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file\UsersA$\ana73\Home\Desktop\Drawdown fellowship\Fellowship docs\Data for model\"/>
    </mc:Choice>
  </mc:AlternateContent>
  <bookViews>
    <workbookView xWindow="0" yWindow="444" windowWidth="32520" windowHeight="20556" firstSheet="8" activeTab="1"/>
  </bookViews>
  <sheets>
    <sheet name="results_summary" sheetId="14" r:id="rId1"/>
    <sheet name="Emissions Factors" sheetId="12" r:id="rId2"/>
    <sheet name="Population_Tables" sheetId="1" r:id="rId3"/>
    <sheet name="Electricity_cluster" sheetId="3" r:id="rId4"/>
    <sheet name="Electricity_cluster_mdc" sheetId="10" state="hidden" r:id="rId5"/>
    <sheet name="SpaceHeating_cluster" sheetId="41" r:id="rId6"/>
    <sheet name="SpaceHeating_cluster_lldc" sheetId="11" state="hidden" r:id="rId7"/>
    <sheet name="SpaceHeating_cluster_mdc" sheetId="38" state="hidden" r:id="rId8"/>
    <sheet name="SpaceCooling_cluster" sheetId="42" r:id="rId9"/>
    <sheet name="SpaceCooling_cluster_lldc" sheetId="22" state="hidden" r:id="rId10"/>
    <sheet name="SpaceCooling_cluster_mdc" sheetId="23" state="hidden" r:id="rId11"/>
    <sheet name="CleanCookstoves_cluster" sheetId="43" r:id="rId12"/>
    <sheet name="CleanCookstove_cluster_lldc" sheetId="15" state="hidden" r:id="rId13"/>
    <sheet name="ComLight_cluster" sheetId="45" r:id="rId14"/>
    <sheet name="ComLight_cluster_lldc" sheetId="16" state="hidden" r:id="rId15"/>
    <sheet name="ComLight_cluster_mdc" sheetId="17" state="hidden" r:id="rId16"/>
    <sheet name="ResLight_cluster" sheetId="46" r:id="rId17"/>
    <sheet name="ReslLight_cluster_lldc" sheetId="18" state="hidden" r:id="rId18"/>
    <sheet name="ReslLight_cluster_mdc" sheetId="19" state="hidden" r:id="rId19"/>
    <sheet name="WaterHeating_cluster" sheetId="47" r:id="rId20"/>
    <sheet name="WaterHeating_cluster_lldc" sheetId="20" state="hidden" r:id="rId21"/>
    <sheet name="WaterHeating_cluster_mdc" sheetId="21" state="hidden" r:id="rId22"/>
    <sheet name="Paper_cluster" sheetId="49" r:id="rId23"/>
    <sheet name="Water_cluster" sheetId="50" r:id="rId24"/>
    <sheet name="Plastics_cluster" sheetId="48" r:id="rId25"/>
    <sheet name="Passenger-km_cluster" sheetId="51" r:id="rId26"/>
    <sheet name="Passenger-km_cluster_lldc" sheetId="24" r:id="rId27"/>
    <sheet name="Passenger-km_cluster_mdc" sheetId="37" r:id="rId28"/>
    <sheet name="Passenger-km_cluster_mdc(test)" sheetId="25" state="hidden" r:id="rId29"/>
    <sheet name="NFreight-km_cluster_all" sheetId="26" r:id="rId30"/>
    <sheet name="GFreight-km_cluster_lldc" sheetId="27" r:id="rId31"/>
    <sheet name="GFreight-km_cluster_mdc" sheetId="34" r:id="rId32"/>
    <sheet name="Air-km_cluster_all" sheetId="28" r:id="rId33"/>
    <sheet name="Plastics_cluster_all" sheetId="29" state="hidden" r:id="rId34"/>
    <sheet name="Paper_cluster_lldc" sheetId="30" state="hidden" r:id="rId35"/>
    <sheet name="Paper_cluster_mdc" sheetId="31" state="hidden" r:id="rId36"/>
    <sheet name="Water_cluster_lldc" sheetId="32" state="hidden" r:id="rId37"/>
    <sheet name="Water_cluster_mdc" sheetId="33" state="hidden" r:id="rId38"/>
    <sheet name="DemandFood_cluster" sheetId="6" r:id="rId39"/>
  </sheets>
  <externalReferences>
    <externalReference r:id="rId40"/>
    <externalReference r:id="rId41"/>
  </externalReferences>
  <definedNames>
    <definedName name="EmissionsFactorsBAUGridEFCO2" localSheetId="28">'[1]Emissions Factors'!$A$64</definedName>
    <definedName name="EmissionsFactorsBAUGridEFCO2eq" localSheetId="28">'[1]Emissions Factors'!$A$9</definedName>
    <definedName name="EmissionsFactorsOPTGridEFCO2" localSheetId="28">'[1]Emissions Factors'!$A$177</definedName>
    <definedName name="EmissionsFactorsOPTGridEFCO2eq" localSheetId="28">'[1]Emissions Factors'!$A$120</definedName>
  </definedNames>
  <calcPr calcId="162913"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9" i="51" l="1"/>
  <c r="Z27" i="51"/>
  <c r="N27" i="51"/>
  <c r="E79" i="48"/>
  <c r="Z27" i="48"/>
  <c r="N27" i="48"/>
  <c r="E79" i="49"/>
  <c r="E79" i="50"/>
  <c r="Z27" i="49"/>
  <c r="N27" i="49"/>
  <c r="E79" i="47"/>
  <c r="Z27" i="47"/>
  <c r="N27" i="47"/>
  <c r="E79" i="46"/>
  <c r="Z27" i="46"/>
  <c r="N27" i="46"/>
  <c r="E79" i="45"/>
  <c r="Z27" i="45"/>
  <c r="N27" i="45"/>
  <c r="E79" i="43"/>
  <c r="Z27" i="43"/>
  <c r="N27" i="43"/>
  <c r="Z27" i="42"/>
  <c r="N27" i="42"/>
  <c r="E79" i="42"/>
  <c r="Z25" i="3"/>
  <c r="N25" i="3"/>
  <c r="Z27" i="41"/>
  <c r="N27" i="41"/>
  <c r="E79" i="41"/>
  <c r="Q50" i="41" l="1"/>
  <c r="Q40" i="41"/>
  <c r="AH49" i="1"/>
  <c r="AD20" i="1"/>
  <c r="AA8" i="1"/>
  <c r="AA9" i="1"/>
  <c r="AA10" i="1"/>
  <c r="AA6" i="1"/>
  <c r="AB6" i="1"/>
  <c r="AC6" i="1"/>
  <c r="AD6" i="1"/>
  <c r="AE6" i="1"/>
  <c r="AF6" i="1"/>
  <c r="AG6" i="1"/>
  <c r="AH6" i="1"/>
  <c r="AI6" i="1"/>
  <c r="AJ6" i="1"/>
  <c r="AA7" i="1"/>
  <c r="AB7" i="1"/>
  <c r="AC7" i="1"/>
  <c r="AD7" i="1"/>
  <c r="AE7" i="1"/>
  <c r="AF7" i="1"/>
  <c r="AG7" i="1"/>
  <c r="AH7" i="1"/>
  <c r="AI7" i="1"/>
  <c r="AJ7" i="1"/>
  <c r="AA5" i="1"/>
  <c r="AA2" i="1"/>
  <c r="AD9" i="1"/>
  <c r="E30" i="51" l="1"/>
  <c r="E31" i="51"/>
  <c r="E32" i="51"/>
  <c r="E33" i="51"/>
  <c r="Q33" i="51" s="1"/>
  <c r="AC33" i="51" s="1"/>
  <c r="E34" i="51"/>
  <c r="Q34" i="51" s="1"/>
  <c r="AC34" i="51" s="1"/>
  <c r="AO34" i="51" s="1"/>
  <c r="E35" i="51"/>
  <c r="E36" i="51"/>
  <c r="E37" i="51"/>
  <c r="Q37" i="51" s="1"/>
  <c r="AC37" i="51" s="1"/>
  <c r="AO37" i="51" s="1"/>
  <c r="E38" i="51"/>
  <c r="E39" i="51"/>
  <c r="E40" i="51"/>
  <c r="E41" i="51"/>
  <c r="Q41" i="51" s="1"/>
  <c r="AC41" i="51" s="1"/>
  <c r="AO41" i="51" s="1"/>
  <c r="E42" i="51"/>
  <c r="Q42" i="51" s="1"/>
  <c r="AC42" i="51" s="1"/>
  <c r="AO42" i="51" s="1"/>
  <c r="E43" i="51"/>
  <c r="E44" i="51"/>
  <c r="E45" i="51"/>
  <c r="BD45" i="51" s="1"/>
  <c r="E46" i="51"/>
  <c r="E47" i="51"/>
  <c r="E48" i="51"/>
  <c r="E49" i="51"/>
  <c r="E50" i="51"/>
  <c r="Q50" i="51" s="1"/>
  <c r="AC50" i="51" s="1"/>
  <c r="AO50" i="51" s="1"/>
  <c r="E51" i="51"/>
  <c r="E52" i="51"/>
  <c r="E53" i="51"/>
  <c r="Q53" i="51" s="1"/>
  <c r="AC53" i="51" s="1"/>
  <c r="AO53" i="51" s="1"/>
  <c r="E54" i="51"/>
  <c r="E55" i="51"/>
  <c r="E56" i="51"/>
  <c r="E57" i="51"/>
  <c r="E58" i="51"/>
  <c r="Q58" i="51" s="1"/>
  <c r="AC58" i="51" s="1"/>
  <c r="AO58" i="51" s="1"/>
  <c r="E59" i="51"/>
  <c r="E60" i="51"/>
  <c r="E61" i="51"/>
  <c r="Q61" i="51" s="1"/>
  <c r="AC61" i="51" s="1"/>
  <c r="AO61" i="51" s="1"/>
  <c r="E62" i="51"/>
  <c r="E63" i="51"/>
  <c r="E64" i="51"/>
  <c r="E65" i="51"/>
  <c r="E66" i="51"/>
  <c r="BD66" i="51" s="1"/>
  <c r="E67" i="51"/>
  <c r="E68" i="51"/>
  <c r="Q68" i="51" s="1"/>
  <c r="AC68" i="51" s="1"/>
  <c r="AO68" i="51" s="1"/>
  <c r="E69" i="51"/>
  <c r="Q69" i="51" s="1"/>
  <c r="AC69" i="51" s="1"/>
  <c r="AO69" i="51" s="1"/>
  <c r="E70" i="51"/>
  <c r="E71" i="51"/>
  <c r="E72" i="51"/>
  <c r="Q72" i="51" s="1"/>
  <c r="AC72" i="51" s="1"/>
  <c r="AO72" i="51" s="1"/>
  <c r="E73" i="51"/>
  <c r="E74" i="51"/>
  <c r="Q74" i="51" s="1"/>
  <c r="AC74" i="51" s="1"/>
  <c r="AO74" i="51" s="1"/>
  <c r="E75" i="51"/>
  <c r="E29" i="51"/>
  <c r="D30" i="51"/>
  <c r="BC30" i="51" s="1"/>
  <c r="D31" i="51"/>
  <c r="D32" i="51"/>
  <c r="D33" i="51"/>
  <c r="BC33" i="51" s="1"/>
  <c r="D34" i="51"/>
  <c r="D35" i="51"/>
  <c r="P35" i="51" s="1"/>
  <c r="AB35" i="51" s="1"/>
  <c r="AN35" i="51" s="1"/>
  <c r="D36" i="51"/>
  <c r="D37" i="51"/>
  <c r="D38" i="51"/>
  <c r="P38" i="51" s="1"/>
  <c r="AB38" i="51" s="1"/>
  <c r="AN38" i="51" s="1"/>
  <c r="D39" i="51"/>
  <c r="D40" i="51"/>
  <c r="D41" i="51"/>
  <c r="BC41" i="51" s="1"/>
  <c r="D42" i="51"/>
  <c r="D43" i="51"/>
  <c r="P43" i="51" s="1"/>
  <c r="AB43" i="51" s="1"/>
  <c r="AN43" i="51" s="1"/>
  <c r="D44" i="51"/>
  <c r="D45" i="51"/>
  <c r="D46" i="51"/>
  <c r="BC46" i="51" s="1"/>
  <c r="D47" i="51"/>
  <c r="D48" i="51"/>
  <c r="D49" i="51"/>
  <c r="BC49" i="51" s="1"/>
  <c r="D50" i="51"/>
  <c r="D51" i="51"/>
  <c r="P51" i="51" s="1"/>
  <c r="AB51" i="51" s="1"/>
  <c r="AN51" i="51" s="1"/>
  <c r="D52" i="51"/>
  <c r="P52" i="51" s="1"/>
  <c r="AB52" i="51" s="1"/>
  <c r="AN52" i="51" s="1"/>
  <c r="D53" i="51"/>
  <c r="BC53" i="51" s="1"/>
  <c r="D54" i="51"/>
  <c r="BC54" i="51" s="1"/>
  <c r="D55" i="51"/>
  <c r="D56" i="51"/>
  <c r="D57" i="51"/>
  <c r="D58" i="51"/>
  <c r="BC58" i="51" s="1"/>
  <c r="D59" i="51"/>
  <c r="BC59" i="51" s="1"/>
  <c r="D60" i="51"/>
  <c r="P60" i="51" s="1"/>
  <c r="D61" i="51"/>
  <c r="P61" i="51" s="1"/>
  <c r="AB61" i="51" s="1"/>
  <c r="AN61" i="51" s="1"/>
  <c r="D62" i="51"/>
  <c r="P62" i="51" s="1"/>
  <c r="D63" i="51"/>
  <c r="D64" i="51"/>
  <c r="D65" i="51"/>
  <c r="D66" i="51"/>
  <c r="P66" i="51" s="1"/>
  <c r="AB66" i="51" s="1"/>
  <c r="AN66" i="51" s="1"/>
  <c r="D67" i="51"/>
  <c r="P67" i="51" s="1"/>
  <c r="AB67" i="51" s="1"/>
  <c r="AN67" i="51" s="1"/>
  <c r="D68" i="51"/>
  <c r="D69" i="51"/>
  <c r="P69" i="51" s="1"/>
  <c r="AB69" i="51" s="1"/>
  <c r="AN69" i="51" s="1"/>
  <c r="D70" i="51"/>
  <c r="P70" i="51" s="1"/>
  <c r="AB70" i="51" s="1"/>
  <c r="AN70" i="51" s="1"/>
  <c r="D71" i="51"/>
  <c r="D72" i="51"/>
  <c r="D73" i="51"/>
  <c r="D74" i="51"/>
  <c r="P74" i="51" s="1"/>
  <c r="AB74" i="51" s="1"/>
  <c r="AN74" i="51" s="1"/>
  <c r="D75" i="51"/>
  <c r="P75" i="51" s="1"/>
  <c r="AB75" i="51" s="1"/>
  <c r="AN75" i="51" s="1"/>
  <c r="D29" i="51"/>
  <c r="C30" i="51"/>
  <c r="C31" i="51"/>
  <c r="O31" i="51" s="1"/>
  <c r="C32" i="51"/>
  <c r="C33" i="51"/>
  <c r="C34" i="51"/>
  <c r="C35" i="51"/>
  <c r="C36" i="51"/>
  <c r="C37" i="51"/>
  <c r="O37" i="51" s="1"/>
  <c r="AA37" i="51" s="1"/>
  <c r="AM37" i="51" s="1"/>
  <c r="C38" i="51"/>
  <c r="C39" i="51"/>
  <c r="O39" i="51" s="1"/>
  <c r="C40" i="51"/>
  <c r="C41" i="51"/>
  <c r="C42" i="51"/>
  <c r="C43" i="51"/>
  <c r="O43" i="51" s="1"/>
  <c r="AA43" i="51" s="1"/>
  <c r="AM43" i="51" s="1"/>
  <c r="C44" i="51"/>
  <c r="O44" i="51" s="1"/>
  <c r="C45" i="51"/>
  <c r="O45" i="51" s="1"/>
  <c r="AA45" i="51" s="1"/>
  <c r="AM45" i="51" s="1"/>
  <c r="C46" i="51"/>
  <c r="C47" i="51"/>
  <c r="O47" i="51" s="1"/>
  <c r="C48" i="51"/>
  <c r="C49" i="51"/>
  <c r="C50" i="51"/>
  <c r="C51" i="51"/>
  <c r="O51" i="51" s="1"/>
  <c r="C52" i="51"/>
  <c r="C53" i="51"/>
  <c r="O53" i="51" s="1"/>
  <c r="AA53" i="51" s="1"/>
  <c r="AM53" i="51" s="1"/>
  <c r="C54" i="51"/>
  <c r="BB54" i="51" s="1"/>
  <c r="C55" i="51"/>
  <c r="C56" i="51"/>
  <c r="C57" i="51"/>
  <c r="BB57" i="51" s="1"/>
  <c r="C58" i="51"/>
  <c r="BB58" i="51" s="1"/>
  <c r="C59" i="51"/>
  <c r="O59" i="51" s="1"/>
  <c r="C60" i="51"/>
  <c r="C61" i="51"/>
  <c r="O61" i="51" s="1"/>
  <c r="C62" i="51"/>
  <c r="O62" i="51" s="1"/>
  <c r="AA62" i="51" s="1"/>
  <c r="AM62" i="51" s="1"/>
  <c r="C63" i="51"/>
  <c r="C64" i="51"/>
  <c r="C65" i="51"/>
  <c r="C66" i="51"/>
  <c r="BB66" i="51" s="1"/>
  <c r="C67" i="51"/>
  <c r="BB67" i="51" s="1"/>
  <c r="C68" i="51"/>
  <c r="C69" i="51"/>
  <c r="BB69" i="51" s="1"/>
  <c r="C70" i="51"/>
  <c r="O70" i="51" s="1"/>
  <c r="AA70" i="51" s="1"/>
  <c r="AM70" i="51" s="1"/>
  <c r="C71" i="51"/>
  <c r="C72" i="51"/>
  <c r="C73" i="51"/>
  <c r="C74" i="51"/>
  <c r="O74" i="51" s="1"/>
  <c r="C75" i="51"/>
  <c r="O75" i="51" s="1"/>
  <c r="AA75" i="51" s="1"/>
  <c r="AM75" i="51" s="1"/>
  <c r="C29" i="51"/>
  <c r="O29" i="51" s="1"/>
  <c r="R28" i="51"/>
  <c r="AD28" i="51" s="1"/>
  <c r="S28" i="51"/>
  <c r="AE28" i="51" s="1"/>
  <c r="T28" i="51"/>
  <c r="AF28" i="51" s="1"/>
  <c r="U28" i="51"/>
  <c r="AG28" i="51" s="1"/>
  <c r="V28" i="51"/>
  <c r="AH28" i="51" s="1"/>
  <c r="W28" i="51"/>
  <c r="AI28" i="51" s="1"/>
  <c r="Q73" i="51"/>
  <c r="O73" i="51"/>
  <c r="P71" i="51"/>
  <c r="AB71" i="51" s="1"/>
  <c r="AN71" i="51" s="1"/>
  <c r="BD67" i="51"/>
  <c r="O65" i="51"/>
  <c r="AA65" i="51" s="1"/>
  <c r="AM65" i="51" s="1"/>
  <c r="BD64" i="51"/>
  <c r="P63" i="51"/>
  <c r="AB63" i="51" s="1"/>
  <c r="AN63" i="51" s="1"/>
  <c r="Q60" i="51"/>
  <c r="AC60" i="51" s="1"/>
  <c r="AO60" i="51" s="1"/>
  <c r="Q59" i="51"/>
  <c r="AC59" i="51" s="1"/>
  <c r="AO59" i="51" s="1"/>
  <c r="BC55" i="51"/>
  <c r="P50" i="51"/>
  <c r="AB50" i="51" s="1"/>
  <c r="AN50" i="51" s="1"/>
  <c r="BD49" i="51"/>
  <c r="Q46" i="51"/>
  <c r="Q43" i="51"/>
  <c r="AC43" i="51" s="1"/>
  <c r="AO43" i="51" s="1"/>
  <c r="Q39" i="51"/>
  <c r="AC39" i="51" s="1"/>
  <c r="AO39" i="51" s="1"/>
  <c r="BC39" i="51"/>
  <c r="Q35" i="51"/>
  <c r="AC35" i="51" s="1"/>
  <c r="AO35" i="51" s="1"/>
  <c r="BC32" i="51"/>
  <c r="Q31" i="51"/>
  <c r="AC31" i="51" s="1"/>
  <c r="AO31" i="51" s="1"/>
  <c r="Q30" i="51"/>
  <c r="Q28" i="51"/>
  <c r="AC28" i="51" s="1"/>
  <c r="P28" i="51"/>
  <c r="AB28" i="51" s="1"/>
  <c r="O28" i="51"/>
  <c r="AA28" i="51" s="1"/>
  <c r="V240" i="51"/>
  <c r="AA240" i="51" s="1"/>
  <c r="AG240" i="51" s="1"/>
  <c r="AK240" i="51" s="1"/>
  <c r="V239" i="51"/>
  <c r="AA239" i="51" s="1"/>
  <c r="AG239" i="51" s="1"/>
  <c r="AK239" i="51" s="1"/>
  <c r="V238" i="51"/>
  <c r="AA238" i="51" s="1"/>
  <c r="AG238" i="51" s="1"/>
  <c r="AK238" i="51" s="1"/>
  <c r="V237" i="51"/>
  <c r="AA237" i="51" s="1"/>
  <c r="AG237" i="51" s="1"/>
  <c r="AK237" i="51" s="1"/>
  <c r="V236" i="51"/>
  <c r="AA236" i="51" s="1"/>
  <c r="AG236" i="51" s="1"/>
  <c r="AK236" i="51" s="1"/>
  <c r="V235" i="51"/>
  <c r="AA235" i="51" s="1"/>
  <c r="AG235" i="51" s="1"/>
  <c r="AK235" i="51" s="1"/>
  <c r="V234" i="51"/>
  <c r="AA234" i="51" s="1"/>
  <c r="AG234" i="51" s="1"/>
  <c r="AK234" i="51" s="1"/>
  <c r="V233" i="51"/>
  <c r="AA233" i="51" s="1"/>
  <c r="AG233" i="51" s="1"/>
  <c r="AK233" i="51" s="1"/>
  <c r="V232" i="51"/>
  <c r="AA232" i="51" s="1"/>
  <c r="AG232" i="51" s="1"/>
  <c r="AK232" i="51" s="1"/>
  <c r="V231" i="51"/>
  <c r="AA231" i="51" s="1"/>
  <c r="AG231" i="51" s="1"/>
  <c r="AK231" i="51" s="1"/>
  <c r="V230" i="51"/>
  <c r="AA230" i="51" s="1"/>
  <c r="AG230" i="51" s="1"/>
  <c r="AK230" i="51" s="1"/>
  <c r="V229" i="51"/>
  <c r="AA229" i="51" s="1"/>
  <c r="AG229" i="51" s="1"/>
  <c r="AK229" i="51" s="1"/>
  <c r="V228" i="51"/>
  <c r="AA228" i="51" s="1"/>
  <c r="AG228" i="51" s="1"/>
  <c r="AK228" i="51" s="1"/>
  <c r="V227" i="51"/>
  <c r="AA227" i="51" s="1"/>
  <c r="AG227" i="51" s="1"/>
  <c r="AK227" i="51" s="1"/>
  <c r="V226" i="51"/>
  <c r="AA226" i="51" s="1"/>
  <c r="AG226" i="51" s="1"/>
  <c r="AK226" i="51" s="1"/>
  <c r="V225" i="51"/>
  <c r="AA225" i="51" s="1"/>
  <c r="AG225" i="51" s="1"/>
  <c r="AK225" i="51" s="1"/>
  <c r="V224" i="51"/>
  <c r="AA224" i="51" s="1"/>
  <c r="AG224" i="51" s="1"/>
  <c r="AK224" i="51" s="1"/>
  <c r="V223" i="51"/>
  <c r="AA223" i="51" s="1"/>
  <c r="AG223" i="51" s="1"/>
  <c r="AK223" i="51" s="1"/>
  <c r="V222" i="51"/>
  <c r="AA222" i="51" s="1"/>
  <c r="AG222" i="51" s="1"/>
  <c r="AK222" i="51" s="1"/>
  <c r="V221" i="51"/>
  <c r="AA221" i="51" s="1"/>
  <c r="AG221" i="51" s="1"/>
  <c r="AK221" i="51" s="1"/>
  <c r="V220" i="51"/>
  <c r="AA220" i="51" s="1"/>
  <c r="AG220" i="51" s="1"/>
  <c r="AK220" i="51" s="1"/>
  <c r="V219" i="51"/>
  <c r="AA219" i="51" s="1"/>
  <c r="AG219" i="51" s="1"/>
  <c r="AK219" i="51" s="1"/>
  <c r="V218" i="51"/>
  <c r="AA218" i="51" s="1"/>
  <c r="AG218" i="51" s="1"/>
  <c r="AK218" i="51" s="1"/>
  <c r="V217" i="51"/>
  <c r="AA217" i="51" s="1"/>
  <c r="AG217" i="51" s="1"/>
  <c r="AK217" i="51" s="1"/>
  <c r="V216" i="51"/>
  <c r="AA216" i="51" s="1"/>
  <c r="AG216" i="51" s="1"/>
  <c r="AK216" i="51" s="1"/>
  <c r="V215" i="51"/>
  <c r="AA215" i="51" s="1"/>
  <c r="AG215" i="51" s="1"/>
  <c r="AK215" i="51" s="1"/>
  <c r="V214" i="51"/>
  <c r="AA214" i="51" s="1"/>
  <c r="AG214" i="51" s="1"/>
  <c r="AK214" i="51" s="1"/>
  <c r="V213" i="51"/>
  <c r="AA213" i="51" s="1"/>
  <c r="AG213" i="51" s="1"/>
  <c r="AK213" i="51" s="1"/>
  <c r="V212" i="51"/>
  <c r="AA212" i="51" s="1"/>
  <c r="AG212" i="51" s="1"/>
  <c r="AK212" i="51" s="1"/>
  <c r="V211" i="51"/>
  <c r="AA211" i="51" s="1"/>
  <c r="AG211" i="51" s="1"/>
  <c r="AK211" i="51" s="1"/>
  <c r="V210" i="51"/>
  <c r="AA210" i="51" s="1"/>
  <c r="AG210" i="51" s="1"/>
  <c r="AK210" i="51" s="1"/>
  <c r="V209" i="51"/>
  <c r="AA209" i="51" s="1"/>
  <c r="AG209" i="51" s="1"/>
  <c r="AK209" i="51" s="1"/>
  <c r="V208" i="51"/>
  <c r="AA208" i="51" s="1"/>
  <c r="AG208" i="51" s="1"/>
  <c r="AK208" i="51" s="1"/>
  <c r="V207" i="51"/>
  <c r="AA207" i="51" s="1"/>
  <c r="AG207" i="51" s="1"/>
  <c r="AK207" i="51" s="1"/>
  <c r="V206" i="51"/>
  <c r="AA206" i="51" s="1"/>
  <c r="AG206" i="51" s="1"/>
  <c r="AK206" i="51" s="1"/>
  <c r="V205" i="51"/>
  <c r="AA205" i="51" s="1"/>
  <c r="AG205" i="51" s="1"/>
  <c r="AK205" i="51" s="1"/>
  <c r="V204" i="51"/>
  <c r="AA204" i="51" s="1"/>
  <c r="AG204" i="51" s="1"/>
  <c r="AK204" i="51" s="1"/>
  <c r="V203" i="51"/>
  <c r="AA203" i="51" s="1"/>
  <c r="AG203" i="51" s="1"/>
  <c r="AK203" i="51" s="1"/>
  <c r="V202" i="51"/>
  <c r="AA202" i="51" s="1"/>
  <c r="AG202" i="51" s="1"/>
  <c r="AK202" i="51" s="1"/>
  <c r="V201" i="51"/>
  <c r="AA201" i="51" s="1"/>
  <c r="AG201" i="51" s="1"/>
  <c r="AK201" i="51" s="1"/>
  <c r="V200" i="51"/>
  <c r="AA200" i="51" s="1"/>
  <c r="AG200" i="51" s="1"/>
  <c r="AK200" i="51" s="1"/>
  <c r="V199" i="51"/>
  <c r="AA199" i="51" s="1"/>
  <c r="AG199" i="51" s="1"/>
  <c r="AK199" i="51" s="1"/>
  <c r="V198" i="51"/>
  <c r="AA198" i="51" s="1"/>
  <c r="AG198" i="51" s="1"/>
  <c r="AK198" i="51" s="1"/>
  <c r="V197" i="51"/>
  <c r="AA197" i="51" s="1"/>
  <c r="AG197" i="51" s="1"/>
  <c r="AK197" i="51" s="1"/>
  <c r="V196" i="51"/>
  <c r="AA196" i="51" s="1"/>
  <c r="AG196" i="51" s="1"/>
  <c r="AK196" i="51" s="1"/>
  <c r="V195" i="51"/>
  <c r="AA195" i="51" s="1"/>
  <c r="AG195" i="51" s="1"/>
  <c r="AK195" i="51" s="1"/>
  <c r="AA194" i="51"/>
  <c r="AG194" i="51" s="1"/>
  <c r="AK194" i="51" s="1"/>
  <c r="Z194" i="51"/>
  <c r="AF194" i="51" s="1"/>
  <c r="AP181" i="51"/>
  <c r="AY181" i="51" s="1"/>
  <c r="AC181" i="51"/>
  <c r="AP180" i="51"/>
  <c r="AY180" i="51" s="1"/>
  <c r="AC180" i="51"/>
  <c r="AP179" i="51"/>
  <c r="AC179" i="51"/>
  <c r="AP178" i="51"/>
  <c r="AY178" i="51" s="1"/>
  <c r="AC178" i="51"/>
  <c r="AP177" i="51"/>
  <c r="AY177" i="51" s="1"/>
  <c r="AC177" i="51"/>
  <c r="AP176" i="51"/>
  <c r="AY176" i="51" s="1"/>
  <c r="AC176" i="51"/>
  <c r="AP175" i="51"/>
  <c r="AC175" i="51"/>
  <c r="AP174" i="51"/>
  <c r="AY174" i="51" s="1"/>
  <c r="AC174" i="51"/>
  <c r="AP173" i="51"/>
  <c r="AY173" i="51" s="1"/>
  <c r="AC173" i="51"/>
  <c r="AP172" i="51"/>
  <c r="AY172" i="51" s="1"/>
  <c r="AC172" i="51"/>
  <c r="AP171" i="51"/>
  <c r="AC171" i="51"/>
  <c r="AP170" i="51"/>
  <c r="AY170" i="51" s="1"/>
  <c r="AC170" i="51"/>
  <c r="AP169" i="51"/>
  <c r="AY169" i="51" s="1"/>
  <c r="AC169" i="51"/>
  <c r="AP168" i="51"/>
  <c r="AY168" i="51" s="1"/>
  <c r="AC168" i="51"/>
  <c r="AP167" i="51"/>
  <c r="AC167" i="51"/>
  <c r="AP166" i="51"/>
  <c r="AC166" i="51"/>
  <c r="AP165" i="51"/>
  <c r="AY165" i="51" s="1"/>
  <c r="AC165" i="51"/>
  <c r="AP164" i="51"/>
  <c r="AY164" i="51" s="1"/>
  <c r="AC164" i="51"/>
  <c r="AP163" i="51"/>
  <c r="AY163" i="51" s="1"/>
  <c r="AC163" i="51"/>
  <c r="AP162" i="51"/>
  <c r="AC162" i="51"/>
  <c r="AP161" i="51"/>
  <c r="AY161" i="51" s="1"/>
  <c r="AC161" i="51"/>
  <c r="AP160" i="51"/>
  <c r="AY160" i="51" s="1"/>
  <c r="AC160" i="51"/>
  <c r="AP159" i="51"/>
  <c r="AY159" i="51" s="1"/>
  <c r="AC159" i="51"/>
  <c r="AP158" i="51"/>
  <c r="AC158" i="51"/>
  <c r="AP157" i="51"/>
  <c r="AY157" i="51" s="1"/>
  <c r="AC157" i="51"/>
  <c r="AP156" i="51"/>
  <c r="AY156" i="51" s="1"/>
  <c r="AC156" i="51"/>
  <c r="AP155" i="51"/>
  <c r="AY155" i="51" s="1"/>
  <c r="AC155" i="51"/>
  <c r="AP154" i="51"/>
  <c r="AY154" i="51" s="1"/>
  <c r="AC154" i="51"/>
  <c r="AP153" i="51"/>
  <c r="AY153" i="51" s="1"/>
  <c r="AC153" i="51"/>
  <c r="AP152" i="51"/>
  <c r="AY152" i="51" s="1"/>
  <c r="AC152" i="51"/>
  <c r="AP151" i="51"/>
  <c r="AY151" i="51" s="1"/>
  <c r="AC151" i="51"/>
  <c r="AP150" i="51"/>
  <c r="AC150" i="51"/>
  <c r="AP149" i="51"/>
  <c r="AY149" i="51" s="1"/>
  <c r="AC149" i="51"/>
  <c r="AP148" i="51"/>
  <c r="AY148" i="51" s="1"/>
  <c r="AC148" i="51"/>
  <c r="AP147" i="51"/>
  <c r="AY147" i="51" s="1"/>
  <c r="AC147" i="51"/>
  <c r="AP146" i="51"/>
  <c r="AY146" i="51" s="1"/>
  <c r="AC146" i="51"/>
  <c r="AP145" i="51"/>
  <c r="AY145" i="51" s="1"/>
  <c r="AC145" i="51"/>
  <c r="AP144" i="51"/>
  <c r="AY144" i="51" s="1"/>
  <c r="AC144" i="51"/>
  <c r="AP143" i="51"/>
  <c r="AC143" i="51"/>
  <c r="AP142" i="51"/>
  <c r="AY142" i="51" s="1"/>
  <c r="AC142" i="51"/>
  <c r="AP141" i="51"/>
  <c r="AY141" i="51" s="1"/>
  <c r="AC141" i="51"/>
  <c r="AP140" i="51"/>
  <c r="AY140" i="51" s="1"/>
  <c r="AC140" i="51"/>
  <c r="AP139" i="51"/>
  <c r="AC139" i="51"/>
  <c r="AP138" i="51"/>
  <c r="AY138" i="51" s="1"/>
  <c r="AC138" i="51"/>
  <c r="AP137" i="51"/>
  <c r="AY137" i="51" s="1"/>
  <c r="AC137" i="51"/>
  <c r="AP136" i="51"/>
  <c r="AY136" i="51" s="1"/>
  <c r="AC136" i="51"/>
  <c r="AY135" i="51"/>
  <c r="AX135" i="51"/>
  <c r="AV135" i="51"/>
  <c r="AU135" i="51"/>
  <c r="C126" i="51"/>
  <c r="C125" i="51"/>
  <c r="C124" i="51"/>
  <c r="C123" i="51"/>
  <c r="C122" i="51"/>
  <c r="C121" i="51"/>
  <c r="C120" i="51"/>
  <c r="C119" i="51"/>
  <c r="C118" i="51"/>
  <c r="C117" i="51"/>
  <c r="C116" i="51"/>
  <c r="C115" i="51"/>
  <c r="C114" i="51"/>
  <c r="C113" i="51"/>
  <c r="C112" i="51"/>
  <c r="C111" i="51"/>
  <c r="C110" i="51"/>
  <c r="C109" i="51"/>
  <c r="C108" i="51"/>
  <c r="C107" i="51"/>
  <c r="C106" i="51"/>
  <c r="C105" i="51"/>
  <c r="C104" i="51"/>
  <c r="C103" i="51"/>
  <c r="C102" i="51"/>
  <c r="C101" i="51"/>
  <c r="C100" i="51"/>
  <c r="C99" i="51"/>
  <c r="C98" i="51"/>
  <c r="C97" i="51"/>
  <c r="C96" i="51"/>
  <c r="C95" i="51"/>
  <c r="C94" i="51"/>
  <c r="C93" i="51"/>
  <c r="C92" i="51"/>
  <c r="C91" i="51"/>
  <c r="C90" i="51"/>
  <c r="C89" i="51"/>
  <c r="C88" i="51"/>
  <c r="C87" i="51"/>
  <c r="C86" i="51"/>
  <c r="C85" i="51"/>
  <c r="C84" i="51"/>
  <c r="C83" i="51"/>
  <c r="C82" i="51"/>
  <c r="C81" i="51"/>
  <c r="C80" i="51"/>
  <c r="B80" i="51"/>
  <c r="F79" i="51"/>
  <c r="W78" i="51"/>
  <c r="H78" i="51"/>
  <c r="A78" i="51"/>
  <c r="BF75" i="51"/>
  <c r="BE75" i="51"/>
  <c r="BD75" i="51"/>
  <c r="BC75" i="51"/>
  <c r="AW75" i="51"/>
  <c r="AI75" i="51"/>
  <c r="AH75" i="51"/>
  <c r="AG75" i="51"/>
  <c r="AF75" i="51"/>
  <c r="K126" i="51" s="1"/>
  <c r="W75" i="51"/>
  <c r="V75" i="51"/>
  <c r="U75" i="51"/>
  <c r="T75" i="51"/>
  <c r="S75" i="51"/>
  <c r="AE75" i="51" s="1"/>
  <c r="AQ75" i="51" s="1"/>
  <c r="R75" i="51"/>
  <c r="AD75" i="51" s="1"/>
  <c r="AP75" i="51" s="1"/>
  <c r="Q75" i="51"/>
  <c r="AC75" i="51" s="1"/>
  <c r="AO75" i="51" s="1"/>
  <c r="BF74" i="51"/>
  <c r="BE74" i="51"/>
  <c r="BC74" i="51"/>
  <c r="AW74" i="51"/>
  <c r="AI74" i="51"/>
  <c r="AH74" i="51"/>
  <c r="AG74" i="51"/>
  <c r="AF74" i="51"/>
  <c r="K125" i="51" s="1"/>
  <c r="W74" i="51"/>
  <c r="V74" i="51"/>
  <c r="U74" i="51"/>
  <c r="T74" i="51"/>
  <c r="S74" i="51"/>
  <c r="AE74" i="51" s="1"/>
  <c r="AQ74" i="51" s="1"/>
  <c r="R74" i="51"/>
  <c r="AD74" i="51" s="1"/>
  <c r="AP74" i="51" s="1"/>
  <c r="BF73" i="51"/>
  <c r="BE73" i="51"/>
  <c r="BB73" i="51"/>
  <c r="AW73" i="51"/>
  <c r="AI73" i="51"/>
  <c r="AH73" i="51"/>
  <c r="AG73" i="51"/>
  <c r="AF73" i="51"/>
  <c r="W73" i="51"/>
  <c r="V73" i="51"/>
  <c r="U73" i="51"/>
  <c r="T73" i="51"/>
  <c r="S73" i="51"/>
  <c r="AE73" i="51" s="1"/>
  <c r="AQ73" i="51" s="1"/>
  <c r="R73" i="51"/>
  <c r="AD73" i="51" s="1"/>
  <c r="AP73" i="51" s="1"/>
  <c r="BF72" i="51"/>
  <c r="BE72" i="51"/>
  <c r="BD72" i="51"/>
  <c r="BC72" i="51"/>
  <c r="BB72" i="51"/>
  <c r="AW72" i="51"/>
  <c r="AI72" i="51"/>
  <c r="AH72" i="51"/>
  <c r="AG72" i="51"/>
  <c r="AF72" i="51"/>
  <c r="W72" i="51"/>
  <c r="V72" i="51"/>
  <c r="U72" i="51"/>
  <c r="T72" i="51"/>
  <c r="S72" i="51"/>
  <c r="AE72" i="51" s="1"/>
  <c r="AQ72" i="51" s="1"/>
  <c r="R72" i="51"/>
  <c r="AD72" i="51" s="1"/>
  <c r="AP72" i="51" s="1"/>
  <c r="P72" i="51"/>
  <c r="AB72" i="51" s="1"/>
  <c r="AN72" i="51" s="1"/>
  <c r="O72" i="51"/>
  <c r="AA72" i="51" s="1"/>
  <c r="AM72" i="51" s="1"/>
  <c r="BF71" i="51"/>
  <c r="BE71" i="51"/>
  <c r="BD71" i="51"/>
  <c r="AW71" i="51"/>
  <c r="AI71" i="51"/>
  <c r="AH71" i="51"/>
  <c r="AG71" i="51"/>
  <c r="AF71" i="51"/>
  <c r="W71" i="51"/>
  <c r="V71" i="51"/>
  <c r="U71" i="51"/>
  <c r="T71" i="51"/>
  <c r="S71" i="51"/>
  <c r="AE71" i="51" s="1"/>
  <c r="AQ71" i="51" s="1"/>
  <c r="R71" i="51"/>
  <c r="AD71" i="51" s="1"/>
  <c r="AP71" i="51" s="1"/>
  <c r="Q71" i="51"/>
  <c r="AC71" i="51" s="1"/>
  <c r="AO71" i="51" s="1"/>
  <c r="BF70" i="51"/>
  <c r="BE70" i="51"/>
  <c r="AW70" i="51"/>
  <c r="AI70" i="51"/>
  <c r="AH70" i="51"/>
  <c r="AG70" i="51"/>
  <c r="AF70" i="51"/>
  <c r="K121" i="51" s="1"/>
  <c r="W70" i="51"/>
  <c r="V70" i="51"/>
  <c r="U70" i="51"/>
  <c r="T70" i="51"/>
  <c r="S70" i="51"/>
  <c r="AE70" i="51" s="1"/>
  <c r="AQ70" i="51" s="1"/>
  <c r="R70" i="51"/>
  <c r="AD70" i="51" s="1"/>
  <c r="AP70" i="51" s="1"/>
  <c r="BF69" i="51"/>
  <c r="BE69" i="51"/>
  <c r="AW69" i="51"/>
  <c r="AI69" i="51"/>
  <c r="AH69" i="51"/>
  <c r="AG69" i="51"/>
  <c r="AF69" i="51"/>
  <c r="W69" i="51"/>
  <c r="V69" i="51"/>
  <c r="U69" i="51"/>
  <c r="T69" i="51"/>
  <c r="S69" i="51"/>
  <c r="AE69" i="51" s="1"/>
  <c r="AQ69" i="51" s="1"/>
  <c r="R69" i="51"/>
  <c r="AD69" i="51" s="1"/>
  <c r="AP69" i="51" s="1"/>
  <c r="BF68" i="51"/>
  <c r="BE68" i="51"/>
  <c r="BD68" i="51"/>
  <c r="AW68" i="51"/>
  <c r="AI68" i="51"/>
  <c r="AH68" i="51"/>
  <c r="AG68" i="51"/>
  <c r="AF68" i="51"/>
  <c r="W68" i="51"/>
  <c r="V68" i="51"/>
  <c r="U68" i="51"/>
  <c r="T68" i="51"/>
  <c r="S68" i="51"/>
  <c r="AE68" i="51" s="1"/>
  <c r="AQ68" i="51" s="1"/>
  <c r="R68" i="51"/>
  <c r="AD68" i="51" s="1"/>
  <c r="AP68" i="51" s="1"/>
  <c r="BF67" i="51"/>
  <c r="BE67" i="51"/>
  <c r="BC67" i="51"/>
  <c r="AW67" i="51"/>
  <c r="AI67" i="51"/>
  <c r="AH67" i="51"/>
  <c r="AG67" i="51"/>
  <c r="AF67" i="51"/>
  <c r="W67" i="51"/>
  <c r="V67" i="51"/>
  <c r="U67" i="51"/>
  <c r="T67" i="51"/>
  <c r="S67" i="51"/>
  <c r="AE67" i="51" s="1"/>
  <c r="AQ67" i="51" s="1"/>
  <c r="R67" i="51"/>
  <c r="AD67" i="51" s="1"/>
  <c r="AP67" i="51" s="1"/>
  <c r="Q67" i="51"/>
  <c r="AC67" i="51" s="1"/>
  <c r="AO67" i="51" s="1"/>
  <c r="BF66" i="51"/>
  <c r="BE66" i="51"/>
  <c r="AW66" i="51"/>
  <c r="AI66" i="51"/>
  <c r="AH66" i="51"/>
  <c r="AG66" i="51"/>
  <c r="AF66" i="51"/>
  <c r="K117" i="51" s="1"/>
  <c r="X117" i="51" s="1"/>
  <c r="W66" i="51"/>
  <c r="V66" i="51"/>
  <c r="U66" i="51"/>
  <c r="T66" i="51"/>
  <c r="S66" i="51"/>
  <c r="AE66" i="51" s="1"/>
  <c r="AQ66" i="51" s="1"/>
  <c r="R66" i="51"/>
  <c r="AD66" i="51" s="1"/>
  <c r="AP66" i="51" s="1"/>
  <c r="O66" i="51"/>
  <c r="BF65" i="51"/>
  <c r="BE65" i="51"/>
  <c r="BB65" i="51"/>
  <c r="AW65" i="51"/>
  <c r="AI65" i="51"/>
  <c r="AH65" i="51"/>
  <c r="AG65" i="51"/>
  <c r="AF65" i="51"/>
  <c r="W65" i="51"/>
  <c r="V65" i="51"/>
  <c r="U65" i="51"/>
  <c r="T65" i="51"/>
  <c r="S65" i="51"/>
  <c r="AE65" i="51" s="1"/>
  <c r="AQ65" i="51" s="1"/>
  <c r="R65" i="51"/>
  <c r="AD65" i="51" s="1"/>
  <c r="AP65" i="51" s="1"/>
  <c r="BF64" i="51"/>
  <c r="BE64" i="51"/>
  <c r="BC64" i="51"/>
  <c r="BB64" i="51"/>
  <c r="AW64" i="51"/>
  <c r="AI64" i="51"/>
  <c r="AH64" i="51"/>
  <c r="AG64" i="51"/>
  <c r="AF64" i="51"/>
  <c r="W64" i="51"/>
  <c r="V64" i="51"/>
  <c r="U64" i="51"/>
  <c r="T64" i="51"/>
  <c r="S64" i="51"/>
  <c r="AE64" i="51" s="1"/>
  <c r="AQ64" i="51" s="1"/>
  <c r="R64" i="51"/>
  <c r="AD64" i="51" s="1"/>
  <c r="AP64" i="51" s="1"/>
  <c r="Q64" i="51"/>
  <c r="AC64" i="51" s="1"/>
  <c r="AO64" i="51" s="1"/>
  <c r="P64" i="51"/>
  <c r="AB64" i="51" s="1"/>
  <c r="AN64" i="51" s="1"/>
  <c r="O64" i="51"/>
  <c r="AA64" i="51" s="1"/>
  <c r="AM64" i="51" s="1"/>
  <c r="BF63" i="51"/>
  <c r="BE63" i="51"/>
  <c r="BD63" i="51"/>
  <c r="BC63" i="51"/>
  <c r="AW63" i="51"/>
  <c r="AI63" i="51"/>
  <c r="AH63" i="51"/>
  <c r="AG63" i="51"/>
  <c r="AF63" i="51"/>
  <c r="W63" i="51"/>
  <c r="V63" i="51"/>
  <c r="U63" i="51"/>
  <c r="T63" i="51"/>
  <c r="S63" i="51"/>
  <c r="AE63" i="51" s="1"/>
  <c r="AQ63" i="51" s="1"/>
  <c r="R63" i="51"/>
  <c r="AD63" i="51" s="1"/>
  <c r="AP63" i="51" s="1"/>
  <c r="Q63" i="51"/>
  <c r="AC63" i="51" s="1"/>
  <c r="AO63" i="51" s="1"/>
  <c r="BF62" i="51"/>
  <c r="BE62" i="51"/>
  <c r="AW62" i="51"/>
  <c r="AI62" i="51"/>
  <c r="AH62" i="51"/>
  <c r="AG62" i="51"/>
  <c r="AF62" i="51"/>
  <c r="W62" i="51"/>
  <c r="V62" i="51"/>
  <c r="U62" i="51"/>
  <c r="T62" i="51"/>
  <c r="S62" i="51"/>
  <c r="AE62" i="51" s="1"/>
  <c r="AQ62" i="51" s="1"/>
  <c r="R62" i="51"/>
  <c r="AD62" i="51" s="1"/>
  <c r="AP62" i="51" s="1"/>
  <c r="BF61" i="51"/>
  <c r="BE61" i="51"/>
  <c r="BC61" i="51"/>
  <c r="AW61" i="51"/>
  <c r="AI61" i="51"/>
  <c r="AH61" i="51"/>
  <c r="AG61" i="51"/>
  <c r="AF61" i="51"/>
  <c r="W61" i="51"/>
  <c r="V61" i="51"/>
  <c r="U61" i="51"/>
  <c r="T61" i="51"/>
  <c r="S61" i="51"/>
  <c r="AE61" i="51" s="1"/>
  <c r="AQ61" i="51" s="1"/>
  <c r="R61" i="51"/>
  <c r="AD61" i="51" s="1"/>
  <c r="AP61" i="51" s="1"/>
  <c r="BF60" i="51"/>
  <c r="BE60" i="51"/>
  <c r="AW60" i="51"/>
  <c r="AI60" i="51"/>
  <c r="AH60" i="51"/>
  <c r="AG60" i="51"/>
  <c r="AF60" i="51"/>
  <c r="K111" i="51" s="1"/>
  <c r="W60" i="51"/>
  <c r="V60" i="51"/>
  <c r="U60" i="51"/>
  <c r="T60" i="51"/>
  <c r="S60" i="51"/>
  <c r="AE60" i="51" s="1"/>
  <c r="AQ60" i="51" s="1"/>
  <c r="R60" i="51"/>
  <c r="AD60" i="51" s="1"/>
  <c r="AP60" i="51" s="1"/>
  <c r="BF59" i="51"/>
  <c r="BE59" i="51"/>
  <c r="AW59" i="51"/>
  <c r="AI59" i="51"/>
  <c r="AH59" i="51"/>
  <c r="AG59" i="51"/>
  <c r="AF59" i="51"/>
  <c r="W59" i="51"/>
  <c r="V59" i="51"/>
  <c r="U59" i="51"/>
  <c r="T59" i="51"/>
  <c r="S59" i="51"/>
  <c r="AE59" i="51" s="1"/>
  <c r="AQ59" i="51" s="1"/>
  <c r="R59" i="51"/>
  <c r="AD59" i="51" s="1"/>
  <c r="AP59" i="51" s="1"/>
  <c r="BF58" i="51"/>
  <c r="BE58" i="51"/>
  <c r="AW58" i="51"/>
  <c r="AI58" i="51"/>
  <c r="AH58" i="51"/>
  <c r="AG58" i="51"/>
  <c r="AF58" i="51"/>
  <c r="W58" i="51"/>
  <c r="V58" i="51"/>
  <c r="U58" i="51"/>
  <c r="T58" i="51"/>
  <c r="S58" i="51"/>
  <c r="AE58" i="51" s="1"/>
  <c r="AQ58" i="51" s="1"/>
  <c r="R58" i="51"/>
  <c r="AD58" i="51" s="1"/>
  <c r="AP58" i="51" s="1"/>
  <c r="O58" i="51"/>
  <c r="BF57" i="51"/>
  <c r="BE57" i="51"/>
  <c r="AW57" i="51"/>
  <c r="AI57" i="51"/>
  <c r="AH57" i="51"/>
  <c r="AG57" i="51"/>
  <c r="AF57" i="51"/>
  <c r="W57" i="51"/>
  <c r="V57" i="51"/>
  <c r="U57" i="51"/>
  <c r="T57" i="51"/>
  <c r="S57" i="51"/>
  <c r="AE57" i="51" s="1"/>
  <c r="AQ57" i="51" s="1"/>
  <c r="R57" i="51"/>
  <c r="AD57" i="51" s="1"/>
  <c r="AP57" i="51" s="1"/>
  <c r="O57" i="51"/>
  <c r="AA57" i="51" s="1"/>
  <c r="AM57" i="51" s="1"/>
  <c r="BF56" i="51"/>
  <c r="BE56" i="51"/>
  <c r="BD56" i="51"/>
  <c r="BC56" i="51"/>
  <c r="BB56" i="51"/>
  <c r="AW56" i="51"/>
  <c r="AI56" i="51"/>
  <c r="AH56" i="51"/>
  <c r="AG56" i="51"/>
  <c r="AF56" i="51"/>
  <c r="W56" i="51"/>
  <c r="V56" i="51"/>
  <c r="U56" i="51"/>
  <c r="T56" i="51"/>
  <c r="S56" i="51"/>
  <c r="AE56" i="51" s="1"/>
  <c r="AQ56" i="51" s="1"/>
  <c r="R56" i="51"/>
  <c r="AD56" i="51" s="1"/>
  <c r="AP56" i="51" s="1"/>
  <c r="Q56" i="51"/>
  <c r="AC56" i="51" s="1"/>
  <c r="AO56" i="51" s="1"/>
  <c r="P56" i="51"/>
  <c r="AB56" i="51" s="1"/>
  <c r="AN56" i="51" s="1"/>
  <c r="O56" i="51"/>
  <c r="AA56" i="51" s="1"/>
  <c r="AM56" i="51" s="1"/>
  <c r="BF55" i="51"/>
  <c r="BE55" i="51"/>
  <c r="BD55" i="51"/>
  <c r="AW55" i="51"/>
  <c r="AI55" i="51"/>
  <c r="AH55" i="51"/>
  <c r="AG55" i="51"/>
  <c r="AF55" i="51"/>
  <c r="W55" i="51"/>
  <c r="V55" i="51"/>
  <c r="U55" i="51"/>
  <c r="T55" i="51"/>
  <c r="S55" i="51"/>
  <c r="AE55" i="51" s="1"/>
  <c r="AQ55" i="51" s="1"/>
  <c r="R55" i="51"/>
  <c r="AD55" i="51" s="1"/>
  <c r="AP55" i="51" s="1"/>
  <c r="Q55" i="51"/>
  <c r="AC55" i="51" s="1"/>
  <c r="AO55" i="51" s="1"/>
  <c r="BF54" i="51"/>
  <c r="BE54" i="51"/>
  <c r="AW54" i="51"/>
  <c r="AI54" i="51"/>
  <c r="AH54" i="51"/>
  <c r="AG54" i="51"/>
  <c r="AF54" i="51"/>
  <c r="W54" i="51"/>
  <c r="V54" i="51"/>
  <c r="U54" i="51"/>
  <c r="T54" i="51"/>
  <c r="S54" i="51"/>
  <c r="AE54" i="51" s="1"/>
  <c r="AQ54" i="51" s="1"/>
  <c r="R54" i="51"/>
  <c r="AD54" i="51" s="1"/>
  <c r="AP54" i="51" s="1"/>
  <c r="O54" i="51"/>
  <c r="AA54" i="51" s="1"/>
  <c r="AM54" i="51" s="1"/>
  <c r="BF53" i="51"/>
  <c r="BE53" i="51"/>
  <c r="AW53" i="51"/>
  <c r="AI53" i="51"/>
  <c r="AH53" i="51"/>
  <c r="AG53" i="51"/>
  <c r="AF53" i="51"/>
  <c r="W53" i="51"/>
  <c r="V53" i="51"/>
  <c r="U53" i="51"/>
  <c r="T53" i="51"/>
  <c r="S53" i="51"/>
  <c r="AE53" i="51" s="1"/>
  <c r="AQ53" i="51" s="1"/>
  <c r="R53" i="51"/>
  <c r="AD53" i="51" s="1"/>
  <c r="AP53" i="51" s="1"/>
  <c r="P53" i="51"/>
  <c r="AB53" i="51" s="1"/>
  <c r="AN53" i="51" s="1"/>
  <c r="BF52" i="51"/>
  <c r="BE52" i="51"/>
  <c r="BD52" i="51"/>
  <c r="AW52" i="51"/>
  <c r="AI52" i="51"/>
  <c r="AH52" i="51"/>
  <c r="AG52" i="51"/>
  <c r="AF52" i="51"/>
  <c r="K103" i="51" s="1"/>
  <c r="W52" i="51"/>
  <c r="V52" i="51"/>
  <c r="U52" i="51"/>
  <c r="T52" i="51"/>
  <c r="S52" i="51"/>
  <c r="AE52" i="51" s="1"/>
  <c r="AQ52" i="51" s="1"/>
  <c r="R52" i="51"/>
  <c r="AD52" i="51" s="1"/>
  <c r="AP52" i="51" s="1"/>
  <c r="Q52" i="51"/>
  <c r="AC52" i="51" s="1"/>
  <c r="AO52" i="51" s="1"/>
  <c r="BF51" i="51"/>
  <c r="BE51" i="51"/>
  <c r="BD51" i="51"/>
  <c r="BB51" i="51"/>
  <c r="AW51" i="51"/>
  <c r="AI51" i="51"/>
  <c r="AH51" i="51"/>
  <c r="AG51" i="51"/>
  <c r="AF51" i="51"/>
  <c r="K102" i="51" s="1"/>
  <c r="W51" i="51"/>
  <c r="V51" i="51"/>
  <c r="U51" i="51"/>
  <c r="T51" i="51"/>
  <c r="S51" i="51"/>
  <c r="AE51" i="51" s="1"/>
  <c r="AQ51" i="51" s="1"/>
  <c r="R51" i="51"/>
  <c r="AD51" i="51" s="1"/>
  <c r="AP51" i="51" s="1"/>
  <c r="Q51" i="51"/>
  <c r="AC51" i="51" s="1"/>
  <c r="AO51" i="51" s="1"/>
  <c r="BF50" i="51"/>
  <c r="BE50" i="51"/>
  <c r="BB50" i="51"/>
  <c r="AW50" i="51"/>
  <c r="AI50" i="51"/>
  <c r="AH50" i="51"/>
  <c r="AG50" i="51"/>
  <c r="AF50" i="51"/>
  <c r="W50" i="51"/>
  <c r="V50" i="51"/>
  <c r="U50" i="51"/>
  <c r="T50" i="51"/>
  <c r="S50" i="51"/>
  <c r="AE50" i="51" s="1"/>
  <c r="AQ50" i="51" s="1"/>
  <c r="R50" i="51"/>
  <c r="AD50" i="51" s="1"/>
  <c r="AP50" i="51" s="1"/>
  <c r="O50" i="51"/>
  <c r="AA50" i="51" s="1"/>
  <c r="AM50" i="51" s="1"/>
  <c r="BF49" i="51"/>
  <c r="BE49" i="51"/>
  <c r="BB49" i="51"/>
  <c r="AW49" i="51"/>
  <c r="AI49" i="51"/>
  <c r="AH49" i="51"/>
  <c r="AG49" i="51"/>
  <c r="AF49" i="51"/>
  <c r="W49" i="51"/>
  <c r="V49" i="51"/>
  <c r="U49" i="51"/>
  <c r="T49" i="51"/>
  <c r="S49" i="51"/>
  <c r="AE49" i="51" s="1"/>
  <c r="AQ49" i="51" s="1"/>
  <c r="R49" i="51"/>
  <c r="AD49" i="51" s="1"/>
  <c r="AP49" i="51" s="1"/>
  <c r="O49" i="51"/>
  <c r="AA49" i="51" s="1"/>
  <c r="AM49" i="51" s="1"/>
  <c r="BF48" i="51"/>
  <c r="BE48" i="51"/>
  <c r="BD48" i="51"/>
  <c r="BC48" i="51"/>
  <c r="BB48" i="51"/>
  <c r="AW48" i="51"/>
  <c r="AI48" i="51"/>
  <c r="AH48" i="51"/>
  <c r="AG48" i="51"/>
  <c r="AF48" i="51"/>
  <c r="W48" i="51"/>
  <c r="V48" i="51"/>
  <c r="U48" i="51"/>
  <c r="T48" i="51"/>
  <c r="S48" i="51"/>
  <c r="AE48" i="51" s="1"/>
  <c r="AQ48" i="51" s="1"/>
  <c r="R48" i="51"/>
  <c r="AD48" i="51" s="1"/>
  <c r="AP48" i="51" s="1"/>
  <c r="Q48" i="51"/>
  <c r="P48" i="51"/>
  <c r="AB48" i="51" s="1"/>
  <c r="AN48" i="51" s="1"/>
  <c r="O48" i="51"/>
  <c r="AA48" i="51" s="1"/>
  <c r="AM48" i="51" s="1"/>
  <c r="BF47" i="51"/>
  <c r="BE47" i="51"/>
  <c r="BD47" i="51"/>
  <c r="BC47" i="51"/>
  <c r="AW47" i="51"/>
  <c r="AI47" i="51"/>
  <c r="AH47" i="51"/>
  <c r="AG47" i="51"/>
  <c r="AF47" i="51"/>
  <c r="W47" i="51"/>
  <c r="V47" i="51"/>
  <c r="U47" i="51"/>
  <c r="T47" i="51"/>
  <c r="S47" i="51"/>
  <c r="AE47" i="51" s="1"/>
  <c r="AQ47" i="51" s="1"/>
  <c r="R47" i="51"/>
  <c r="AD47" i="51" s="1"/>
  <c r="AP47" i="51" s="1"/>
  <c r="Q47" i="51"/>
  <c r="AC47" i="51" s="1"/>
  <c r="AO47" i="51" s="1"/>
  <c r="P47" i="51"/>
  <c r="AB47" i="51" s="1"/>
  <c r="AN47" i="51" s="1"/>
  <c r="BF46" i="51"/>
  <c r="BE46" i="51"/>
  <c r="BB46" i="51"/>
  <c r="AW46" i="51"/>
  <c r="AI46" i="51"/>
  <c r="AH46" i="51"/>
  <c r="AG46" i="51"/>
  <c r="AF46" i="51"/>
  <c r="W46" i="51"/>
  <c r="V46" i="51"/>
  <c r="U46" i="51"/>
  <c r="T46" i="51"/>
  <c r="S46" i="51"/>
  <c r="AE46" i="51" s="1"/>
  <c r="AQ46" i="51" s="1"/>
  <c r="R46" i="51"/>
  <c r="AD46" i="51" s="1"/>
  <c r="AP46" i="51" s="1"/>
  <c r="O46" i="51"/>
  <c r="BF45" i="51"/>
  <c r="BE45" i="51"/>
  <c r="BC45" i="51"/>
  <c r="AW45" i="51"/>
  <c r="AI45" i="51"/>
  <c r="AH45" i="51"/>
  <c r="AG45" i="51"/>
  <c r="AF45" i="51"/>
  <c r="W45" i="51"/>
  <c r="V45" i="51"/>
  <c r="U45" i="51"/>
  <c r="T45" i="51"/>
  <c r="S45" i="51"/>
  <c r="AE45" i="51" s="1"/>
  <c r="AQ45" i="51" s="1"/>
  <c r="R45" i="51"/>
  <c r="AD45" i="51" s="1"/>
  <c r="AP45" i="51" s="1"/>
  <c r="Q45" i="51"/>
  <c r="AC45" i="51" s="1"/>
  <c r="AO45" i="51" s="1"/>
  <c r="P45" i="51"/>
  <c r="AB45" i="51" s="1"/>
  <c r="AN45" i="51" s="1"/>
  <c r="BF44" i="51"/>
  <c r="BE44" i="51"/>
  <c r="BD44" i="51"/>
  <c r="AW44" i="51"/>
  <c r="AI44" i="51"/>
  <c r="AH44" i="51"/>
  <c r="AG44" i="51"/>
  <c r="AF44" i="51"/>
  <c r="W44" i="51"/>
  <c r="V44" i="51"/>
  <c r="U44" i="51"/>
  <c r="T44" i="51"/>
  <c r="S44" i="51"/>
  <c r="AE44" i="51" s="1"/>
  <c r="AQ44" i="51" s="1"/>
  <c r="R44" i="51"/>
  <c r="AD44" i="51" s="1"/>
  <c r="AP44" i="51" s="1"/>
  <c r="Q44" i="51"/>
  <c r="AC44" i="51" s="1"/>
  <c r="AO44" i="51" s="1"/>
  <c r="BF43" i="51"/>
  <c r="BE43" i="51"/>
  <c r="BB43" i="51"/>
  <c r="AW43" i="51"/>
  <c r="AI43" i="51"/>
  <c r="AH43" i="51"/>
  <c r="AG43" i="51"/>
  <c r="AF43" i="51"/>
  <c r="W43" i="51"/>
  <c r="V43" i="51"/>
  <c r="U43" i="51"/>
  <c r="T43" i="51"/>
  <c r="S43" i="51"/>
  <c r="AE43" i="51" s="1"/>
  <c r="AQ43" i="51" s="1"/>
  <c r="R43" i="51"/>
  <c r="AD43" i="51" s="1"/>
  <c r="AP43" i="51" s="1"/>
  <c r="BF42" i="51"/>
  <c r="BE42" i="51"/>
  <c r="BC42" i="51"/>
  <c r="BB42" i="51"/>
  <c r="AW42" i="51"/>
  <c r="AI42" i="51"/>
  <c r="AH42" i="51"/>
  <c r="AG42" i="51"/>
  <c r="AF42" i="51"/>
  <c r="W42" i="51"/>
  <c r="V42" i="51"/>
  <c r="U42" i="51"/>
  <c r="T42" i="51"/>
  <c r="S42" i="51"/>
  <c r="AE42" i="51" s="1"/>
  <c r="AQ42" i="51" s="1"/>
  <c r="R42" i="51"/>
  <c r="AD42" i="51" s="1"/>
  <c r="AP42" i="51" s="1"/>
  <c r="P42" i="51"/>
  <c r="AB42" i="51" s="1"/>
  <c r="AN42" i="51" s="1"/>
  <c r="O42" i="51"/>
  <c r="AA42" i="51" s="1"/>
  <c r="AM42" i="51" s="1"/>
  <c r="BF41" i="51"/>
  <c r="BE41" i="51"/>
  <c r="BB41" i="51"/>
  <c r="AW41" i="51"/>
  <c r="AI41" i="51"/>
  <c r="AH41" i="51"/>
  <c r="AG41" i="51"/>
  <c r="AF41" i="51"/>
  <c r="W41" i="51"/>
  <c r="V41" i="51"/>
  <c r="U41" i="51"/>
  <c r="T41" i="51"/>
  <c r="S41" i="51"/>
  <c r="AE41" i="51" s="1"/>
  <c r="AQ41" i="51" s="1"/>
  <c r="R41" i="51"/>
  <c r="AD41" i="51" s="1"/>
  <c r="AP41" i="51" s="1"/>
  <c r="O41" i="51"/>
  <c r="AA41" i="51" s="1"/>
  <c r="AM41" i="51" s="1"/>
  <c r="BF40" i="51"/>
  <c r="BE40" i="51"/>
  <c r="BD40" i="51"/>
  <c r="BC40" i="51"/>
  <c r="BB40" i="51"/>
  <c r="AW40" i="51"/>
  <c r="AI40" i="51"/>
  <c r="AH40" i="51"/>
  <c r="AG40" i="51"/>
  <c r="AF40" i="51"/>
  <c r="W40" i="51"/>
  <c r="V40" i="51"/>
  <c r="U40" i="51"/>
  <c r="T40" i="51"/>
  <c r="S40" i="51"/>
  <c r="AE40" i="51" s="1"/>
  <c r="AQ40" i="51" s="1"/>
  <c r="R40" i="51"/>
  <c r="AD40" i="51" s="1"/>
  <c r="AP40" i="51" s="1"/>
  <c r="Q40" i="51"/>
  <c r="P40" i="51"/>
  <c r="AB40" i="51" s="1"/>
  <c r="AN40" i="51" s="1"/>
  <c r="O40" i="51"/>
  <c r="AA40" i="51" s="1"/>
  <c r="AM40" i="51" s="1"/>
  <c r="BF39" i="51"/>
  <c r="BE39" i="51"/>
  <c r="BD39" i="51"/>
  <c r="AW39" i="51"/>
  <c r="AI39" i="51"/>
  <c r="AH39" i="51"/>
  <c r="AG39" i="51"/>
  <c r="AF39" i="51"/>
  <c r="W39" i="51"/>
  <c r="V39" i="51"/>
  <c r="U39" i="51"/>
  <c r="T39" i="51"/>
  <c r="S39" i="51"/>
  <c r="AE39" i="51" s="1"/>
  <c r="AQ39" i="51" s="1"/>
  <c r="R39" i="51"/>
  <c r="AD39" i="51" s="1"/>
  <c r="AP39" i="51" s="1"/>
  <c r="BF38" i="51"/>
  <c r="BE38" i="51"/>
  <c r="BB38" i="51"/>
  <c r="AW38" i="51"/>
  <c r="AI38" i="51"/>
  <c r="AH38" i="51"/>
  <c r="AG38" i="51"/>
  <c r="AF38" i="51"/>
  <c r="W38" i="51"/>
  <c r="V38" i="51"/>
  <c r="U38" i="51"/>
  <c r="T38" i="51"/>
  <c r="S38" i="51"/>
  <c r="AE38" i="51" s="1"/>
  <c r="AQ38" i="51" s="1"/>
  <c r="R38" i="51"/>
  <c r="AD38" i="51" s="1"/>
  <c r="AP38" i="51" s="1"/>
  <c r="O38" i="51"/>
  <c r="BF37" i="51"/>
  <c r="BE37" i="51"/>
  <c r="BC37" i="51"/>
  <c r="AW37" i="51"/>
  <c r="AI37" i="51"/>
  <c r="AH37" i="51"/>
  <c r="AG37" i="51"/>
  <c r="AF37" i="51"/>
  <c r="W37" i="51"/>
  <c r="V37" i="51"/>
  <c r="U37" i="51"/>
  <c r="T37" i="51"/>
  <c r="S37" i="51"/>
  <c r="AE37" i="51" s="1"/>
  <c r="AQ37" i="51" s="1"/>
  <c r="R37" i="51"/>
  <c r="AD37" i="51" s="1"/>
  <c r="AP37" i="51" s="1"/>
  <c r="P37" i="51"/>
  <c r="AB37" i="51" s="1"/>
  <c r="AN37" i="51" s="1"/>
  <c r="BF36" i="51"/>
  <c r="BE36" i="51"/>
  <c r="BD36" i="51"/>
  <c r="AW36" i="51"/>
  <c r="AI36" i="51"/>
  <c r="AH36" i="51"/>
  <c r="AG36" i="51"/>
  <c r="AF36" i="51"/>
  <c r="W36" i="51"/>
  <c r="V36" i="51"/>
  <c r="U36" i="51"/>
  <c r="T36" i="51"/>
  <c r="S36" i="51"/>
  <c r="AE36" i="51" s="1"/>
  <c r="AQ36" i="51" s="1"/>
  <c r="R36" i="51"/>
  <c r="AD36" i="51" s="1"/>
  <c r="AP36" i="51" s="1"/>
  <c r="Q36" i="51"/>
  <c r="AC36" i="51" s="1"/>
  <c r="AO36" i="51" s="1"/>
  <c r="BF35" i="51"/>
  <c r="BE35" i="51"/>
  <c r="BB35" i="51"/>
  <c r="AW35" i="51"/>
  <c r="AI35" i="51"/>
  <c r="AH35" i="51"/>
  <c r="AG35" i="51"/>
  <c r="AF35" i="51"/>
  <c r="W35" i="51"/>
  <c r="V35" i="51"/>
  <c r="U35" i="51"/>
  <c r="T35" i="51"/>
  <c r="S35" i="51"/>
  <c r="AE35" i="51" s="1"/>
  <c r="AQ35" i="51" s="1"/>
  <c r="R35" i="51"/>
  <c r="AD35" i="51" s="1"/>
  <c r="AP35" i="51" s="1"/>
  <c r="O35" i="51"/>
  <c r="AA35" i="51" s="1"/>
  <c r="AM35" i="51" s="1"/>
  <c r="BF34" i="51"/>
  <c r="BE34" i="51"/>
  <c r="BD34" i="51"/>
  <c r="BC34" i="51"/>
  <c r="BB34" i="51"/>
  <c r="AW34" i="51"/>
  <c r="AI34" i="51"/>
  <c r="AH34" i="51"/>
  <c r="AG34" i="51"/>
  <c r="AF34" i="51"/>
  <c r="W34" i="51"/>
  <c r="V34" i="51"/>
  <c r="U34" i="51"/>
  <c r="T34" i="51"/>
  <c r="S34" i="51"/>
  <c r="AE34" i="51" s="1"/>
  <c r="AQ34" i="51" s="1"/>
  <c r="R34" i="51"/>
  <c r="AD34" i="51" s="1"/>
  <c r="AP34" i="51" s="1"/>
  <c r="P34" i="51"/>
  <c r="AB34" i="51" s="1"/>
  <c r="AN34" i="51" s="1"/>
  <c r="O34" i="51"/>
  <c r="AA34" i="51" s="1"/>
  <c r="AM34" i="51" s="1"/>
  <c r="BF33" i="51"/>
  <c r="BE33" i="51"/>
  <c r="BB33" i="51"/>
  <c r="AW33" i="51"/>
  <c r="AI33" i="51"/>
  <c r="AH33" i="51"/>
  <c r="AG33" i="51"/>
  <c r="AF33" i="51"/>
  <c r="K84" i="51" s="1"/>
  <c r="X84" i="51" s="1"/>
  <c r="W33" i="51"/>
  <c r="V33" i="51"/>
  <c r="U33" i="51"/>
  <c r="T33" i="51"/>
  <c r="S33" i="51"/>
  <c r="AE33" i="51" s="1"/>
  <c r="AQ33" i="51" s="1"/>
  <c r="R33" i="51"/>
  <c r="AD33" i="51" s="1"/>
  <c r="AP33" i="51" s="1"/>
  <c r="O33" i="51"/>
  <c r="AA33" i="51" s="1"/>
  <c r="AM33" i="51" s="1"/>
  <c r="BF32" i="51"/>
  <c r="BE32" i="51"/>
  <c r="BD32" i="51"/>
  <c r="BB32" i="51"/>
  <c r="AW32" i="51"/>
  <c r="AI32" i="51"/>
  <c r="AH32" i="51"/>
  <c r="AG32" i="51"/>
  <c r="AF32" i="51"/>
  <c r="W32" i="51"/>
  <c r="V32" i="51"/>
  <c r="U32" i="51"/>
  <c r="T32" i="51"/>
  <c r="S32" i="51"/>
  <c r="AE32" i="51" s="1"/>
  <c r="AQ32" i="51" s="1"/>
  <c r="R32" i="51"/>
  <c r="AD32" i="51" s="1"/>
  <c r="AP32" i="51" s="1"/>
  <c r="Q32" i="51"/>
  <c r="AC32" i="51" s="1"/>
  <c r="AO32" i="51" s="1"/>
  <c r="P32" i="51"/>
  <c r="AB32" i="51" s="1"/>
  <c r="AN32" i="51" s="1"/>
  <c r="O32" i="51"/>
  <c r="AA32" i="51" s="1"/>
  <c r="AM32" i="51" s="1"/>
  <c r="BF31" i="51"/>
  <c r="BE31" i="51"/>
  <c r="BC31" i="51"/>
  <c r="AW31" i="51"/>
  <c r="AI31" i="51"/>
  <c r="AH31" i="51"/>
  <c r="AG31" i="51"/>
  <c r="AF31" i="51"/>
  <c r="K82" i="51" s="1"/>
  <c r="W31" i="51"/>
  <c r="V31" i="51"/>
  <c r="U31" i="51"/>
  <c r="T31" i="51"/>
  <c r="S31" i="51"/>
  <c r="AE31" i="51" s="1"/>
  <c r="AQ31" i="51" s="1"/>
  <c r="R31" i="51"/>
  <c r="AD31" i="51" s="1"/>
  <c r="AP31" i="51" s="1"/>
  <c r="P31" i="51"/>
  <c r="AB31" i="51" s="1"/>
  <c r="AN31" i="51" s="1"/>
  <c r="BF30" i="51"/>
  <c r="BE30" i="51"/>
  <c r="BB30" i="51"/>
  <c r="AW30" i="51"/>
  <c r="AI30" i="51"/>
  <c r="AH30" i="51"/>
  <c r="AG30" i="51"/>
  <c r="AF30" i="51"/>
  <c r="W30" i="51"/>
  <c r="V30" i="51"/>
  <c r="U30" i="51"/>
  <c r="T30" i="51"/>
  <c r="S30" i="51"/>
  <c r="AE30" i="51" s="1"/>
  <c r="AQ30" i="51" s="1"/>
  <c r="R30" i="51"/>
  <c r="AD30" i="51" s="1"/>
  <c r="AP30" i="51" s="1"/>
  <c r="P30" i="51"/>
  <c r="AB30" i="51" s="1"/>
  <c r="AN30" i="51" s="1"/>
  <c r="O30" i="51"/>
  <c r="BF29" i="51"/>
  <c r="BE29" i="51"/>
  <c r="BD29" i="51"/>
  <c r="BC29" i="51"/>
  <c r="AW29" i="51"/>
  <c r="AI29" i="51"/>
  <c r="AH29" i="51"/>
  <c r="AG29" i="51"/>
  <c r="AF29" i="51"/>
  <c r="W29" i="51"/>
  <c r="V29" i="51"/>
  <c r="U29" i="51"/>
  <c r="T29" i="51"/>
  <c r="S29" i="51"/>
  <c r="AE29" i="51" s="1"/>
  <c r="AQ29" i="51" s="1"/>
  <c r="R29" i="51"/>
  <c r="AD29" i="51" s="1"/>
  <c r="AP29" i="51" s="1"/>
  <c r="Q29" i="51"/>
  <c r="AC29" i="51" s="1"/>
  <c r="AO29" i="51" s="1"/>
  <c r="P29" i="51"/>
  <c r="AB29" i="51" s="1"/>
  <c r="AN29" i="51" s="1"/>
  <c r="S27" i="51"/>
  <c r="AE27" i="51" s="1"/>
  <c r="R27" i="51"/>
  <c r="AD27" i="51" s="1"/>
  <c r="Q27" i="51"/>
  <c r="AC27" i="51" s="1"/>
  <c r="P27" i="51"/>
  <c r="AB27" i="51" s="1"/>
  <c r="O27" i="51"/>
  <c r="AA27" i="51" s="1"/>
  <c r="AK25" i="51"/>
  <c r="Y25" i="51"/>
  <c r="M25" i="51"/>
  <c r="A25" i="51"/>
  <c r="A1" i="51"/>
  <c r="A26" i="51" s="1"/>
  <c r="V240" i="50"/>
  <c r="AA240" i="50" s="1"/>
  <c r="AG240" i="50" s="1"/>
  <c r="AK240" i="50" s="1"/>
  <c r="Q240" i="50"/>
  <c r="V239" i="50"/>
  <c r="AA239" i="50" s="1"/>
  <c r="AG239" i="50" s="1"/>
  <c r="AK239" i="50" s="1"/>
  <c r="Q239" i="50"/>
  <c r="V238" i="50"/>
  <c r="AA238" i="50" s="1"/>
  <c r="AG238" i="50" s="1"/>
  <c r="AK238" i="50" s="1"/>
  <c r="Q238" i="50"/>
  <c r="V237" i="50"/>
  <c r="AA237" i="50" s="1"/>
  <c r="AG237" i="50" s="1"/>
  <c r="AK237" i="50" s="1"/>
  <c r="Q237" i="50"/>
  <c r="V236" i="50"/>
  <c r="AA236" i="50" s="1"/>
  <c r="AG236" i="50" s="1"/>
  <c r="AK236" i="50" s="1"/>
  <c r="Q236" i="50"/>
  <c r="V235" i="50"/>
  <c r="AA235" i="50" s="1"/>
  <c r="AG235" i="50" s="1"/>
  <c r="AK235" i="50" s="1"/>
  <c r="Q235" i="50"/>
  <c r="V234" i="50"/>
  <c r="AA234" i="50" s="1"/>
  <c r="AG234" i="50" s="1"/>
  <c r="AK234" i="50" s="1"/>
  <c r="Q234" i="50"/>
  <c r="V233" i="50"/>
  <c r="AA233" i="50" s="1"/>
  <c r="AG233" i="50" s="1"/>
  <c r="AK233" i="50" s="1"/>
  <c r="Q233" i="50"/>
  <c r="AK232" i="50"/>
  <c r="V232" i="50"/>
  <c r="AA232" i="50" s="1"/>
  <c r="AG232" i="50" s="1"/>
  <c r="Q232" i="50"/>
  <c r="V231" i="50"/>
  <c r="AA231" i="50" s="1"/>
  <c r="AG231" i="50" s="1"/>
  <c r="AK231" i="50" s="1"/>
  <c r="Q231" i="50"/>
  <c r="V230" i="50"/>
  <c r="AA230" i="50" s="1"/>
  <c r="AG230" i="50" s="1"/>
  <c r="AK230" i="50" s="1"/>
  <c r="Q230" i="50"/>
  <c r="V229" i="50"/>
  <c r="AA229" i="50" s="1"/>
  <c r="AG229" i="50" s="1"/>
  <c r="AK229" i="50" s="1"/>
  <c r="Q229" i="50"/>
  <c r="V228" i="50"/>
  <c r="AA228" i="50" s="1"/>
  <c r="AG228" i="50" s="1"/>
  <c r="AK228" i="50" s="1"/>
  <c r="Q228" i="50"/>
  <c r="V227" i="50"/>
  <c r="AA227" i="50" s="1"/>
  <c r="AG227" i="50" s="1"/>
  <c r="AK227" i="50" s="1"/>
  <c r="Q227" i="50"/>
  <c r="V226" i="50"/>
  <c r="AA226" i="50" s="1"/>
  <c r="AG226" i="50" s="1"/>
  <c r="AK226" i="50" s="1"/>
  <c r="Q226" i="50"/>
  <c r="V225" i="50"/>
  <c r="AA225" i="50" s="1"/>
  <c r="AG225" i="50" s="1"/>
  <c r="AK225" i="50" s="1"/>
  <c r="Q225" i="50"/>
  <c r="V224" i="50"/>
  <c r="AA224" i="50" s="1"/>
  <c r="AG224" i="50" s="1"/>
  <c r="AK224" i="50" s="1"/>
  <c r="Q224" i="50"/>
  <c r="V223" i="50"/>
  <c r="AA223" i="50" s="1"/>
  <c r="AG223" i="50" s="1"/>
  <c r="AK223" i="50" s="1"/>
  <c r="Q223" i="50"/>
  <c r="V222" i="50"/>
  <c r="AA222" i="50" s="1"/>
  <c r="AG222" i="50" s="1"/>
  <c r="AK222" i="50" s="1"/>
  <c r="Q222" i="50"/>
  <c r="V221" i="50"/>
  <c r="AA221" i="50" s="1"/>
  <c r="AG221" i="50" s="1"/>
  <c r="AK221" i="50" s="1"/>
  <c r="Q221" i="50"/>
  <c r="V220" i="50"/>
  <c r="AA220" i="50" s="1"/>
  <c r="AG220" i="50" s="1"/>
  <c r="AK220" i="50" s="1"/>
  <c r="Q220" i="50"/>
  <c r="V219" i="50"/>
  <c r="AA219" i="50" s="1"/>
  <c r="AG219" i="50" s="1"/>
  <c r="AK219" i="50" s="1"/>
  <c r="Q219" i="50"/>
  <c r="V218" i="50"/>
  <c r="AA218" i="50" s="1"/>
  <c r="AG218" i="50" s="1"/>
  <c r="AK218" i="50" s="1"/>
  <c r="Q218" i="50"/>
  <c r="V217" i="50"/>
  <c r="AA217" i="50" s="1"/>
  <c r="AG217" i="50" s="1"/>
  <c r="AK217" i="50" s="1"/>
  <c r="Q217" i="50"/>
  <c r="V216" i="50"/>
  <c r="AA216" i="50" s="1"/>
  <c r="AG216" i="50" s="1"/>
  <c r="AK216" i="50" s="1"/>
  <c r="Q216" i="50"/>
  <c r="V215" i="50"/>
  <c r="AA215" i="50" s="1"/>
  <c r="AG215" i="50" s="1"/>
  <c r="AK215" i="50" s="1"/>
  <c r="Q215" i="50"/>
  <c r="V214" i="50"/>
  <c r="AA214" i="50" s="1"/>
  <c r="AG214" i="50" s="1"/>
  <c r="AK214" i="50" s="1"/>
  <c r="Q214" i="50"/>
  <c r="V213" i="50"/>
  <c r="AA213" i="50" s="1"/>
  <c r="AG213" i="50" s="1"/>
  <c r="AK213" i="50" s="1"/>
  <c r="Q213" i="50"/>
  <c r="V212" i="50"/>
  <c r="AA212" i="50" s="1"/>
  <c r="AG212" i="50" s="1"/>
  <c r="AK212" i="50" s="1"/>
  <c r="Q212" i="50"/>
  <c r="V211" i="50"/>
  <c r="AA211" i="50" s="1"/>
  <c r="AG211" i="50" s="1"/>
  <c r="AK211" i="50" s="1"/>
  <c r="Q211" i="50"/>
  <c r="V210" i="50"/>
  <c r="AA210" i="50" s="1"/>
  <c r="AG210" i="50" s="1"/>
  <c r="AK210" i="50" s="1"/>
  <c r="Q210" i="50"/>
  <c r="V209" i="50"/>
  <c r="AA209" i="50" s="1"/>
  <c r="AG209" i="50" s="1"/>
  <c r="AK209" i="50" s="1"/>
  <c r="Q209" i="50"/>
  <c r="V208" i="50"/>
  <c r="AA208" i="50" s="1"/>
  <c r="AG208" i="50" s="1"/>
  <c r="AK208" i="50" s="1"/>
  <c r="Q208" i="50"/>
  <c r="V207" i="50"/>
  <c r="AA207" i="50" s="1"/>
  <c r="AG207" i="50" s="1"/>
  <c r="AK207" i="50" s="1"/>
  <c r="Q207" i="50"/>
  <c r="V206" i="50"/>
  <c r="AA206" i="50" s="1"/>
  <c r="AG206" i="50" s="1"/>
  <c r="AK206" i="50" s="1"/>
  <c r="Q206" i="50"/>
  <c r="V205" i="50"/>
  <c r="AA205" i="50" s="1"/>
  <c r="AG205" i="50" s="1"/>
  <c r="AK205" i="50" s="1"/>
  <c r="Q205" i="50"/>
  <c r="V204" i="50"/>
  <c r="AA204" i="50" s="1"/>
  <c r="AG204" i="50" s="1"/>
  <c r="AK204" i="50" s="1"/>
  <c r="Q204" i="50"/>
  <c r="V203" i="50"/>
  <c r="AA203" i="50" s="1"/>
  <c r="AG203" i="50" s="1"/>
  <c r="AK203" i="50" s="1"/>
  <c r="Q203" i="50"/>
  <c r="V202" i="50"/>
  <c r="AA202" i="50" s="1"/>
  <c r="AG202" i="50" s="1"/>
  <c r="AK202" i="50" s="1"/>
  <c r="Q202" i="50"/>
  <c r="V201" i="50"/>
  <c r="AA201" i="50" s="1"/>
  <c r="AG201" i="50" s="1"/>
  <c r="AK201" i="50" s="1"/>
  <c r="Q201" i="50"/>
  <c r="V200" i="50"/>
  <c r="AA200" i="50" s="1"/>
  <c r="Q200" i="50"/>
  <c r="V199" i="50"/>
  <c r="AA199" i="50" s="1"/>
  <c r="AG199" i="50" s="1"/>
  <c r="AK199" i="50" s="1"/>
  <c r="Q199" i="50"/>
  <c r="V198" i="50"/>
  <c r="AA198" i="50" s="1"/>
  <c r="AG198" i="50" s="1"/>
  <c r="AK198" i="50" s="1"/>
  <c r="Q198" i="50"/>
  <c r="V197" i="50"/>
  <c r="AA197" i="50" s="1"/>
  <c r="Q197" i="50"/>
  <c r="V196" i="50"/>
  <c r="AA196" i="50" s="1"/>
  <c r="AG196" i="50" s="1"/>
  <c r="AK196" i="50" s="1"/>
  <c r="Q196" i="50"/>
  <c r="V195" i="50"/>
  <c r="AA195" i="50" s="1"/>
  <c r="AG195" i="50" s="1"/>
  <c r="AK195" i="50" s="1"/>
  <c r="Q195" i="50"/>
  <c r="AA194" i="50"/>
  <c r="AG194" i="50" s="1"/>
  <c r="AK194" i="50" s="1"/>
  <c r="Z194" i="50"/>
  <c r="AF4" i="14" s="1"/>
  <c r="AP181" i="50"/>
  <c r="AY181" i="50" s="1"/>
  <c r="AK181" i="50"/>
  <c r="AC181" i="50"/>
  <c r="X181" i="50"/>
  <c r="AP180" i="50"/>
  <c r="AY180" i="50" s="1"/>
  <c r="AK180" i="50"/>
  <c r="AC180" i="50"/>
  <c r="X180" i="50"/>
  <c r="AP179" i="50"/>
  <c r="AY179" i="50" s="1"/>
  <c r="AK179" i="50"/>
  <c r="AC179" i="50"/>
  <c r="X179" i="50"/>
  <c r="AP178" i="50"/>
  <c r="AY178" i="50" s="1"/>
  <c r="AK178" i="50"/>
  <c r="AC178" i="50"/>
  <c r="X178" i="50"/>
  <c r="AP177" i="50"/>
  <c r="AY177" i="50" s="1"/>
  <c r="AK177" i="50"/>
  <c r="AC177" i="50"/>
  <c r="X177" i="50"/>
  <c r="AP176" i="50"/>
  <c r="AY176" i="50" s="1"/>
  <c r="AK176" i="50"/>
  <c r="AC176" i="50"/>
  <c r="X176" i="50"/>
  <c r="AP175" i="50"/>
  <c r="AY175" i="50" s="1"/>
  <c r="AK175" i="50"/>
  <c r="AC175" i="50"/>
  <c r="X175" i="50"/>
  <c r="AP174" i="50"/>
  <c r="AY174" i="50" s="1"/>
  <c r="AK174" i="50"/>
  <c r="AC174" i="50"/>
  <c r="X174" i="50"/>
  <c r="AP173" i="50"/>
  <c r="AY173" i="50" s="1"/>
  <c r="AK173" i="50"/>
  <c r="AC173" i="50"/>
  <c r="X173" i="50"/>
  <c r="AP172" i="50"/>
  <c r="AY172" i="50" s="1"/>
  <c r="AK172" i="50"/>
  <c r="AC172" i="50"/>
  <c r="X172" i="50"/>
  <c r="AP171" i="50"/>
  <c r="AK171" i="50"/>
  <c r="AC171" i="50"/>
  <c r="X171" i="50"/>
  <c r="AP170" i="50"/>
  <c r="AY170" i="50" s="1"/>
  <c r="AK170" i="50"/>
  <c r="AC170" i="50"/>
  <c r="X170" i="50"/>
  <c r="AP169" i="50"/>
  <c r="AY169" i="50" s="1"/>
  <c r="AK169" i="50"/>
  <c r="AC169" i="50"/>
  <c r="X169" i="50"/>
  <c r="AP168" i="50"/>
  <c r="AY168" i="50" s="1"/>
  <c r="AK168" i="50"/>
  <c r="AC168" i="50"/>
  <c r="X168" i="50"/>
  <c r="AP167" i="50"/>
  <c r="AY167" i="50" s="1"/>
  <c r="AK167" i="50"/>
  <c r="AC167" i="50"/>
  <c r="X167" i="50"/>
  <c r="AP166" i="50"/>
  <c r="AY166" i="50" s="1"/>
  <c r="AK166" i="50"/>
  <c r="AC166" i="50"/>
  <c r="X166" i="50"/>
  <c r="AP165" i="50"/>
  <c r="AY165" i="50" s="1"/>
  <c r="AK165" i="50"/>
  <c r="AC165" i="50"/>
  <c r="X165" i="50"/>
  <c r="AP164" i="50"/>
  <c r="AK164" i="50"/>
  <c r="AC164" i="50"/>
  <c r="X164" i="50"/>
  <c r="AP163" i="50"/>
  <c r="AK163" i="50"/>
  <c r="AC163" i="50"/>
  <c r="X163" i="50"/>
  <c r="AP162" i="50"/>
  <c r="AY162" i="50" s="1"/>
  <c r="AK162" i="50"/>
  <c r="AC162" i="50"/>
  <c r="X162" i="50"/>
  <c r="AP161" i="50"/>
  <c r="AY161" i="50" s="1"/>
  <c r="AK161" i="50"/>
  <c r="AC161" i="50"/>
  <c r="X161" i="50"/>
  <c r="AP160" i="50"/>
  <c r="AY160" i="50" s="1"/>
  <c r="AK160" i="50"/>
  <c r="AC160" i="50"/>
  <c r="X160" i="50"/>
  <c r="AP159" i="50"/>
  <c r="AY159" i="50" s="1"/>
  <c r="AK159" i="50"/>
  <c r="AC159" i="50"/>
  <c r="X159" i="50"/>
  <c r="AP158" i="50"/>
  <c r="AY158" i="50" s="1"/>
  <c r="AK158" i="50"/>
  <c r="AC158" i="50"/>
  <c r="X158" i="50"/>
  <c r="AP157" i="50"/>
  <c r="AK157" i="50"/>
  <c r="AC157" i="50"/>
  <c r="X157" i="50"/>
  <c r="AP156" i="50"/>
  <c r="AY156" i="50" s="1"/>
  <c r="AK156" i="50"/>
  <c r="AC156" i="50"/>
  <c r="X156" i="50"/>
  <c r="AP155" i="50"/>
  <c r="AK155" i="50"/>
  <c r="AC155" i="50"/>
  <c r="X155" i="50"/>
  <c r="AP154" i="50"/>
  <c r="AY154" i="50" s="1"/>
  <c r="AK154" i="50"/>
  <c r="AC154" i="50"/>
  <c r="X154" i="50"/>
  <c r="AP153" i="50"/>
  <c r="AY153" i="50" s="1"/>
  <c r="AK153" i="50"/>
  <c r="AC153" i="50"/>
  <c r="X153" i="50"/>
  <c r="AP152" i="50"/>
  <c r="AY152" i="50" s="1"/>
  <c r="AK152" i="50"/>
  <c r="AC152" i="50"/>
  <c r="X152" i="50"/>
  <c r="AP151" i="50"/>
  <c r="AY151" i="50" s="1"/>
  <c r="AK151" i="50"/>
  <c r="AC151" i="50"/>
  <c r="X151" i="50"/>
  <c r="AP150" i="50"/>
  <c r="AY150" i="50" s="1"/>
  <c r="AK150" i="50"/>
  <c r="AC150" i="50"/>
  <c r="X150" i="50"/>
  <c r="AP149" i="50"/>
  <c r="AY149" i="50" s="1"/>
  <c r="AK149" i="50"/>
  <c r="AC149" i="50"/>
  <c r="X149" i="50"/>
  <c r="AP148" i="50"/>
  <c r="AY148" i="50" s="1"/>
  <c r="AK148" i="50"/>
  <c r="AC148" i="50"/>
  <c r="X148" i="50"/>
  <c r="AP147" i="50"/>
  <c r="AY147" i="50" s="1"/>
  <c r="AK147" i="50"/>
  <c r="AC147" i="50"/>
  <c r="X147" i="50"/>
  <c r="AP146" i="50"/>
  <c r="AY146" i="50" s="1"/>
  <c r="AK146" i="50"/>
  <c r="AC146" i="50"/>
  <c r="X146" i="50"/>
  <c r="AP145" i="50"/>
  <c r="AK145" i="50"/>
  <c r="AC145" i="50"/>
  <c r="X145" i="50"/>
  <c r="AP144" i="50"/>
  <c r="AY144" i="50" s="1"/>
  <c r="AK144" i="50"/>
  <c r="AC144" i="50"/>
  <c r="X144" i="50"/>
  <c r="AP143" i="50"/>
  <c r="AY143" i="50" s="1"/>
  <c r="AK143" i="50"/>
  <c r="AC143" i="50"/>
  <c r="X143" i="50"/>
  <c r="AP142" i="50"/>
  <c r="AY142" i="50" s="1"/>
  <c r="AK142" i="50"/>
  <c r="AC142" i="50"/>
  <c r="X142" i="50"/>
  <c r="AP141" i="50"/>
  <c r="AY141" i="50" s="1"/>
  <c r="AK141" i="50"/>
  <c r="AC141" i="50"/>
  <c r="X141" i="50"/>
  <c r="AP140" i="50"/>
  <c r="AY140" i="50" s="1"/>
  <c r="AK140" i="50"/>
  <c r="AC140" i="50"/>
  <c r="X140" i="50"/>
  <c r="AP139" i="50"/>
  <c r="AY139" i="50" s="1"/>
  <c r="AK139" i="50"/>
  <c r="AC139" i="50"/>
  <c r="X139" i="50"/>
  <c r="AP138" i="50"/>
  <c r="AY138" i="50" s="1"/>
  <c r="AK138" i="50"/>
  <c r="AC138" i="50"/>
  <c r="X138" i="50"/>
  <c r="AP137" i="50"/>
  <c r="AY137" i="50" s="1"/>
  <c r="AK137" i="50"/>
  <c r="AC137" i="50"/>
  <c r="X137" i="50"/>
  <c r="AP136" i="50"/>
  <c r="AK136" i="50"/>
  <c r="AC136" i="50"/>
  <c r="X136" i="50"/>
  <c r="AY135" i="50"/>
  <c r="AX135" i="50"/>
  <c r="AV135" i="50"/>
  <c r="AU135" i="50"/>
  <c r="AE4" i="14" s="1"/>
  <c r="C126" i="50"/>
  <c r="C125" i="50"/>
  <c r="C124" i="50"/>
  <c r="C123" i="50"/>
  <c r="C122" i="50"/>
  <c r="C121" i="50"/>
  <c r="C120" i="50"/>
  <c r="C119" i="50"/>
  <c r="C118" i="50"/>
  <c r="C117" i="50"/>
  <c r="C116" i="50"/>
  <c r="C115" i="50"/>
  <c r="C114" i="50"/>
  <c r="C113" i="50"/>
  <c r="C112" i="50"/>
  <c r="C111" i="50"/>
  <c r="C110" i="50"/>
  <c r="C109" i="50"/>
  <c r="C108" i="50"/>
  <c r="C107" i="50"/>
  <c r="C106" i="50"/>
  <c r="C105" i="50"/>
  <c r="C104" i="50"/>
  <c r="C103" i="50"/>
  <c r="C102" i="50"/>
  <c r="C101" i="50"/>
  <c r="C100" i="50"/>
  <c r="C99" i="50"/>
  <c r="C98" i="50"/>
  <c r="C97" i="50"/>
  <c r="C96" i="50"/>
  <c r="C95" i="50"/>
  <c r="C94" i="50"/>
  <c r="C93" i="50"/>
  <c r="C92" i="50"/>
  <c r="C91" i="50"/>
  <c r="C90" i="50"/>
  <c r="C89" i="50"/>
  <c r="C88" i="50"/>
  <c r="C87" i="50"/>
  <c r="C86" i="50"/>
  <c r="C85" i="50"/>
  <c r="C84" i="50"/>
  <c r="C83" i="50"/>
  <c r="C82" i="50"/>
  <c r="C81" i="50"/>
  <c r="C80" i="50"/>
  <c r="B80" i="50"/>
  <c r="F79" i="50"/>
  <c r="W78" i="50"/>
  <c r="H78" i="50"/>
  <c r="A78" i="50"/>
  <c r="BF75" i="50"/>
  <c r="BE75" i="50"/>
  <c r="BD75" i="50"/>
  <c r="BC75" i="50"/>
  <c r="BB75" i="50"/>
  <c r="AW75" i="50"/>
  <c r="AI75" i="50"/>
  <c r="AH75" i="50"/>
  <c r="AG75" i="50"/>
  <c r="AF75" i="50"/>
  <c r="W75" i="50"/>
  <c r="V75" i="50"/>
  <c r="U75" i="50"/>
  <c r="T75" i="50"/>
  <c r="S75" i="50"/>
  <c r="AE75" i="50" s="1"/>
  <c r="AQ75" i="50" s="1"/>
  <c r="R75" i="50"/>
  <c r="AD75" i="50" s="1"/>
  <c r="AP75" i="50" s="1"/>
  <c r="Q75" i="50"/>
  <c r="AC75" i="50" s="1"/>
  <c r="AO75" i="50" s="1"/>
  <c r="P75" i="50"/>
  <c r="AB75" i="50" s="1"/>
  <c r="AN75" i="50" s="1"/>
  <c r="O75" i="50"/>
  <c r="AA75" i="50" s="1"/>
  <c r="AM75" i="50" s="1"/>
  <c r="BF74" i="50"/>
  <c r="BE74" i="50"/>
  <c r="BD74" i="50"/>
  <c r="BC74" i="50"/>
  <c r="BB74" i="50"/>
  <c r="AW74" i="50"/>
  <c r="AI74" i="50"/>
  <c r="AH74" i="50"/>
  <c r="AG74" i="50"/>
  <c r="AF74" i="50"/>
  <c r="W74" i="50"/>
  <c r="V74" i="50"/>
  <c r="U74" i="50"/>
  <c r="T74" i="50"/>
  <c r="S74" i="50"/>
  <c r="AE74" i="50" s="1"/>
  <c r="AQ74" i="50" s="1"/>
  <c r="R74" i="50"/>
  <c r="AD74" i="50" s="1"/>
  <c r="AP74" i="50" s="1"/>
  <c r="Q74" i="50"/>
  <c r="P74" i="50"/>
  <c r="AB74" i="50" s="1"/>
  <c r="AN74" i="50" s="1"/>
  <c r="O74" i="50"/>
  <c r="AA74" i="50" s="1"/>
  <c r="AM74" i="50" s="1"/>
  <c r="BF73" i="50"/>
  <c r="BE73" i="50"/>
  <c r="BD73" i="50"/>
  <c r="BC73" i="50"/>
  <c r="BB73" i="50"/>
  <c r="AW73" i="50"/>
  <c r="AI73" i="50"/>
  <c r="AH73" i="50"/>
  <c r="AG73" i="50"/>
  <c r="AF73" i="50"/>
  <c r="W73" i="50"/>
  <c r="V73" i="50"/>
  <c r="U73" i="50"/>
  <c r="T73" i="50"/>
  <c r="S73" i="50"/>
  <c r="R73" i="50"/>
  <c r="AD73" i="50" s="1"/>
  <c r="AP73" i="50" s="1"/>
  <c r="Q73" i="50"/>
  <c r="AC73" i="50" s="1"/>
  <c r="AO73" i="50" s="1"/>
  <c r="P73" i="50"/>
  <c r="AB73" i="50" s="1"/>
  <c r="AN73" i="50" s="1"/>
  <c r="O73" i="50"/>
  <c r="AA73" i="50" s="1"/>
  <c r="AM73" i="50" s="1"/>
  <c r="BF72" i="50"/>
  <c r="BE72" i="50"/>
  <c r="BD72" i="50"/>
  <c r="BC72" i="50"/>
  <c r="BB72" i="50"/>
  <c r="AW72" i="50"/>
  <c r="AI72" i="50"/>
  <c r="AH72" i="50"/>
  <c r="AG72" i="50"/>
  <c r="AF72" i="50"/>
  <c r="W72" i="50"/>
  <c r="V72" i="50"/>
  <c r="U72" i="50"/>
  <c r="T72" i="50"/>
  <c r="S72" i="50"/>
  <c r="AE72" i="50" s="1"/>
  <c r="AQ72" i="50" s="1"/>
  <c r="R72" i="50"/>
  <c r="AD72" i="50" s="1"/>
  <c r="AP72" i="50" s="1"/>
  <c r="Q72" i="50"/>
  <c r="AC72" i="50" s="1"/>
  <c r="AO72" i="50" s="1"/>
  <c r="P72" i="50"/>
  <c r="O72" i="50"/>
  <c r="AA72" i="50" s="1"/>
  <c r="AM72" i="50" s="1"/>
  <c r="BF71" i="50"/>
  <c r="BE71" i="50"/>
  <c r="BD71" i="50"/>
  <c r="BC71" i="50"/>
  <c r="BB71" i="50"/>
  <c r="AW71" i="50"/>
  <c r="AI71" i="50"/>
  <c r="AH71" i="50"/>
  <c r="AG71" i="50"/>
  <c r="AF71" i="50"/>
  <c r="K122" i="50" s="1"/>
  <c r="W71" i="50"/>
  <c r="V71" i="50"/>
  <c r="U71" i="50"/>
  <c r="T71" i="50"/>
  <c r="S71" i="50"/>
  <c r="AE71" i="50" s="1"/>
  <c r="AQ71" i="50" s="1"/>
  <c r="R71" i="50"/>
  <c r="AD71" i="50" s="1"/>
  <c r="AP71" i="50" s="1"/>
  <c r="Q71" i="50"/>
  <c r="AC71" i="50" s="1"/>
  <c r="AO71" i="50" s="1"/>
  <c r="P71" i="50"/>
  <c r="AB71" i="50" s="1"/>
  <c r="AN71" i="50" s="1"/>
  <c r="O71" i="50"/>
  <c r="BF70" i="50"/>
  <c r="BE70" i="50"/>
  <c r="BD70" i="50"/>
  <c r="BC70" i="50"/>
  <c r="BB70" i="50"/>
  <c r="AW70" i="50"/>
  <c r="AI70" i="50"/>
  <c r="AH70" i="50"/>
  <c r="AG70" i="50"/>
  <c r="AF70" i="50"/>
  <c r="W70" i="50"/>
  <c r="V70" i="50"/>
  <c r="U70" i="50"/>
  <c r="T70" i="50"/>
  <c r="S70" i="50"/>
  <c r="AE70" i="50" s="1"/>
  <c r="AQ70" i="50" s="1"/>
  <c r="R70" i="50"/>
  <c r="AD70" i="50" s="1"/>
  <c r="AP70" i="50" s="1"/>
  <c r="Q70" i="50"/>
  <c r="AC70" i="50" s="1"/>
  <c r="AO70" i="50" s="1"/>
  <c r="P70" i="50"/>
  <c r="AB70" i="50" s="1"/>
  <c r="AN70" i="50" s="1"/>
  <c r="O70" i="50"/>
  <c r="AA70" i="50" s="1"/>
  <c r="AM70" i="50" s="1"/>
  <c r="BF69" i="50"/>
  <c r="BE69" i="50"/>
  <c r="BD69" i="50"/>
  <c r="BC69" i="50"/>
  <c r="BB69" i="50"/>
  <c r="AW69" i="50"/>
  <c r="AI69" i="50"/>
  <c r="AH69" i="50"/>
  <c r="AG69" i="50"/>
  <c r="AF69" i="50"/>
  <c r="W69" i="50"/>
  <c r="V69" i="50"/>
  <c r="U69" i="50"/>
  <c r="T69" i="50"/>
  <c r="S69" i="50"/>
  <c r="AE69" i="50" s="1"/>
  <c r="AQ69" i="50" s="1"/>
  <c r="R69" i="50"/>
  <c r="AD69" i="50" s="1"/>
  <c r="AP69" i="50" s="1"/>
  <c r="Q69" i="50"/>
  <c r="AC69" i="50" s="1"/>
  <c r="AO69" i="50" s="1"/>
  <c r="P69" i="50"/>
  <c r="AB69" i="50" s="1"/>
  <c r="AN69" i="50" s="1"/>
  <c r="O69" i="50"/>
  <c r="AA69" i="50" s="1"/>
  <c r="AM69" i="50" s="1"/>
  <c r="BF68" i="50"/>
  <c r="BE68" i="50"/>
  <c r="BD68" i="50"/>
  <c r="BC68" i="50"/>
  <c r="BB68" i="50"/>
  <c r="AW68" i="50"/>
  <c r="AI68" i="50"/>
  <c r="AH68" i="50"/>
  <c r="AG68" i="50"/>
  <c r="AF68" i="50"/>
  <c r="W68" i="50"/>
  <c r="V68" i="50"/>
  <c r="U68" i="50"/>
  <c r="T68" i="50"/>
  <c r="S68" i="50"/>
  <c r="AE68" i="50" s="1"/>
  <c r="AQ68" i="50" s="1"/>
  <c r="R68" i="50"/>
  <c r="AD68" i="50" s="1"/>
  <c r="AP68" i="50" s="1"/>
  <c r="Q68" i="50"/>
  <c r="AC68" i="50" s="1"/>
  <c r="AO68" i="50" s="1"/>
  <c r="P68" i="50"/>
  <c r="AB68" i="50" s="1"/>
  <c r="AN68" i="50" s="1"/>
  <c r="O68" i="50"/>
  <c r="AA68" i="50" s="1"/>
  <c r="AM68" i="50" s="1"/>
  <c r="BF67" i="50"/>
  <c r="BE67" i="50"/>
  <c r="BD67" i="50"/>
  <c r="BC67" i="50"/>
  <c r="BB67" i="50"/>
  <c r="AW67" i="50"/>
  <c r="AI67" i="50"/>
  <c r="AH67" i="50"/>
  <c r="AG67" i="50"/>
  <c r="AF67" i="50"/>
  <c r="W67" i="50"/>
  <c r="V67" i="50"/>
  <c r="U67" i="50"/>
  <c r="T67" i="50"/>
  <c r="S67" i="50"/>
  <c r="R67" i="50"/>
  <c r="AD67" i="50" s="1"/>
  <c r="AP67" i="50" s="1"/>
  <c r="Q67" i="50"/>
  <c r="AC67" i="50" s="1"/>
  <c r="AO67" i="50" s="1"/>
  <c r="P67" i="50"/>
  <c r="AB67" i="50" s="1"/>
  <c r="AN67" i="50" s="1"/>
  <c r="O67" i="50"/>
  <c r="AA67" i="50" s="1"/>
  <c r="AM67" i="50" s="1"/>
  <c r="BF66" i="50"/>
  <c r="BE66" i="50"/>
  <c r="BD66" i="50"/>
  <c r="BC66" i="50"/>
  <c r="BB66" i="50"/>
  <c r="AW66" i="50"/>
  <c r="AI66" i="50"/>
  <c r="AH66" i="50"/>
  <c r="AG66" i="50"/>
  <c r="AF66" i="50"/>
  <c r="W66" i="50"/>
  <c r="V66" i="50"/>
  <c r="U66" i="50"/>
  <c r="T66" i="50"/>
  <c r="S66" i="50"/>
  <c r="AE66" i="50" s="1"/>
  <c r="AQ66" i="50" s="1"/>
  <c r="R66" i="50"/>
  <c r="AD66" i="50" s="1"/>
  <c r="AP66" i="50" s="1"/>
  <c r="Q66" i="50"/>
  <c r="AC66" i="50" s="1"/>
  <c r="AO66" i="50" s="1"/>
  <c r="P66" i="50"/>
  <c r="AB66" i="50" s="1"/>
  <c r="AN66" i="50" s="1"/>
  <c r="O66" i="50"/>
  <c r="AA66" i="50" s="1"/>
  <c r="AM66" i="50" s="1"/>
  <c r="BF65" i="50"/>
  <c r="BE65" i="50"/>
  <c r="BD65" i="50"/>
  <c r="BC65" i="50"/>
  <c r="BB65" i="50"/>
  <c r="AW65" i="50"/>
  <c r="AI65" i="50"/>
  <c r="AH65" i="50"/>
  <c r="AG65" i="50"/>
  <c r="AF65" i="50"/>
  <c r="W65" i="50"/>
  <c r="V65" i="50"/>
  <c r="U65" i="50"/>
  <c r="T65" i="50"/>
  <c r="S65" i="50"/>
  <c r="AE65" i="50" s="1"/>
  <c r="AQ65" i="50" s="1"/>
  <c r="R65" i="50"/>
  <c r="AD65" i="50" s="1"/>
  <c r="AP65" i="50" s="1"/>
  <c r="Q65" i="50"/>
  <c r="P65" i="50"/>
  <c r="AB65" i="50" s="1"/>
  <c r="AN65" i="50" s="1"/>
  <c r="O65" i="50"/>
  <c r="AA65" i="50" s="1"/>
  <c r="AM65" i="50" s="1"/>
  <c r="BF64" i="50"/>
  <c r="BE64" i="50"/>
  <c r="BD64" i="50"/>
  <c r="BC64" i="50"/>
  <c r="BB64" i="50"/>
  <c r="AW64" i="50"/>
  <c r="AI64" i="50"/>
  <c r="AH64" i="50"/>
  <c r="AG64" i="50"/>
  <c r="AF64" i="50"/>
  <c r="W64" i="50"/>
  <c r="V64" i="50"/>
  <c r="U64" i="50"/>
  <c r="T64" i="50"/>
  <c r="S64" i="50"/>
  <c r="AE64" i="50" s="1"/>
  <c r="AQ64" i="50" s="1"/>
  <c r="R64" i="50"/>
  <c r="AD64" i="50" s="1"/>
  <c r="AP64" i="50" s="1"/>
  <c r="Q64" i="50"/>
  <c r="AC64" i="50" s="1"/>
  <c r="AO64" i="50" s="1"/>
  <c r="P64" i="50"/>
  <c r="O64" i="50"/>
  <c r="AA64" i="50" s="1"/>
  <c r="AM64" i="50" s="1"/>
  <c r="BF63" i="50"/>
  <c r="BE63" i="50"/>
  <c r="BD63" i="50"/>
  <c r="BC63" i="50"/>
  <c r="BB63" i="50"/>
  <c r="AW63" i="50"/>
  <c r="AI63" i="50"/>
  <c r="AH63" i="50"/>
  <c r="AG63" i="50"/>
  <c r="AF63" i="50"/>
  <c r="K114" i="50" s="1"/>
  <c r="X114" i="50" s="1"/>
  <c r="W63" i="50"/>
  <c r="V63" i="50"/>
  <c r="U63" i="50"/>
  <c r="T63" i="50"/>
  <c r="S63" i="50"/>
  <c r="AE63" i="50" s="1"/>
  <c r="AQ63" i="50" s="1"/>
  <c r="R63" i="50"/>
  <c r="AD63" i="50" s="1"/>
  <c r="AP63" i="50" s="1"/>
  <c r="Q63" i="50"/>
  <c r="AC63" i="50" s="1"/>
  <c r="AO63" i="50" s="1"/>
  <c r="P63" i="50"/>
  <c r="AB63" i="50" s="1"/>
  <c r="AN63" i="50" s="1"/>
  <c r="O63" i="50"/>
  <c r="BF62" i="50"/>
  <c r="BE62" i="50"/>
  <c r="BD62" i="50"/>
  <c r="BC62" i="50"/>
  <c r="BB62" i="50"/>
  <c r="AW62" i="50"/>
  <c r="AI62" i="50"/>
  <c r="AH62" i="50"/>
  <c r="AG62" i="50"/>
  <c r="AF62" i="50"/>
  <c r="W62" i="50"/>
  <c r="V62" i="50"/>
  <c r="U62" i="50"/>
  <c r="T62" i="50"/>
  <c r="S62" i="50"/>
  <c r="AE62" i="50" s="1"/>
  <c r="AQ62" i="50" s="1"/>
  <c r="R62" i="50"/>
  <c r="AD62" i="50" s="1"/>
  <c r="AP62" i="50" s="1"/>
  <c r="Q62" i="50"/>
  <c r="AC62" i="50" s="1"/>
  <c r="AO62" i="50" s="1"/>
  <c r="P62" i="50"/>
  <c r="AB62" i="50" s="1"/>
  <c r="AN62" i="50" s="1"/>
  <c r="O62" i="50"/>
  <c r="AA62" i="50" s="1"/>
  <c r="AM62" i="50" s="1"/>
  <c r="BF61" i="50"/>
  <c r="BE61" i="50"/>
  <c r="BD61" i="50"/>
  <c r="BC61" i="50"/>
  <c r="BB61" i="50"/>
  <c r="AW61" i="50"/>
  <c r="AI61" i="50"/>
  <c r="AH61" i="50"/>
  <c r="AG61" i="50"/>
  <c r="AF61" i="50"/>
  <c r="W61" i="50"/>
  <c r="V61" i="50"/>
  <c r="U61" i="50"/>
  <c r="T61" i="50"/>
  <c r="S61" i="50"/>
  <c r="AE61" i="50" s="1"/>
  <c r="AQ61" i="50" s="1"/>
  <c r="R61" i="50"/>
  <c r="AD61" i="50" s="1"/>
  <c r="AP61" i="50" s="1"/>
  <c r="Q61" i="50"/>
  <c r="AC61" i="50" s="1"/>
  <c r="AO61" i="50" s="1"/>
  <c r="P61" i="50"/>
  <c r="AB61" i="50" s="1"/>
  <c r="AN61" i="50" s="1"/>
  <c r="O61" i="50"/>
  <c r="AA61" i="50" s="1"/>
  <c r="AM61" i="50" s="1"/>
  <c r="BF60" i="50"/>
  <c r="BE60" i="50"/>
  <c r="BD60" i="50"/>
  <c r="BC60" i="50"/>
  <c r="BB60" i="50"/>
  <c r="AW60" i="50"/>
  <c r="AI60" i="50"/>
  <c r="AH60" i="50"/>
  <c r="AG60" i="50"/>
  <c r="AF60" i="50"/>
  <c r="W60" i="50"/>
  <c r="V60" i="50"/>
  <c r="U60" i="50"/>
  <c r="T60" i="50"/>
  <c r="S60" i="50"/>
  <c r="AE60" i="50" s="1"/>
  <c r="AQ60" i="50" s="1"/>
  <c r="R60" i="50"/>
  <c r="AD60" i="50" s="1"/>
  <c r="AP60" i="50" s="1"/>
  <c r="Q60" i="50"/>
  <c r="AC60" i="50" s="1"/>
  <c r="AO60" i="50" s="1"/>
  <c r="P60" i="50"/>
  <c r="AB60" i="50" s="1"/>
  <c r="AN60" i="50" s="1"/>
  <c r="O60" i="50"/>
  <c r="AA60" i="50" s="1"/>
  <c r="AM60" i="50" s="1"/>
  <c r="BF59" i="50"/>
  <c r="BE59" i="50"/>
  <c r="BD59" i="50"/>
  <c r="BC59" i="50"/>
  <c r="BB59" i="50"/>
  <c r="AW59" i="50"/>
  <c r="AI59" i="50"/>
  <c r="AH59" i="50"/>
  <c r="AG59" i="50"/>
  <c r="AF59" i="50"/>
  <c r="W59" i="50"/>
  <c r="V59" i="50"/>
  <c r="U59" i="50"/>
  <c r="T59" i="50"/>
  <c r="S59" i="50"/>
  <c r="R59" i="50"/>
  <c r="AD59" i="50" s="1"/>
  <c r="AP59" i="50" s="1"/>
  <c r="Q59" i="50"/>
  <c r="AC59" i="50" s="1"/>
  <c r="AO59" i="50" s="1"/>
  <c r="P59" i="50"/>
  <c r="AB59" i="50" s="1"/>
  <c r="AN59" i="50" s="1"/>
  <c r="O59" i="50"/>
  <c r="AA59" i="50" s="1"/>
  <c r="AM59" i="50" s="1"/>
  <c r="BF58" i="50"/>
  <c r="BE58" i="50"/>
  <c r="BD58" i="50"/>
  <c r="BC58" i="50"/>
  <c r="BB58" i="50"/>
  <c r="AW58" i="50"/>
  <c r="AI58" i="50"/>
  <c r="AH58" i="50"/>
  <c r="AG58" i="50"/>
  <c r="AF58" i="50"/>
  <c r="W58" i="50"/>
  <c r="V58" i="50"/>
  <c r="U58" i="50"/>
  <c r="T58" i="50"/>
  <c r="S58" i="50"/>
  <c r="AE58" i="50" s="1"/>
  <c r="AQ58" i="50" s="1"/>
  <c r="R58" i="50"/>
  <c r="AD58" i="50" s="1"/>
  <c r="AP58" i="50" s="1"/>
  <c r="Q58" i="50"/>
  <c r="AC58" i="50" s="1"/>
  <c r="AO58" i="50" s="1"/>
  <c r="P58" i="50"/>
  <c r="AB58" i="50" s="1"/>
  <c r="AN58" i="50" s="1"/>
  <c r="O58" i="50"/>
  <c r="AA58" i="50" s="1"/>
  <c r="AM58" i="50" s="1"/>
  <c r="BF57" i="50"/>
  <c r="BE57" i="50"/>
  <c r="BD57" i="50"/>
  <c r="BC57" i="50"/>
  <c r="BB57" i="50"/>
  <c r="AW57" i="50"/>
  <c r="AI57" i="50"/>
  <c r="AH57" i="50"/>
  <c r="AG57" i="50"/>
  <c r="AF57" i="50"/>
  <c r="W57" i="50"/>
  <c r="V57" i="50"/>
  <c r="U57" i="50"/>
  <c r="T57" i="50"/>
  <c r="S57" i="50"/>
  <c r="AE57" i="50" s="1"/>
  <c r="AQ57" i="50" s="1"/>
  <c r="R57" i="50"/>
  <c r="AD57" i="50" s="1"/>
  <c r="AP57" i="50" s="1"/>
  <c r="Q57" i="50"/>
  <c r="P57" i="50"/>
  <c r="AB57" i="50" s="1"/>
  <c r="AN57" i="50" s="1"/>
  <c r="O57" i="50"/>
  <c r="AA57" i="50" s="1"/>
  <c r="AM57" i="50" s="1"/>
  <c r="BF56" i="50"/>
  <c r="BE56" i="50"/>
  <c r="BD56" i="50"/>
  <c r="BC56" i="50"/>
  <c r="BB56" i="50"/>
  <c r="AW56" i="50"/>
  <c r="AI56" i="50"/>
  <c r="AH56" i="50"/>
  <c r="AG56" i="50"/>
  <c r="AF56" i="50"/>
  <c r="W56" i="50"/>
  <c r="V56" i="50"/>
  <c r="U56" i="50"/>
  <c r="T56" i="50"/>
  <c r="S56" i="50"/>
  <c r="AE56" i="50" s="1"/>
  <c r="AQ56" i="50" s="1"/>
  <c r="R56" i="50"/>
  <c r="AD56" i="50" s="1"/>
  <c r="AP56" i="50" s="1"/>
  <c r="Q56" i="50"/>
  <c r="AC56" i="50" s="1"/>
  <c r="AO56" i="50" s="1"/>
  <c r="P56" i="50"/>
  <c r="AB56" i="50" s="1"/>
  <c r="AN56" i="50" s="1"/>
  <c r="O56" i="50"/>
  <c r="AA56" i="50" s="1"/>
  <c r="AM56" i="50" s="1"/>
  <c r="BF55" i="50"/>
  <c r="BE55" i="50"/>
  <c r="BD55" i="50"/>
  <c r="BC55" i="50"/>
  <c r="BB55" i="50"/>
  <c r="AW55" i="50"/>
  <c r="AI55" i="50"/>
  <c r="AH55" i="50"/>
  <c r="AG55" i="50"/>
  <c r="AF55" i="50"/>
  <c r="W55" i="50"/>
  <c r="V55" i="50"/>
  <c r="U55" i="50"/>
  <c r="T55" i="50"/>
  <c r="S55" i="50"/>
  <c r="AE55" i="50" s="1"/>
  <c r="AQ55" i="50" s="1"/>
  <c r="R55" i="50"/>
  <c r="AD55" i="50" s="1"/>
  <c r="AP55" i="50" s="1"/>
  <c r="Q55" i="50"/>
  <c r="AC55" i="50" s="1"/>
  <c r="AO55" i="50" s="1"/>
  <c r="P55" i="50"/>
  <c r="AB55" i="50" s="1"/>
  <c r="AN55" i="50" s="1"/>
  <c r="O55" i="50"/>
  <c r="BF54" i="50"/>
  <c r="BE54" i="50"/>
  <c r="BD54" i="50"/>
  <c r="BC54" i="50"/>
  <c r="BB54" i="50"/>
  <c r="AW54" i="50"/>
  <c r="AI54" i="50"/>
  <c r="AH54" i="50"/>
  <c r="AG54" i="50"/>
  <c r="AF54" i="50"/>
  <c r="W54" i="50"/>
  <c r="V54" i="50"/>
  <c r="U54" i="50"/>
  <c r="T54" i="50"/>
  <c r="S54" i="50"/>
  <c r="AE54" i="50" s="1"/>
  <c r="AQ54" i="50" s="1"/>
  <c r="R54" i="50"/>
  <c r="AD54" i="50" s="1"/>
  <c r="AP54" i="50" s="1"/>
  <c r="Q54" i="50"/>
  <c r="P54" i="50"/>
  <c r="AB54" i="50" s="1"/>
  <c r="AN54" i="50" s="1"/>
  <c r="O54" i="50"/>
  <c r="AA54" i="50" s="1"/>
  <c r="AM54" i="50" s="1"/>
  <c r="BF53" i="50"/>
  <c r="BE53" i="50"/>
  <c r="BD53" i="50"/>
  <c r="BC53" i="50"/>
  <c r="BB53" i="50"/>
  <c r="AW53" i="50"/>
  <c r="AI53" i="50"/>
  <c r="AH53" i="50"/>
  <c r="AG53" i="50"/>
  <c r="AF53" i="50"/>
  <c r="W53" i="50"/>
  <c r="V53" i="50"/>
  <c r="U53" i="50"/>
  <c r="T53" i="50"/>
  <c r="S53" i="50"/>
  <c r="AE53" i="50" s="1"/>
  <c r="AQ53" i="50" s="1"/>
  <c r="R53" i="50"/>
  <c r="AD53" i="50" s="1"/>
  <c r="AP53" i="50" s="1"/>
  <c r="Q53" i="50"/>
  <c r="AC53" i="50" s="1"/>
  <c r="AO53" i="50" s="1"/>
  <c r="P53" i="50"/>
  <c r="AB53" i="50" s="1"/>
  <c r="AN53" i="50" s="1"/>
  <c r="O53" i="50"/>
  <c r="AA53" i="50" s="1"/>
  <c r="AM53" i="50" s="1"/>
  <c r="BF52" i="50"/>
  <c r="BE52" i="50"/>
  <c r="BD52" i="50"/>
  <c r="BC52" i="50"/>
  <c r="BB52" i="50"/>
  <c r="AW52" i="50"/>
  <c r="AI52" i="50"/>
  <c r="AH52" i="50"/>
  <c r="AG52" i="50"/>
  <c r="AF52" i="50"/>
  <c r="W52" i="50"/>
  <c r="V52" i="50"/>
  <c r="U52" i="50"/>
  <c r="T52" i="50"/>
  <c r="S52" i="50"/>
  <c r="AE52" i="50" s="1"/>
  <c r="AQ52" i="50" s="1"/>
  <c r="R52" i="50"/>
  <c r="AD52" i="50" s="1"/>
  <c r="AP52" i="50" s="1"/>
  <c r="Q52" i="50"/>
  <c r="AC52" i="50" s="1"/>
  <c r="AO52" i="50" s="1"/>
  <c r="P52" i="50"/>
  <c r="AB52" i="50" s="1"/>
  <c r="AN52" i="50" s="1"/>
  <c r="O52" i="50"/>
  <c r="AA52" i="50" s="1"/>
  <c r="AM52" i="50" s="1"/>
  <c r="BF51" i="50"/>
  <c r="BE51" i="50"/>
  <c r="BD51" i="50"/>
  <c r="BC51" i="50"/>
  <c r="BB51" i="50"/>
  <c r="AW51" i="50"/>
  <c r="AI51" i="50"/>
  <c r="AH51" i="50"/>
  <c r="AG51" i="50"/>
  <c r="AF51" i="50"/>
  <c r="W51" i="50"/>
  <c r="V51" i="50"/>
  <c r="U51" i="50"/>
  <c r="T51" i="50"/>
  <c r="S51" i="50"/>
  <c r="AE51" i="50" s="1"/>
  <c r="AQ51" i="50" s="1"/>
  <c r="R51" i="50"/>
  <c r="AD51" i="50" s="1"/>
  <c r="AP51" i="50" s="1"/>
  <c r="Q51" i="50"/>
  <c r="P51" i="50"/>
  <c r="AB51" i="50" s="1"/>
  <c r="AN51" i="50" s="1"/>
  <c r="O51" i="50"/>
  <c r="AA51" i="50" s="1"/>
  <c r="AM51" i="50" s="1"/>
  <c r="BF50" i="50"/>
  <c r="BE50" i="50"/>
  <c r="BD50" i="50"/>
  <c r="BC50" i="50"/>
  <c r="BB50" i="50"/>
  <c r="AW50" i="50"/>
  <c r="AI50" i="50"/>
  <c r="AH50" i="50"/>
  <c r="AG50" i="50"/>
  <c r="AF50" i="50"/>
  <c r="W50" i="50"/>
  <c r="V50" i="50"/>
  <c r="U50" i="50"/>
  <c r="T50" i="50"/>
  <c r="S50" i="50"/>
  <c r="AE50" i="50" s="1"/>
  <c r="AQ50" i="50" s="1"/>
  <c r="R50" i="50"/>
  <c r="AD50" i="50" s="1"/>
  <c r="AP50" i="50" s="1"/>
  <c r="Q50" i="50"/>
  <c r="AC50" i="50" s="1"/>
  <c r="AO50" i="50" s="1"/>
  <c r="P50" i="50"/>
  <c r="O50" i="50"/>
  <c r="AA50" i="50" s="1"/>
  <c r="AM50" i="50" s="1"/>
  <c r="BF49" i="50"/>
  <c r="BE49" i="50"/>
  <c r="BD49" i="50"/>
  <c r="BC49" i="50"/>
  <c r="BB49" i="50"/>
  <c r="AW49" i="50"/>
  <c r="AI49" i="50"/>
  <c r="AH49" i="50"/>
  <c r="AG49" i="50"/>
  <c r="AF49" i="50"/>
  <c r="W49" i="50"/>
  <c r="V49" i="50"/>
  <c r="U49" i="50"/>
  <c r="T49" i="50"/>
  <c r="S49" i="50"/>
  <c r="AE49" i="50" s="1"/>
  <c r="AQ49" i="50" s="1"/>
  <c r="R49" i="50"/>
  <c r="AD49" i="50" s="1"/>
  <c r="AP49" i="50" s="1"/>
  <c r="Q49" i="50"/>
  <c r="AC49" i="50" s="1"/>
  <c r="AO49" i="50" s="1"/>
  <c r="P49" i="50"/>
  <c r="AB49" i="50" s="1"/>
  <c r="AN49" i="50" s="1"/>
  <c r="O49" i="50"/>
  <c r="BF48" i="50"/>
  <c r="BE48" i="50"/>
  <c r="BD48" i="50"/>
  <c r="BC48" i="50"/>
  <c r="BB48" i="50"/>
  <c r="AW48" i="50"/>
  <c r="AI48" i="50"/>
  <c r="AH48" i="50"/>
  <c r="AG48" i="50"/>
  <c r="AF48" i="50"/>
  <c r="W48" i="50"/>
  <c r="V48" i="50"/>
  <c r="U48" i="50"/>
  <c r="T48" i="50"/>
  <c r="S48" i="50"/>
  <c r="AE48" i="50" s="1"/>
  <c r="AQ48" i="50" s="1"/>
  <c r="R48" i="50"/>
  <c r="AD48" i="50" s="1"/>
  <c r="AP48" i="50" s="1"/>
  <c r="Q48" i="50"/>
  <c r="AC48" i="50" s="1"/>
  <c r="AO48" i="50" s="1"/>
  <c r="P48" i="50"/>
  <c r="AB48" i="50" s="1"/>
  <c r="AN48" i="50" s="1"/>
  <c r="O48" i="50"/>
  <c r="AA48" i="50" s="1"/>
  <c r="AM48" i="50" s="1"/>
  <c r="BF47" i="50"/>
  <c r="BE47" i="50"/>
  <c r="BD47" i="50"/>
  <c r="BC47" i="50"/>
  <c r="BB47" i="50"/>
  <c r="AW47" i="50"/>
  <c r="AI47" i="50"/>
  <c r="AH47" i="50"/>
  <c r="AG47" i="50"/>
  <c r="AF47" i="50"/>
  <c r="K98" i="50" s="1"/>
  <c r="X98" i="50" s="1"/>
  <c r="W47" i="50"/>
  <c r="V47" i="50"/>
  <c r="U47" i="50"/>
  <c r="T47" i="50"/>
  <c r="S47" i="50"/>
  <c r="AE47" i="50" s="1"/>
  <c r="AQ47" i="50" s="1"/>
  <c r="R47" i="50"/>
  <c r="AD47" i="50" s="1"/>
  <c r="AP47" i="50" s="1"/>
  <c r="Q47" i="50"/>
  <c r="AC47" i="50" s="1"/>
  <c r="AO47" i="50" s="1"/>
  <c r="P47" i="50"/>
  <c r="AB47" i="50" s="1"/>
  <c r="AN47" i="50" s="1"/>
  <c r="O47" i="50"/>
  <c r="AA47" i="50" s="1"/>
  <c r="AM47" i="50" s="1"/>
  <c r="BF46" i="50"/>
  <c r="BE46" i="50"/>
  <c r="BD46" i="50"/>
  <c r="BC46" i="50"/>
  <c r="BB46" i="50"/>
  <c r="AW46" i="50"/>
  <c r="AI46" i="50"/>
  <c r="AH46" i="50"/>
  <c r="AG46" i="50"/>
  <c r="AF46" i="50"/>
  <c r="W46" i="50"/>
  <c r="V46" i="50"/>
  <c r="U46" i="50"/>
  <c r="T46" i="50"/>
  <c r="S46" i="50"/>
  <c r="AE46" i="50" s="1"/>
  <c r="AQ46" i="50" s="1"/>
  <c r="R46" i="50"/>
  <c r="AD46" i="50" s="1"/>
  <c r="AP46" i="50" s="1"/>
  <c r="Q46" i="50"/>
  <c r="AC46" i="50" s="1"/>
  <c r="AO46" i="50" s="1"/>
  <c r="P46" i="50"/>
  <c r="AB46" i="50" s="1"/>
  <c r="AN46" i="50" s="1"/>
  <c r="O46" i="50"/>
  <c r="AA46" i="50" s="1"/>
  <c r="AM46" i="50" s="1"/>
  <c r="BF45" i="50"/>
  <c r="BE45" i="50"/>
  <c r="BD45" i="50"/>
  <c r="BC45" i="50"/>
  <c r="BB45" i="50"/>
  <c r="AW45" i="50"/>
  <c r="AI45" i="50"/>
  <c r="AH45" i="50"/>
  <c r="AG45" i="50"/>
  <c r="AF45" i="50"/>
  <c r="W45" i="50"/>
  <c r="V45" i="50"/>
  <c r="U45" i="50"/>
  <c r="T45" i="50"/>
  <c r="S45" i="50"/>
  <c r="AE45" i="50" s="1"/>
  <c r="AQ45" i="50" s="1"/>
  <c r="R45" i="50"/>
  <c r="AD45" i="50" s="1"/>
  <c r="AP45" i="50" s="1"/>
  <c r="Q45" i="50"/>
  <c r="AC45" i="50" s="1"/>
  <c r="AO45" i="50" s="1"/>
  <c r="P45" i="50"/>
  <c r="AB45" i="50" s="1"/>
  <c r="AN45" i="50" s="1"/>
  <c r="O45" i="50"/>
  <c r="AA45" i="50" s="1"/>
  <c r="AM45" i="50" s="1"/>
  <c r="BF44" i="50"/>
  <c r="BE44" i="50"/>
  <c r="BD44" i="50"/>
  <c r="BC44" i="50"/>
  <c r="BB44" i="50"/>
  <c r="AW44" i="50"/>
  <c r="AI44" i="50"/>
  <c r="AH44" i="50"/>
  <c r="AG44" i="50"/>
  <c r="AF44" i="50"/>
  <c r="W44" i="50"/>
  <c r="V44" i="50"/>
  <c r="U44" i="50"/>
  <c r="T44" i="50"/>
  <c r="S44" i="50"/>
  <c r="AE44" i="50" s="1"/>
  <c r="AQ44" i="50" s="1"/>
  <c r="R44" i="50"/>
  <c r="AD44" i="50" s="1"/>
  <c r="AP44" i="50" s="1"/>
  <c r="Q44" i="50"/>
  <c r="AC44" i="50" s="1"/>
  <c r="AO44" i="50" s="1"/>
  <c r="P44" i="50"/>
  <c r="AB44" i="50" s="1"/>
  <c r="AN44" i="50" s="1"/>
  <c r="O44" i="50"/>
  <c r="AA44" i="50" s="1"/>
  <c r="AM44" i="50" s="1"/>
  <c r="BF43" i="50"/>
  <c r="BE43" i="50"/>
  <c r="BD43" i="50"/>
  <c r="BC43" i="50"/>
  <c r="BB43" i="50"/>
  <c r="AW43" i="50"/>
  <c r="AI43" i="50"/>
  <c r="AH43" i="50"/>
  <c r="AG43" i="50"/>
  <c r="AF43" i="50"/>
  <c r="W43" i="50"/>
  <c r="V43" i="50"/>
  <c r="U43" i="50"/>
  <c r="T43" i="50"/>
  <c r="S43" i="50"/>
  <c r="AE43" i="50" s="1"/>
  <c r="AQ43" i="50" s="1"/>
  <c r="R43" i="50"/>
  <c r="AD43" i="50" s="1"/>
  <c r="AP43" i="50" s="1"/>
  <c r="Q43" i="50"/>
  <c r="P43" i="50"/>
  <c r="AB43" i="50" s="1"/>
  <c r="AN43" i="50" s="1"/>
  <c r="O43" i="50"/>
  <c r="AA43" i="50" s="1"/>
  <c r="AM43" i="50" s="1"/>
  <c r="BF42" i="50"/>
  <c r="BE42" i="50"/>
  <c r="BD42" i="50"/>
  <c r="BC42" i="50"/>
  <c r="BB42" i="50"/>
  <c r="AW42" i="50"/>
  <c r="AI42" i="50"/>
  <c r="AH42" i="50"/>
  <c r="AG42" i="50"/>
  <c r="AF42" i="50"/>
  <c r="W42" i="50"/>
  <c r="V42" i="50"/>
  <c r="U42" i="50"/>
  <c r="T42" i="50"/>
  <c r="S42" i="50"/>
  <c r="AE42" i="50" s="1"/>
  <c r="AQ42" i="50" s="1"/>
  <c r="R42" i="50"/>
  <c r="AD42" i="50" s="1"/>
  <c r="AP42" i="50" s="1"/>
  <c r="Q42" i="50"/>
  <c r="AC42" i="50" s="1"/>
  <c r="AO42" i="50" s="1"/>
  <c r="P42" i="50"/>
  <c r="O42" i="50"/>
  <c r="AA42" i="50" s="1"/>
  <c r="AM42" i="50" s="1"/>
  <c r="BF41" i="50"/>
  <c r="BE41" i="50"/>
  <c r="BD41" i="50"/>
  <c r="BC41" i="50"/>
  <c r="BB41" i="50"/>
  <c r="AW41" i="50"/>
  <c r="AI41" i="50"/>
  <c r="AH41" i="50"/>
  <c r="AG41" i="50"/>
  <c r="AF41" i="50"/>
  <c r="W41" i="50"/>
  <c r="V41" i="50"/>
  <c r="U41" i="50"/>
  <c r="T41" i="50"/>
  <c r="S41" i="50"/>
  <c r="AE41" i="50" s="1"/>
  <c r="AQ41" i="50" s="1"/>
  <c r="R41" i="50"/>
  <c r="AD41" i="50" s="1"/>
  <c r="AP41" i="50" s="1"/>
  <c r="Q41" i="50"/>
  <c r="AC41" i="50" s="1"/>
  <c r="AO41" i="50" s="1"/>
  <c r="P41" i="50"/>
  <c r="AB41" i="50" s="1"/>
  <c r="AN41" i="50" s="1"/>
  <c r="O41" i="50"/>
  <c r="BF40" i="50"/>
  <c r="BE40" i="50"/>
  <c r="BD40" i="50"/>
  <c r="BC40" i="50"/>
  <c r="BB40" i="50"/>
  <c r="AW40" i="50"/>
  <c r="AI40" i="50"/>
  <c r="AH40" i="50"/>
  <c r="AG40" i="50"/>
  <c r="AF40" i="50"/>
  <c r="W40" i="50"/>
  <c r="V40" i="50"/>
  <c r="U40" i="50"/>
  <c r="T40" i="50"/>
  <c r="S40" i="50"/>
  <c r="AE40" i="50" s="1"/>
  <c r="AQ40" i="50" s="1"/>
  <c r="R40" i="50"/>
  <c r="AD40" i="50" s="1"/>
  <c r="AP40" i="50" s="1"/>
  <c r="Q40" i="50"/>
  <c r="AC40" i="50" s="1"/>
  <c r="AO40" i="50" s="1"/>
  <c r="P40" i="50"/>
  <c r="AB40" i="50" s="1"/>
  <c r="AN40" i="50" s="1"/>
  <c r="O40" i="50"/>
  <c r="AA40" i="50" s="1"/>
  <c r="AM40" i="50" s="1"/>
  <c r="BF39" i="50"/>
  <c r="BE39" i="50"/>
  <c r="BD39" i="50"/>
  <c r="BC39" i="50"/>
  <c r="BB39" i="50"/>
  <c r="AW39" i="50"/>
  <c r="AI39" i="50"/>
  <c r="AH39" i="50"/>
  <c r="AG39" i="50"/>
  <c r="AF39" i="50"/>
  <c r="W39" i="50"/>
  <c r="V39" i="50"/>
  <c r="U39" i="50"/>
  <c r="T39" i="50"/>
  <c r="S39" i="50"/>
  <c r="AE39" i="50" s="1"/>
  <c r="AQ39" i="50" s="1"/>
  <c r="R39" i="50"/>
  <c r="AD39" i="50" s="1"/>
  <c r="AP39" i="50" s="1"/>
  <c r="Q39" i="50"/>
  <c r="AC39" i="50" s="1"/>
  <c r="AO39" i="50" s="1"/>
  <c r="P39" i="50"/>
  <c r="AB39" i="50" s="1"/>
  <c r="AN39" i="50" s="1"/>
  <c r="O39" i="50"/>
  <c r="AA39" i="50" s="1"/>
  <c r="AM39" i="50" s="1"/>
  <c r="BF38" i="50"/>
  <c r="BE38" i="50"/>
  <c r="BD38" i="50"/>
  <c r="BC38" i="50"/>
  <c r="BB38" i="50"/>
  <c r="AW38" i="50"/>
  <c r="AI38" i="50"/>
  <c r="AH38" i="50"/>
  <c r="AG38" i="50"/>
  <c r="AF38" i="50"/>
  <c r="W38" i="50"/>
  <c r="V38" i="50"/>
  <c r="U38" i="50"/>
  <c r="T38" i="50"/>
  <c r="S38" i="50"/>
  <c r="AE38" i="50" s="1"/>
  <c r="AQ38" i="50" s="1"/>
  <c r="R38" i="50"/>
  <c r="AD38" i="50" s="1"/>
  <c r="AP38" i="50" s="1"/>
  <c r="Q38" i="50"/>
  <c r="AC38" i="50" s="1"/>
  <c r="AO38" i="50" s="1"/>
  <c r="P38" i="50"/>
  <c r="AB38" i="50" s="1"/>
  <c r="AN38" i="50" s="1"/>
  <c r="O38" i="50"/>
  <c r="AA38" i="50" s="1"/>
  <c r="AM38" i="50" s="1"/>
  <c r="BF37" i="50"/>
  <c r="BE37" i="50"/>
  <c r="BD37" i="50"/>
  <c r="BC37" i="50"/>
  <c r="BB37" i="50"/>
  <c r="AW37" i="50"/>
  <c r="AI37" i="50"/>
  <c r="AH37" i="50"/>
  <c r="AG37" i="50"/>
  <c r="AF37" i="50"/>
  <c r="W37" i="50"/>
  <c r="V37" i="50"/>
  <c r="U37" i="50"/>
  <c r="T37" i="50"/>
  <c r="S37" i="50"/>
  <c r="AE37" i="50" s="1"/>
  <c r="AQ37" i="50" s="1"/>
  <c r="R37" i="50"/>
  <c r="AD37" i="50" s="1"/>
  <c r="AP37" i="50" s="1"/>
  <c r="Q37" i="50"/>
  <c r="AC37" i="50" s="1"/>
  <c r="AO37" i="50" s="1"/>
  <c r="P37" i="50"/>
  <c r="AB37" i="50" s="1"/>
  <c r="AN37" i="50" s="1"/>
  <c r="O37" i="50"/>
  <c r="AA37" i="50" s="1"/>
  <c r="AM37" i="50" s="1"/>
  <c r="BF36" i="50"/>
  <c r="BE36" i="50"/>
  <c r="BD36" i="50"/>
  <c r="BC36" i="50"/>
  <c r="BB36" i="50"/>
  <c r="AW36" i="50"/>
  <c r="AI36" i="50"/>
  <c r="AH36" i="50"/>
  <c r="AG36" i="50"/>
  <c r="AF36" i="50"/>
  <c r="W36" i="50"/>
  <c r="V36" i="50"/>
  <c r="U36" i="50"/>
  <c r="T36" i="50"/>
  <c r="S36" i="50"/>
  <c r="AE36" i="50" s="1"/>
  <c r="AQ36" i="50" s="1"/>
  <c r="R36" i="50"/>
  <c r="AD36" i="50" s="1"/>
  <c r="AP36" i="50" s="1"/>
  <c r="Q36" i="50"/>
  <c r="AC36" i="50" s="1"/>
  <c r="AO36" i="50" s="1"/>
  <c r="P36" i="50"/>
  <c r="AB36" i="50" s="1"/>
  <c r="AN36" i="50" s="1"/>
  <c r="O36" i="50"/>
  <c r="AA36" i="50" s="1"/>
  <c r="AM36" i="50" s="1"/>
  <c r="BF35" i="50"/>
  <c r="BE35" i="50"/>
  <c r="BD35" i="50"/>
  <c r="BC35" i="50"/>
  <c r="BB35" i="50"/>
  <c r="AW35" i="50"/>
  <c r="AI35" i="50"/>
  <c r="AH35" i="50"/>
  <c r="AG35" i="50"/>
  <c r="AF35" i="50"/>
  <c r="W35" i="50"/>
  <c r="V35" i="50"/>
  <c r="U35" i="50"/>
  <c r="T35" i="50"/>
  <c r="S35" i="50"/>
  <c r="AE35" i="50" s="1"/>
  <c r="AQ35" i="50" s="1"/>
  <c r="R35" i="50"/>
  <c r="AD35" i="50" s="1"/>
  <c r="AP35" i="50" s="1"/>
  <c r="Q35" i="50"/>
  <c r="P35" i="50"/>
  <c r="AB35" i="50" s="1"/>
  <c r="AN35" i="50" s="1"/>
  <c r="O35" i="50"/>
  <c r="AA35" i="50" s="1"/>
  <c r="AM35" i="50" s="1"/>
  <c r="BF34" i="50"/>
  <c r="BE34" i="50"/>
  <c r="BD34" i="50"/>
  <c r="BC34" i="50"/>
  <c r="BB34" i="50"/>
  <c r="AW34" i="50"/>
  <c r="AI34" i="50"/>
  <c r="AH34" i="50"/>
  <c r="AG34" i="50"/>
  <c r="AF34" i="50"/>
  <c r="W34" i="50"/>
  <c r="V34" i="50"/>
  <c r="U34" i="50"/>
  <c r="T34" i="50"/>
  <c r="S34" i="50"/>
  <c r="AE34" i="50" s="1"/>
  <c r="AQ34" i="50" s="1"/>
  <c r="R34" i="50"/>
  <c r="AD34" i="50" s="1"/>
  <c r="AP34" i="50" s="1"/>
  <c r="Q34" i="50"/>
  <c r="AC34" i="50" s="1"/>
  <c r="AO34" i="50" s="1"/>
  <c r="P34" i="50"/>
  <c r="O34" i="50"/>
  <c r="AA34" i="50" s="1"/>
  <c r="AM34" i="50" s="1"/>
  <c r="BF33" i="50"/>
  <c r="BE33" i="50"/>
  <c r="BD33" i="50"/>
  <c r="BC33" i="50"/>
  <c r="BB33" i="50"/>
  <c r="AW33" i="50"/>
  <c r="AI33" i="50"/>
  <c r="AH33" i="50"/>
  <c r="AG33" i="50"/>
  <c r="AF33" i="50"/>
  <c r="K84" i="50" s="1"/>
  <c r="W33" i="50"/>
  <c r="V33" i="50"/>
  <c r="U33" i="50"/>
  <c r="T33" i="50"/>
  <c r="S33" i="50"/>
  <c r="AE33" i="50" s="1"/>
  <c r="AQ33" i="50" s="1"/>
  <c r="R33" i="50"/>
  <c r="AD33" i="50" s="1"/>
  <c r="AP33" i="50" s="1"/>
  <c r="Q33" i="50"/>
  <c r="AC33" i="50" s="1"/>
  <c r="AO33" i="50" s="1"/>
  <c r="P33" i="50"/>
  <c r="AB33" i="50" s="1"/>
  <c r="AN33" i="50" s="1"/>
  <c r="O33" i="50"/>
  <c r="BF32" i="50"/>
  <c r="BE32" i="50"/>
  <c r="BD32" i="50"/>
  <c r="BC32" i="50"/>
  <c r="BB32" i="50"/>
  <c r="AW32" i="50"/>
  <c r="AI32" i="50"/>
  <c r="AH32" i="50"/>
  <c r="AG32" i="50"/>
  <c r="AF32" i="50"/>
  <c r="W32" i="50"/>
  <c r="V32" i="50"/>
  <c r="U32" i="50"/>
  <c r="T32" i="50"/>
  <c r="S32" i="50"/>
  <c r="AE32" i="50" s="1"/>
  <c r="AQ32" i="50" s="1"/>
  <c r="R32" i="50"/>
  <c r="AD32" i="50" s="1"/>
  <c r="AP32" i="50" s="1"/>
  <c r="Q32" i="50"/>
  <c r="AC32" i="50" s="1"/>
  <c r="AO32" i="50" s="1"/>
  <c r="P32" i="50"/>
  <c r="AB32" i="50" s="1"/>
  <c r="AN32" i="50" s="1"/>
  <c r="O32" i="50"/>
  <c r="AA32" i="50" s="1"/>
  <c r="AM32" i="50" s="1"/>
  <c r="BF31" i="50"/>
  <c r="BE31" i="50"/>
  <c r="BD31" i="50"/>
  <c r="BC31" i="50"/>
  <c r="BB31" i="50"/>
  <c r="AW31" i="50"/>
  <c r="AI31" i="50"/>
  <c r="AH31" i="50"/>
  <c r="AG31" i="50"/>
  <c r="AF31" i="50"/>
  <c r="W31" i="50"/>
  <c r="V31" i="50"/>
  <c r="U31" i="50"/>
  <c r="T31" i="50"/>
  <c r="S31" i="50"/>
  <c r="AE31" i="50" s="1"/>
  <c r="AQ31" i="50" s="1"/>
  <c r="R31" i="50"/>
  <c r="AD31" i="50" s="1"/>
  <c r="AP31" i="50" s="1"/>
  <c r="Q31" i="50"/>
  <c r="AC31" i="50" s="1"/>
  <c r="AO31" i="50" s="1"/>
  <c r="P31" i="50"/>
  <c r="AB31" i="50" s="1"/>
  <c r="AN31" i="50" s="1"/>
  <c r="O31" i="50"/>
  <c r="AA31" i="50" s="1"/>
  <c r="AM31" i="50" s="1"/>
  <c r="BF30" i="50"/>
  <c r="BE30" i="50"/>
  <c r="BD30" i="50"/>
  <c r="BC30" i="50"/>
  <c r="BB30" i="50"/>
  <c r="AW30" i="50"/>
  <c r="AI30" i="50"/>
  <c r="AH30" i="50"/>
  <c r="AG30" i="50"/>
  <c r="AF30" i="50"/>
  <c r="W30" i="50"/>
  <c r="V30" i="50"/>
  <c r="U30" i="50"/>
  <c r="T30" i="50"/>
  <c r="S30" i="50"/>
  <c r="AE30" i="50" s="1"/>
  <c r="AQ30" i="50" s="1"/>
  <c r="R30" i="50"/>
  <c r="AD30" i="50" s="1"/>
  <c r="AP30" i="50" s="1"/>
  <c r="Q30" i="50"/>
  <c r="AC30" i="50" s="1"/>
  <c r="AO30" i="50" s="1"/>
  <c r="P30" i="50"/>
  <c r="AB30" i="50" s="1"/>
  <c r="AN30" i="50" s="1"/>
  <c r="O30" i="50"/>
  <c r="AA30" i="50" s="1"/>
  <c r="AM30" i="50" s="1"/>
  <c r="BF29" i="50"/>
  <c r="BE29" i="50"/>
  <c r="BD29" i="50"/>
  <c r="BC29" i="50"/>
  <c r="BB29" i="50"/>
  <c r="AW29" i="50"/>
  <c r="AI29" i="50"/>
  <c r="AH29" i="50"/>
  <c r="AG29" i="50"/>
  <c r="AF29" i="50"/>
  <c r="W29" i="50"/>
  <c r="V29" i="50"/>
  <c r="U29" i="50"/>
  <c r="T29" i="50"/>
  <c r="S29" i="50"/>
  <c r="AE29" i="50" s="1"/>
  <c r="AQ29" i="50" s="1"/>
  <c r="R29" i="50"/>
  <c r="AD29" i="50" s="1"/>
  <c r="AP29" i="50" s="1"/>
  <c r="Q29" i="50"/>
  <c r="AC29" i="50" s="1"/>
  <c r="AO29" i="50" s="1"/>
  <c r="P29" i="50"/>
  <c r="AB29" i="50" s="1"/>
  <c r="AN29" i="50" s="1"/>
  <c r="O29" i="50"/>
  <c r="Z27" i="50"/>
  <c r="S27" i="50"/>
  <c r="AE27" i="50" s="1"/>
  <c r="R27" i="50"/>
  <c r="AD27" i="50" s="1"/>
  <c r="Q27" i="50"/>
  <c r="AC27" i="50" s="1"/>
  <c r="P27" i="50"/>
  <c r="AB27" i="50" s="1"/>
  <c r="O27" i="50"/>
  <c r="AA27" i="50" s="1"/>
  <c r="N27" i="50"/>
  <c r="AK25" i="50"/>
  <c r="Y25" i="50"/>
  <c r="M25" i="50"/>
  <c r="A25" i="50"/>
  <c r="A1" i="50"/>
  <c r="V240" i="49"/>
  <c r="AA240" i="49" s="1"/>
  <c r="AG240" i="49" s="1"/>
  <c r="AK240" i="49" s="1"/>
  <c r="Q240" i="49"/>
  <c r="V239" i="49"/>
  <c r="AA239" i="49" s="1"/>
  <c r="AG239" i="49" s="1"/>
  <c r="AK239" i="49" s="1"/>
  <c r="Q239" i="49"/>
  <c r="V238" i="49"/>
  <c r="AA238" i="49" s="1"/>
  <c r="AG238" i="49" s="1"/>
  <c r="AK238" i="49" s="1"/>
  <c r="Q238" i="49"/>
  <c r="V237" i="49"/>
  <c r="AA237" i="49" s="1"/>
  <c r="AG237" i="49" s="1"/>
  <c r="AK237" i="49" s="1"/>
  <c r="Q237" i="49"/>
  <c r="V236" i="49"/>
  <c r="AA236" i="49" s="1"/>
  <c r="AG236" i="49" s="1"/>
  <c r="AK236" i="49" s="1"/>
  <c r="Q236" i="49"/>
  <c r="V235" i="49"/>
  <c r="AA235" i="49" s="1"/>
  <c r="AG235" i="49" s="1"/>
  <c r="AK235" i="49" s="1"/>
  <c r="Q235" i="49"/>
  <c r="V234" i="49"/>
  <c r="AA234" i="49" s="1"/>
  <c r="AG234" i="49" s="1"/>
  <c r="AK234" i="49" s="1"/>
  <c r="Q234" i="49"/>
  <c r="V233" i="49"/>
  <c r="AA233" i="49" s="1"/>
  <c r="AG233" i="49" s="1"/>
  <c r="AK233" i="49" s="1"/>
  <c r="Q233" i="49"/>
  <c r="V232" i="49"/>
  <c r="AA232" i="49" s="1"/>
  <c r="AG232" i="49" s="1"/>
  <c r="AK232" i="49" s="1"/>
  <c r="Q232" i="49"/>
  <c r="V231" i="49"/>
  <c r="AA231" i="49" s="1"/>
  <c r="AG231" i="49" s="1"/>
  <c r="AK231" i="49" s="1"/>
  <c r="Q231" i="49"/>
  <c r="V230" i="49"/>
  <c r="AA230" i="49" s="1"/>
  <c r="AG230" i="49" s="1"/>
  <c r="AK230" i="49" s="1"/>
  <c r="Q230" i="49"/>
  <c r="V229" i="49"/>
  <c r="AA229" i="49" s="1"/>
  <c r="AG229" i="49" s="1"/>
  <c r="AK229" i="49" s="1"/>
  <c r="Q229" i="49"/>
  <c r="V228" i="49"/>
  <c r="AA228" i="49" s="1"/>
  <c r="AG228" i="49" s="1"/>
  <c r="AK228" i="49" s="1"/>
  <c r="Q228" i="49"/>
  <c r="V227" i="49"/>
  <c r="AA227" i="49" s="1"/>
  <c r="AG227" i="49" s="1"/>
  <c r="AK227" i="49" s="1"/>
  <c r="Q227" i="49"/>
  <c r="V226" i="49"/>
  <c r="AA226" i="49" s="1"/>
  <c r="AG226" i="49" s="1"/>
  <c r="AK226" i="49" s="1"/>
  <c r="Q226" i="49"/>
  <c r="V225" i="49"/>
  <c r="AA225" i="49" s="1"/>
  <c r="AG225" i="49" s="1"/>
  <c r="AK225" i="49" s="1"/>
  <c r="Q225" i="49"/>
  <c r="V224" i="49"/>
  <c r="AA224" i="49" s="1"/>
  <c r="AG224" i="49" s="1"/>
  <c r="AK224" i="49" s="1"/>
  <c r="Q224" i="49"/>
  <c r="V223" i="49"/>
  <c r="AA223" i="49" s="1"/>
  <c r="AG223" i="49" s="1"/>
  <c r="AK223" i="49" s="1"/>
  <c r="Q223" i="49"/>
  <c r="V222" i="49"/>
  <c r="AA222" i="49" s="1"/>
  <c r="AG222" i="49" s="1"/>
  <c r="AK222" i="49" s="1"/>
  <c r="Q222" i="49"/>
  <c r="V221" i="49"/>
  <c r="AA221" i="49" s="1"/>
  <c r="AG221" i="49" s="1"/>
  <c r="AK221" i="49" s="1"/>
  <c r="Q221" i="49"/>
  <c r="V220" i="49"/>
  <c r="AA220" i="49" s="1"/>
  <c r="AG220" i="49" s="1"/>
  <c r="AK220" i="49" s="1"/>
  <c r="Q220" i="49"/>
  <c r="V219" i="49"/>
  <c r="AA219" i="49" s="1"/>
  <c r="AG219" i="49" s="1"/>
  <c r="AK219" i="49" s="1"/>
  <c r="Q219" i="49"/>
  <c r="V218" i="49"/>
  <c r="AA218" i="49" s="1"/>
  <c r="AG218" i="49" s="1"/>
  <c r="AK218" i="49" s="1"/>
  <c r="Q218" i="49"/>
  <c r="V217" i="49"/>
  <c r="AA217" i="49" s="1"/>
  <c r="AG217" i="49" s="1"/>
  <c r="AK217" i="49" s="1"/>
  <c r="Q217" i="49"/>
  <c r="V216" i="49"/>
  <c r="AA216" i="49" s="1"/>
  <c r="AG216" i="49" s="1"/>
  <c r="AK216" i="49" s="1"/>
  <c r="Q216" i="49"/>
  <c r="V215" i="49"/>
  <c r="AA215" i="49" s="1"/>
  <c r="AG215" i="49" s="1"/>
  <c r="AK215" i="49" s="1"/>
  <c r="Q215" i="49"/>
  <c r="V214" i="49"/>
  <c r="AA214" i="49" s="1"/>
  <c r="AG214" i="49" s="1"/>
  <c r="AK214" i="49" s="1"/>
  <c r="Q214" i="49"/>
  <c r="V213" i="49"/>
  <c r="AA213" i="49" s="1"/>
  <c r="AG213" i="49" s="1"/>
  <c r="AK213" i="49" s="1"/>
  <c r="Q213" i="49"/>
  <c r="V212" i="49"/>
  <c r="AA212" i="49" s="1"/>
  <c r="AG212" i="49" s="1"/>
  <c r="AK212" i="49" s="1"/>
  <c r="Q212" i="49"/>
  <c r="V211" i="49"/>
  <c r="AA211" i="49" s="1"/>
  <c r="AG211" i="49" s="1"/>
  <c r="AK211" i="49" s="1"/>
  <c r="Q211" i="49"/>
  <c r="V210" i="49"/>
  <c r="AA210" i="49" s="1"/>
  <c r="AG210" i="49" s="1"/>
  <c r="AK210" i="49" s="1"/>
  <c r="Q210" i="49"/>
  <c r="V209" i="49"/>
  <c r="AA209" i="49" s="1"/>
  <c r="AG209" i="49" s="1"/>
  <c r="AK209" i="49" s="1"/>
  <c r="Q209" i="49"/>
  <c r="V208" i="49"/>
  <c r="AA208" i="49" s="1"/>
  <c r="AG208" i="49" s="1"/>
  <c r="AK208" i="49" s="1"/>
  <c r="Q208" i="49"/>
  <c r="V207" i="49"/>
  <c r="AA207" i="49" s="1"/>
  <c r="AG207" i="49" s="1"/>
  <c r="AK207" i="49" s="1"/>
  <c r="Q207" i="49"/>
  <c r="V206" i="49"/>
  <c r="AA206" i="49" s="1"/>
  <c r="AG206" i="49" s="1"/>
  <c r="AK206" i="49" s="1"/>
  <c r="Q206" i="49"/>
  <c r="V205" i="49"/>
  <c r="AA205" i="49" s="1"/>
  <c r="AG205" i="49" s="1"/>
  <c r="AK205" i="49" s="1"/>
  <c r="Q205" i="49"/>
  <c r="V204" i="49"/>
  <c r="AA204" i="49" s="1"/>
  <c r="AG204" i="49" s="1"/>
  <c r="AK204" i="49" s="1"/>
  <c r="Q204" i="49"/>
  <c r="V203" i="49"/>
  <c r="AA203" i="49" s="1"/>
  <c r="AG203" i="49" s="1"/>
  <c r="AK203" i="49" s="1"/>
  <c r="Q203" i="49"/>
  <c r="V202" i="49"/>
  <c r="AA202" i="49" s="1"/>
  <c r="AG202" i="49" s="1"/>
  <c r="AK202" i="49" s="1"/>
  <c r="Q202" i="49"/>
  <c r="V201" i="49"/>
  <c r="AA201" i="49" s="1"/>
  <c r="AG201" i="49" s="1"/>
  <c r="AK201" i="49" s="1"/>
  <c r="Q201" i="49"/>
  <c r="V200" i="49"/>
  <c r="AA200" i="49" s="1"/>
  <c r="AG200" i="49" s="1"/>
  <c r="AK200" i="49" s="1"/>
  <c r="Q200" i="49"/>
  <c r="V199" i="49"/>
  <c r="AA199" i="49" s="1"/>
  <c r="AG199" i="49" s="1"/>
  <c r="AK199" i="49" s="1"/>
  <c r="Q199" i="49"/>
  <c r="V198" i="49"/>
  <c r="AA198" i="49" s="1"/>
  <c r="AG198" i="49" s="1"/>
  <c r="AK198" i="49" s="1"/>
  <c r="Q198" i="49"/>
  <c r="V197" i="49"/>
  <c r="AA197" i="49" s="1"/>
  <c r="AG197" i="49" s="1"/>
  <c r="AK197" i="49" s="1"/>
  <c r="Q197" i="49"/>
  <c r="V196" i="49"/>
  <c r="AA196" i="49" s="1"/>
  <c r="AG196" i="49" s="1"/>
  <c r="AK196" i="49" s="1"/>
  <c r="Q196" i="49"/>
  <c r="V195" i="49"/>
  <c r="AA195" i="49" s="1"/>
  <c r="AG195" i="49" s="1"/>
  <c r="AK195" i="49" s="1"/>
  <c r="Q195" i="49"/>
  <c r="AA194" i="49"/>
  <c r="AG194" i="49" s="1"/>
  <c r="AK194" i="49" s="1"/>
  <c r="Z194" i="49"/>
  <c r="AD4" i="14" s="1"/>
  <c r="AP181" i="49"/>
  <c r="AC181" i="49"/>
  <c r="X181" i="49"/>
  <c r="W181" i="49"/>
  <c r="AP180" i="49"/>
  <c r="AY180" i="49" s="1"/>
  <c r="AC180" i="49"/>
  <c r="X180" i="49"/>
  <c r="W180" i="49"/>
  <c r="AP179" i="49"/>
  <c r="AY179" i="49" s="1"/>
  <c r="AC179" i="49"/>
  <c r="X179" i="49"/>
  <c r="W179" i="49"/>
  <c r="AP178" i="49"/>
  <c r="AY178" i="49" s="1"/>
  <c r="AC178" i="49"/>
  <c r="X178" i="49"/>
  <c r="W178" i="49"/>
  <c r="AP177" i="49"/>
  <c r="AY177" i="49" s="1"/>
  <c r="AC177" i="49"/>
  <c r="X177" i="49"/>
  <c r="W177" i="49"/>
  <c r="AP176" i="49"/>
  <c r="AY176" i="49" s="1"/>
  <c r="AC176" i="49"/>
  <c r="X176" i="49"/>
  <c r="W176" i="49"/>
  <c r="AP175" i="49"/>
  <c r="AY175" i="49" s="1"/>
  <c r="AC175" i="49"/>
  <c r="X175" i="49"/>
  <c r="W175" i="49"/>
  <c r="AP174" i="49"/>
  <c r="AY174" i="49" s="1"/>
  <c r="AC174" i="49"/>
  <c r="X174" i="49"/>
  <c r="W174" i="49"/>
  <c r="AP173" i="49"/>
  <c r="AC173" i="49"/>
  <c r="X173" i="49"/>
  <c r="W173" i="49"/>
  <c r="AP172" i="49"/>
  <c r="AY172" i="49" s="1"/>
  <c r="AC172" i="49"/>
  <c r="X172" i="49"/>
  <c r="W172" i="49"/>
  <c r="AP171" i="49"/>
  <c r="AY171" i="49" s="1"/>
  <c r="AC171" i="49"/>
  <c r="X171" i="49"/>
  <c r="W171" i="49"/>
  <c r="AP170" i="49"/>
  <c r="AY170" i="49" s="1"/>
  <c r="AC170" i="49"/>
  <c r="X170" i="49"/>
  <c r="W170" i="49"/>
  <c r="AP169" i="49"/>
  <c r="AC169" i="49"/>
  <c r="X169" i="49"/>
  <c r="W169" i="49"/>
  <c r="AP168" i="49"/>
  <c r="AY168" i="49" s="1"/>
  <c r="AC168" i="49"/>
  <c r="X168" i="49"/>
  <c r="W168" i="49"/>
  <c r="AP167" i="49"/>
  <c r="AY167" i="49" s="1"/>
  <c r="AC167" i="49"/>
  <c r="X167" i="49"/>
  <c r="W167" i="49"/>
  <c r="AP166" i="49"/>
  <c r="AY166" i="49" s="1"/>
  <c r="AC166" i="49"/>
  <c r="X166" i="49"/>
  <c r="W166" i="49"/>
  <c r="AP165" i="49"/>
  <c r="AY165" i="49" s="1"/>
  <c r="AC165" i="49"/>
  <c r="X165" i="49"/>
  <c r="W165" i="49"/>
  <c r="AP164" i="49"/>
  <c r="AY164" i="49" s="1"/>
  <c r="AC164" i="49"/>
  <c r="X164" i="49"/>
  <c r="W164" i="49"/>
  <c r="AP163" i="49"/>
  <c r="AY163" i="49" s="1"/>
  <c r="AC163" i="49"/>
  <c r="X163" i="49"/>
  <c r="W163" i="49"/>
  <c r="AP162" i="49"/>
  <c r="AY162" i="49" s="1"/>
  <c r="AC162" i="49"/>
  <c r="X162" i="49"/>
  <c r="W162" i="49"/>
  <c r="AP161" i="49"/>
  <c r="AY161" i="49" s="1"/>
  <c r="AC161" i="49"/>
  <c r="X161" i="49"/>
  <c r="W161" i="49"/>
  <c r="AP160" i="49"/>
  <c r="AY160" i="49" s="1"/>
  <c r="AC160" i="49"/>
  <c r="X160" i="49"/>
  <c r="W160" i="49"/>
  <c r="AP159" i="49"/>
  <c r="AY159" i="49" s="1"/>
  <c r="AC159" i="49"/>
  <c r="X159" i="49"/>
  <c r="W159" i="49"/>
  <c r="AP158" i="49"/>
  <c r="AY158" i="49" s="1"/>
  <c r="AC158" i="49"/>
  <c r="X158" i="49"/>
  <c r="W158" i="49"/>
  <c r="AP157" i="49"/>
  <c r="AY157" i="49" s="1"/>
  <c r="AC157" i="49"/>
  <c r="X157" i="49"/>
  <c r="W157" i="49"/>
  <c r="AP156" i="49"/>
  <c r="AY156" i="49" s="1"/>
  <c r="AC156" i="49"/>
  <c r="X156" i="49"/>
  <c r="W156" i="49"/>
  <c r="AP155" i="49"/>
  <c r="AY155" i="49" s="1"/>
  <c r="AC155" i="49"/>
  <c r="X155" i="49"/>
  <c r="W155" i="49"/>
  <c r="AY154" i="49"/>
  <c r="AP154" i="49"/>
  <c r="AC154" i="49"/>
  <c r="X154" i="49"/>
  <c r="W154" i="49"/>
  <c r="AP153" i="49"/>
  <c r="AC153" i="49"/>
  <c r="X153" i="49"/>
  <c r="W153" i="49"/>
  <c r="AP152" i="49"/>
  <c r="AY152" i="49" s="1"/>
  <c r="AC152" i="49"/>
  <c r="X152" i="49"/>
  <c r="W152" i="49"/>
  <c r="AP151" i="49"/>
  <c r="AY151" i="49" s="1"/>
  <c r="AC151" i="49"/>
  <c r="X151" i="49"/>
  <c r="W151" i="49"/>
  <c r="AP150" i="49"/>
  <c r="AY150" i="49" s="1"/>
  <c r="AC150" i="49"/>
  <c r="X150" i="49"/>
  <c r="W150" i="49"/>
  <c r="AP149" i="49"/>
  <c r="AC149" i="49"/>
  <c r="X149" i="49"/>
  <c r="W149" i="49"/>
  <c r="AP148" i="49"/>
  <c r="AY148" i="49" s="1"/>
  <c r="AC148" i="49"/>
  <c r="X148" i="49"/>
  <c r="W148" i="49"/>
  <c r="AP147" i="49"/>
  <c r="AY147" i="49" s="1"/>
  <c r="AC147" i="49"/>
  <c r="X147" i="49"/>
  <c r="W147" i="49"/>
  <c r="AP146" i="49"/>
  <c r="AY146" i="49" s="1"/>
  <c r="AC146" i="49"/>
  <c r="X146" i="49"/>
  <c r="W146" i="49"/>
  <c r="AP145" i="49"/>
  <c r="AY145" i="49" s="1"/>
  <c r="AC145" i="49"/>
  <c r="X145" i="49"/>
  <c r="W145" i="49"/>
  <c r="AP144" i="49"/>
  <c r="AY144" i="49" s="1"/>
  <c r="AC144" i="49"/>
  <c r="AV144" i="49" s="1"/>
  <c r="X144" i="49"/>
  <c r="W144" i="49"/>
  <c r="AP143" i="49"/>
  <c r="AY143" i="49" s="1"/>
  <c r="AC143" i="49"/>
  <c r="X143" i="49"/>
  <c r="W143" i="49"/>
  <c r="AP142" i="49"/>
  <c r="AY142" i="49" s="1"/>
  <c r="AC142" i="49"/>
  <c r="AV142" i="49" s="1"/>
  <c r="X142" i="49"/>
  <c r="W142" i="49"/>
  <c r="AP141" i="49"/>
  <c r="AY141" i="49" s="1"/>
  <c r="AC141" i="49"/>
  <c r="X141" i="49"/>
  <c r="W141" i="49"/>
  <c r="AP140" i="49"/>
  <c r="AY140" i="49" s="1"/>
  <c r="AC140" i="49"/>
  <c r="AV140" i="49" s="1"/>
  <c r="X140" i="49"/>
  <c r="W140" i="49"/>
  <c r="AP139" i="49"/>
  <c r="AY139" i="49" s="1"/>
  <c r="AC139" i="49"/>
  <c r="X139" i="49"/>
  <c r="W139" i="49"/>
  <c r="AP138" i="49"/>
  <c r="AY138" i="49" s="1"/>
  <c r="AC138" i="49"/>
  <c r="X138" i="49"/>
  <c r="W138" i="49"/>
  <c r="AP137" i="49"/>
  <c r="AY137" i="49" s="1"/>
  <c r="AC137" i="49"/>
  <c r="X137" i="49"/>
  <c r="W137" i="49"/>
  <c r="AP136" i="49"/>
  <c r="AC136" i="49"/>
  <c r="X136" i="49"/>
  <c r="W136" i="49"/>
  <c r="AY135" i="49"/>
  <c r="AX135" i="49"/>
  <c r="AV135" i="49"/>
  <c r="AU135" i="49"/>
  <c r="BA135" i="49" s="1"/>
  <c r="C126" i="49"/>
  <c r="C125" i="49"/>
  <c r="C124" i="49"/>
  <c r="C123" i="49"/>
  <c r="C122" i="49"/>
  <c r="C121" i="49"/>
  <c r="C120" i="49"/>
  <c r="C119" i="49"/>
  <c r="C118" i="49"/>
  <c r="C117" i="49"/>
  <c r="C116" i="49"/>
  <c r="C115" i="49"/>
  <c r="C114" i="49"/>
  <c r="C113" i="49"/>
  <c r="C112" i="49"/>
  <c r="C111" i="49"/>
  <c r="C110" i="49"/>
  <c r="C109" i="49"/>
  <c r="C108" i="49"/>
  <c r="C107" i="49"/>
  <c r="C106" i="49"/>
  <c r="C105" i="49"/>
  <c r="C104" i="49"/>
  <c r="C103" i="49"/>
  <c r="C102" i="49"/>
  <c r="C101" i="49"/>
  <c r="C100" i="49"/>
  <c r="C99" i="49"/>
  <c r="C98" i="49"/>
  <c r="C97" i="49"/>
  <c r="C96" i="49"/>
  <c r="C95" i="49"/>
  <c r="C94" i="49"/>
  <c r="C93" i="49"/>
  <c r="C92" i="49"/>
  <c r="C91" i="49"/>
  <c r="C90" i="49"/>
  <c r="C89" i="49"/>
  <c r="C88" i="49"/>
  <c r="C87" i="49"/>
  <c r="C86" i="49"/>
  <c r="C85" i="49"/>
  <c r="C84" i="49"/>
  <c r="C83" i="49"/>
  <c r="C82" i="49"/>
  <c r="C81" i="49"/>
  <c r="C80" i="49"/>
  <c r="B80" i="49"/>
  <c r="F79" i="49"/>
  <c r="W78" i="49"/>
  <c r="H78" i="49"/>
  <c r="A78" i="49"/>
  <c r="BF75" i="49"/>
  <c r="BE75" i="49"/>
  <c r="BD75" i="49"/>
  <c r="BC75" i="49"/>
  <c r="BB75" i="49"/>
  <c r="AW75" i="49"/>
  <c r="AI75" i="49"/>
  <c r="AH75" i="49"/>
  <c r="AG75" i="49"/>
  <c r="AF75" i="49"/>
  <c r="W75" i="49"/>
  <c r="V75" i="49"/>
  <c r="AT75" i="49" s="1"/>
  <c r="U75" i="49"/>
  <c r="T75" i="49"/>
  <c r="S75" i="49"/>
  <c r="AE75" i="49" s="1"/>
  <c r="AQ75" i="49" s="1"/>
  <c r="R75" i="49"/>
  <c r="AD75" i="49" s="1"/>
  <c r="AP75" i="49" s="1"/>
  <c r="Q75" i="49"/>
  <c r="AC75" i="49" s="1"/>
  <c r="AO75" i="49" s="1"/>
  <c r="P75" i="49"/>
  <c r="AB75" i="49" s="1"/>
  <c r="AN75" i="49" s="1"/>
  <c r="O75" i="49"/>
  <c r="AA75" i="49" s="1"/>
  <c r="AM75" i="49" s="1"/>
  <c r="BF74" i="49"/>
  <c r="BE74" i="49"/>
  <c r="BD74" i="49"/>
  <c r="BC74" i="49"/>
  <c r="BB74" i="49"/>
  <c r="AW74" i="49"/>
  <c r="AI74" i="49"/>
  <c r="AH74" i="49"/>
  <c r="AG74" i="49"/>
  <c r="AF74" i="49"/>
  <c r="K125" i="49" s="1"/>
  <c r="X125" i="49" s="1"/>
  <c r="W74" i="49"/>
  <c r="V74" i="49"/>
  <c r="AT74" i="49" s="1"/>
  <c r="U74" i="49"/>
  <c r="T74" i="49"/>
  <c r="S74" i="49"/>
  <c r="AE74" i="49" s="1"/>
  <c r="AQ74" i="49" s="1"/>
  <c r="R74" i="49"/>
  <c r="AD74" i="49" s="1"/>
  <c r="AP74" i="49" s="1"/>
  <c r="Q74" i="49"/>
  <c r="AC74" i="49" s="1"/>
  <c r="AO74" i="49" s="1"/>
  <c r="P74" i="49"/>
  <c r="AB74" i="49" s="1"/>
  <c r="AN74" i="49" s="1"/>
  <c r="O74" i="49"/>
  <c r="AA74" i="49" s="1"/>
  <c r="AM74" i="49" s="1"/>
  <c r="BF73" i="49"/>
  <c r="BE73" i="49"/>
  <c r="BD73" i="49"/>
  <c r="BC73" i="49"/>
  <c r="BB73" i="49"/>
  <c r="AW73" i="49"/>
  <c r="AI73" i="49"/>
  <c r="AH73" i="49"/>
  <c r="AG73" i="49"/>
  <c r="AF73" i="49"/>
  <c r="W73" i="49"/>
  <c r="V73" i="49"/>
  <c r="U73" i="49"/>
  <c r="T73" i="49"/>
  <c r="S73" i="49"/>
  <c r="AE73" i="49" s="1"/>
  <c r="AQ73" i="49" s="1"/>
  <c r="R73" i="49"/>
  <c r="AD73" i="49" s="1"/>
  <c r="AP73" i="49" s="1"/>
  <c r="Q73" i="49"/>
  <c r="AC73" i="49" s="1"/>
  <c r="AO73" i="49" s="1"/>
  <c r="P73" i="49"/>
  <c r="AB73" i="49" s="1"/>
  <c r="AN73" i="49" s="1"/>
  <c r="O73" i="49"/>
  <c r="AA73" i="49" s="1"/>
  <c r="AM73" i="49" s="1"/>
  <c r="BF72" i="49"/>
  <c r="BE72" i="49"/>
  <c r="BD72" i="49"/>
  <c r="BC72" i="49"/>
  <c r="BB72" i="49"/>
  <c r="AW72" i="49"/>
  <c r="AI72" i="49"/>
  <c r="AH72" i="49"/>
  <c r="AG72" i="49"/>
  <c r="AF72" i="49"/>
  <c r="W72" i="49"/>
  <c r="V72" i="49"/>
  <c r="U72" i="49"/>
  <c r="T72" i="49"/>
  <c r="S72" i="49"/>
  <c r="AE72" i="49" s="1"/>
  <c r="AQ72" i="49" s="1"/>
  <c r="R72" i="49"/>
  <c r="AD72" i="49" s="1"/>
  <c r="AP72" i="49" s="1"/>
  <c r="Q72" i="49"/>
  <c r="AC72" i="49" s="1"/>
  <c r="AO72" i="49" s="1"/>
  <c r="P72" i="49"/>
  <c r="AB72" i="49" s="1"/>
  <c r="AN72" i="49" s="1"/>
  <c r="O72" i="49"/>
  <c r="BF71" i="49"/>
  <c r="BE71" i="49"/>
  <c r="BD71" i="49"/>
  <c r="BC71" i="49"/>
  <c r="BB71" i="49"/>
  <c r="AW71" i="49"/>
  <c r="AI71" i="49"/>
  <c r="AH71" i="49"/>
  <c r="AG71" i="49"/>
  <c r="AF71" i="49"/>
  <c r="W71" i="49"/>
  <c r="V71" i="49"/>
  <c r="U71" i="49"/>
  <c r="T71" i="49"/>
  <c r="S71" i="49"/>
  <c r="R71" i="49"/>
  <c r="AD71" i="49" s="1"/>
  <c r="AP71" i="49" s="1"/>
  <c r="Q71" i="49"/>
  <c r="AC71" i="49" s="1"/>
  <c r="AO71" i="49" s="1"/>
  <c r="P71" i="49"/>
  <c r="AB71" i="49" s="1"/>
  <c r="AN71" i="49" s="1"/>
  <c r="O71" i="49"/>
  <c r="AA71" i="49" s="1"/>
  <c r="AM71" i="49" s="1"/>
  <c r="BF70" i="49"/>
  <c r="BE70" i="49"/>
  <c r="BD70" i="49"/>
  <c r="BC70" i="49"/>
  <c r="BB70" i="49"/>
  <c r="AW70" i="49"/>
  <c r="AI70" i="49"/>
  <c r="AH70" i="49"/>
  <c r="AG70" i="49"/>
  <c r="AF70" i="49"/>
  <c r="W70" i="49"/>
  <c r="V70" i="49"/>
  <c r="U70" i="49"/>
  <c r="T70" i="49"/>
  <c r="S70" i="49"/>
  <c r="AE70" i="49" s="1"/>
  <c r="AQ70" i="49" s="1"/>
  <c r="R70" i="49"/>
  <c r="AD70" i="49" s="1"/>
  <c r="AP70" i="49" s="1"/>
  <c r="Q70" i="49"/>
  <c r="AC70" i="49" s="1"/>
  <c r="AO70" i="49" s="1"/>
  <c r="P70" i="49"/>
  <c r="AB70" i="49" s="1"/>
  <c r="AN70" i="49" s="1"/>
  <c r="O70" i="49"/>
  <c r="AA70" i="49" s="1"/>
  <c r="AM70" i="49" s="1"/>
  <c r="BF69" i="49"/>
  <c r="BE69" i="49"/>
  <c r="BD69" i="49"/>
  <c r="BC69" i="49"/>
  <c r="BB69" i="49"/>
  <c r="AW69" i="49"/>
  <c r="AI69" i="49"/>
  <c r="AH69" i="49"/>
  <c r="AG69" i="49"/>
  <c r="AF69" i="49"/>
  <c r="W69" i="49"/>
  <c r="V69" i="49"/>
  <c r="U69" i="49"/>
  <c r="T69" i="49"/>
  <c r="S69" i="49"/>
  <c r="AE69" i="49" s="1"/>
  <c r="AQ69" i="49" s="1"/>
  <c r="R69" i="49"/>
  <c r="AD69" i="49" s="1"/>
  <c r="AP69" i="49" s="1"/>
  <c r="Q69" i="49"/>
  <c r="AC69" i="49" s="1"/>
  <c r="AO69" i="49" s="1"/>
  <c r="P69" i="49"/>
  <c r="AB69" i="49" s="1"/>
  <c r="AN69" i="49" s="1"/>
  <c r="O69" i="49"/>
  <c r="AA69" i="49" s="1"/>
  <c r="AM69" i="49" s="1"/>
  <c r="BF68" i="49"/>
  <c r="BE68" i="49"/>
  <c r="BD68" i="49"/>
  <c r="BC68" i="49"/>
  <c r="BB68" i="49"/>
  <c r="AW68" i="49"/>
  <c r="AI68" i="49"/>
  <c r="AH68" i="49"/>
  <c r="AG68" i="49"/>
  <c r="AF68" i="49"/>
  <c r="W68" i="49"/>
  <c r="V68" i="49"/>
  <c r="U68" i="49"/>
  <c r="T68" i="49"/>
  <c r="S68" i="49"/>
  <c r="AE68" i="49" s="1"/>
  <c r="AQ68" i="49" s="1"/>
  <c r="R68" i="49"/>
  <c r="AD68" i="49" s="1"/>
  <c r="AP68" i="49" s="1"/>
  <c r="Q68" i="49"/>
  <c r="AC68" i="49" s="1"/>
  <c r="AO68" i="49" s="1"/>
  <c r="P68" i="49"/>
  <c r="O68" i="49"/>
  <c r="AA68" i="49" s="1"/>
  <c r="AM68" i="49" s="1"/>
  <c r="BF67" i="49"/>
  <c r="BE67" i="49"/>
  <c r="BD67" i="49"/>
  <c r="BC67" i="49"/>
  <c r="BB67" i="49"/>
  <c r="AW67" i="49"/>
  <c r="AI67" i="49"/>
  <c r="AH67" i="49"/>
  <c r="AG67" i="49"/>
  <c r="AF67" i="49"/>
  <c r="W67" i="49"/>
  <c r="V67" i="49"/>
  <c r="U67" i="49"/>
  <c r="T67" i="49"/>
  <c r="S67" i="49"/>
  <c r="AE67" i="49" s="1"/>
  <c r="AQ67" i="49" s="1"/>
  <c r="R67" i="49"/>
  <c r="AD67" i="49" s="1"/>
  <c r="AP67" i="49" s="1"/>
  <c r="Q67" i="49"/>
  <c r="AC67" i="49" s="1"/>
  <c r="AO67" i="49" s="1"/>
  <c r="P67" i="49"/>
  <c r="AB67" i="49" s="1"/>
  <c r="AN67" i="49" s="1"/>
  <c r="O67" i="49"/>
  <c r="AA67" i="49" s="1"/>
  <c r="AM67" i="49" s="1"/>
  <c r="BF66" i="49"/>
  <c r="BE66" i="49"/>
  <c r="BD66" i="49"/>
  <c r="BC66" i="49"/>
  <c r="BB66" i="49"/>
  <c r="AW66" i="49"/>
  <c r="AI66" i="49"/>
  <c r="AH66" i="49"/>
  <c r="AG66" i="49"/>
  <c r="AF66" i="49"/>
  <c r="W66" i="49"/>
  <c r="V66" i="49"/>
  <c r="U66" i="49"/>
  <c r="T66" i="49"/>
  <c r="S66" i="49"/>
  <c r="AE66" i="49" s="1"/>
  <c r="AQ66" i="49" s="1"/>
  <c r="R66" i="49"/>
  <c r="AD66" i="49" s="1"/>
  <c r="AP66" i="49" s="1"/>
  <c r="Q66" i="49"/>
  <c r="AC66" i="49" s="1"/>
  <c r="AO66" i="49" s="1"/>
  <c r="P66" i="49"/>
  <c r="AB66" i="49" s="1"/>
  <c r="AN66" i="49" s="1"/>
  <c r="O66" i="49"/>
  <c r="BF65" i="49"/>
  <c r="BE65" i="49"/>
  <c r="BD65" i="49"/>
  <c r="BC65" i="49"/>
  <c r="BB65" i="49"/>
  <c r="AW65" i="49"/>
  <c r="AI65" i="49"/>
  <c r="AH65" i="49"/>
  <c r="AG65" i="49"/>
  <c r="AF65" i="49"/>
  <c r="W65" i="49"/>
  <c r="V65" i="49"/>
  <c r="U65" i="49"/>
  <c r="T65" i="49"/>
  <c r="S65" i="49"/>
  <c r="AE65" i="49" s="1"/>
  <c r="AQ65" i="49" s="1"/>
  <c r="R65" i="49"/>
  <c r="AD65" i="49" s="1"/>
  <c r="AP65" i="49" s="1"/>
  <c r="Q65" i="49"/>
  <c r="AC65" i="49" s="1"/>
  <c r="AO65" i="49" s="1"/>
  <c r="P65" i="49"/>
  <c r="AB65" i="49" s="1"/>
  <c r="AN65" i="49" s="1"/>
  <c r="O65" i="49"/>
  <c r="AA65" i="49" s="1"/>
  <c r="AM65" i="49" s="1"/>
  <c r="BF64" i="49"/>
  <c r="BE64" i="49"/>
  <c r="BD64" i="49"/>
  <c r="BC64" i="49"/>
  <c r="BB64" i="49"/>
  <c r="AW64" i="49"/>
  <c r="AI64" i="49"/>
  <c r="AH64" i="49"/>
  <c r="AG64" i="49"/>
  <c r="AF64" i="49"/>
  <c r="W64" i="49"/>
  <c r="V64" i="49"/>
  <c r="U64" i="49"/>
  <c r="T64" i="49"/>
  <c r="S64" i="49"/>
  <c r="AE64" i="49" s="1"/>
  <c r="AQ64" i="49" s="1"/>
  <c r="R64" i="49"/>
  <c r="AD64" i="49" s="1"/>
  <c r="AP64" i="49" s="1"/>
  <c r="Q64" i="49"/>
  <c r="AC64" i="49" s="1"/>
  <c r="AO64" i="49" s="1"/>
  <c r="P64" i="49"/>
  <c r="AB64" i="49" s="1"/>
  <c r="AN64" i="49" s="1"/>
  <c r="O64" i="49"/>
  <c r="AA64" i="49" s="1"/>
  <c r="AM64" i="49" s="1"/>
  <c r="BF63" i="49"/>
  <c r="BE63" i="49"/>
  <c r="BD63" i="49"/>
  <c r="BC63" i="49"/>
  <c r="BB63" i="49"/>
  <c r="AW63" i="49"/>
  <c r="AI63" i="49"/>
  <c r="AH63" i="49"/>
  <c r="AG63" i="49"/>
  <c r="AF63" i="49"/>
  <c r="W63" i="49"/>
  <c r="V63" i="49"/>
  <c r="U63" i="49"/>
  <c r="T63" i="49"/>
  <c r="S63" i="49"/>
  <c r="AE63" i="49" s="1"/>
  <c r="AQ63" i="49" s="1"/>
  <c r="R63" i="49"/>
  <c r="AD63" i="49" s="1"/>
  <c r="AP63" i="49" s="1"/>
  <c r="Q63" i="49"/>
  <c r="AC63" i="49" s="1"/>
  <c r="AO63" i="49" s="1"/>
  <c r="P63" i="49"/>
  <c r="AB63" i="49" s="1"/>
  <c r="AN63" i="49" s="1"/>
  <c r="O63" i="49"/>
  <c r="AA63" i="49" s="1"/>
  <c r="AM63" i="49" s="1"/>
  <c r="BF62" i="49"/>
  <c r="BE62" i="49"/>
  <c r="BD62" i="49"/>
  <c r="BC62" i="49"/>
  <c r="BB62" i="49"/>
  <c r="AW62" i="49"/>
  <c r="AI62" i="49"/>
  <c r="AH62" i="49"/>
  <c r="AG62" i="49"/>
  <c r="AF62" i="49"/>
  <c r="W62" i="49"/>
  <c r="V62" i="49"/>
  <c r="U62" i="49"/>
  <c r="T62" i="49"/>
  <c r="S62" i="49"/>
  <c r="AE62" i="49" s="1"/>
  <c r="AQ62" i="49" s="1"/>
  <c r="R62" i="49"/>
  <c r="AD62" i="49" s="1"/>
  <c r="AP62" i="49" s="1"/>
  <c r="Q62" i="49"/>
  <c r="AC62" i="49" s="1"/>
  <c r="AO62" i="49" s="1"/>
  <c r="P62" i="49"/>
  <c r="AB62" i="49" s="1"/>
  <c r="AN62" i="49" s="1"/>
  <c r="O62" i="49"/>
  <c r="AA62" i="49" s="1"/>
  <c r="AM62" i="49" s="1"/>
  <c r="BF61" i="49"/>
  <c r="BE61" i="49"/>
  <c r="BD61" i="49"/>
  <c r="BC61" i="49"/>
  <c r="BB61" i="49"/>
  <c r="AW61" i="49"/>
  <c r="AI61" i="49"/>
  <c r="AH61" i="49"/>
  <c r="AG61" i="49"/>
  <c r="AF61" i="49"/>
  <c r="W61" i="49"/>
  <c r="V61" i="49"/>
  <c r="U61" i="49"/>
  <c r="T61" i="49"/>
  <c r="S61" i="49"/>
  <c r="AE61" i="49" s="1"/>
  <c r="AQ61" i="49" s="1"/>
  <c r="R61" i="49"/>
  <c r="AD61" i="49" s="1"/>
  <c r="AP61" i="49" s="1"/>
  <c r="Q61" i="49"/>
  <c r="AC61" i="49" s="1"/>
  <c r="AO61" i="49" s="1"/>
  <c r="P61" i="49"/>
  <c r="AB61" i="49" s="1"/>
  <c r="AN61" i="49" s="1"/>
  <c r="O61" i="49"/>
  <c r="AA61" i="49" s="1"/>
  <c r="AM61" i="49" s="1"/>
  <c r="BF60" i="49"/>
  <c r="BE60" i="49"/>
  <c r="BD60" i="49"/>
  <c r="BC60" i="49"/>
  <c r="BB60" i="49"/>
  <c r="AW60" i="49"/>
  <c r="AI60" i="49"/>
  <c r="AH60" i="49"/>
  <c r="AG60" i="49"/>
  <c r="AF60" i="49"/>
  <c r="W60" i="49"/>
  <c r="V60" i="49"/>
  <c r="U60" i="49"/>
  <c r="T60" i="49"/>
  <c r="S60" i="49"/>
  <c r="AE60" i="49" s="1"/>
  <c r="AQ60" i="49" s="1"/>
  <c r="R60" i="49"/>
  <c r="AD60" i="49" s="1"/>
  <c r="AP60" i="49" s="1"/>
  <c r="Q60" i="49"/>
  <c r="AC60" i="49" s="1"/>
  <c r="AO60" i="49" s="1"/>
  <c r="P60" i="49"/>
  <c r="AB60" i="49" s="1"/>
  <c r="AN60" i="49" s="1"/>
  <c r="O60" i="49"/>
  <c r="AA60" i="49" s="1"/>
  <c r="AM60" i="49" s="1"/>
  <c r="BF59" i="49"/>
  <c r="BE59" i="49"/>
  <c r="BD59" i="49"/>
  <c r="BC59" i="49"/>
  <c r="BB59" i="49"/>
  <c r="AW59" i="49"/>
  <c r="AI59" i="49"/>
  <c r="AH59" i="49"/>
  <c r="AG59" i="49"/>
  <c r="AF59" i="49"/>
  <c r="W59" i="49"/>
  <c r="V59" i="49"/>
  <c r="U59" i="49"/>
  <c r="T59" i="49"/>
  <c r="S59" i="49"/>
  <c r="AE59" i="49" s="1"/>
  <c r="AQ59" i="49" s="1"/>
  <c r="R59" i="49"/>
  <c r="AD59" i="49" s="1"/>
  <c r="AP59" i="49" s="1"/>
  <c r="Q59" i="49"/>
  <c r="AC59" i="49" s="1"/>
  <c r="AO59" i="49" s="1"/>
  <c r="P59" i="49"/>
  <c r="O59" i="49"/>
  <c r="AA59" i="49" s="1"/>
  <c r="AM59" i="49" s="1"/>
  <c r="BF58" i="49"/>
  <c r="BE58" i="49"/>
  <c r="BD58" i="49"/>
  <c r="BC58" i="49"/>
  <c r="BB58" i="49"/>
  <c r="AW58" i="49"/>
  <c r="AI58" i="49"/>
  <c r="AH58" i="49"/>
  <c r="AG58" i="49"/>
  <c r="AF58" i="49"/>
  <c r="K109" i="49" s="1"/>
  <c r="X109" i="49" s="1"/>
  <c r="W58" i="49"/>
  <c r="V58" i="49"/>
  <c r="U58" i="49"/>
  <c r="T58" i="49"/>
  <c r="S58" i="49"/>
  <c r="AE58" i="49" s="1"/>
  <c r="AQ58" i="49" s="1"/>
  <c r="R58" i="49"/>
  <c r="AD58" i="49" s="1"/>
  <c r="AP58" i="49" s="1"/>
  <c r="Q58" i="49"/>
  <c r="AC58" i="49" s="1"/>
  <c r="AO58" i="49" s="1"/>
  <c r="P58" i="49"/>
  <c r="AB58" i="49" s="1"/>
  <c r="AN58" i="49" s="1"/>
  <c r="O58" i="49"/>
  <c r="BF57" i="49"/>
  <c r="BE57" i="49"/>
  <c r="BD57" i="49"/>
  <c r="BC57" i="49"/>
  <c r="BB57" i="49"/>
  <c r="AW57" i="49"/>
  <c r="AI57" i="49"/>
  <c r="AH57" i="49"/>
  <c r="AG57" i="49"/>
  <c r="AF57" i="49"/>
  <c r="W57" i="49"/>
  <c r="V57" i="49"/>
  <c r="U57" i="49"/>
  <c r="T57" i="49"/>
  <c r="S57" i="49"/>
  <c r="AE57" i="49" s="1"/>
  <c r="AQ57" i="49" s="1"/>
  <c r="R57" i="49"/>
  <c r="AD57" i="49" s="1"/>
  <c r="AP57" i="49" s="1"/>
  <c r="Q57" i="49"/>
  <c r="AC57" i="49" s="1"/>
  <c r="AO57" i="49" s="1"/>
  <c r="P57" i="49"/>
  <c r="AB57" i="49" s="1"/>
  <c r="AN57" i="49" s="1"/>
  <c r="O57" i="49"/>
  <c r="AA57" i="49" s="1"/>
  <c r="AM57" i="49" s="1"/>
  <c r="BF56" i="49"/>
  <c r="BE56" i="49"/>
  <c r="BD56" i="49"/>
  <c r="BC56" i="49"/>
  <c r="BB56" i="49"/>
  <c r="AW56" i="49"/>
  <c r="AI56" i="49"/>
  <c r="AH56" i="49"/>
  <c r="AG56" i="49"/>
  <c r="AF56" i="49"/>
  <c r="W56" i="49"/>
  <c r="V56" i="49"/>
  <c r="U56" i="49"/>
  <c r="T56" i="49"/>
  <c r="S56" i="49"/>
  <c r="AE56" i="49" s="1"/>
  <c r="AQ56" i="49" s="1"/>
  <c r="R56" i="49"/>
  <c r="AD56" i="49" s="1"/>
  <c r="AP56" i="49" s="1"/>
  <c r="Q56" i="49"/>
  <c r="AC56" i="49" s="1"/>
  <c r="AO56" i="49" s="1"/>
  <c r="P56" i="49"/>
  <c r="AB56" i="49" s="1"/>
  <c r="AN56" i="49" s="1"/>
  <c r="O56" i="49"/>
  <c r="BF55" i="49"/>
  <c r="BE55" i="49"/>
  <c r="BD55" i="49"/>
  <c r="BC55" i="49"/>
  <c r="BB55" i="49"/>
  <c r="AW55" i="49"/>
  <c r="AI55" i="49"/>
  <c r="AH55" i="49"/>
  <c r="AG55" i="49"/>
  <c r="AF55" i="49"/>
  <c r="W55" i="49"/>
  <c r="V55" i="49"/>
  <c r="U55" i="49"/>
  <c r="T55" i="49"/>
  <c r="S55" i="49"/>
  <c r="AE55" i="49" s="1"/>
  <c r="AQ55" i="49" s="1"/>
  <c r="R55" i="49"/>
  <c r="AD55" i="49" s="1"/>
  <c r="AP55" i="49" s="1"/>
  <c r="Q55" i="49"/>
  <c r="AC55" i="49" s="1"/>
  <c r="AO55" i="49" s="1"/>
  <c r="P55" i="49"/>
  <c r="AB55" i="49" s="1"/>
  <c r="AN55" i="49" s="1"/>
  <c r="O55" i="49"/>
  <c r="BF54" i="49"/>
  <c r="BE54" i="49"/>
  <c r="BD54" i="49"/>
  <c r="BC54" i="49"/>
  <c r="BB54" i="49"/>
  <c r="AW54" i="49"/>
  <c r="AI54" i="49"/>
  <c r="AH54" i="49"/>
  <c r="AG54" i="49"/>
  <c r="AF54" i="49"/>
  <c r="K105" i="49" s="1"/>
  <c r="X105" i="49" s="1"/>
  <c r="W54" i="49"/>
  <c r="V54" i="49"/>
  <c r="U54" i="49"/>
  <c r="T54" i="49"/>
  <c r="S54" i="49"/>
  <c r="AE54" i="49" s="1"/>
  <c r="AQ54" i="49" s="1"/>
  <c r="R54" i="49"/>
  <c r="AD54" i="49" s="1"/>
  <c r="AP54" i="49" s="1"/>
  <c r="Q54" i="49"/>
  <c r="P54" i="49"/>
  <c r="AB54" i="49" s="1"/>
  <c r="AN54" i="49" s="1"/>
  <c r="O54" i="49"/>
  <c r="AA54" i="49" s="1"/>
  <c r="AM54" i="49" s="1"/>
  <c r="BF53" i="49"/>
  <c r="BE53" i="49"/>
  <c r="BD53" i="49"/>
  <c r="BC53" i="49"/>
  <c r="BB53" i="49"/>
  <c r="AW53" i="49"/>
  <c r="AI53" i="49"/>
  <c r="AH53" i="49"/>
  <c r="AG53" i="49"/>
  <c r="AF53" i="49"/>
  <c r="W53" i="49"/>
  <c r="V53" i="49"/>
  <c r="U53" i="49"/>
  <c r="T53" i="49"/>
  <c r="S53" i="49"/>
  <c r="AE53" i="49" s="1"/>
  <c r="AQ53" i="49" s="1"/>
  <c r="R53" i="49"/>
  <c r="AD53" i="49" s="1"/>
  <c r="AP53" i="49" s="1"/>
  <c r="Q53" i="49"/>
  <c r="AC53" i="49" s="1"/>
  <c r="AO53" i="49" s="1"/>
  <c r="P53" i="49"/>
  <c r="O53" i="49"/>
  <c r="AA53" i="49" s="1"/>
  <c r="AM53" i="49" s="1"/>
  <c r="BF52" i="49"/>
  <c r="BE52" i="49"/>
  <c r="BD52" i="49"/>
  <c r="BC52" i="49"/>
  <c r="BB52" i="49"/>
  <c r="AW52" i="49"/>
  <c r="AI52" i="49"/>
  <c r="AH52" i="49"/>
  <c r="AG52" i="49"/>
  <c r="AF52" i="49"/>
  <c r="W52" i="49"/>
  <c r="V52" i="49"/>
  <c r="U52" i="49"/>
  <c r="T52" i="49"/>
  <c r="S52" i="49"/>
  <c r="AE52" i="49" s="1"/>
  <c r="AQ52" i="49" s="1"/>
  <c r="R52" i="49"/>
  <c r="AD52" i="49" s="1"/>
  <c r="AP52" i="49" s="1"/>
  <c r="Q52" i="49"/>
  <c r="AC52" i="49" s="1"/>
  <c r="AO52" i="49" s="1"/>
  <c r="P52" i="49"/>
  <c r="AB52" i="49" s="1"/>
  <c r="AN52" i="49" s="1"/>
  <c r="O52" i="49"/>
  <c r="BF51" i="49"/>
  <c r="BE51" i="49"/>
  <c r="BD51" i="49"/>
  <c r="BC51" i="49"/>
  <c r="BB51" i="49"/>
  <c r="AW51" i="49"/>
  <c r="AI51" i="49"/>
  <c r="AH51" i="49"/>
  <c r="AG51" i="49"/>
  <c r="AF51" i="49"/>
  <c r="K102" i="49" s="1"/>
  <c r="X102" i="49" s="1"/>
  <c r="W51" i="49"/>
  <c r="V51" i="49"/>
  <c r="U51" i="49"/>
  <c r="T51" i="49"/>
  <c r="S51" i="49"/>
  <c r="AE51" i="49" s="1"/>
  <c r="AQ51" i="49" s="1"/>
  <c r="R51" i="49"/>
  <c r="AD51" i="49" s="1"/>
  <c r="AP51" i="49" s="1"/>
  <c r="Q51" i="49"/>
  <c r="AC51" i="49" s="1"/>
  <c r="AO51" i="49" s="1"/>
  <c r="P51" i="49"/>
  <c r="AB51" i="49" s="1"/>
  <c r="AN51" i="49" s="1"/>
  <c r="O51" i="49"/>
  <c r="AA51" i="49" s="1"/>
  <c r="AM51" i="49" s="1"/>
  <c r="BF50" i="49"/>
  <c r="BE50" i="49"/>
  <c r="BD50" i="49"/>
  <c r="BC50" i="49"/>
  <c r="BB50" i="49"/>
  <c r="AW50" i="49"/>
  <c r="AI50" i="49"/>
  <c r="AH50" i="49"/>
  <c r="AG50" i="49"/>
  <c r="AF50" i="49"/>
  <c r="K101" i="49" s="1"/>
  <c r="X101" i="49" s="1"/>
  <c r="W50" i="49"/>
  <c r="V50" i="49"/>
  <c r="U50" i="49"/>
  <c r="T50" i="49"/>
  <c r="S50" i="49"/>
  <c r="AE50" i="49" s="1"/>
  <c r="AQ50" i="49" s="1"/>
  <c r="R50" i="49"/>
  <c r="AD50" i="49" s="1"/>
  <c r="AP50" i="49" s="1"/>
  <c r="Q50" i="49"/>
  <c r="AC50" i="49" s="1"/>
  <c r="AO50" i="49" s="1"/>
  <c r="P50" i="49"/>
  <c r="AB50" i="49" s="1"/>
  <c r="AN50" i="49" s="1"/>
  <c r="O50" i="49"/>
  <c r="AA50" i="49" s="1"/>
  <c r="AM50" i="49" s="1"/>
  <c r="BF49" i="49"/>
  <c r="BE49" i="49"/>
  <c r="BD49" i="49"/>
  <c r="BC49" i="49"/>
  <c r="BB49" i="49"/>
  <c r="AW49" i="49"/>
  <c r="AI49" i="49"/>
  <c r="AH49" i="49"/>
  <c r="AG49" i="49"/>
  <c r="AF49" i="49"/>
  <c r="W49" i="49"/>
  <c r="V49" i="49"/>
  <c r="U49" i="49"/>
  <c r="T49" i="49"/>
  <c r="S49" i="49"/>
  <c r="AE49" i="49" s="1"/>
  <c r="AQ49" i="49" s="1"/>
  <c r="R49" i="49"/>
  <c r="AD49" i="49" s="1"/>
  <c r="AP49" i="49" s="1"/>
  <c r="Q49" i="49"/>
  <c r="AC49" i="49" s="1"/>
  <c r="AO49" i="49" s="1"/>
  <c r="P49" i="49"/>
  <c r="AB49" i="49" s="1"/>
  <c r="AN49" i="49" s="1"/>
  <c r="O49" i="49"/>
  <c r="AA49" i="49" s="1"/>
  <c r="AM49" i="49" s="1"/>
  <c r="BF48" i="49"/>
  <c r="BE48" i="49"/>
  <c r="BD48" i="49"/>
  <c r="BC48" i="49"/>
  <c r="BB48" i="49"/>
  <c r="AW48" i="49"/>
  <c r="AI48" i="49"/>
  <c r="AH48" i="49"/>
  <c r="AG48" i="49"/>
  <c r="AF48" i="49"/>
  <c r="W48" i="49"/>
  <c r="V48" i="49"/>
  <c r="U48" i="49"/>
  <c r="T48" i="49"/>
  <c r="S48" i="49"/>
  <c r="R48" i="49"/>
  <c r="AD48" i="49" s="1"/>
  <c r="AP48" i="49" s="1"/>
  <c r="Q48" i="49"/>
  <c r="AC48" i="49" s="1"/>
  <c r="AO48" i="49" s="1"/>
  <c r="P48" i="49"/>
  <c r="AB48" i="49" s="1"/>
  <c r="AN48" i="49" s="1"/>
  <c r="O48" i="49"/>
  <c r="AA48" i="49" s="1"/>
  <c r="AM48" i="49" s="1"/>
  <c r="BF47" i="49"/>
  <c r="BE47" i="49"/>
  <c r="BD47" i="49"/>
  <c r="BC47" i="49"/>
  <c r="BB47" i="49"/>
  <c r="AW47" i="49"/>
  <c r="AI47" i="49"/>
  <c r="AH47" i="49"/>
  <c r="AG47" i="49"/>
  <c r="AF47" i="49"/>
  <c r="W47" i="49"/>
  <c r="V47" i="49"/>
  <c r="U47" i="49"/>
  <c r="T47" i="49"/>
  <c r="S47" i="49"/>
  <c r="AE47" i="49" s="1"/>
  <c r="AQ47" i="49" s="1"/>
  <c r="R47" i="49"/>
  <c r="AD47" i="49" s="1"/>
  <c r="AP47" i="49" s="1"/>
  <c r="Q47" i="49"/>
  <c r="AC47" i="49" s="1"/>
  <c r="AO47" i="49" s="1"/>
  <c r="P47" i="49"/>
  <c r="AB47" i="49" s="1"/>
  <c r="AN47" i="49" s="1"/>
  <c r="O47" i="49"/>
  <c r="AA47" i="49" s="1"/>
  <c r="AM47" i="49" s="1"/>
  <c r="BF46" i="49"/>
  <c r="BE46" i="49"/>
  <c r="BD46" i="49"/>
  <c r="BC46" i="49"/>
  <c r="BB46" i="49"/>
  <c r="AW46" i="49"/>
  <c r="AI46" i="49"/>
  <c r="AH46" i="49"/>
  <c r="AG46" i="49"/>
  <c r="AF46" i="49"/>
  <c r="W46" i="49"/>
  <c r="V46" i="49"/>
  <c r="U46" i="49"/>
  <c r="T46" i="49"/>
  <c r="S46" i="49"/>
  <c r="AE46" i="49" s="1"/>
  <c r="AQ46" i="49" s="1"/>
  <c r="R46" i="49"/>
  <c r="AD46" i="49" s="1"/>
  <c r="AP46" i="49" s="1"/>
  <c r="Q46" i="49"/>
  <c r="P46" i="49"/>
  <c r="AB46" i="49" s="1"/>
  <c r="AN46" i="49" s="1"/>
  <c r="O46" i="49"/>
  <c r="AA46" i="49" s="1"/>
  <c r="AM46" i="49" s="1"/>
  <c r="BF45" i="49"/>
  <c r="BE45" i="49"/>
  <c r="BD45" i="49"/>
  <c r="BC45" i="49"/>
  <c r="BB45" i="49"/>
  <c r="AW45" i="49"/>
  <c r="AI45" i="49"/>
  <c r="AH45" i="49"/>
  <c r="AG45" i="49"/>
  <c r="AF45" i="49"/>
  <c r="W45" i="49"/>
  <c r="V45" i="49"/>
  <c r="U45" i="49"/>
  <c r="T45" i="49"/>
  <c r="S45" i="49"/>
  <c r="AE45" i="49" s="1"/>
  <c r="AQ45" i="49" s="1"/>
  <c r="R45" i="49"/>
  <c r="AD45" i="49" s="1"/>
  <c r="AP45" i="49" s="1"/>
  <c r="Q45" i="49"/>
  <c r="AC45" i="49" s="1"/>
  <c r="AO45" i="49" s="1"/>
  <c r="P45" i="49"/>
  <c r="O45" i="49"/>
  <c r="AA45" i="49" s="1"/>
  <c r="AM45" i="49" s="1"/>
  <c r="BF44" i="49"/>
  <c r="BE44" i="49"/>
  <c r="BD44" i="49"/>
  <c r="BC44" i="49"/>
  <c r="BB44" i="49"/>
  <c r="AW44" i="49"/>
  <c r="AI44" i="49"/>
  <c r="AH44" i="49"/>
  <c r="AG44" i="49"/>
  <c r="AF44" i="49"/>
  <c r="K95" i="49" s="1"/>
  <c r="X95" i="49" s="1"/>
  <c r="W44" i="49"/>
  <c r="V44" i="49"/>
  <c r="U44" i="49"/>
  <c r="T44" i="49"/>
  <c r="S44" i="49"/>
  <c r="AE44" i="49" s="1"/>
  <c r="AQ44" i="49" s="1"/>
  <c r="R44" i="49"/>
  <c r="AD44" i="49" s="1"/>
  <c r="AP44" i="49" s="1"/>
  <c r="Q44" i="49"/>
  <c r="AC44" i="49" s="1"/>
  <c r="AO44" i="49" s="1"/>
  <c r="P44" i="49"/>
  <c r="AB44" i="49" s="1"/>
  <c r="AN44" i="49" s="1"/>
  <c r="O44" i="49"/>
  <c r="BF43" i="49"/>
  <c r="BE43" i="49"/>
  <c r="BD43" i="49"/>
  <c r="BC43" i="49"/>
  <c r="BB43" i="49"/>
  <c r="AW43" i="49"/>
  <c r="AI43" i="49"/>
  <c r="AH43" i="49"/>
  <c r="AG43" i="49"/>
  <c r="AF43" i="49"/>
  <c r="W43" i="49"/>
  <c r="V43" i="49"/>
  <c r="U43" i="49"/>
  <c r="T43" i="49"/>
  <c r="S43" i="49"/>
  <c r="AE43" i="49" s="1"/>
  <c r="AQ43" i="49" s="1"/>
  <c r="R43" i="49"/>
  <c r="AD43" i="49" s="1"/>
  <c r="AP43" i="49" s="1"/>
  <c r="Q43" i="49"/>
  <c r="AC43" i="49" s="1"/>
  <c r="AO43" i="49" s="1"/>
  <c r="P43" i="49"/>
  <c r="AB43" i="49" s="1"/>
  <c r="AN43" i="49" s="1"/>
  <c r="O43" i="49"/>
  <c r="AA43" i="49" s="1"/>
  <c r="AM43" i="49" s="1"/>
  <c r="BF42" i="49"/>
  <c r="BE42" i="49"/>
  <c r="BD42" i="49"/>
  <c r="BC42" i="49"/>
  <c r="BB42" i="49"/>
  <c r="AW42" i="49"/>
  <c r="AI42" i="49"/>
  <c r="AH42" i="49"/>
  <c r="AG42" i="49"/>
  <c r="AF42" i="49"/>
  <c r="W42" i="49"/>
  <c r="V42" i="49"/>
  <c r="U42" i="49"/>
  <c r="T42" i="49"/>
  <c r="S42" i="49"/>
  <c r="AE42" i="49" s="1"/>
  <c r="AQ42" i="49" s="1"/>
  <c r="R42" i="49"/>
  <c r="AD42" i="49" s="1"/>
  <c r="AP42" i="49" s="1"/>
  <c r="Q42" i="49"/>
  <c r="AC42" i="49" s="1"/>
  <c r="AO42" i="49" s="1"/>
  <c r="P42" i="49"/>
  <c r="AB42" i="49" s="1"/>
  <c r="AN42" i="49" s="1"/>
  <c r="O42" i="49"/>
  <c r="AA42" i="49" s="1"/>
  <c r="AM42" i="49" s="1"/>
  <c r="BF41" i="49"/>
  <c r="BE41" i="49"/>
  <c r="BD41" i="49"/>
  <c r="BC41" i="49"/>
  <c r="BB41" i="49"/>
  <c r="AW41" i="49"/>
  <c r="AI41" i="49"/>
  <c r="AH41" i="49"/>
  <c r="AG41" i="49"/>
  <c r="AF41" i="49"/>
  <c r="W41" i="49"/>
  <c r="V41" i="49"/>
  <c r="U41" i="49"/>
  <c r="T41" i="49"/>
  <c r="S41" i="49"/>
  <c r="AE41" i="49" s="1"/>
  <c r="AQ41" i="49" s="1"/>
  <c r="R41" i="49"/>
  <c r="AD41" i="49" s="1"/>
  <c r="AP41" i="49" s="1"/>
  <c r="Q41" i="49"/>
  <c r="AC41" i="49" s="1"/>
  <c r="AO41" i="49" s="1"/>
  <c r="P41" i="49"/>
  <c r="AB41" i="49" s="1"/>
  <c r="AN41" i="49" s="1"/>
  <c r="O41" i="49"/>
  <c r="AA41" i="49" s="1"/>
  <c r="AM41" i="49" s="1"/>
  <c r="BF40" i="49"/>
  <c r="BE40" i="49"/>
  <c r="BD40" i="49"/>
  <c r="BC40" i="49"/>
  <c r="BB40" i="49"/>
  <c r="AW40" i="49"/>
  <c r="AI40" i="49"/>
  <c r="AH40" i="49"/>
  <c r="AG40" i="49"/>
  <c r="AF40" i="49"/>
  <c r="W40" i="49"/>
  <c r="V40" i="49"/>
  <c r="U40" i="49"/>
  <c r="T40" i="49"/>
  <c r="S40" i="49"/>
  <c r="AE40" i="49" s="1"/>
  <c r="AQ40" i="49" s="1"/>
  <c r="R40" i="49"/>
  <c r="AD40" i="49" s="1"/>
  <c r="AP40" i="49" s="1"/>
  <c r="Q40" i="49"/>
  <c r="P40" i="49"/>
  <c r="AB40" i="49" s="1"/>
  <c r="AN40" i="49" s="1"/>
  <c r="O40" i="49"/>
  <c r="AA40" i="49" s="1"/>
  <c r="AM40" i="49" s="1"/>
  <c r="BF39" i="49"/>
  <c r="BE39" i="49"/>
  <c r="BD39" i="49"/>
  <c r="BC39" i="49"/>
  <c r="BB39" i="49"/>
  <c r="AW39" i="49"/>
  <c r="AI39" i="49"/>
  <c r="AH39" i="49"/>
  <c r="AG39" i="49"/>
  <c r="AF39" i="49"/>
  <c r="W39" i="49"/>
  <c r="V39" i="49"/>
  <c r="U39" i="49"/>
  <c r="T39" i="49"/>
  <c r="S39" i="49"/>
  <c r="AE39" i="49" s="1"/>
  <c r="AQ39" i="49" s="1"/>
  <c r="R39" i="49"/>
  <c r="AD39" i="49" s="1"/>
  <c r="AP39" i="49" s="1"/>
  <c r="Q39" i="49"/>
  <c r="AC39" i="49" s="1"/>
  <c r="AO39" i="49" s="1"/>
  <c r="P39" i="49"/>
  <c r="AB39" i="49" s="1"/>
  <c r="AN39" i="49" s="1"/>
  <c r="O39" i="49"/>
  <c r="BF38" i="49"/>
  <c r="BE38" i="49"/>
  <c r="BD38" i="49"/>
  <c r="BC38" i="49"/>
  <c r="BB38" i="49"/>
  <c r="AW38" i="49"/>
  <c r="AI38" i="49"/>
  <c r="AH38" i="49"/>
  <c r="AG38" i="49"/>
  <c r="AF38" i="49"/>
  <c r="W38" i="49"/>
  <c r="V38" i="49"/>
  <c r="U38" i="49"/>
  <c r="AS38" i="49" s="1"/>
  <c r="T38" i="49"/>
  <c r="S38" i="49"/>
  <c r="AE38" i="49" s="1"/>
  <c r="AQ38" i="49" s="1"/>
  <c r="R38" i="49"/>
  <c r="AD38" i="49" s="1"/>
  <c r="AP38" i="49" s="1"/>
  <c r="Q38" i="49"/>
  <c r="P38" i="49"/>
  <c r="AB38" i="49" s="1"/>
  <c r="AN38" i="49" s="1"/>
  <c r="O38" i="49"/>
  <c r="BF37" i="49"/>
  <c r="BE37" i="49"/>
  <c r="BD37" i="49"/>
  <c r="BC37" i="49"/>
  <c r="BB37" i="49"/>
  <c r="AW37" i="49"/>
  <c r="AI37" i="49"/>
  <c r="AH37" i="49"/>
  <c r="AG37" i="49"/>
  <c r="AF37" i="49"/>
  <c r="K88" i="49" s="1"/>
  <c r="X88" i="49" s="1"/>
  <c r="W37" i="49"/>
  <c r="V37" i="49"/>
  <c r="U37" i="49"/>
  <c r="T37" i="49"/>
  <c r="S37" i="49"/>
  <c r="AE37" i="49" s="1"/>
  <c r="AQ37" i="49" s="1"/>
  <c r="R37" i="49"/>
  <c r="AD37" i="49" s="1"/>
  <c r="AP37" i="49" s="1"/>
  <c r="Q37" i="49"/>
  <c r="AC37" i="49" s="1"/>
  <c r="AO37" i="49" s="1"/>
  <c r="P37" i="49"/>
  <c r="O37" i="49"/>
  <c r="AA37" i="49" s="1"/>
  <c r="AM37" i="49" s="1"/>
  <c r="BF36" i="49"/>
  <c r="BE36" i="49"/>
  <c r="BD36" i="49"/>
  <c r="BC36" i="49"/>
  <c r="BB36" i="49"/>
  <c r="AW36" i="49"/>
  <c r="AI36" i="49"/>
  <c r="AH36" i="49"/>
  <c r="AG36" i="49"/>
  <c r="AF36" i="49"/>
  <c r="W36" i="49"/>
  <c r="V36" i="49"/>
  <c r="U36" i="49"/>
  <c r="T36" i="49"/>
  <c r="S36" i="49"/>
  <c r="AE36" i="49" s="1"/>
  <c r="AQ36" i="49" s="1"/>
  <c r="R36" i="49"/>
  <c r="AD36" i="49" s="1"/>
  <c r="AP36" i="49" s="1"/>
  <c r="Q36" i="49"/>
  <c r="AC36" i="49" s="1"/>
  <c r="AO36" i="49" s="1"/>
  <c r="P36" i="49"/>
  <c r="AB36" i="49" s="1"/>
  <c r="AN36" i="49" s="1"/>
  <c r="O36" i="49"/>
  <c r="BF35" i="49"/>
  <c r="BE35" i="49"/>
  <c r="BD35" i="49"/>
  <c r="BC35" i="49"/>
  <c r="BB35" i="49"/>
  <c r="AW35" i="49"/>
  <c r="AI35" i="49"/>
  <c r="AH35" i="49"/>
  <c r="AG35" i="49"/>
  <c r="AF35" i="49"/>
  <c r="W35" i="49"/>
  <c r="V35" i="49"/>
  <c r="U35" i="49"/>
  <c r="T35" i="49"/>
  <c r="S35" i="49"/>
  <c r="AE35" i="49" s="1"/>
  <c r="AQ35" i="49" s="1"/>
  <c r="R35" i="49"/>
  <c r="AD35" i="49" s="1"/>
  <c r="AP35" i="49" s="1"/>
  <c r="Q35" i="49"/>
  <c r="AC35" i="49" s="1"/>
  <c r="AO35" i="49" s="1"/>
  <c r="P35" i="49"/>
  <c r="AB35" i="49" s="1"/>
  <c r="AN35" i="49" s="1"/>
  <c r="O35" i="49"/>
  <c r="AA35" i="49" s="1"/>
  <c r="AM35" i="49" s="1"/>
  <c r="BF34" i="49"/>
  <c r="BE34" i="49"/>
  <c r="BD34" i="49"/>
  <c r="BC34" i="49"/>
  <c r="BB34" i="49"/>
  <c r="AW34" i="49"/>
  <c r="AI34" i="49"/>
  <c r="AH34" i="49"/>
  <c r="AG34" i="49"/>
  <c r="AF34" i="49"/>
  <c r="K85" i="49" s="1"/>
  <c r="X85" i="49" s="1"/>
  <c r="W34" i="49"/>
  <c r="V34" i="49"/>
  <c r="U34" i="49"/>
  <c r="T34" i="49"/>
  <c r="S34" i="49"/>
  <c r="AE34" i="49" s="1"/>
  <c r="AQ34" i="49" s="1"/>
  <c r="R34" i="49"/>
  <c r="AD34" i="49" s="1"/>
  <c r="AP34" i="49" s="1"/>
  <c r="Q34" i="49"/>
  <c r="AC34" i="49" s="1"/>
  <c r="AO34" i="49" s="1"/>
  <c r="P34" i="49"/>
  <c r="AB34" i="49" s="1"/>
  <c r="AN34" i="49" s="1"/>
  <c r="O34" i="49"/>
  <c r="AA34" i="49" s="1"/>
  <c r="AM34" i="49" s="1"/>
  <c r="BF33" i="49"/>
  <c r="BE33" i="49"/>
  <c r="BD33" i="49"/>
  <c r="BC33" i="49"/>
  <c r="BB33" i="49"/>
  <c r="AW33" i="49"/>
  <c r="AI33" i="49"/>
  <c r="AH33" i="49"/>
  <c r="AG33" i="49"/>
  <c r="AF33" i="49"/>
  <c r="W33" i="49"/>
  <c r="V33" i="49"/>
  <c r="U33" i="49"/>
  <c r="T33" i="49"/>
  <c r="S33" i="49"/>
  <c r="AE33" i="49" s="1"/>
  <c r="AQ33" i="49" s="1"/>
  <c r="R33" i="49"/>
  <c r="AD33" i="49" s="1"/>
  <c r="AP33" i="49" s="1"/>
  <c r="Q33" i="49"/>
  <c r="AC33" i="49" s="1"/>
  <c r="AO33" i="49" s="1"/>
  <c r="P33" i="49"/>
  <c r="AB33" i="49" s="1"/>
  <c r="AN33" i="49" s="1"/>
  <c r="O33" i="49"/>
  <c r="AA33" i="49" s="1"/>
  <c r="AM33" i="49" s="1"/>
  <c r="BF32" i="49"/>
  <c r="BE32" i="49"/>
  <c r="BD32" i="49"/>
  <c r="BC32" i="49"/>
  <c r="BB32" i="49"/>
  <c r="AW32" i="49"/>
  <c r="AI32" i="49"/>
  <c r="AH32" i="49"/>
  <c r="AG32" i="49"/>
  <c r="AF32" i="49"/>
  <c r="W32" i="49"/>
  <c r="V32" i="49"/>
  <c r="U32" i="49"/>
  <c r="T32" i="49"/>
  <c r="S32" i="49"/>
  <c r="AE32" i="49" s="1"/>
  <c r="AQ32" i="49" s="1"/>
  <c r="R32" i="49"/>
  <c r="AD32" i="49" s="1"/>
  <c r="AP32" i="49" s="1"/>
  <c r="Q32" i="49"/>
  <c r="AC32" i="49" s="1"/>
  <c r="AO32" i="49" s="1"/>
  <c r="P32" i="49"/>
  <c r="AB32" i="49" s="1"/>
  <c r="AN32" i="49" s="1"/>
  <c r="O32" i="49"/>
  <c r="AA32" i="49" s="1"/>
  <c r="AM32" i="49" s="1"/>
  <c r="BF31" i="49"/>
  <c r="BE31" i="49"/>
  <c r="BD31" i="49"/>
  <c r="BC31" i="49"/>
  <c r="BB31" i="49"/>
  <c r="AW31" i="49"/>
  <c r="AI31" i="49"/>
  <c r="AH31" i="49"/>
  <c r="AG31" i="49"/>
  <c r="AF31" i="49"/>
  <c r="W31" i="49"/>
  <c r="V31" i="49"/>
  <c r="U31" i="49"/>
  <c r="T31" i="49"/>
  <c r="S31" i="49"/>
  <c r="AE31" i="49" s="1"/>
  <c r="AQ31" i="49" s="1"/>
  <c r="R31" i="49"/>
  <c r="AD31" i="49" s="1"/>
  <c r="AP31" i="49" s="1"/>
  <c r="Q31" i="49"/>
  <c r="AC31" i="49" s="1"/>
  <c r="AO31" i="49" s="1"/>
  <c r="P31" i="49"/>
  <c r="AB31" i="49" s="1"/>
  <c r="AN31" i="49" s="1"/>
  <c r="O31" i="49"/>
  <c r="AA31" i="49" s="1"/>
  <c r="AM31" i="49" s="1"/>
  <c r="BF30" i="49"/>
  <c r="BE30" i="49"/>
  <c r="BD30" i="49"/>
  <c r="BC30" i="49"/>
  <c r="BB30" i="49"/>
  <c r="AW30" i="49"/>
  <c r="AI30" i="49"/>
  <c r="AH30" i="49"/>
  <c r="AG30" i="49"/>
  <c r="AF30" i="49"/>
  <c r="W30" i="49"/>
  <c r="V30" i="49"/>
  <c r="U30" i="49"/>
  <c r="T30" i="49"/>
  <c r="S30" i="49"/>
  <c r="AE30" i="49" s="1"/>
  <c r="AQ30" i="49" s="1"/>
  <c r="R30" i="49"/>
  <c r="AD30" i="49" s="1"/>
  <c r="AP30" i="49" s="1"/>
  <c r="Q30" i="49"/>
  <c r="AC30" i="49" s="1"/>
  <c r="AO30" i="49" s="1"/>
  <c r="P30" i="49"/>
  <c r="AB30" i="49" s="1"/>
  <c r="AN30" i="49" s="1"/>
  <c r="O30" i="49"/>
  <c r="AA30" i="49" s="1"/>
  <c r="AM30" i="49" s="1"/>
  <c r="BF29" i="49"/>
  <c r="BE29" i="49"/>
  <c r="BD29" i="49"/>
  <c r="BC29" i="49"/>
  <c r="BB29" i="49"/>
  <c r="AW29" i="49"/>
  <c r="AI29" i="49"/>
  <c r="AH29" i="49"/>
  <c r="AG29" i="49"/>
  <c r="AF29" i="49"/>
  <c r="K80" i="49" s="1"/>
  <c r="X80" i="49" s="1"/>
  <c r="W29" i="49"/>
  <c r="V29" i="49"/>
  <c r="U29" i="49"/>
  <c r="T29" i="49"/>
  <c r="S29" i="49"/>
  <c r="AE29" i="49" s="1"/>
  <c r="AQ29" i="49" s="1"/>
  <c r="R29" i="49"/>
  <c r="AD29" i="49" s="1"/>
  <c r="AP29" i="49" s="1"/>
  <c r="Q29" i="49"/>
  <c r="AC29" i="49" s="1"/>
  <c r="AO29" i="49" s="1"/>
  <c r="P29" i="49"/>
  <c r="O29" i="49"/>
  <c r="AA29" i="49" s="1"/>
  <c r="AM29" i="49" s="1"/>
  <c r="S27" i="49"/>
  <c r="AE27" i="49" s="1"/>
  <c r="R27" i="49"/>
  <c r="AD27" i="49" s="1"/>
  <c r="Q27" i="49"/>
  <c r="AC27" i="49" s="1"/>
  <c r="P27" i="49"/>
  <c r="AB27" i="49" s="1"/>
  <c r="O27" i="49"/>
  <c r="AK25" i="49"/>
  <c r="Y25" i="49"/>
  <c r="M25" i="49"/>
  <c r="A25" i="49"/>
  <c r="A1" i="49"/>
  <c r="L7" i="48"/>
  <c r="L4" i="48"/>
  <c r="W136" i="48"/>
  <c r="A25" i="47"/>
  <c r="V240" i="48"/>
  <c r="AA240" i="48" s="1"/>
  <c r="AG240" i="48" s="1"/>
  <c r="AK240" i="48" s="1"/>
  <c r="Q240" i="48"/>
  <c r="V239" i="48"/>
  <c r="AA239" i="48" s="1"/>
  <c r="AG239" i="48" s="1"/>
  <c r="AK239" i="48" s="1"/>
  <c r="Q239" i="48"/>
  <c r="V238" i="48"/>
  <c r="AA238" i="48" s="1"/>
  <c r="AG238" i="48" s="1"/>
  <c r="AK238" i="48" s="1"/>
  <c r="Q238" i="48"/>
  <c r="V237" i="48"/>
  <c r="AA237" i="48" s="1"/>
  <c r="AG237" i="48" s="1"/>
  <c r="AK237" i="48" s="1"/>
  <c r="Q237" i="48"/>
  <c r="V236" i="48"/>
  <c r="AA236" i="48" s="1"/>
  <c r="AG236" i="48" s="1"/>
  <c r="AK236" i="48" s="1"/>
  <c r="Q236" i="48"/>
  <c r="V235" i="48"/>
  <c r="AA235" i="48" s="1"/>
  <c r="AG235" i="48" s="1"/>
  <c r="AK235" i="48" s="1"/>
  <c r="Q235" i="48"/>
  <c r="V234" i="48"/>
  <c r="AA234" i="48" s="1"/>
  <c r="AG234" i="48" s="1"/>
  <c r="AK234" i="48" s="1"/>
  <c r="Q234" i="48"/>
  <c r="V233" i="48"/>
  <c r="AA233" i="48" s="1"/>
  <c r="AG233" i="48" s="1"/>
  <c r="AK233" i="48" s="1"/>
  <c r="Q233" i="48"/>
  <c r="V232" i="48"/>
  <c r="AA232" i="48" s="1"/>
  <c r="AG232" i="48" s="1"/>
  <c r="AK232" i="48" s="1"/>
  <c r="Q232" i="48"/>
  <c r="V231" i="48"/>
  <c r="AA231" i="48" s="1"/>
  <c r="AG231" i="48" s="1"/>
  <c r="AK231" i="48" s="1"/>
  <c r="Q231" i="48"/>
  <c r="V230" i="48"/>
  <c r="AA230" i="48" s="1"/>
  <c r="AG230" i="48" s="1"/>
  <c r="AK230" i="48" s="1"/>
  <c r="Q230" i="48"/>
  <c r="V229" i="48"/>
  <c r="AA229" i="48" s="1"/>
  <c r="AG229" i="48" s="1"/>
  <c r="AK229" i="48" s="1"/>
  <c r="Q229" i="48"/>
  <c r="V228" i="48"/>
  <c r="AA228" i="48" s="1"/>
  <c r="AG228" i="48" s="1"/>
  <c r="AK228" i="48" s="1"/>
  <c r="Q228" i="48"/>
  <c r="V227" i="48"/>
  <c r="AA227" i="48" s="1"/>
  <c r="AG227" i="48" s="1"/>
  <c r="AK227" i="48" s="1"/>
  <c r="Q227" i="48"/>
  <c r="V226" i="48"/>
  <c r="AA226" i="48" s="1"/>
  <c r="AG226" i="48" s="1"/>
  <c r="AK226" i="48" s="1"/>
  <c r="Q226" i="48"/>
  <c r="V225" i="48"/>
  <c r="AA225" i="48" s="1"/>
  <c r="AG225" i="48" s="1"/>
  <c r="AK225" i="48" s="1"/>
  <c r="Q225" i="48"/>
  <c r="V224" i="48"/>
  <c r="AA224" i="48" s="1"/>
  <c r="AG224" i="48" s="1"/>
  <c r="AK224" i="48" s="1"/>
  <c r="Q224" i="48"/>
  <c r="V223" i="48"/>
  <c r="AA223" i="48" s="1"/>
  <c r="AG223" i="48" s="1"/>
  <c r="AK223" i="48" s="1"/>
  <c r="Q223" i="48"/>
  <c r="V222" i="48"/>
  <c r="AA222" i="48" s="1"/>
  <c r="AG222" i="48" s="1"/>
  <c r="AK222" i="48" s="1"/>
  <c r="Q222" i="48"/>
  <c r="V221" i="48"/>
  <c r="AA221" i="48" s="1"/>
  <c r="AG221" i="48" s="1"/>
  <c r="AK221" i="48" s="1"/>
  <c r="Q221" i="48"/>
  <c r="V220" i="48"/>
  <c r="AA220" i="48" s="1"/>
  <c r="AG220" i="48" s="1"/>
  <c r="AK220" i="48" s="1"/>
  <c r="Q220" i="48"/>
  <c r="V219" i="48"/>
  <c r="AA219" i="48" s="1"/>
  <c r="AG219" i="48" s="1"/>
  <c r="AK219" i="48" s="1"/>
  <c r="Q219" i="48"/>
  <c r="V218" i="48"/>
  <c r="AA218" i="48" s="1"/>
  <c r="AG218" i="48" s="1"/>
  <c r="AK218" i="48" s="1"/>
  <c r="Q218" i="48"/>
  <c r="V217" i="48"/>
  <c r="AA217" i="48" s="1"/>
  <c r="AG217" i="48" s="1"/>
  <c r="AK217" i="48" s="1"/>
  <c r="Q217" i="48"/>
  <c r="V216" i="48"/>
  <c r="AA216" i="48" s="1"/>
  <c r="AG216" i="48" s="1"/>
  <c r="AK216" i="48" s="1"/>
  <c r="Q216" i="48"/>
  <c r="V215" i="48"/>
  <c r="AA215" i="48" s="1"/>
  <c r="AG215" i="48" s="1"/>
  <c r="AK215" i="48" s="1"/>
  <c r="Q215" i="48"/>
  <c r="V214" i="48"/>
  <c r="AA214" i="48" s="1"/>
  <c r="AG214" i="48" s="1"/>
  <c r="AK214" i="48" s="1"/>
  <c r="Q214" i="48"/>
  <c r="V213" i="48"/>
  <c r="AA213" i="48" s="1"/>
  <c r="AG213" i="48" s="1"/>
  <c r="AK213" i="48" s="1"/>
  <c r="Q213" i="48"/>
  <c r="V212" i="48"/>
  <c r="AA212" i="48" s="1"/>
  <c r="AG212" i="48" s="1"/>
  <c r="AK212" i="48" s="1"/>
  <c r="Q212" i="48"/>
  <c r="V211" i="48"/>
  <c r="AA211" i="48" s="1"/>
  <c r="AG211" i="48" s="1"/>
  <c r="AK211" i="48" s="1"/>
  <c r="Q211" i="48"/>
  <c r="V210" i="48"/>
  <c r="AA210" i="48" s="1"/>
  <c r="AG210" i="48" s="1"/>
  <c r="AK210" i="48" s="1"/>
  <c r="Q210" i="48"/>
  <c r="V209" i="48"/>
  <c r="AA209" i="48" s="1"/>
  <c r="AG209" i="48" s="1"/>
  <c r="AK209" i="48" s="1"/>
  <c r="Q209" i="48"/>
  <c r="V208" i="48"/>
  <c r="AA208" i="48" s="1"/>
  <c r="AG208" i="48" s="1"/>
  <c r="AK208" i="48" s="1"/>
  <c r="Q208" i="48"/>
  <c r="V207" i="48"/>
  <c r="AA207" i="48" s="1"/>
  <c r="AG207" i="48" s="1"/>
  <c r="AK207" i="48" s="1"/>
  <c r="Q207" i="48"/>
  <c r="V206" i="48"/>
  <c r="AA206" i="48" s="1"/>
  <c r="AG206" i="48" s="1"/>
  <c r="AK206" i="48" s="1"/>
  <c r="Q206" i="48"/>
  <c r="V205" i="48"/>
  <c r="AA205" i="48" s="1"/>
  <c r="AG205" i="48" s="1"/>
  <c r="AK205" i="48" s="1"/>
  <c r="Q205" i="48"/>
  <c r="V204" i="48"/>
  <c r="AA204" i="48" s="1"/>
  <c r="AG204" i="48" s="1"/>
  <c r="AK204" i="48" s="1"/>
  <c r="Q204" i="48"/>
  <c r="V203" i="48"/>
  <c r="AA203" i="48" s="1"/>
  <c r="AG203" i="48" s="1"/>
  <c r="AK203" i="48" s="1"/>
  <c r="Q203" i="48"/>
  <c r="V202" i="48"/>
  <c r="AA202" i="48" s="1"/>
  <c r="AG202" i="48" s="1"/>
  <c r="AK202" i="48" s="1"/>
  <c r="Q202" i="48"/>
  <c r="V201" i="48"/>
  <c r="AA201" i="48" s="1"/>
  <c r="Q201" i="48"/>
  <c r="V200" i="48"/>
  <c r="AA200" i="48" s="1"/>
  <c r="AG200" i="48" s="1"/>
  <c r="AK200" i="48" s="1"/>
  <c r="Q200" i="48"/>
  <c r="V199" i="48"/>
  <c r="AA199" i="48" s="1"/>
  <c r="AG199" i="48" s="1"/>
  <c r="AK199" i="48" s="1"/>
  <c r="Q199" i="48"/>
  <c r="V198" i="48"/>
  <c r="AA198" i="48" s="1"/>
  <c r="AG198" i="48" s="1"/>
  <c r="AK198" i="48" s="1"/>
  <c r="Q198" i="48"/>
  <c r="V197" i="48"/>
  <c r="AA197" i="48" s="1"/>
  <c r="AG197" i="48" s="1"/>
  <c r="AK197" i="48" s="1"/>
  <c r="Q197" i="48"/>
  <c r="V196" i="48"/>
  <c r="AA196" i="48" s="1"/>
  <c r="AG196" i="48" s="1"/>
  <c r="AK196" i="48" s="1"/>
  <c r="Q196" i="48"/>
  <c r="V195" i="48"/>
  <c r="AA195" i="48" s="1"/>
  <c r="Q195" i="48"/>
  <c r="AA194" i="48"/>
  <c r="AG194" i="48" s="1"/>
  <c r="AK194" i="48" s="1"/>
  <c r="Z194" i="48"/>
  <c r="AF194" i="48" s="1"/>
  <c r="AP181" i="48"/>
  <c r="AY181" i="48" s="1"/>
  <c r="AC181" i="48"/>
  <c r="X181" i="48"/>
  <c r="W181" i="48"/>
  <c r="AP180" i="48"/>
  <c r="AY180" i="48" s="1"/>
  <c r="AC180" i="48"/>
  <c r="X180" i="48"/>
  <c r="W180" i="48"/>
  <c r="AP179" i="48"/>
  <c r="AC179" i="48"/>
  <c r="X179" i="48"/>
  <c r="W179" i="48"/>
  <c r="AP178" i="48"/>
  <c r="AC178" i="48"/>
  <c r="X178" i="48"/>
  <c r="W178" i="48"/>
  <c r="AP177" i="48"/>
  <c r="AY177" i="48" s="1"/>
  <c r="AC177" i="48"/>
  <c r="X177" i="48"/>
  <c r="W177" i="48"/>
  <c r="AP176" i="48"/>
  <c r="AY176" i="48" s="1"/>
  <c r="AC176" i="48"/>
  <c r="X176" i="48"/>
  <c r="W176" i="48"/>
  <c r="AP175" i="48"/>
  <c r="AY175" i="48" s="1"/>
  <c r="AC175" i="48"/>
  <c r="X175" i="48"/>
  <c r="W175" i="48"/>
  <c r="AP174" i="48"/>
  <c r="AY174" i="48" s="1"/>
  <c r="AC174" i="48"/>
  <c r="X174" i="48"/>
  <c r="W174" i="48"/>
  <c r="AP173" i="48"/>
  <c r="AY173" i="48" s="1"/>
  <c r="AC173" i="48"/>
  <c r="X173" i="48"/>
  <c r="W173" i="48"/>
  <c r="AP172" i="48"/>
  <c r="AY172" i="48" s="1"/>
  <c r="AC172" i="48"/>
  <c r="X172" i="48"/>
  <c r="W172" i="48"/>
  <c r="AP171" i="48"/>
  <c r="AY171" i="48" s="1"/>
  <c r="AC171" i="48"/>
  <c r="X171" i="48"/>
  <c r="W171" i="48"/>
  <c r="AP170" i="48"/>
  <c r="AY170" i="48" s="1"/>
  <c r="AC170" i="48"/>
  <c r="X170" i="48"/>
  <c r="W170" i="48"/>
  <c r="AP169" i="48"/>
  <c r="AY169" i="48" s="1"/>
  <c r="AC169" i="48"/>
  <c r="X169" i="48"/>
  <c r="W169" i="48"/>
  <c r="AP168" i="48"/>
  <c r="AY168" i="48" s="1"/>
  <c r="AC168" i="48"/>
  <c r="X168" i="48"/>
  <c r="W168" i="48"/>
  <c r="AP167" i="48"/>
  <c r="AY167" i="48" s="1"/>
  <c r="AC167" i="48"/>
  <c r="X167" i="48"/>
  <c r="W167" i="48"/>
  <c r="AP166" i="48"/>
  <c r="AC166" i="48"/>
  <c r="X166" i="48"/>
  <c r="W166" i="48"/>
  <c r="AP165" i="48"/>
  <c r="AY165" i="48" s="1"/>
  <c r="AC165" i="48"/>
  <c r="X165" i="48"/>
  <c r="W165" i="48"/>
  <c r="AP164" i="48"/>
  <c r="AY164" i="48" s="1"/>
  <c r="AC164" i="48"/>
  <c r="X164" i="48"/>
  <c r="W164" i="48"/>
  <c r="AP163" i="48"/>
  <c r="AY163" i="48" s="1"/>
  <c r="AC163" i="48"/>
  <c r="X163" i="48"/>
  <c r="W163" i="48"/>
  <c r="AP162" i="48"/>
  <c r="AY162" i="48" s="1"/>
  <c r="AC162" i="48"/>
  <c r="X162" i="48"/>
  <c r="W162" i="48"/>
  <c r="AP161" i="48"/>
  <c r="AC161" i="48"/>
  <c r="X161" i="48"/>
  <c r="W161" i="48"/>
  <c r="AP160" i="48"/>
  <c r="AY160" i="48" s="1"/>
  <c r="AC160" i="48"/>
  <c r="X160" i="48"/>
  <c r="W160" i="48"/>
  <c r="AP159" i="48"/>
  <c r="AY159" i="48" s="1"/>
  <c r="AC159" i="48"/>
  <c r="X159" i="48"/>
  <c r="W159" i="48"/>
  <c r="AP158" i="48"/>
  <c r="AC158" i="48"/>
  <c r="X158" i="48"/>
  <c r="W158" i="48"/>
  <c r="AP157" i="48"/>
  <c r="AY157" i="48" s="1"/>
  <c r="AC157" i="48"/>
  <c r="X157" i="48"/>
  <c r="W157" i="48"/>
  <c r="AP156" i="48"/>
  <c r="AY156" i="48" s="1"/>
  <c r="AC156" i="48"/>
  <c r="X156" i="48"/>
  <c r="W156" i="48"/>
  <c r="AP155" i="48"/>
  <c r="AY155" i="48" s="1"/>
  <c r="AC155" i="48"/>
  <c r="X155" i="48"/>
  <c r="W155" i="48"/>
  <c r="AP154" i="48"/>
  <c r="AY154" i="48" s="1"/>
  <c r="AC154" i="48"/>
  <c r="X154" i="48"/>
  <c r="W154" i="48"/>
  <c r="AP153" i="48"/>
  <c r="AY153" i="48" s="1"/>
  <c r="AC153" i="48"/>
  <c r="X153" i="48"/>
  <c r="W153" i="48"/>
  <c r="AP152" i="48"/>
  <c r="AY152" i="48" s="1"/>
  <c r="AC152" i="48"/>
  <c r="X152" i="48"/>
  <c r="W152" i="48"/>
  <c r="AP151" i="48"/>
  <c r="AY151" i="48" s="1"/>
  <c r="AC151" i="48"/>
  <c r="X151" i="48"/>
  <c r="W151" i="48"/>
  <c r="AP150" i="48"/>
  <c r="AY150" i="48" s="1"/>
  <c r="AC150" i="48"/>
  <c r="X150" i="48"/>
  <c r="W150" i="48"/>
  <c r="AP149" i="48"/>
  <c r="AY149" i="48" s="1"/>
  <c r="AC149" i="48"/>
  <c r="X149" i="48"/>
  <c r="W149" i="48"/>
  <c r="AP148" i="48"/>
  <c r="AY148" i="48" s="1"/>
  <c r="AC148" i="48"/>
  <c r="X148" i="48"/>
  <c r="W148" i="48"/>
  <c r="AP147" i="48"/>
  <c r="AC147" i="48"/>
  <c r="X147" i="48"/>
  <c r="W147" i="48"/>
  <c r="AP146" i="48"/>
  <c r="AY146" i="48" s="1"/>
  <c r="AC146" i="48"/>
  <c r="X146" i="48"/>
  <c r="W146" i="48"/>
  <c r="AP145" i="48"/>
  <c r="AY145" i="48" s="1"/>
  <c r="AC145" i="48"/>
  <c r="X145" i="48"/>
  <c r="W145" i="48"/>
  <c r="AP144" i="48"/>
  <c r="AC144" i="48"/>
  <c r="X144" i="48"/>
  <c r="W144" i="48"/>
  <c r="AP143" i="48"/>
  <c r="AY143" i="48" s="1"/>
  <c r="AC143" i="48"/>
  <c r="X143" i="48"/>
  <c r="W143" i="48"/>
  <c r="AP142" i="48"/>
  <c r="AY142" i="48" s="1"/>
  <c r="AC142" i="48"/>
  <c r="X142" i="48"/>
  <c r="W142" i="48"/>
  <c r="AP141" i="48"/>
  <c r="AY141" i="48" s="1"/>
  <c r="AC141" i="48"/>
  <c r="X141" i="48"/>
  <c r="W141" i="48"/>
  <c r="AP140" i="48"/>
  <c r="AY140" i="48" s="1"/>
  <c r="AC140" i="48"/>
  <c r="X140" i="48"/>
  <c r="W140" i="48"/>
  <c r="AP139" i="48"/>
  <c r="AC139" i="48"/>
  <c r="X139" i="48"/>
  <c r="W139" i="48"/>
  <c r="AP138" i="48"/>
  <c r="AY138" i="48" s="1"/>
  <c r="AC138" i="48"/>
  <c r="X138" i="48"/>
  <c r="W138" i="48"/>
  <c r="AP137" i="48"/>
  <c r="AY137" i="48" s="1"/>
  <c r="AC137" i="48"/>
  <c r="X137" i="48"/>
  <c r="W137" i="48"/>
  <c r="AP136" i="48"/>
  <c r="AY136" i="48" s="1"/>
  <c r="AC136" i="48"/>
  <c r="X136" i="48"/>
  <c r="AY135" i="48"/>
  <c r="AX135" i="48"/>
  <c r="AV135" i="48"/>
  <c r="AU135" i="48"/>
  <c r="C126" i="48"/>
  <c r="C125" i="48"/>
  <c r="C124" i="48"/>
  <c r="C123" i="48"/>
  <c r="C122" i="48"/>
  <c r="C121" i="48"/>
  <c r="C120" i="48"/>
  <c r="C119" i="48"/>
  <c r="C118" i="48"/>
  <c r="C117" i="48"/>
  <c r="C116" i="48"/>
  <c r="C115" i="48"/>
  <c r="C114" i="48"/>
  <c r="C113" i="48"/>
  <c r="C112" i="48"/>
  <c r="C111" i="48"/>
  <c r="C110" i="48"/>
  <c r="C109" i="48"/>
  <c r="C108" i="48"/>
  <c r="C107" i="48"/>
  <c r="C106" i="48"/>
  <c r="C105" i="48"/>
  <c r="C104" i="48"/>
  <c r="C103" i="48"/>
  <c r="C102" i="48"/>
  <c r="C101" i="48"/>
  <c r="C100" i="48"/>
  <c r="C99" i="48"/>
  <c r="C98" i="48"/>
  <c r="C97" i="48"/>
  <c r="C96" i="48"/>
  <c r="C95" i="48"/>
  <c r="C94" i="48"/>
  <c r="C93" i="48"/>
  <c r="C92" i="48"/>
  <c r="C91" i="48"/>
  <c r="C90" i="48"/>
  <c r="C89" i="48"/>
  <c r="C88" i="48"/>
  <c r="C87" i="48"/>
  <c r="C86" i="48"/>
  <c r="C85" i="48"/>
  <c r="C84" i="48"/>
  <c r="C83" i="48"/>
  <c r="C82" i="48"/>
  <c r="C81" i="48"/>
  <c r="C80" i="48"/>
  <c r="B80" i="48"/>
  <c r="F79" i="48"/>
  <c r="W78" i="48"/>
  <c r="H78" i="48"/>
  <c r="A78" i="48"/>
  <c r="BF75" i="48"/>
  <c r="BE75" i="48"/>
  <c r="BD75" i="48"/>
  <c r="BC75" i="48"/>
  <c r="BB75" i="48"/>
  <c r="AW75" i="48"/>
  <c r="AI75" i="48"/>
  <c r="AH75" i="48"/>
  <c r="AG75" i="48"/>
  <c r="AF75" i="48"/>
  <c r="AE75" i="48"/>
  <c r="AQ75" i="48" s="1"/>
  <c r="AD75" i="48"/>
  <c r="AP75" i="48" s="1"/>
  <c r="AC75" i="48"/>
  <c r="AO75" i="48" s="1"/>
  <c r="AB75" i="48"/>
  <c r="AN75" i="48" s="1"/>
  <c r="BF74" i="48"/>
  <c r="BE74" i="48"/>
  <c r="BD74" i="48"/>
  <c r="BC74" i="48"/>
  <c r="BB74" i="48"/>
  <c r="AW74" i="48"/>
  <c r="AI74" i="48"/>
  <c r="AH74" i="48"/>
  <c r="AG74" i="48"/>
  <c r="AF74" i="48"/>
  <c r="AE74" i="48"/>
  <c r="AQ74" i="48" s="1"/>
  <c r="AD74" i="48"/>
  <c r="AP74" i="48" s="1"/>
  <c r="AC74" i="48"/>
  <c r="AO74" i="48" s="1"/>
  <c r="AB74" i="48"/>
  <c r="AN74" i="48" s="1"/>
  <c r="AA74" i="48"/>
  <c r="AM74" i="48" s="1"/>
  <c r="BF73" i="48"/>
  <c r="BE73" i="48"/>
  <c r="BD73" i="48"/>
  <c r="BC73" i="48"/>
  <c r="BB73" i="48"/>
  <c r="AW73" i="48"/>
  <c r="AI73" i="48"/>
  <c r="AH73" i="48"/>
  <c r="AG73" i="48"/>
  <c r="AF73" i="48"/>
  <c r="AE73" i="48"/>
  <c r="AQ73" i="48" s="1"/>
  <c r="AD73" i="48"/>
  <c r="AP73" i="48" s="1"/>
  <c r="AC73" i="48"/>
  <c r="AO73" i="48" s="1"/>
  <c r="AB73" i="48"/>
  <c r="AN73" i="48" s="1"/>
  <c r="AA73" i="48"/>
  <c r="AM73" i="48" s="1"/>
  <c r="BF72" i="48"/>
  <c r="BE72" i="48"/>
  <c r="BD72" i="48"/>
  <c r="BC72" i="48"/>
  <c r="BB72" i="48"/>
  <c r="AW72" i="48"/>
  <c r="AI72" i="48"/>
  <c r="AH72" i="48"/>
  <c r="AG72" i="48"/>
  <c r="AF72" i="48"/>
  <c r="AE72" i="48"/>
  <c r="AQ72" i="48" s="1"/>
  <c r="AD72" i="48"/>
  <c r="AP72" i="48" s="1"/>
  <c r="AC72" i="48"/>
  <c r="AO72" i="48" s="1"/>
  <c r="AB72" i="48"/>
  <c r="AN72" i="48" s="1"/>
  <c r="AA72" i="48"/>
  <c r="AM72" i="48" s="1"/>
  <c r="BF71" i="48"/>
  <c r="BE71" i="48"/>
  <c r="BD71" i="48"/>
  <c r="BC71" i="48"/>
  <c r="BB71" i="48"/>
  <c r="AW71" i="48"/>
  <c r="AI71" i="48"/>
  <c r="AH71" i="48"/>
  <c r="AT71" i="48" s="1"/>
  <c r="AG71" i="48"/>
  <c r="AF71" i="48"/>
  <c r="AD71" i="48"/>
  <c r="AP71" i="48" s="1"/>
  <c r="AC71" i="48"/>
  <c r="AO71" i="48" s="1"/>
  <c r="AB71" i="48"/>
  <c r="AN71" i="48" s="1"/>
  <c r="AA71" i="48"/>
  <c r="AM71" i="48" s="1"/>
  <c r="BF70" i="48"/>
  <c r="BE70" i="48"/>
  <c r="BD70" i="48"/>
  <c r="BC70" i="48"/>
  <c r="BB70" i="48"/>
  <c r="AW70" i="48"/>
  <c r="AI70" i="48"/>
  <c r="AU70" i="48" s="1"/>
  <c r="AH70" i="48"/>
  <c r="AT70" i="48" s="1"/>
  <c r="AG70" i="48"/>
  <c r="AF70" i="48"/>
  <c r="AE70" i="48"/>
  <c r="AQ70" i="48" s="1"/>
  <c r="AD70" i="48"/>
  <c r="AP70" i="48" s="1"/>
  <c r="AC70" i="48"/>
  <c r="AO70" i="48" s="1"/>
  <c r="AB70" i="48"/>
  <c r="AN70" i="48" s="1"/>
  <c r="AA70" i="48"/>
  <c r="AM70" i="48" s="1"/>
  <c r="BF69" i="48"/>
  <c r="BE69" i="48"/>
  <c r="BD69" i="48"/>
  <c r="BC69" i="48"/>
  <c r="BB69" i="48"/>
  <c r="AW69" i="48"/>
  <c r="AI69" i="48"/>
  <c r="AH69" i="48"/>
  <c r="AT69" i="48" s="1"/>
  <c r="AG69" i="48"/>
  <c r="AF69" i="48"/>
  <c r="AE69" i="48"/>
  <c r="AQ69" i="48" s="1"/>
  <c r="AD69" i="48"/>
  <c r="AP69" i="48" s="1"/>
  <c r="AC69" i="48"/>
  <c r="AO69" i="48" s="1"/>
  <c r="AB69" i="48"/>
  <c r="AN69" i="48" s="1"/>
  <c r="AA69" i="48"/>
  <c r="AM69" i="48" s="1"/>
  <c r="BF68" i="48"/>
  <c r="BE68" i="48"/>
  <c r="BD68" i="48"/>
  <c r="BC68" i="48"/>
  <c r="BB68" i="48"/>
  <c r="AW68" i="48"/>
  <c r="AI68" i="48"/>
  <c r="AH68" i="48"/>
  <c r="AG68" i="48"/>
  <c r="AF68" i="48"/>
  <c r="AR68" i="48" s="1"/>
  <c r="AE68" i="48"/>
  <c r="AQ68" i="48" s="1"/>
  <c r="AD68" i="48"/>
  <c r="AP68" i="48" s="1"/>
  <c r="AC68" i="48"/>
  <c r="AO68" i="48" s="1"/>
  <c r="AB68" i="48"/>
  <c r="AN68" i="48" s="1"/>
  <c r="AA68" i="48"/>
  <c r="AM68" i="48" s="1"/>
  <c r="BF67" i="48"/>
  <c r="BE67" i="48"/>
  <c r="BD67" i="48"/>
  <c r="BC67" i="48"/>
  <c r="BB67" i="48"/>
  <c r="AW67" i="48"/>
  <c r="AI67" i="48"/>
  <c r="AH67" i="48"/>
  <c r="AG67" i="48"/>
  <c r="AF67" i="48"/>
  <c r="K118" i="48" s="1"/>
  <c r="AE67" i="48"/>
  <c r="AQ67" i="48" s="1"/>
  <c r="AD67" i="48"/>
  <c r="AP67" i="48" s="1"/>
  <c r="AC67" i="48"/>
  <c r="AO67" i="48" s="1"/>
  <c r="AB67" i="48"/>
  <c r="AN67" i="48" s="1"/>
  <c r="AA67" i="48"/>
  <c r="AM67" i="48" s="1"/>
  <c r="BF66" i="48"/>
  <c r="BE66" i="48"/>
  <c r="BD66" i="48"/>
  <c r="BC66" i="48"/>
  <c r="BB66" i="48"/>
  <c r="AW66" i="48"/>
  <c r="AI66" i="48"/>
  <c r="AH66" i="48"/>
  <c r="AG66" i="48"/>
  <c r="AF66" i="48"/>
  <c r="AR66" i="48" s="1"/>
  <c r="AE66" i="48"/>
  <c r="AQ66" i="48" s="1"/>
  <c r="AD66" i="48"/>
  <c r="AP66" i="48" s="1"/>
  <c r="AC66" i="48"/>
  <c r="AO66" i="48" s="1"/>
  <c r="AB66" i="48"/>
  <c r="AN66" i="48" s="1"/>
  <c r="BF65" i="48"/>
  <c r="BE65" i="48"/>
  <c r="BD65" i="48"/>
  <c r="BC65" i="48"/>
  <c r="BB65" i="48"/>
  <c r="AW65" i="48"/>
  <c r="AI65" i="48"/>
  <c r="AH65" i="48"/>
  <c r="AG65" i="48"/>
  <c r="AF65" i="48"/>
  <c r="AE65" i="48"/>
  <c r="AQ65" i="48" s="1"/>
  <c r="AD65" i="48"/>
  <c r="AP65" i="48" s="1"/>
  <c r="AC65" i="48"/>
  <c r="AO65" i="48" s="1"/>
  <c r="AB65" i="48"/>
  <c r="AN65" i="48" s="1"/>
  <c r="AA65" i="48"/>
  <c r="AM65" i="48" s="1"/>
  <c r="BF64" i="48"/>
  <c r="BE64" i="48"/>
  <c r="BD64" i="48"/>
  <c r="BC64" i="48"/>
  <c r="BB64" i="48"/>
  <c r="AW64" i="48"/>
  <c r="AI64" i="48"/>
  <c r="AH64" i="48"/>
  <c r="AG64" i="48"/>
  <c r="AF64" i="48"/>
  <c r="AD64" i="48"/>
  <c r="AP64" i="48" s="1"/>
  <c r="AE64" i="48"/>
  <c r="AQ64" i="48" s="1"/>
  <c r="AC64" i="48"/>
  <c r="AO64" i="48" s="1"/>
  <c r="AB64" i="48"/>
  <c r="AN64" i="48" s="1"/>
  <c r="AA64" i="48"/>
  <c r="AM64" i="48" s="1"/>
  <c r="BF63" i="48"/>
  <c r="BE63" i="48"/>
  <c r="BD63" i="48"/>
  <c r="BC63" i="48"/>
  <c r="BB63" i="48"/>
  <c r="AW63" i="48"/>
  <c r="AI63" i="48"/>
  <c r="AH63" i="48"/>
  <c r="AG63" i="48"/>
  <c r="AF63" i="48"/>
  <c r="AE63" i="48"/>
  <c r="AQ63" i="48" s="1"/>
  <c r="AC63" i="48"/>
  <c r="AO63" i="48" s="1"/>
  <c r="AB63" i="48"/>
  <c r="AN63" i="48" s="1"/>
  <c r="AA63" i="48"/>
  <c r="AM63" i="48" s="1"/>
  <c r="BF62" i="48"/>
  <c r="BE62" i="48"/>
  <c r="BD62" i="48"/>
  <c r="BC62" i="48"/>
  <c r="BB62" i="48"/>
  <c r="AW62" i="48"/>
  <c r="AI62" i="48"/>
  <c r="AH62" i="48"/>
  <c r="AT62" i="48" s="1"/>
  <c r="AG62" i="48"/>
  <c r="AF62" i="48"/>
  <c r="AC62" i="48"/>
  <c r="AO62" i="48" s="1"/>
  <c r="AE62" i="48"/>
  <c r="AQ62" i="48" s="1"/>
  <c r="AD62" i="48"/>
  <c r="AP62" i="48" s="1"/>
  <c r="AB62" i="48"/>
  <c r="AN62" i="48" s="1"/>
  <c r="AA62" i="48"/>
  <c r="AM62" i="48" s="1"/>
  <c r="BF61" i="48"/>
  <c r="BE61" i="48"/>
  <c r="BD61" i="48"/>
  <c r="BC61" i="48"/>
  <c r="BB61" i="48"/>
  <c r="AW61" i="48"/>
  <c r="AI61" i="48"/>
  <c r="AH61" i="48"/>
  <c r="AG61" i="48"/>
  <c r="AF61" i="48"/>
  <c r="K112" i="48" s="1"/>
  <c r="AE61" i="48"/>
  <c r="AQ61" i="48" s="1"/>
  <c r="AD61" i="48"/>
  <c r="AP61" i="48" s="1"/>
  <c r="AC61" i="48"/>
  <c r="AO61" i="48" s="1"/>
  <c r="AB61" i="48"/>
  <c r="AN61" i="48" s="1"/>
  <c r="AA61" i="48"/>
  <c r="AM61" i="48" s="1"/>
  <c r="BF60" i="48"/>
  <c r="BE60" i="48"/>
  <c r="BD60" i="48"/>
  <c r="BC60" i="48"/>
  <c r="BB60" i="48"/>
  <c r="AW60" i="48"/>
  <c r="AI60" i="48"/>
  <c r="AH60" i="48"/>
  <c r="AG60" i="48"/>
  <c r="AF60" i="48"/>
  <c r="AE60" i="48"/>
  <c r="AQ60" i="48" s="1"/>
  <c r="AD60" i="48"/>
  <c r="AP60" i="48" s="1"/>
  <c r="AC60" i="48"/>
  <c r="AO60" i="48" s="1"/>
  <c r="AB60" i="48"/>
  <c r="AN60" i="48" s="1"/>
  <c r="AA60" i="48"/>
  <c r="AM60" i="48" s="1"/>
  <c r="BF59" i="48"/>
  <c r="BE59" i="48"/>
  <c r="BD59" i="48"/>
  <c r="BC59" i="48"/>
  <c r="BB59" i="48"/>
  <c r="AW59" i="48"/>
  <c r="AI59" i="48"/>
  <c r="AH59" i="48"/>
  <c r="AG59" i="48"/>
  <c r="AF59" i="48"/>
  <c r="AE59" i="48"/>
  <c r="AQ59" i="48" s="1"/>
  <c r="AD59" i="48"/>
  <c r="AP59" i="48" s="1"/>
  <c r="AC59" i="48"/>
  <c r="AO59" i="48" s="1"/>
  <c r="AB59" i="48"/>
  <c r="AN59" i="48" s="1"/>
  <c r="BF58" i="48"/>
  <c r="BE58" i="48"/>
  <c r="BD58" i="48"/>
  <c r="BC58" i="48"/>
  <c r="BB58" i="48"/>
  <c r="AW58" i="48"/>
  <c r="AI58" i="48"/>
  <c r="AH58" i="48"/>
  <c r="AG58" i="48"/>
  <c r="AF58" i="48"/>
  <c r="AB58" i="48"/>
  <c r="AN58" i="48" s="1"/>
  <c r="AE58" i="48"/>
  <c r="AQ58" i="48" s="1"/>
  <c r="AD58" i="48"/>
  <c r="AP58" i="48" s="1"/>
  <c r="AC58" i="48"/>
  <c r="AO58" i="48" s="1"/>
  <c r="AA58" i="48"/>
  <c r="AM58" i="48" s="1"/>
  <c r="BF57" i="48"/>
  <c r="BE57" i="48"/>
  <c r="BD57" i="48"/>
  <c r="BC57" i="48"/>
  <c r="BB57" i="48"/>
  <c r="AW57" i="48"/>
  <c r="AI57" i="48"/>
  <c r="AH57" i="48"/>
  <c r="AG57" i="48"/>
  <c r="AF57" i="48"/>
  <c r="AR57" i="48" s="1"/>
  <c r="AE57" i="48"/>
  <c r="AQ57" i="48" s="1"/>
  <c r="AD57" i="48"/>
  <c r="AP57" i="48" s="1"/>
  <c r="AC57" i="48"/>
  <c r="AO57" i="48" s="1"/>
  <c r="AB57" i="48"/>
  <c r="AN57" i="48" s="1"/>
  <c r="AA57" i="48"/>
  <c r="AM57" i="48" s="1"/>
  <c r="BF56" i="48"/>
  <c r="BE56" i="48"/>
  <c r="BD56" i="48"/>
  <c r="BC56" i="48"/>
  <c r="BB56" i="48"/>
  <c r="AW56" i="48"/>
  <c r="AI56" i="48"/>
  <c r="AH56" i="48"/>
  <c r="AG56" i="48"/>
  <c r="AF56" i="48"/>
  <c r="AR56" i="48" s="1"/>
  <c r="AE56" i="48"/>
  <c r="AQ56" i="48" s="1"/>
  <c r="AD56" i="48"/>
  <c r="AP56" i="48" s="1"/>
  <c r="AC56" i="48"/>
  <c r="AO56" i="48" s="1"/>
  <c r="AB56" i="48"/>
  <c r="AN56" i="48" s="1"/>
  <c r="BF55" i="48"/>
  <c r="BE55" i="48"/>
  <c r="BD55" i="48"/>
  <c r="BC55" i="48"/>
  <c r="BB55" i="48"/>
  <c r="AW55" i="48"/>
  <c r="AI55" i="48"/>
  <c r="AH55" i="48"/>
  <c r="AG55" i="48"/>
  <c r="AF55" i="48"/>
  <c r="AE55" i="48"/>
  <c r="AQ55" i="48" s="1"/>
  <c r="AD55" i="48"/>
  <c r="AP55" i="48" s="1"/>
  <c r="AC55" i="48"/>
  <c r="AO55" i="48" s="1"/>
  <c r="AB55" i="48"/>
  <c r="AN55" i="48" s="1"/>
  <c r="AA55" i="48"/>
  <c r="AM55" i="48" s="1"/>
  <c r="BF54" i="48"/>
  <c r="BE54" i="48"/>
  <c r="BD54" i="48"/>
  <c r="BC54" i="48"/>
  <c r="BB54" i="48"/>
  <c r="AW54" i="48"/>
  <c r="AI54" i="48"/>
  <c r="AH54" i="48"/>
  <c r="AG54" i="48"/>
  <c r="AF54" i="48"/>
  <c r="AE54" i="48"/>
  <c r="AQ54" i="48" s="1"/>
  <c r="AD54" i="48"/>
  <c r="AP54" i="48" s="1"/>
  <c r="AC54" i="48"/>
  <c r="AO54" i="48" s="1"/>
  <c r="AB54" i="48"/>
  <c r="AN54" i="48" s="1"/>
  <c r="AA54" i="48"/>
  <c r="AM54" i="48" s="1"/>
  <c r="BF53" i="48"/>
  <c r="BE53" i="48"/>
  <c r="BD53" i="48"/>
  <c r="BC53" i="48"/>
  <c r="BB53" i="48"/>
  <c r="AW53" i="48"/>
  <c r="AI53" i="48"/>
  <c r="AU53" i="48" s="1"/>
  <c r="AH53" i="48"/>
  <c r="AG53" i="48"/>
  <c r="AF53" i="48"/>
  <c r="AE53" i="48"/>
  <c r="AQ53" i="48" s="1"/>
  <c r="AD53" i="48"/>
  <c r="AP53" i="48" s="1"/>
  <c r="AC53" i="48"/>
  <c r="AO53" i="48" s="1"/>
  <c r="AB53" i="48"/>
  <c r="AN53" i="48" s="1"/>
  <c r="AA53" i="48"/>
  <c r="AM53" i="48" s="1"/>
  <c r="BF52" i="48"/>
  <c r="BE52" i="48"/>
  <c r="BD52" i="48"/>
  <c r="BC52" i="48"/>
  <c r="BB52" i="48"/>
  <c r="AW52" i="48"/>
  <c r="AI52" i="48"/>
  <c r="AH52" i="48"/>
  <c r="AG52" i="48"/>
  <c r="AF52" i="48"/>
  <c r="AE52" i="48"/>
  <c r="AQ52" i="48" s="1"/>
  <c r="AD52" i="48"/>
  <c r="AP52" i="48" s="1"/>
  <c r="AC52" i="48"/>
  <c r="AO52" i="48" s="1"/>
  <c r="AB52" i="48"/>
  <c r="AN52" i="48" s="1"/>
  <c r="AA52" i="48"/>
  <c r="AM52" i="48" s="1"/>
  <c r="BF51" i="48"/>
  <c r="BE51" i="48"/>
  <c r="BD51" i="48"/>
  <c r="BC51" i="48"/>
  <c r="BB51" i="48"/>
  <c r="AW51" i="48"/>
  <c r="AI51" i="48"/>
  <c r="AU51" i="48" s="1"/>
  <c r="AH51" i="48"/>
  <c r="AG51" i="48"/>
  <c r="AF51" i="48"/>
  <c r="AE51" i="48"/>
  <c r="AQ51" i="48" s="1"/>
  <c r="AC51" i="48"/>
  <c r="AO51" i="48" s="1"/>
  <c r="AB51" i="48"/>
  <c r="AN51" i="48" s="1"/>
  <c r="AA51" i="48"/>
  <c r="AM51" i="48" s="1"/>
  <c r="BF50" i="48"/>
  <c r="BE50" i="48"/>
  <c r="BD50" i="48"/>
  <c r="BC50" i="48"/>
  <c r="BB50" i="48"/>
  <c r="AW50" i="48"/>
  <c r="AI50" i="48"/>
  <c r="AH50" i="48"/>
  <c r="AG50" i="48"/>
  <c r="AF50" i="48"/>
  <c r="AE50" i="48"/>
  <c r="AQ50" i="48" s="1"/>
  <c r="AD50" i="48"/>
  <c r="AP50" i="48" s="1"/>
  <c r="AC50" i="48"/>
  <c r="AO50" i="48" s="1"/>
  <c r="AB50" i="48"/>
  <c r="AN50" i="48" s="1"/>
  <c r="AA50" i="48"/>
  <c r="AM50" i="48" s="1"/>
  <c r="BF49" i="48"/>
  <c r="BE49" i="48"/>
  <c r="BD49" i="48"/>
  <c r="BC49" i="48"/>
  <c r="BB49" i="48"/>
  <c r="AW49" i="48"/>
  <c r="AI49" i="48"/>
  <c r="AH49" i="48"/>
  <c r="AG49" i="48"/>
  <c r="AS49" i="48" s="1"/>
  <c r="AF49" i="48"/>
  <c r="AE49" i="48"/>
  <c r="AQ49" i="48" s="1"/>
  <c r="AD49" i="48"/>
  <c r="AP49" i="48" s="1"/>
  <c r="AC49" i="48"/>
  <c r="AO49" i="48" s="1"/>
  <c r="AB49" i="48"/>
  <c r="AN49" i="48" s="1"/>
  <c r="BF48" i="48"/>
  <c r="BE48" i="48"/>
  <c r="BD48" i="48"/>
  <c r="BC48" i="48"/>
  <c r="BB48" i="48"/>
  <c r="AW48" i="48"/>
  <c r="AI48" i="48"/>
  <c r="AH48" i="48"/>
  <c r="AG48" i="48"/>
  <c r="AF48" i="48"/>
  <c r="AE48" i="48"/>
  <c r="AQ48" i="48" s="1"/>
  <c r="AD48" i="48"/>
  <c r="AP48" i="48" s="1"/>
  <c r="AC48" i="48"/>
  <c r="AO48" i="48" s="1"/>
  <c r="AB48" i="48"/>
  <c r="AN48" i="48" s="1"/>
  <c r="BF47" i="48"/>
  <c r="BE47" i="48"/>
  <c r="BD47" i="48"/>
  <c r="BC47" i="48"/>
  <c r="BB47" i="48"/>
  <c r="AW47" i="48"/>
  <c r="AI47" i="48"/>
  <c r="AH47" i="48"/>
  <c r="AT47" i="48" s="1"/>
  <c r="AG47" i="48"/>
  <c r="AF47" i="48"/>
  <c r="AE47" i="48"/>
  <c r="AQ47" i="48" s="1"/>
  <c r="AD47" i="48"/>
  <c r="AP47" i="48" s="1"/>
  <c r="AC47" i="48"/>
  <c r="AO47" i="48" s="1"/>
  <c r="AB47" i="48"/>
  <c r="AN47" i="48" s="1"/>
  <c r="AA47" i="48"/>
  <c r="AM47" i="48" s="1"/>
  <c r="BF46" i="48"/>
  <c r="BE46" i="48"/>
  <c r="BD46" i="48"/>
  <c r="BC46" i="48"/>
  <c r="BB46" i="48"/>
  <c r="AW46" i="48"/>
  <c r="AI46" i="48"/>
  <c r="AH46" i="48"/>
  <c r="AG46" i="48"/>
  <c r="AF46" i="48"/>
  <c r="AE46" i="48"/>
  <c r="AQ46" i="48" s="1"/>
  <c r="AD46" i="48"/>
  <c r="AP46" i="48" s="1"/>
  <c r="AC46" i="48"/>
  <c r="AO46" i="48" s="1"/>
  <c r="AB46" i="48"/>
  <c r="AN46" i="48" s="1"/>
  <c r="BF45" i="48"/>
  <c r="BE45" i="48"/>
  <c r="BD45" i="48"/>
  <c r="BC45" i="48"/>
  <c r="BB45" i="48"/>
  <c r="AW45" i="48"/>
  <c r="AI45" i="48"/>
  <c r="AU45" i="48" s="1"/>
  <c r="AH45" i="48"/>
  <c r="AG45" i="48"/>
  <c r="AF45" i="48"/>
  <c r="AE45" i="48"/>
  <c r="AQ45" i="48" s="1"/>
  <c r="AD45" i="48"/>
  <c r="AP45" i="48" s="1"/>
  <c r="AC45" i="48"/>
  <c r="AO45" i="48" s="1"/>
  <c r="AA45" i="48"/>
  <c r="AM45" i="48" s="1"/>
  <c r="BF44" i="48"/>
  <c r="BE44" i="48"/>
  <c r="BD44" i="48"/>
  <c r="BC44" i="48"/>
  <c r="BB44" i="48"/>
  <c r="AW44" i="48"/>
  <c r="AI44" i="48"/>
  <c r="AU44" i="48" s="1"/>
  <c r="AH44" i="48"/>
  <c r="AT44" i="48" s="1"/>
  <c r="AG44" i="48"/>
  <c r="AF44" i="48"/>
  <c r="AE44" i="48"/>
  <c r="AQ44" i="48" s="1"/>
  <c r="AD44" i="48"/>
  <c r="AP44" i="48" s="1"/>
  <c r="AC44" i="48"/>
  <c r="AO44" i="48" s="1"/>
  <c r="AB44" i="48"/>
  <c r="AN44" i="48" s="1"/>
  <c r="BF43" i="48"/>
  <c r="BE43" i="48"/>
  <c r="BD43" i="48"/>
  <c r="BC43" i="48"/>
  <c r="BB43" i="48"/>
  <c r="AW43" i="48"/>
  <c r="AI43" i="48"/>
  <c r="AH43" i="48"/>
  <c r="AT43" i="48" s="1"/>
  <c r="AG43" i="48"/>
  <c r="AF43" i="48"/>
  <c r="AE43" i="48"/>
  <c r="AQ43" i="48" s="1"/>
  <c r="AD43" i="48"/>
  <c r="AP43" i="48" s="1"/>
  <c r="AC43" i="48"/>
  <c r="AO43" i="48" s="1"/>
  <c r="AB43" i="48"/>
  <c r="AN43" i="48" s="1"/>
  <c r="AA43" i="48"/>
  <c r="AM43" i="48" s="1"/>
  <c r="BF42" i="48"/>
  <c r="BE42" i="48"/>
  <c r="BD42" i="48"/>
  <c r="BC42" i="48"/>
  <c r="BB42" i="48"/>
  <c r="AW42" i="48"/>
  <c r="AI42" i="48"/>
  <c r="AU42" i="48" s="1"/>
  <c r="AH42" i="48"/>
  <c r="AG42" i="48"/>
  <c r="AF42" i="48"/>
  <c r="K93" i="48" s="1"/>
  <c r="AA42" i="48"/>
  <c r="AM42" i="48" s="1"/>
  <c r="AE42" i="48"/>
  <c r="AQ42" i="48" s="1"/>
  <c r="AD42" i="48"/>
  <c r="AP42" i="48" s="1"/>
  <c r="AC42" i="48"/>
  <c r="AO42" i="48" s="1"/>
  <c r="BF41" i="48"/>
  <c r="BE41" i="48"/>
  <c r="BD41" i="48"/>
  <c r="BC41" i="48"/>
  <c r="BB41" i="48"/>
  <c r="AW41" i="48"/>
  <c r="AI41" i="48"/>
  <c r="AH41" i="48"/>
  <c r="AG41" i="48"/>
  <c r="AF41" i="48"/>
  <c r="AR41" i="48" s="1"/>
  <c r="AE41" i="48"/>
  <c r="AQ41" i="48" s="1"/>
  <c r="AD41" i="48"/>
  <c r="AP41" i="48" s="1"/>
  <c r="AC41" i="48"/>
  <c r="AO41" i="48" s="1"/>
  <c r="AB41" i="48"/>
  <c r="AN41" i="48" s="1"/>
  <c r="AA41" i="48"/>
  <c r="AM41" i="48" s="1"/>
  <c r="BF40" i="48"/>
  <c r="BE40" i="48"/>
  <c r="BD40" i="48"/>
  <c r="BC40" i="48"/>
  <c r="BB40" i="48"/>
  <c r="AW40" i="48"/>
  <c r="AI40" i="48"/>
  <c r="AH40" i="48"/>
  <c r="AT40" i="48" s="1"/>
  <c r="AG40" i="48"/>
  <c r="AF40" i="48"/>
  <c r="AE40" i="48"/>
  <c r="AQ40" i="48" s="1"/>
  <c r="AD40" i="48"/>
  <c r="AP40" i="48" s="1"/>
  <c r="AC40" i="48"/>
  <c r="AO40" i="48" s="1"/>
  <c r="AB40" i="48"/>
  <c r="AN40" i="48" s="1"/>
  <c r="BF39" i="48"/>
  <c r="BE39" i="48"/>
  <c r="BD39" i="48"/>
  <c r="BC39" i="48"/>
  <c r="BB39" i="48"/>
  <c r="AW39" i="48"/>
  <c r="AI39" i="48"/>
  <c r="AH39" i="48"/>
  <c r="AT39" i="48" s="1"/>
  <c r="AG39" i="48"/>
  <c r="AF39" i="48"/>
  <c r="AE39" i="48"/>
  <c r="AQ39" i="48" s="1"/>
  <c r="AD39" i="48"/>
  <c r="AP39" i="48" s="1"/>
  <c r="AC39" i="48"/>
  <c r="AO39" i="48" s="1"/>
  <c r="AB39" i="48"/>
  <c r="AN39" i="48" s="1"/>
  <c r="AA39" i="48"/>
  <c r="AM39" i="48" s="1"/>
  <c r="BF38" i="48"/>
  <c r="BE38" i="48"/>
  <c r="BD38" i="48"/>
  <c r="BC38" i="48"/>
  <c r="BB38" i="48"/>
  <c r="AW38" i="48"/>
  <c r="AI38" i="48"/>
  <c r="AH38" i="48"/>
  <c r="AG38" i="48"/>
  <c r="AF38" i="48"/>
  <c r="AE38" i="48"/>
  <c r="AQ38" i="48" s="1"/>
  <c r="AD38" i="48"/>
  <c r="AP38" i="48" s="1"/>
  <c r="AC38" i="48"/>
  <c r="AO38" i="48" s="1"/>
  <c r="AB38" i="48"/>
  <c r="AN38" i="48" s="1"/>
  <c r="AA38" i="48"/>
  <c r="AM38" i="48" s="1"/>
  <c r="BF37" i="48"/>
  <c r="BE37" i="48"/>
  <c r="BD37" i="48"/>
  <c r="BC37" i="48"/>
  <c r="BB37" i="48"/>
  <c r="AW37" i="48"/>
  <c r="AI37" i="48"/>
  <c r="AU37" i="48" s="1"/>
  <c r="AH37" i="48"/>
  <c r="AG37" i="48"/>
  <c r="AF37" i="48"/>
  <c r="AC37" i="48"/>
  <c r="AO37" i="48" s="1"/>
  <c r="AD37" i="48"/>
  <c r="AP37" i="48" s="1"/>
  <c r="AB37" i="48"/>
  <c r="AN37" i="48" s="1"/>
  <c r="AA37" i="48"/>
  <c r="AM37" i="48" s="1"/>
  <c r="BF36" i="48"/>
  <c r="BE36" i="48"/>
  <c r="BD36" i="48"/>
  <c r="BC36" i="48"/>
  <c r="BB36" i="48"/>
  <c r="AW36" i="48"/>
  <c r="AI36" i="48"/>
  <c r="AH36" i="48"/>
  <c r="AG36" i="48"/>
  <c r="AF36" i="48"/>
  <c r="AE36" i="48"/>
  <c r="AQ36" i="48" s="1"/>
  <c r="AD36" i="48"/>
  <c r="AP36" i="48" s="1"/>
  <c r="AC36" i="48"/>
  <c r="AO36" i="48" s="1"/>
  <c r="AB36" i="48"/>
  <c r="AN36" i="48" s="1"/>
  <c r="AA36" i="48"/>
  <c r="AM36" i="48" s="1"/>
  <c r="BF35" i="48"/>
  <c r="BE35" i="48"/>
  <c r="BD35" i="48"/>
  <c r="BC35" i="48"/>
  <c r="BB35" i="48"/>
  <c r="AW35" i="48"/>
  <c r="AI35" i="48"/>
  <c r="AH35" i="48"/>
  <c r="AG35" i="48"/>
  <c r="AF35" i="48"/>
  <c r="AE35" i="48"/>
  <c r="AQ35" i="48" s="1"/>
  <c r="AD35" i="48"/>
  <c r="AP35" i="48" s="1"/>
  <c r="AB35" i="48"/>
  <c r="AN35" i="48" s="1"/>
  <c r="AA35" i="48"/>
  <c r="AM35" i="48" s="1"/>
  <c r="BF34" i="48"/>
  <c r="BE34" i="48"/>
  <c r="BD34" i="48"/>
  <c r="BC34" i="48"/>
  <c r="BB34" i="48"/>
  <c r="AW34" i="48"/>
  <c r="AI34" i="48"/>
  <c r="AH34" i="48"/>
  <c r="AT34" i="48" s="1"/>
  <c r="AG34" i="48"/>
  <c r="AF34" i="48"/>
  <c r="K85" i="48" s="1"/>
  <c r="AE34" i="48"/>
  <c r="AQ34" i="48" s="1"/>
  <c r="AD34" i="48"/>
  <c r="AP34" i="48" s="1"/>
  <c r="AC34" i="48"/>
  <c r="AO34" i="48" s="1"/>
  <c r="AB34" i="48"/>
  <c r="AN34" i="48" s="1"/>
  <c r="AA34" i="48"/>
  <c r="AM34" i="48" s="1"/>
  <c r="BF33" i="48"/>
  <c r="BE33" i="48"/>
  <c r="BD33" i="48"/>
  <c r="BC33" i="48"/>
  <c r="BB33" i="48"/>
  <c r="AW33" i="48"/>
  <c r="AI33" i="48"/>
  <c r="AH33" i="48"/>
  <c r="AG33" i="48"/>
  <c r="AF33" i="48"/>
  <c r="K84" i="48" s="1"/>
  <c r="AE33" i="48"/>
  <c r="AQ33" i="48" s="1"/>
  <c r="AD33" i="48"/>
  <c r="AP33" i="48" s="1"/>
  <c r="AC33" i="48"/>
  <c r="AO33" i="48" s="1"/>
  <c r="AB33" i="48"/>
  <c r="AN33" i="48" s="1"/>
  <c r="BF32" i="48"/>
  <c r="BE32" i="48"/>
  <c r="BD32" i="48"/>
  <c r="BC32" i="48"/>
  <c r="BB32" i="48"/>
  <c r="AW32" i="48"/>
  <c r="AI32" i="48"/>
  <c r="AH32" i="48"/>
  <c r="AG32" i="48"/>
  <c r="AF32" i="48"/>
  <c r="AE32" i="48"/>
  <c r="AQ32" i="48" s="1"/>
  <c r="AD32" i="48"/>
  <c r="AP32" i="48" s="1"/>
  <c r="AC32" i="48"/>
  <c r="AO32" i="48" s="1"/>
  <c r="AB32" i="48"/>
  <c r="AN32" i="48" s="1"/>
  <c r="AA32" i="48"/>
  <c r="AM32" i="48" s="1"/>
  <c r="BF31" i="48"/>
  <c r="BE31" i="48"/>
  <c r="BD31" i="48"/>
  <c r="BC31" i="48"/>
  <c r="BB31" i="48"/>
  <c r="AW31" i="48"/>
  <c r="AI31" i="48"/>
  <c r="AU31" i="48" s="1"/>
  <c r="AH31" i="48"/>
  <c r="AG31" i="48"/>
  <c r="AF31" i="48"/>
  <c r="AE31" i="48"/>
  <c r="AQ31" i="48" s="1"/>
  <c r="AD31" i="48"/>
  <c r="AP31" i="48" s="1"/>
  <c r="AC31" i="48"/>
  <c r="AO31" i="48" s="1"/>
  <c r="AB31" i="48"/>
  <c r="AN31" i="48" s="1"/>
  <c r="AA31" i="48"/>
  <c r="AM31" i="48" s="1"/>
  <c r="BF30" i="48"/>
  <c r="BE30" i="48"/>
  <c r="BD30" i="48"/>
  <c r="BC30" i="48"/>
  <c r="BB30" i="48"/>
  <c r="AW30" i="48"/>
  <c r="AI30" i="48"/>
  <c r="AH30" i="48"/>
  <c r="AG30" i="48"/>
  <c r="AF30" i="48"/>
  <c r="AE30" i="48"/>
  <c r="AQ30" i="48" s="1"/>
  <c r="AD30" i="48"/>
  <c r="AP30" i="48" s="1"/>
  <c r="AC30" i="48"/>
  <c r="AO30" i="48" s="1"/>
  <c r="AB30" i="48"/>
  <c r="AN30" i="48" s="1"/>
  <c r="AA30" i="48"/>
  <c r="AM30" i="48" s="1"/>
  <c r="BF29" i="48"/>
  <c r="BE29" i="48"/>
  <c r="BD29" i="48"/>
  <c r="BC29" i="48"/>
  <c r="BB29" i="48"/>
  <c r="AW29" i="48"/>
  <c r="AI29" i="48"/>
  <c r="AH29" i="48"/>
  <c r="AT29" i="48" s="1"/>
  <c r="AG29" i="48"/>
  <c r="AS29" i="48" s="1"/>
  <c r="AF29" i="48"/>
  <c r="AE29" i="48"/>
  <c r="AQ29" i="48" s="1"/>
  <c r="AD29" i="48"/>
  <c r="AP29" i="48" s="1"/>
  <c r="AB29" i="48"/>
  <c r="AN29" i="48" s="1"/>
  <c r="AA29" i="48"/>
  <c r="AM29" i="48" s="1"/>
  <c r="S27" i="48"/>
  <c r="AE27" i="48" s="1"/>
  <c r="R27" i="48"/>
  <c r="AD27" i="48" s="1"/>
  <c r="Q27" i="48"/>
  <c r="AC27" i="48" s="1"/>
  <c r="P27" i="48"/>
  <c r="AB27" i="48" s="1"/>
  <c r="O27" i="48"/>
  <c r="AA27" i="48" s="1"/>
  <c r="AK25" i="48"/>
  <c r="Y25" i="48"/>
  <c r="M25" i="48"/>
  <c r="A25" i="48"/>
  <c r="A1" i="48"/>
  <c r="A26" i="48" s="1"/>
  <c r="C146" i="24"/>
  <c r="V240" i="47"/>
  <c r="AA240" i="47" s="1"/>
  <c r="AG240" i="47" s="1"/>
  <c r="AK240" i="47" s="1"/>
  <c r="V239" i="47"/>
  <c r="AA239" i="47" s="1"/>
  <c r="AG239" i="47" s="1"/>
  <c r="AK239" i="47" s="1"/>
  <c r="V238" i="47"/>
  <c r="AA238" i="47" s="1"/>
  <c r="AG238" i="47" s="1"/>
  <c r="AK238" i="47" s="1"/>
  <c r="V237" i="47"/>
  <c r="AA237" i="47" s="1"/>
  <c r="AG237" i="47" s="1"/>
  <c r="AK237" i="47" s="1"/>
  <c r="V236" i="47"/>
  <c r="AA236" i="47" s="1"/>
  <c r="AG236" i="47" s="1"/>
  <c r="AK236" i="47" s="1"/>
  <c r="V235" i="47"/>
  <c r="AA235" i="47" s="1"/>
  <c r="AG235" i="47" s="1"/>
  <c r="AK235" i="47" s="1"/>
  <c r="V234" i="47"/>
  <c r="AA234" i="47" s="1"/>
  <c r="AG234" i="47" s="1"/>
  <c r="AK234" i="47" s="1"/>
  <c r="V233" i="47"/>
  <c r="AA233" i="47" s="1"/>
  <c r="AG233" i="47" s="1"/>
  <c r="AK233" i="47" s="1"/>
  <c r="V232" i="47"/>
  <c r="AA232" i="47" s="1"/>
  <c r="AG232" i="47" s="1"/>
  <c r="AK232" i="47" s="1"/>
  <c r="V231" i="47"/>
  <c r="AA231" i="47" s="1"/>
  <c r="AG231" i="47" s="1"/>
  <c r="AK231" i="47" s="1"/>
  <c r="V230" i="47"/>
  <c r="AA230" i="47" s="1"/>
  <c r="AG230" i="47" s="1"/>
  <c r="AK230" i="47" s="1"/>
  <c r="V229" i="47"/>
  <c r="AA229" i="47" s="1"/>
  <c r="AG229" i="47" s="1"/>
  <c r="AK229" i="47" s="1"/>
  <c r="V228" i="47"/>
  <c r="AA228" i="47" s="1"/>
  <c r="AG228" i="47" s="1"/>
  <c r="AK228" i="47" s="1"/>
  <c r="V227" i="47"/>
  <c r="AA227" i="47" s="1"/>
  <c r="AG227" i="47" s="1"/>
  <c r="AK227" i="47" s="1"/>
  <c r="V226" i="47"/>
  <c r="AA226" i="47" s="1"/>
  <c r="AG226" i="47" s="1"/>
  <c r="AK226" i="47" s="1"/>
  <c r="V225" i="47"/>
  <c r="AA225" i="47" s="1"/>
  <c r="AG225" i="47" s="1"/>
  <c r="AK225" i="47" s="1"/>
  <c r="V224" i="47"/>
  <c r="AA224" i="47" s="1"/>
  <c r="AG224" i="47" s="1"/>
  <c r="AK224" i="47" s="1"/>
  <c r="V223" i="47"/>
  <c r="AA223" i="47" s="1"/>
  <c r="AG223" i="47" s="1"/>
  <c r="AK223" i="47" s="1"/>
  <c r="V222" i="47"/>
  <c r="AA222" i="47" s="1"/>
  <c r="AG222" i="47" s="1"/>
  <c r="AK222" i="47" s="1"/>
  <c r="V221" i="47"/>
  <c r="AA221" i="47" s="1"/>
  <c r="AG221" i="47" s="1"/>
  <c r="AK221" i="47" s="1"/>
  <c r="V220" i="47"/>
  <c r="AA220" i="47" s="1"/>
  <c r="AG220" i="47" s="1"/>
  <c r="AK220" i="47" s="1"/>
  <c r="V219" i="47"/>
  <c r="AA219" i="47" s="1"/>
  <c r="AG219" i="47" s="1"/>
  <c r="AK219" i="47" s="1"/>
  <c r="V218" i="47"/>
  <c r="AA218" i="47" s="1"/>
  <c r="AG218" i="47" s="1"/>
  <c r="AK218" i="47" s="1"/>
  <c r="V217" i="47"/>
  <c r="AA217" i="47" s="1"/>
  <c r="AG217" i="47" s="1"/>
  <c r="AK217" i="47" s="1"/>
  <c r="V216" i="47"/>
  <c r="AA216" i="47" s="1"/>
  <c r="AG216" i="47" s="1"/>
  <c r="AK216" i="47" s="1"/>
  <c r="V215" i="47"/>
  <c r="AA215" i="47" s="1"/>
  <c r="AG215" i="47" s="1"/>
  <c r="AK215" i="47" s="1"/>
  <c r="V214" i="47"/>
  <c r="AA214" i="47" s="1"/>
  <c r="AG214" i="47" s="1"/>
  <c r="AK214" i="47" s="1"/>
  <c r="V213" i="47"/>
  <c r="AA213" i="47" s="1"/>
  <c r="AG213" i="47" s="1"/>
  <c r="AK213" i="47" s="1"/>
  <c r="V212" i="47"/>
  <c r="AA212" i="47" s="1"/>
  <c r="AG212" i="47" s="1"/>
  <c r="AK212" i="47" s="1"/>
  <c r="V211" i="47"/>
  <c r="AA211" i="47" s="1"/>
  <c r="AG211" i="47" s="1"/>
  <c r="AK211" i="47" s="1"/>
  <c r="V210" i="47"/>
  <c r="AA210" i="47" s="1"/>
  <c r="AG210" i="47" s="1"/>
  <c r="AK210" i="47" s="1"/>
  <c r="V209" i="47"/>
  <c r="AA209" i="47" s="1"/>
  <c r="AG209" i="47" s="1"/>
  <c r="AK209" i="47" s="1"/>
  <c r="V208" i="47"/>
  <c r="AA208" i="47" s="1"/>
  <c r="AG208" i="47" s="1"/>
  <c r="AK208" i="47" s="1"/>
  <c r="V207" i="47"/>
  <c r="AA207" i="47" s="1"/>
  <c r="AG207" i="47" s="1"/>
  <c r="AK207" i="47" s="1"/>
  <c r="V206" i="47"/>
  <c r="AA206" i="47" s="1"/>
  <c r="AG206" i="47" s="1"/>
  <c r="AK206" i="47" s="1"/>
  <c r="V205" i="47"/>
  <c r="AA205" i="47" s="1"/>
  <c r="AG205" i="47" s="1"/>
  <c r="AK205" i="47" s="1"/>
  <c r="V204" i="47"/>
  <c r="AA204" i="47" s="1"/>
  <c r="AG204" i="47" s="1"/>
  <c r="AK204" i="47" s="1"/>
  <c r="V203" i="47"/>
  <c r="AA203" i="47" s="1"/>
  <c r="AG203" i="47" s="1"/>
  <c r="AK203" i="47" s="1"/>
  <c r="V202" i="47"/>
  <c r="AA202" i="47" s="1"/>
  <c r="AG202" i="47" s="1"/>
  <c r="AK202" i="47" s="1"/>
  <c r="V201" i="47"/>
  <c r="AA201" i="47" s="1"/>
  <c r="V200" i="47"/>
  <c r="AA200" i="47" s="1"/>
  <c r="AG200" i="47" s="1"/>
  <c r="AK200" i="47" s="1"/>
  <c r="V199" i="47"/>
  <c r="AA199" i="47" s="1"/>
  <c r="V198" i="47"/>
  <c r="AA198" i="47" s="1"/>
  <c r="AG198" i="47" s="1"/>
  <c r="AK198" i="47" s="1"/>
  <c r="V197" i="47"/>
  <c r="AA197" i="47" s="1"/>
  <c r="AG197" i="47" s="1"/>
  <c r="AK197" i="47" s="1"/>
  <c r="V196" i="47"/>
  <c r="AA196" i="47" s="1"/>
  <c r="AG196" i="47" s="1"/>
  <c r="AK196" i="47" s="1"/>
  <c r="V195" i="47"/>
  <c r="AA195" i="47" s="1"/>
  <c r="AG195" i="47" s="1"/>
  <c r="AK195" i="47" s="1"/>
  <c r="AA194" i="47"/>
  <c r="AG194" i="47" s="1"/>
  <c r="AK194" i="47" s="1"/>
  <c r="Z194" i="47"/>
  <c r="AJ194" i="47" s="1"/>
  <c r="AP181" i="47"/>
  <c r="AC181" i="47"/>
  <c r="AP180" i="47"/>
  <c r="AY180" i="47" s="1"/>
  <c r="AC180" i="47"/>
  <c r="AP179" i="47"/>
  <c r="AY179" i="47" s="1"/>
  <c r="AC179" i="47"/>
  <c r="AP178" i="47"/>
  <c r="AY178" i="47" s="1"/>
  <c r="AC178" i="47"/>
  <c r="AP177" i="47"/>
  <c r="AY177" i="47" s="1"/>
  <c r="AC177" i="47"/>
  <c r="AP176" i="47"/>
  <c r="AY176" i="47" s="1"/>
  <c r="AC176" i="47"/>
  <c r="AP175" i="47"/>
  <c r="AY175" i="47" s="1"/>
  <c r="AC175" i="47"/>
  <c r="AP174" i="47"/>
  <c r="AY174" i="47" s="1"/>
  <c r="AC174" i="47"/>
  <c r="AP173" i="47"/>
  <c r="AY173" i="47" s="1"/>
  <c r="AC173" i="47"/>
  <c r="AP172" i="47"/>
  <c r="AC172" i="47"/>
  <c r="AP171" i="47"/>
  <c r="AY171" i="47" s="1"/>
  <c r="AC171" i="47"/>
  <c r="AP170" i="47"/>
  <c r="AY170" i="47" s="1"/>
  <c r="AC170" i="47"/>
  <c r="AP169" i="47"/>
  <c r="AY169" i="47" s="1"/>
  <c r="AC169" i="47"/>
  <c r="AP168" i="47"/>
  <c r="AY168" i="47" s="1"/>
  <c r="AC168" i="47"/>
  <c r="AP167" i="47"/>
  <c r="AY167" i="47" s="1"/>
  <c r="AC167" i="47"/>
  <c r="AP166" i="47"/>
  <c r="AY166" i="47" s="1"/>
  <c r="AC166" i="47"/>
  <c r="AP165" i="47"/>
  <c r="AY165" i="47" s="1"/>
  <c r="AC165" i="47"/>
  <c r="AP164" i="47"/>
  <c r="AC164" i="47"/>
  <c r="AP163" i="47"/>
  <c r="AY163" i="47" s="1"/>
  <c r="AC163" i="47"/>
  <c r="AP162" i="47"/>
  <c r="AY162" i="47" s="1"/>
  <c r="AC162" i="47"/>
  <c r="AP161" i="47"/>
  <c r="AY161" i="47" s="1"/>
  <c r="AC161" i="47"/>
  <c r="AP160" i="47"/>
  <c r="AY160" i="47" s="1"/>
  <c r="AC160" i="47"/>
  <c r="AP159" i="47"/>
  <c r="AY159" i="47" s="1"/>
  <c r="AC159" i="47"/>
  <c r="AP158" i="47"/>
  <c r="AY158" i="47" s="1"/>
  <c r="AC158" i="47"/>
  <c r="AP157" i="47"/>
  <c r="AC157" i="47"/>
  <c r="AP156" i="47"/>
  <c r="AC156" i="47"/>
  <c r="AP155" i="47"/>
  <c r="AY155" i="47" s="1"/>
  <c r="AC155" i="47"/>
  <c r="AP154" i="47"/>
  <c r="AY154" i="47" s="1"/>
  <c r="AC154" i="47"/>
  <c r="AP153" i="47"/>
  <c r="AC153" i="47"/>
  <c r="AP152" i="47"/>
  <c r="AY152" i="47" s="1"/>
  <c r="AC152" i="47"/>
  <c r="AP151" i="47"/>
  <c r="AY151" i="47" s="1"/>
  <c r="AC151" i="47"/>
  <c r="AP150" i="47"/>
  <c r="AC150" i="47"/>
  <c r="AP149" i="47"/>
  <c r="AY149" i="47" s="1"/>
  <c r="AC149" i="47"/>
  <c r="AP148" i="47"/>
  <c r="AY148" i="47" s="1"/>
  <c r="AC148" i="47"/>
  <c r="AP147" i="47"/>
  <c r="AC147" i="47"/>
  <c r="AP146" i="47"/>
  <c r="AY146" i="47" s="1"/>
  <c r="AC146" i="47"/>
  <c r="AP145" i="47"/>
  <c r="AY145" i="47" s="1"/>
  <c r="AC145" i="47"/>
  <c r="AP144" i="47"/>
  <c r="AY144" i="47" s="1"/>
  <c r="AC144" i="47"/>
  <c r="AP143" i="47"/>
  <c r="AY143" i="47" s="1"/>
  <c r="AC143" i="47"/>
  <c r="AP142" i="47"/>
  <c r="AC142" i="47"/>
  <c r="AP141" i="47"/>
  <c r="AY141" i="47" s="1"/>
  <c r="AC141" i="47"/>
  <c r="AP140" i="47"/>
  <c r="AY140" i="47" s="1"/>
  <c r="AC140" i="47"/>
  <c r="AP139" i="47"/>
  <c r="AC139" i="47"/>
  <c r="AP138" i="47"/>
  <c r="AY138" i="47" s="1"/>
  <c r="AC138" i="47"/>
  <c r="AP137" i="47"/>
  <c r="AY137" i="47" s="1"/>
  <c r="AC137" i="47"/>
  <c r="AP136" i="47"/>
  <c r="AY136" i="47" s="1"/>
  <c r="AC136" i="47"/>
  <c r="AY135" i="47"/>
  <c r="AX135" i="47"/>
  <c r="AV135" i="47"/>
  <c r="AU135" i="47"/>
  <c r="T4" i="14" s="1"/>
  <c r="C126" i="47"/>
  <c r="C125" i="47"/>
  <c r="C124" i="47"/>
  <c r="C123" i="47"/>
  <c r="C122" i="47"/>
  <c r="C121" i="47"/>
  <c r="C120" i="47"/>
  <c r="C119" i="47"/>
  <c r="C118" i="47"/>
  <c r="C117" i="47"/>
  <c r="C116" i="47"/>
  <c r="C115" i="47"/>
  <c r="C114" i="47"/>
  <c r="C113" i="47"/>
  <c r="C112" i="47"/>
  <c r="C111" i="47"/>
  <c r="C110" i="47"/>
  <c r="C109" i="47"/>
  <c r="C108" i="47"/>
  <c r="C107" i="47"/>
  <c r="C106" i="47"/>
  <c r="C105" i="47"/>
  <c r="C104" i="47"/>
  <c r="C103" i="47"/>
  <c r="C102" i="47"/>
  <c r="C101" i="47"/>
  <c r="C100" i="47"/>
  <c r="C99" i="47"/>
  <c r="C98" i="47"/>
  <c r="C97" i="47"/>
  <c r="C96" i="47"/>
  <c r="C95" i="47"/>
  <c r="C94" i="47"/>
  <c r="C93" i="47"/>
  <c r="C92" i="47"/>
  <c r="C91" i="47"/>
  <c r="C90" i="47"/>
  <c r="C89" i="47"/>
  <c r="C88" i="47"/>
  <c r="C87" i="47"/>
  <c r="C86" i="47"/>
  <c r="C85" i="47"/>
  <c r="C84" i="47"/>
  <c r="C83" i="47"/>
  <c r="C82" i="47"/>
  <c r="C81" i="47"/>
  <c r="C80" i="47"/>
  <c r="B80" i="47"/>
  <c r="F79" i="47"/>
  <c r="W78" i="47"/>
  <c r="H78" i="47"/>
  <c r="A78" i="47"/>
  <c r="BF75" i="47"/>
  <c r="BE75" i="47"/>
  <c r="BD75" i="47"/>
  <c r="BC75" i="47"/>
  <c r="BB75" i="47"/>
  <c r="AW75" i="47"/>
  <c r="AI75" i="47"/>
  <c r="AH75" i="47"/>
  <c r="AG75" i="47"/>
  <c r="AF75" i="47"/>
  <c r="W75" i="47"/>
  <c r="V75" i="47"/>
  <c r="U75" i="47"/>
  <c r="T75" i="47"/>
  <c r="S75" i="47"/>
  <c r="AE75" i="47" s="1"/>
  <c r="AQ75" i="47" s="1"/>
  <c r="R75" i="47"/>
  <c r="AD75" i="47" s="1"/>
  <c r="AP75" i="47" s="1"/>
  <c r="Q75" i="47"/>
  <c r="AC75" i="47" s="1"/>
  <c r="AO75" i="47" s="1"/>
  <c r="P75" i="47"/>
  <c r="AB75" i="47" s="1"/>
  <c r="AN75" i="47" s="1"/>
  <c r="O75" i="47"/>
  <c r="AA75" i="47" s="1"/>
  <c r="AM75" i="47" s="1"/>
  <c r="BF74" i="47"/>
  <c r="BE74" i="47"/>
  <c r="BD74" i="47"/>
  <c r="BC74" i="47"/>
  <c r="BB74" i="47"/>
  <c r="AW74" i="47"/>
  <c r="AI74" i="47"/>
  <c r="AH74" i="47"/>
  <c r="AG74" i="47"/>
  <c r="AF74" i="47"/>
  <c r="K125" i="47" s="1"/>
  <c r="X125" i="47" s="1"/>
  <c r="W74" i="47"/>
  <c r="V74" i="47"/>
  <c r="U74" i="47"/>
  <c r="T74" i="47"/>
  <c r="S74" i="47"/>
  <c r="AE74" i="47" s="1"/>
  <c r="AQ74" i="47" s="1"/>
  <c r="R74" i="47"/>
  <c r="AD74" i="47" s="1"/>
  <c r="AP74" i="47" s="1"/>
  <c r="Q74" i="47"/>
  <c r="AC74" i="47" s="1"/>
  <c r="AO74" i="47" s="1"/>
  <c r="P74" i="47"/>
  <c r="AB74" i="47" s="1"/>
  <c r="AN74" i="47" s="1"/>
  <c r="O74" i="47"/>
  <c r="BF73" i="47"/>
  <c r="BE73" i="47"/>
  <c r="BD73" i="47"/>
  <c r="BC73" i="47"/>
  <c r="BB73" i="47"/>
  <c r="AW73" i="47"/>
  <c r="AI73" i="47"/>
  <c r="AH73" i="47"/>
  <c r="AG73" i="47"/>
  <c r="AF73" i="47"/>
  <c r="W73" i="47"/>
  <c r="V73" i="47"/>
  <c r="U73" i="47"/>
  <c r="T73" i="47"/>
  <c r="S73" i="47"/>
  <c r="AE73" i="47" s="1"/>
  <c r="AQ73" i="47" s="1"/>
  <c r="R73" i="47"/>
  <c r="AD73" i="47" s="1"/>
  <c r="AP73" i="47" s="1"/>
  <c r="Q73" i="47"/>
  <c r="AC73" i="47" s="1"/>
  <c r="AO73" i="47" s="1"/>
  <c r="P73" i="47"/>
  <c r="O73" i="47"/>
  <c r="AA73" i="47" s="1"/>
  <c r="AM73" i="47" s="1"/>
  <c r="BF72" i="47"/>
  <c r="BE72" i="47"/>
  <c r="BD72" i="47"/>
  <c r="BC72" i="47"/>
  <c r="BB72" i="47"/>
  <c r="AW72" i="47"/>
  <c r="AI72" i="47"/>
  <c r="AH72" i="47"/>
  <c r="AG72" i="47"/>
  <c r="AF72" i="47"/>
  <c r="W72" i="47"/>
  <c r="V72" i="47"/>
  <c r="U72" i="47"/>
  <c r="T72" i="47"/>
  <c r="S72" i="47"/>
  <c r="AE72" i="47" s="1"/>
  <c r="AQ72" i="47" s="1"/>
  <c r="R72" i="47"/>
  <c r="Q72" i="47"/>
  <c r="AC72" i="47" s="1"/>
  <c r="AO72" i="47" s="1"/>
  <c r="P72" i="47"/>
  <c r="AB72" i="47" s="1"/>
  <c r="AN72" i="47" s="1"/>
  <c r="O72" i="47"/>
  <c r="AA72" i="47" s="1"/>
  <c r="AM72" i="47" s="1"/>
  <c r="BF71" i="47"/>
  <c r="BE71" i="47"/>
  <c r="BD71" i="47"/>
  <c r="BC71" i="47"/>
  <c r="BB71" i="47"/>
  <c r="AW71" i="47"/>
  <c r="AI71" i="47"/>
  <c r="AH71" i="47"/>
  <c r="AG71" i="47"/>
  <c r="AF71" i="47"/>
  <c r="W71" i="47"/>
  <c r="V71" i="47"/>
  <c r="U71" i="47"/>
  <c r="T71" i="47"/>
  <c r="S71" i="47"/>
  <c r="AE71" i="47" s="1"/>
  <c r="AQ71" i="47" s="1"/>
  <c r="R71" i="47"/>
  <c r="AD71" i="47" s="1"/>
  <c r="AP71" i="47" s="1"/>
  <c r="Q71" i="47"/>
  <c r="AC71" i="47" s="1"/>
  <c r="AO71" i="47" s="1"/>
  <c r="P71" i="47"/>
  <c r="AB71" i="47" s="1"/>
  <c r="AN71" i="47" s="1"/>
  <c r="O71" i="47"/>
  <c r="AA71" i="47" s="1"/>
  <c r="AM71" i="47" s="1"/>
  <c r="BF70" i="47"/>
  <c r="BE70" i="47"/>
  <c r="BD70" i="47"/>
  <c r="BC70" i="47"/>
  <c r="BB70" i="47"/>
  <c r="AW70" i="47"/>
  <c r="AI70" i="47"/>
  <c r="AH70" i="47"/>
  <c r="AG70" i="47"/>
  <c r="AF70" i="47"/>
  <c r="W70" i="47"/>
  <c r="V70" i="47"/>
  <c r="U70" i="47"/>
  <c r="T70" i="47"/>
  <c r="S70" i="47"/>
  <c r="AE70" i="47" s="1"/>
  <c r="AQ70" i="47" s="1"/>
  <c r="R70" i="47"/>
  <c r="AD70" i="47" s="1"/>
  <c r="AP70" i="47" s="1"/>
  <c r="Q70" i="47"/>
  <c r="AC70" i="47" s="1"/>
  <c r="AO70" i="47" s="1"/>
  <c r="P70" i="47"/>
  <c r="AB70" i="47" s="1"/>
  <c r="AN70" i="47" s="1"/>
  <c r="O70" i="47"/>
  <c r="AA70" i="47" s="1"/>
  <c r="AM70" i="47" s="1"/>
  <c r="BF69" i="47"/>
  <c r="BE69" i="47"/>
  <c r="BD69" i="47"/>
  <c r="BC69" i="47"/>
  <c r="BB69" i="47"/>
  <c r="AW69" i="47"/>
  <c r="AI69" i="47"/>
  <c r="AH69" i="47"/>
  <c r="AG69" i="47"/>
  <c r="AF69" i="47"/>
  <c r="W69" i="47"/>
  <c r="V69" i="47"/>
  <c r="U69" i="47"/>
  <c r="T69" i="47"/>
  <c r="S69" i="47"/>
  <c r="AE69" i="47" s="1"/>
  <c r="AQ69" i="47" s="1"/>
  <c r="R69" i="47"/>
  <c r="Q69" i="47"/>
  <c r="AC69" i="47" s="1"/>
  <c r="AO69" i="47" s="1"/>
  <c r="P69" i="47"/>
  <c r="AB69" i="47" s="1"/>
  <c r="AN69" i="47" s="1"/>
  <c r="O69" i="47"/>
  <c r="AA69" i="47" s="1"/>
  <c r="AM69" i="47" s="1"/>
  <c r="BF68" i="47"/>
  <c r="BE68" i="47"/>
  <c r="BD68" i="47"/>
  <c r="BC68" i="47"/>
  <c r="BB68" i="47"/>
  <c r="AW68" i="47"/>
  <c r="AI68" i="47"/>
  <c r="AH68" i="47"/>
  <c r="AG68" i="47"/>
  <c r="AF68" i="47"/>
  <c r="W68" i="47"/>
  <c r="V68" i="47"/>
  <c r="U68" i="47"/>
  <c r="T68" i="47"/>
  <c r="S68" i="47"/>
  <c r="AE68" i="47" s="1"/>
  <c r="AQ68" i="47" s="1"/>
  <c r="R68" i="47"/>
  <c r="AD68" i="47" s="1"/>
  <c r="AP68" i="47" s="1"/>
  <c r="Q68" i="47"/>
  <c r="AC68" i="47" s="1"/>
  <c r="AO68" i="47" s="1"/>
  <c r="P68" i="47"/>
  <c r="AB68" i="47" s="1"/>
  <c r="AN68" i="47" s="1"/>
  <c r="O68" i="47"/>
  <c r="AA68" i="47" s="1"/>
  <c r="AM68" i="47" s="1"/>
  <c r="BF67" i="47"/>
  <c r="BE67" i="47"/>
  <c r="BD67" i="47"/>
  <c r="BC67" i="47"/>
  <c r="BB67" i="47"/>
  <c r="AW67" i="47"/>
  <c r="AI67" i="47"/>
  <c r="AH67" i="47"/>
  <c r="AG67" i="47"/>
  <c r="AF67" i="47"/>
  <c r="W67" i="47"/>
  <c r="V67" i="47"/>
  <c r="U67" i="47"/>
  <c r="T67" i="47"/>
  <c r="S67" i="47"/>
  <c r="AE67" i="47" s="1"/>
  <c r="AQ67" i="47" s="1"/>
  <c r="R67" i="47"/>
  <c r="AD67" i="47" s="1"/>
  <c r="AP67" i="47" s="1"/>
  <c r="Q67" i="47"/>
  <c r="AC67" i="47" s="1"/>
  <c r="AO67" i="47" s="1"/>
  <c r="P67" i="47"/>
  <c r="O67" i="47"/>
  <c r="AA67" i="47" s="1"/>
  <c r="AM67" i="47" s="1"/>
  <c r="BF66" i="47"/>
  <c r="BE66" i="47"/>
  <c r="BD66" i="47"/>
  <c r="BC66" i="47"/>
  <c r="BB66" i="47"/>
  <c r="AW66" i="47"/>
  <c r="AI66" i="47"/>
  <c r="AH66" i="47"/>
  <c r="AG66" i="47"/>
  <c r="AF66" i="47"/>
  <c r="W66" i="47"/>
  <c r="V66" i="47"/>
  <c r="U66" i="47"/>
  <c r="T66" i="47"/>
  <c r="S66" i="47"/>
  <c r="AE66" i="47" s="1"/>
  <c r="AQ66" i="47" s="1"/>
  <c r="R66" i="47"/>
  <c r="AD66" i="47" s="1"/>
  <c r="AP66" i="47" s="1"/>
  <c r="Q66" i="47"/>
  <c r="AC66" i="47" s="1"/>
  <c r="AO66" i="47" s="1"/>
  <c r="P66" i="47"/>
  <c r="AB66" i="47" s="1"/>
  <c r="AN66" i="47" s="1"/>
  <c r="O66" i="47"/>
  <c r="AA66" i="47" s="1"/>
  <c r="AM66" i="47" s="1"/>
  <c r="BF65" i="47"/>
  <c r="BE65" i="47"/>
  <c r="BD65" i="47"/>
  <c r="BC65" i="47"/>
  <c r="BB65" i="47"/>
  <c r="AW65" i="47"/>
  <c r="AI65" i="47"/>
  <c r="AH65" i="47"/>
  <c r="AG65" i="47"/>
  <c r="AF65" i="47"/>
  <c r="W65" i="47"/>
  <c r="V65" i="47"/>
  <c r="U65" i="47"/>
  <c r="T65" i="47"/>
  <c r="S65" i="47"/>
  <c r="AE65" i="47" s="1"/>
  <c r="AQ65" i="47" s="1"/>
  <c r="R65" i="47"/>
  <c r="AD65" i="47" s="1"/>
  <c r="AP65" i="47" s="1"/>
  <c r="Q65" i="47"/>
  <c r="AC65" i="47" s="1"/>
  <c r="AO65" i="47" s="1"/>
  <c r="P65" i="47"/>
  <c r="O65" i="47"/>
  <c r="AA65" i="47" s="1"/>
  <c r="AM65" i="47" s="1"/>
  <c r="BF64" i="47"/>
  <c r="BE64" i="47"/>
  <c r="BD64" i="47"/>
  <c r="BC64" i="47"/>
  <c r="BB64" i="47"/>
  <c r="AW64" i="47"/>
  <c r="AI64" i="47"/>
  <c r="AH64" i="47"/>
  <c r="AG64" i="47"/>
  <c r="AF64" i="47"/>
  <c r="W64" i="47"/>
  <c r="V64" i="47"/>
  <c r="U64" i="47"/>
  <c r="T64" i="47"/>
  <c r="S64" i="47"/>
  <c r="AE64" i="47" s="1"/>
  <c r="AQ64" i="47" s="1"/>
  <c r="R64" i="47"/>
  <c r="AD64" i="47" s="1"/>
  <c r="AP64" i="47" s="1"/>
  <c r="Q64" i="47"/>
  <c r="AC64" i="47" s="1"/>
  <c r="AO64" i="47" s="1"/>
  <c r="P64" i="47"/>
  <c r="AB64" i="47" s="1"/>
  <c r="AN64" i="47" s="1"/>
  <c r="O64" i="47"/>
  <c r="BF63" i="47"/>
  <c r="BE63" i="47"/>
  <c r="BD63" i="47"/>
  <c r="BC63" i="47"/>
  <c r="BB63" i="47"/>
  <c r="AW63" i="47"/>
  <c r="AI63" i="47"/>
  <c r="AH63" i="47"/>
  <c r="AG63" i="47"/>
  <c r="AF63" i="47"/>
  <c r="W63" i="47"/>
  <c r="V63" i="47"/>
  <c r="U63" i="47"/>
  <c r="T63" i="47"/>
  <c r="S63" i="47"/>
  <c r="AE63" i="47" s="1"/>
  <c r="AQ63" i="47" s="1"/>
  <c r="R63" i="47"/>
  <c r="AD63" i="47" s="1"/>
  <c r="AP63" i="47" s="1"/>
  <c r="Q63" i="47"/>
  <c r="AC63" i="47" s="1"/>
  <c r="AO63" i="47" s="1"/>
  <c r="P63" i="47"/>
  <c r="AB63" i="47" s="1"/>
  <c r="AN63" i="47" s="1"/>
  <c r="O63" i="47"/>
  <c r="AA63" i="47" s="1"/>
  <c r="AM63" i="47" s="1"/>
  <c r="BF62" i="47"/>
  <c r="BE62" i="47"/>
  <c r="BD62" i="47"/>
  <c r="BC62" i="47"/>
  <c r="BB62" i="47"/>
  <c r="AW62" i="47"/>
  <c r="AI62" i="47"/>
  <c r="AH62" i="47"/>
  <c r="AG62" i="47"/>
  <c r="AF62" i="47"/>
  <c r="W62" i="47"/>
  <c r="V62" i="47"/>
  <c r="U62" i="47"/>
  <c r="T62" i="47"/>
  <c r="S62" i="47"/>
  <c r="AE62" i="47" s="1"/>
  <c r="AQ62" i="47" s="1"/>
  <c r="R62" i="47"/>
  <c r="AD62" i="47" s="1"/>
  <c r="AP62" i="47" s="1"/>
  <c r="Q62" i="47"/>
  <c r="AC62" i="47" s="1"/>
  <c r="AO62" i="47" s="1"/>
  <c r="P62" i="47"/>
  <c r="AB62" i="47" s="1"/>
  <c r="AN62" i="47" s="1"/>
  <c r="O62" i="47"/>
  <c r="AA62" i="47" s="1"/>
  <c r="AM62" i="47" s="1"/>
  <c r="BF61" i="47"/>
  <c r="BE61" i="47"/>
  <c r="BD61" i="47"/>
  <c r="BC61" i="47"/>
  <c r="BB61" i="47"/>
  <c r="AW61" i="47"/>
  <c r="AI61" i="47"/>
  <c r="AH61" i="47"/>
  <c r="AG61" i="47"/>
  <c r="AF61" i="47"/>
  <c r="W61" i="47"/>
  <c r="V61" i="47"/>
  <c r="U61" i="47"/>
  <c r="T61" i="47"/>
  <c r="S61" i="47"/>
  <c r="AE61" i="47" s="1"/>
  <c r="AQ61" i="47" s="1"/>
  <c r="R61" i="47"/>
  <c r="AD61" i="47" s="1"/>
  <c r="AP61" i="47" s="1"/>
  <c r="Q61" i="47"/>
  <c r="AC61" i="47" s="1"/>
  <c r="AO61" i="47" s="1"/>
  <c r="P61" i="47"/>
  <c r="AB61" i="47" s="1"/>
  <c r="AN61" i="47" s="1"/>
  <c r="O61" i="47"/>
  <c r="AA61" i="47" s="1"/>
  <c r="AM61" i="47" s="1"/>
  <c r="BF60" i="47"/>
  <c r="BE60" i="47"/>
  <c r="BD60" i="47"/>
  <c r="BC60" i="47"/>
  <c r="BB60" i="47"/>
  <c r="AW60" i="47"/>
  <c r="AI60" i="47"/>
  <c r="AH60" i="47"/>
  <c r="AG60" i="47"/>
  <c r="AF60" i="47"/>
  <c r="K111" i="47" s="1"/>
  <c r="W60" i="47"/>
  <c r="V60" i="47"/>
  <c r="U60" i="47"/>
  <c r="T60" i="47"/>
  <c r="S60" i="47"/>
  <c r="AE60" i="47" s="1"/>
  <c r="AQ60" i="47" s="1"/>
  <c r="R60" i="47"/>
  <c r="AD60" i="47" s="1"/>
  <c r="AP60" i="47" s="1"/>
  <c r="Q60" i="47"/>
  <c r="AC60" i="47" s="1"/>
  <c r="AO60" i="47" s="1"/>
  <c r="P60" i="47"/>
  <c r="AB60" i="47" s="1"/>
  <c r="AN60" i="47" s="1"/>
  <c r="O60" i="47"/>
  <c r="BF59" i="47"/>
  <c r="BE59" i="47"/>
  <c r="BD59" i="47"/>
  <c r="BC59" i="47"/>
  <c r="BB59" i="47"/>
  <c r="AW59" i="47"/>
  <c r="AI59" i="47"/>
  <c r="AH59" i="47"/>
  <c r="AG59" i="47"/>
  <c r="AF59" i="47"/>
  <c r="W59" i="47"/>
  <c r="V59" i="47"/>
  <c r="U59" i="47"/>
  <c r="T59" i="47"/>
  <c r="S59" i="47"/>
  <c r="AE59" i="47" s="1"/>
  <c r="AQ59" i="47" s="1"/>
  <c r="R59" i="47"/>
  <c r="AD59" i="47" s="1"/>
  <c r="AP59" i="47" s="1"/>
  <c r="Q59" i="47"/>
  <c r="AC59" i="47" s="1"/>
  <c r="AO59" i="47" s="1"/>
  <c r="P59" i="47"/>
  <c r="AB59" i="47" s="1"/>
  <c r="AN59" i="47" s="1"/>
  <c r="O59" i="47"/>
  <c r="AA59" i="47" s="1"/>
  <c r="AM59" i="47" s="1"/>
  <c r="BF58" i="47"/>
  <c r="BE58" i="47"/>
  <c r="BD58" i="47"/>
  <c r="BC58" i="47"/>
  <c r="BB58" i="47"/>
  <c r="AW58" i="47"/>
  <c r="AI58" i="47"/>
  <c r="AH58" i="47"/>
  <c r="AG58" i="47"/>
  <c r="AF58" i="47"/>
  <c r="W58" i="47"/>
  <c r="V58" i="47"/>
  <c r="U58" i="47"/>
  <c r="T58" i="47"/>
  <c r="S58" i="47"/>
  <c r="AE58" i="47" s="1"/>
  <c r="AQ58" i="47" s="1"/>
  <c r="R58" i="47"/>
  <c r="AD58" i="47" s="1"/>
  <c r="AP58" i="47" s="1"/>
  <c r="Q58" i="47"/>
  <c r="AC58" i="47" s="1"/>
  <c r="AO58" i="47" s="1"/>
  <c r="P58" i="47"/>
  <c r="AB58" i="47" s="1"/>
  <c r="AN58" i="47" s="1"/>
  <c r="O58" i="47"/>
  <c r="BF57" i="47"/>
  <c r="BE57" i="47"/>
  <c r="BD57" i="47"/>
  <c r="BC57" i="47"/>
  <c r="BB57" i="47"/>
  <c r="AW57" i="47"/>
  <c r="AI57" i="47"/>
  <c r="AH57" i="47"/>
  <c r="AG57" i="47"/>
  <c r="AF57" i="47"/>
  <c r="W57" i="47"/>
  <c r="V57" i="47"/>
  <c r="U57" i="47"/>
  <c r="T57" i="47"/>
  <c r="S57" i="47"/>
  <c r="AE57" i="47" s="1"/>
  <c r="AQ57" i="47" s="1"/>
  <c r="R57" i="47"/>
  <c r="AD57" i="47" s="1"/>
  <c r="AP57" i="47" s="1"/>
  <c r="Q57" i="47"/>
  <c r="AC57" i="47" s="1"/>
  <c r="AO57" i="47" s="1"/>
  <c r="P57" i="47"/>
  <c r="AB57" i="47" s="1"/>
  <c r="AN57" i="47" s="1"/>
  <c r="O57" i="47"/>
  <c r="AA57" i="47" s="1"/>
  <c r="AM57" i="47" s="1"/>
  <c r="BF56" i="47"/>
  <c r="BE56" i="47"/>
  <c r="BD56" i="47"/>
  <c r="BC56" i="47"/>
  <c r="BB56" i="47"/>
  <c r="AW56" i="47"/>
  <c r="AI56" i="47"/>
  <c r="AH56" i="47"/>
  <c r="AG56" i="47"/>
  <c r="AF56" i="47"/>
  <c r="W56" i="47"/>
  <c r="V56" i="47"/>
  <c r="U56" i="47"/>
  <c r="T56" i="47"/>
  <c r="S56" i="47"/>
  <c r="AE56" i="47" s="1"/>
  <c r="AQ56" i="47" s="1"/>
  <c r="R56" i="47"/>
  <c r="AD56" i="47" s="1"/>
  <c r="AP56" i="47" s="1"/>
  <c r="Q56" i="47"/>
  <c r="AC56" i="47" s="1"/>
  <c r="AO56" i="47" s="1"/>
  <c r="P56" i="47"/>
  <c r="AB56" i="47" s="1"/>
  <c r="AN56" i="47" s="1"/>
  <c r="O56" i="47"/>
  <c r="AA56" i="47" s="1"/>
  <c r="AM56" i="47" s="1"/>
  <c r="BF55" i="47"/>
  <c r="BE55" i="47"/>
  <c r="BD55" i="47"/>
  <c r="BC55" i="47"/>
  <c r="BB55" i="47"/>
  <c r="AW55" i="47"/>
  <c r="AI55" i="47"/>
  <c r="AH55" i="47"/>
  <c r="AG55" i="47"/>
  <c r="AF55" i="47"/>
  <c r="W55" i="47"/>
  <c r="V55" i="47"/>
  <c r="U55" i="47"/>
  <c r="T55" i="47"/>
  <c r="S55" i="47"/>
  <c r="AE55" i="47" s="1"/>
  <c r="AQ55" i="47" s="1"/>
  <c r="R55" i="47"/>
  <c r="AD55" i="47" s="1"/>
  <c r="AP55" i="47" s="1"/>
  <c r="Q55" i="47"/>
  <c r="AC55" i="47" s="1"/>
  <c r="AO55" i="47" s="1"/>
  <c r="P55" i="47"/>
  <c r="AB55" i="47" s="1"/>
  <c r="AN55" i="47" s="1"/>
  <c r="O55" i="47"/>
  <c r="AA55" i="47" s="1"/>
  <c r="AM55" i="47" s="1"/>
  <c r="BF54" i="47"/>
  <c r="BE54" i="47"/>
  <c r="BD54" i="47"/>
  <c r="BC54" i="47"/>
  <c r="BB54" i="47"/>
  <c r="AW54" i="47"/>
  <c r="AI54" i="47"/>
  <c r="AH54" i="47"/>
  <c r="AG54" i="47"/>
  <c r="AF54" i="47"/>
  <c r="W54" i="47"/>
  <c r="V54" i="47"/>
  <c r="U54" i="47"/>
  <c r="T54" i="47"/>
  <c r="S54" i="47"/>
  <c r="AE54" i="47" s="1"/>
  <c r="AQ54" i="47" s="1"/>
  <c r="R54" i="47"/>
  <c r="AD54" i="47" s="1"/>
  <c r="AP54" i="47" s="1"/>
  <c r="Q54" i="47"/>
  <c r="AC54" i="47" s="1"/>
  <c r="AO54" i="47" s="1"/>
  <c r="P54" i="47"/>
  <c r="AB54" i="47" s="1"/>
  <c r="AN54" i="47" s="1"/>
  <c r="O54" i="47"/>
  <c r="AA54" i="47" s="1"/>
  <c r="AM54" i="47" s="1"/>
  <c r="BF53" i="47"/>
  <c r="BE53" i="47"/>
  <c r="BD53" i="47"/>
  <c r="BC53" i="47"/>
  <c r="BB53" i="47"/>
  <c r="AW53" i="47"/>
  <c r="AI53" i="47"/>
  <c r="AH53" i="47"/>
  <c r="AG53" i="47"/>
  <c r="AF53" i="47"/>
  <c r="W53" i="47"/>
  <c r="V53" i="47"/>
  <c r="U53" i="47"/>
  <c r="T53" i="47"/>
  <c r="S53" i="47"/>
  <c r="AE53" i="47" s="1"/>
  <c r="AQ53" i="47" s="1"/>
  <c r="R53" i="47"/>
  <c r="AD53" i="47" s="1"/>
  <c r="AP53" i="47" s="1"/>
  <c r="Q53" i="47"/>
  <c r="AC53" i="47" s="1"/>
  <c r="AO53" i="47" s="1"/>
  <c r="P53" i="47"/>
  <c r="AB53" i="47" s="1"/>
  <c r="AN53" i="47" s="1"/>
  <c r="O53" i="47"/>
  <c r="AA53" i="47" s="1"/>
  <c r="AM53" i="47" s="1"/>
  <c r="BF52" i="47"/>
  <c r="BE52" i="47"/>
  <c r="BD52" i="47"/>
  <c r="BC52" i="47"/>
  <c r="BB52" i="47"/>
  <c r="AW52" i="47"/>
  <c r="AI52" i="47"/>
  <c r="AH52" i="47"/>
  <c r="AG52" i="47"/>
  <c r="AF52" i="47"/>
  <c r="W52" i="47"/>
  <c r="V52" i="47"/>
  <c r="U52" i="47"/>
  <c r="T52" i="47"/>
  <c r="S52" i="47"/>
  <c r="AE52" i="47" s="1"/>
  <c r="AQ52" i="47" s="1"/>
  <c r="R52" i="47"/>
  <c r="Q52" i="47"/>
  <c r="AC52" i="47" s="1"/>
  <c r="AO52" i="47" s="1"/>
  <c r="P52" i="47"/>
  <c r="AB52" i="47" s="1"/>
  <c r="AN52" i="47" s="1"/>
  <c r="O52" i="47"/>
  <c r="AA52" i="47" s="1"/>
  <c r="AM52" i="47" s="1"/>
  <c r="BF51" i="47"/>
  <c r="BE51" i="47"/>
  <c r="BD51" i="47"/>
  <c r="BC51" i="47"/>
  <c r="BB51" i="47"/>
  <c r="AW51" i="47"/>
  <c r="AI51" i="47"/>
  <c r="AH51" i="47"/>
  <c r="AG51" i="47"/>
  <c r="AF51" i="47"/>
  <c r="W51" i="47"/>
  <c r="V51" i="47"/>
  <c r="U51" i="47"/>
  <c r="T51" i="47"/>
  <c r="S51" i="47"/>
  <c r="AE51" i="47" s="1"/>
  <c r="AQ51" i="47" s="1"/>
  <c r="R51" i="47"/>
  <c r="AD51" i="47" s="1"/>
  <c r="AP51" i="47" s="1"/>
  <c r="Q51" i="47"/>
  <c r="AC51" i="47" s="1"/>
  <c r="AO51" i="47" s="1"/>
  <c r="P51" i="47"/>
  <c r="O51" i="47"/>
  <c r="AA51" i="47" s="1"/>
  <c r="AM51" i="47" s="1"/>
  <c r="BF50" i="47"/>
  <c r="BE50" i="47"/>
  <c r="BD50" i="47"/>
  <c r="BC50" i="47"/>
  <c r="BB50" i="47"/>
  <c r="AW50" i="47"/>
  <c r="AI50" i="47"/>
  <c r="AH50" i="47"/>
  <c r="AG50" i="47"/>
  <c r="AF50" i="47"/>
  <c r="W50" i="47"/>
  <c r="V50" i="47"/>
  <c r="U50" i="47"/>
  <c r="T50" i="47"/>
  <c r="S50" i="47"/>
  <c r="AE50" i="47" s="1"/>
  <c r="AQ50" i="47" s="1"/>
  <c r="R50" i="47"/>
  <c r="AD50" i="47" s="1"/>
  <c r="AP50" i="47" s="1"/>
  <c r="Q50" i="47"/>
  <c r="AC50" i="47" s="1"/>
  <c r="AO50" i="47" s="1"/>
  <c r="P50" i="47"/>
  <c r="AB50" i="47" s="1"/>
  <c r="AN50" i="47" s="1"/>
  <c r="O50" i="47"/>
  <c r="BF49" i="47"/>
  <c r="BE49" i="47"/>
  <c r="BD49" i="47"/>
  <c r="BC49" i="47"/>
  <c r="BB49" i="47"/>
  <c r="AW49" i="47"/>
  <c r="AI49" i="47"/>
  <c r="AH49" i="47"/>
  <c r="AG49" i="47"/>
  <c r="AF49" i="47"/>
  <c r="W49" i="47"/>
  <c r="V49" i="47"/>
  <c r="U49" i="47"/>
  <c r="T49" i="47"/>
  <c r="S49" i="47"/>
  <c r="AE49" i="47" s="1"/>
  <c r="AQ49" i="47" s="1"/>
  <c r="R49" i="47"/>
  <c r="AD49" i="47" s="1"/>
  <c r="AP49" i="47" s="1"/>
  <c r="Q49" i="47"/>
  <c r="AC49" i="47" s="1"/>
  <c r="AO49" i="47" s="1"/>
  <c r="P49" i="47"/>
  <c r="AB49" i="47" s="1"/>
  <c r="AN49" i="47" s="1"/>
  <c r="O49" i="47"/>
  <c r="BF48" i="47"/>
  <c r="BE48" i="47"/>
  <c r="BD48" i="47"/>
  <c r="BC48" i="47"/>
  <c r="BB48" i="47"/>
  <c r="AW48" i="47"/>
  <c r="AI48" i="47"/>
  <c r="AH48" i="47"/>
  <c r="AG48" i="47"/>
  <c r="AF48" i="47"/>
  <c r="W48" i="47"/>
  <c r="V48" i="47"/>
  <c r="U48" i="47"/>
  <c r="T48" i="47"/>
  <c r="S48" i="47"/>
  <c r="AE48" i="47" s="1"/>
  <c r="AQ48" i="47" s="1"/>
  <c r="R48" i="47"/>
  <c r="AD48" i="47" s="1"/>
  <c r="AP48" i="47" s="1"/>
  <c r="Q48" i="47"/>
  <c r="AC48" i="47" s="1"/>
  <c r="AO48" i="47" s="1"/>
  <c r="P48" i="47"/>
  <c r="AB48" i="47" s="1"/>
  <c r="AN48" i="47" s="1"/>
  <c r="O48" i="47"/>
  <c r="AA48" i="47" s="1"/>
  <c r="AM48" i="47" s="1"/>
  <c r="BF47" i="47"/>
  <c r="BE47" i="47"/>
  <c r="BD47" i="47"/>
  <c r="BC47" i="47"/>
  <c r="BB47" i="47"/>
  <c r="AW47" i="47"/>
  <c r="AI47" i="47"/>
  <c r="AH47" i="47"/>
  <c r="AG47" i="47"/>
  <c r="AF47" i="47"/>
  <c r="W47" i="47"/>
  <c r="V47" i="47"/>
  <c r="U47" i="47"/>
  <c r="T47" i="47"/>
  <c r="S47" i="47"/>
  <c r="AE47" i="47" s="1"/>
  <c r="AQ47" i="47" s="1"/>
  <c r="R47" i="47"/>
  <c r="AD47" i="47" s="1"/>
  <c r="AP47" i="47" s="1"/>
  <c r="Q47" i="47"/>
  <c r="AC47" i="47" s="1"/>
  <c r="AO47" i="47" s="1"/>
  <c r="P47" i="47"/>
  <c r="AB47" i="47" s="1"/>
  <c r="AN47" i="47" s="1"/>
  <c r="O47" i="47"/>
  <c r="AA47" i="47" s="1"/>
  <c r="AM47" i="47" s="1"/>
  <c r="BF46" i="47"/>
  <c r="BE46" i="47"/>
  <c r="BD46" i="47"/>
  <c r="BC46" i="47"/>
  <c r="BB46" i="47"/>
  <c r="AW46" i="47"/>
  <c r="AI46" i="47"/>
  <c r="AH46" i="47"/>
  <c r="AG46" i="47"/>
  <c r="AF46" i="47"/>
  <c r="W46" i="47"/>
  <c r="V46" i="47"/>
  <c r="U46" i="47"/>
  <c r="T46" i="47"/>
  <c r="S46" i="47"/>
  <c r="AE46" i="47" s="1"/>
  <c r="AQ46" i="47" s="1"/>
  <c r="R46" i="47"/>
  <c r="AD46" i="47" s="1"/>
  <c r="AP46" i="47" s="1"/>
  <c r="Q46" i="47"/>
  <c r="AC46" i="47" s="1"/>
  <c r="AO46" i="47" s="1"/>
  <c r="P46" i="47"/>
  <c r="AB46" i="47" s="1"/>
  <c r="AN46" i="47" s="1"/>
  <c r="O46" i="47"/>
  <c r="AA46" i="47" s="1"/>
  <c r="AM46" i="47" s="1"/>
  <c r="BF45" i="47"/>
  <c r="BE45" i="47"/>
  <c r="BD45" i="47"/>
  <c r="BC45" i="47"/>
  <c r="BB45" i="47"/>
  <c r="AW45" i="47"/>
  <c r="AI45" i="47"/>
  <c r="AH45" i="47"/>
  <c r="AG45" i="47"/>
  <c r="AF45" i="47"/>
  <c r="W45" i="47"/>
  <c r="V45" i="47"/>
  <c r="U45" i="47"/>
  <c r="T45" i="47"/>
  <c r="S45" i="47"/>
  <c r="AE45" i="47" s="1"/>
  <c r="AQ45" i="47" s="1"/>
  <c r="R45" i="47"/>
  <c r="AD45" i="47" s="1"/>
  <c r="AP45" i="47" s="1"/>
  <c r="Q45" i="47"/>
  <c r="AC45" i="47" s="1"/>
  <c r="AO45" i="47" s="1"/>
  <c r="P45" i="47"/>
  <c r="AB45" i="47" s="1"/>
  <c r="AN45" i="47" s="1"/>
  <c r="O45" i="47"/>
  <c r="AA45" i="47" s="1"/>
  <c r="AM45" i="47" s="1"/>
  <c r="BF44" i="47"/>
  <c r="BE44" i="47"/>
  <c r="BD44" i="47"/>
  <c r="BC44" i="47"/>
  <c r="BB44" i="47"/>
  <c r="AW44" i="47"/>
  <c r="AI44" i="47"/>
  <c r="AH44" i="47"/>
  <c r="AG44" i="47"/>
  <c r="AF44" i="47"/>
  <c r="W44" i="47"/>
  <c r="V44" i="47"/>
  <c r="U44" i="47"/>
  <c r="T44" i="47"/>
  <c r="S44" i="47"/>
  <c r="AE44" i="47" s="1"/>
  <c r="AQ44" i="47" s="1"/>
  <c r="R44" i="47"/>
  <c r="Q44" i="47"/>
  <c r="AC44" i="47" s="1"/>
  <c r="AO44" i="47" s="1"/>
  <c r="P44" i="47"/>
  <c r="AB44" i="47" s="1"/>
  <c r="AN44" i="47" s="1"/>
  <c r="O44" i="47"/>
  <c r="AA44" i="47" s="1"/>
  <c r="AM44" i="47" s="1"/>
  <c r="BF43" i="47"/>
  <c r="BE43" i="47"/>
  <c r="BD43" i="47"/>
  <c r="BC43" i="47"/>
  <c r="BB43" i="47"/>
  <c r="AW43" i="47"/>
  <c r="AI43" i="47"/>
  <c r="AH43" i="47"/>
  <c r="AG43" i="47"/>
  <c r="AF43" i="47"/>
  <c r="W43" i="47"/>
  <c r="V43" i="47"/>
  <c r="U43" i="47"/>
  <c r="T43" i="47"/>
  <c r="S43" i="47"/>
  <c r="AE43" i="47" s="1"/>
  <c r="AQ43" i="47" s="1"/>
  <c r="R43" i="47"/>
  <c r="AD43" i="47" s="1"/>
  <c r="AP43" i="47" s="1"/>
  <c r="Q43" i="47"/>
  <c r="AC43" i="47" s="1"/>
  <c r="AO43" i="47" s="1"/>
  <c r="P43" i="47"/>
  <c r="AB43" i="47" s="1"/>
  <c r="AN43" i="47" s="1"/>
  <c r="O43" i="47"/>
  <c r="AA43" i="47" s="1"/>
  <c r="AM43" i="47" s="1"/>
  <c r="BF42" i="47"/>
  <c r="BE42" i="47"/>
  <c r="BD42" i="47"/>
  <c r="BC42" i="47"/>
  <c r="BB42" i="47"/>
  <c r="AW42" i="47"/>
  <c r="AI42" i="47"/>
  <c r="AH42" i="47"/>
  <c r="AG42" i="47"/>
  <c r="AF42" i="47"/>
  <c r="K93" i="47" s="1"/>
  <c r="X93" i="47" s="1"/>
  <c r="W42" i="47"/>
  <c r="V42" i="47"/>
  <c r="U42" i="47"/>
  <c r="T42" i="47"/>
  <c r="S42" i="47"/>
  <c r="AE42" i="47" s="1"/>
  <c r="AQ42" i="47" s="1"/>
  <c r="R42" i="47"/>
  <c r="AD42" i="47" s="1"/>
  <c r="AP42" i="47" s="1"/>
  <c r="Q42" i="47"/>
  <c r="AC42" i="47" s="1"/>
  <c r="AO42" i="47" s="1"/>
  <c r="P42" i="47"/>
  <c r="AB42" i="47" s="1"/>
  <c r="AN42" i="47" s="1"/>
  <c r="O42" i="47"/>
  <c r="BF41" i="47"/>
  <c r="BE41" i="47"/>
  <c r="BD41" i="47"/>
  <c r="BC41" i="47"/>
  <c r="BB41" i="47"/>
  <c r="AW41" i="47"/>
  <c r="AI41" i="47"/>
  <c r="AH41" i="47"/>
  <c r="AG41" i="47"/>
  <c r="AF41" i="47"/>
  <c r="W41" i="47"/>
  <c r="V41" i="47"/>
  <c r="U41" i="47"/>
  <c r="T41" i="47"/>
  <c r="S41" i="47"/>
  <c r="AE41" i="47" s="1"/>
  <c r="AQ41" i="47" s="1"/>
  <c r="R41" i="47"/>
  <c r="AD41" i="47" s="1"/>
  <c r="AP41" i="47" s="1"/>
  <c r="Q41" i="47"/>
  <c r="AC41" i="47" s="1"/>
  <c r="AO41" i="47" s="1"/>
  <c r="P41" i="47"/>
  <c r="AB41" i="47" s="1"/>
  <c r="AN41" i="47" s="1"/>
  <c r="O41" i="47"/>
  <c r="BF40" i="47"/>
  <c r="BE40" i="47"/>
  <c r="BD40" i="47"/>
  <c r="BC40" i="47"/>
  <c r="BB40" i="47"/>
  <c r="AW40" i="47"/>
  <c r="AI40" i="47"/>
  <c r="AH40" i="47"/>
  <c r="AG40" i="47"/>
  <c r="AF40" i="47"/>
  <c r="W40" i="47"/>
  <c r="V40" i="47"/>
  <c r="U40" i="47"/>
  <c r="T40" i="47"/>
  <c r="S40" i="47"/>
  <c r="AE40" i="47" s="1"/>
  <c r="AQ40" i="47" s="1"/>
  <c r="R40" i="47"/>
  <c r="AD40" i="47" s="1"/>
  <c r="AP40" i="47" s="1"/>
  <c r="Q40" i="47"/>
  <c r="AC40" i="47" s="1"/>
  <c r="AO40" i="47" s="1"/>
  <c r="P40" i="47"/>
  <c r="AB40" i="47" s="1"/>
  <c r="AN40" i="47" s="1"/>
  <c r="O40" i="47"/>
  <c r="AA40" i="47" s="1"/>
  <c r="AM40" i="47" s="1"/>
  <c r="BF39" i="47"/>
  <c r="BE39" i="47"/>
  <c r="BD39" i="47"/>
  <c r="BC39" i="47"/>
  <c r="BB39" i="47"/>
  <c r="AW39" i="47"/>
  <c r="AI39" i="47"/>
  <c r="AH39" i="47"/>
  <c r="AG39" i="47"/>
  <c r="AF39" i="47"/>
  <c r="W39" i="47"/>
  <c r="V39" i="47"/>
  <c r="U39" i="47"/>
  <c r="T39" i="47"/>
  <c r="S39" i="47"/>
  <c r="AE39" i="47" s="1"/>
  <c r="AQ39" i="47" s="1"/>
  <c r="R39" i="47"/>
  <c r="AD39" i="47" s="1"/>
  <c r="AP39" i="47" s="1"/>
  <c r="Q39" i="47"/>
  <c r="AC39" i="47" s="1"/>
  <c r="AO39" i="47" s="1"/>
  <c r="P39" i="47"/>
  <c r="AB39" i="47" s="1"/>
  <c r="AN39" i="47" s="1"/>
  <c r="O39" i="47"/>
  <c r="AA39" i="47" s="1"/>
  <c r="AM39" i="47" s="1"/>
  <c r="BF38" i="47"/>
  <c r="BE38" i="47"/>
  <c r="BD38" i="47"/>
  <c r="BC38" i="47"/>
  <c r="BB38" i="47"/>
  <c r="AW38" i="47"/>
  <c r="AI38" i="47"/>
  <c r="AH38" i="47"/>
  <c r="AG38" i="47"/>
  <c r="AF38" i="47"/>
  <c r="W38" i="47"/>
  <c r="V38" i="47"/>
  <c r="U38" i="47"/>
  <c r="T38" i="47"/>
  <c r="S38" i="47"/>
  <c r="AE38" i="47" s="1"/>
  <c r="AQ38" i="47" s="1"/>
  <c r="R38" i="47"/>
  <c r="AD38" i="47" s="1"/>
  <c r="AP38" i="47" s="1"/>
  <c r="Q38" i="47"/>
  <c r="AC38" i="47" s="1"/>
  <c r="AO38" i="47" s="1"/>
  <c r="P38" i="47"/>
  <c r="AB38" i="47" s="1"/>
  <c r="AN38" i="47" s="1"/>
  <c r="O38" i="47"/>
  <c r="AA38" i="47" s="1"/>
  <c r="AM38" i="47" s="1"/>
  <c r="BF37" i="47"/>
  <c r="BE37" i="47"/>
  <c r="BD37" i="47"/>
  <c r="BC37" i="47"/>
  <c r="BB37" i="47"/>
  <c r="AW37" i="47"/>
  <c r="AI37" i="47"/>
  <c r="AH37" i="47"/>
  <c r="AG37" i="47"/>
  <c r="AF37" i="47"/>
  <c r="W37" i="47"/>
  <c r="V37" i="47"/>
  <c r="U37" i="47"/>
  <c r="T37" i="47"/>
  <c r="S37" i="47"/>
  <c r="AE37" i="47" s="1"/>
  <c r="AQ37" i="47" s="1"/>
  <c r="R37" i="47"/>
  <c r="AD37" i="47" s="1"/>
  <c r="AP37" i="47" s="1"/>
  <c r="Q37" i="47"/>
  <c r="AC37" i="47" s="1"/>
  <c r="AO37" i="47" s="1"/>
  <c r="P37" i="47"/>
  <c r="AB37" i="47" s="1"/>
  <c r="AN37" i="47" s="1"/>
  <c r="O37" i="47"/>
  <c r="AA37" i="47" s="1"/>
  <c r="AM37" i="47" s="1"/>
  <c r="BF36" i="47"/>
  <c r="BE36" i="47"/>
  <c r="BD36" i="47"/>
  <c r="BC36" i="47"/>
  <c r="BB36" i="47"/>
  <c r="AW36" i="47"/>
  <c r="AI36" i="47"/>
  <c r="AH36" i="47"/>
  <c r="AG36" i="47"/>
  <c r="AF36" i="47"/>
  <c r="W36" i="47"/>
  <c r="V36" i="47"/>
  <c r="U36" i="47"/>
  <c r="T36" i="47"/>
  <c r="S36" i="47"/>
  <c r="AE36" i="47" s="1"/>
  <c r="AQ36" i="47" s="1"/>
  <c r="R36" i="47"/>
  <c r="AD36" i="47" s="1"/>
  <c r="AP36" i="47" s="1"/>
  <c r="Q36" i="47"/>
  <c r="AC36" i="47" s="1"/>
  <c r="AO36" i="47" s="1"/>
  <c r="P36" i="47"/>
  <c r="AB36" i="47" s="1"/>
  <c r="AN36" i="47" s="1"/>
  <c r="O36" i="47"/>
  <c r="AA36" i="47" s="1"/>
  <c r="AM36" i="47" s="1"/>
  <c r="BF35" i="47"/>
  <c r="BE35" i="47"/>
  <c r="BD35" i="47"/>
  <c r="BC35" i="47"/>
  <c r="BB35" i="47"/>
  <c r="AW35" i="47"/>
  <c r="AI35" i="47"/>
  <c r="AH35" i="47"/>
  <c r="AG35" i="47"/>
  <c r="AF35" i="47"/>
  <c r="W35" i="47"/>
  <c r="V35" i="47"/>
  <c r="U35" i="47"/>
  <c r="T35" i="47"/>
  <c r="S35" i="47"/>
  <c r="AE35" i="47" s="1"/>
  <c r="AQ35" i="47" s="1"/>
  <c r="R35" i="47"/>
  <c r="AD35" i="47" s="1"/>
  <c r="AP35" i="47" s="1"/>
  <c r="Q35" i="47"/>
  <c r="AC35" i="47" s="1"/>
  <c r="AO35" i="47" s="1"/>
  <c r="P35" i="47"/>
  <c r="O35" i="47"/>
  <c r="AA35" i="47" s="1"/>
  <c r="AM35" i="47" s="1"/>
  <c r="BF34" i="47"/>
  <c r="BE34" i="47"/>
  <c r="BD34" i="47"/>
  <c r="BC34" i="47"/>
  <c r="BB34" i="47"/>
  <c r="AW34" i="47"/>
  <c r="AI34" i="47"/>
  <c r="AH34" i="47"/>
  <c r="AG34" i="47"/>
  <c r="AF34" i="47"/>
  <c r="W34" i="47"/>
  <c r="V34" i="47"/>
  <c r="U34" i="47"/>
  <c r="T34" i="47"/>
  <c r="S34" i="47"/>
  <c r="AE34" i="47" s="1"/>
  <c r="AQ34" i="47" s="1"/>
  <c r="R34" i="47"/>
  <c r="AD34" i="47" s="1"/>
  <c r="AP34" i="47" s="1"/>
  <c r="Q34" i="47"/>
  <c r="AC34" i="47" s="1"/>
  <c r="AO34" i="47" s="1"/>
  <c r="P34" i="47"/>
  <c r="AB34" i="47" s="1"/>
  <c r="AN34" i="47" s="1"/>
  <c r="O34" i="47"/>
  <c r="BF33" i="47"/>
  <c r="BE33" i="47"/>
  <c r="BD33" i="47"/>
  <c r="BC33" i="47"/>
  <c r="BB33" i="47"/>
  <c r="AW33" i="47"/>
  <c r="AI33" i="47"/>
  <c r="AH33" i="47"/>
  <c r="AG33" i="47"/>
  <c r="AF33" i="47"/>
  <c r="W33" i="47"/>
  <c r="V33" i="47"/>
  <c r="U33" i="47"/>
  <c r="T33" i="47"/>
  <c r="S33" i="47"/>
  <c r="AE33" i="47" s="1"/>
  <c r="AQ33" i="47" s="1"/>
  <c r="R33" i="47"/>
  <c r="AD33" i="47" s="1"/>
  <c r="AP33" i="47" s="1"/>
  <c r="Q33" i="47"/>
  <c r="AC33" i="47" s="1"/>
  <c r="AO33" i="47" s="1"/>
  <c r="P33" i="47"/>
  <c r="AB33" i="47" s="1"/>
  <c r="AN33" i="47" s="1"/>
  <c r="O33" i="47"/>
  <c r="BF32" i="47"/>
  <c r="BE32" i="47"/>
  <c r="BD32" i="47"/>
  <c r="BC32" i="47"/>
  <c r="BB32" i="47"/>
  <c r="AW32" i="47"/>
  <c r="AI32" i="47"/>
  <c r="AH32" i="47"/>
  <c r="AG32" i="47"/>
  <c r="AF32" i="47"/>
  <c r="W32" i="47"/>
  <c r="V32" i="47"/>
  <c r="U32" i="47"/>
  <c r="T32" i="47"/>
  <c r="S32" i="47"/>
  <c r="AE32" i="47" s="1"/>
  <c r="AQ32" i="47" s="1"/>
  <c r="R32" i="47"/>
  <c r="AD32" i="47" s="1"/>
  <c r="AP32" i="47" s="1"/>
  <c r="Q32" i="47"/>
  <c r="AC32" i="47" s="1"/>
  <c r="AO32" i="47" s="1"/>
  <c r="P32" i="47"/>
  <c r="AB32" i="47" s="1"/>
  <c r="AN32" i="47" s="1"/>
  <c r="O32" i="47"/>
  <c r="AA32" i="47" s="1"/>
  <c r="AM32" i="47" s="1"/>
  <c r="BF31" i="47"/>
  <c r="BE31" i="47"/>
  <c r="BD31" i="47"/>
  <c r="BC31" i="47"/>
  <c r="BB31" i="47"/>
  <c r="AW31" i="47"/>
  <c r="AI31" i="47"/>
  <c r="AH31" i="47"/>
  <c r="AG31" i="47"/>
  <c r="AF31" i="47"/>
  <c r="W31" i="47"/>
  <c r="V31" i="47"/>
  <c r="U31" i="47"/>
  <c r="T31" i="47"/>
  <c r="S31" i="47"/>
  <c r="AE31" i="47" s="1"/>
  <c r="AQ31" i="47" s="1"/>
  <c r="R31" i="47"/>
  <c r="AD31" i="47" s="1"/>
  <c r="AP31" i="47" s="1"/>
  <c r="Q31" i="47"/>
  <c r="AC31" i="47" s="1"/>
  <c r="AO31" i="47" s="1"/>
  <c r="P31" i="47"/>
  <c r="AB31" i="47" s="1"/>
  <c r="AN31" i="47" s="1"/>
  <c r="O31" i="47"/>
  <c r="AA31" i="47" s="1"/>
  <c r="AM31" i="47" s="1"/>
  <c r="BF30" i="47"/>
  <c r="BE30" i="47"/>
  <c r="BD30" i="47"/>
  <c r="BC30" i="47"/>
  <c r="BB30" i="47"/>
  <c r="AW30" i="47"/>
  <c r="AI30" i="47"/>
  <c r="AH30" i="47"/>
  <c r="AG30" i="47"/>
  <c r="AF30" i="47"/>
  <c r="W30" i="47"/>
  <c r="V30" i="47"/>
  <c r="U30" i="47"/>
  <c r="T30" i="47"/>
  <c r="S30" i="47"/>
  <c r="AE30" i="47" s="1"/>
  <c r="AQ30" i="47" s="1"/>
  <c r="R30" i="47"/>
  <c r="AD30" i="47" s="1"/>
  <c r="AP30" i="47" s="1"/>
  <c r="Q30" i="47"/>
  <c r="AC30" i="47" s="1"/>
  <c r="AO30" i="47" s="1"/>
  <c r="P30" i="47"/>
  <c r="AB30" i="47" s="1"/>
  <c r="AN30" i="47" s="1"/>
  <c r="O30" i="47"/>
  <c r="AA30" i="47" s="1"/>
  <c r="AM30" i="47" s="1"/>
  <c r="BF29" i="47"/>
  <c r="BE29" i="47"/>
  <c r="BD29" i="47"/>
  <c r="BC29" i="47"/>
  <c r="BB29" i="47"/>
  <c r="AW29" i="47"/>
  <c r="AI29" i="47"/>
  <c r="AH29" i="47"/>
  <c r="AG29" i="47"/>
  <c r="AF29" i="47"/>
  <c r="K80" i="47" s="1"/>
  <c r="W29" i="47"/>
  <c r="V29" i="47"/>
  <c r="U29" i="47"/>
  <c r="T29" i="47"/>
  <c r="S29" i="47"/>
  <c r="AE29" i="47" s="1"/>
  <c r="AQ29" i="47" s="1"/>
  <c r="R29" i="47"/>
  <c r="AD29" i="47" s="1"/>
  <c r="AP29" i="47" s="1"/>
  <c r="Q29" i="47"/>
  <c r="AC29" i="47" s="1"/>
  <c r="AO29" i="47" s="1"/>
  <c r="P29" i="47"/>
  <c r="AB29" i="47" s="1"/>
  <c r="AN29" i="47" s="1"/>
  <c r="O29" i="47"/>
  <c r="AA29" i="47" s="1"/>
  <c r="AM29" i="47" s="1"/>
  <c r="S27" i="47"/>
  <c r="AE27" i="47" s="1"/>
  <c r="R27" i="47"/>
  <c r="AD27" i="47" s="1"/>
  <c r="Q27" i="47"/>
  <c r="AC27" i="47" s="1"/>
  <c r="P27" i="47"/>
  <c r="AB27" i="47" s="1"/>
  <c r="O27" i="47"/>
  <c r="AK25" i="47"/>
  <c r="Y25" i="47"/>
  <c r="M25" i="47"/>
  <c r="A1" i="47"/>
  <c r="R4" i="14"/>
  <c r="V240" i="46"/>
  <c r="AA240" i="46" s="1"/>
  <c r="AG240" i="46" s="1"/>
  <c r="AK240" i="46" s="1"/>
  <c r="V239" i="46"/>
  <c r="AA239" i="46" s="1"/>
  <c r="AG239" i="46" s="1"/>
  <c r="AK239" i="46" s="1"/>
  <c r="V238" i="46"/>
  <c r="AA238" i="46" s="1"/>
  <c r="AG238" i="46" s="1"/>
  <c r="AK238" i="46" s="1"/>
  <c r="V237" i="46"/>
  <c r="AA237" i="46" s="1"/>
  <c r="AG237" i="46" s="1"/>
  <c r="AK237" i="46" s="1"/>
  <c r="V236" i="46"/>
  <c r="AA236" i="46" s="1"/>
  <c r="AG236" i="46" s="1"/>
  <c r="AK236" i="46" s="1"/>
  <c r="V235" i="46"/>
  <c r="AA235" i="46" s="1"/>
  <c r="AG235" i="46" s="1"/>
  <c r="AK235" i="46" s="1"/>
  <c r="V234" i="46"/>
  <c r="AA234" i="46" s="1"/>
  <c r="AG234" i="46" s="1"/>
  <c r="AK234" i="46" s="1"/>
  <c r="V233" i="46"/>
  <c r="AA233" i="46" s="1"/>
  <c r="AG233" i="46" s="1"/>
  <c r="AK233" i="46" s="1"/>
  <c r="V232" i="46"/>
  <c r="AA232" i="46" s="1"/>
  <c r="AG232" i="46" s="1"/>
  <c r="AK232" i="46" s="1"/>
  <c r="V231" i="46"/>
  <c r="AA231" i="46" s="1"/>
  <c r="AG231" i="46" s="1"/>
  <c r="AK231" i="46" s="1"/>
  <c r="V230" i="46"/>
  <c r="AA230" i="46" s="1"/>
  <c r="AG230" i="46" s="1"/>
  <c r="AK230" i="46" s="1"/>
  <c r="V229" i="46"/>
  <c r="AA229" i="46" s="1"/>
  <c r="AG229" i="46" s="1"/>
  <c r="AK229" i="46" s="1"/>
  <c r="V228" i="46"/>
  <c r="AA228" i="46" s="1"/>
  <c r="AG228" i="46" s="1"/>
  <c r="AK228" i="46" s="1"/>
  <c r="V227" i="46"/>
  <c r="AA227" i="46" s="1"/>
  <c r="AG227" i="46" s="1"/>
  <c r="AK227" i="46" s="1"/>
  <c r="V226" i="46"/>
  <c r="AA226" i="46" s="1"/>
  <c r="AG226" i="46" s="1"/>
  <c r="AK226" i="46" s="1"/>
  <c r="V225" i="46"/>
  <c r="AA225" i="46" s="1"/>
  <c r="AG225" i="46" s="1"/>
  <c r="AK225" i="46" s="1"/>
  <c r="AA224" i="46"/>
  <c r="AG224" i="46" s="1"/>
  <c r="AK224" i="46" s="1"/>
  <c r="V224" i="46"/>
  <c r="V223" i="46"/>
  <c r="AA223" i="46" s="1"/>
  <c r="AG223" i="46" s="1"/>
  <c r="AK223" i="46" s="1"/>
  <c r="V222" i="46"/>
  <c r="AA222" i="46" s="1"/>
  <c r="AG222" i="46" s="1"/>
  <c r="AK222" i="46" s="1"/>
  <c r="AA221" i="46"/>
  <c r="AG221" i="46" s="1"/>
  <c r="AK221" i="46" s="1"/>
  <c r="V221" i="46"/>
  <c r="V220" i="46"/>
  <c r="AA220" i="46" s="1"/>
  <c r="AG220" i="46" s="1"/>
  <c r="AK220" i="46" s="1"/>
  <c r="V219" i="46"/>
  <c r="AA219" i="46" s="1"/>
  <c r="AG219" i="46" s="1"/>
  <c r="AK219" i="46" s="1"/>
  <c r="V218" i="46"/>
  <c r="AA218" i="46" s="1"/>
  <c r="AG218" i="46" s="1"/>
  <c r="AK218" i="46" s="1"/>
  <c r="V217" i="46"/>
  <c r="AA217" i="46" s="1"/>
  <c r="AG217" i="46" s="1"/>
  <c r="AK217" i="46" s="1"/>
  <c r="V216" i="46"/>
  <c r="AA216" i="46" s="1"/>
  <c r="AG216" i="46" s="1"/>
  <c r="AK216" i="46" s="1"/>
  <c r="V215" i="46"/>
  <c r="AA215" i="46" s="1"/>
  <c r="AG215" i="46" s="1"/>
  <c r="AK215" i="46" s="1"/>
  <c r="V214" i="46"/>
  <c r="AA214" i="46" s="1"/>
  <c r="AG214" i="46" s="1"/>
  <c r="AK214" i="46" s="1"/>
  <c r="V213" i="46"/>
  <c r="AA213" i="46" s="1"/>
  <c r="AG213" i="46" s="1"/>
  <c r="AK213" i="46" s="1"/>
  <c r="V212" i="46"/>
  <c r="AA212" i="46" s="1"/>
  <c r="AG212" i="46" s="1"/>
  <c r="AK212" i="46" s="1"/>
  <c r="V211" i="46"/>
  <c r="AA211" i="46" s="1"/>
  <c r="AG211" i="46" s="1"/>
  <c r="AK211" i="46" s="1"/>
  <c r="V210" i="46"/>
  <c r="AA210" i="46" s="1"/>
  <c r="AG210" i="46" s="1"/>
  <c r="AK210" i="46" s="1"/>
  <c r="V209" i="46"/>
  <c r="AA209" i="46" s="1"/>
  <c r="AG209" i="46" s="1"/>
  <c r="AK209" i="46" s="1"/>
  <c r="V208" i="46"/>
  <c r="AA208" i="46" s="1"/>
  <c r="AG208" i="46" s="1"/>
  <c r="AK208" i="46" s="1"/>
  <c r="AA207" i="46"/>
  <c r="AG207" i="46" s="1"/>
  <c r="AK207" i="46" s="1"/>
  <c r="V207" i="46"/>
  <c r="V206" i="46"/>
  <c r="AA206" i="46" s="1"/>
  <c r="AG206" i="46" s="1"/>
  <c r="AK206" i="46" s="1"/>
  <c r="V205" i="46"/>
  <c r="AA205" i="46" s="1"/>
  <c r="AG205" i="46" s="1"/>
  <c r="AK205" i="46" s="1"/>
  <c r="V204" i="46"/>
  <c r="AA204" i="46" s="1"/>
  <c r="AG204" i="46" s="1"/>
  <c r="AK204" i="46" s="1"/>
  <c r="V203" i="46"/>
  <c r="AA203" i="46" s="1"/>
  <c r="AG203" i="46" s="1"/>
  <c r="AK203" i="46" s="1"/>
  <c r="V202" i="46"/>
  <c r="AA202" i="46" s="1"/>
  <c r="AG202" i="46" s="1"/>
  <c r="AK202" i="46" s="1"/>
  <c r="AA201" i="46"/>
  <c r="AG201" i="46" s="1"/>
  <c r="AK201" i="46" s="1"/>
  <c r="V201" i="46"/>
  <c r="V200" i="46"/>
  <c r="AA200" i="46" s="1"/>
  <c r="AG200" i="46" s="1"/>
  <c r="AK200" i="46" s="1"/>
  <c r="V199" i="46"/>
  <c r="AA199" i="46" s="1"/>
  <c r="AG199" i="46" s="1"/>
  <c r="AK199" i="46" s="1"/>
  <c r="V198" i="46"/>
  <c r="AA198" i="46" s="1"/>
  <c r="AG198" i="46" s="1"/>
  <c r="AK198" i="46" s="1"/>
  <c r="V197" i="46"/>
  <c r="AA197" i="46" s="1"/>
  <c r="AG197" i="46" s="1"/>
  <c r="AK197" i="46" s="1"/>
  <c r="V196" i="46"/>
  <c r="AA196" i="46" s="1"/>
  <c r="AG196" i="46" s="1"/>
  <c r="AK196" i="46" s="1"/>
  <c r="V195" i="46"/>
  <c r="AA195" i="46" s="1"/>
  <c r="AG195" i="46" s="1"/>
  <c r="AK195" i="46" s="1"/>
  <c r="AA194" i="46"/>
  <c r="AG194" i="46" s="1"/>
  <c r="AK194" i="46" s="1"/>
  <c r="Z194" i="46"/>
  <c r="S4" i="14" s="1"/>
  <c r="AP181" i="46"/>
  <c r="AY181" i="46" s="1"/>
  <c r="AK181" i="46"/>
  <c r="AC181" i="46"/>
  <c r="X181" i="46"/>
  <c r="AP180" i="46"/>
  <c r="AY180" i="46" s="1"/>
  <c r="AK180" i="46"/>
  <c r="AC180" i="46"/>
  <c r="X180" i="46"/>
  <c r="AP179" i="46"/>
  <c r="AY179" i="46" s="1"/>
  <c r="AK179" i="46"/>
  <c r="AC179" i="46"/>
  <c r="AV179" i="46" s="1"/>
  <c r="X179" i="46"/>
  <c r="AP178" i="46"/>
  <c r="AY178" i="46" s="1"/>
  <c r="AK178" i="46"/>
  <c r="AC178" i="46"/>
  <c r="X178" i="46"/>
  <c r="AP177" i="46"/>
  <c r="AY177" i="46" s="1"/>
  <c r="AK177" i="46"/>
  <c r="AC177" i="46"/>
  <c r="AV177" i="46" s="1"/>
  <c r="BB177" i="46" s="1"/>
  <c r="BF177" i="46" s="1"/>
  <c r="X177" i="46"/>
  <c r="AY176" i="46"/>
  <c r="AP176" i="46"/>
  <c r="AK176" i="46"/>
  <c r="AC176" i="46"/>
  <c r="AV176" i="46" s="1"/>
  <c r="X176" i="46"/>
  <c r="AP175" i="46"/>
  <c r="AY175" i="46" s="1"/>
  <c r="AK175" i="46"/>
  <c r="AC175" i="46"/>
  <c r="AV175" i="46" s="1"/>
  <c r="X175" i="46"/>
  <c r="AP174" i="46"/>
  <c r="AK174" i="46"/>
  <c r="AC174" i="46"/>
  <c r="X174" i="46"/>
  <c r="AP173" i="46"/>
  <c r="AK173" i="46"/>
  <c r="AC173" i="46"/>
  <c r="X173" i="46"/>
  <c r="AP172" i="46"/>
  <c r="AY172" i="46" s="1"/>
  <c r="AK172" i="46"/>
  <c r="AC172" i="46"/>
  <c r="X172" i="46"/>
  <c r="AP171" i="46"/>
  <c r="AY171" i="46" s="1"/>
  <c r="AK171" i="46"/>
  <c r="AC171" i="46"/>
  <c r="X171" i="46"/>
  <c r="AP170" i="46"/>
  <c r="AY170" i="46" s="1"/>
  <c r="AK170" i="46"/>
  <c r="AC170" i="46"/>
  <c r="AV170" i="46" s="1"/>
  <c r="BB170" i="46" s="1"/>
  <c r="BF170" i="46" s="1"/>
  <c r="X170" i="46"/>
  <c r="AP169" i="46"/>
  <c r="AK169" i="46"/>
  <c r="AC169" i="46"/>
  <c r="X169" i="46"/>
  <c r="AP168" i="46"/>
  <c r="AY168" i="46" s="1"/>
  <c r="AK168" i="46"/>
  <c r="AC168" i="46"/>
  <c r="AV168" i="46" s="1"/>
  <c r="X168" i="46"/>
  <c r="AY167" i="46"/>
  <c r="AP167" i="46"/>
  <c r="AK167" i="46"/>
  <c r="AC167" i="46"/>
  <c r="AV167" i="46" s="1"/>
  <c r="X167" i="46"/>
  <c r="AP166" i="46"/>
  <c r="AK166" i="46"/>
  <c r="AC166" i="46"/>
  <c r="X166" i="46"/>
  <c r="AP165" i="46"/>
  <c r="AK165" i="46"/>
  <c r="AC165" i="46"/>
  <c r="X165" i="46"/>
  <c r="AP164" i="46"/>
  <c r="AY164" i="46" s="1"/>
  <c r="AK164" i="46"/>
  <c r="AC164" i="46"/>
  <c r="X164" i="46"/>
  <c r="AP163" i="46"/>
  <c r="AY163" i="46" s="1"/>
  <c r="AK163" i="46"/>
  <c r="AC163" i="46"/>
  <c r="X163" i="46"/>
  <c r="AV162" i="46"/>
  <c r="BB162" i="46" s="1"/>
  <c r="BF162" i="46" s="1"/>
  <c r="AP162" i="46"/>
  <c r="AY162" i="46" s="1"/>
  <c r="AK162" i="46"/>
  <c r="AC162" i="46"/>
  <c r="X162" i="46"/>
  <c r="AP161" i="46"/>
  <c r="AK161" i="46"/>
  <c r="AC161" i="46"/>
  <c r="X161" i="46"/>
  <c r="AP160" i="46"/>
  <c r="AY160" i="46" s="1"/>
  <c r="AK160" i="46"/>
  <c r="AC160" i="46"/>
  <c r="X160" i="46"/>
  <c r="AP159" i="46"/>
  <c r="AY159" i="46" s="1"/>
  <c r="AK159" i="46"/>
  <c r="AC159" i="46"/>
  <c r="AV159" i="46" s="1"/>
  <c r="BB159" i="46" s="1"/>
  <c r="BF159" i="46" s="1"/>
  <c r="X159" i="46"/>
  <c r="AP158" i="46"/>
  <c r="AK158" i="46"/>
  <c r="AC158" i="46"/>
  <c r="X158" i="46"/>
  <c r="AP157" i="46"/>
  <c r="AY157" i="46" s="1"/>
  <c r="AK157" i="46"/>
  <c r="AC157" i="46"/>
  <c r="X157" i="46"/>
  <c r="AP156" i="46"/>
  <c r="AY156" i="46" s="1"/>
  <c r="AK156" i="46"/>
  <c r="AC156" i="46"/>
  <c r="X156" i="46"/>
  <c r="AP155" i="46"/>
  <c r="AY155" i="46" s="1"/>
  <c r="AK155" i="46"/>
  <c r="AC155" i="46"/>
  <c r="X155" i="46"/>
  <c r="AP154" i="46"/>
  <c r="AK154" i="46"/>
  <c r="AC154" i="46"/>
  <c r="X154" i="46"/>
  <c r="AP153" i="46"/>
  <c r="AY153" i="46" s="1"/>
  <c r="AK153" i="46"/>
  <c r="AC153" i="46"/>
  <c r="X153" i="46"/>
  <c r="AP152" i="46"/>
  <c r="AY152" i="46" s="1"/>
  <c r="AK152" i="46"/>
  <c r="AC152" i="46"/>
  <c r="X152" i="46"/>
  <c r="AP151" i="46"/>
  <c r="AY151" i="46" s="1"/>
  <c r="AK151" i="46"/>
  <c r="AC151" i="46"/>
  <c r="X151" i="46"/>
  <c r="AP150" i="46"/>
  <c r="AK150" i="46"/>
  <c r="AC150" i="46"/>
  <c r="X150" i="46"/>
  <c r="AP149" i="46"/>
  <c r="AY149" i="46" s="1"/>
  <c r="AK149" i="46"/>
  <c r="AC149" i="46"/>
  <c r="AV149" i="46" s="1"/>
  <c r="X149" i="46"/>
  <c r="AP148" i="46"/>
  <c r="AY148" i="46" s="1"/>
  <c r="AK148" i="46"/>
  <c r="AC148" i="46"/>
  <c r="X148" i="46"/>
  <c r="AP147" i="46"/>
  <c r="AY147" i="46" s="1"/>
  <c r="AK147" i="46"/>
  <c r="AC147" i="46"/>
  <c r="AV147" i="46" s="1"/>
  <c r="BB147" i="46" s="1"/>
  <c r="BF147" i="46" s="1"/>
  <c r="X147" i="46"/>
  <c r="AP146" i="46"/>
  <c r="AK146" i="46"/>
  <c r="AC146" i="46"/>
  <c r="X146" i="46"/>
  <c r="AP145" i="46"/>
  <c r="AY145" i="46" s="1"/>
  <c r="AK145" i="46"/>
  <c r="AC145" i="46"/>
  <c r="X145" i="46"/>
  <c r="AY144" i="46"/>
  <c r="AP144" i="46"/>
  <c r="AK144" i="46"/>
  <c r="AC144" i="46"/>
  <c r="AV144" i="46" s="1"/>
  <c r="X144" i="46"/>
  <c r="AP143" i="46"/>
  <c r="AY143" i="46" s="1"/>
  <c r="AK143" i="46"/>
  <c r="AC143" i="46"/>
  <c r="X143" i="46"/>
  <c r="AP142" i="46"/>
  <c r="AK142" i="46"/>
  <c r="AC142" i="46"/>
  <c r="X142" i="46"/>
  <c r="AP141" i="46"/>
  <c r="AY141" i="46" s="1"/>
  <c r="AK141" i="46"/>
  <c r="AC141" i="46"/>
  <c r="X141" i="46"/>
  <c r="AY140" i="46"/>
  <c r="AP140" i="46"/>
  <c r="AK140" i="46"/>
  <c r="AC140" i="46"/>
  <c r="AV140" i="46" s="1"/>
  <c r="BB140" i="46" s="1"/>
  <c r="BF140" i="46" s="1"/>
  <c r="X140" i="46"/>
  <c r="AP139" i="46"/>
  <c r="AK139" i="46"/>
  <c r="AC139" i="46"/>
  <c r="X139" i="46"/>
  <c r="AP138" i="46"/>
  <c r="AK138" i="46"/>
  <c r="AC138" i="46"/>
  <c r="X138" i="46"/>
  <c r="AP137" i="46"/>
  <c r="AY137" i="46" s="1"/>
  <c r="AK137" i="46"/>
  <c r="AC137" i="46"/>
  <c r="X137" i="46"/>
  <c r="AP136" i="46"/>
  <c r="AY136" i="46" s="1"/>
  <c r="AK136" i="46"/>
  <c r="AC136" i="46"/>
  <c r="AV136" i="46" s="1"/>
  <c r="BB136" i="46" s="1"/>
  <c r="BF136" i="46" s="1"/>
  <c r="X136" i="46"/>
  <c r="AY135" i="46"/>
  <c r="AX135" i="46"/>
  <c r="AV135" i="46"/>
  <c r="BB135" i="46" s="1"/>
  <c r="BF135" i="46" s="1"/>
  <c r="AU135" i="46"/>
  <c r="C126" i="46"/>
  <c r="C125" i="46"/>
  <c r="C124" i="46"/>
  <c r="C123" i="46"/>
  <c r="C122" i="46"/>
  <c r="C121" i="46"/>
  <c r="C120" i="46"/>
  <c r="C119" i="46"/>
  <c r="C118" i="46"/>
  <c r="C117" i="46"/>
  <c r="C116" i="46"/>
  <c r="C115" i="46"/>
  <c r="C114" i="46"/>
  <c r="C113" i="46"/>
  <c r="C112" i="46"/>
  <c r="C111" i="46"/>
  <c r="C110" i="46"/>
  <c r="C109" i="46"/>
  <c r="C108" i="46"/>
  <c r="C107" i="46"/>
  <c r="C106" i="46"/>
  <c r="C105" i="46"/>
  <c r="C104" i="46"/>
  <c r="C103" i="46"/>
  <c r="C102" i="46"/>
  <c r="C101" i="46"/>
  <c r="C100" i="46"/>
  <c r="C99" i="46"/>
  <c r="C98" i="46"/>
  <c r="C97" i="46"/>
  <c r="C96" i="46"/>
  <c r="C95" i="46"/>
  <c r="C94" i="46"/>
  <c r="C93" i="46"/>
  <c r="C92" i="46"/>
  <c r="C91" i="46"/>
  <c r="C90" i="46"/>
  <c r="C89" i="46"/>
  <c r="C88" i="46"/>
  <c r="C87" i="46"/>
  <c r="C86" i="46"/>
  <c r="C85" i="46"/>
  <c r="C84" i="46"/>
  <c r="C83" i="46"/>
  <c r="C82" i="46"/>
  <c r="C81" i="46"/>
  <c r="C80" i="46"/>
  <c r="B80" i="46"/>
  <c r="F79" i="46"/>
  <c r="W78" i="46"/>
  <c r="H78" i="46"/>
  <c r="A78" i="46"/>
  <c r="BF75" i="46"/>
  <c r="BE75" i="46"/>
  <c r="BD75" i="46"/>
  <c r="BC75" i="46"/>
  <c r="BB75" i="46"/>
  <c r="AW75" i="46"/>
  <c r="AI75" i="46"/>
  <c r="AH75" i="46"/>
  <c r="AG75" i="46"/>
  <c r="AF75" i="46"/>
  <c r="W75" i="46"/>
  <c r="V75" i="46"/>
  <c r="U75" i="46"/>
  <c r="T75" i="46"/>
  <c r="S75" i="46"/>
  <c r="AE75" i="46" s="1"/>
  <c r="AQ75" i="46" s="1"/>
  <c r="R75" i="46"/>
  <c r="AD75" i="46" s="1"/>
  <c r="AP75" i="46" s="1"/>
  <c r="Q75" i="46"/>
  <c r="AC75" i="46" s="1"/>
  <c r="AO75" i="46" s="1"/>
  <c r="P75" i="46"/>
  <c r="AB75" i="46" s="1"/>
  <c r="AN75" i="46" s="1"/>
  <c r="O75" i="46"/>
  <c r="BF74" i="46"/>
  <c r="BE74" i="46"/>
  <c r="BD74" i="46"/>
  <c r="BC74" i="46"/>
  <c r="BB74" i="46"/>
  <c r="AW74" i="46"/>
  <c r="AI74" i="46"/>
  <c r="AH74" i="46"/>
  <c r="AG74" i="46"/>
  <c r="AF74" i="46"/>
  <c r="W74" i="46"/>
  <c r="V74" i="46"/>
  <c r="U74" i="46"/>
  <c r="T74" i="46"/>
  <c r="S74" i="46"/>
  <c r="AE74" i="46" s="1"/>
  <c r="AQ74" i="46" s="1"/>
  <c r="R74" i="46"/>
  <c r="AD74" i="46" s="1"/>
  <c r="AP74" i="46" s="1"/>
  <c r="Q74" i="46"/>
  <c r="AC74" i="46" s="1"/>
  <c r="AO74" i="46" s="1"/>
  <c r="P74" i="46"/>
  <c r="AB74" i="46" s="1"/>
  <c r="AN74" i="46" s="1"/>
  <c r="O74" i="46"/>
  <c r="AA74" i="46" s="1"/>
  <c r="AM74" i="46" s="1"/>
  <c r="BF73" i="46"/>
  <c r="BE73" i="46"/>
  <c r="BD73" i="46"/>
  <c r="BC73" i="46"/>
  <c r="BB73" i="46"/>
  <c r="AW73" i="46"/>
  <c r="AI73" i="46"/>
  <c r="AH73" i="46"/>
  <c r="AG73" i="46"/>
  <c r="AF73" i="46"/>
  <c r="W73" i="46"/>
  <c r="V73" i="46"/>
  <c r="U73" i="46"/>
  <c r="T73" i="46"/>
  <c r="S73" i="46"/>
  <c r="AE73" i="46" s="1"/>
  <c r="AQ73" i="46" s="1"/>
  <c r="R73" i="46"/>
  <c r="AD73" i="46" s="1"/>
  <c r="AP73" i="46" s="1"/>
  <c r="Q73" i="46"/>
  <c r="AC73" i="46" s="1"/>
  <c r="AO73" i="46" s="1"/>
  <c r="P73" i="46"/>
  <c r="AB73" i="46" s="1"/>
  <c r="AN73" i="46" s="1"/>
  <c r="O73" i="46"/>
  <c r="AA73" i="46" s="1"/>
  <c r="AM73" i="46" s="1"/>
  <c r="BF72" i="46"/>
  <c r="BE72" i="46"/>
  <c r="BD72" i="46"/>
  <c r="BC72" i="46"/>
  <c r="BB72" i="46"/>
  <c r="AW72" i="46"/>
  <c r="AI72" i="46"/>
  <c r="AH72" i="46"/>
  <c r="AG72" i="46"/>
  <c r="AF72" i="46"/>
  <c r="W72" i="46"/>
  <c r="V72" i="46"/>
  <c r="U72" i="46"/>
  <c r="T72" i="46"/>
  <c r="S72" i="46"/>
  <c r="AE72" i="46" s="1"/>
  <c r="AQ72" i="46" s="1"/>
  <c r="R72" i="46"/>
  <c r="AD72" i="46" s="1"/>
  <c r="AP72" i="46" s="1"/>
  <c r="Q72" i="46"/>
  <c r="P72" i="46"/>
  <c r="AB72" i="46" s="1"/>
  <c r="AN72" i="46" s="1"/>
  <c r="O72" i="46"/>
  <c r="AA72" i="46" s="1"/>
  <c r="AM72" i="46" s="1"/>
  <c r="BF71" i="46"/>
  <c r="BE71" i="46"/>
  <c r="BD71" i="46"/>
  <c r="BC71" i="46"/>
  <c r="BB71" i="46"/>
  <c r="AW71" i="46"/>
  <c r="AI71" i="46"/>
  <c r="AH71" i="46"/>
  <c r="AG71" i="46"/>
  <c r="AF71" i="46"/>
  <c r="W71" i="46"/>
  <c r="V71" i="46"/>
  <c r="U71" i="46"/>
  <c r="T71" i="46"/>
  <c r="S71" i="46"/>
  <c r="AE71" i="46" s="1"/>
  <c r="AQ71" i="46" s="1"/>
  <c r="R71" i="46"/>
  <c r="AD71" i="46" s="1"/>
  <c r="AP71" i="46" s="1"/>
  <c r="Q71" i="46"/>
  <c r="AC71" i="46" s="1"/>
  <c r="AO71" i="46" s="1"/>
  <c r="P71" i="46"/>
  <c r="AB71" i="46" s="1"/>
  <c r="AN71" i="46" s="1"/>
  <c r="O71" i="46"/>
  <c r="AA71" i="46" s="1"/>
  <c r="AM71" i="46" s="1"/>
  <c r="BF70" i="46"/>
  <c r="BE70" i="46"/>
  <c r="BD70" i="46"/>
  <c r="BC70" i="46"/>
  <c r="BB70" i="46"/>
  <c r="AW70" i="46"/>
  <c r="AI70" i="46"/>
  <c r="AH70" i="46"/>
  <c r="AG70" i="46"/>
  <c r="AF70" i="46"/>
  <c r="W70" i="46"/>
  <c r="AU70" i="46" s="1"/>
  <c r="V70" i="46"/>
  <c r="U70" i="46"/>
  <c r="T70" i="46"/>
  <c r="S70" i="46"/>
  <c r="AE70" i="46" s="1"/>
  <c r="AQ70" i="46" s="1"/>
  <c r="R70" i="46"/>
  <c r="AD70" i="46" s="1"/>
  <c r="AP70" i="46" s="1"/>
  <c r="Q70" i="46"/>
  <c r="AC70" i="46" s="1"/>
  <c r="AO70" i="46" s="1"/>
  <c r="P70" i="46"/>
  <c r="AB70" i="46" s="1"/>
  <c r="AN70" i="46" s="1"/>
  <c r="O70" i="46"/>
  <c r="BF69" i="46"/>
  <c r="BE69" i="46"/>
  <c r="BD69" i="46"/>
  <c r="BC69" i="46"/>
  <c r="BB69" i="46"/>
  <c r="AW69" i="46"/>
  <c r="AI69" i="46"/>
  <c r="AH69" i="46"/>
  <c r="AG69" i="46"/>
  <c r="AF69" i="46"/>
  <c r="W69" i="46"/>
  <c r="V69" i="46"/>
  <c r="U69" i="46"/>
  <c r="T69" i="46"/>
  <c r="S69" i="46"/>
  <c r="AE69" i="46" s="1"/>
  <c r="AQ69" i="46" s="1"/>
  <c r="R69" i="46"/>
  <c r="AD69" i="46" s="1"/>
  <c r="AP69" i="46" s="1"/>
  <c r="Q69" i="46"/>
  <c r="AC69" i="46" s="1"/>
  <c r="AO69" i="46" s="1"/>
  <c r="P69" i="46"/>
  <c r="O69" i="46"/>
  <c r="AA69" i="46" s="1"/>
  <c r="AM69" i="46" s="1"/>
  <c r="BF68" i="46"/>
  <c r="BE68" i="46"/>
  <c r="BD68" i="46"/>
  <c r="BC68" i="46"/>
  <c r="BB68" i="46"/>
  <c r="AW68" i="46"/>
  <c r="AI68" i="46"/>
  <c r="AH68" i="46"/>
  <c r="AG68" i="46"/>
  <c r="AF68" i="46"/>
  <c r="W68" i="46"/>
  <c r="V68" i="46"/>
  <c r="U68" i="46"/>
  <c r="T68" i="46"/>
  <c r="S68" i="46"/>
  <c r="AE68" i="46" s="1"/>
  <c r="AQ68" i="46" s="1"/>
  <c r="R68" i="46"/>
  <c r="AD68" i="46" s="1"/>
  <c r="AP68" i="46" s="1"/>
  <c r="Q68" i="46"/>
  <c r="AC68" i="46" s="1"/>
  <c r="AO68" i="46" s="1"/>
  <c r="P68" i="46"/>
  <c r="AB68" i="46" s="1"/>
  <c r="AN68" i="46" s="1"/>
  <c r="O68" i="46"/>
  <c r="AA68" i="46" s="1"/>
  <c r="AM68" i="46" s="1"/>
  <c r="BF67" i="46"/>
  <c r="BE67" i="46"/>
  <c r="BD67" i="46"/>
  <c r="BC67" i="46"/>
  <c r="BB67" i="46"/>
  <c r="AW67" i="46"/>
  <c r="AI67" i="46"/>
  <c r="AH67" i="46"/>
  <c r="AG67" i="46"/>
  <c r="AF67" i="46"/>
  <c r="W67" i="46"/>
  <c r="V67" i="46"/>
  <c r="U67" i="46"/>
  <c r="T67" i="46"/>
  <c r="S67" i="46"/>
  <c r="R67" i="46"/>
  <c r="AD67" i="46" s="1"/>
  <c r="AP67" i="46" s="1"/>
  <c r="Q67" i="46"/>
  <c r="AC67" i="46" s="1"/>
  <c r="AO67" i="46" s="1"/>
  <c r="P67" i="46"/>
  <c r="AB67" i="46" s="1"/>
  <c r="AN67" i="46" s="1"/>
  <c r="O67" i="46"/>
  <c r="AA67" i="46" s="1"/>
  <c r="AM67" i="46" s="1"/>
  <c r="BF66" i="46"/>
  <c r="BE66" i="46"/>
  <c r="BD66" i="46"/>
  <c r="BC66" i="46"/>
  <c r="BB66" i="46"/>
  <c r="AW66" i="46"/>
  <c r="AI66" i="46"/>
  <c r="AH66" i="46"/>
  <c r="AG66" i="46"/>
  <c r="AF66" i="46"/>
  <c r="W66" i="46"/>
  <c r="V66" i="46"/>
  <c r="U66" i="46"/>
  <c r="T66" i="46"/>
  <c r="S66" i="46"/>
  <c r="AE66" i="46" s="1"/>
  <c r="AQ66" i="46" s="1"/>
  <c r="R66" i="46"/>
  <c r="Q66" i="46"/>
  <c r="AC66" i="46" s="1"/>
  <c r="AO66" i="46" s="1"/>
  <c r="P66" i="46"/>
  <c r="AB66" i="46" s="1"/>
  <c r="AN66" i="46" s="1"/>
  <c r="O66" i="46"/>
  <c r="AA66" i="46" s="1"/>
  <c r="AM66" i="46" s="1"/>
  <c r="BF65" i="46"/>
  <c r="BE65" i="46"/>
  <c r="BD65" i="46"/>
  <c r="BC65" i="46"/>
  <c r="BB65" i="46"/>
  <c r="AW65" i="46"/>
  <c r="AI65" i="46"/>
  <c r="AH65" i="46"/>
  <c r="AG65" i="46"/>
  <c r="AF65" i="46"/>
  <c r="W65" i="46"/>
  <c r="V65" i="46"/>
  <c r="U65" i="46"/>
  <c r="T65" i="46"/>
  <c r="S65" i="46"/>
  <c r="AE65" i="46" s="1"/>
  <c r="AQ65" i="46" s="1"/>
  <c r="R65" i="46"/>
  <c r="AD65" i="46" s="1"/>
  <c r="AP65" i="46" s="1"/>
  <c r="Q65" i="46"/>
  <c r="P65" i="46"/>
  <c r="AB65" i="46" s="1"/>
  <c r="AN65" i="46" s="1"/>
  <c r="O65" i="46"/>
  <c r="AA65" i="46" s="1"/>
  <c r="AM65" i="46" s="1"/>
  <c r="BF64" i="46"/>
  <c r="BE64" i="46"/>
  <c r="BD64" i="46"/>
  <c r="BC64" i="46"/>
  <c r="BB64" i="46"/>
  <c r="AW64" i="46"/>
  <c r="AI64" i="46"/>
  <c r="AH64" i="46"/>
  <c r="AG64" i="46"/>
  <c r="AF64" i="46"/>
  <c r="W64" i="46"/>
  <c r="V64" i="46"/>
  <c r="U64" i="46"/>
  <c r="T64" i="46"/>
  <c r="S64" i="46"/>
  <c r="AE64" i="46" s="1"/>
  <c r="AQ64" i="46" s="1"/>
  <c r="R64" i="46"/>
  <c r="AD64" i="46" s="1"/>
  <c r="AP64" i="46" s="1"/>
  <c r="Q64" i="46"/>
  <c r="AC64" i="46" s="1"/>
  <c r="AO64" i="46" s="1"/>
  <c r="P64" i="46"/>
  <c r="O64" i="46"/>
  <c r="AA64" i="46" s="1"/>
  <c r="AM64" i="46" s="1"/>
  <c r="BF63" i="46"/>
  <c r="BE63" i="46"/>
  <c r="BD63" i="46"/>
  <c r="BC63" i="46"/>
  <c r="BB63" i="46"/>
  <c r="AW63" i="46"/>
  <c r="AI63" i="46"/>
  <c r="AH63" i="46"/>
  <c r="AG63" i="46"/>
  <c r="AF63" i="46"/>
  <c r="K114" i="46" s="1"/>
  <c r="X114" i="46" s="1"/>
  <c r="W63" i="46"/>
  <c r="V63" i="46"/>
  <c r="U63" i="46"/>
  <c r="T63" i="46"/>
  <c r="S63" i="46"/>
  <c r="AE63" i="46" s="1"/>
  <c r="AQ63" i="46" s="1"/>
  <c r="R63" i="46"/>
  <c r="AD63" i="46" s="1"/>
  <c r="AP63" i="46" s="1"/>
  <c r="Q63" i="46"/>
  <c r="AC63" i="46" s="1"/>
  <c r="AO63" i="46" s="1"/>
  <c r="P63" i="46"/>
  <c r="AB63" i="46" s="1"/>
  <c r="AN63" i="46" s="1"/>
  <c r="O63" i="46"/>
  <c r="AA63" i="46" s="1"/>
  <c r="AM63" i="46" s="1"/>
  <c r="BF62" i="46"/>
  <c r="BE62" i="46"/>
  <c r="BD62" i="46"/>
  <c r="BC62" i="46"/>
  <c r="BB62" i="46"/>
  <c r="AW62" i="46"/>
  <c r="AI62" i="46"/>
  <c r="AH62" i="46"/>
  <c r="AG62" i="46"/>
  <c r="AF62" i="46"/>
  <c r="W62" i="46"/>
  <c r="V62" i="46"/>
  <c r="U62" i="46"/>
  <c r="T62" i="46"/>
  <c r="S62" i="46"/>
  <c r="AE62" i="46" s="1"/>
  <c r="AQ62" i="46" s="1"/>
  <c r="R62" i="46"/>
  <c r="AD62" i="46" s="1"/>
  <c r="AP62" i="46" s="1"/>
  <c r="Q62" i="46"/>
  <c r="AC62" i="46" s="1"/>
  <c r="AO62" i="46" s="1"/>
  <c r="P62" i="46"/>
  <c r="AB62" i="46" s="1"/>
  <c r="AN62" i="46" s="1"/>
  <c r="O62" i="46"/>
  <c r="AA62" i="46" s="1"/>
  <c r="AM62" i="46" s="1"/>
  <c r="BF61" i="46"/>
  <c r="BE61" i="46"/>
  <c r="BD61" i="46"/>
  <c r="BC61" i="46"/>
  <c r="BB61" i="46"/>
  <c r="AW61" i="46"/>
  <c r="AI61" i="46"/>
  <c r="AH61" i="46"/>
  <c r="AG61" i="46"/>
  <c r="AF61" i="46"/>
  <c r="W61" i="46"/>
  <c r="V61" i="46"/>
  <c r="U61" i="46"/>
  <c r="T61" i="46"/>
  <c r="S61" i="46"/>
  <c r="AE61" i="46" s="1"/>
  <c r="AQ61" i="46" s="1"/>
  <c r="R61" i="46"/>
  <c r="AD61" i="46" s="1"/>
  <c r="AP61" i="46" s="1"/>
  <c r="Q61" i="46"/>
  <c r="AC61" i="46" s="1"/>
  <c r="AO61" i="46" s="1"/>
  <c r="P61" i="46"/>
  <c r="O61" i="46"/>
  <c r="AA61" i="46" s="1"/>
  <c r="AM61" i="46" s="1"/>
  <c r="BF60" i="46"/>
  <c r="BE60" i="46"/>
  <c r="BD60" i="46"/>
  <c r="BC60" i="46"/>
  <c r="BB60" i="46"/>
  <c r="AW60" i="46"/>
  <c r="AI60" i="46"/>
  <c r="AH60" i="46"/>
  <c r="AG60" i="46"/>
  <c r="AF60" i="46"/>
  <c r="K111" i="46" s="1"/>
  <c r="X111" i="46" s="1"/>
  <c r="W60" i="46"/>
  <c r="V60" i="46"/>
  <c r="U60" i="46"/>
  <c r="T60" i="46"/>
  <c r="S60" i="46"/>
  <c r="AE60" i="46" s="1"/>
  <c r="AQ60" i="46" s="1"/>
  <c r="R60" i="46"/>
  <c r="AD60" i="46" s="1"/>
  <c r="AP60" i="46" s="1"/>
  <c r="Q60" i="46"/>
  <c r="AC60" i="46" s="1"/>
  <c r="AO60" i="46" s="1"/>
  <c r="P60" i="46"/>
  <c r="AB60" i="46" s="1"/>
  <c r="AN60" i="46" s="1"/>
  <c r="O60" i="46"/>
  <c r="AA60" i="46" s="1"/>
  <c r="AM60" i="46" s="1"/>
  <c r="BF59" i="46"/>
  <c r="BE59" i="46"/>
  <c r="BD59" i="46"/>
  <c r="BC59" i="46"/>
  <c r="BB59" i="46"/>
  <c r="AW59" i="46"/>
  <c r="AI59" i="46"/>
  <c r="AH59" i="46"/>
  <c r="AG59" i="46"/>
  <c r="AF59" i="46"/>
  <c r="W59" i="46"/>
  <c r="V59" i="46"/>
  <c r="U59" i="46"/>
  <c r="T59" i="46"/>
  <c r="S59" i="46"/>
  <c r="R59" i="46"/>
  <c r="AD59" i="46" s="1"/>
  <c r="AP59" i="46" s="1"/>
  <c r="Q59" i="46"/>
  <c r="AC59" i="46" s="1"/>
  <c r="AO59" i="46" s="1"/>
  <c r="P59" i="46"/>
  <c r="AB59" i="46" s="1"/>
  <c r="AN59" i="46" s="1"/>
  <c r="O59" i="46"/>
  <c r="AA59" i="46" s="1"/>
  <c r="AM59" i="46" s="1"/>
  <c r="BF58" i="46"/>
  <c r="BE58" i="46"/>
  <c r="BD58" i="46"/>
  <c r="BC58" i="46"/>
  <c r="BB58" i="46"/>
  <c r="AW58" i="46"/>
  <c r="AI58" i="46"/>
  <c r="AH58" i="46"/>
  <c r="AG58" i="46"/>
  <c r="AF58" i="46"/>
  <c r="K109" i="46" s="1"/>
  <c r="W58" i="46"/>
  <c r="V58" i="46"/>
  <c r="AT58" i="46" s="1"/>
  <c r="U58" i="46"/>
  <c r="T58" i="46"/>
  <c r="S58" i="46"/>
  <c r="AE58" i="46" s="1"/>
  <c r="AQ58" i="46" s="1"/>
  <c r="R58" i="46"/>
  <c r="Q58" i="46"/>
  <c r="AC58" i="46" s="1"/>
  <c r="AO58" i="46" s="1"/>
  <c r="P58" i="46"/>
  <c r="AB58" i="46" s="1"/>
  <c r="AN58" i="46" s="1"/>
  <c r="O58" i="46"/>
  <c r="AA58" i="46" s="1"/>
  <c r="AM58" i="46" s="1"/>
  <c r="BF57" i="46"/>
  <c r="BE57" i="46"/>
  <c r="BD57" i="46"/>
  <c r="BC57" i="46"/>
  <c r="BB57" i="46"/>
  <c r="AW57" i="46"/>
  <c r="AI57" i="46"/>
  <c r="AH57" i="46"/>
  <c r="AG57" i="46"/>
  <c r="AF57" i="46"/>
  <c r="K108" i="46" s="1"/>
  <c r="W57" i="46"/>
  <c r="V57" i="46"/>
  <c r="U57" i="46"/>
  <c r="T57" i="46"/>
  <c r="S57" i="46"/>
  <c r="AE57" i="46" s="1"/>
  <c r="AQ57" i="46" s="1"/>
  <c r="R57" i="46"/>
  <c r="AD57" i="46" s="1"/>
  <c r="AP57" i="46" s="1"/>
  <c r="Q57" i="46"/>
  <c r="P57" i="46"/>
  <c r="AB57" i="46" s="1"/>
  <c r="AN57" i="46" s="1"/>
  <c r="O57" i="46"/>
  <c r="AA57" i="46" s="1"/>
  <c r="AM57" i="46" s="1"/>
  <c r="BF56" i="46"/>
  <c r="BE56" i="46"/>
  <c r="BD56" i="46"/>
  <c r="BC56" i="46"/>
  <c r="BB56" i="46"/>
  <c r="AW56" i="46"/>
  <c r="AI56" i="46"/>
  <c r="AH56" i="46"/>
  <c r="AG56" i="46"/>
  <c r="AF56" i="46"/>
  <c r="K107" i="46" s="1"/>
  <c r="W56" i="46"/>
  <c r="V56" i="46"/>
  <c r="U56" i="46"/>
  <c r="AS56" i="46" s="1"/>
  <c r="T56" i="46"/>
  <c r="S56" i="46"/>
  <c r="AE56" i="46" s="1"/>
  <c r="AQ56" i="46" s="1"/>
  <c r="R56" i="46"/>
  <c r="AD56" i="46" s="1"/>
  <c r="AP56" i="46" s="1"/>
  <c r="Q56" i="46"/>
  <c r="AC56" i="46" s="1"/>
  <c r="AO56" i="46" s="1"/>
  <c r="P56" i="46"/>
  <c r="AB56" i="46" s="1"/>
  <c r="AN56" i="46" s="1"/>
  <c r="O56" i="46"/>
  <c r="AA56" i="46" s="1"/>
  <c r="AM56" i="46" s="1"/>
  <c r="BF55" i="46"/>
  <c r="BE55" i="46"/>
  <c r="BD55" i="46"/>
  <c r="BC55" i="46"/>
  <c r="BB55" i="46"/>
  <c r="AW55" i="46"/>
  <c r="AI55" i="46"/>
  <c r="AH55" i="46"/>
  <c r="AG55" i="46"/>
  <c r="AF55" i="46"/>
  <c r="K106" i="46" s="1"/>
  <c r="X106" i="46" s="1"/>
  <c r="W55" i="46"/>
  <c r="V55" i="46"/>
  <c r="AT55" i="46" s="1"/>
  <c r="U55" i="46"/>
  <c r="T55" i="46"/>
  <c r="S55" i="46"/>
  <c r="AE55" i="46" s="1"/>
  <c r="AQ55" i="46" s="1"/>
  <c r="R55" i="46"/>
  <c r="AD55" i="46" s="1"/>
  <c r="AP55" i="46" s="1"/>
  <c r="Q55" i="46"/>
  <c r="AC55" i="46" s="1"/>
  <c r="AO55" i="46" s="1"/>
  <c r="P55" i="46"/>
  <c r="AB55" i="46" s="1"/>
  <c r="AN55" i="46" s="1"/>
  <c r="O55" i="46"/>
  <c r="AA55" i="46" s="1"/>
  <c r="AM55" i="46" s="1"/>
  <c r="BF54" i="46"/>
  <c r="BE54" i="46"/>
  <c r="BD54" i="46"/>
  <c r="BC54" i="46"/>
  <c r="BB54" i="46"/>
  <c r="AW54" i="46"/>
  <c r="AI54" i="46"/>
  <c r="AH54" i="46"/>
  <c r="AG54" i="46"/>
  <c r="AF54" i="46"/>
  <c r="W54" i="46"/>
  <c r="V54" i="46"/>
  <c r="U54" i="46"/>
  <c r="T54" i="46"/>
  <c r="S54" i="46"/>
  <c r="AE54" i="46" s="1"/>
  <c r="AQ54" i="46" s="1"/>
  <c r="R54" i="46"/>
  <c r="AD54" i="46" s="1"/>
  <c r="AP54" i="46" s="1"/>
  <c r="Q54" i="46"/>
  <c r="AC54" i="46" s="1"/>
  <c r="AO54" i="46" s="1"/>
  <c r="P54" i="46"/>
  <c r="AB54" i="46" s="1"/>
  <c r="AN54" i="46" s="1"/>
  <c r="O54" i="46"/>
  <c r="AA54" i="46" s="1"/>
  <c r="AM54" i="46" s="1"/>
  <c r="BF53" i="46"/>
  <c r="BE53" i="46"/>
  <c r="BD53" i="46"/>
  <c r="BC53" i="46"/>
  <c r="BB53" i="46"/>
  <c r="AW53" i="46"/>
  <c r="AI53" i="46"/>
  <c r="AH53" i="46"/>
  <c r="AG53" i="46"/>
  <c r="AF53" i="46"/>
  <c r="W53" i="46"/>
  <c r="V53" i="46"/>
  <c r="U53" i="46"/>
  <c r="T53" i="46"/>
  <c r="AR53" i="46" s="1"/>
  <c r="S53" i="46"/>
  <c r="AE53" i="46" s="1"/>
  <c r="AQ53" i="46" s="1"/>
  <c r="R53" i="46"/>
  <c r="AD53" i="46" s="1"/>
  <c r="AP53" i="46" s="1"/>
  <c r="Q53" i="46"/>
  <c r="AC53" i="46" s="1"/>
  <c r="AO53" i="46" s="1"/>
  <c r="P53" i="46"/>
  <c r="O53" i="46"/>
  <c r="AA53" i="46" s="1"/>
  <c r="AM53" i="46" s="1"/>
  <c r="BF52" i="46"/>
  <c r="BE52" i="46"/>
  <c r="BD52" i="46"/>
  <c r="BC52" i="46"/>
  <c r="BB52" i="46"/>
  <c r="AW52" i="46"/>
  <c r="AI52" i="46"/>
  <c r="AH52" i="46"/>
  <c r="AG52" i="46"/>
  <c r="AF52" i="46"/>
  <c r="W52" i="46"/>
  <c r="V52" i="46"/>
  <c r="U52" i="46"/>
  <c r="T52" i="46"/>
  <c r="S52" i="46"/>
  <c r="AE52" i="46" s="1"/>
  <c r="AQ52" i="46" s="1"/>
  <c r="R52" i="46"/>
  <c r="AD52" i="46" s="1"/>
  <c r="AP52" i="46" s="1"/>
  <c r="Q52" i="46"/>
  <c r="AC52" i="46" s="1"/>
  <c r="AO52" i="46" s="1"/>
  <c r="P52" i="46"/>
  <c r="AB52" i="46" s="1"/>
  <c r="AN52" i="46" s="1"/>
  <c r="O52" i="46"/>
  <c r="AA52" i="46" s="1"/>
  <c r="AM52" i="46" s="1"/>
  <c r="BF51" i="46"/>
  <c r="BE51" i="46"/>
  <c r="BD51" i="46"/>
  <c r="BC51" i="46"/>
  <c r="BB51" i="46"/>
  <c r="AW51" i="46"/>
  <c r="AI51" i="46"/>
  <c r="AH51" i="46"/>
  <c r="AG51" i="46"/>
  <c r="AF51" i="46"/>
  <c r="W51" i="46"/>
  <c r="V51" i="46"/>
  <c r="U51" i="46"/>
  <c r="T51" i="46"/>
  <c r="S51" i="46"/>
  <c r="R51" i="46"/>
  <c r="AD51" i="46" s="1"/>
  <c r="AP51" i="46" s="1"/>
  <c r="Q51" i="46"/>
  <c r="AC51" i="46" s="1"/>
  <c r="AO51" i="46" s="1"/>
  <c r="P51" i="46"/>
  <c r="AB51" i="46" s="1"/>
  <c r="AN51" i="46" s="1"/>
  <c r="O51" i="46"/>
  <c r="AA51" i="46" s="1"/>
  <c r="AM51" i="46" s="1"/>
  <c r="BF50" i="46"/>
  <c r="BE50" i="46"/>
  <c r="BD50" i="46"/>
  <c r="BC50" i="46"/>
  <c r="BB50" i="46"/>
  <c r="AW50" i="46"/>
  <c r="AI50" i="46"/>
  <c r="AH50" i="46"/>
  <c r="AG50" i="46"/>
  <c r="AF50" i="46"/>
  <c r="K101" i="46" s="1"/>
  <c r="X101" i="46" s="1"/>
  <c r="W50" i="46"/>
  <c r="V50" i="46"/>
  <c r="AT50" i="46" s="1"/>
  <c r="U50" i="46"/>
  <c r="T50" i="46"/>
  <c r="S50" i="46"/>
  <c r="AE50" i="46" s="1"/>
  <c r="AQ50" i="46" s="1"/>
  <c r="R50" i="46"/>
  <c r="Q50" i="46"/>
  <c r="AC50" i="46" s="1"/>
  <c r="AO50" i="46" s="1"/>
  <c r="P50" i="46"/>
  <c r="AB50" i="46" s="1"/>
  <c r="AN50" i="46" s="1"/>
  <c r="O50" i="46"/>
  <c r="AA50" i="46" s="1"/>
  <c r="AM50" i="46" s="1"/>
  <c r="BF49" i="46"/>
  <c r="BE49" i="46"/>
  <c r="BD49" i="46"/>
  <c r="BC49" i="46"/>
  <c r="BB49" i="46"/>
  <c r="AW49" i="46"/>
  <c r="AI49" i="46"/>
  <c r="AH49" i="46"/>
  <c r="AG49" i="46"/>
  <c r="AF49" i="46"/>
  <c r="K100" i="46" s="1"/>
  <c r="W49" i="46"/>
  <c r="V49" i="46"/>
  <c r="U49" i="46"/>
  <c r="T49" i="46"/>
  <c r="S49" i="46"/>
  <c r="AE49" i="46" s="1"/>
  <c r="AQ49" i="46" s="1"/>
  <c r="R49" i="46"/>
  <c r="AD49" i="46" s="1"/>
  <c r="AP49" i="46" s="1"/>
  <c r="Q49" i="46"/>
  <c r="P49" i="46"/>
  <c r="AB49" i="46" s="1"/>
  <c r="AN49" i="46" s="1"/>
  <c r="O49" i="46"/>
  <c r="AA49" i="46" s="1"/>
  <c r="AM49" i="46" s="1"/>
  <c r="BF48" i="46"/>
  <c r="BE48" i="46"/>
  <c r="BD48" i="46"/>
  <c r="BC48" i="46"/>
  <c r="BB48" i="46"/>
  <c r="AW48" i="46"/>
  <c r="AI48" i="46"/>
  <c r="AH48" i="46"/>
  <c r="AG48" i="46"/>
  <c r="AF48" i="46"/>
  <c r="W48" i="46"/>
  <c r="AU48" i="46" s="1"/>
  <c r="V48" i="46"/>
  <c r="U48" i="46"/>
  <c r="T48" i="46"/>
  <c r="S48" i="46"/>
  <c r="AE48" i="46" s="1"/>
  <c r="AQ48" i="46" s="1"/>
  <c r="R48" i="46"/>
  <c r="AD48" i="46" s="1"/>
  <c r="AP48" i="46" s="1"/>
  <c r="Q48" i="46"/>
  <c r="AC48" i="46" s="1"/>
  <c r="AO48" i="46" s="1"/>
  <c r="P48" i="46"/>
  <c r="AB48" i="46" s="1"/>
  <c r="AN48" i="46" s="1"/>
  <c r="O48" i="46"/>
  <c r="BF47" i="46"/>
  <c r="BE47" i="46"/>
  <c r="BD47" i="46"/>
  <c r="BC47" i="46"/>
  <c r="BB47" i="46"/>
  <c r="AW47" i="46"/>
  <c r="AI47" i="46"/>
  <c r="AH47" i="46"/>
  <c r="AG47" i="46"/>
  <c r="AF47" i="46"/>
  <c r="K98" i="46" s="1"/>
  <c r="X98" i="46" s="1"/>
  <c r="W47" i="46"/>
  <c r="V47" i="46"/>
  <c r="U47" i="46"/>
  <c r="T47" i="46"/>
  <c r="AR47" i="46" s="1"/>
  <c r="S47" i="46"/>
  <c r="AE47" i="46" s="1"/>
  <c r="AQ47" i="46" s="1"/>
  <c r="R47" i="46"/>
  <c r="AD47" i="46" s="1"/>
  <c r="AP47" i="46" s="1"/>
  <c r="Q47" i="46"/>
  <c r="AC47" i="46" s="1"/>
  <c r="AO47" i="46" s="1"/>
  <c r="P47" i="46"/>
  <c r="AB47" i="46" s="1"/>
  <c r="AN47" i="46" s="1"/>
  <c r="O47" i="46"/>
  <c r="AA47" i="46" s="1"/>
  <c r="AM47" i="46" s="1"/>
  <c r="BF46" i="46"/>
  <c r="BE46" i="46"/>
  <c r="BD46" i="46"/>
  <c r="BC46" i="46"/>
  <c r="BB46" i="46"/>
  <c r="AW46" i="46"/>
  <c r="AI46" i="46"/>
  <c r="AH46" i="46"/>
  <c r="AG46" i="46"/>
  <c r="AF46" i="46"/>
  <c r="K97" i="46" s="1"/>
  <c r="W46" i="46"/>
  <c r="V46" i="46"/>
  <c r="U46" i="46"/>
  <c r="T46" i="46"/>
  <c r="S46" i="46"/>
  <c r="AE46" i="46" s="1"/>
  <c r="AQ46" i="46" s="1"/>
  <c r="R46" i="46"/>
  <c r="AD46" i="46" s="1"/>
  <c r="AP46" i="46" s="1"/>
  <c r="Q46" i="46"/>
  <c r="AC46" i="46" s="1"/>
  <c r="AO46" i="46" s="1"/>
  <c r="P46" i="46"/>
  <c r="AB46" i="46" s="1"/>
  <c r="AN46" i="46" s="1"/>
  <c r="O46" i="46"/>
  <c r="AA46" i="46" s="1"/>
  <c r="AM46" i="46" s="1"/>
  <c r="BF45" i="46"/>
  <c r="BE45" i="46"/>
  <c r="BD45" i="46"/>
  <c r="BC45" i="46"/>
  <c r="BB45" i="46"/>
  <c r="AW45" i="46"/>
  <c r="AI45" i="46"/>
  <c r="AH45" i="46"/>
  <c r="AG45" i="46"/>
  <c r="AF45" i="46"/>
  <c r="K96" i="46" s="1"/>
  <c r="X96" i="46" s="1"/>
  <c r="W45" i="46"/>
  <c r="V45" i="46"/>
  <c r="U45" i="46"/>
  <c r="T45" i="46"/>
  <c r="S45" i="46"/>
  <c r="AE45" i="46" s="1"/>
  <c r="AQ45" i="46" s="1"/>
  <c r="R45" i="46"/>
  <c r="AD45" i="46" s="1"/>
  <c r="AP45" i="46" s="1"/>
  <c r="Q45" i="46"/>
  <c r="AC45" i="46" s="1"/>
  <c r="AO45" i="46" s="1"/>
  <c r="P45" i="46"/>
  <c r="AB45" i="46" s="1"/>
  <c r="AN45" i="46" s="1"/>
  <c r="O45" i="46"/>
  <c r="AA45" i="46" s="1"/>
  <c r="AM45" i="46" s="1"/>
  <c r="BF44" i="46"/>
  <c r="BE44" i="46"/>
  <c r="BD44" i="46"/>
  <c r="BC44" i="46"/>
  <c r="BB44" i="46"/>
  <c r="AW44" i="46"/>
  <c r="AI44" i="46"/>
  <c r="AH44" i="46"/>
  <c r="AG44" i="46"/>
  <c r="AF44" i="46"/>
  <c r="W44" i="46"/>
  <c r="V44" i="46"/>
  <c r="U44" i="46"/>
  <c r="T44" i="46"/>
  <c r="S44" i="46"/>
  <c r="AE44" i="46" s="1"/>
  <c r="AQ44" i="46" s="1"/>
  <c r="R44" i="46"/>
  <c r="AD44" i="46" s="1"/>
  <c r="AP44" i="46" s="1"/>
  <c r="Q44" i="46"/>
  <c r="AC44" i="46" s="1"/>
  <c r="AO44" i="46" s="1"/>
  <c r="P44" i="46"/>
  <c r="AB44" i="46" s="1"/>
  <c r="AN44" i="46" s="1"/>
  <c r="O44" i="46"/>
  <c r="AA44" i="46" s="1"/>
  <c r="AM44" i="46" s="1"/>
  <c r="BF43" i="46"/>
  <c r="BE43" i="46"/>
  <c r="BD43" i="46"/>
  <c r="BC43" i="46"/>
  <c r="BB43" i="46"/>
  <c r="AW43" i="46"/>
  <c r="AI43" i="46"/>
  <c r="AH43" i="46"/>
  <c r="AG43" i="46"/>
  <c r="AF43" i="46"/>
  <c r="W43" i="46"/>
  <c r="V43" i="46"/>
  <c r="U43" i="46"/>
  <c r="T43" i="46"/>
  <c r="S43" i="46"/>
  <c r="R43" i="46"/>
  <c r="AD43" i="46" s="1"/>
  <c r="AP43" i="46" s="1"/>
  <c r="Q43" i="46"/>
  <c r="AC43" i="46" s="1"/>
  <c r="AO43" i="46" s="1"/>
  <c r="P43" i="46"/>
  <c r="AB43" i="46" s="1"/>
  <c r="AN43" i="46" s="1"/>
  <c r="O43" i="46"/>
  <c r="AA43" i="46" s="1"/>
  <c r="AM43" i="46" s="1"/>
  <c r="BF42" i="46"/>
  <c r="BE42" i="46"/>
  <c r="BD42" i="46"/>
  <c r="BC42" i="46"/>
  <c r="BB42" i="46"/>
  <c r="AW42" i="46"/>
  <c r="AI42" i="46"/>
  <c r="AH42" i="46"/>
  <c r="AG42" i="46"/>
  <c r="AF42" i="46"/>
  <c r="K93" i="46" s="1"/>
  <c r="W42" i="46"/>
  <c r="AU42" i="46" s="1"/>
  <c r="V42" i="46"/>
  <c r="U42" i="46"/>
  <c r="T42" i="46"/>
  <c r="S42" i="46"/>
  <c r="AE42" i="46" s="1"/>
  <c r="AQ42" i="46" s="1"/>
  <c r="R42" i="46"/>
  <c r="Q42" i="46"/>
  <c r="AC42" i="46" s="1"/>
  <c r="AO42" i="46" s="1"/>
  <c r="P42" i="46"/>
  <c r="AB42" i="46" s="1"/>
  <c r="AN42" i="46" s="1"/>
  <c r="O42" i="46"/>
  <c r="AA42" i="46" s="1"/>
  <c r="AM42" i="46" s="1"/>
  <c r="BF41" i="46"/>
  <c r="BE41" i="46"/>
  <c r="BD41" i="46"/>
  <c r="BC41" i="46"/>
  <c r="BB41" i="46"/>
  <c r="AW41" i="46"/>
  <c r="AI41" i="46"/>
  <c r="AH41" i="46"/>
  <c r="AG41" i="46"/>
  <c r="AF41" i="46"/>
  <c r="K92" i="46" s="1"/>
  <c r="W41" i="46"/>
  <c r="V41" i="46"/>
  <c r="U41" i="46"/>
  <c r="T41" i="46"/>
  <c r="S41" i="46"/>
  <c r="AE41" i="46" s="1"/>
  <c r="AQ41" i="46" s="1"/>
  <c r="R41" i="46"/>
  <c r="AD41" i="46" s="1"/>
  <c r="AP41" i="46" s="1"/>
  <c r="Q41" i="46"/>
  <c r="AC41" i="46" s="1"/>
  <c r="AO41" i="46" s="1"/>
  <c r="P41" i="46"/>
  <c r="AB41" i="46" s="1"/>
  <c r="AN41" i="46" s="1"/>
  <c r="O41" i="46"/>
  <c r="AA41" i="46" s="1"/>
  <c r="AM41" i="46" s="1"/>
  <c r="BF40" i="46"/>
  <c r="BE40" i="46"/>
  <c r="BD40" i="46"/>
  <c r="BC40" i="46"/>
  <c r="BB40" i="46"/>
  <c r="AW40" i="46"/>
  <c r="AI40" i="46"/>
  <c r="AH40" i="46"/>
  <c r="AG40" i="46"/>
  <c r="AF40" i="46"/>
  <c r="W40" i="46"/>
  <c r="V40" i="46"/>
  <c r="U40" i="46"/>
  <c r="T40" i="46"/>
  <c r="S40" i="46"/>
  <c r="AE40" i="46" s="1"/>
  <c r="AQ40" i="46" s="1"/>
  <c r="R40" i="46"/>
  <c r="AD40" i="46" s="1"/>
  <c r="AP40" i="46" s="1"/>
  <c r="Q40" i="46"/>
  <c r="AC40" i="46" s="1"/>
  <c r="AO40" i="46" s="1"/>
  <c r="P40" i="46"/>
  <c r="AB40" i="46" s="1"/>
  <c r="AN40" i="46" s="1"/>
  <c r="O40" i="46"/>
  <c r="BF39" i="46"/>
  <c r="BE39" i="46"/>
  <c r="BD39" i="46"/>
  <c r="BC39" i="46"/>
  <c r="BB39" i="46"/>
  <c r="AW39" i="46"/>
  <c r="AI39" i="46"/>
  <c r="AH39" i="46"/>
  <c r="AG39" i="46"/>
  <c r="AF39" i="46"/>
  <c r="W39" i="46"/>
  <c r="V39" i="46"/>
  <c r="U39" i="46"/>
  <c r="T39" i="46"/>
  <c r="S39" i="46"/>
  <c r="AE39" i="46" s="1"/>
  <c r="AQ39" i="46" s="1"/>
  <c r="R39" i="46"/>
  <c r="AD39" i="46" s="1"/>
  <c r="AP39" i="46" s="1"/>
  <c r="Q39" i="46"/>
  <c r="AC39" i="46" s="1"/>
  <c r="AO39" i="46" s="1"/>
  <c r="P39" i="46"/>
  <c r="AB39" i="46" s="1"/>
  <c r="AN39" i="46" s="1"/>
  <c r="O39" i="46"/>
  <c r="AA39" i="46" s="1"/>
  <c r="AM39" i="46" s="1"/>
  <c r="BF38" i="46"/>
  <c r="BE38" i="46"/>
  <c r="BD38" i="46"/>
  <c r="BC38" i="46"/>
  <c r="BB38" i="46"/>
  <c r="AW38" i="46"/>
  <c r="AI38" i="46"/>
  <c r="AH38" i="46"/>
  <c r="AG38" i="46"/>
  <c r="AF38" i="46"/>
  <c r="W38" i="46"/>
  <c r="V38" i="46"/>
  <c r="U38" i="46"/>
  <c r="T38" i="46"/>
  <c r="S38" i="46"/>
  <c r="AE38" i="46" s="1"/>
  <c r="AQ38" i="46" s="1"/>
  <c r="R38" i="46"/>
  <c r="AD38" i="46" s="1"/>
  <c r="AP38" i="46" s="1"/>
  <c r="Q38" i="46"/>
  <c r="AC38" i="46" s="1"/>
  <c r="AO38" i="46" s="1"/>
  <c r="P38" i="46"/>
  <c r="AB38" i="46" s="1"/>
  <c r="AN38" i="46" s="1"/>
  <c r="O38" i="46"/>
  <c r="AA38" i="46" s="1"/>
  <c r="AM38" i="46" s="1"/>
  <c r="BF37" i="46"/>
  <c r="BE37" i="46"/>
  <c r="BD37" i="46"/>
  <c r="BC37" i="46"/>
  <c r="BB37" i="46"/>
  <c r="AW37" i="46"/>
  <c r="AI37" i="46"/>
  <c r="AH37" i="46"/>
  <c r="AG37" i="46"/>
  <c r="AF37" i="46"/>
  <c r="W37" i="46"/>
  <c r="V37" i="46"/>
  <c r="U37" i="46"/>
  <c r="T37" i="46"/>
  <c r="S37" i="46"/>
  <c r="AE37" i="46" s="1"/>
  <c r="AQ37" i="46" s="1"/>
  <c r="R37" i="46"/>
  <c r="AD37" i="46" s="1"/>
  <c r="AP37" i="46" s="1"/>
  <c r="Q37" i="46"/>
  <c r="AC37" i="46" s="1"/>
  <c r="AO37" i="46" s="1"/>
  <c r="P37" i="46"/>
  <c r="AB37" i="46" s="1"/>
  <c r="AN37" i="46" s="1"/>
  <c r="O37" i="46"/>
  <c r="AA37" i="46" s="1"/>
  <c r="AM37" i="46" s="1"/>
  <c r="BF36" i="46"/>
  <c r="BE36" i="46"/>
  <c r="BD36" i="46"/>
  <c r="BC36" i="46"/>
  <c r="BB36" i="46"/>
  <c r="AW36" i="46"/>
  <c r="AI36" i="46"/>
  <c r="AH36" i="46"/>
  <c r="AG36" i="46"/>
  <c r="AF36" i="46"/>
  <c r="W36" i="46"/>
  <c r="V36" i="46"/>
  <c r="U36" i="46"/>
  <c r="T36" i="46"/>
  <c r="S36" i="46"/>
  <c r="AE36" i="46" s="1"/>
  <c r="AQ36" i="46" s="1"/>
  <c r="R36" i="46"/>
  <c r="AD36" i="46" s="1"/>
  <c r="AP36" i="46" s="1"/>
  <c r="Q36" i="46"/>
  <c r="AC36" i="46" s="1"/>
  <c r="AO36" i="46" s="1"/>
  <c r="P36" i="46"/>
  <c r="AB36" i="46" s="1"/>
  <c r="AN36" i="46" s="1"/>
  <c r="O36" i="46"/>
  <c r="AA36" i="46" s="1"/>
  <c r="AM36" i="46" s="1"/>
  <c r="BF35" i="46"/>
  <c r="BE35" i="46"/>
  <c r="BD35" i="46"/>
  <c r="BC35" i="46"/>
  <c r="BB35" i="46"/>
  <c r="AW35" i="46"/>
  <c r="AI35" i="46"/>
  <c r="AH35" i="46"/>
  <c r="AG35" i="46"/>
  <c r="AF35" i="46"/>
  <c r="W35" i="46"/>
  <c r="V35" i="46"/>
  <c r="U35" i="46"/>
  <c r="T35" i="46"/>
  <c r="S35" i="46"/>
  <c r="AE35" i="46" s="1"/>
  <c r="AQ35" i="46" s="1"/>
  <c r="R35" i="46"/>
  <c r="AD35" i="46" s="1"/>
  <c r="AP35" i="46" s="1"/>
  <c r="Q35" i="46"/>
  <c r="AC35" i="46" s="1"/>
  <c r="AO35" i="46" s="1"/>
  <c r="P35" i="46"/>
  <c r="AB35" i="46" s="1"/>
  <c r="AN35" i="46" s="1"/>
  <c r="O35" i="46"/>
  <c r="BF34" i="46"/>
  <c r="BE34" i="46"/>
  <c r="BD34" i="46"/>
  <c r="BC34" i="46"/>
  <c r="BB34" i="46"/>
  <c r="AW34" i="46"/>
  <c r="AI34" i="46"/>
  <c r="AH34" i="46"/>
  <c r="AG34" i="46"/>
  <c r="AF34" i="46"/>
  <c r="W34" i="46"/>
  <c r="V34" i="46"/>
  <c r="U34" i="46"/>
  <c r="T34" i="46"/>
  <c r="S34" i="46"/>
  <c r="AE34" i="46" s="1"/>
  <c r="AQ34" i="46" s="1"/>
  <c r="R34" i="46"/>
  <c r="AD34" i="46" s="1"/>
  <c r="AP34" i="46" s="1"/>
  <c r="Q34" i="46"/>
  <c r="AC34" i="46" s="1"/>
  <c r="AO34" i="46" s="1"/>
  <c r="P34" i="46"/>
  <c r="AB34" i="46" s="1"/>
  <c r="AN34" i="46" s="1"/>
  <c r="O34" i="46"/>
  <c r="AA34" i="46" s="1"/>
  <c r="AM34" i="46" s="1"/>
  <c r="BF33" i="46"/>
  <c r="BE33" i="46"/>
  <c r="BD33" i="46"/>
  <c r="BC33" i="46"/>
  <c r="BB33" i="46"/>
  <c r="AW33" i="46"/>
  <c r="AI33" i="46"/>
  <c r="AH33" i="46"/>
  <c r="AG33" i="46"/>
  <c r="AF33" i="46"/>
  <c r="W33" i="46"/>
  <c r="V33" i="46"/>
  <c r="U33" i="46"/>
  <c r="T33" i="46"/>
  <c r="S33" i="46"/>
  <c r="R33" i="46"/>
  <c r="AD33" i="46" s="1"/>
  <c r="AP33" i="46" s="1"/>
  <c r="Q33" i="46"/>
  <c r="AC33" i="46" s="1"/>
  <c r="AO33" i="46" s="1"/>
  <c r="P33" i="46"/>
  <c r="AB33" i="46" s="1"/>
  <c r="AN33" i="46" s="1"/>
  <c r="O33" i="46"/>
  <c r="AA33" i="46" s="1"/>
  <c r="AM33" i="46" s="1"/>
  <c r="BF32" i="46"/>
  <c r="BE32" i="46"/>
  <c r="BD32" i="46"/>
  <c r="BC32" i="46"/>
  <c r="BB32" i="46"/>
  <c r="AW32" i="46"/>
  <c r="AI32" i="46"/>
  <c r="AH32" i="46"/>
  <c r="AG32" i="46"/>
  <c r="AF32" i="46"/>
  <c r="W32" i="46"/>
  <c r="V32" i="46"/>
  <c r="U32" i="46"/>
  <c r="T32" i="46"/>
  <c r="S32" i="46"/>
  <c r="AE32" i="46" s="1"/>
  <c r="AQ32" i="46" s="1"/>
  <c r="R32" i="46"/>
  <c r="AD32" i="46" s="1"/>
  <c r="AP32" i="46" s="1"/>
  <c r="Q32" i="46"/>
  <c r="AC32" i="46" s="1"/>
  <c r="AO32" i="46" s="1"/>
  <c r="P32" i="46"/>
  <c r="AB32" i="46" s="1"/>
  <c r="AN32" i="46" s="1"/>
  <c r="O32" i="46"/>
  <c r="AA32" i="46" s="1"/>
  <c r="AM32" i="46" s="1"/>
  <c r="BF31" i="46"/>
  <c r="BE31" i="46"/>
  <c r="BD31" i="46"/>
  <c r="BC31" i="46"/>
  <c r="BB31" i="46"/>
  <c r="AW31" i="46"/>
  <c r="AI31" i="46"/>
  <c r="AH31" i="46"/>
  <c r="AG31" i="46"/>
  <c r="AF31" i="46"/>
  <c r="W31" i="46"/>
  <c r="V31" i="46"/>
  <c r="U31" i="46"/>
  <c r="T31" i="46"/>
  <c r="S31" i="46"/>
  <c r="AE31" i="46" s="1"/>
  <c r="AQ31" i="46" s="1"/>
  <c r="R31" i="46"/>
  <c r="AD31" i="46" s="1"/>
  <c r="AP31" i="46" s="1"/>
  <c r="Q31" i="46"/>
  <c r="P31" i="46"/>
  <c r="AB31" i="46" s="1"/>
  <c r="AN31" i="46" s="1"/>
  <c r="O31" i="46"/>
  <c r="AA31" i="46" s="1"/>
  <c r="AM31" i="46" s="1"/>
  <c r="BF30" i="46"/>
  <c r="BE30" i="46"/>
  <c r="BD30" i="46"/>
  <c r="BC30" i="46"/>
  <c r="BB30" i="46"/>
  <c r="AW30" i="46"/>
  <c r="AI30" i="46"/>
  <c r="AH30" i="46"/>
  <c r="AG30" i="46"/>
  <c r="AF30" i="46"/>
  <c r="W30" i="46"/>
  <c r="V30" i="46"/>
  <c r="U30" i="46"/>
  <c r="T30" i="46"/>
  <c r="S30" i="46"/>
  <c r="AE30" i="46" s="1"/>
  <c r="AQ30" i="46" s="1"/>
  <c r="R30" i="46"/>
  <c r="AD30" i="46" s="1"/>
  <c r="AP30" i="46" s="1"/>
  <c r="Q30" i="46"/>
  <c r="AC30" i="46" s="1"/>
  <c r="AO30" i="46" s="1"/>
  <c r="P30" i="46"/>
  <c r="AB30" i="46" s="1"/>
  <c r="AN30" i="46" s="1"/>
  <c r="O30" i="46"/>
  <c r="BF29" i="46"/>
  <c r="BE29" i="46"/>
  <c r="BD29" i="46"/>
  <c r="BC29" i="46"/>
  <c r="BB29" i="46"/>
  <c r="AW29" i="46"/>
  <c r="AI29" i="46"/>
  <c r="AH29" i="46"/>
  <c r="AG29" i="46"/>
  <c r="AF29" i="46"/>
  <c r="W29" i="46"/>
  <c r="V29" i="46"/>
  <c r="U29" i="46"/>
  <c r="T29" i="46"/>
  <c r="S29" i="46"/>
  <c r="AE29" i="46" s="1"/>
  <c r="AQ29" i="46" s="1"/>
  <c r="R29" i="46"/>
  <c r="AD29" i="46" s="1"/>
  <c r="AP29" i="46" s="1"/>
  <c r="Q29" i="46"/>
  <c r="P29" i="46"/>
  <c r="AB29" i="46" s="1"/>
  <c r="AN29" i="46" s="1"/>
  <c r="O29" i="46"/>
  <c r="AC27" i="46"/>
  <c r="AA27" i="46"/>
  <c r="S27" i="46"/>
  <c r="R27" i="46"/>
  <c r="AD27" i="46" s="1"/>
  <c r="Q27" i="46"/>
  <c r="P27" i="46"/>
  <c r="AB27" i="46" s="1"/>
  <c r="O27" i="46"/>
  <c r="AK25" i="46"/>
  <c r="Y25" i="46"/>
  <c r="M25" i="46"/>
  <c r="A25" i="46"/>
  <c r="A1" i="46"/>
  <c r="Q4" i="14"/>
  <c r="P4" i="14"/>
  <c r="V240" i="45"/>
  <c r="AA240" i="45" s="1"/>
  <c r="AG240" i="45" s="1"/>
  <c r="AK240" i="45" s="1"/>
  <c r="V239" i="45"/>
  <c r="AA239" i="45" s="1"/>
  <c r="AG239" i="45" s="1"/>
  <c r="AK239" i="45" s="1"/>
  <c r="V238" i="45"/>
  <c r="AA238" i="45" s="1"/>
  <c r="AG238" i="45" s="1"/>
  <c r="AK238" i="45" s="1"/>
  <c r="V237" i="45"/>
  <c r="AA237" i="45" s="1"/>
  <c r="AG237" i="45" s="1"/>
  <c r="AK237" i="45" s="1"/>
  <c r="V236" i="45"/>
  <c r="AA236" i="45" s="1"/>
  <c r="AG236" i="45" s="1"/>
  <c r="AK236" i="45" s="1"/>
  <c r="V235" i="45"/>
  <c r="AA235" i="45" s="1"/>
  <c r="AG235" i="45" s="1"/>
  <c r="AK235" i="45" s="1"/>
  <c r="V234" i="45"/>
  <c r="AA234" i="45" s="1"/>
  <c r="AG234" i="45" s="1"/>
  <c r="AK234" i="45" s="1"/>
  <c r="V233" i="45"/>
  <c r="AA233" i="45" s="1"/>
  <c r="AG233" i="45" s="1"/>
  <c r="AK233" i="45" s="1"/>
  <c r="V232" i="45"/>
  <c r="AA232" i="45" s="1"/>
  <c r="AG232" i="45" s="1"/>
  <c r="AK232" i="45" s="1"/>
  <c r="V231" i="45"/>
  <c r="AA231" i="45" s="1"/>
  <c r="AG231" i="45" s="1"/>
  <c r="AK231" i="45" s="1"/>
  <c r="V230" i="45"/>
  <c r="AA230" i="45" s="1"/>
  <c r="AG230" i="45" s="1"/>
  <c r="AK230" i="45" s="1"/>
  <c r="V229" i="45"/>
  <c r="AA229" i="45" s="1"/>
  <c r="AG229" i="45" s="1"/>
  <c r="AK229" i="45" s="1"/>
  <c r="V228" i="45"/>
  <c r="AA228" i="45" s="1"/>
  <c r="AG228" i="45" s="1"/>
  <c r="AK228" i="45" s="1"/>
  <c r="V227" i="45"/>
  <c r="AA227" i="45" s="1"/>
  <c r="AG227" i="45" s="1"/>
  <c r="AK227" i="45" s="1"/>
  <c r="V226" i="45"/>
  <c r="AA226" i="45" s="1"/>
  <c r="AG226" i="45" s="1"/>
  <c r="AK226" i="45" s="1"/>
  <c r="V225" i="45"/>
  <c r="AA225" i="45" s="1"/>
  <c r="AG225" i="45" s="1"/>
  <c r="AK225" i="45" s="1"/>
  <c r="V224" i="45"/>
  <c r="AA224" i="45" s="1"/>
  <c r="AG224" i="45" s="1"/>
  <c r="AK224" i="45" s="1"/>
  <c r="V223" i="45"/>
  <c r="AA223" i="45" s="1"/>
  <c r="AG223" i="45" s="1"/>
  <c r="AK223" i="45" s="1"/>
  <c r="V222" i="45"/>
  <c r="AA222" i="45" s="1"/>
  <c r="AG222" i="45" s="1"/>
  <c r="AK222" i="45" s="1"/>
  <c r="V221" i="45"/>
  <c r="AA221" i="45" s="1"/>
  <c r="AG221" i="45" s="1"/>
  <c r="AK221" i="45" s="1"/>
  <c r="V220" i="45"/>
  <c r="AA220" i="45" s="1"/>
  <c r="AG220" i="45" s="1"/>
  <c r="AK220" i="45" s="1"/>
  <c r="V219" i="45"/>
  <c r="AA219" i="45" s="1"/>
  <c r="AG219" i="45" s="1"/>
  <c r="AK219" i="45" s="1"/>
  <c r="V218" i="45"/>
  <c r="AA218" i="45" s="1"/>
  <c r="AG218" i="45" s="1"/>
  <c r="AK218" i="45" s="1"/>
  <c r="V217" i="45"/>
  <c r="AA217" i="45" s="1"/>
  <c r="AG217" i="45" s="1"/>
  <c r="AK217" i="45" s="1"/>
  <c r="V216" i="45"/>
  <c r="AA216" i="45" s="1"/>
  <c r="AG216" i="45" s="1"/>
  <c r="AK216" i="45" s="1"/>
  <c r="V215" i="45"/>
  <c r="AA215" i="45" s="1"/>
  <c r="AG215" i="45" s="1"/>
  <c r="AK215" i="45" s="1"/>
  <c r="V214" i="45"/>
  <c r="AA214" i="45" s="1"/>
  <c r="AG214" i="45" s="1"/>
  <c r="AK214" i="45" s="1"/>
  <c r="V213" i="45"/>
  <c r="AA213" i="45" s="1"/>
  <c r="AG213" i="45" s="1"/>
  <c r="AK213" i="45" s="1"/>
  <c r="V212" i="45"/>
  <c r="AA212" i="45" s="1"/>
  <c r="AG212" i="45" s="1"/>
  <c r="AK212" i="45" s="1"/>
  <c r="V211" i="45"/>
  <c r="AA211" i="45" s="1"/>
  <c r="AG211" i="45" s="1"/>
  <c r="AK211" i="45" s="1"/>
  <c r="V210" i="45"/>
  <c r="AA210" i="45" s="1"/>
  <c r="AG210" i="45" s="1"/>
  <c r="AK210" i="45" s="1"/>
  <c r="V209" i="45"/>
  <c r="AA209" i="45" s="1"/>
  <c r="AG209" i="45" s="1"/>
  <c r="AK209" i="45" s="1"/>
  <c r="V208" i="45"/>
  <c r="AA208" i="45" s="1"/>
  <c r="AG208" i="45" s="1"/>
  <c r="AK208" i="45" s="1"/>
  <c r="V207" i="45"/>
  <c r="AA207" i="45" s="1"/>
  <c r="AG207" i="45" s="1"/>
  <c r="AK207" i="45" s="1"/>
  <c r="V206" i="45"/>
  <c r="AA206" i="45" s="1"/>
  <c r="AG206" i="45" s="1"/>
  <c r="AK206" i="45" s="1"/>
  <c r="V205" i="45"/>
  <c r="AA205" i="45" s="1"/>
  <c r="AG205" i="45" s="1"/>
  <c r="AK205" i="45" s="1"/>
  <c r="V204" i="45"/>
  <c r="AA204" i="45" s="1"/>
  <c r="AG204" i="45" s="1"/>
  <c r="AK204" i="45" s="1"/>
  <c r="V203" i="45"/>
  <c r="AA203" i="45" s="1"/>
  <c r="AG203" i="45" s="1"/>
  <c r="AK203" i="45" s="1"/>
  <c r="V202" i="45"/>
  <c r="AA202" i="45" s="1"/>
  <c r="AG202" i="45" s="1"/>
  <c r="AK202" i="45" s="1"/>
  <c r="V201" i="45"/>
  <c r="AA201" i="45" s="1"/>
  <c r="AG201" i="45" s="1"/>
  <c r="AK201" i="45" s="1"/>
  <c r="V200" i="45"/>
  <c r="AA200" i="45" s="1"/>
  <c r="V199" i="45"/>
  <c r="AA199" i="45" s="1"/>
  <c r="AG199" i="45" s="1"/>
  <c r="AK199" i="45" s="1"/>
  <c r="V198" i="45"/>
  <c r="AA198" i="45" s="1"/>
  <c r="AG198" i="45" s="1"/>
  <c r="AK198" i="45" s="1"/>
  <c r="V197" i="45"/>
  <c r="AA197" i="45" s="1"/>
  <c r="AG197" i="45" s="1"/>
  <c r="AK197" i="45" s="1"/>
  <c r="V196" i="45"/>
  <c r="AA196" i="45" s="1"/>
  <c r="AG196" i="45" s="1"/>
  <c r="AK196" i="45" s="1"/>
  <c r="V195" i="45"/>
  <c r="AA195" i="45" s="1"/>
  <c r="AG195" i="45" s="1"/>
  <c r="AK195" i="45" s="1"/>
  <c r="AA194" i="45"/>
  <c r="AG194" i="45" s="1"/>
  <c r="AK194" i="45" s="1"/>
  <c r="Z194" i="45"/>
  <c r="AJ194" i="45" s="1"/>
  <c r="AP181" i="45"/>
  <c r="AY181" i="45" s="1"/>
  <c r="AC181" i="45"/>
  <c r="X181" i="45"/>
  <c r="AP180" i="45"/>
  <c r="AY180" i="45" s="1"/>
  <c r="AC180" i="45"/>
  <c r="X180" i="45"/>
  <c r="AP179" i="45"/>
  <c r="AY179" i="45" s="1"/>
  <c r="AC179" i="45"/>
  <c r="X179" i="45"/>
  <c r="AP178" i="45"/>
  <c r="AY178" i="45" s="1"/>
  <c r="AC178" i="45"/>
  <c r="X178" i="45"/>
  <c r="AP177" i="45"/>
  <c r="AY177" i="45" s="1"/>
  <c r="AC177" i="45"/>
  <c r="X177" i="45"/>
  <c r="AP176" i="45"/>
  <c r="AY176" i="45" s="1"/>
  <c r="AC176" i="45"/>
  <c r="X176" i="45"/>
  <c r="AP175" i="45"/>
  <c r="AY175" i="45" s="1"/>
  <c r="AC175" i="45"/>
  <c r="X175" i="45"/>
  <c r="AP174" i="45"/>
  <c r="AY174" i="45" s="1"/>
  <c r="AC174" i="45"/>
  <c r="X174" i="45"/>
  <c r="AP173" i="45"/>
  <c r="AC173" i="45"/>
  <c r="X173" i="45"/>
  <c r="AP172" i="45"/>
  <c r="AY172" i="45" s="1"/>
  <c r="AC172" i="45"/>
  <c r="X172" i="45"/>
  <c r="AP171" i="45"/>
  <c r="AY171" i="45" s="1"/>
  <c r="AC171" i="45"/>
  <c r="X171" i="45"/>
  <c r="AP170" i="45"/>
  <c r="AY170" i="45" s="1"/>
  <c r="AC170" i="45"/>
  <c r="X170" i="45"/>
  <c r="AP169" i="45"/>
  <c r="AY169" i="45" s="1"/>
  <c r="AC169" i="45"/>
  <c r="X169" i="45"/>
  <c r="AP168" i="45"/>
  <c r="AC168" i="45"/>
  <c r="X168" i="45"/>
  <c r="AP167" i="45"/>
  <c r="AY167" i="45" s="1"/>
  <c r="AC167" i="45"/>
  <c r="X167" i="45"/>
  <c r="AP166" i="45"/>
  <c r="AC166" i="45"/>
  <c r="X166" i="45"/>
  <c r="AP165" i="45"/>
  <c r="AC165" i="45"/>
  <c r="X165" i="45"/>
  <c r="AP164" i="45"/>
  <c r="AY164" i="45" s="1"/>
  <c r="AC164" i="45"/>
  <c r="X164" i="45"/>
  <c r="AP163" i="45"/>
  <c r="AY163" i="45" s="1"/>
  <c r="AC163" i="45"/>
  <c r="X163" i="45"/>
  <c r="AP162" i="45"/>
  <c r="AY162" i="45" s="1"/>
  <c r="AC162" i="45"/>
  <c r="X162" i="45"/>
  <c r="AP161" i="45"/>
  <c r="AY161" i="45" s="1"/>
  <c r="AC161" i="45"/>
  <c r="X161" i="45"/>
  <c r="AP160" i="45"/>
  <c r="AY160" i="45" s="1"/>
  <c r="AC160" i="45"/>
  <c r="X160" i="45"/>
  <c r="AP159" i="45"/>
  <c r="AY159" i="45" s="1"/>
  <c r="AC159" i="45"/>
  <c r="X159" i="45"/>
  <c r="AP158" i="45"/>
  <c r="AC158" i="45"/>
  <c r="X158" i="45"/>
  <c r="AP157" i="45"/>
  <c r="AC157" i="45"/>
  <c r="X157" i="45"/>
  <c r="AP156" i="45"/>
  <c r="AY156" i="45" s="1"/>
  <c r="AC156" i="45"/>
  <c r="X156" i="45"/>
  <c r="AP155" i="45"/>
  <c r="AY155" i="45" s="1"/>
  <c r="AC155" i="45"/>
  <c r="X155" i="45"/>
  <c r="AP154" i="45"/>
  <c r="AY154" i="45" s="1"/>
  <c r="AC154" i="45"/>
  <c r="X154" i="45"/>
  <c r="AP153" i="45"/>
  <c r="AY153" i="45" s="1"/>
  <c r="AC153" i="45"/>
  <c r="X153" i="45"/>
  <c r="AP152" i="45"/>
  <c r="AY152" i="45" s="1"/>
  <c r="AC152" i="45"/>
  <c r="X152" i="45"/>
  <c r="AP151" i="45"/>
  <c r="AY151" i="45" s="1"/>
  <c r="AC151" i="45"/>
  <c r="X151" i="45"/>
  <c r="AP150" i="45"/>
  <c r="AY150" i="45" s="1"/>
  <c r="AC150" i="45"/>
  <c r="X150" i="45"/>
  <c r="AP149" i="45"/>
  <c r="AC149" i="45"/>
  <c r="X149" i="45"/>
  <c r="AP148" i="45"/>
  <c r="AY148" i="45" s="1"/>
  <c r="AC148" i="45"/>
  <c r="X148" i="45"/>
  <c r="AP147" i="45"/>
  <c r="AY147" i="45" s="1"/>
  <c r="AC147" i="45"/>
  <c r="X147" i="45"/>
  <c r="AP146" i="45"/>
  <c r="AY146" i="45" s="1"/>
  <c r="AC146" i="45"/>
  <c r="X146" i="45"/>
  <c r="AP145" i="45"/>
  <c r="AY145" i="45" s="1"/>
  <c r="AC145" i="45"/>
  <c r="X145" i="45"/>
  <c r="AP144" i="45"/>
  <c r="AC144" i="45"/>
  <c r="X144" i="45"/>
  <c r="AP143" i="45"/>
  <c r="AY143" i="45" s="1"/>
  <c r="AC143" i="45"/>
  <c r="X143" i="45"/>
  <c r="AP142" i="45"/>
  <c r="AY142" i="45" s="1"/>
  <c r="AC142" i="45"/>
  <c r="X142" i="45"/>
  <c r="AP141" i="45"/>
  <c r="AY141" i="45" s="1"/>
  <c r="AC141" i="45"/>
  <c r="X141" i="45"/>
  <c r="AP140" i="45"/>
  <c r="AY140" i="45" s="1"/>
  <c r="AC140" i="45"/>
  <c r="X140" i="45"/>
  <c r="AP139" i="45"/>
  <c r="AY139" i="45" s="1"/>
  <c r="AC139" i="45"/>
  <c r="X139" i="45"/>
  <c r="AP138" i="45"/>
  <c r="AY138" i="45" s="1"/>
  <c r="AC138" i="45"/>
  <c r="X138" i="45"/>
  <c r="AP137" i="45"/>
  <c r="AY137" i="45" s="1"/>
  <c r="AC137" i="45"/>
  <c r="X137" i="45"/>
  <c r="AP136" i="45"/>
  <c r="AC136" i="45"/>
  <c r="X136" i="45"/>
  <c r="AY135" i="45"/>
  <c r="AX135" i="45"/>
  <c r="AV135" i="45"/>
  <c r="AU135" i="45"/>
  <c r="C126" i="45"/>
  <c r="C125" i="45"/>
  <c r="C124" i="45"/>
  <c r="C123" i="45"/>
  <c r="C122" i="45"/>
  <c r="C121" i="45"/>
  <c r="C120" i="45"/>
  <c r="C119" i="45"/>
  <c r="C118" i="45"/>
  <c r="C117" i="45"/>
  <c r="C116" i="45"/>
  <c r="C115" i="45"/>
  <c r="C114" i="45"/>
  <c r="C113" i="45"/>
  <c r="C112" i="45"/>
  <c r="C111" i="45"/>
  <c r="C110" i="45"/>
  <c r="C109" i="45"/>
  <c r="C108" i="45"/>
  <c r="C107" i="45"/>
  <c r="C106" i="45"/>
  <c r="C105" i="45"/>
  <c r="C104" i="45"/>
  <c r="C103" i="45"/>
  <c r="C102" i="45"/>
  <c r="C101" i="45"/>
  <c r="C100" i="45"/>
  <c r="C99" i="45"/>
  <c r="C98" i="45"/>
  <c r="C97" i="45"/>
  <c r="C96" i="45"/>
  <c r="C95" i="45"/>
  <c r="C94" i="45"/>
  <c r="C93" i="45"/>
  <c r="C92" i="45"/>
  <c r="C91" i="45"/>
  <c r="C90" i="45"/>
  <c r="C89" i="45"/>
  <c r="C88" i="45"/>
  <c r="C87" i="45"/>
  <c r="C86" i="45"/>
  <c r="C85" i="45"/>
  <c r="C84" i="45"/>
  <c r="C83" i="45"/>
  <c r="C82" i="45"/>
  <c r="C81" i="45"/>
  <c r="C80" i="45"/>
  <c r="B80" i="45"/>
  <c r="F79" i="45"/>
  <c r="W78" i="45"/>
  <c r="H78" i="45"/>
  <c r="A78" i="45"/>
  <c r="BF75" i="45"/>
  <c r="BE75" i="45"/>
  <c r="BD75" i="45"/>
  <c r="BC75" i="45"/>
  <c r="BB75" i="45"/>
  <c r="AW75" i="45"/>
  <c r="AI75" i="45"/>
  <c r="AH75" i="45"/>
  <c r="AG75" i="45"/>
  <c r="AF75" i="45"/>
  <c r="K126" i="45" s="1"/>
  <c r="W75" i="45"/>
  <c r="V75" i="45"/>
  <c r="U75" i="45"/>
  <c r="T75" i="45"/>
  <c r="S75" i="45"/>
  <c r="AE75" i="45" s="1"/>
  <c r="AQ75" i="45" s="1"/>
  <c r="R75" i="45"/>
  <c r="AD75" i="45" s="1"/>
  <c r="AP75" i="45" s="1"/>
  <c r="Q75" i="45"/>
  <c r="P75" i="45"/>
  <c r="AB75" i="45" s="1"/>
  <c r="AN75" i="45" s="1"/>
  <c r="O75" i="45"/>
  <c r="AA75" i="45" s="1"/>
  <c r="AM75" i="45" s="1"/>
  <c r="BF74" i="45"/>
  <c r="BE74" i="45"/>
  <c r="BD74" i="45"/>
  <c r="BC74" i="45"/>
  <c r="BB74" i="45"/>
  <c r="AW74" i="45"/>
  <c r="AI74" i="45"/>
  <c r="AH74" i="45"/>
  <c r="AG74" i="45"/>
  <c r="AF74" i="45"/>
  <c r="K125" i="45" s="1"/>
  <c r="X125" i="45" s="1"/>
  <c r="W74" i="45"/>
  <c r="V74" i="45"/>
  <c r="U74" i="45"/>
  <c r="T74" i="45"/>
  <c r="S74" i="45"/>
  <c r="AE74" i="45" s="1"/>
  <c r="AQ74" i="45" s="1"/>
  <c r="R74" i="45"/>
  <c r="AD74" i="45" s="1"/>
  <c r="AP74" i="45" s="1"/>
  <c r="Q74" i="45"/>
  <c r="AC74" i="45" s="1"/>
  <c r="AO74" i="45" s="1"/>
  <c r="P74" i="45"/>
  <c r="AB74" i="45" s="1"/>
  <c r="AN74" i="45" s="1"/>
  <c r="O74" i="45"/>
  <c r="BF73" i="45"/>
  <c r="BE73" i="45"/>
  <c r="BD73" i="45"/>
  <c r="BC73" i="45"/>
  <c r="BB73" i="45"/>
  <c r="AW73" i="45"/>
  <c r="AI73" i="45"/>
  <c r="AH73" i="45"/>
  <c r="AG73" i="45"/>
  <c r="AF73" i="45"/>
  <c r="K124" i="45" s="1"/>
  <c r="W73" i="45"/>
  <c r="V73" i="45"/>
  <c r="U73" i="45"/>
  <c r="T73" i="45"/>
  <c r="S73" i="45"/>
  <c r="AE73" i="45" s="1"/>
  <c r="AQ73" i="45" s="1"/>
  <c r="R73" i="45"/>
  <c r="AD73" i="45" s="1"/>
  <c r="AP73" i="45" s="1"/>
  <c r="Q73" i="45"/>
  <c r="AC73" i="45" s="1"/>
  <c r="AO73" i="45" s="1"/>
  <c r="P73" i="45"/>
  <c r="AB73" i="45" s="1"/>
  <c r="AN73" i="45" s="1"/>
  <c r="O73" i="45"/>
  <c r="BF72" i="45"/>
  <c r="BE72" i="45"/>
  <c r="BD72" i="45"/>
  <c r="BC72" i="45"/>
  <c r="BB72" i="45"/>
  <c r="AW72" i="45"/>
  <c r="AI72" i="45"/>
  <c r="AH72" i="45"/>
  <c r="AG72" i="45"/>
  <c r="AF72" i="45"/>
  <c r="W72" i="45"/>
  <c r="V72" i="45"/>
  <c r="U72" i="45"/>
  <c r="T72" i="45"/>
  <c r="S72" i="45"/>
  <c r="AE72" i="45" s="1"/>
  <c r="AQ72" i="45" s="1"/>
  <c r="R72" i="45"/>
  <c r="Q72" i="45"/>
  <c r="AC72" i="45" s="1"/>
  <c r="AO72" i="45" s="1"/>
  <c r="P72" i="45"/>
  <c r="AB72" i="45" s="1"/>
  <c r="AN72" i="45" s="1"/>
  <c r="O72" i="45"/>
  <c r="AA72" i="45" s="1"/>
  <c r="AM72" i="45" s="1"/>
  <c r="BF71" i="45"/>
  <c r="BE71" i="45"/>
  <c r="BD71" i="45"/>
  <c r="BC71" i="45"/>
  <c r="BB71" i="45"/>
  <c r="AW71" i="45"/>
  <c r="AI71" i="45"/>
  <c r="AH71" i="45"/>
  <c r="AG71" i="45"/>
  <c r="AF71" i="45"/>
  <c r="W71" i="45"/>
  <c r="V71" i="45"/>
  <c r="U71" i="45"/>
  <c r="T71" i="45"/>
  <c r="S71" i="45"/>
  <c r="AE71" i="45" s="1"/>
  <c r="AQ71" i="45" s="1"/>
  <c r="R71" i="45"/>
  <c r="AD71" i="45" s="1"/>
  <c r="AP71" i="45" s="1"/>
  <c r="Q71" i="45"/>
  <c r="P71" i="45"/>
  <c r="AB71" i="45" s="1"/>
  <c r="AN71" i="45" s="1"/>
  <c r="O71" i="45"/>
  <c r="AA71" i="45" s="1"/>
  <c r="AM71" i="45" s="1"/>
  <c r="BF70" i="45"/>
  <c r="BE70" i="45"/>
  <c r="BD70" i="45"/>
  <c r="BC70" i="45"/>
  <c r="BB70" i="45"/>
  <c r="AW70" i="45"/>
  <c r="AI70" i="45"/>
  <c r="AH70" i="45"/>
  <c r="AG70" i="45"/>
  <c r="AF70" i="45"/>
  <c r="W70" i="45"/>
  <c r="V70" i="45"/>
  <c r="U70" i="45"/>
  <c r="T70" i="45"/>
  <c r="S70" i="45"/>
  <c r="AE70" i="45" s="1"/>
  <c r="AQ70" i="45" s="1"/>
  <c r="R70" i="45"/>
  <c r="AD70" i="45" s="1"/>
  <c r="AP70" i="45" s="1"/>
  <c r="Q70" i="45"/>
  <c r="AC70" i="45" s="1"/>
  <c r="AO70" i="45" s="1"/>
  <c r="P70" i="45"/>
  <c r="O70" i="45"/>
  <c r="AA70" i="45" s="1"/>
  <c r="AM70" i="45" s="1"/>
  <c r="BF69" i="45"/>
  <c r="BE69" i="45"/>
  <c r="BD69" i="45"/>
  <c r="BC69" i="45"/>
  <c r="BB69" i="45"/>
  <c r="AW69" i="45"/>
  <c r="AI69" i="45"/>
  <c r="AH69" i="45"/>
  <c r="AG69" i="45"/>
  <c r="AF69" i="45"/>
  <c r="W69" i="45"/>
  <c r="V69" i="45"/>
  <c r="U69" i="45"/>
  <c r="T69" i="45"/>
  <c r="S69" i="45"/>
  <c r="AE69" i="45" s="1"/>
  <c r="AQ69" i="45" s="1"/>
  <c r="R69" i="45"/>
  <c r="AD69" i="45" s="1"/>
  <c r="AP69" i="45" s="1"/>
  <c r="Q69" i="45"/>
  <c r="AC69" i="45" s="1"/>
  <c r="AO69" i="45" s="1"/>
  <c r="P69" i="45"/>
  <c r="AB69" i="45" s="1"/>
  <c r="AN69" i="45" s="1"/>
  <c r="O69" i="45"/>
  <c r="BF68" i="45"/>
  <c r="BE68" i="45"/>
  <c r="BD68" i="45"/>
  <c r="BC68" i="45"/>
  <c r="BB68" i="45"/>
  <c r="AW68" i="45"/>
  <c r="AI68" i="45"/>
  <c r="AH68" i="45"/>
  <c r="AG68" i="45"/>
  <c r="AF68" i="45"/>
  <c r="W68" i="45"/>
  <c r="V68" i="45"/>
  <c r="U68" i="45"/>
  <c r="T68" i="45"/>
  <c r="S68" i="45"/>
  <c r="AE68" i="45" s="1"/>
  <c r="AQ68" i="45" s="1"/>
  <c r="R68" i="45"/>
  <c r="AD68" i="45" s="1"/>
  <c r="AP68" i="45" s="1"/>
  <c r="Q68" i="45"/>
  <c r="AC68" i="45" s="1"/>
  <c r="AO68" i="45" s="1"/>
  <c r="P68" i="45"/>
  <c r="AB68" i="45" s="1"/>
  <c r="AN68" i="45" s="1"/>
  <c r="O68" i="45"/>
  <c r="BF67" i="45"/>
  <c r="BE67" i="45"/>
  <c r="BD67" i="45"/>
  <c r="BC67" i="45"/>
  <c r="BB67" i="45"/>
  <c r="AW67" i="45"/>
  <c r="AI67" i="45"/>
  <c r="AH67" i="45"/>
  <c r="AG67" i="45"/>
  <c r="AF67" i="45"/>
  <c r="W67" i="45"/>
  <c r="V67" i="45"/>
  <c r="U67" i="45"/>
  <c r="T67" i="45"/>
  <c r="S67" i="45"/>
  <c r="AE67" i="45" s="1"/>
  <c r="AQ67" i="45" s="1"/>
  <c r="R67" i="45"/>
  <c r="AD67" i="45" s="1"/>
  <c r="AP67" i="45" s="1"/>
  <c r="Q67" i="45"/>
  <c r="AC67" i="45" s="1"/>
  <c r="AO67" i="45" s="1"/>
  <c r="P67" i="45"/>
  <c r="AB67" i="45" s="1"/>
  <c r="AN67" i="45" s="1"/>
  <c r="O67" i="45"/>
  <c r="AA67" i="45" s="1"/>
  <c r="AM67" i="45" s="1"/>
  <c r="BF66" i="45"/>
  <c r="BE66" i="45"/>
  <c r="BD66" i="45"/>
  <c r="BC66" i="45"/>
  <c r="BB66" i="45"/>
  <c r="AW66" i="45"/>
  <c r="AI66" i="45"/>
  <c r="AH66" i="45"/>
  <c r="AG66" i="45"/>
  <c r="AF66" i="45"/>
  <c r="W66" i="45"/>
  <c r="V66" i="45"/>
  <c r="U66" i="45"/>
  <c r="T66" i="45"/>
  <c r="S66" i="45"/>
  <c r="AE66" i="45" s="1"/>
  <c r="AQ66" i="45" s="1"/>
  <c r="R66" i="45"/>
  <c r="AD66" i="45" s="1"/>
  <c r="AP66" i="45" s="1"/>
  <c r="Q66" i="45"/>
  <c r="AC66" i="45" s="1"/>
  <c r="AO66" i="45" s="1"/>
  <c r="P66" i="45"/>
  <c r="AB66" i="45" s="1"/>
  <c r="AN66" i="45" s="1"/>
  <c r="O66" i="45"/>
  <c r="AA66" i="45" s="1"/>
  <c r="AM66" i="45" s="1"/>
  <c r="BF65" i="45"/>
  <c r="BE65" i="45"/>
  <c r="BD65" i="45"/>
  <c r="BC65" i="45"/>
  <c r="BB65" i="45"/>
  <c r="AW65" i="45"/>
  <c r="AI65" i="45"/>
  <c r="AH65" i="45"/>
  <c r="AG65" i="45"/>
  <c r="AF65" i="45"/>
  <c r="W65" i="45"/>
  <c r="V65" i="45"/>
  <c r="U65" i="45"/>
  <c r="T65" i="45"/>
  <c r="S65" i="45"/>
  <c r="R65" i="45"/>
  <c r="AD65" i="45" s="1"/>
  <c r="AP65" i="45" s="1"/>
  <c r="Q65" i="45"/>
  <c r="AC65" i="45" s="1"/>
  <c r="AO65" i="45" s="1"/>
  <c r="P65" i="45"/>
  <c r="AB65" i="45" s="1"/>
  <c r="AN65" i="45" s="1"/>
  <c r="O65" i="45"/>
  <c r="AA65" i="45" s="1"/>
  <c r="AM65" i="45" s="1"/>
  <c r="BF64" i="45"/>
  <c r="BE64" i="45"/>
  <c r="BD64" i="45"/>
  <c r="BC64" i="45"/>
  <c r="BB64" i="45"/>
  <c r="AW64" i="45"/>
  <c r="AI64" i="45"/>
  <c r="AH64" i="45"/>
  <c r="AG64" i="45"/>
  <c r="AF64" i="45"/>
  <c r="K115" i="45" s="1"/>
  <c r="W64" i="45"/>
  <c r="V64" i="45"/>
  <c r="U64" i="45"/>
  <c r="T64" i="45"/>
  <c r="S64" i="45"/>
  <c r="AE64" i="45" s="1"/>
  <c r="AQ64" i="45" s="1"/>
  <c r="R64" i="45"/>
  <c r="Q64" i="45"/>
  <c r="AC64" i="45" s="1"/>
  <c r="AO64" i="45" s="1"/>
  <c r="P64" i="45"/>
  <c r="AB64" i="45" s="1"/>
  <c r="AN64" i="45" s="1"/>
  <c r="O64" i="45"/>
  <c r="AA64" i="45" s="1"/>
  <c r="AM64" i="45" s="1"/>
  <c r="BF63" i="45"/>
  <c r="BE63" i="45"/>
  <c r="BD63" i="45"/>
  <c r="BC63" i="45"/>
  <c r="BB63" i="45"/>
  <c r="AW63" i="45"/>
  <c r="AI63" i="45"/>
  <c r="AH63" i="45"/>
  <c r="AG63" i="45"/>
  <c r="AF63" i="45"/>
  <c r="W63" i="45"/>
  <c r="V63" i="45"/>
  <c r="U63" i="45"/>
  <c r="T63" i="45"/>
  <c r="S63" i="45"/>
  <c r="AE63" i="45" s="1"/>
  <c r="AQ63" i="45" s="1"/>
  <c r="R63" i="45"/>
  <c r="AD63" i="45" s="1"/>
  <c r="AP63" i="45" s="1"/>
  <c r="Q63" i="45"/>
  <c r="P63" i="45"/>
  <c r="AB63" i="45" s="1"/>
  <c r="AN63" i="45" s="1"/>
  <c r="O63" i="45"/>
  <c r="AA63" i="45" s="1"/>
  <c r="AM63" i="45" s="1"/>
  <c r="BF62" i="45"/>
  <c r="BE62" i="45"/>
  <c r="BD62" i="45"/>
  <c r="BC62" i="45"/>
  <c r="BB62" i="45"/>
  <c r="AW62" i="45"/>
  <c r="AI62" i="45"/>
  <c r="AH62" i="45"/>
  <c r="AG62" i="45"/>
  <c r="AF62" i="45"/>
  <c r="W62" i="45"/>
  <c r="V62" i="45"/>
  <c r="U62" i="45"/>
  <c r="T62" i="45"/>
  <c r="S62" i="45"/>
  <c r="AE62" i="45" s="1"/>
  <c r="AQ62" i="45" s="1"/>
  <c r="R62" i="45"/>
  <c r="AD62" i="45" s="1"/>
  <c r="AP62" i="45" s="1"/>
  <c r="Q62" i="45"/>
  <c r="AC62" i="45" s="1"/>
  <c r="AO62" i="45" s="1"/>
  <c r="P62" i="45"/>
  <c r="AB62" i="45" s="1"/>
  <c r="AN62" i="45" s="1"/>
  <c r="O62" i="45"/>
  <c r="BF61" i="45"/>
  <c r="BE61" i="45"/>
  <c r="BD61" i="45"/>
  <c r="BC61" i="45"/>
  <c r="BB61" i="45"/>
  <c r="AW61" i="45"/>
  <c r="AI61" i="45"/>
  <c r="AH61" i="45"/>
  <c r="AG61" i="45"/>
  <c r="AF61" i="45"/>
  <c r="W61" i="45"/>
  <c r="V61" i="45"/>
  <c r="U61" i="45"/>
  <c r="T61" i="45"/>
  <c r="S61" i="45"/>
  <c r="AE61" i="45" s="1"/>
  <c r="AQ61" i="45" s="1"/>
  <c r="R61" i="45"/>
  <c r="AD61" i="45" s="1"/>
  <c r="AP61" i="45" s="1"/>
  <c r="Q61" i="45"/>
  <c r="AC61" i="45" s="1"/>
  <c r="AO61" i="45" s="1"/>
  <c r="P61" i="45"/>
  <c r="AB61" i="45" s="1"/>
  <c r="AN61" i="45" s="1"/>
  <c r="O61" i="45"/>
  <c r="BF60" i="45"/>
  <c r="BE60" i="45"/>
  <c r="BD60" i="45"/>
  <c r="BC60" i="45"/>
  <c r="BB60" i="45"/>
  <c r="AW60" i="45"/>
  <c r="AI60" i="45"/>
  <c r="AH60" i="45"/>
  <c r="AG60" i="45"/>
  <c r="AF60" i="45"/>
  <c r="W60" i="45"/>
  <c r="V60" i="45"/>
  <c r="U60" i="45"/>
  <c r="T60" i="45"/>
  <c r="S60" i="45"/>
  <c r="AE60" i="45" s="1"/>
  <c r="AQ60" i="45" s="1"/>
  <c r="R60" i="45"/>
  <c r="AD60" i="45" s="1"/>
  <c r="AP60" i="45" s="1"/>
  <c r="Q60" i="45"/>
  <c r="AC60" i="45" s="1"/>
  <c r="AO60" i="45" s="1"/>
  <c r="P60" i="45"/>
  <c r="AB60" i="45" s="1"/>
  <c r="AN60" i="45" s="1"/>
  <c r="O60" i="45"/>
  <c r="AA60" i="45" s="1"/>
  <c r="AM60" i="45" s="1"/>
  <c r="BF59" i="45"/>
  <c r="BE59" i="45"/>
  <c r="BD59" i="45"/>
  <c r="BC59" i="45"/>
  <c r="BB59" i="45"/>
  <c r="AW59" i="45"/>
  <c r="AI59" i="45"/>
  <c r="AH59" i="45"/>
  <c r="AG59" i="45"/>
  <c r="AF59" i="45"/>
  <c r="W59" i="45"/>
  <c r="V59" i="45"/>
  <c r="U59" i="45"/>
  <c r="T59" i="45"/>
  <c r="S59" i="45"/>
  <c r="AE59" i="45" s="1"/>
  <c r="AQ59" i="45" s="1"/>
  <c r="R59" i="45"/>
  <c r="AD59" i="45" s="1"/>
  <c r="AP59" i="45" s="1"/>
  <c r="Q59" i="45"/>
  <c r="AC59" i="45" s="1"/>
  <c r="AO59" i="45" s="1"/>
  <c r="P59" i="45"/>
  <c r="AB59" i="45" s="1"/>
  <c r="AN59" i="45" s="1"/>
  <c r="O59" i="45"/>
  <c r="AA59" i="45" s="1"/>
  <c r="AM59" i="45" s="1"/>
  <c r="BF58" i="45"/>
  <c r="BE58" i="45"/>
  <c r="BD58" i="45"/>
  <c r="BC58" i="45"/>
  <c r="BB58" i="45"/>
  <c r="AW58" i="45"/>
  <c r="AI58" i="45"/>
  <c r="AH58" i="45"/>
  <c r="AG58" i="45"/>
  <c r="AF58" i="45"/>
  <c r="W58" i="45"/>
  <c r="V58" i="45"/>
  <c r="U58" i="45"/>
  <c r="T58" i="45"/>
  <c r="S58" i="45"/>
  <c r="AE58" i="45" s="1"/>
  <c r="AQ58" i="45" s="1"/>
  <c r="R58" i="45"/>
  <c r="AD58" i="45" s="1"/>
  <c r="AP58" i="45" s="1"/>
  <c r="Q58" i="45"/>
  <c r="AC58" i="45" s="1"/>
  <c r="AO58" i="45" s="1"/>
  <c r="P58" i="45"/>
  <c r="AB58" i="45" s="1"/>
  <c r="AN58" i="45" s="1"/>
  <c r="O58" i="45"/>
  <c r="AA58" i="45" s="1"/>
  <c r="AM58" i="45" s="1"/>
  <c r="BF57" i="45"/>
  <c r="BE57" i="45"/>
  <c r="BD57" i="45"/>
  <c r="BC57" i="45"/>
  <c r="BB57" i="45"/>
  <c r="AW57" i="45"/>
  <c r="AI57" i="45"/>
  <c r="AH57" i="45"/>
  <c r="AG57" i="45"/>
  <c r="AF57" i="45"/>
  <c r="W57" i="45"/>
  <c r="V57" i="45"/>
  <c r="U57" i="45"/>
  <c r="T57" i="45"/>
  <c r="S57" i="45"/>
  <c r="AE57" i="45" s="1"/>
  <c r="AQ57" i="45" s="1"/>
  <c r="R57" i="45"/>
  <c r="AD57" i="45" s="1"/>
  <c r="AP57" i="45" s="1"/>
  <c r="Q57" i="45"/>
  <c r="AC57" i="45" s="1"/>
  <c r="AO57" i="45" s="1"/>
  <c r="P57" i="45"/>
  <c r="AB57" i="45" s="1"/>
  <c r="AN57" i="45" s="1"/>
  <c r="O57" i="45"/>
  <c r="AA57" i="45" s="1"/>
  <c r="AM57" i="45" s="1"/>
  <c r="BF56" i="45"/>
  <c r="BE56" i="45"/>
  <c r="BD56" i="45"/>
  <c r="BC56" i="45"/>
  <c r="BB56" i="45"/>
  <c r="AW56" i="45"/>
  <c r="AI56" i="45"/>
  <c r="AH56" i="45"/>
  <c r="AG56" i="45"/>
  <c r="AF56" i="45"/>
  <c r="W56" i="45"/>
  <c r="V56" i="45"/>
  <c r="U56" i="45"/>
  <c r="T56" i="45"/>
  <c r="S56" i="45"/>
  <c r="AE56" i="45" s="1"/>
  <c r="AQ56" i="45" s="1"/>
  <c r="R56" i="45"/>
  <c r="Q56" i="45"/>
  <c r="AC56" i="45" s="1"/>
  <c r="AO56" i="45" s="1"/>
  <c r="P56" i="45"/>
  <c r="AB56" i="45" s="1"/>
  <c r="AN56" i="45" s="1"/>
  <c r="O56" i="45"/>
  <c r="AA56" i="45" s="1"/>
  <c r="AM56" i="45" s="1"/>
  <c r="BF55" i="45"/>
  <c r="BE55" i="45"/>
  <c r="BD55" i="45"/>
  <c r="BC55" i="45"/>
  <c r="BB55" i="45"/>
  <c r="AW55" i="45"/>
  <c r="AI55" i="45"/>
  <c r="AH55" i="45"/>
  <c r="AG55" i="45"/>
  <c r="AF55" i="45"/>
  <c r="W55" i="45"/>
  <c r="V55" i="45"/>
  <c r="U55" i="45"/>
  <c r="T55" i="45"/>
  <c r="S55" i="45"/>
  <c r="AE55" i="45" s="1"/>
  <c r="AQ55" i="45" s="1"/>
  <c r="R55" i="45"/>
  <c r="AD55" i="45" s="1"/>
  <c r="AP55" i="45" s="1"/>
  <c r="Q55" i="45"/>
  <c r="P55" i="45"/>
  <c r="AB55" i="45" s="1"/>
  <c r="AN55" i="45" s="1"/>
  <c r="O55" i="45"/>
  <c r="AA55" i="45" s="1"/>
  <c r="AM55" i="45" s="1"/>
  <c r="BF54" i="45"/>
  <c r="BE54" i="45"/>
  <c r="BD54" i="45"/>
  <c r="BC54" i="45"/>
  <c r="BB54" i="45"/>
  <c r="AW54" i="45"/>
  <c r="AI54" i="45"/>
  <c r="AH54" i="45"/>
  <c r="AG54" i="45"/>
  <c r="AF54" i="45"/>
  <c r="W54" i="45"/>
  <c r="V54" i="45"/>
  <c r="U54" i="45"/>
  <c r="T54" i="45"/>
  <c r="S54" i="45"/>
  <c r="AE54" i="45" s="1"/>
  <c r="AQ54" i="45" s="1"/>
  <c r="R54" i="45"/>
  <c r="AD54" i="45" s="1"/>
  <c r="AP54" i="45" s="1"/>
  <c r="Q54" i="45"/>
  <c r="AC54" i="45" s="1"/>
  <c r="AO54" i="45" s="1"/>
  <c r="P54" i="45"/>
  <c r="AB54" i="45" s="1"/>
  <c r="AN54" i="45" s="1"/>
  <c r="O54" i="45"/>
  <c r="AA54" i="45" s="1"/>
  <c r="AM54" i="45" s="1"/>
  <c r="BF53" i="45"/>
  <c r="BE53" i="45"/>
  <c r="BD53" i="45"/>
  <c r="BC53" i="45"/>
  <c r="BB53" i="45"/>
  <c r="AW53" i="45"/>
  <c r="AI53" i="45"/>
  <c r="AH53" i="45"/>
  <c r="AG53" i="45"/>
  <c r="AF53" i="45"/>
  <c r="K104" i="45" s="1"/>
  <c r="W53" i="45"/>
  <c r="V53" i="45"/>
  <c r="U53" i="45"/>
  <c r="T53" i="45"/>
  <c r="S53" i="45"/>
  <c r="AE53" i="45" s="1"/>
  <c r="AQ53" i="45" s="1"/>
  <c r="R53" i="45"/>
  <c r="AD53" i="45" s="1"/>
  <c r="AP53" i="45" s="1"/>
  <c r="Q53" i="45"/>
  <c r="AC53" i="45" s="1"/>
  <c r="AO53" i="45" s="1"/>
  <c r="P53" i="45"/>
  <c r="AB53" i="45" s="1"/>
  <c r="AN53" i="45" s="1"/>
  <c r="O53" i="45"/>
  <c r="AA53" i="45" s="1"/>
  <c r="AM53" i="45" s="1"/>
  <c r="BF52" i="45"/>
  <c r="BE52" i="45"/>
  <c r="BD52" i="45"/>
  <c r="BC52" i="45"/>
  <c r="BB52" i="45"/>
  <c r="AW52" i="45"/>
  <c r="AI52" i="45"/>
  <c r="AH52" i="45"/>
  <c r="AG52" i="45"/>
  <c r="AF52" i="45"/>
  <c r="W52" i="45"/>
  <c r="V52" i="45"/>
  <c r="U52" i="45"/>
  <c r="T52" i="45"/>
  <c r="S52" i="45"/>
  <c r="AE52" i="45" s="1"/>
  <c r="AQ52" i="45" s="1"/>
  <c r="R52" i="45"/>
  <c r="AD52" i="45" s="1"/>
  <c r="AP52" i="45" s="1"/>
  <c r="Q52" i="45"/>
  <c r="AC52" i="45" s="1"/>
  <c r="AO52" i="45" s="1"/>
  <c r="P52" i="45"/>
  <c r="AB52" i="45" s="1"/>
  <c r="AN52" i="45" s="1"/>
  <c r="O52" i="45"/>
  <c r="AA52" i="45" s="1"/>
  <c r="AM52" i="45" s="1"/>
  <c r="BF51" i="45"/>
  <c r="BE51" i="45"/>
  <c r="BD51" i="45"/>
  <c r="BC51" i="45"/>
  <c r="BB51" i="45"/>
  <c r="AW51" i="45"/>
  <c r="AI51" i="45"/>
  <c r="AH51" i="45"/>
  <c r="AG51" i="45"/>
  <c r="AF51" i="45"/>
  <c r="W51" i="45"/>
  <c r="V51" i="45"/>
  <c r="U51" i="45"/>
  <c r="T51" i="45"/>
  <c r="S51" i="45"/>
  <c r="AE51" i="45" s="1"/>
  <c r="AQ51" i="45" s="1"/>
  <c r="R51" i="45"/>
  <c r="AD51" i="45" s="1"/>
  <c r="AP51" i="45" s="1"/>
  <c r="Q51" i="45"/>
  <c r="AC51" i="45" s="1"/>
  <c r="AO51" i="45" s="1"/>
  <c r="P51" i="45"/>
  <c r="AB51" i="45" s="1"/>
  <c r="AN51" i="45" s="1"/>
  <c r="O51" i="45"/>
  <c r="AA51" i="45" s="1"/>
  <c r="AM51" i="45" s="1"/>
  <c r="BF50" i="45"/>
  <c r="BE50" i="45"/>
  <c r="BD50" i="45"/>
  <c r="BC50" i="45"/>
  <c r="BB50" i="45"/>
  <c r="AW50" i="45"/>
  <c r="AI50" i="45"/>
  <c r="AH50" i="45"/>
  <c r="AG50" i="45"/>
  <c r="AF50" i="45"/>
  <c r="K101" i="45" s="1"/>
  <c r="W50" i="45"/>
  <c r="V50" i="45"/>
  <c r="U50" i="45"/>
  <c r="T50" i="45"/>
  <c r="S50" i="45"/>
  <c r="AE50" i="45" s="1"/>
  <c r="AQ50" i="45" s="1"/>
  <c r="R50" i="45"/>
  <c r="AD50" i="45" s="1"/>
  <c r="AP50" i="45" s="1"/>
  <c r="Q50" i="45"/>
  <c r="AC50" i="45" s="1"/>
  <c r="AO50" i="45" s="1"/>
  <c r="P50" i="45"/>
  <c r="AB50" i="45" s="1"/>
  <c r="AN50" i="45" s="1"/>
  <c r="O50" i="45"/>
  <c r="AA50" i="45" s="1"/>
  <c r="AM50" i="45" s="1"/>
  <c r="BF49" i="45"/>
  <c r="BE49" i="45"/>
  <c r="BD49" i="45"/>
  <c r="BC49" i="45"/>
  <c r="BB49" i="45"/>
  <c r="AW49" i="45"/>
  <c r="AI49" i="45"/>
  <c r="AH49" i="45"/>
  <c r="AG49" i="45"/>
  <c r="AF49" i="45"/>
  <c r="W49" i="45"/>
  <c r="V49" i="45"/>
  <c r="U49" i="45"/>
  <c r="T49" i="45"/>
  <c r="S49" i="45"/>
  <c r="AE49" i="45" s="1"/>
  <c r="AQ49" i="45" s="1"/>
  <c r="R49" i="45"/>
  <c r="AD49" i="45" s="1"/>
  <c r="AP49" i="45" s="1"/>
  <c r="Q49" i="45"/>
  <c r="AC49" i="45" s="1"/>
  <c r="AO49" i="45" s="1"/>
  <c r="P49" i="45"/>
  <c r="AB49" i="45" s="1"/>
  <c r="AN49" i="45" s="1"/>
  <c r="O49" i="45"/>
  <c r="AA49" i="45" s="1"/>
  <c r="AM49" i="45" s="1"/>
  <c r="BF48" i="45"/>
  <c r="BE48" i="45"/>
  <c r="BD48" i="45"/>
  <c r="BC48" i="45"/>
  <c r="BB48" i="45"/>
  <c r="AW48" i="45"/>
  <c r="AI48" i="45"/>
  <c r="AH48" i="45"/>
  <c r="AG48" i="45"/>
  <c r="AF48" i="45"/>
  <c r="W48" i="45"/>
  <c r="V48" i="45"/>
  <c r="U48" i="45"/>
  <c r="T48" i="45"/>
  <c r="S48" i="45"/>
  <c r="AE48" i="45" s="1"/>
  <c r="AQ48" i="45" s="1"/>
  <c r="R48" i="45"/>
  <c r="Q48" i="45"/>
  <c r="AC48" i="45" s="1"/>
  <c r="AO48" i="45" s="1"/>
  <c r="P48" i="45"/>
  <c r="AB48" i="45" s="1"/>
  <c r="AN48" i="45" s="1"/>
  <c r="O48" i="45"/>
  <c r="AA48" i="45" s="1"/>
  <c r="AM48" i="45" s="1"/>
  <c r="BF47" i="45"/>
  <c r="BE47" i="45"/>
  <c r="BD47" i="45"/>
  <c r="BC47" i="45"/>
  <c r="BB47" i="45"/>
  <c r="AW47" i="45"/>
  <c r="AI47" i="45"/>
  <c r="AH47" i="45"/>
  <c r="AG47" i="45"/>
  <c r="AF47" i="45"/>
  <c r="W47" i="45"/>
  <c r="V47" i="45"/>
  <c r="U47" i="45"/>
  <c r="T47" i="45"/>
  <c r="S47" i="45"/>
  <c r="AE47" i="45" s="1"/>
  <c r="AQ47" i="45" s="1"/>
  <c r="R47" i="45"/>
  <c r="AD47" i="45" s="1"/>
  <c r="AP47" i="45" s="1"/>
  <c r="Q47" i="45"/>
  <c r="AC47" i="45" s="1"/>
  <c r="AO47" i="45" s="1"/>
  <c r="P47" i="45"/>
  <c r="AB47" i="45" s="1"/>
  <c r="AN47" i="45" s="1"/>
  <c r="O47" i="45"/>
  <c r="AA47" i="45" s="1"/>
  <c r="AM47" i="45" s="1"/>
  <c r="BF46" i="45"/>
  <c r="BE46" i="45"/>
  <c r="BD46" i="45"/>
  <c r="BC46" i="45"/>
  <c r="BB46" i="45"/>
  <c r="AW46" i="45"/>
  <c r="AI46" i="45"/>
  <c r="AH46" i="45"/>
  <c r="AG46" i="45"/>
  <c r="AF46" i="45"/>
  <c r="W46" i="45"/>
  <c r="V46" i="45"/>
  <c r="U46" i="45"/>
  <c r="T46" i="45"/>
  <c r="S46" i="45"/>
  <c r="AE46" i="45" s="1"/>
  <c r="AQ46" i="45" s="1"/>
  <c r="R46" i="45"/>
  <c r="AD46" i="45" s="1"/>
  <c r="AP46" i="45" s="1"/>
  <c r="Q46" i="45"/>
  <c r="AC46" i="45" s="1"/>
  <c r="AO46" i="45" s="1"/>
  <c r="P46" i="45"/>
  <c r="AB46" i="45" s="1"/>
  <c r="AN46" i="45" s="1"/>
  <c r="O46" i="45"/>
  <c r="AA46" i="45" s="1"/>
  <c r="AM46" i="45" s="1"/>
  <c r="BF45" i="45"/>
  <c r="BE45" i="45"/>
  <c r="BD45" i="45"/>
  <c r="BC45" i="45"/>
  <c r="BB45" i="45"/>
  <c r="AW45" i="45"/>
  <c r="AI45" i="45"/>
  <c r="AH45" i="45"/>
  <c r="AG45" i="45"/>
  <c r="AF45" i="45"/>
  <c r="W45" i="45"/>
  <c r="V45" i="45"/>
  <c r="U45" i="45"/>
  <c r="T45" i="45"/>
  <c r="S45" i="45"/>
  <c r="AE45" i="45" s="1"/>
  <c r="AQ45" i="45" s="1"/>
  <c r="R45" i="45"/>
  <c r="AD45" i="45" s="1"/>
  <c r="AP45" i="45" s="1"/>
  <c r="Q45" i="45"/>
  <c r="AC45" i="45" s="1"/>
  <c r="AO45" i="45" s="1"/>
  <c r="P45" i="45"/>
  <c r="AB45" i="45" s="1"/>
  <c r="AN45" i="45" s="1"/>
  <c r="O45" i="45"/>
  <c r="BF44" i="45"/>
  <c r="BE44" i="45"/>
  <c r="BD44" i="45"/>
  <c r="BC44" i="45"/>
  <c r="BB44" i="45"/>
  <c r="AW44" i="45"/>
  <c r="AI44" i="45"/>
  <c r="AH44" i="45"/>
  <c r="AG44" i="45"/>
  <c r="AF44" i="45"/>
  <c r="W44" i="45"/>
  <c r="V44" i="45"/>
  <c r="U44" i="45"/>
  <c r="T44" i="45"/>
  <c r="S44" i="45"/>
  <c r="AE44" i="45" s="1"/>
  <c r="AQ44" i="45" s="1"/>
  <c r="R44" i="45"/>
  <c r="AD44" i="45" s="1"/>
  <c r="AP44" i="45" s="1"/>
  <c r="Q44" i="45"/>
  <c r="AC44" i="45" s="1"/>
  <c r="AO44" i="45" s="1"/>
  <c r="P44" i="45"/>
  <c r="AB44" i="45" s="1"/>
  <c r="AN44" i="45" s="1"/>
  <c r="O44" i="45"/>
  <c r="AA44" i="45" s="1"/>
  <c r="AM44" i="45" s="1"/>
  <c r="BF43" i="45"/>
  <c r="BE43" i="45"/>
  <c r="BD43" i="45"/>
  <c r="BC43" i="45"/>
  <c r="BB43" i="45"/>
  <c r="AW43" i="45"/>
  <c r="AI43" i="45"/>
  <c r="AH43" i="45"/>
  <c r="AG43" i="45"/>
  <c r="AF43" i="45"/>
  <c r="W43" i="45"/>
  <c r="V43" i="45"/>
  <c r="U43" i="45"/>
  <c r="T43" i="45"/>
  <c r="S43" i="45"/>
  <c r="AE43" i="45" s="1"/>
  <c r="AQ43" i="45" s="1"/>
  <c r="R43" i="45"/>
  <c r="AD43" i="45" s="1"/>
  <c r="AP43" i="45" s="1"/>
  <c r="Q43" i="45"/>
  <c r="AC43" i="45" s="1"/>
  <c r="AO43" i="45" s="1"/>
  <c r="P43" i="45"/>
  <c r="AB43" i="45" s="1"/>
  <c r="AN43" i="45" s="1"/>
  <c r="O43" i="45"/>
  <c r="AA43" i="45" s="1"/>
  <c r="AM43" i="45" s="1"/>
  <c r="BF42" i="45"/>
  <c r="BE42" i="45"/>
  <c r="BD42" i="45"/>
  <c r="BC42" i="45"/>
  <c r="BB42" i="45"/>
  <c r="AW42" i="45"/>
  <c r="AI42" i="45"/>
  <c r="AH42" i="45"/>
  <c r="AG42" i="45"/>
  <c r="AF42" i="45"/>
  <c r="W42" i="45"/>
  <c r="V42" i="45"/>
  <c r="U42" i="45"/>
  <c r="T42" i="45"/>
  <c r="S42" i="45"/>
  <c r="AE42" i="45" s="1"/>
  <c r="AQ42" i="45" s="1"/>
  <c r="R42" i="45"/>
  <c r="AD42" i="45" s="1"/>
  <c r="AP42" i="45" s="1"/>
  <c r="Q42" i="45"/>
  <c r="AC42" i="45" s="1"/>
  <c r="AO42" i="45" s="1"/>
  <c r="P42" i="45"/>
  <c r="AB42" i="45" s="1"/>
  <c r="AN42" i="45" s="1"/>
  <c r="O42" i="45"/>
  <c r="AA42" i="45" s="1"/>
  <c r="AM42" i="45" s="1"/>
  <c r="BF41" i="45"/>
  <c r="BE41" i="45"/>
  <c r="BD41" i="45"/>
  <c r="BC41" i="45"/>
  <c r="BB41" i="45"/>
  <c r="AW41" i="45"/>
  <c r="AI41" i="45"/>
  <c r="AH41" i="45"/>
  <c r="AG41" i="45"/>
  <c r="AF41" i="45"/>
  <c r="W41" i="45"/>
  <c r="V41" i="45"/>
  <c r="U41" i="45"/>
  <c r="T41" i="45"/>
  <c r="S41" i="45"/>
  <c r="AE41" i="45" s="1"/>
  <c r="AQ41" i="45" s="1"/>
  <c r="R41" i="45"/>
  <c r="AD41" i="45" s="1"/>
  <c r="AP41" i="45" s="1"/>
  <c r="Q41" i="45"/>
  <c r="AC41" i="45" s="1"/>
  <c r="AO41" i="45" s="1"/>
  <c r="P41" i="45"/>
  <c r="AB41" i="45" s="1"/>
  <c r="AN41" i="45" s="1"/>
  <c r="O41" i="45"/>
  <c r="AA41" i="45" s="1"/>
  <c r="AM41" i="45" s="1"/>
  <c r="BF40" i="45"/>
  <c r="BE40" i="45"/>
  <c r="BD40" i="45"/>
  <c r="BC40" i="45"/>
  <c r="BB40" i="45"/>
  <c r="AW40" i="45"/>
  <c r="AI40" i="45"/>
  <c r="AH40" i="45"/>
  <c r="AG40" i="45"/>
  <c r="AF40" i="45"/>
  <c r="W40" i="45"/>
  <c r="V40" i="45"/>
  <c r="U40" i="45"/>
  <c r="T40" i="45"/>
  <c r="S40" i="45"/>
  <c r="AE40" i="45" s="1"/>
  <c r="AQ40" i="45" s="1"/>
  <c r="R40" i="45"/>
  <c r="Q40" i="45"/>
  <c r="AC40" i="45" s="1"/>
  <c r="AO40" i="45" s="1"/>
  <c r="P40" i="45"/>
  <c r="AB40" i="45" s="1"/>
  <c r="AN40" i="45" s="1"/>
  <c r="O40" i="45"/>
  <c r="AA40" i="45" s="1"/>
  <c r="AM40" i="45" s="1"/>
  <c r="BF39" i="45"/>
  <c r="BE39" i="45"/>
  <c r="BD39" i="45"/>
  <c r="BC39" i="45"/>
  <c r="BB39" i="45"/>
  <c r="AW39" i="45"/>
  <c r="AI39" i="45"/>
  <c r="AH39" i="45"/>
  <c r="AG39" i="45"/>
  <c r="AF39" i="45"/>
  <c r="K90" i="45" s="1"/>
  <c r="W39" i="45"/>
  <c r="V39" i="45"/>
  <c r="U39" i="45"/>
  <c r="T39" i="45"/>
  <c r="S39" i="45"/>
  <c r="AE39" i="45" s="1"/>
  <c r="AQ39" i="45" s="1"/>
  <c r="R39" i="45"/>
  <c r="AD39" i="45" s="1"/>
  <c r="AP39" i="45" s="1"/>
  <c r="Q39" i="45"/>
  <c r="AC39" i="45" s="1"/>
  <c r="AO39" i="45" s="1"/>
  <c r="P39" i="45"/>
  <c r="AB39" i="45" s="1"/>
  <c r="AN39" i="45" s="1"/>
  <c r="O39" i="45"/>
  <c r="AA39" i="45" s="1"/>
  <c r="AM39" i="45" s="1"/>
  <c r="BF38" i="45"/>
  <c r="BE38" i="45"/>
  <c r="BD38" i="45"/>
  <c r="BC38" i="45"/>
  <c r="BB38" i="45"/>
  <c r="AW38" i="45"/>
  <c r="AI38" i="45"/>
  <c r="AH38" i="45"/>
  <c r="AG38" i="45"/>
  <c r="AF38" i="45"/>
  <c r="W38" i="45"/>
  <c r="V38" i="45"/>
  <c r="U38" i="45"/>
  <c r="T38" i="45"/>
  <c r="S38" i="45"/>
  <c r="AE38" i="45" s="1"/>
  <c r="AQ38" i="45" s="1"/>
  <c r="R38" i="45"/>
  <c r="AD38" i="45" s="1"/>
  <c r="AP38" i="45" s="1"/>
  <c r="Q38" i="45"/>
  <c r="AC38" i="45" s="1"/>
  <c r="AO38" i="45" s="1"/>
  <c r="P38" i="45"/>
  <c r="O38" i="45"/>
  <c r="AA38" i="45" s="1"/>
  <c r="AM38" i="45" s="1"/>
  <c r="BF37" i="45"/>
  <c r="BE37" i="45"/>
  <c r="BD37" i="45"/>
  <c r="BC37" i="45"/>
  <c r="BB37" i="45"/>
  <c r="AW37" i="45"/>
  <c r="AI37" i="45"/>
  <c r="AH37" i="45"/>
  <c r="AG37" i="45"/>
  <c r="AF37" i="45"/>
  <c r="W37" i="45"/>
  <c r="V37" i="45"/>
  <c r="U37" i="45"/>
  <c r="T37" i="45"/>
  <c r="S37" i="45"/>
  <c r="AE37" i="45" s="1"/>
  <c r="AQ37" i="45" s="1"/>
  <c r="R37" i="45"/>
  <c r="AD37" i="45" s="1"/>
  <c r="AP37" i="45" s="1"/>
  <c r="Q37" i="45"/>
  <c r="AC37" i="45" s="1"/>
  <c r="AO37" i="45" s="1"/>
  <c r="P37" i="45"/>
  <c r="AB37" i="45" s="1"/>
  <c r="AN37" i="45" s="1"/>
  <c r="O37" i="45"/>
  <c r="AA37" i="45" s="1"/>
  <c r="AM37" i="45" s="1"/>
  <c r="BF36" i="45"/>
  <c r="BE36" i="45"/>
  <c r="BD36" i="45"/>
  <c r="BC36" i="45"/>
  <c r="BB36" i="45"/>
  <c r="AW36" i="45"/>
  <c r="AI36" i="45"/>
  <c r="AH36" i="45"/>
  <c r="AG36" i="45"/>
  <c r="AF36" i="45"/>
  <c r="W36" i="45"/>
  <c r="V36" i="45"/>
  <c r="U36" i="45"/>
  <c r="T36" i="45"/>
  <c r="S36" i="45"/>
  <c r="AE36" i="45" s="1"/>
  <c r="AQ36" i="45" s="1"/>
  <c r="R36" i="45"/>
  <c r="AD36" i="45" s="1"/>
  <c r="AP36" i="45" s="1"/>
  <c r="Q36" i="45"/>
  <c r="AC36" i="45" s="1"/>
  <c r="AO36" i="45" s="1"/>
  <c r="P36" i="45"/>
  <c r="AB36" i="45" s="1"/>
  <c r="AN36" i="45" s="1"/>
  <c r="O36" i="45"/>
  <c r="AA36" i="45" s="1"/>
  <c r="AM36" i="45" s="1"/>
  <c r="BF35" i="45"/>
  <c r="BE35" i="45"/>
  <c r="BD35" i="45"/>
  <c r="BC35" i="45"/>
  <c r="BB35" i="45"/>
  <c r="AW35" i="45"/>
  <c r="AI35" i="45"/>
  <c r="AH35" i="45"/>
  <c r="AG35" i="45"/>
  <c r="AF35" i="45"/>
  <c r="W35" i="45"/>
  <c r="V35" i="45"/>
  <c r="U35" i="45"/>
  <c r="T35" i="45"/>
  <c r="S35" i="45"/>
  <c r="AE35" i="45" s="1"/>
  <c r="AQ35" i="45" s="1"/>
  <c r="R35" i="45"/>
  <c r="AD35" i="45" s="1"/>
  <c r="AP35" i="45" s="1"/>
  <c r="Q35" i="45"/>
  <c r="AC35" i="45" s="1"/>
  <c r="AO35" i="45" s="1"/>
  <c r="P35" i="45"/>
  <c r="AB35" i="45" s="1"/>
  <c r="AN35" i="45" s="1"/>
  <c r="O35" i="45"/>
  <c r="AA35" i="45" s="1"/>
  <c r="AM35" i="45" s="1"/>
  <c r="BF34" i="45"/>
  <c r="BE34" i="45"/>
  <c r="BD34" i="45"/>
  <c r="BC34" i="45"/>
  <c r="BB34" i="45"/>
  <c r="AW34" i="45"/>
  <c r="AI34" i="45"/>
  <c r="AH34" i="45"/>
  <c r="AG34" i="45"/>
  <c r="AF34" i="45"/>
  <c r="W34" i="45"/>
  <c r="V34" i="45"/>
  <c r="U34" i="45"/>
  <c r="T34" i="45"/>
  <c r="S34" i="45"/>
  <c r="AE34" i="45" s="1"/>
  <c r="AQ34" i="45" s="1"/>
  <c r="R34" i="45"/>
  <c r="AD34" i="45" s="1"/>
  <c r="AP34" i="45" s="1"/>
  <c r="Q34" i="45"/>
  <c r="AC34" i="45" s="1"/>
  <c r="AO34" i="45" s="1"/>
  <c r="P34" i="45"/>
  <c r="AB34" i="45" s="1"/>
  <c r="AN34" i="45" s="1"/>
  <c r="O34" i="45"/>
  <c r="AA34" i="45" s="1"/>
  <c r="AM34" i="45" s="1"/>
  <c r="BF33" i="45"/>
  <c r="BE33" i="45"/>
  <c r="BD33" i="45"/>
  <c r="BC33" i="45"/>
  <c r="BB33" i="45"/>
  <c r="AW33" i="45"/>
  <c r="AI33" i="45"/>
  <c r="AH33" i="45"/>
  <c r="AG33" i="45"/>
  <c r="AF33" i="45"/>
  <c r="W33" i="45"/>
  <c r="V33" i="45"/>
  <c r="U33" i="45"/>
  <c r="T33" i="45"/>
  <c r="S33" i="45"/>
  <c r="R33" i="45"/>
  <c r="AD33" i="45" s="1"/>
  <c r="AP33" i="45" s="1"/>
  <c r="Q33" i="45"/>
  <c r="AC33" i="45" s="1"/>
  <c r="AO33" i="45" s="1"/>
  <c r="P33" i="45"/>
  <c r="AB33" i="45" s="1"/>
  <c r="AN33" i="45" s="1"/>
  <c r="O33" i="45"/>
  <c r="AA33" i="45" s="1"/>
  <c r="AM33" i="45" s="1"/>
  <c r="BF32" i="45"/>
  <c r="BE32" i="45"/>
  <c r="BD32" i="45"/>
  <c r="BC32" i="45"/>
  <c r="BB32" i="45"/>
  <c r="AW32" i="45"/>
  <c r="AI32" i="45"/>
  <c r="AH32" i="45"/>
  <c r="AG32" i="45"/>
  <c r="AF32" i="45"/>
  <c r="K83" i="45" s="1"/>
  <c r="X83" i="45" s="1"/>
  <c r="W32" i="45"/>
  <c r="V32" i="45"/>
  <c r="U32" i="45"/>
  <c r="T32" i="45"/>
  <c r="S32" i="45"/>
  <c r="AE32" i="45" s="1"/>
  <c r="AQ32" i="45" s="1"/>
  <c r="R32" i="45"/>
  <c r="Q32" i="45"/>
  <c r="AC32" i="45" s="1"/>
  <c r="AO32" i="45" s="1"/>
  <c r="P32" i="45"/>
  <c r="AB32" i="45" s="1"/>
  <c r="AN32" i="45" s="1"/>
  <c r="O32" i="45"/>
  <c r="AA32" i="45" s="1"/>
  <c r="AM32" i="45" s="1"/>
  <c r="BF31" i="45"/>
  <c r="BE31" i="45"/>
  <c r="BD31" i="45"/>
  <c r="BC31" i="45"/>
  <c r="BB31" i="45"/>
  <c r="AW31" i="45"/>
  <c r="AI31" i="45"/>
  <c r="AH31" i="45"/>
  <c r="AG31" i="45"/>
  <c r="AF31" i="45"/>
  <c r="W31" i="45"/>
  <c r="V31" i="45"/>
  <c r="U31" i="45"/>
  <c r="T31" i="45"/>
  <c r="S31" i="45"/>
  <c r="AE31" i="45" s="1"/>
  <c r="AQ31" i="45" s="1"/>
  <c r="R31" i="45"/>
  <c r="AD31" i="45" s="1"/>
  <c r="AP31" i="45" s="1"/>
  <c r="Q31" i="45"/>
  <c r="AC31" i="45" s="1"/>
  <c r="AO31" i="45" s="1"/>
  <c r="P31" i="45"/>
  <c r="AB31" i="45" s="1"/>
  <c r="AN31" i="45" s="1"/>
  <c r="O31" i="45"/>
  <c r="AA31" i="45" s="1"/>
  <c r="AM31" i="45" s="1"/>
  <c r="BF30" i="45"/>
  <c r="BE30" i="45"/>
  <c r="BD30" i="45"/>
  <c r="BC30" i="45"/>
  <c r="BB30" i="45"/>
  <c r="AW30" i="45"/>
  <c r="AI30" i="45"/>
  <c r="AH30" i="45"/>
  <c r="AG30" i="45"/>
  <c r="AF30" i="45"/>
  <c r="K81" i="45" s="1"/>
  <c r="W30" i="45"/>
  <c r="V30" i="45"/>
  <c r="U30" i="45"/>
  <c r="T30" i="45"/>
  <c r="S30" i="45"/>
  <c r="AE30" i="45" s="1"/>
  <c r="AQ30" i="45" s="1"/>
  <c r="R30" i="45"/>
  <c r="AD30" i="45" s="1"/>
  <c r="AP30" i="45" s="1"/>
  <c r="Q30" i="45"/>
  <c r="AC30" i="45" s="1"/>
  <c r="AO30" i="45" s="1"/>
  <c r="P30" i="45"/>
  <c r="AB30" i="45" s="1"/>
  <c r="AN30" i="45" s="1"/>
  <c r="O30" i="45"/>
  <c r="AA30" i="45" s="1"/>
  <c r="AM30" i="45" s="1"/>
  <c r="BF29" i="45"/>
  <c r="BE29" i="45"/>
  <c r="BD29" i="45"/>
  <c r="BC29" i="45"/>
  <c r="BB29" i="45"/>
  <c r="AW29" i="45"/>
  <c r="AI29" i="45"/>
  <c r="AH29" i="45"/>
  <c r="AG29" i="45"/>
  <c r="AF29" i="45"/>
  <c r="W29" i="45"/>
  <c r="V29" i="45"/>
  <c r="U29" i="45"/>
  <c r="T29" i="45"/>
  <c r="S29" i="45"/>
  <c r="AE29" i="45" s="1"/>
  <c r="AQ29" i="45" s="1"/>
  <c r="R29" i="45"/>
  <c r="AD29" i="45" s="1"/>
  <c r="AP29" i="45" s="1"/>
  <c r="Q29" i="45"/>
  <c r="AC29" i="45" s="1"/>
  <c r="AO29" i="45" s="1"/>
  <c r="P29" i="45"/>
  <c r="AB29" i="45" s="1"/>
  <c r="AN29" i="45" s="1"/>
  <c r="O29" i="45"/>
  <c r="S27" i="45"/>
  <c r="R27" i="45"/>
  <c r="AD27" i="45" s="1"/>
  <c r="Q27" i="45"/>
  <c r="AC27" i="45" s="1"/>
  <c r="P27" i="45"/>
  <c r="AB27" i="45" s="1"/>
  <c r="O27" i="45"/>
  <c r="AA27" i="45" s="1"/>
  <c r="AK25" i="45"/>
  <c r="Y25" i="45"/>
  <c r="M25" i="45"/>
  <c r="A25" i="45"/>
  <c r="A1" i="45"/>
  <c r="P196" i="43"/>
  <c r="P197" i="43"/>
  <c r="P198" i="43"/>
  <c r="P199" i="43"/>
  <c r="P200" i="43"/>
  <c r="P201" i="43"/>
  <c r="P202" i="43"/>
  <c r="P203" i="43"/>
  <c r="P204" i="43"/>
  <c r="P205" i="43"/>
  <c r="P206" i="43"/>
  <c r="P207" i="43"/>
  <c r="P208" i="43"/>
  <c r="P209" i="43"/>
  <c r="P210" i="43"/>
  <c r="P211" i="43"/>
  <c r="P212" i="43"/>
  <c r="P213" i="43"/>
  <c r="P214" i="43"/>
  <c r="P215" i="43"/>
  <c r="P216" i="43"/>
  <c r="P217" i="43"/>
  <c r="P218" i="43"/>
  <c r="P219" i="43"/>
  <c r="P220" i="43"/>
  <c r="P221" i="43"/>
  <c r="P222" i="43"/>
  <c r="P223" i="43"/>
  <c r="P224" i="43"/>
  <c r="P225" i="43"/>
  <c r="P226" i="43"/>
  <c r="P227" i="43"/>
  <c r="P228" i="43"/>
  <c r="P229" i="43"/>
  <c r="P230" i="43"/>
  <c r="P231" i="43"/>
  <c r="P232" i="43"/>
  <c r="P233" i="43"/>
  <c r="P234" i="43"/>
  <c r="P235" i="43"/>
  <c r="P236" i="43"/>
  <c r="P237" i="43"/>
  <c r="P238" i="43"/>
  <c r="P239" i="43"/>
  <c r="P240" i="43"/>
  <c r="P195" i="43"/>
  <c r="AJ137" i="43"/>
  <c r="AJ138" i="43"/>
  <c r="AJ139" i="43"/>
  <c r="AJ140" i="43"/>
  <c r="AJ141" i="43"/>
  <c r="AJ142" i="43"/>
  <c r="AJ143" i="43"/>
  <c r="AJ144" i="43"/>
  <c r="AJ145" i="43"/>
  <c r="AJ146" i="43"/>
  <c r="AJ147" i="43"/>
  <c r="AJ148" i="43"/>
  <c r="AJ149" i="43"/>
  <c r="AJ150" i="43"/>
  <c r="AJ151" i="43"/>
  <c r="AJ152" i="43"/>
  <c r="AJ153" i="43"/>
  <c r="AJ154" i="43"/>
  <c r="AJ155" i="43"/>
  <c r="AJ156" i="43"/>
  <c r="AJ157" i="43"/>
  <c r="AJ158" i="43"/>
  <c r="AJ159" i="43"/>
  <c r="AJ160" i="43"/>
  <c r="AJ161" i="43"/>
  <c r="AJ162" i="43"/>
  <c r="AJ163" i="43"/>
  <c r="AJ164" i="43"/>
  <c r="AJ165" i="43"/>
  <c r="AJ166" i="43"/>
  <c r="AJ167" i="43"/>
  <c r="AJ168" i="43"/>
  <c r="AJ169" i="43"/>
  <c r="AJ170" i="43"/>
  <c r="AJ171" i="43"/>
  <c r="AJ172" i="43"/>
  <c r="AJ173" i="43"/>
  <c r="AJ174" i="43"/>
  <c r="AJ175" i="43"/>
  <c r="AJ176" i="43"/>
  <c r="AJ177" i="43"/>
  <c r="AJ178" i="43"/>
  <c r="AJ179" i="43"/>
  <c r="AJ180" i="43"/>
  <c r="AJ181" i="43"/>
  <c r="AJ136" i="43"/>
  <c r="W168" i="43"/>
  <c r="V240" i="43"/>
  <c r="AA240" i="43" s="1"/>
  <c r="AG240" i="43" s="1"/>
  <c r="AK240" i="43" s="1"/>
  <c r="V239" i="43"/>
  <c r="AA239" i="43" s="1"/>
  <c r="AG239" i="43" s="1"/>
  <c r="AK239" i="43" s="1"/>
  <c r="V238" i="43"/>
  <c r="AA238" i="43" s="1"/>
  <c r="AG238" i="43" s="1"/>
  <c r="AK238" i="43" s="1"/>
  <c r="V237" i="43"/>
  <c r="AA237" i="43" s="1"/>
  <c r="AG237" i="43" s="1"/>
  <c r="AK237" i="43" s="1"/>
  <c r="V236" i="43"/>
  <c r="AA236" i="43" s="1"/>
  <c r="AG236" i="43" s="1"/>
  <c r="AK236" i="43" s="1"/>
  <c r="V235" i="43"/>
  <c r="AA235" i="43" s="1"/>
  <c r="AG235" i="43" s="1"/>
  <c r="AK235" i="43" s="1"/>
  <c r="V234" i="43"/>
  <c r="AA234" i="43" s="1"/>
  <c r="AG234" i="43" s="1"/>
  <c r="AK234" i="43" s="1"/>
  <c r="V233" i="43"/>
  <c r="AA233" i="43" s="1"/>
  <c r="AG233" i="43" s="1"/>
  <c r="AK233" i="43" s="1"/>
  <c r="V232" i="43"/>
  <c r="AA232" i="43" s="1"/>
  <c r="AG232" i="43" s="1"/>
  <c r="AK232" i="43" s="1"/>
  <c r="V231" i="43"/>
  <c r="AA231" i="43" s="1"/>
  <c r="AG231" i="43" s="1"/>
  <c r="AK231" i="43" s="1"/>
  <c r="V230" i="43"/>
  <c r="AA230" i="43" s="1"/>
  <c r="AG230" i="43" s="1"/>
  <c r="AK230" i="43" s="1"/>
  <c r="V229" i="43"/>
  <c r="AA229" i="43" s="1"/>
  <c r="AG229" i="43" s="1"/>
  <c r="AK229" i="43" s="1"/>
  <c r="V228" i="43"/>
  <c r="AA228" i="43" s="1"/>
  <c r="AG228" i="43" s="1"/>
  <c r="AK228" i="43" s="1"/>
  <c r="V227" i="43"/>
  <c r="AA227" i="43" s="1"/>
  <c r="AG227" i="43" s="1"/>
  <c r="AK227" i="43" s="1"/>
  <c r="V226" i="43"/>
  <c r="AA226" i="43" s="1"/>
  <c r="AG226" i="43" s="1"/>
  <c r="AK226" i="43" s="1"/>
  <c r="V225" i="43"/>
  <c r="AA225" i="43" s="1"/>
  <c r="AG225" i="43" s="1"/>
  <c r="AK225" i="43" s="1"/>
  <c r="V224" i="43"/>
  <c r="AA224" i="43" s="1"/>
  <c r="AG224" i="43" s="1"/>
  <c r="AK224" i="43" s="1"/>
  <c r="V223" i="43"/>
  <c r="AA223" i="43" s="1"/>
  <c r="AG223" i="43" s="1"/>
  <c r="AK223" i="43" s="1"/>
  <c r="V222" i="43"/>
  <c r="AA222" i="43" s="1"/>
  <c r="AG222" i="43" s="1"/>
  <c r="AK222" i="43" s="1"/>
  <c r="V221" i="43"/>
  <c r="AA221" i="43" s="1"/>
  <c r="AG221" i="43" s="1"/>
  <c r="AK221" i="43" s="1"/>
  <c r="V220" i="43"/>
  <c r="AA220" i="43" s="1"/>
  <c r="AG220" i="43" s="1"/>
  <c r="AK220" i="43" s="1"/>
  <c r="V219" i="43"/>
  <c r="AA219" i="43" s="1"/>
  <c r="AG219" i="43" s="1"/>
  <c r="AK219" i="43" s="1"/>
  <c r="V218" i="43"/>
  <c r="AA218" i="43" s="1"/>
  <c r="AG218" i="43" s="1"/>
  <c r="AK218" i="43" s="1"/>
  <c r="V217" i="43"/>
  <c r="AA217" i="43" s="1"/>
  <c r="AG217" i="43" s="1"/>
  <c r="AK217" i="43" s="1"/>
  <c r="V216" i="43"/>
  <c r="AA216" i="43" s="1"/>
  <c r="AG216" i="43" s="1"/>
  <c r="AK216" i="43" s="1"/>
  <c r="V215" i="43"/>
  <c r="AA215" i="43" s="1"/>
  <c r="AG215" i="43" s="1"/>
  <c r="AK215" i="43" s="1"/>
  <c r="V214" i="43"/>
  <c r="AA214" i="43" s="1"/>
  <c r="AG214" i="43" s="1"/>
  <c r="AK214" i="43" s="1"/>
  <c r="V213" i="43"/>
  <c r="AA213" i="43" s="1"/>
  <c r="AG213" i="43" s="1"/>
  <c r="AK213" i="43" s="1"/>
  <c r="V212" i="43"/>
  <c r="AA212" i="43" s="1"/>
  <c r="AG212" i="43" s="1"/>
  <c r="AK212" i="43" s="1"/>
  <c r="V211" i="43"/>
  <c r="AA211" i="43" s="1"/>
  <c r="AG211" i="43" s="1"/>
  <c r="AK211" i="43" s="1"/>
  <c r="V210" i="43"/>
  <c r="AA210" i="43" s="1"/>
  <c r="AG210" i="43" s="1"/>
  <c r="AK210" i="43" s="1"/>
  <c r="V209" i="43"/>
  <c r="AA209" i="43" s="1"/>
  <c r="AG209" i="43" s="1"/>
  <c r="AK209" i="43" s="1"/>
  <c r="V208" i="43"/>
  <c r="AA208" i="43" s="1"/>
  <c r="AG208" i="43" s="1"/>
  <c r="AK208" i="43" s="1"/>
  <c r="V207" i="43"/>
  <c r="AA207" i="43" s="1"/>
  <c r="AG207" i="43" s="1"/>
  <c r="AK207" i="43" s="1"/>
  <c r="V206" i="43"/>
  <c r="AA206" i="43" s="1"/>
  <c r="AG206" i="43" s="1"/>
  <c r="AK206" i="43" s="1"/>
  <c r="V205" i="43"/>
  <c r="AA205" i="43" s="1"/>
  <c r="AG205" i="43" s="1"/>
  <c r="AK205" i="43" s="1"/>
  <c r="V204" i="43"/>
  <c r="AA204" i="43" s="1"/>
  <c r="AG204" i="43" s="1"/>
  <c r="AK204" i="43" s="1"/>
  <c r="V203" i="43"/>
  <c r="AA203" i="43" s="1"/>
  <c r="AG203" i="43" s="1"/>
  <c r="AK203" i="43" s="1"/>
  <c r="V202" i="43"/>
  <c r="AA202" i="43" s="1"/>
  <c r="AG202" i="43" s="1"/>
  <c r="AK202" i="43" s="1"/>
  <c r="V201" i="43"/>
  <c r="AA201" i="43" s="1"/>
  <c r="AG201" i="43" s="1"/>
  <c r="AK201" i="43" s="1"/>
  <c r="V200" i="43"/>
  <c r="AA200" i="43" s="1"/>
  <c r="V199" i="43"/>
  <c r="AA199" i="43" s="1"/>
  <c r="AG199" i="43" s="1"/>
  <c r="AK199" i="43" s="1"/>
  <c r="V198" i="43"/>
  <c r="AA198" i="43" s="1"/>
  <c r="AG198" i="43" s="1"/>
  <c r="AK198" i="43" s="1"/>
  <c r="V197" i="43"/>
  <c r="AA197" i="43" s="1"/>
  <c r="AG197" i="43" s="1"/>
  <c r="AK197" i="43" s="1"/>
  <c r="V196" i="43"/>
  <c r="AA196" i="43" s="1"/>
  <c r="AG196" i="43" s="1"/>
  <c r="AK196" i="43" s="1"/>
  <c r="V195" i="43"/>
  <c r="AA195" i="43" s="1"/>
  <c r="AA194" i="43"/>
  <c r="AG194" i="43" s="1"/>
  <c r="AK194" i="43" s="1"/>
  <c r="Z194" i="43"/>
  <c r="AJ194" i="43" s="1"/>
  <c r="AP181" i="43"/>
  <c r="AY181" i="43" s="1"/>
  <c r="AC181" i="43"/>
  <c r="AP180" i="43"/>
  <c r="AY180" i="43" s="1"/>
  <c r="AC180" i="43"/>
  <c r="AP179" i="43"/>
  <c r="AY179" i="43" s="1"/>
  <c r="AC179" i="43"/>
  <c r="AP178" i="43"/>
  <c r="AY178" i="43" s="1"/>
  <c r="AC178" i="43"/>
  <c r="AP177" i="43"/>
  <c r="AY177" i="43" s="1"/>
  <c r="AC177" i="43"/>
  <c r="AP176" i="43"/>
  <c r="AY176" i="43" s="1"/>
  <c r="AC176" i="43"/>
  <c r="AP175" i="43"/>
  <c r="AY175" i="43" s="1"/>
  <c r="AC175" i="43"/>
  <c r="AP174" i="43"/>
  <c r="AY174" i="43" s="1"/>
  <c r="AC174" i="43"/>
  <c r="AP173" i="43"/>
  <c r="AY173" i="43" s="1"/>
  <c r="AC173" i="43"/>
  <c r="AP172" i="43"/>
  <c r="AY172" i="43" s="1"/>
  <c r="AC172" i="43"/>
  <c r="AP171" i="43"/>
  <c r="AY171" i="43" s="1"/>
  <c r="AC171" i="43"/>
  <c r="AP170" i="43"/>
  <c r="AC170" i="43"/>
  <c r="AP169" i="43"/>
  <c r="AY169" i="43" s="1"/>
  <c r="AC169" i="43"/>
  <c r="AP168" i="43"/>
  <c r="AC168" i="43"/>
  <c r="AP167" i="43"/>
  <c r="AY167" i="43" s="1"/>
  <c r="AC167" i="43"/>
  <c r="AP166" i="43"/>
  <c r="AY166" i="43" s="1"/>
  <c r="AC166" i="43"/>
  <c r="AP165" i="43"/>
  <c r="AC165" i="43"/>
  <c r="AP164" i="43"/>
  <c r="AY164" i="43" s="1"/>
  <c r="AC164" i="43"/>
  <c r="AP163" i="43"/>
  <c r="AY163" i="43" s="1"/>
  <c r="AC163" i="43"/>
  <c r="AP162" i="43"/>
  <c r="AY162" i="43" s="1"/>
  <c r="AC162" i="43"/>
  <c r="AP161" i="43"/>
  <c r="AY161" i="43" s="1"/>
  <c r="AC161" i="43"/>
  <c r="AP160" i="43"/>
  <c r="AY160" i="43" s="1"/>
  <c r="AC160" i="43"/>
  <c r="AP159" i="43"/>
  <c r="AY159" i="43" s="1"/>
  <c r="AC159" i="43"/>
  <c r="AP158" i="43"/>
  <c r="AY158" i="43" s="1"/>
  <c r="AC158" i="43"/>
  <c r="AP157" i="43"/>
  <c r="AC157" i="43"/>
  <c r="AP156" i="43"/>
  <c r="AY156" i="43" s="1"/>
  <c r="AC156" i="43"/>
  <c r="AP155" i="43"/>
  <c r="AY155" i="43" s="1"/>
  <c r="AC155" i="43"/>
  <c r="AP154" i="43"/>
  <c r="AC154" i="43"/>
  <c r="AP153" i="43"/>
  <c r="AY153" i="43" s="1"/>
  <c r="AC153" i="43"/>
  <c r="AP152" i="43"/>
  <c r="AY152" i="43" s="1"/>
  <c r="AC152" i="43"/>
  <c r="AP151" i="43"/>
  <c r="AY151" i="43" s="1"/>
  <c r="AC151" i="43"/>
  <c r="AP150" i="43"/>
  <c r="AY150" i="43" s="1"/>
  <c r="AC150" i="43"/>
  <c r="AP149" i="43"/>
  <c r="AY149" i="43" s="1"/>
  <c r="AC149" i="43"/>
  <c r="AP148" i="43"/>
  <c r="AC148" i="43"/>
  <c r="AP147" i="43"/>
  <c r="AY147" i="43" s="1"/>
  <c r="AC147" i="43"/>
  <c r="AP146" i="43"/>
  <c r="AY146" i="43" s="1"/>
  <c r="AC146" i="43"/>
  <c r="AP145" i="43"/>
  <c r="AY145" i="43" s="1"/>
  <c r="AC145" i="43"/>
  <c r="AP144" i="43"/>
  <c r="AY144" i="43" s="1"/>
  <c r="AC144" i="43"/>
  <c r="AP143" i="43"/>
  <c r="AY143" i="43" s="1"/>
  <c r="AC143" i="43"/>
  <c r="AP142" i="43"/>
  <c r="AC142" i="43"/>
  <c r="AP141" i="43"/>
  <c r="AY141" i="43" s="1"/>
  <c r="AC141" i="43"/>
  <c r="AP140" i="43"/>
  <c r="AY140" i="43" s="1"/>
  <c r="AC140" i="43"/>
  <c r="AP139" i="43"/>
  <c r="AY139" i="43" s="1"/>
  <c r="AC139" i="43"/>
  <c r="AP138" i="43"/>
  <c r="AY138" i="43" s="1"/>
  <c r="AC138" i="43"/>
  <c r="AP137" i="43"/>
  <c r="AY137" i="43" s="1"/>
  <c r="AC137" i="43"/>
  <c r="AP136" i="43"/>
  <c r="AC136" i="43"/>
  <c r="AY135" i="43"/>
  <c r="AX135" i="43"/>
  <c r="AV135" i="43"/>
  <c r="AU135" i="43"/>
  <c r="O4" i="14" s="1"/>
  <c r="C126" i="43"/>
  <c r="C125" i="43"/>
  <c r="C124" i="43"/>
  <c r="C123" i="43"/>
  <c r="C122" i="43"/>
  <c r="C121" i="43"/>
  <c r="C120" i="43"/>
  <c r="C119" i="43"/>
  <c r="C118" i="43"/>
  <c r="C117" i="43"/>
  <c r="C116" i="43"/>
  <c r="C115" i="43"/>
  <c r="C114" i="43"/>
  <c r="C113" i="43"/>
  <c r="C112" i="43"/>
  <c r="C111" i="43"/>
  <c r="C110" i="43"/>
  <c r="C109" i="43"/>
  <c r="C108" i="43"/>
  <c r="C107" i="43"/>
  <c r="C106" i="43"/>
  <c r="C105" i="43"/>
  <c r="C104" i="43"/>
  <c r="C103" i="43"/>
  <c r="C102" i="43"/>
  <c r="C101" i="43"/>
  <c r="C100" i="43"/>
  <c r="C99" i="43"/>
  <c r="C98" i="43"/>
  <c r="C97" i="43"/>
  <c r="C96" i="43"/>
  <c r="C95" i="43"/>
  <c r="C94" i="43"/>
  <c r="C93" i="43"/>
  <c r="C92" i="43"/>
  <c r="C91" i="43"/>
  <c r="C90" i="43"/>
  <c r="C89" i="43"/>
  <c r="C88" i="43"/>
  <c r="C87" i="43"/>
  <c r="C86" i="43"/>
  <c r="C85" i="43"/>
  <c r="C84" i="43"/>
  <c r="C83" i="43"/>
  <c r="C82" i="43"/>
  <c r="C81" i="43"/>
  <c r="C80" i="43"/>
  <c r="B80" i="43"/>
  <c r="F79" i="43"/>
  <c r="W78" i="43"/>
  <c r="H78" i="43"/>
  <c r="A78" i="43"/>
  <c r="BF75" i="43"/>
  <c r="BE75" i="43"/>
  <c r="BD75" i="43"/>
  <c r="BC75" i="43"/>
  <c r="BB75" i="43"/>
  <c r="AW75" i="43"/>
  <c r="AI75" i="43"/>
  <c r="AH75" i="43"/>
  <c r="AG75" i="43"/>
  <c r="AF75" i="43"/>
  <c r="W75" i="43"/>
  <c r="V75" i="43"/>
  <c r="U75" i="43"/>
  <c r="T75" i="43"/>
  <c r="S75" i="43"/>
  <c r="AE75" i="43" s="1"/>
  <c r="AQ75" i="43" s="1"/>
  <c r="R75" i="43"/>
  <c r="AD75" i="43" s="1"/>
  <c r="AP75" i="43" s="1"/>
  <c r="Q75" i="43"/>
  <c r="AC75" i="43" s="1"/>
  <c r="AO75" i="43" s="1"/>
  <c r="P75" i="43"/>
  <c r="AB75" i="43" s="1"/>
  <c r="AN75" i="43" s="1"/>
  <c r="O75" i="43"/>
  <c r="AA75" i="43" s="1"/>
  <c r="AM75" i="43" s="1"/>
  <c r="BF74" i="43"/>
  <c r="BE74" i="43"/>
  <c r="BD74" i="43"/>
  <c r="BC74" i="43"/>
  <c r="BB74" i="43"/>
  <c r="AW74" i="43"/>
  <c r="AI74" i="43"/>
  <c r="AH74" i="43"/>
  <c r="AG74" i="43"/>
  <c r="AF74" i="43"/>
  <c r="W74" i="43"/>
  <c r="V74" i="43"/>
  <c r="U74" i="43"/>
  <c r="T74" i="43"/>
  <c r="S74" i="43"/>
  <c r="AE74" i="43" s="1"/>
  <c r="AQ74" i="43" s="1"/>
  <c r="R74" i="43"/>
  <c r="AD74" i="43" s="1"/>
  <c r="AP74" i="43" s="1"/>
  <c r="Q74" i="43"/>
  <c r="AC74" i="43" s="1"/>
  <c r="AO74" i="43" s="1"/>
  <c r="P74" i="43"/>
  <c r="AB74" i="43" s="1"/>
  <c r="AN74" i="43" s="1"/>
  <c r="O74" i="43"/>
  <c r="AA74" i="43" s="1"/>
  <c r="AM74" i="43" s="1"/>
  <c r="BF73" i="43"/>
  <c r="BE73" i="43"/>
  <c r="BD73" i="43"/>
  <c r="BC73" i="43"/>
  <c r="BB73" i="43"/>
  <c r="AW73" i="43"/>
  <c r="AI73" i="43"/>
  <c r="AH73" i="43"/>
  <c r="AG73" i="43"/>
  <c r="AF73" i="43"/>
  <c r="W73" i="43"/>
  <c r="V73" i="43"/>
  <c r="U73" i="43"/>
  <c r="T73" i="43"/>
  <c r="S73" i="43"/>
  <c r="AE73" i="43" s="1"/>
  <c r="AQ73" i="43" s="1"/>
  <c r="R73" i="43"/>
  <c r="AD73" i="43" s="1"/>
  <c r="AP73" i="43" s="1"/>
  <c r="Q73" i="43"/>
  <c r="AC73" i="43" s="1"/>
  <c r="AO73" i="43" s="1"/>
  <c r="P73" i="43"/>
  <c r="AB73" i="43" s="1"/>
  <c r="AN73" i="43" s="1"/>
  <c r="O73" i="43"/>
  <c r="AA73" i="43" s="1"/>
  <c r="AM73" i="43" s="1"/>
  <c r="BF72" i="43"/>
  <c r="BE72" i="43"/>
  <c r="BD72" i="43"/>
  <c r="BC72" i="43"/>
  <c r="BB72" i="43"/>
  <c r="AW72" i="43"/>
  <c r="AI72" i="43"/>
  <c r="AH72" i="43"/>
  <c r="AG72" i="43"/>
  <c r="AF72" i="43"/>
  <c r="W72" i="43"/>
  <c r="V72" i="43"/>
  <c r="U72" i="43"/>
  <c r="T72" i="43"/>
  <c r="S72" i="43"/>
  <c r="AE72" i="43" s="1"/>
  <c r="AQ72" i="43" s="1"/>
  <c r="R72" i="43"/>
  <c r="Q72" i="43"/>
  <c r="AC72" i="43" s="1"/>
  <c r="AO72" i="43" s="1"/>
  <c r="P72" i="43"/>
  <c r="AB72" i="43" s="1"/>
  <c r="AN72" i="43" s="1"/>
  <c r="O72" i="43"/>
  <c r="AA72" i="43" s="1"/>
  <c r="AM72" i="43" s="1"/>
  <c r="BF71" i="43"/>
  <c r="BE71" i="43"/>
  <c r="BD71" i="43"/>
  <c r="BC71" i="43"/>
  <c r="BB71" i="43"/>
  <c r="AW71" i="43"/>
  <c r="AI71" i="43"/>
  <c r="AH71" i="43"/>
  <c r="AG71" i="43"/>
  <c r="AF71" i="43"/>
  <c r="W71" i="43"/>
  <c r="V71" i="43"/>
  <c r="U71" i="43"/>
  <c r="T71" i="43"/>
  <c r="S71" i="43"/>
  <c r="AE71" i="43" s="1"/>
  <c r="AQ71" i="43" s="1"/>
  <c r="R71" i="43"/>
  <c r="AD71" i="43" s="1"/>
  <c r="AP71" i="43" s="1"/>
  <c r="Q71" i="43"/>
  <c r="AC71" i="43" s="1"/>
  <c r="AO71" i="43" s="1"/>
  <c r="P71" i="43"/>
  <c r="AB71" i="43" s="1"/>
  <c r="AN71" i="43" s="1"/>
  <c r="O71" i="43"/>
  <c r="AA71" i="43" s="1"/>
  <c r="AM71" i="43" s="1"/>
  <c r="BF70" i="43"/>
  <c r="BE70" i="43"/>
  <c r="BD70" i="43"/>
  <c r="BC70" i="43"/>
  <c r="BB70" i="43"/>
  <c r="AW70" i="43"/>
  <c r="AI70" i="43"/>
  <c r="AH70" i="43"/>
  <c r="AG70" i="43"/>
  <c r="AF70" i="43"/>
  <c r="W70" i="43"/>
  <c r="V70" i="43"/>
  <c r="U70" i="43"/>
  <c r="T70" i="43"/>
  <c r="S70" i="43"/>
  <c r="AE70" i="43" s="1"/>
  <c r="AQ70" i="43" s="1"/>
  <c r="R70" i="43"/>
  <c r="AD70" i="43" s="1"/>
  <c r="AP70" i="43" s="1"/>
  <c r="Q70" i="43"/>
  <c r="AC70" i="43" s="1"/>
  <c r="AO70" i="43" s="1"/>
  <c r="P70" i="43"/>
  <c r="AB70" i="43" s="1"/>
  <c r="AN70" i="43" s="1"/>
  <c r="O70" i="43"/>
  <c r="AA70" i="43" s="1"/>
  <c r="AM70" i="43" s="1"/>
  <c r="BF69" i="43"/>
  <c r="BE69" i="43"/>
  <c r="BD69" i="43"/>
  <c r="BC69" i="43"/>
  <c r="BB69" i="43"/>
  <c r="AW69" i="43"/>
  <c r="AI69" i="43"/>
  <c r="AH69" i="43"/>
  <c r="AG69" i="43"/>
  <c r="AF69" i="43"/>
  <c r="W69" i="43"/>
  <c r="V69" i="43"/>
  <c r="U69" i="43"/>
  <c r="T69" i="43"/>
  <c r="S69" i="43"/>
  <c r="AE69" i="43" s="1"/>
  <c r="AQ69" i="43" s="1"/>
  <c r="R69" i="43"/>
  <c r="AD69" i="43" s="1"/>
  <c r="AP69" i="43" s="1"/>
  <c r="Q69" i="43"/>
  <c r="AC69" i="43" s="1"/>
  <c r="AO69" i="43" s="1"/>
  <c r="P69" i="43"/>
  <c r="AB69" i="43" s="1"/>
  <c r="AN69" i="43" s="1"/>
  <c r="O69" i="43"/>
  <c r="AA69" i="43" s="1"/>
  <c r="AM69" i="43" s="1"/>
  <c r="BF68" i="43"/>
  <c r="BE68" i="43"/>
  <c r="BD68" i="43"/>
  <c r="BC68" i="43"/>
  <c r="BB68" i="43"/>
  <c r="AW68" i="43"/>
  <c r="AI68" i="43"/>
  <c r="AH68" i="43"/>
  <c r="AG68" i="43"/>
  <c r="AF68" i="43"/>
  <c r="W68" i="43"/>
  <c r="V68" i="43"/>
  <c r="U68" i="43"/>
  <c r="T68" i="43"/>
  <c r="S68" i="43"/>
  <c r="AE68" i="43" s="1"/>
  <c r="AQ68" i="43" s="1"/>
  <c r="R68" i="43"/>
  <c r="AD68" i="43" s="1"/>
  <c r="AP68" i="43" s="1"/>
  <c r="Q68" i="43"/>
  <c r="AC68" i="43" s="1"/>
  <c r="AO68" i="43" s="1"/>
  <c r="P68" i="43"/>
  <c r="AB68" i="43" s="1"/>
  <c r="AN68" i="43" s="1"/>
  <c r="O68" i="43"/>
  <c r="AA68" i="43" s="1"/>
  <c r="AM68" i="43" s="1"/>
  <c r="BF67" i="43"/>
  <c r="BE67" i="43"/>
  <c r="BD67" i="43"/>
  <c r="BC67" i="43"/>
  <c r="BB67" i="43"/>
  <c r="AW67" i="43"/>
  <c r="AI67" i="43"/>
  <c r="AH67" i="43"/>
  <c r="AG67" i="43"/>
  <c r="AF67" i="43"/>
  <c r="W67" i="43"/>
  <c r="V67" i="43"/>
  <c r="U67" i="43"/>
  <c r="T67" i="43"/>
  <c r="S67" i="43"/>
  <c r="AE67" i="43" s="1"/>
  <c r="AQ67" i="43" s="1"/>
  <c r="R67" i="43"/>
  <c r="AD67" i="43" s="1"/>
  <c r="AP67" i="43" s="1"/>
  <c r="Q67" i="43"/>
  <c r="AC67" i="43" s="1"/>
  <c r="AO67" i="43" s="1"/>
  <c r="P67" i="43"/>
  <c r="AB67" i="43" s="1"/>
  <c r="AN67" i="43" s="1"/>
  <c r="O67" i="43"/>
  <c r="AA67" i="43" s="1"/>
  <c r="AM67" i="43" s="1"/>
  <c r="BF66" i="43"/>
  <c r="BE66" i="43"/>
  <c r="BD66" i="43"/>
  <c r="BC66" i="43"/>
  <c r="BB66" i="43"/>
  <c r="AW66" i="43"/>
  <c r="AI66" i="43"/>
  <c r="AH66" i="43"/>
  <c r="AG66" i="43"/>
  <c r="AF66" i="43"/>
  <c r="W66" i="43"/>
  <c r="V66" i="43"/>
  <c r="U66" i="43"/>
  <c r="T66" i="43"/>
  <c r="S66" i="43"/>
  <c r="AE66" i="43" s="1"/>
  <c r="AQ66" i="43" s="1"/>
  <c r="R66" i="43"/>
  <c r="AD66" i="43" s="1"/>
  <c r="AP66" i="43" s="1"/>
  <c r="Q66" i="43"/>
  <c r="AC66" i="43" s="1"/>
  <c r="AO66" i="43" s="1"/>
  <c r="P66" i="43"/>
  <c r="AB66" i="43" s="1"/>
  <c r="AN66" i="43" s="1"/>
  <c r="O66" i="43"/>
  <c r="AA66" i="43" s="1"/>
  <c r="AM66" i="43" s="1"/>
  <c r="BF65" i="43"/>
  <c r="BE65" i="43"/>
  <c r="BD65" i="43"/>
  <c r="BC65" i="43"/>
  <c r="BB65" i="43"/>
  <c r="AW65" i="43"/>
  <c r="AI65" i="43"/>
  <c r="AH65" i="43"/>
  <c r="AG65" i="43"/>
  <c r="AF65" i="43"/>
  <c r="K116" i="43" s="1"/>
  <c r="W65" i="43"/>
  <c r="V65" i="43"/>
  <c r="U65" i="43"/>
  <c r="T65" i="43"/>
  <c r="S65" i="43"/>
  <c r="R65" i="43"/>
  <c r="AD65" i="43" s="1"/>
  <c r="AP65" i="43" s="1"/>
  <c r="Q65" i="43"/>
  <c r="AC65" i="43" s="1"/>
  <c r="AO65" i="43" s="1"/>
  <c r="P65" i="43"/>
  <c r="AB65" i="43" s="1"/>
  <c r="AN65" i="43" s="1"/>
  <c r="O65" i="43"/>
  <c r="AA65" i="43" s="1"/>
  <c r="AM65" i="43" s="1"/>
  <c r="BF64" i="43"/>
  <c r="BE64" i="43"/>
  <c r="BD64" i="43"/>
  <c r="BC64" i="43"/>
  <c r="BB64" i="43"/>
  <c r="AW64" i="43"/>
  <c r="AI64" i="43"/>
  <c r="AH64" i="43"/>
  <c r="AG64" i="43"/>
  <c r="AF64" i="43"/>
  <c r="W64" i="43"/>
  <c r="V64" i="43"/>
  <c r="U64" i="43"/>
  <c r="T64" i="43"/>
  <c r="S64" i="43"/>
  <c r="AE64" i="43" s="1"/>
  <c r="AQ64" i="43" s="1"/>
  <c r="R64" i="43"/>
  <c r="Q64" i="43"/>
  <c r="AC64" i="43" s="1"/>
  <c r="AO64" i="43" s="1"/>
  <c r="P64" i="43"/>
  <c r="AB64" i="43" s="1"/>
  <c r="AN64" i="43" s="1"/>
  <c r="O64" i="43"/>
  <c r="AA64" i="43" s="1"/>
  <c r="AM64" i="43" s="1"/>
  <c r="BF63" i="43"/>
  <c r="BE63" i="43"/>
  <c r="BD63" i="43"/>
  <c r="BC63" i="43"/>
  <c r="BB63" i="43"/>
  <c r="AW63" i="43"/>
  <c r="AI63" i="43"/>
  <c r="AH63" i="43"/>
  <c r="AG63" i="43"/>
  <c r="AF63" i="43"/>
  <c r="W63" i="43"/>
  <c r="V63" i="43"/>
  <c r="U63" i="43"/>
  <c r="T63" i="43"/>
  <c r="S63" i="43"/>
  <c r="AE63" i="43" s="1"/>
  <c r="AQ63" i="43" s="1"/>
  <c r="R63" i="43"/>
  <c r="AD63" i="43" s="1"/>
  <c r="AP63" i="43" s="1"/>
  <c r="Q63" i="43"/>
  <c r="AC63" i="43" s="1"/>
  <c r="AO63" i="43" s="1"/>
  <c r="P63" i="43"/>
  <c r="AB63" i="43" s="1"/>
  <c r="AN63" i="43" s="1"/>
  <c r="O63" i="43"/>
  <c r="AA63" i="43" s="1"/>
  <c r="AM63" i="43" s="1"/>
  <c r="BF62" i="43"/>
  <c r="BE62" i="43"/>
  <c r="BD62" i="43"/>
  <c r="BC62" i="43"/>
  <c r="BB62" i="43"/>
  <c r="AW62" i="43"/>
  <c r="AI62" i="43"/>
  <c r="AH62" i="43"/>
  <c r="AG62" i="43"/>
  <c r="AF62" i="43"/>
  <c r="W62" i="43"/>
  <c r="V62" i="43"/>
  <c r="U62" i="43"/>
  <c r="T62" i="43"/>
  <c r="S62" i="43"/>
  <c r="AE62" i="43" s="1"/>
  <c r="AQ62" i="43" s="1"/>
  <c r="R62" i="43"/>
  <c r="AD62" i="43" s="1"/>
  <c r="AP62" i="43" s="1"/>
  <c r="Q62" i="43"/>
  <c r="AC62" i="43" s="1"/>
  <c r="AO62" i="43" s="1"/>
  <c r="P62" i="43"/>
  <c r="AB62" i="43" s="1"/>
  <c r="AN62" i="43" s="1"/>
  <c r="O62" i="43"/>
  <c r="AA62" i="43" s="1"/>
  <c r="AM62" i="43" s="1"/>
  <c r="BF61" i="43"/>
  <c r="BE61" i="43"/>
  <c r="BD61" i="43"/>
  <c r="BC61" i="43"/>
  <c r="BB61" i="43"/>
  <c r="AW61" i="43"/>
  <c r="AI61" i="43"/>
  <c r="AH61" i="43"/>
  <c r="AG61" i="43"/>
  <c r="AF61" i="43"/>
  <c r="K112" i="43" s="1"/>
  <c r="X112" i="43" s="1"/>
  <c r="W61" i="43"/>
  <c r="V61" i="43"/>
  <c r="U61" i="43"/>
  <c r="T61" i="43"/>
  <c r="S61" i="43"/>
  <c r="AE61" i="43" s="1"/>
  <c r="AQ61" i="43" s="1"/>
  <c r="R61" i="43"/>
  <c r="AD61" i="43" s="1"/>
  <c r="AP61" i="43" s="1"/>
  <c r="Q61" i="43"/>
  <c r="AC61" i="43" s="1"/>
  <c r="AO61" i="43" s="1"/>
  <c r="P61" i="43"/>
  <c r="AB61" i="43" s="1"/>
  <c r="AN61" i="43" s="1"/>
  <c r="O61" i="43"/>
  <c r="BF60" i="43"/>
  <c r="BE60" i="43"/>
  <c r="BD60" i="43"/>
  <c r="BC60" i="43"/>
  <c r="BB60" i="43"/>
  <c r="AW60" i="43"/>
  <c r="AI60" i="43"/>
  <c r="AH60" i="43"/>
  <c r="AG60" i="43"/>
  <c r="AF60" i="43"/>
  <c r="W60" i="43"/>
  <c r="V60" i="43"/>
  <c r="U60" i="43"/>
  <c r="T60" i="43"/>
  <c r="S60" i="43"/>
  <c r="AE60" i="43" s="1"/>
  <c r="AQ60" i="43" s="1"/>
  <c r="R60" i="43"/>
  <c r="AD60" i="43" s="1"/>
  <c r="AP60" i="43" s="1"/>
  <c r="Q60" i="43"/>
  <c r="AC60" i="43" s="1"/>
  <c r="AO60" i="43" s="1"/>
  <c r="P60" i="43"/>
  <c r="AB60" i="43" s="1"/>
  <c r="AN60" i="43" s="1"/>
  <c r="O60" i="43"/>
  <c r="AA60" i="43" s="1"/>
  <c r="AM60" i="43" s="1"/>
  <c r="BF59" i="43"/>
  <c r="BE59" i="43"/>
  <c r="BD59" i="43"/>
  <c r="BC59" i="43"/>
  <c r="BB59" i="43"/>
  <c r="AW59" i="43"/>
  <c r="AI59" i="43"/>
  <c r="AH59" i="43"/>
  <c r="AG59" i="43"/>
  <c r="AF59" i="43"/>
  <c r="W59" i="43"/>
  <c r="V59" i="43"/>
  <c r="U59" i="43"/>
  <c r="T59" i="43"/>
  <c r="S59" i="43"/>
  <c r="AE59" i="43" s="1"/>
  <c r="AQ59" i="43" s="1"/>
  <c r="R59" i="43"/>
  <c r="AD59" i="43" s="1"/>
  <c r="AP59" i="43" s="1"/>
  <c r="Q59" i="43"/>
  <c r="AC59" i="43" s="1"/>
  <c r="AO59" i="43" s="1"/>
  <c r="P59" i="43"/>
  <c r="AB59" i="43" s="1"/>
  <c r="AN59" i="43" s="1"/>
  <c r="O59" i="43"/>
  <c r="AA59" i="43" s="1"/>
  <c r="AM59" i="43" s="1"/>
  <c r="BF58" i="43"/>
  <c r="BE58" i="43"/>
  <c r="BD58" i="43"/>
  <c r="BC58" i="43"/>
  <c r="BB58" i="43"/>
  <c r="AW58" i="43"/>
  <c r="AI58" i="43"/>
  <c r="AH58" i="43"/>
  <c r="AG58" i="43"/>
  <c r="AF58" i="43"/>
  <c r="W58" i="43"/>
  <c r="V58" i="43"/>
  <c r="U58" i="43"/>
  <c r="T58" i="43"/>
  <c r="S58" i="43"/>
  <c r="AE58" i="43" s="1"/>
  <c r="AQ58" i="43" s="1"/>
  <c r="R58" i="43"/>
  <c r="AD58" i="43" s="1"/>
  <c r="AP58" i="43" s="1"/>
  <c r="Q58" i="43"/>
  <c r="AC58" i="43" s="1"/>
  <c r="AO58" i="43" s="1"/>
  <c r="P58" i="43"/>
  <c r="AB58" i="43" s="1"/>
  <c r="AN58" i="43" s="1"/>
  <c r="O58" i="43"/>
  <c r="AA58" i="43" s="1"/>
  <c r="AM58" i="43" s="1"/>
  <c r="BF57" i="43"/>
  <c r="BE57" i="43"/>
  <c r="BD57" i="43"/>
  <c r="BC57" i="43"/>
  <c r="BB57" i="43"/>
  <c r="AW57" i="43"/>
  <c r="AI57" i="43"/>
  <c r="AH57" i="43"/>
  <c r="AG57" i="43"/>
  <c r="AF57" i="43"/>
  <c r="W57" i="43"/>
  <c r="V57" i="43"/>
  <c r="U57" i="43"/>
  <c r="T57" i="43"/>
  <c r="S57" i="43"/>
  <c r="AE57" i="43" s="1"/>
  <c r="AQ57" i="43" s="1"/>
  <c r="R57" i="43"/>
  <c r="AD57" i="43" s="1"/>
  <c r="AP57" i="43" s="1"/>
  <c r="Q57" i="43"/>
  <c r="AC57" i="43" s="1"/>
  <c r="AO57" i="43" s="1"/>
  <c r="P57" i="43"/>
  <c r="AB57" i="43" s="1"/>
  <c r="AN57" i="43" s="1"/>
  <c r="O57" i="43"/>
  <c r="AA57" i="43" s="1"/>
  <c r="AM57" i="43" s="1"/>
  <c r="BF56" i="43"/>
  <c r="BE56" i="43"/>
  <c r="BD56" i="43"/>
  <c r="BC56" i="43"/>
  <c r="BB56" i="43"/>
  <c r="AW56" i="43"/>
  <c r="AI56" i="43"/>
  <c r="AH56" i="43"/>
  <c r="AG56" i="43"/>
  <c r="AF56" i="43"/>
  <c r="W56" i="43"/>
  <c r="V56" i="43"/>
  <c r="U56" i="43"/>
  <c r="T56" i="43"/>
  <c r="S56" i="43"/>
  <c r="AE56" i="43" s="1"/>
  <c r="AQ56" i="43" s="1"/>
  <c r="R56" i="43"/>
  <c r="Q56" i="43"/>
  <c r="AC56" i="43" s="1"/>
  <c r="AO56" i="43" s="1"/>
  <c r="P56" i="43"/>
  <c r="AB56" i="43" s="1"/>
  <c r="AN56" i="43" s="1"/>
  <c r="O56" i="43"/>
  <c r="AA56" i="43" s="1"/>
  <c r="AM56" i="43" s="1"/>
  <c r="BF55" i="43"/>
  <c r="BE55" i="43"/>
  <c r="BD55" i="43"/>
  <c r="BC55" i="43"/>
  <c r="BB55" i="43"/>
  <c r="AW55" i="43"/>
  <c r="AI55" i="43"/>
  <c r="AH55" i="43"/>
  <c r="AG55" i="43"/>
  <c r="AF55" i="43"/>
  <c r="W55" i="43"/>
  <c r="V55" i="43"/>
  <c r="U55" i="43"/>
  <c r="T55" i="43"/>
  <c r="S55" i="43"/>
  <c r="AE55" i="43" s="1"/>
  <c r="AQ55" i="43" s="1"/>
  <c r="R55" i="43"/>
  <c r="AD55" i="43" s="1"/>
  <c r="AP55" i="43" s="1"/>
  <c r="Q55" i="43"/>
  <c r="P55" i="43"/>
  <c r="AB55" i="43" s="1"/>
  <c r="AN55" i="43" s="1"/>
  <c r="O55" i="43"/>
  <c r="AA55" i="43" s="1"/>
  <c r="AM55" i="43" s="1"/>
  <c r="BF54" i="43"/>
  <c r="BE54" i="43"/>
  <c r="BD54" i="43"/>
  <c r="BC54" i="43"/>
  <c r="BB54" i="43"/>
  <c r="AW54" i="43"/>
  <c r="AI54" i="43"/>
  <c r="AH54" i="43"/>
  <c r="AG54" i="43"/>
  <c r="AF54" i="43"/>
  <c r="W54" i="43"/>
  <c r="V54" i="43"/>
  <c r="U54" i="43"/>
  <c r="T54" i="43"/>
  <c r="S54" i="43"/>
  <c r="AE54" i="43" s="1"/>
  <c r="AQ54" i="43" s="1"/>
  <c r="R54" i="43"/>
  <c r="AD54" i="43" s="1"/>
  <c r="AP54" i="43" s="1"/>
  <c r="Q54" i="43"/>
  <c r="AC54" i="43" s="1"/>
  <c r="AO54" i="43" s="1"/>
  <c r="P54" i="43"/>
  <c r="AB54" i="43" s="1"/>
  <c r="O54" i="43"/>
  <c r="BF53" i="43"/>
  <c r="BE53" i="43"/>
  <c r="BD53" i="43"/>
  <c r="BC53" i="43"/>
  <c r="BB53" i="43"/>
  <c r="AW53" i="43"/>
  <c r="AI53" i="43"/>
  <c r="AH53" i="43"/>
  <c r="AG53" i="43"/>
  <c r="AF53" i="43"/>
  <c r="K104" i="43" s="1"/>
  <c r="W53" i="43"/>
  <c r="V53" i="43"/>
  <c r="U53" i="43"/>
  <c r="T53" i="43"/>
  <c r="S53" i="43"/>
  <c r="AE53" i="43" s="1"/>
  <c r="AQ53" i="43" s="1"/>
  <c r="R53" i="43"/>
  <c r="AD53" i="43" s="1"/>
  <c r="AP53" i="43" s="1"/>
  <c r="Q53" i="43"/>
  <c r="AC53" i="43" s="1"/>
  <c r="AO53" i="43" s="1"/>
  <c r="P53" i="43"/>
  <c r="AB53" i="43" s="1"/>
  <c r="AN53" i="43" s="1"/>
  <c r="O53" i="43"/>
  <c r="AA53" i="43" s="1"/>
  <c r="AM53" i="43" s="1"/>
  <c r="BF52" i="43"/>
  <c r="BE52" i="43"/>
  <c r="BD52" i="43"/>
  <c r="BC52" i="43"/>
  <c r="BB52" i="43"/>
  <c r="AW52" i="43"/>
  <c r="AI52" i="43"/>
  <c r="AH52" i="43"/>
  <c r="AG52" i="43"/>
  <c r="AF52" i="43"/>
  <c r="W52" i="43"/>
  <c r="V52" i="43"/>
  <c r="U52" i="43"/>
  <c r="T52" i="43"/>
  <c r="S52" i="43"/>
  <c r="AE52" i="43" s="1"/>
  <c r="AQ52" i="43" s="1"/>
  <c r="R52" i="43"/>
  <c r="AD52" i="43" s="1"/>
  <c r="AP52" i="43" s="1"/>
  <c r="Q52" i="43"/>
  <c r="AC52" i="43" s="1"/>
  <c r="AO52" i="43" s="1"/>
  <c r="P52" i="43"/>
  <c r="AB52" i="43" s="1"/>
  <c r="AN52" i="43" s="1"/>
  <c r="O52" i="43"/>
  <c r="BF51" i="43"/>
  <c r="BE51" i="43"/>
  <c r="BD51" i="43"/>
  <c r="BC51" i="43"/>
  <c r="BB51" i="43"/>
  <c r="AW51" i="43"/>
  <c r="AI51" i="43"/>
  <c r="AH51" i="43"/>
  <c r="AG51" i="43"/>
  <c r="AF51" i="43"/>
  <c r="W51" i="43"/>
  <c r="V51" i="43"/>
  <c r="U51" i="43"/>
  <c r="T51" i="43"/>
  <c r="S51" i="43"/>
  <c r="AE51" i="43" s="1"/>
  <c r="AQ51" i="43" s="1"/>
  <c r="R51" i="43"/>
  <c r="AD51" i="43" s="1"/>
  <c r="AP51" i="43" s="1"/>
  <c r="Q51" i="43"/>
  <c r="AC51" i="43" s="1"/>
  <c r="AO51" i="43" s="1"/>
  <c r="P51" i="43"/>
  <c r="AB51" i="43" s="1"/>
  <c r="AN51" i="43" s="1"/>
  <c r="O51" i="43"/>
  <c r="AA51" i="43" s="1"/>
  <c r="AM51" i="43" s="1"/>
  <c r="BF50" i="43"/>
  <c r="BE50" i="43"/>
  <c r="BD50" i="43"/>
  <c r="BC50" i="43"/>
  <c r="BB50" i="43"/>
  <c r="AW50" i="43"/>
  <c r="AI50" i="43"/>
  <c r="AH50" i="43"/>
  <c r="AG50" i="43"/>
  <c r="AF50" i="43"/>
  <c r="W50" i="43"/>
  <c r="V50" i="43"/>
  <c r="U50" i="43"/>
  <c r="T50" i="43"/>
  <c r="S50" i="43"/>
  <c r="AE50" i="43" s="1"/>
  <c r="AQ50" i="43" s="1"/>
  <c r="R50" i="43"/>
  <c r="AD50" i="43" s="1"/>
  <c r="AP50" i="43" s="1"/>
  <c r="Q50" i="43"/>
  <c r="AC50" i="43" s="1"/>
  <c r="AO50" i="43" s="1"/>
  <c r="P50" i="43"/>
  <c r="AB50" i="43" s="1"/>
  <c r="AN50" i="43" s="1"/>
  <c r="O50" i="43"/>
  <c r="AA50" i="43" s="1"/>
  <c r="AM50" i="43" s="1"/>
  <c r="BF49" i="43"/>
  <c r="BE49" i="43"/>
  <c r="BD49" i="43"/>
  <c r="BC49" i="43"/>
  <c r="BB49" i="43"/>
  <c r="AW49" i="43"/>
  <c r="AI49" i="43"/>
  <c r="AH49" i="43"/>
  <c r="AG49" i="43"/>
  <c r="AF49" i="43"/>
  <c r="W49" i="43"/>
  <c r="V49" i="43"/>
  <c r="U49" i="43"/>
  <c r="T49" i="43"/>
  <c r="S49" i="43"/>
  <c r="AE49" i="43" s="1"/>
  <c r="AQ49" i="43" s="1"/>
  <c r="R49" i="43"/>
  <c r="AD49" i="43" s="1"/>
  <c r="AP49" i="43" s="1"/>
  <c r="Q49" i="43"/>
  <c r="AC49" i="43" s="1"/>
  <c r="AO49" i="43" s="1"/>
  <c r="P49" i="43"/>
  <c r="AB49" i="43" s="1"/>
  <c r="AN49" i="43" s="1"/>
  <c r="O49" i="43"/>
  <c r="BF48" i="43"/>
  <c r="BE48" i="43"/>
  <c r="BD48" i="43"/>
  <c r="BC48" i="43"/>
  <c r="BB48" i="43"/>
  <c r="AW48" i="43"/>
  <c r="AI48" i="43"/>
  <c r="AH48" i="43"/>
  <c r="AG48" i="43"/>
  <c r="AF48" i="43"/>
  <c r="W48" i="43"/>
  <c r="V48" i="43"/>
  <c r="U48" i="43"/>
  <c r="T48" i="43"/>
  <c r="S48" i="43"/>
  <c r="AE48" i="43" s="1"/>
  <c r="AQ48" i="43" s="1"/>
  <c r="R48" i="43"/>
  <c r="Q48" i="43"/>
  <c r="AC48" i="43" s="1"/>
  <c r="AO48" i="43" s="1"/>
  <c r="P48" i="43"/>
  <c r="AB48" i="43" s="1"/>
  <c r="AN48" i="43" s="1"/>
  <c r="O48" i="43"/>
  <c r="AA48" i="43" s="1"/>
  <c r="AM48" i="43" s="1"/>
  <c r="BF47" i="43"/>
  <c r="BE47" i="43"/>
  <c r="BD47" i="43"/>
  <c r="BC47" i="43"/>
  <c r="BB47" i="43"/>
  <c r="AW47" i="43"/>
  <c r="AI47" i="43"/>
  <c r="AH47" i="43"/>
  <c r="AG47" i="43"/>
  <c r="AF47" i="43"/>
  <c r="W47" i="43"/>
  <c r="V47" i="43"/>
  <c r="U47" i="43"/>
  <c r="T47" i="43"/>
  <c r="S47" i="43"/>
  <c r="AE47" i="43" s="1"/>
  <c r="AQ47" i="43" s="1"/>
  <c r="R47" i="43"/>
  <c r="AD47" i="43" s="1"/>
  <c r="AP47" i="43" s="1"/>
  <c r="Q47" i="43"/>
  <c r="P47" i="43"/>
  <c r="AB47" i="43" s="1"/>
  <c r="AN47" i="43" s="1"/>
  <c r="O47" i="43"/>
  <c r="AA47" i="43" s="1"/>
  <c r="AM47" i="43" s="1"/>
  <c r="BF46" i="43"/>
  <c r="BE46" i="43"/>
  <c r="BD46" i="43"/>
  <c r="BC46" i="43"/>
  <c r="BB46" i="43"/>
  <c r="AW46" i="43"/>
  <c r="AI46" i="43"/>
  <c r="AH46" i="43"/>
  <c r="AG46" i="43"/>
  <c r="AF46" i="43"/>
  <c r="W46" i="43"/>
  <c r="V46" i="43"/>
  <c r="U46" i="43"/>
  <c r="T46" i="43"/>
  <c r="S46" i="43"/>
  <c r="AE46" i="43" s="1"/>
  <c r="AQ46" i="43" s="1"/>
  <c r="R46" i="43"/>
  <c r="AD46" i="43" s="1"/>
  <c r="AP46" i="43" s="1"/>
  <c r="Q46" i="43"/>
  <c r="AC46" i="43" s="1"/>
  <c r="AO46" i="43" s="1"/>
  <c r="P46" i="43"/>
  <c r="AB46" i="43" s="1"/>
  <c r="AN46" i="43" s="1"/>
  <c r="O46" i="43"/>
  <c r="AA46" i="43" s="1"/>
  <c r="AM46" i="43" s="1"/>
  <c r="BF45" i="43"/>
  <c r="BE45" i="43"/>
  <c r="BD45" i="43"/>
  <c r="BC45" i="43"/>
  <c r="BB45" i="43"/>
  <c r="AW45" i="43"/>
  <c r="AI45" i="43"/>
  <c r="AH45" i="43"/>
  <c r="AG45" i="43"/>
  <c r="AF45" i="43"/>
  <c r="W45" i="43"/>
  <c r="V45" i="43"/>
  <c r="U45" i="43"/>
  <c r="T45" i="43"/>
  <c r="S45" i="43"/>
  <c r="AE45" i="43" s="1"/>
  <c r="AQ45" i="43" s="1"/>
  <c r="R45" i="43"/>
  <c r="AD45" i="43" s="1"/>
  <c r="AP45" i="43" s="1"/>
  <c r="Q45" i="43"/>
  <c r="AC45" i="43" s="1"/>
  <c r="AO45" i="43" s="1"/>
  <c r="P45" i="43"/>
  <c r="AB45" i="43" s="1"/>
  <c r="AN45" i="43" s="1"/>
  <c r="O45" i="43"/>
  <c r="BF44" i="43"/>
  <c r="BE44" i="43"/>
  <c r="BD44" i="43"/>
  <c r="BC44" i="43"/>
  <c r="BB44" i="43"/>
  <c r="AW44" i="43"/>
  <c r="AI44" i="43"/>
  <c r="AH44" i="43"/>
  <c r="AG44" i="43"/>
  <c r="AF44" i="43"/>
  <c r="W44" i="43"/>
  <c r="V44" i="43"/>
  <c r="U44" i="43"/>
  <c r="T44" i="43"/>
  <c r="S44" i="43"/>
  <c r="AE44" i="43" s="1"/>
  <c r="AQ44" i="43" s="1"/>
  <c r="R44" i="43"/>
  <c r="AD44" i="43" s="1"/>
  <c r="AP44" i="43" s="1"/>
  <c r="Q44" i="43"/>
  <c r="AC44" i="43" s="1"/>
  <c r="AO44" i="43" s="1"/>
  <c r="P44" i="43"/>
  <c r="AB44" i="43" s="1"/>
  <c r="AN44" i="43" s="1"/>
  <c r="O44" i="43"/>
  <c r="AA44" i="43" s="1"/>
  <c r="AM44" i="43" s="1"/>
  <c r="BF43" i="43"/>
  <c r="BE43" i="43"/>
  <c r="BD43" i="43"/>
  <c r="BC43" i="43"/>
  <c r="BB43" i="43"/>
  <c r="AW43" i="43"/>
  <c r="AI43" i="43"/>
  <c r="AH43" i="43"/>
  <c r="AG43" i="43"/>
  <c r="AF43" i="43"/>
  <c r="W43" i="43"/>
  <c r="V43" i="43"/>
  <c r="U43" i="43"/>
  <c r="T43" i="43"/>
  <c r="S43" i="43"/>
  <c r="AE43" i="43" s="1"/>
  <c r="AQ43" i="43" s="1"/>
  <c r="R43" i="43"/>
  <c r="AD43" i="43" s="1"/>
  <c r="AP43" i="43" s="1"/>
  <c r="Q43" i="43"/>
  <c r="AC43" i="43" s="1"/>
  <c r="AO43" i="43" s="1"/>
  <c r="P43" i="43"/>
  <c r="AB43" i="43" s="1"/>
  <c r="AN43" i="43" s="1"/>
  <c r="O43" i="43"/>
  <c r="AA43" i="43" s="1"/>
  <c r="AM43" i="43" s="1"/>
  <c r="BF42" i="43"/>
  <c r="BE42" i="43"/>
  <c r="BD42" i="43"/>
  <c r="BC42" i="43"/>
  <c r="BB42" i="43"/>
  <c r="AW42" i="43"/>
  <c r="AI42" i="43"/>
  <c r="AH42" i="43"/>
  <c r="AG42" i="43"/>
  <c r="AF42" i="43"/>
  <c r="W42" i="43"/>
  <c r="V42" i="43"/>
  <c r="U42" i="43"/>
  <c r="T42" i="43"/>
  <c r="S42" i="43"/>
  <c r="AE42" i="43" s="1"/>
  <c r="AQ42" i="43" s="1"/>
  <c r="R42" i="43"/>
  <c r="AD42" i="43" s="1"/>
  <c r="AP42" i="43" s="1"/>
  <c r="Q42" i="43"/>
  <c r="AC42" i="43" s="1"/>
  <c r="AO42" i="43" s="1"/>
  <c r="P42" i="43"/>
  <c r="AB42" i="43" s="1"/>
  <c r="AN42" i="43" s="1"/>
  <c r="O42" i="43"/>
  <c r="AA42" i="43" s="1"/>
  <c r="AM42" i="43" s="1"/>
  <c r="BF41" i="43"/>
  <c r="BE41" i="43"/>
  <c r="BD41" i="43"/>
  <c r="BC41" i="43"/>
  <c r="BB41" i="43"/>
  <c r="AW41" i="43"/>
  <c r="AI41" i="43"/>
  <c r="AH41" i="43"/>
  <c r="AG41" i="43"/>
  <c r="AF41" i="43"/>
  <c r="W41" i="43"/>
  <c r="V41" i="43"/>
  <c r="U41" i="43"/>
  <c r="T41" i="43"/>
  <c r="S41" i="43"/>
  <c r="AE41" i="43" s="1"/>
  <c r="AQ41" i="43" s="1"/>
  <c r="R41" i="43"/>
  <c r="AD41" i="43" s="1"/>
  <c r="AP41" i="43" s="1"/>
  <c r="Q41" i="43"/>
  <c r="AC41" i="43" s="1"/>
  <c r="AO41" i="43" s="1"/>
  <c r="P41" i="43"/>
  <c r="AB41" i="43" s="1"/>
  <c r="AN41" i="43" s="1"/>
  <c r="O41" i="43"/>
  <c r="AA41" i="43" s="1"/>
  <c r="AM41" i="43" s="1"/>
  <c r="BF40" i="43"/>
  <c r="BE40" i="43"/>
  <c r="BD40" i="43"/>
  <c r="BC40" i="43"/>
  <c r="BB40" i="43"/>
  <c r="AW40" i="43"/>
  <c r="AI40" i="43"/>
  <c r="AH40" i="43"/>
  <c r="AG40" i="43"/>
  <c r="AF40" i="43"/>
  <c r="W40" i="43"/>
  <c r="V40" i="43"/>
  <c r="U40" i="43"/>
  <c r="T40" i="43"/>
  <c r="S40" i="43"/>
  <c r="AE40" i="43" s="1"/>
  <c r="AQ40" i="43" s="1"/>
  <c r="R40" i="43"/>
  <c r="Q40" i="43"/>
  <c r="AC40" i="43" s="1"/>
  <c r="AO40" i="43" s="1"/>
  <c r="P40" i="43"/>
  <c r="AB40" i="43" s="1"/>
  <c r="AN40" i="43" s="1"/>
  <c r="O40" i="43"/>
  <c r="AA40" i="43" s="1"/>
  <c r="AM40" i="43" s="1"/>
  <c r="BF39" i="43"/>
  <c r="BE39" i="43"/>
  <c r="BD39" i="43"/>
  <c r="BC39" i="43"/>
  <c r="BB39" i="43"/>
  <c r="AW39" i="43"/>
  <c r="AI39" i="43"/>
  <c r="AH39" i="43"/>
  <c r="AG39" i="43"/>
  <c r="AF39" i="43"/>
  <c r="W39" i="43"/>
  <c r="V39" i="43"/>
  <c r="U39" i="43"/>
  <c r="T39" i="43"/>
  <c r="S39" i="43"/>
  <c r="AE39" i="43" s="1"/>
  <c r="AQ39" i="43" s="1"/>
  <c r="R39" i="43"/>
  <c r="AD39" i="43" s="1"/>
  <c r="AP39" i="43" s="1"/>
  <c r="Q39" i="43"/>
  <c r="P39" i="43"/>
  <c r="AB39" i="43" s="1"/>
  <c r="AN39" i="43" s="1"/>
  <c r="O39" i="43"/>
  <c r="AA39" i="43" s="1"/>
  <c r="AM39" i="43" s="1"/>
  <c r="BF38" i="43"/>
  <c r="BE38" i="43"/>
  <c r="BD38" i="43"/>
  <c r="BC38" i="43"/>
  <c r="BB38" i="43"/>
  <c r="AW38" i="43"/>
  <c r="AI38" i="43"/>
  <c r="AH38" i="43"/>
  <c r="AG38" i="43"/>
  <c r="AF38" i="43"/>
  <c r="W38" i="43"/>
  <c r="V38" i="43"/>
  <c r="U38" i="43"/>
  <c r="T38" i="43"/>
  <c r="S38" i="43"/>
  <c r="AE38" i="43" s="1"/>
  <c r="AQ38" i="43" s="1"/>
  <c r="R38" i="43"/>
  <c r="AD38" i="43" s="1"/>
  <c r="AP38" i="43" s="1"/>
  <c r="Q38" i="43"/>
  <c r="AC38" i="43" s="1"/>
  <c r="AO38" i="43" s="1"/>
  <c r="P38" i="43"/>
  <c r="AB38" i="43" s="1"/>
  <c r="AN38" i="43" s="1"/>
  <c r="O38" i="43"/>
  <c r="AA38" i="43" s="1"/>
  <c r="AM38" i="43" s="1"/>
  <c r="BF37" i="43"/>
  <c r="BE37" i="43"/>
  <c r="BD37" i="43"/>
  <c r="BC37" i="43"/>
  <c r="BB37" i="43"/>
  <c r="AW37" i="43"/>
  <c r="AI37" i="43"/>
  <c r="AH37" i="43"/>
  <c r="AG37" i="43"/>
  <c r="AF37" i="43"/>
  <c r="W37" i="43"/>
  <c r="V37" i="43"/>
  <c r="U37" i="43"/>
  <c r="T37" i="43"/>
  <c r="S37" i="43"/>
  <c r="AE37" i="43" s="1"/>
  <c r="AQ37" i="43" s="1"/>
  <c r="R37" i="43"/>
  <c r="AD37" i="43" s="1"/>
  <c r="AP37" i="43" s="1"/>
  <c r="Q37" i="43"/>
  <c r="AC37" i="43" s="1"/>
  <c r="AO37" i="43" s="1"/>
  <c r="P37" i="43"/>
  <c r="AB37" i="43" s="1"/>
  <c r="AN37" i="43" s="1"/>
  <c r="O37" i="43"/>
  <c r="BF36" i="43"/>
  <c r="BE36" i="43"/>
  <c r="BD36" i="43"/>
  <c r="BC36" i="43"/>
  <c r="BB36" i="43"/>
  <c r="AW36" i="43"/>
  <c r="AI36" i="43"/>
  <c r="AH36" i="43"/>
  <c r="AG36" i="43"/>
  <c r="AF36" i="43"/>
  <c r="W36" i="43"/>
  <c r="V36" i="43"/>
  <c r="U36" i="43"/>
  <c r="T36" i="43"/>
  <c r="S36" i="43"/>
  <c r="AE36" i="43" s="1"/>
  <c r="AQ36" i="43" s="1"/>
  <c r="R36" i="43"/>
  <c r="AD36" i="43" s="1"/>
  <c r="AP36" i="43" s="1"/>
  <c r="Q36" i="43"/>
  <c r="AC36" i="43" s="1"/>
  <c r="AO36" i="43" s="1"/>
  <c r="P36" i="43"/>
  <c r="AB36" i="43" s="1"/>
  <c r="AN36" i="43" s="1"/>
  <c r="O36" i="43"/>
  <c r="AA36" i="43" s="1"/>
  <c r="AM36" i="43" s="1"/>
  <c r="BF35" i="43"/>
  <c r="BE35" i="43"/>
  <c r="BD35" i="43"/>
  <c r="BC35" i="43"/>
  <c r="BB35" i="43"/>
  <c r="AW35" i="43"/>
  <c r="AI35" i="43"/>
  <c r="AH35" i="43"/>
  <c r="AG35" i="43"/>
  <c r="AF35" i="43"/>
  <c r="W35" i="43"/>
  <c r="V35" i="43"/>
  <c r="U35" i="43"/>
  <c r="T35" i="43"/>
  <c r="S35" i="43"/>
  <c r="AE35" i="43" s="1"/>
  <c r="AQ35" i="43" s="1"/>
  <c r="R35" i="43"/>
  <c r="AD35" i="43" s="1"/>
  <c r="AP35" i="43" s="1"/>
  <c r="Q35" i="43"/>
  <c r="AC35" i="43" s="1"/>
  <c r="AO35" i="43" s="1"/>
  <c r="P35" i="43"/>
  <c r="AB35" i="43" s="1"/>
  <c r="AN35" i="43" s="1"/>
  <c r="O35" i="43"/>
  <c r="AA35" i="43" s="1"/>
  <c r="AM35" i="43" s="1"/>
  <c r="BF34" i="43"/>
  <c r="BE34" i="43"/>
  <c r="BD34" i="43"/>
  <c r="BC34" i="43"/>
  <c r="BB34" i="43"/>
  <c r="AW34" i="43"/>
  <c r="AI34" i="43"/>
  <c r="AH34" i="43"/>
  <c r="AG34" i="43"/>
  <c r="AF34" i="43"/>
  <c r="W34" i="43"/>
  <c r="V34" i="43"/>
  <c r="U34" i="43"/>
  <c r="T34" i="43"/>
  <c r="S34" i="43"/>
  <c r="AE34" i="43" s="1"/>
  <c r="AQ34" i="43" s="1"/>
  <c r="R34" i="43"/>
  <c r="AD34" i="43" s="1"/>
  <c r="AP34" i="43" s="1"/>
  <c r="Q34" i="43"/>
  <c r="AC34" i="43" s="1"/>
  <c r="AO34" i="43" s="1"/>
  <c r="P34" i="43"/>
  <c r="AB34" i="43" s="1"/>
  <c r="AN34" i="43" s="1"/>
  <c r="O34" i="43"/>
  <c r="AA34" i="43" s="1"/>
  <c r="AM34" i="43" s="1"/>
  <c r="BF33" i="43"/>
  <c r="BE33" i="43"/>
  <c r="BD33" i="43"/>
  <c r="BC33" i="43"/>
  <c r="BB33" i="43"/>
  <c r="AW33" i="43"/>
  <c r="AI33" i="43"/>
  <c r="AH33" i="43"/>
  <c r="AG33" i="43"/>
  <c r="AF33" i="43"/>
  <c r="W33" i="43"/>
  <c r="V33" i="43"/>
  <c r="U33" i="43"/>
  <c r="T33" i="43"/>
  <c r="S33" i="43"/>
  <c r="AE33" i="43" s="1"/>
  <c r="AQ33" i="43" s="1"/>
  <c r="R33" i="43"/>
  <c r="AD33" i="43" s="1"/>
  <c r="AP33" i="43" s="1"/>
  <c r="Q33" i="43"/>
  <c r="AC33" i="43" s="1"/>
  <c r="AO33" i="43" s="1"/>
  <c r="P33" i="43"/>
  <c r="AB33" i="43" s="1"/>
  <c r="AN33" i="43" s="1"/>
  <c r="O33" i="43"/>
  <c r="AA33" i="43" s="1"/>
  <c r="AM33" i="43" s="1"/>
  <c r="BF32" i="43"/>
  <c r="BE32" i="43"/>
  <c r="BD32" i="43"/>
  <c r="BC32" i="43"/>
  <c r="BB32" i="43"/>
  <c r="AW32" i="43"/>
  <c r="AI32" i="43"/>
  <c r="AH32" i="43"/>
  <c r="AG32" i="43"/>
  <c r="AF32" i="43"/>
  <c r="W32" i="43"/>
  <c r="V32" i="43"/>
  <c r="U32" i="43"/>
  <c r="T32" i="43"/>
  <c r="S32" i="43"/>
  <c r="AE32" i="43" s="1"/>
  <c r="AQ32" i="43" s="1"/>
  <c r="R32" i="43"/>
  <c r="Q32" i="43"/>
  <c r="AC32" i="43" s="1"/>
  <c r="AO32" i="43" s="1"/>
  <c r="P32" i="43"/>
  <c r="AB32" i="43" s="1"/>
  <c r="AN32" i="43" s="1"/>
  <c r="O32" i="43"/>
  <c r="AA32" i="43" s="1"/>
  <c r="AM32" i="43" s="1"/>
  <c r="BF31" i="43"/>
  <c r="BE31" i="43"/>
  <c r="BD31" i="43"/>
  <c r="BC31" i="43"/>
  <c r="BB31" i="43"/>
  <c r="AW31" i="43"/>
  <c r="AI31" i="43"/>
  <c r="AH31" i="43"/>
  <c r="AG31" i="43"/>
  <c r="AF31" i="43"/>
  <c r="W31" i="43"/>
  <c r="V31" i="43"/>
  <c r="U31" i="43"/>
  <c r="T31" i="43"/>
  <c r="S31" i="43"/>
  <c r="AE31" i="43" s="1"/>
  <c r="AQ31" i="43" s="1"/>
  <c r="R31" i="43"/>
  <c r="AD31" i="43" s="1"/>
  <c r="AP31" i="43" s="1"/>
  <c r="Q31" i="43"/>
  <c r="P31" i="43"/>
  <c r="AB31" i="43" s="1"/>
  <c r="AN31" i="43" s="1"/>
  <c r="O31" i="43"/>
  <c r="AA31" i="43" s="1"/>
  <c r="AM31" i="43" s="1"/>
  <c r="BF30" i="43"/>
  <c r="BE30" i="43"/>
  <c r="BD30" i="43"/>
  <c r="BC30" i="43"/>
  <c r="BB30" i="43"/>
  <c r="AW30" i="43"/>
  <c r="AI30" i="43"/>
  <c r="AH30" i="43"/>
  <c r="AG30" i="43"/>
  <c r="AF30" i="43"/>
  <c r="W30" i="43"/>
  <c r="V30" i="43"/>
  <c r="U30" i="43"/>
  <c r="T30" i="43"/>
  <c r="S30" i="43"/>
  <c r="AE30" i="43" s="1"/>
  <c r="AQ30" i="43" s="1"/>
  <c r="R30" i="43"/>
  <c r="AD30" i="43" s="1"/>
  <c r="AP30" i="43" s="1"/>
  <c r="Q30" i="43"/>
  <c r="P30" i="43"/>
  <c r="AB30" i="43" s="1"/>
  <c r="AN30" i="43" s="1"/>
  <c r="O30" i="43"/>
  <c r="AA30" i="43" s="1"/>
  <c r="AM30" i="43" s="1"/>
  <c r="BF29" i="43"/>
  <c r="BE29" i="43"/>
  <c r="BD29" i="43"/>
  <c r="BC29" i="43"/>
  <c r="BB29" i="43"/>
  <c r="AW29" i="43"/>
  <c r="AI29" i="43"/>
  <c r="AH29" i="43"/>
  <c r="AG29" i="43"/>
  <c r="AF29" i="43"/>
  <c r="W29" i="43"/>
  <c r="V29" i="43"/>
  <c r="U29" i="43"/>
  <c r="T29" i="43"/>
  <c r="S29" i="43"/>
  <c r="AE29" i="43" s="1"/>
  <c r="AQ29" i="43" s="1"/>
  <c r="R29" i="43"/>
  <c r="AD29" i="43" s="1"/>
  <c r="AP29" i="43" s="1"/>
  <c r="Q29" i="43"/>
  <c r="AC29" i="43" s="1"/>
  <c r="AO29" i="43" s="1"/>
  <c r="P29" i="43"/>
  <c r="AB29" i="43" s="1"/>
  <c r="AN29" i="43" s="1"/>
  <c r="O29" i="43"/>
  <c r="S27" i="43"/>
  <c r="R27" i="43"/>
  <c r="AD27" i="43" s="1"/>
  <c r="Q27" i="43"/>
  <c r="P27" i="43"/>
  <c r="AB27" i="43" s="1"/>
  <c r="O27" i="43"/>
  <c r="AK25" i="43"/>
  <c r="Y25" i="43"/>
  <c r="M25" i="43"/>
  <c r="A25" i="43"/>
  <c r="A1" i="43"/>
  <c r="N4" i="14"/>
  <c r="M4" i="14"/>
  <c r="F21" i="42"/>
  <c r="V240" i="42"/>
  <c r="AA240" i="42" s="1"/>
  <c r="AG240" i="42" s="1"/>
  <c r="AK240" i="42" s="1"/>
  <c r="V239" i="42"/>
  <c r="AA239" i="42" s="1"/>
  <c r="AG239" i="42" s="1"/>
  <c r="AK239" i="42" s="1"/>
  <c r="V238" i="42"/>
  <c r="AA238" i="42" s="1"/>
  <c r="AG238" i="42" s="1"/>
  <c r="AK238" i="42" s="1"/>
  <c r="V237" i="42"/>
  <c r="AA237" i="42" s="1"/>
  <c r="AG237" i="42" s="1"/>
  <c r="AK237" i="42" s="1"/>
  <c r="V236" i="42"/>
  <c r="AA236" i="42" s="1"/>
  <c r="AG236" i="42" s="1"/>
  <c r="AK236" i="42" s="1"/>
  <c r="V235" i="42"/>
  <c r="AA235" i="42" s="1"/>
  <c r="AG235" i="42" s="1"/>
  <c r="AK235" i="42" s="1"/>
  <c r="V234" i="42"/>
  <c r="AA234" i="42" s="1"/>
  <c r="AG234" i="42" s="1"/>
  <c r="AK234" i="42" s="1"/>
  <c r="V233" i="42"/>
  <c r="AA233" i="42" s="1"/>
  <c r="AG233" i="42" s="1"/>
  <c r="AK233" i="42" s="1"/>
  <c r="V232" i="42"/>
  <c r="AA232" i="42" s="1"/>
  <c r="AG232" i="42" s="1"/>
  <c r="AK232" i="42" s="1"/>
  <c r="V231" i="42"/>
  <c r="AA231" i="42" s="1"/>
  <c r="AG231" i="42" s="1"/>
  <c r="AK231" i="42" s="1"/>
  <c r="V230" i="42"/>
  <c r="AA230" i="42" s="1"/>
  <c r="AG230" i="42" s="1"/>
  <c r="AK230" i="42" s="1"/>
  <c r="V229" i="42"/>
  <c r="AA229" i="42" s="1"/>
  <c r="AG229" i="42" s="1"/>
  <c r="AK229" i="42" s="1"/>
  <c r="V228" i="42"/>
  <c r="AA228" i="42" s="1"/>
  <c r="AG228" i="42" s="1"/>
  <c r="AK228" i="42" s="1"/>
  <c r="V227" i="42"/>
  <c r="AA227" i="42" s="1"/>
  <c r="AG227" i="42" s="1"/>
  <c r="AK227" i="42" s="1"/>
  <c r="V226" i="42"/>
  <c r="AA226" i="42" s="1"/>
  <c r="AG226" i="42" s="1"/>
  <c r="AK226" i="42" s="1"/>
  <c r="V225" i="42"/>
  <c r="AA225" i="42" s="1"/>
  <c r="AG225" i="42" s="1"/>
  <c r="AK225" i="42" s="1"/>
  <c r="V224" i="42"/>
  <c r="AA224" i="42" s="1"/>
  <c r="AG224" i="42" s="1"/>
  <c r="AK224" i="42" s="1"/>
  <c r="V223" i="42"/>
  <c r="AA223" i="42" s="1"/>
  <c r="AG223" i="42" s="1"/>
  <c r="AK223" i="42" s="1"/>
  <c r="V222" i="42"/>
  <c r="AA222" i="42" s="1"/>
  <c r="AG222" i="42" s="1"/>
  <c r="AK222" i="42" s="1"/>
  <c r="V221" i="42"/>
  <c r="AA221" i="42" s="1"/>
  <c r="AG221" i="42" s="1"/>
  <c r="AK221" i="42" s="1"/>
  <c r="V220" i="42"/>
  <c r="AA220" i="42" s="1"/>
  <c r="AG220" i="42" s="1"/>
  <c r="AK220" i="42" s="1"/>
  <c r="V219" i="42"/>
  <c r="AA219" i="42" s="1"/>
  <c r="AG219" i="42" s="1"/>
  <c r="AK219" i="42" s="1"/>
  <c r="V218" i="42"/>
  <c r="AA218" i="42" s="1"/>
  <c r="AG218" i="42" s="1"/>
  <c r="AK218" i="42" s="1"/>
  <c r="V217" i="42"/>
  <c r="AA217" i="42" s="1"/>
  <c r="AG217" i="42" s="1"/>
  <c r="AK217" i="42" s="1"/>
  <c r="V216" i="42"/>
  <c r="AA216" i="42" s="1"/>
  <c r="AG216" i="42" s="1"/>
  <c r="AK216" i="42" s="1"/>
  <c r="V215" i="42"/>
  <c r="AA215" i="42" s="1"/>
  <c r="AG215" i="42" s="1"/>
  <c r="AK215" i="42" s="1"/>
  <c r="V214" i="42"/>
  <c r="AA214" i="42" s="1"/>
  <c r="AG214" i="42" s="1"/>
  <c r="AK214" i="42" s="1"/>
  <c r="V213" i="42"/>
  <c r="AA213" i="42" s="1"/>
  <c r="AG213" i="42" s="1"/>
  <c r="AK213" i="42" s="1"/>
  <c r="V212" i="42"/>
  <c r="AA212" i="42" s="1"/>
  <c r="AG212" i="42" s="1"/>
  <c r="AK212" i="42" s="1"/>
  <c r="V211" i="42"/>
  <c r="AA211" i="42" s="1"/>
  <c r="AG211" i="42" s="1"/>
  <c r="AK211" i="42" s="1"/>
  <c r="V210" i="42"/>
  <c r="AA210" i="42" s="1"/>
  <c r="AG210" i="42" s="1"/>
  <c r="AK210" i="42" s="1"/>
  <c r="V209" i="42"/>
  <c r="AA209" i="42" s="1"/>
  <c r="AG209" i="42" s="1"/>
  <c r="AK209" i="42" s="1"/>
  <c r="V208" i="42"/>
  <c r="AA208" i="42" s="1"/>
  <c r="AG208" i="42" s="1"/>
  <c r="AK208" i="42" s="1"/>
  <c r="V207" i="42"/>
  <c r="AA207" i="42" s="1"/>
  <c r="AG207" i="42" s="1"/>
  <c r="AK207" i="42" s="1"/>
  <c r="V206" i="42"/>
  <c r="AA206" i="42" s="1"/>
  <c r="AG206" i="42" s="1"/>
  <c r="AK206" i="42" s="1"/>
  <c r="V205" i="42"/>
  <c r="AA205" i="42" s="1"/>
  <c r="AG205" i="42" s="1"/>
  <c r="AK205" i="42" s="1"/>
  <c r="V204" i="42"/>
  <c r="AA204" i="42" s="1"/>
  <c r="AG204" i="42" s="1"/>
  <c r="AK204" i="42" s="1"/>
  <c r="V203" i="42"/>
  <c r="AA203" i="42" s="1"/>
  <c r="AG203" i="42" s="1"/>
  <c r="AK203" i="42" s="1"/>
  <c r="V202" i="42"/>
  <c r="AA202" i="42" s="1"/>
  <c r="AG202" i="42" s="1"/>
  <c r="AK202" i="42" s="1"/>
  <c r="V201" i="42"/>
  <c r="AA201" i="42" s="1"/>
  <c r="AG201" i="42" s="1"/>
  <c r="AK201" i="42" s="1"/>
  <c r="V200" i="42"/>
  <c r="AA200" i="42" s="1"/>
  <c r="AG200" i="42" s="1"/>
  <c r="AK200" i="42" s="1"/>
  <c r="V199" i="42"/>
  <c r="AA199" i="42" s="1"/>
  <c r="AG199" i="42" s="1"/>
  <c r="AK199" i="42" s="1"/>
  <c r="V198" i="42"/>
  <c r="AA198" i="42" s="1"/>
  <c r="AG198" i="42" s="1"/>
  <c r="AK198" i="42" s="1"/>
  <c r="V197" i="42"/>
  <c r="AA197" i="42" s="1"/>
  <c r="AG197" i="42" s="1"/>
  <c r="AK197" i="42" s="1"/>
  <c r="V196" i="42"/>
  <c r="AA196" i="42" s="1"/>
  <c r="AG196" i="42" s="1"/>
  <c r="AK196" i="42" s="1"/>
  <c r="V195" i="42"/>
  <c r="AA195" i="42" s="1"/>
  <c r="AA194" i="42"/>
  <c r="AG194" i="42" s="1"/>
  <c r="AK194" i="42" s="1"/>
  <c r="Z194" i="42"/>
  <c r="AJ194" i="42" s="1"/>
  <c r="AP181" i="42"/>
  <c r="AC181" i="42"/>
  <c r="AP180" i="42"/>
  <c r="AY180" i="42" s="1"/>
  <c r="AC180" i="42"/>
  <c r="AP179" i="42"/>
  <c r="AY179" i="42" s="1"/>
  <c r="AC179" i="42"/>
  <c r="AP178" i="42"/>
  <c r="AY178" i="42" s="1"/>
  <c r="AC178" i="42"/>
  <c r="AP177" i="42"/>
  <c r="AY177" i="42" s="1"/>
  <c r="AC177" i="42"/>
  <c r="AP176" i="42"/>
  <c r="AY176" i="42" s="1"/>
  <c r="AC176" i="42"/>
  <c r="AP175" i="42"/>
  <c r="AY175" i="42" s="1"/>
  <c r="AC175" i="42"/>
  <c r="AP174" i="42"/>
  <c r="AY174" i="42" s="1"/>
  <c r="AC174" i="42"/>
  <c r="AP173" i="42"/>
  <c r="AY173" i="42" s="1"/>
  <c r="AC173" i="42"/>
  <c r="AP172" i="42"/>
  <c r="AY172" i="42" s="1"/>
  <c r="AC172" i="42"/>
  <c r="AP171" i="42"/>
  <c r="AY171" i="42" s="1"/>
  <c r="AC171" i="42"/>
  <c r="AP170" i="42"/>
  <c r="AC170" i="42"/>
  <c r="AP169" i="42"/>
  <c r="AY169" i="42" s="1"/>
  <c r="AC169" i="42"/>
  <c r="AP168" i="42"/>
  <c r="AY168" i="42" s="1"/>
  <c r="AC168" i="42"/>
  <c r="AP167" i="42"/>
  <c r="AY167" i="42" s="1"/>
  <c r="AC167" i="42"/>
  <c r="AP166" i="42"/>
  <c r="AY166" i="42" s="1"/>
  <c r="AC166" i="42"/>
  <c r="AP165" i="42"/>
  <c r="AY165" i="42" s="1"/>
  <c r="AC165" i="42"/>
  <c r="AP164" i="42"/>
  <c r="AC164" i="42"/>
  <c r="AP163" i="42"/>
  <c r="AY163" i="42" s="1"/>
  <c r="AC163" i="42"/>
  <c r="AP162" i="42"/>
  <c r="AC162" i="42"/>
  <c r="AP161" i="42"/>
  <c r="AY161" i="42" s="1"/>
  <c r="AC161" i="42"/>
  <c r="AP160" i="42"/>
  <c r="AC160" i="42"/>
  <c r="AP159" i="42"/>
  <c r="AY159" i="42" s="1"/>
  <c r="AC159" i="42"/>
  <c r="AP158" i="42"/>
  <c r="AC158" i="42"/>
  <c r="AP157" i="42"/>
  <c r="AY157" i="42" s="1"/>
  <c r="AC157" i="42"/>
  <c r="AP156" i="42"/>
  <c r="AC156" i="42"/>
  <c r="AP155" i="42"/>
  <c r="AY155" i="42" s="1"/>
  <c r="AC155" i="42"/>
  <c r="AP154" i="42"/>
  <c r="AY154" i="42" s="1"/>
  <c r="AC154" i="42"/>
  <c r="AP153" i="42"/>
  <c r="AY153" i="42" s="1"/>
  <c r="AC153" i="42"/>
  <c r="AP152" i="42"/>
  <c r="AY152" i="42" s="1"/>
  <c r="AC152" i="42"/>
  <c r="AP151" i="42"/>
  <c r="AY151" i="42" s="1"/>
  <c r="AC151" i="42"/>
  <c r="AP150" i="42"/>
  <c r="AY150" i="42" s="1"/>
  <c r="AC150" i="42"/>
  <c r="AP149" i="42"/>
  <c r="AY149" i="42" s="1"/>
  <c r="AC149" i="42"/>
  <c r="AP148" i="42"/>
  <c r="AY148" i="42" s="1"/>
  <c r="AC148" i="42"/>
  <c r="AP147" i="42"/>
  <c r="AY147" i="42" s="1"/>
  <c r="AC147" i="42"/>
  <c r="AP146" i="42"/>
  <c r="AY146" i="42" s="1"/>
  <c r="AC146" i="42"/>
  <c r="AP145" i="42"/>
  <c r="AY145" i="42" s="1"/>
  <c r="AC145" i="42"/>
  <c r="AP144" i="42"/>
  <c r="AC144" i="42"/>
  <c r="AP143" i="42"/>
  <c r="AY143" i="42" s="1"/>
  <c r="AC143" i="42"/>
  <c r="AP142" i="42"/>
  <c r="AC142" i="42"/>
  <c r="AP141" i="42"/>
  <c r="AY141" i="42" s="1"/>
  <c r="AC141" i="42"/>
  <c r="AP140" i="42"/>
  <c r="AY140" i="42" s="1"/>
  <c r="AC140" i="42"/>
  <c r="AP139" i="42"/>
  <c r="AY139" i="42" s="1"/>
  <c r="AC139" i="42"/>
  <c r="AP138" i="42"/>
  <c r="AY138" i="42" s="1"/>
  <c r="AC138" i="42"/>
  <c r="AP137" i="42"/>
  <c r="AY137" i="42" s="1"/>
  <c r="AC137" i="42"/>
  <c r="AP136" i="42"/>
  <c r="AY136" i="42" s="1"/>
  <c r="AC136" i="42"/>
  <c r="AY135" i="42"/>
  <c r="AX135" i="42"/>
  <c r="AV135" i="42"/>
  <c r="AU135" i="42"/>
  <c r="C126" i="42"/>
  <c r="C125" i="42"/>
  <c r="C124" i="42"/>
  <c r="C123" i="42"/>
  <c r="C122" i="42"/>
  <c r="C121" i="42"/>
  <c r="C120" i="42"/>
  <c r="C119" i="42"/>
  <c r="C118" i="42"/>
  <c r="C117" i="42"/>
  <c r="C116" i="42"/>
  <c r="C115" i="42"/>
  <c r="C114" i="42"/>
  <c r="C113" i="42"/>
  <c r="C112" i="42"/>
  <c r="C111" i="42"/>
  <c r="C110" i="42"/>
  <c r="C109" i="42"/>
  <c r="C108" i="42"/>
  <c r="C107" i="42"/>
  <c r="C106" i="42"/>
  <c r="C105" i="42"/>
  <c r="C104" i="42"/>
  <c r="C103" i="42"/>
  <c r="C102" i="42"/>
  <c r="C101" i="42"/>
  <c r="C100" i="42"/>
  <c r="C99" i="42"/>
  <c r="C98" i="42"/>
  <c r="C97" i="42"/>
  <c r="C96" i="42"/>
  <c r="C95" i="42"/>
  <c r="C94" i="42"/>
  <c r="C93" i="42"/>
  <c r="C92" i="42"/>
  <c r="C91" i="42"/>
  <c r="C90" i="42"/>
  <c r="C89" i="42"/>
  <c r="C88" i="42"/>
  <c r="C87" i="42"/>
  <c r="C86" i="42"/>
  <c r="C85" i="42"/>
  <c r="C84" i="42"/>
  <c r="C83" i="42"/>
  <c r="C82" i="42"/>
  <c r="C81" i="42"/>
  <c r="C80" i="42"/>
  <c r="B80" i="42"/>
  <c r="F79" i="42"/>
  <c r="W78" i="42"/>
  <c r="H78" i="42"/>
  <c r="A78" i="42"/>
  <c r="BF75" i="42"/>
  <c r="BE75" i="42"/>
  <c r="BD75" i="42"/>
  <c r="BC75" i="42"/>
  <c r="BB75" i="42"/>
  <c r="AW75" i="42"/>
  <c r="AI75" i="42"/>
  <c r="AH75" i="42"/>
  <c r="AG75" i="42"/>
  <c r="AF75" i="42"/>
  <c r="K126" i="42" s="1"/>
  <c r="W75" i="42"/>
  <c r="V75" i="42"/>
  <c r="U75" i="42"/>
  <c r="T75" i="42"/>
  <c r="S75" i="42"/>
  <c r="AE75" i="42" s="1"/>
  <c r="AQ75" i="42" s="1"/>
  <c r="R75" i="42"/>
  <c r="AD75" i="42" s="1"/>
  <c r="AP75" i="42" s="1"/>
  <c r="Q75" i="42"/>
  <c r="AC75" i="42" s="1"/>
  <c r="AO75" i="42" s="1"/>
  <c r="P75" i="42"/>
  <c r="AB75" i="42" s="1"/>
  <c r="AN75" i="42" s="1"/>
  <c r="O75" i="42"/>
  <c r="AA75" i="42" s="1"/>
  <c r="AM75" i="42" s="1"/>
  <c r="BF74" i="42"/>
  <c r="BE74" i="42"/>
  <c r="BD74" i="42"/>
  <c r="BC74" i="42"/>
  <c r="BB74" i="42"/>
  <c r="AW74" i="42"/>
  <c r="AI74" i="42"/>
  <c r="AH74" i="42"/>
  <c r="AG74" i="42"/>
  <c r="AF74" i="42"/>
  <c r="W74" i="42"/>
  <c r="AU74" i="42" s="1"/>
  <c r="V74" i="42"/>
  <c r="U74" i="42"/>
  <c r="T74" i="42"/>
  <c r="S74" i="42"/>
  <c r="AE74" i="42" s="1"/>
  <c r="AQ74" i="42" s="1"/>
  <c r="R74" i="42"/>
  <c r="Q74" i="42"/>
  <c r="AC74" i="42" s="1"/>
  <c r="AO74" i="42" s="1"/>
  <c r="P74" i="42"/>
  <c r="AB74" i="42" s="1"/>
  <c r="AN74" i="42" s="1"/>
  <c r="O74" i="42"/>
  <c r="AA74" i="42" s="1"/>
  <c r="AM74" i="42" s="1"/>
  <c r="BF73" i="42"/>
  <c r="BE73" i="42"/>
  <c r="BD73" i="42"/>
  <c r="BC73" i="42"/>
  <c r="BB73" i="42"/>
  <c r="AW73" i="42"/>
  <c r="AI73" i="42"/>
  <c r="AH73" i="42"/>
  <c r="AG73" i="42"/>
  <c r="AF73" i="42"/>
  <c r="W73" i="42"/>
  <c r="V73" i="42"/>
  <c r="U73" i="42"/>
  <c r="T73" i="42"/>
  <c r="S73" i="42"/>
  <c r="AE73" i="42" s="1"/>
  <c r="AQ73" i="42" s="1"/>
  <c r="R73" i="42"/>
  <c r="AD73" i="42" s="1"/>
  <c r="AP73" i="42" s="1"/>
  <c r="Q73" i="42"/>
  <c r="AC73" i="42" s="1"/>
  <c r="AO73" i="42" s="1"/>
  <c r="P73" i="42"/>
  <c r="AB73" i="42" s="1"/>
  <c r="AN73" i="42" s="1"/>
  <c r="O73" i="42"/>
  <c r="AA73" i="42" s="1"/>
  <c r="AM73" i="42" s="1"/>
  <c r="BF72" i="42"/>
  <c r="BE72" i="42"/>
  <c r="BD72" i="42"/>
  <c r="BC72" i="42"/>
  <c r="BB72" i="42"/>
  <c r="AW72" i="42"/>
  <c r="AI72" i="42"/>
  <c r="AH72" i="42"/>
  <c r="AG72" i="42"/>
  <c r="AF72" i="42"/>
  <c r="W72" i="42"/>
  <c r="V72" i="42"/>
  <c r="U72" i="42"/>
  <c r="T72" i="42"/>
  <c r="S72" i="42"/>
  <c r="AE72" i="42" s="1"/>
  <c r="AQ72" i="42" s="1"/>
  <c r="R72" i="42"/>
  <c r="AD72" i="42" s="1"/>
  <c r="AP72" i="42" s="1"/>
  <c r="Q72" i="42"/>
  <c r="AC72" i="42" s="1"/>
  <c r="AO72" i="42" s="1"/>
  <c r="P72" i="42"/>
  <c r="AB72" i="42" s="1"/>
  <c r="AN72" i="42" s="1"/>
  <c r="O72" i="42"/>
  <c r="BF71" i="42"/>
  <c r="BE71" i="42"/>
  <c r="BD71" i="42"/>
  <c r="BC71" i="42"/>
  <c r="BB71" i="42"/>
  <c r="AW71" i="42"/>
  <c r="AI71" i="42"/>
  <c r="AH71" i="42"/>
  <c r="AG71" i="42"/>
  <c r="AF71" i="42"/>
  <c r="W71" i="42"/>
  <c r="V71" i="42"/>
  <c r="U71" i="42"/>
  <c r="T71" i="42"/>
  <c r="S71" i="42"/>
  <c r="AE71" i="42" s="1"/>
  <c r="AQ71" i="42" s="1"/>
  <c r="R71" i="42"/>
  <c r="AD71" i="42" s="1"/>
  <c r="AP71" i="42" s="1"/>
  <c r="Q71" i="42"/>
  <c r="AC71" i="42" s="1"/>
  <c r="AO71" i="42" s="1"/>
  <c r="P71" i="42"/>
  <c r="AB71" i="42" s="1"/>
  <c r="AN71" i="42" s="1"/>
  <c r="O71" i="42"/>
  <c r="BF70" i="42"/>
  <c r="BE70" i="42"/>
  <c r="BD70" i="42"/>
  <c r="BC70" i="42"/>
  <c r="BB70" i="42"/>
  <c r="AW70" i="42"/>
  <c r="AI70" i="42"/>
  <c r="AH70" i="42"/>
  <c r="AG70" i="42"/>
  <c r="AF70" i="42"/>
  <c r="W70" i="42"/>
  <c r="V70" i="42"/>
  <c r="U70" i="42"/>
  <c r="T70" i="42"/>
  <c r="AR70" i="42" s="1"/>
  <c r="S70" i="42"/>
  <c r="AE70" i="42" s="1"/>
  <c r="AQ70" i="42" s="1"/>
  <c r="R70" i="42"/>
  <c r="AD70" i="42" s="1"/>
  <c r="AP70" i="42" s="1"/>
  <c r="Q70" i="42"/>
  <c r="AC70" i="42" s="1"/>
  <c r="AO70" i="42" s="1"/>
  <c r="P70" i="42"/>
  <c r="AB70" i="42" s="1"/>
  <c r="AN70" i="42" s="1"/>
  <c r="O70" i="42"/>
  <c r="AA70" i="42" s="1"/>
  <c r="AM70" i="42" s="1"/>
  <c r="BF69" i="42"/>
  <c r="BE69" i="42"/>
  <c r="BD69" i="42"/>
  <c r="BC69" i="42"/>
  <c r="BB69" i="42"/>
  <c r="AW69" i="42"/>
  <c r="AI69" i="42"/>
  <c r="AH69" i="42"/>
  <c r="AG69" i="42"/>
  <c r="AF69" i="42"/>
  <c r="W69" i="42"/>
  <c r="V69" i="42"/>
  <c r="U69" i="42"/>
  <c r="T69" i="42"/>
  <c r="S69" i="42"/>
  <c r="AE69" i="42" s="1"/>
  <c r="AQ69" i="42" s="1"/>
  <c r="R69" i="42"/>
  <c r="AD69" i="42" s="1"/>
  <c r="AP69" i="42" s="1"/>
  <c r="Q69" i="42"/>
  <c r="AC69" i="42" s="1"/>
  <c r="AO69" i="42" s="1"/>
  <c r="P69" i="42"/>
  <c r="AB69" i="42" s="1"/>
  <c r="AN69" i="42" s="1"/>
  <c r="O69" i="42"/>
  <c r="AA69" i="42" s="1"/>
  <c r="AM69" i="42" s="1"/>
  <c r="BF68" i="42"/>
  <c r="BE68" i="42"/>
  <c r="BD68" i="42"/>
  <c r="BC68" i="42"/>
  <c r="BB68" i="42"/>
  <c r="AW68" i="42"/>
  <c r="AI68" i="42"/>
  <c r="AH68" i="42"/>
  <c r="AG68" i="42"/>
  <c r="AF68" i="42"/>
  <c r="W68" i="42"/>
  <c r="V68" i="42"/>
  <c r="U68" i="42"/>
  <c r="T68" i="42"/>
  <c r="S68" i="42"/>
  <c r="AE68" i="42" s="1"/>
  <c r="AQ68" i="42" s="1"/>
  <c r="R68" i="42"/>
  <c r="AD68" i="42" s="1"/>
  <c r="AP68" i="42" s="1"/>
  <c r="Q68" i="42"/>
  <c r="AC68" i="42" s="1"/>
  <c r="AO68" i="42" s="1"/>
  <c r="P68" i="42"/>
  <c r="AB68" i="42" s="1"/>
  <c r="AN68" i="42" s="1"/>
  <c r="O68" i="42"/>
  <c r="AA68" i="42" s="1"/>
  <c r="AM68" i="42" s="1"/>
  <c r="BF67" i="42"/>
  <c r="BE67" i="42"/>
  <c r="BD67" i="42"/>
  <c r="BC67" i="42"/>
  <c r="BB67" i="42"/>
  <c r="AW67" i="42"/>
  <c r="AI67" i="42"/>
  <c r="AH67" i="42"/>
  <c r="AG67" i="42"/>
  <c r="AF67" i="42"/>
  <c r="K118" i="42" s="1"/>
  <c r="W67" i="42"/>
  <c r="V67" i="42"/>
  <c r="U67" i="42"/>
  <c r="T67" i="42"/>
  <c r="S67" i="42"/>
  <c r="AE67" i="42" s="1"/>
  <c r="AQ67" i="42" s="1"/>
  <c r="R67" i="42"/>
  <c r="AD67" i="42" s="1"/>
  <c r="AP67" i="42" s="1"/>
  <c r="Q67" i="42"/>
  <c r="AC67" i="42" s="1"/>
  <c r="AO67" i="42" s="1"/>
  <c r="P67" i="42"/>
  <c r="AB67" i="42" s="1"/>
  <c r="AN67" i="42" s="1"/>
  <c r="O67" i="42"/>
  <c r="BF66" i="42"/>
  <c r="BE66" i="42"/>
  <c r="BD66" i="42"/>
  <c r="BC66" i="42"/>
  <c r="BB66" i="42"/>
  <c r="AW66" i="42"/>
  <c r="AI66" i="42"/>
  <c r="AH66" i="42"/>
  <c r="AG66" i="42"/>
  <c r="AF66" i="42"/>
  <c r="W66" i="42"/>
  <c r="V66" i="42"/>
  <c r="U66" i="42"/>
  <c r="T66" i="42"/>
  <c r="S66" i="42"/>
  <c r="AE66" i="42" s="1"/>
  <c r="AQ66" i="42" s="1"/>
  <c r="R66" i="42"/>
  <c r="AD66" i="42" s="1"/>
  <c r="AP66" i="42" s="1"/>
  <c r="Q66" i="42"/>
  <c r="AC66" i="42" s="1"/>
  <c r="AO66" i="42" s="1"/>
  <c r="P66" i="42"/>
  <c r="AB66" i="42" s="1"/>
  <c r="AN66" i="42" s="1"/>
  <c r="O66" i="42"/>
  <c r="AA66" i="42" s="1"/>
  <c r="AM66" i="42" s="1"/>
  <c r="BF65" i="42"/>
  <c r="BE65" i="42"/>
  <c r="BD65" i="42"/>
  <c r="BC65" i="42"/>
  <c r="BB65" i="42"/>
  <c r="AW65" i="42"/>
  <c r="AI65" i="42"/>
  <c r="AH65" i="42"/>
  <c r="AG65" i="42"/>
  <c r="AF65" i="42"/>
  <c r="K116" i="42" s="1"/>
  <c r="W65" i="42"/>
  <c r="V65" i="42"/>
  <c r="U65" i="42"/>
  <c r="AS65" i="42" s="1"/>
  <c r="T65" i="42"/>
  <c r="S65" i="42"/>
  <c r="AE65" i="42" s="1"/>
  <c r="AQ65" i="42" s="1"/>
  <c r="R65" i="42"/>
  <c r="AD65" i="42" s="1"/>
  <c r="AP65" i="42" s="1"/>
  <c r="Q65" i="42"/>
  <c r="AC65" i="42" s="1"/>
  <c r="AO65" i="42" s="1"/>
  <c r="P65" i="42"/>
  <c r="AB65" i="42" s="1"/>
  <c r="AN65" i="42" s="1"/>
  <c r="O65" i="42"/>
  <c r="BF64" i="42"/>
  <c r="BE64" i="42"/>
  <c r="BD64" i="42"/>
  <c r="BC64" i="42"/>
  <c r="BB64" i="42"/>
  <c r="AW64" i="42"/>
  <c r="AI64" i="42"/>
  <c r="AH64" i="42"/>
  <c r="AG64" i="42"/>
  <c r="AF64" i="42"/>
  <c r="W64" i="42"/>
  <c r="V64" i="42"/>
  <c r="U64" i="42"/>
  <c r="T64" i="42"/>
  <c r="S64" i="42"/>
  <c r="AE64" i="42" s="1"/>
  <c r="AQ64" i="42" s="1"/>
  <c r="R64" i="42"/>
  <c r="AD64" i="42" s="1"/>
  <c r="AP64" i="42" s="1"/>
  <c r="Q64" i="42"/>
  <c r="AC64" i="42" s="1"/>
  <c r="AO64" i="42" s="1"/>
  <c r="P64" i="42"/>
  <c r="AB64" i="42" s="1"/>
  <c r="AN64" i="42" s="1"/>
  <c r="O64" i="42"/>
  <c r="BF63" i="42"/>
  <c r="BE63" i="42"/>
  <c r="BD63" i="42"/>
  <c r="BC63" i="42"/>
  <c r="BB63" i="42"/>
  <c r="AW63" i="42"/>
  <c r="AI63" i="42"/>
  <c r="AH63" i="42"/>
  <c r="AG63" i="42"/>
  <c r="AF63" i="42"/>
  <c r="W63" i="42"/>
  <c r="V63" i="42"/>
  <c r="U63" i="42"/>
  <c r="T63" i="42"/>
  <c r="S63" i="42"/>
  <c r="AE63" i="42" s="1"/>
  <c r="AQ63" i="42" s="1"/>
  <c r="R63" i="42"/>
  <c r="AD63" i="42" s="1"/>
  <c r="AP63" i="42" s="1"/>
  <c r="Q63" i="42"/>
  <c r="AC63" i="42" s="1"/>
  <c r="AO63" i="42" s="1"/>
  <c r="P63" i="42"/>
  <c r="AB63" i="42" s="1"/>
  <c r="AN63" i="42" s="1"/>
  <c r="O63" i="42"/>
  <c r="AA63" i="42" s="1"/>
  <c r="AM63" i="42" s="1"/>
  <c r="BF62" i="42"/>
  <c r="BE62" i="42"/>
  <c r="BD62" i="42"/>
  <c r="BC62" i="42"/>
  <c r="BB62" i="42"/>
  <c r="AW62" i="42"/>
  <c r="AI62" i="42"/>
  <c r="AH62" i="42"/>
  <c r="AG62" i="42"/>
  <c r="AF62" i="42"/>
  <c r="W62" i="42"/>
  <c r="V62" i="42"/>
  <c r="U62" i="42"/>
  <c r="T62" i="42"/>
  <c r="S62" i="42"/>
  <c r="AE62" i="42" s="1"/>
  <c r="AQ62" i="42" s="1"/>
  <c r="R62" i="42"/>
  <c r="AD62" i="42" s="1"/>
  <c r="AP62" i="42" s="1"/>
  <c r="Q62" i="42"/>
  <c r="AC62" i="42" s="1"/>
  <c r="AO62" i="42" s="1"/>
  <c r="P62" i="42"/>
  <c r="AB62" i="42" s="1"/>
  <c r="AN62" i="42" s="1"/>
  <c r="O62" i="42"/>
  <c r="AA62" i="42" s="1"/>
  <c r="AM62" i="42" s="1"/>
  <c r="BF61" i="42"/>
  <c r="BE61" i="42"/>
  <c r="BD61" i="42"/>
  <c r="BC61" i="42"/>
  <c r="BB61" i="42"/>
  <c r="AW61" i="42"/>
  <c r="AI61" i="42"/>
  <c r="AH61" i="42"/>
  <c r="AG61" i="42"/>
  <c r="AF61" i="42"/>
  <c r="W61" i="42"/>
  <c r="V61" i="42"/>
  <c r="U61" i="42"/>
  <c r="T61" i="42"/>
  <c r="S61" i="42"/>
  <c r="AE61" i="42" s="1"/>
  <c r="AQ61" i="42" s="1"/>
  <c r="R61" i="42"/>
  <c r="AD61" i="42" s="1"/>
  <c r="AP61" i="42" s="1"/>
  <c r="Q61" i="42"/>
  <c r="AC61" i="42" s="1"/>
  <c r="AO61" i="42" s="1"/>
  <c r="P61" i="42"/>
  <c r="AB61" i="42" s="1"/>
  <c r="AN61" i="42" s="1"/>
  <c r="O61" i="42"/>
  <c r="BF60" i="42"/>
  <c r="BE60" i="42"/>
  <c r="BD60" i="42"/>
  <c r="BC60" i="42"/>
  <c r="BB60" i="42"/>
  <c r="AW60" i="42"/>
  <c r="AI60" i="42"/>
  <c r="AH60" i="42"/>
  <c r="AG60" i="42"/>
  <c r="AF60" i="42"/>
  <c r="W60" i="42"/>
  <c r="V60" i="42"/>
  <c r="U60" i="42"/>
  <c r="T60" i="42"/>
  <c r="S60" i="42"/>
  <c r="AE60" i="42" s="1"/>
  <c r="AQ60" i="42" s="1"/>
  <c r="R60" i="42"/>
  <c r="AD60" i="42" s="1"/>
  <c r="AP60" i="42" s="1"/>
  <c r="Q60" i="42"/>
  <c r="AC60" i="42" s="1"/>
  <c r="AO60" i="42" s="1"/>
  <c r="P60" i="42"/>
  <c r="AB60" i="42" s="1"/>
  <c r="AN60" i="42" s="1"/>
  <c r="O60" i="42"/>
  <c r="BF59" i="42"/>
  <c r="BE59" i="42"/>
  <c r="BD59" i="42"/>
  <c r="BC59" i="42"/>
  <c r="BB59" i="42"/>
  <c r="AW59" i="42"/>
  <c r="AI59" i="42"/>
  <c r="AH59" i="42"/>
  <c r="AG59" i="42"/>
  <c r="AF59" i="42"/>
  <c r="W59" i="42"/>
  <c r="V59" i="42"/>
  <c r="U59" i="42"/>
  <c r="T59" i="42"/>
  <c r="S59" i="42"/>
  <c r="AE59" i="42" s="1"/>
  <c r="AQ59" i="42" s="1"/>
  <c r="R59" i="42"/>
  <c r="AD59" i="42" s="1"/>
  <c r="AP59" i="42" s="1"/>
  <c r="Q59" i="42"/>
  <c r="AC59" i="42" s="1"/>
  <c r="AO59" i="42" s="1"/>
  <c r="P59" i="42"/>
  <c r="AB59" i="42" s="1"/>
  <c r="AN59" i="42" s="1"/>
  <c r="O59" i="42"/>
  <c r="AA59" i="42" s="1"/>
  <c r="AM59" i="42" s="1"/>
  <c r="BF58" i="42"/>
  <c r="BE58" i="42"/>
  <c r="BD58" i="42"/>
  <c r="BC58" i="42"/>
  <c r="BB58" i="42"/>
  <c r="AW58" i="42"/>
  <c r="AI58" i="42"/>
  <c r="AH58" i="42"/>
  <c r="AG58" i="42"/>
  <c r="AF58" i="42"/>
  <c r="W58" i="42"/>
  <c r="V58" i="42"/>
  <c r="U58" i="42"/>
  <c r="T58" i="42"/>
  <c r="S58" i="42"/>
  <c r="AE58" i="42" s="1"/>
  <c r="AQ58" i="42" s="1"/>
  <c r="R58" i="42"/>
  <c r="AD58" i="42" s="1"/>
  <c r="AP58" i="42" s="1"/>
  <c r="Q58" i="42"/>
  <c r="AC58" i="42" s="1"/>
  <c r="AO58" i="42" s="1"/>
  <c r="P58" i="42"/>
  <c r="AB58" i="42" s="1"/>
  <c r="AN58" i="42" s="1"/>
  <c r="O58" i="42"/>
  <c r="AA58" i="42" s="1"/>
  <c r="AM58" i="42" s="1"/>
  <c r="BF57" i="42"/>
  <c r="BE57" i="42"/>
  <c r="BD57" i="42"/>
  <c r="BC57" i="42"/>
  <c r="BB57" i="42"/>
  <c r="AW57" i="42"/>
  <c r="AI57" i="42"/>
  <c r="AH57" i="42"/>
  <c r="AG57" i="42"/>
  <c r="AF57" i="42"/>
  <c r="W57" i="42"/>
  <c r="V57" i="42"/>
  <c r="U57" i="42"/>
  <c r="T57" i="42"/>
  <c r="S57" i="42"/>
  <c r="AE57" i="42" s="1"/>
  <c r="AQ57" i="42" s="1"/>
  <c r="R57" i="42"/>
  <c r="AD57" i="42" s="1"/>
  <c r="AP57" i="42" s="1"/>
  <c r="Q57" i="42"/>
  <c r="AC57" i="42" s="1"/>
  <c r="AO57" i="42" s="1"/>
  <c r="P57" i="42"/>
  <c r="AB57" i="42" s="1"/>
  <c r="AN57" i="42" s="1"/>
  <c r="O57" i="42"/>
  <c r="AA57" i="42" s="1"/>
  <c r="AM57" i="42" s="1"/>
  <c r="BF56" i="42"/>
  <c r="BE56" i="42"/>
  <c r="BD56" i="42"/>
  <c r="BC56" i="42"/>
  <c r="BB56" i="42"/>
  <c r="AW56" i="42"/>
  <c r="AI56" i="42"/>
  <c r="AH56" i="42"/>
  <c r="AG56" i="42"/>
  <c r="AF56" i="42"/>
  <c r="W56" i="42"/>
  <c r="V56" i="42"/>
  <c r="U56" i="42"/>
  <c r="T56" i="42"/>
  <c r="S56" i="42"/>
  <c r="R56" i="42"/>
  <c r="AD56" i="42" s="1"/>
  <c r="AP56" i="42" s="1"/>
  <c r="Q56" i="42"/>
  <c r="AC56" i="42" s="1"/>
  <c r="AO56" i="42" s="1"/>
  <c r="P56" i="42"/>
  <c r="AB56" i="42" s="1"/>
  <c r="AN56" i="42" s="1"/>
  <c r="O56" i="42"/>
  <c r="AA56" i="42" s="1"/>
  <c r="AM56" i="42" s="1"/>
  <c r="BF55" i="42"/>
  <c r="BE55" i="42"/>
  <c r="BD55" i="42"/>
  <c r="BC55" i="42"/>
  <c r="BB55" i="42"/>
  <c r="AW55" i="42"/>
  <c r="AI55" i="42"/>
  <c r="AH55" i="42"/>
  <c r="AG55" i="42"/>
  <c r="AF55" i="42"/>
  <c r="W55" i="42"/>
  <c r="V55" i="42"/>
  <c r="U55" i="42"/>
  <c r="T55" i="42"/>
  <c r="S55" i="42"/>
  <c r="AE55" i="42" s="1"/>
  <c r="AQ55" i="42" s="1"/>
  <c r="R55" i="42"/>
  <c r="Q55" i="42"/>
  <c r="AC55" i="42" s="1"/>
  <c r="AO55" i="42" s="1"/>
  <c r="P55" i="42"/>
  <c r="AB55" i="42" s="1"/>
  <c r="AN55" i="42" s="1"/>
  <c r="O55" i="42"/>
  <c r="AA55" i="42" s="1"/>
  <c r="AM55" i="42" s="1"/>
  <c r="BF54" i="42"/>
  <c r="BE54" i="42"/>
  <c r="BD54" i="42"/>
  <c r="BC54" i="42"/>
  <c r="BB54" i="42"/>
  <c r="AW54" i="42"/>
  <c r="AI54" i="42"/>
  <c r="AH54" i="42"/>
  <c r="AG54" i="42"/>
  <c r="AF54" i="42"/>
  <c r="W54" i="42"/>
  <c r="V54" i="42"/>
  <c r="U54" i="42"/>
  <c r="T54" i="42"/>
  <c r="S54" i="42"/>
  <c r="AE54" i="42" s="1"/>
  <c r="AQ54" i="42" s="1"/>
  <c r="R54" i="42"/>
  <c r="AD54" i="42" s="1"/>
  <c r="AP54" i="42" s="1"/>
  <c r="Q54" i="42"/>
  <c r="AC54" i="42" s="1"/>
  <c r="AO54" i="42" s="1"/>
  <c r="P54" i="42"/>
  <c r="AB54" i="42" s="1"/>
  <c r="AN54" i="42" s="1"/>
  <c r="O54" i="42"/>
  <c r="BF53" i="42"/>
  <c r="BE53" i="42"/>
  <c r="BD53" i="42"/>
  <c r="BC53" i="42"/>
  <c r="BB53" i="42"/>
  <c r="AW53" i="42"/>
  <c r="AI53" i="42"/>
  <c r="AH53" i="42"/>
  <c r="AG53" i="42"/>
  <c r="AF53" i="42"/>
  <c r="W53" i="42"/>
  <c r="V53" i="42"/>
  <c r="U53" i="42"/>
  <c r="T53" i="42"/>
  <c r="S53" i="42"/>
  <c r="AE53" i="42" s="1"/>
  <c r="AQ53" i="42" s="1"/>
  <c r="R53" i="42"/>
  <c r="AD53" i="42" s="1"/>
  <c r="AP53" i="42" s="1"/>
  <c r="Q53" i="42"/>
  <c r="AC53" i="42" s="1"/>
  <c r="AO53" i="42" s="1"/>
  <c r="P53" i="42"/>
  <c r="AB53" i="42" s="1"/>
  <c r="AN53" i="42" s="1"/>
  <c r="O53" i="42"/>
  <c r="BF52" i="42"/>
  <c r="BE52" i="42"/>
  <c r="BD52" i="42"/>
  <c r="BC52" i="42"/>
  <c r="BB52" i="42"/>
  <c r="AW52" i="42"/>
  <c r="AI52" i="42"/>
  <c r="AH52" i="42"/>
  <c r="AG52" i="42"/>
  <c r="AF52" i="42"/>
  <c r="W52" i="42"/>
  <c r="V52" i="42"/>
  <c r="U52" i="42"/>
  <c r="T52" i="42"/>
  <c r="S52" i="42"/>
  <c r="AE52" i="42" s="1"/>
  <c r="AQ52" i="42" s="1"/>
  <c r="R52" i="42"/>
  <c r="AD52" i="42" s="1"/>
  <c r="AP52" i="42" s="1"/>
  <c r="Q52" i="42"/>
  <c r="AC52" i="42" s="1"/>
  <c r="AO52" i="42" s="1"/>
  <c r="P52" i="42"/>
  <c r="AB52" i="42" s="1"/>
  <c r="AN52" i="42" s="1"/>
  <c r="O52" i="42"/>
  <c r="BF51" i="42"/>
  <c r="BE51" i="42"/>
  <c r="BD51" i="42"/>
  <c r="BC51" i="42"/>
  <c r="BB51" i="42"/>
  <c r="AW51" i="42"/>
  <c r="AI51" i="42"/>
  <c r="AH51" i="42"/>
  <c r="AG51" i="42"/>
  <c r="AF51" i="42"/>
  <c r="W51" i="42"/>
  <c r="V51" i="42"/>
  <c r="U51" i="42"/>
  <c r="T51" i="42"/>
  <c r="S51" i="42"/>
  <c r="AE51" i="42" s="1"/>
  <c r="AQ51" i="42" s="1"/>
  <c r="R51" i="42"/>
  <c r="AD51" i="42" s="1"/>
  <c r="AP51" i="42" s="1"/>
  <c r="Q51" i="42"/>
  <c r="AC51" i="42" s="1"/>
  <c r="AO51" i="42" s="1"/>
  <c r="P51" i="42"/>
  <c r="AB51" i="42" s="1"/>
  <c r="AN51" i="42" s="1"/>
  <c r="O51" i="42"/>
  <c r="AA51" i="42" s="1"/>
  <c r="AM51" i="42" s="1"/>
  <c r="BF50" i="42"/>
  <c r="BE50" i="42"/>
  <c r="BD50" i="42"/>
  <c r="BC50" i="42"/>
  <c r="BB50" i="42"/>
  <c r="AW50" i="42"/>
  <c r="AI50" i="42"/>
  <c r="AH50" i="42"/>
  <c r="AG50" i="42"/>
  <c r="AF50" i="42"/>
  <c r="W50" i="42"/>
  <c r="V50" i="42"/>
  <c r="U50" i="42"/>
  <c r="T50" i="42"/>
  <c r="S50" i="42"/>
  <c r="AE50" i="42" s="1"/>
  <c r="AQ50" i="42" s="1"/>
  <c r="R50" i="42"/>
  <c r="AD50" i="42" s="1"/>
  <c r="AP50" i="42" s="1"/>
  <c r="Q50" i="42"/>
  <c r="AC50" i="42" s="1"/>
  <c r="AO50" i="42" s="1"/>
  <c r="P50" i="42"/>
  <c r="AB50" i="42" s="1"/>
  <c r="AN50" i="42" s="1"/>
  <c r="O50" i="42"/>
  <c r="AA50" i="42" s="1"/>
  <c r="AM50" i="42" s="1"/>
  <c r="BF49" i="42"/>
  <c r="BE49" i="42"/>
  <c r="BD49" i="42"/>
  <c r="BC49" i="42"/>
  <c r="BB49" i="42"/>
  <c r="AW49" i="42"/>
  <c r="AI49" i="42"/>
  <c r="AH49" i="42"/>
  <c r="AG49" i="42"/>
  <c r="AF49" i="42"/>
  <c r="W49" i="42"/>
  <c r="V49" i="42"/>
  <c r="U49" i="42"/>
  <c r="T49" i="42"/>
  <c r="S49" i="42"/>
  <c r="AE49" i="42" s="1"/>
  <c r="AQ49" i="42" s="1"/>
  <c r="R49" i="42"/>
  <c r="AD49" i="42" s="1"/>
  <c r="AP49" i="42" s="1"/>
  <c r="Q49" i="42"/>
  <c r="AC49" i="42" s="1"/>
  <c r="AO49" i="42" s="1"/>
  <c r="P49" i="42"/>
  <c r="AB49" i="42" s="1"/>
  <c r="AN49" i="42" s="1"/>
  <c r="O49" i="42"/>
  <c r="AA49" i="42" s="1"/>
  <c r="AM49" i="42" s="1"/>
  <c r="BF48" i="42"/>
  <c r="BE48" i="42"/>
  <c r="BD48" i="42"/>
  <c r="BC48" i="42"/>
  <c r="BB48" i="42"/>
  <c r="AW48" i="42"/>
  <c r="AI48" i="42"/>
  <c r="AH48" i="42"/>
  <c r="AG48" i="42"/>
  <c r="AF48" i="42"/>
  <c r="W48" i="42"/>
  <c r="V48" i="42"/>
  <c r="U48" i="42"/>
  <c r="T48" i="42"/>
  <c r="S48" i="42"/>
  <c r="R48" i="42"/>
  <c r="AD48" i="42" s="1"/>
  <c r="AP48" i="42" s="1"/>
  <c r="Q48" i="42"/>
  <c r="AC48" i="42" s="1"/>
  <c r="AO48" i="42" s="1"/>
  <c r="P48" i="42"/>
  <c r="AB48" i="42" s="1"/>
  <c r="AN48" i="42" s="1"/>
  <c r="O48" i="42"/>
  <c r="AA48" i="42" s="1"/>
  <c r="AM48" i="42" s="1"/>
  <c r="BF47" i="42"/>
  <c r="BE47" i="42"/>
  <c r="BD47" i="42"/>
  <c r="BC47" i="42"/>
  <c r="BB47" i="42"/>
  <c r="AW47" i="42"/>
  <c r="AI47" i="42"/>
  <c r="AH47" i="42"/>
  <c r="AG47" i="42"/>
  <c r="AF47" i="42"/>
  <c r="W47" i="42"/>
  <c r="V47" i="42"/>
  <c r="U47" i="42"/>
  <c r="T47" i="42"/>
  <c r="S47" i="42"/>
  <c r="AE47" i="42" s="1"/>
  <c r="AQ47" i="42" s="1"/>
  <c r="R47" i="42"/>
  <c r="AD47" i="42" s="1"/>
  <c r="AP47" i="42" s="1"/>
  <c r="Q47" i="42"/>
  <c r="AC47" i="42" s="1"/>
  <c r="AO47" i="42" s="1"/>
  <c r="P47" i="42"/>
  <c r="AB47" i="42" s="1"/>
  <c r="AN47" i="42" s="1"/>
  <c r="O47" i="42"/>
  <c r="AA47" i="42" s="1"/>
  <c r="AM47" i="42" s="1"/>
  <c r="BF46" i="42"/>
  <c r="BE46" i="42"/>
  <c r="BD46" i="42"/>
  <c r="BC46" i="42"/>
  <c r="BB46" i="42"/>
  <c r="AW46" i="42"/>
  <c r="AI46" i="42"/>
  <c r="AH46" i="42"/>
  <c r="AG46" i="42"/>
  <c r="AF46" i="42"/>
  <c r="W46" i="42"/>
  <c r="V46" i="42"/>
  <c r="U46" i="42"/>
  <c r="T46" i="42"/>
  <c r="S46" i="42"/>
  <c r="AE46" i="42" s="1"/>
  <c r="AQ46" i="42" s="1"/>
  <c r="R46" i="42"/>
  <c r="AD46" i="42" s="1"/>
  <c r="AP46" i="42" s="1"/>
  <c r="Q46" i="42"/>
  <c r="AC46" i="42" s="1"/>
  <c r="AO46" i="42" s="1"/>
  <c r="P46" i="42"/>
  <c r="AB46" i="42" s="1"/>
  <c r="AN46" i="42" s="1"/>
  <c r="O46" i="42"/>
  <c r="BF45" i="42"/>
  <c r="BE45" i="42"/>
  <c r="BD45" i="42"/>
  <c r="BC45" i="42"/>
  <c r="BB45" i="42"/>
  <c r="AW45" i="42"/>
  <c r="AI45" i="42"/>
  <c r="AH45" i="42"/>
  <c r="AG45" i="42"/>
  <c r="AF45" i="42"/>
  <c r="K96" i="42" s="1"/>
  <c r="X96" i="42" s="1"/>
  <c r="W45" i="42"/>
  <c r="V45" i="42"/>
  <c r="U45" i="42"/>
  <c r="T45" i="42"/>
  <c r="S45" i="42"/>
  <c r="AE45" i="42" s="1"/>
  <c r="AQ45" i="42" s="1"/>
  <c r="R45" i="42"/>
  <c r="AD45" i="42" s="1"/>
  <c r="AP45" i="42" s="1"/>
  <c r="Q45" i="42"/>
  <c r="AC45" i="42" s="1"/>
  <c r="AO45" i="42" s="1"/>
  <c r="P45" i="42"/>
  <c r="O45" i="42"/>
  <c r="AA45" i="42" s="1"/>
  <c r="AM45" i="42" s="1"/>
  <c r="BF44" i="42"/>
  <c r="BE44" i="42"/>
  <c r="BD44" i="42"/>
  <c r="BC44" i="42"/>
  <c r="BB44" i="42"/>
  <c r="AW44" i="42"/>
  <c r="AI44" i="42"/>
  <c r="AH44" i="42"/>
  <c r="AG44" i="42"/>
  <c r="AF44" i="42"/>
  <c r="W44" i="42"/>
  <c r="V44" i="42"/>
  <c r="U44" i="42"/>
  <c r="T44" i="42"/>
  <c r="S44" i="42"/>
  <c r="AE44" i="42" s="1"/>
  <c r="AQ44" i="42" s="1"/>
  <c r="R44" i="42"/>
  <c r="AD44" i="42" s="1"/>
  <c r="AP44" i="42" s="1"/>
  <c r="Q44" i="42"/>
  <c r="AC44" i="42" s="1"/>
  <c r="AO44" i="42" s="1"/>
  <c r="P44" i="42"/>
  <c r="AB44" i="42" s="1"/>
  <c r="AN44" i="42" s="1"/>
  <c r="O44" i="42"/>
  <c r="BF43" i="42"/>
  <c r="BE43" i="42"/>
  <c r="BD43" i="42"/>
  <c r="BC43" i="42"/>
  <c r="BB43" i="42"/>
  <c r="AW43" i="42"/>
  <c r="AI43" i="42"/>
  <c r="AH43" i="42"/>
  <c r="AG43" i="42"/>
  <c r="AF43" i="42"/>
  <c r="W43" i="42"/>
  <c r="V43" i="42"/>
  <c r="U43" i="42"/>
  <c r="T43" i="42"/>
  <c r="S43" i="42"/>
  <c r="AE43" i="42" s="1"/>
  <c r="AQ43" i="42" s="1"/>
  <c r="R43" i="42"/>
  <c r="AD43" i="42" s="1"/>
  <c r="AP43" i="42" s="1"/>
  <c r="Q43" i="42"/>
  <c r="AC43" i="42" s="1"/>
  <c r="AO43" i="42" s="1"/>
  <c r="P43" i="42"/>
  <c r="AB43" i="42" s="1"/>
  <c r="AN43" i="42" s="1"/>
  <c r="O43" i="42"/>
  <c r="AA43" i="42" s="1"/>
  <c r="AM43" i="42" s="1"/>
  <c r="BF42" i="42"/>
  <c r="BE42" i="42"/>
  <c r="BD42" i="42"/>
  <c r="BC42" i="42"/>
  <c r="BB42" i="42"/>
  <c r="AW42" i="42"/>
  <c r="AI42" i="42"/>
  <c r="AH42" i="42"/>
  <c r="AG42" i="42"/>
  <c r="AF42" i="42"/>
  <c r="W42" i="42"/>
  <c r="V42" i="42"/>
  <c r="U42" i="42"/>
  <c r="T42" i="42"/>
  <c r="S42" i="42"/>
  <c r="AE42" i="42" s="1"/>
  <c r="AQ42" i="42" s="1"/>
  <c r="R42" i="42"/>
  <c r="AD42" i="42" s="1"/>
  <c r="AP42" i="42" s="1"/>
  <c r="Q42" i="42"/>
  <c r="AC42" i="42" s="1"/>
  <c r="AO42" i="42" s="1"/>
  <c r="P42" i="42"/>
  <c r="AB42" i="42" s="1"/>
  <c r="AN42" i="42" s="1"/>
  <c r="O42" i="42"/>
  <c r="AA42" i="42" s="1"/>
  <c r="AM42" i="42" s="1"/>
  <c r="BF41" i="42"/>
  <c r="BE41" i="42"/>
  <c r="BD41" i="42"/>
  <c r="BC41" i="42"/>
  <c r="BB41" i="42"/>
  <c r="AW41" i="42"/>
  <c r="AI41" i="42"/>
  <c r="AH41" i="42"/>
  <c r="AG41" i="42"/>
  <c r="AF41" i="42"/>
  <c r="W41" i="42"/>
  <c r="V41" i="42"/>
  <c r="AT41" i="42" s="1"/>
  <c r="U41" i="42"/>
  <c r="T41" i="42"/>
  <c r="S41" i="42"/>
  <c r="AE41" i="42" s="1"/>
  <c r="AQ41" i="42" s="1"/>
  <c r="R41" i="42"/>
  <c r="AD41" i="42" s="1"/>
  <c r="AP41" i="42" s="1"/>
  <c r="Q41" i="42"/>
  <c r="AC41" i="42" s="1"/>
  <c r="AO41" i="42" s="1"/>
  <c r="P41" i="42"/>
  <c r="AB41" i="42" s="1"/>
  <c r="AN41" i="42" s="1"/>
  <c r="O41" i="42"/>
  <c r="AA41" i="42" s="1"/>
  <c r="AM41" i="42" s="1"/>
  <c r="BF40" i="42"/>
  <c r="BE40" i="42"/>
  <c r="BD40" i="42"/>
  <c r="BC40" i="42"/>
  <c r="BB40" i="42"/>
  <c r="AW40" i="42"/>
  <c r="AI40" i="42"/>
  <c r="AH40" i="42"/>
  <c r="AG40" i="42"/>
  <c r="AF40" i="42"/>
  <c r="W40" i="42"/>
  <c r="V40" i="42"/>
  <c r="U40" i="42"/>
  <c r="T40" i="42"/>
  <c r="S40" i="42"/>
  <c r="R40" i="42"/>
  <c r="AD40" i="42" s="1"/>
  <c r="AP40" i="42" s="1"/>
  <c r="Q40" i="42"/>
  <c r="AC40" i="42" s="1"/>
  <c r="AO40" i="42" s="1"/>
  <c r="P40" i="42"/>
  <c r="AB40" i="42" s="1"/>
  <c r="AN40" i="42" s="1"/>
  <c r="O40" i="42"/>
  <c r="AA40" i="42" s="1"/>
  <c r="AM40" i="42" s="1"/>
  <c r="BF39" i="42"/>
  <c r="BE39" i="42"/>
  <c r="BD39" i="42"/>
  <c r="BC39" i="42"/>
  <c r="BB39" i="42"/>
  <c r="AW39" i="42"/>
  <c r="AI39" i="42"/>
  <c r="AH39" i="42"/>
  <c r="AG39" i="42"/>
  <c r="AF39" i="42"/>
  <c r="W39" i="42"/>
  <c r="V39" i="42"/>
  <c r="U39" i="42"/>
  <c r="T39" i="42"/>
  <c r="S39" i="42"/>
  <c r="AE39" i="42" s="1"/>
  <c r="AQ39" i="42" s="1"/>
  <c r="R39" i="42"/>
  <c r="AD39" i="42" s="1"/>
  <c r="AP39" i="42" s="1"/>
  <c r="Q39" i="42"/>
  <c r="AC39" i="42" s="1"/>
  <c r="AO39" i="42" s="1"/>
  <c r="P39" i="42"/>
  <c r="AB39" i="42" s="1"/>
  <c r="AN39" i="42" s="1"/>
  <c r="O39" i="42"/>
  <c r="BF38" i="42"/>
  <c r="BE38" i="42"/>
  <c r="BD38" i="42"/>
  <c r="BC38" i="42"/>
  <c r="BB38" i="42"/>
  <c r="AW38" i="42"/>
  <c r="AI38" i="42"/>
  <c r="AH38" i="42"/>
  <c r="AG38" i="42"/>
  <c r="AF38" i="42"/>
  <c r="W38" i="42"/>
  <c r="V38" i="42"/>
  <c r="U38" i="42"/>
  <c r="AS38" i="42" s="1"/>
  <c r="T38" i="42"/>
  <c r="S38" i="42"/>
  <c r="AE38" i="42" s="1"/>
  <c r="AQ38" i="42" s="1"/>
  <c r="R38" i="42"/>
  <c r="AD38" i="42" s="1"/>
  <c r="AP38" i="42" s="1"/>
  <c r="Q38" i="42"/>
  <c r="AC38" i="42" s="1"/>
  <c r="AO38" i="42" s="1"/>
  <c r="P38" i="42"/>
  <c r="AB38" i="42" s="1"/>
  <c r="AN38" i="42" s="1"/>
  <c r="O38" i="42"/>
  <c r="BF37" i="42"/>
  <c r="BE37" i="42"/>
  <c r="BD37" i="42"/>
  <c r="BC37" i="42"/>
  <c r="BB37" i="42"/>
  <c r="AW37" i="42"/>
  <c r="AI37" i="42"/>
  <c r="AH37" i="42"/>
  <c r="AG37" i="42"/>
  <c r="AF37" i="42"/>
  <c r="K88" i="42" s="1"/>
  <c r="X88" i="42" s="1"/>
  <c r="W37" i="42"/>
  <c r="V37" i="42"/>
  <c r="U37" i="42"/>
  <c r="T37" i="42"/>
  <c r="S37" i="42"/>
  <c r="AE37" i="42" s="1"/>
  <c r="AQ37" i="42" s="1"/>
  <c r="R37" i="42"/>
  <c r="AD37" i="42" s="1"/>
  <c r="AP37" i="42" s="1"/>
  <c r="Q37" i="42"/>
  <c r="AC37" i="42" s="1"/>
  <c r="AO37" i="42" s="1"/>
  <c r="P37" i="42"/>
  <c r="O37" i="42"/>
  <c r="AA37" i="42" s="1"/>
  <c r="AM37" i="42" s="1"/>
  <c r="BF36" i="42"/>
  <c r="BE36" i="42"/>
  <c r="BD36" i="42"/>
  <c r="BC36" i="42"/>
  <c r="BB36" i="42"/>
  <c r="AW36" i="42"/>
  <c r="AI36" i="42"/>
  <c r="AH36" i="42"/>
  <c r="AG36" i="42"/>
  <c r="AF36" i="42"/>
  <c r="W36" i="42"/>
  <c r="V36" i="42"/>
  <c r="U36" i="42"/>
  <c r="T36" i="42"/>
  <c r="S36" i="42"/>
  <c r="AE36" i="42" s="1"/>
  <c r="AQ36" i="42" s="1"/>
  <c r="R36" i="42"/>
  <c r="AD36" i="42" s="1"/>
  <c r="AP36" i="42" s="1"/>
  <c r="Q36" i="42"/>
  <c r="AC36" i="42" s="1"/>
  <c r="AO36" i="42" s="1"/>
  <c r="P36" i="42"/>
  <c r="AB36" i="42" s="1"/>
  <c r="AN36" i="42" s="1"/>
  <c r="O36" i="42"/>
  <c r="BF35" i="42"/>
  <c r="BE35" i="42"/>
  <c r="BD35" i="42"/>
  <c r="BC35" i="42"/>
  <c r="BB35" i="42"/>
  <c r="AW35" i="42"/>
  <c r="AI35" i="42"/>
  <c r="AH35" i="42"/>
  <c r="AG35" i="42"/>
  <c r="AF35" i="42"/>
  <c r="W35" i="42"/>
  <c r="V35" i="42"/>
  <c r="U35" i="42"/>
  <c r="T35" i="42"/>
  <c r="S35" i="42"/>
  <c r="AE35" i="42" s="1"/>
  <c r="AQ35" i="42" s="1"/>
  <c r="R35" i="42"/>
  <c r="AD35" i="42" s="1"/>
  <c r="AP35" i="42" s="1"/>
  <c r="Q35" i="42"/>
  <c r="AC35" i="42" s="1"/>
  <c r="AO35" i="42" s="1"/>
  <c r="P35" i="42"/>
  <c r="AB35" i="42" s="1"/>
  <c r="AN35" i="42" s="1"/>
  <c r="O35" i="42"/>
  <c r="AA35" i="42" s="1"/>
  <c r="AM35" i="42" s="1"/>
  <c r="BF34" i="42"/>
  <c r="BE34" i="42"/>
  <c r="BD34" i="42"/>
  <c r="BC34" i="42"/>
  <c r="BB34" i="42"/>
  <c r="AW34" i="42"/>
  <c r="AI34" i="42"/>
  <c r="AH34" i="42"/>
  <c r="AG34" i="42"/>
  <c r="AF34" i="42"/>
  <c r="W34" i="42"/>
  <c r="V34" i="42"/>
  <c r="U34" i="42"/>
  <c r="T34" i="42"/>
  <c r="S34" i="42"/>
  <c r="AE34" i="42" s="1"/>
  <c r="AQ34" i="42" s="1"/>
  <c r="R34" i="42"/>
  <c r="AD34" i="42" s="1"/>
  <c r="AP34" i="42" s="1"/>
  <c r="Q34" i="42"/>
  <c r="AC34" i="42" s="1"/>
  <c r="AO34" i="42" s="1"/>
  <c r="P34" i="42"/>
  <c r="AB34" i="42" s="1"/>
  <c r="AN34" i="42" s="1"/>
  <c r="O34" i="42"/>
  <c r="AA34" i="42" s="1"/>
  <c r="AM34" i="42" s="1"/>
  <c r="BF33" i="42"/>
  <c r="BE33" i="42"/>
  <c r="BD33" i="42"/>
  <c r="BC33" i="42"/>
  <c r="BB33" i="42"/>
  <c r="AW33" i="42"/>
  <c r="AI33" i="42"/>
  <c r="AH33" i="42"/>
  <c r="AG33" i="42"/>
  <c r="AF33" i="42"/>
  <c r="W33" i="42"/>
  <c r="V33" i="42"/>
  <c r="U33" i="42"/>
  <c r="T33" i="42"/>
  <c r="S33" i="42"/>
  <c r="AE33" i="42" s="1"/>
  <c r="AQ33" i="42" s="1"/>
  <c r="R33" i="42"/>
  <c r="AD33" i="42" s="1"/>
  <c r="AP33" i="42" s="1"/>
  <c r="Q33" i="42"/>
  <c r="P33" i="42"/>
  <c r="AB33" i="42" s="1"/>
  <c r="AN33" i="42" s="1"/>
  <c r="O33" i="42"/>
  <c r="AA33" i="42" s="1"/>
  <c r="AM33" i="42" s="1"/>
  <c r="BF32" i="42"/>
  <c r="BE32" i="42"/>
  <c r="BD32" i="42"/>
  <c r="BC32" i="42"/>
  <c r="BB32" i="42"/>
  <c r="AW32" i="42"/>
  <c r="AI32" i="42"/>
  <c r="AH32" i="42"/>
  <c r="AG32" i="42"/>
  <c r="AF32" i="42"/>
  <c r="W32" i="42"/>
  <c r="V32" i="42"/>
  <c r="U32" i="42"/>
  <c r="T32" i="42"/>
  <c r="S32" i="42"/>
  <c r="AE32" i="42" s="1"/>
  <c r="AQ32" i="42" s="1"/>
  <c r="R32" i="42"/>
  <c r="AD32" i="42" s="1"/>
  <c r="AP32" i="42" s="1"/>
  <c r="Q32" i="42"/>
  <c r="AC32" i="42" s="1"/>
  <c r="AO32" i="42" s="1"/>
  <c r="P32" i="42"/>
  <c r="AB32" i="42" s="1"/>
  <c r="AN32" i="42" s="1"/>
  <c r="O32" i="42"/>
  <c r="AA32" i="42" s="1"/>
  <c r="AM32" i="42" s="1"/>
  <c r="BF31" i="42"/>
  <c r="BE31" i="42"/>
  <c r="BD31" i="42"/>
  <c r="BC31" i="42"/>
  <c r="BB31" i="42"/>
  <c r="AW31" i="42"/>
  <c r="AI31" i="42"/>
  <c r="AH31" i="42"/>
  <c r="AG31" i="42"/>
  <c r="AF31" i="42"/>
  <c r="W31" i="42"/>
  <c r="V31" i="42"/>
  <c r="U31" i="42"/>
  <c r="T31" i="42"/>
  <c r="S31" i="42"/>
  <c r="AE31" i="42" s="1"/>
  <c r="AQ31" i="42" s="1"/>
  <c r="R31" i="42"/>
  <c r="AD31" i="42" s="1"/>
  <c r="AP31" i="42" s="1"/>
  <c r="Q31" i="42"/>
  <c r="AC31" i="42" s="1"/>
  <c r="AO31" i="42" s="1"/>
  <c r="P31" i="42"/>
  <c r="AB31" i="42" s="1"/>
  <c r="AN31" i="42" s="1"/>
  <c r="O31" i="42"/>
  <c r="BF30" i="42"/>
  <c r="BE30" i="42"/>
  <c r="BD30" i="42"/>
  <c r="BC30" i="42"/>
  <c r="BB30" i="42"/>
  <c r="AW30" i="42"/>
  <c r="AI30" i="42"/>
  <c r="AH30" i="42"/>
  <c r="AG30" i="42"/>
  <c r="AF30" i="42"/>
  <c r="W30" i="42"/>
  <c r="V30" i="42"/>
  <c r="U30" i="42"/>
  <c r="T30" i="42"/>
  <c r="S30" i="42"/>
  <c r="AE30" i="42" s="1"/>
  <c r="AQ30" i="42" s="1"/>
  <c r="R30" i="42"/>
  <c r="AD30" i="42" s="1"/>
  <c r="AP30" i="42" s="1"/>
  <c r="Q30" i="42"/>
  <c r="AC30" i="42" s="1"/>
  <c r="AO30" i="42" s="1"/>
  <c r="P30" i="42"/>
  <c r="AB30" i="42" s="1"/>
  <c r="AN30" i="42" s="1"/>
  <c r="O30" i="42"/>
  <c r="AA30" i="42" s="1"/>
  <c r="AM30" i="42" s="1"/>
  <c r="BF29" i="42"/>
  <c r="BE29" i="42"/>
  <c r="BD29" i="42"/>
  <c r="BC29" i="42"/>
  <c r="BB29" i="42"/>
  <c r="AW29" i="42"/>
  <c r="AI29" i="42"/>
  <c r="AH29" i="42"/>
  <c r="AG29" i="42"/>
  <c r="AF29" i="42"/>
  <c r="W29" i="42"/>
  <c r="V29" i="42"/>
  <c r="U29" i="42"/>
  <c r="T29" i="42"/>
  <c r="S29" i="42"/>
  <c r="AE29" i="42" s="1"/>
  <c r="AQ29" i="42" s="1"/>
  <c r="R29" i="42"/>
  <c r="AD29" i="42" s="1"/>
  <c r="AP29" i="42" s="1"/>
  <c r="Q29" i="42"/>
  <c r="AC29" i="42" s="1"/>
  <c r="AO29" i="42" s="1"/>
  <c r="P29" i="42"/>
  <c r="AB29" i="42" s="1"/>
  <c r="AN29" i="42" s="1"/>
  <c r="O29" i="42"/>
  <c r="S27" i="42"/>
  <c r="AE27" i="42" s="1"/>
  <c r="R27" i="42"/>
  <c r="AD27" i="42" s="1"/>
  <c r="Q27" i="42"/>
  <c r="P27" i="42"/>
  <c r="AB27" i="42" s="1"/>
  <c r="O27" i="42"/>
  <c r="AK25" i="42"/>
  <c r="Y25" i="42"/>
  <c r="M25" i="42"/>
  <c r="A25" i="42"/>
  <c r="A1" i="42"/>
  <c r="X92" i="46" l="1"/>
  <c r="AT33" i="46"/>
  <c r="AU67" i="46"/>
  <c r="AT66" i="42"/>
  <c r="AU33" i="46"/>
  <c r="AU53" i="46"/>
  <c r="AS63" i="46"/>
  <c r="AT64" i="46"/>
  <c r="AU47" i="42"/>
  <c r="AS29" i="46"/>
  <c r="AT41" i="46"/>
  <c r="AS46" i="46"/>
  <c r="AT47" i="46"/>
  <c r="AS54" i="46"/>
  <c r="AT59" i="46"/>
  <c r="AS62" i="46"/>
  <c r="AS69" i="46"/>
  <c r="AY72" i="46"/>
  <c r="AS74" i="46"/>
  <c r="AT39" i="49"/>
  <c r="AT47" i="49"/>
  <c r="AU65" i="49"/>
  <c r="AU48" i="42"/>
  <c r="AU68" i="42"/>
  <c r="AT31" i="46"/>
  <c r="AT37" i="46"/>
  <c r="AS40" i="46"/>
  <c r="AU45" i="46"/>
  <c r="AU49" i="46"/>
  <c r="AR54" i="46"/>
  <c r="AR62" i="46"/>
  <c r="AR71" i="49"/>
  <c r="AR63" i="42"/>
  <c r="AR71" i="42"/>
  <c r="AT34" i="43"/>
  <c r="AU55" i="43"/>
  <c r="AU63" i="43"/>
  <c r="N30" i="46"/>
  <c r="Z30" i="46" s="1"/>
  <c r="AT35" i="46"/>
  <c r="AR37" i="46"/>
  <c r="AR48" i="46"/>
  <c r="AU51" i="46"/>
  <c r="AU58" i="46"/>
  <c r="AU59" i="46"/>
  <c r="AY61" i="46"/>
  <c r="AT62" i="46"/>
  <c r="AU63" i="46"/>
  <c r="AR64" i="46"/>
  <c r="AT66" i="46"/>
  <c r="AT69" i="46"/>
  <c r="AU71" i="46"/>
  <c r="AU31" i="49"/>
  <c r="AT34" i="49"/>
  <c r="AS45" i="49"/>
  <c r="AU70" i="49"/>
  <c r="AU29" i="46"/>
  <c r="AR30" i="46"/>
  <c r="AS37" i="46"/>
  <c r="AT45" i="46"/>
  <c r="AR55" i="46"/>
  <c r="AU55" i="46"/>
  <c r="AU56" i="46"/>
  <c r="AS64" i="46"/>
  <c r="AU66" i="46"/>
  <c r="AU69" i="46"/>
  <c r="AS71" i="46"/>
  <c r="AU74" i="46"/>
  <c r="AT40" i="51"/>
  <c r="AS68" i="51"/>
  <c r="AS41" i="46"/>
  <c r="AY46" i="46"/>
  <c r="AT57" i="46"/>
  <c r="AY68" i="46"/>
  <c r="AY73" i="46"/>
  <c r="AS38" i="46"/>
  <c r="AU40" i="46"/>
  <c r="AR60" i="42"/>
  <c r="AT34" i="46"/>
  <c r="AY56" i="49"/>
  <c r="BC35" i="51"/>
  <c r="BD74" i="51"/>
  <c r="BD42" i="51"/>
  <c r="P59" i="51"/>
  <c r="AB59" i="51" s="1"/>
  <c r="AN59" i="51" s="1"/>
  <c r="Q66" i="51"/>
  <c r="AC66" i="51" s="1"/>
  <c r="AO66" i="51" s="1"/>
  <c r="O67" i="51"/>
  <c r="AA67" i="51" s="1"/>
  <c r="AM67" i="51" s="1"/>
  <c r="BB29" i="51"/>
  <c r="AY29" i="51" s="1"/>
  <c r="BC51" i="51"/>
  <c r="AY51" i="51" s="1"/>
  <c r="X125" i="51"/>
  <c r="AT41" i="51"/>
  <c r="AS42" i="51"/>
  <c r="AS45" i="51"/>
  <c r="AS75" i="51"/>
  <c r="AA29" i="51"/>
  <c r="AM29" i="51" s="1"/>
  <c r="AU37" i="51"/>
  <c r="AS40" i="51"/>
  <c r="AU41" i="51"/>
  <c r="AV148" i="51"/>
  <c r="AV156" i="51"/>
  <c r="P58" i="51"/>
  <c r="AB58" i="51" s="1"/>
  <c r="AN58" i="51" s="1"/>
  <c r="AU36" i="51"/>
  <c r="AU54" i="51"/>
  <c r="BD37" i="51"/>
  <c r="P46" i="51"/>
  <c r="AB46" i="51" s="1"/>
  <c r="AN46" i="51" s="1"/>
  <c r="BC38" i="51"/>
  <c r="BD53" i="51"/>
  <c r="BB74" i="51"/>
  <c r="X102" i="51"/>
  <c r="AR74" i="51"/>
  <c r="P54" i="51"/>
  <c r="AB54" i="51" s="1"/>
  <c r="AN54" i="51" s="1"/>
  <c r="AS60" i="51"/>
  <c r="AT32" i="51"/>
  <c r="AS34" i="51"/>
  <c r="BB62" i="51"/>
  <c r="AT63" i="51"/>
  <c r="AU42" i="51"/>
  <c r="BC69" i="51"/>
  <c r="BB70" i="51"/>
  <c r="AS37" i="51"/>
  <c r="AR38" i="51"/>
  <c r="AT53" i="51"/>
  <c r="BD69" i="51"/>
  <c r="AT37" i="51"/>
  <c r="AV173" i="51"/>
  <c r="BB173" i="51" s="1"/>
  <c r="BF173" i="51" s="1"/>
  <c r="AV177" i="51"/>
  <c r="BB177" i="51" s="1"/>
  <c r="BF177" i="51" s="1"/>
  <c r="AY56" i="51"/>
  <c r="AZ56" i="51" s="1"/>
  <c r="AU61" i="51"/>
  <c r="BB135" i="51"/>
  <c r="BF135" i="51" s="1"/>
  <c r="AV142" i="51"/>
  <c r="BB142" i="51" s="1"/>
  <c r="BF142" i="51" s="1"/>
  <c r="O69" i="51"/>
  <c r="N69" i="51" s="1"/>
  <c r="Z69" i="51" s="1"/>
  <c r="AB62" i="51"/>
  <c r="AN62" i="51" s="1"/>
  <c r="P39" i="51"/>
  <c r="AB39" i="51" s="1"/>
  <c r="AN39" i="51" s="1"/>
  <c r="BC43" i="51"/>
  <c r="BB53" i="51"/>
  <c r="AY53" i="51" s="1"/>
  <c r="AZ53" i="51" s="1"/>
  <c r="BD43" i="51"/>
  <c r="BB45" i="51"/>
  <c r="AY45" i="51" s="1"/>
  <c r="AZ45" i="51" s="1"/>
  <c r="AS56" i="51"/>
  <c r="BD58" i="51"/>
  <c r="AY58" i="51" s="1"/>
  <c r="BB59" i="51"/>
  <c r="AT60" i="51"/>
  <c r="BB61" i="51"/>
  <c r="AR63" i="51"/>
  <c r="AY64" i="51"/>
  <c r="AZ64" i="51" s="1"/>
  <c r="AS67" i="51"/>
  <c r="AT74" i="51"/>
  <c r="AV163" i="51"/>
  <c r="BB163" i="51" s="1"/>
  <c r="BF163" i="51" s="1"/>
  <c r="BD31" i="51"/>
  <c r="AU33" i="51"/>
  <c r="BD35" i="51"/>
  <c r="AY35" i="51" s="1"/>
  <c r="AZ35" i="51" s="1"/>
  <c r="BB37" i="51"/>
  <c r="AY37" i="51" s="1"/>
  <c r="AZ37" i="51" s="1"/>
  <c r="N50" i="51"/>
  <c r="Z50" i="51" s="1"/>
  <c r="AL50" i="51" s="1"/>
  <c r="AX50" i="51" s="1"/>
  <c r="AT51" i="51"/>
  <c r="AS52" i="51"/>
  <c r="AR58" i="51"/>
  <c r="AU62" i="51"/>
  <c r="AR72" i="51"/>
  <c r="BB156" i="51"/>
  <c r="BF156" i="51" s="1"/>
  <c r="AT29" i="51"/>
  <c r="AR30" i="51"/>
  <c r="AU34" i="51"/>
  <c r="AR47" i="51"/>
  <c r="AT48" i="51"/>
  <c r="BC50" i="51"/>
  <c r="AU51" i="51"/>
  <c r="AT52" i="51"/>
  <c r="AS57" i="51"/>
  <c r="AS58" i="51"/>
  <c r="BD61" i="51"/>
  <c r="AS62" i="51"/>
  <c r="BC66" i="51"/>
  <c r="AY66" i="51" s="1"/>
  <c r="AU67" i="51"/>
  <c r="AS73" i="51"/>
  <c r="BB75" i="51"/>
  <c r="AY75" i="51" s="1"/>
  <c r="AZ75" i="51" s="1"/>
  <c r="AU29" i="51"/>
  <c r="AT43" i="51"/>
  <c r="AS47" i="51"/>
  <c r="AT49" i="51"/>
  <c r="BD50" i="51"/>
  <c r="AY50" i="51" s="1"/>
  <c r="AZ50" i="51" s="1"/>
  <c r="AU52" i="51"/>
  <c r="AT57" i="51"/>
  <c r="AR59" i="51"/>
  <c r="AT75" i="51"/>
  <c r="AV145" i="51"/>
  <c r="BB145" i="51" s="1"/>
  <c r="BF145" i="51" s="1"/>
  <c r="AV172" i="51"/>
  <c r="BB172" i="51" s="1"/>
  <c r="BF172" i="51" s="1"/>
  <c r="AT35" i="51"/>
  <c r="AS39" i="51"/>
  <c r="BC62" i="51"/>
  <c r="AU70" i="51"/>
  <c r="BA135" i="51"/>
  <c r="AV157" i="51"/>
  <c r="BB157" i="51" s="1"/>
  <c r="BF157" i="51" s="1"/>
  <c r="AV165" i="51"/>
  <c r="BB165" i="51" s="1"/>
  <c r="BF165" i="51" s="1"/>
  <c r="AV169" i="51"/>
  <c r="AV180" i="51"/>
  <c r="BB180" i="51" s="1"/>
  <c r="BF180" i="51" s="1"/>
  <c r="BD59" i="51"/>
  <c r="AY59" i="51" s="1"/>
  <c r="N61" i="51"/>
  <c r="Z61" i="51" s="1"/>
  <c r="AL61" i="51" s="1"/>
  <c r="AX61" i="51" s="1"/>
  <c r="AT67" i="51"/>
  <c r="AT72" i="51"/>
  <c r="AA73" i="51"/>
  <c r="AM73" i="51" s="1"/>
  <c r="AV155" i="51"/>
  <c r="BB155" i="51" s="1"/>
  <c r="BF155" i="51" s="1"/>
  <c r="AV176" i="51"/>
  <c r="AJ194" i="51"/>
  <c r="AR67" i="51"/>
  <c r="BE135" i="51"/>
  <c r="AS32" i="51"/>
  <c r="AU44" i="51"/>
  <c r="AT45" i="51"/>
  <c r="AR46" i="51"/>
  <c r="AS48" i="51"/>
  <c r="AU49" i="51"/>
  <c r="AS54" i="51"/>
  <c r="AS59" i="51"/>
  <c r="AS65" i="51"/>
  <c r="BC70" i="51"/>
  <c r="AV153" i="51"/>
  <c r="BB153" i="51" s="1"/>
  <c r="BF153" i="51" s="1"/>
  <c r="AR31" i="51"/>
  <c r="AU45" i="51"/>
  <c r="AS46" i="51"/>
  <c r="AT54" i="51"/>
  <c r="AT62" i="51"/>
  <c r="AS66" i="51"/>
  <c r="AT73" i="51"/>
  <c r="AS74" i="51"/>
  <c r="AS31" i="51"/>
  <c r="AR53" i="51"/>
  <c r="AT55" i="51"/>
  <c r="AT61" i="51"/>
  <c r="AS63" i="51"/>
  <c r="AT68" i="51"/>
  <c r="AS70" i="51"/>
  <c r="AY72" i="51"/>
  <c r="AZ72" i="51" s="1"/>
  <c r="AU73" i="51"/>
  <c r="AS29" i="51"/>
  <c r="AT33" i="51"/>
  <c r="AR39" i="51"/>
  <c r="AS53" i="51"/>
  <c r="AU53" i="51"/>
  <c r="AU55" i="51"/>
  <c r="AV136" i="51"/>
  <c r="BB136" i="51" s="1"/>
  <c r="BF136" i="51" s="1"/>
  <c r="AV147" i="51"/>
  <c r="BB147" i="51" s="1"/>
  <c r="BF147" i="51" s="1"/>
  <c r="AV160" i="51"/>
  <c r="BB160" i="51" s="1"/>
  <c r="BF160" i="51" s="1"/>
  <c r="D112" i="51"/>
  <c r="X103" i="51"/>
  <c r="AV154" i="51"/>
  <c r="BB154" i="51" s="1"/>
  <c r="BF154" i="51" s="1"/>
  <c r="AV168" i="51"/>
  <c r="BB168" i="51" s="1"/>
  <c r="BF168" i="51" s="1"/>
  <c r="N40" i="51"/>
  <c r="Z40" i="51" s="1"/>
  <c r="AL40" i="51" s="1"/>
  <c r="N48" i="51"/>
  <c r="Z48" i="51" s="1"/>
  <c r="AL48" i="51" s="1"/>
  <c r="AT59" i="51"/>
  <c r="AT69" i="51"/>
  <c r="AA74" i="51"/>
  <c r="AM74" i="51" s="1"/>
  <c r="AS30" i="51"/>
  <c r="BB31" i="51"/>
  <c r="AY31" i="51" s="1"/>
  <c r="AY32" i="51"/>
  <c r="AZ32" i="51" s="1"/>
  <c r="I88" i="51"/>
  <c r="AS38" i="51"/>
  <c r="BB39" i="51"/>
  <c r="AY39" i="51" s="1"/>
  <c r="AY40" i="51"/>
  <c r="AR43" i="51"/>
  <c r="BB47" i="51"/>
  <c r="AY47" i="51" s="1"/>
  <c r="AY48" i="51"/>
  <c r="AR51" i="51"/>
  <c r="AU57" i="51"/>
  <c r="AU59" i="51"/>
  <c r="AB60" i="51"/>
  <c r="AN60" i="51" s="1"/>
  <c r="BD60" i="51"/>
  <c r="AU69" i="51"/>
  <c r="BC71" i="51"/>
  <c r="BB169" i="51"/>
  <c r="BF169" i="51" s="1"/>
  <c r="I103" i="51"/>
  <c r="AT30" i="51"/>
  <c r="AS35" i="51"/>
  <c r="AT38" i="51"/>
  <c r="AS43" i="51"/>
  <c r="AT46" i="51"/>
  <c r="AS50" i="51"/>
  <c r="N53" i="51"/>
  <c r="Z53" i="51" s="1"/>
  <c r="AL53" i="51" s="1"/>
  <c r="AX53" i="51" s="1"/>
  <c r="AT56" i="51"/>
  <c r="AT58" i="51"/>
  <c r="X111" i="51"/>
  <c r="AS61" i="51"/>
  <c r="AT66" i="51"/>
  <c r="AS72" i="51"/>
  <c r="X126" i="51"/>
  <c r="AV137" i="51"/>
  <c r="BB137" i="51" s="1"/>
  <c r="BF137" i="51" s="1"/>
  <c r="AV140" i="51"/>
  <c r="BB140" i="51" s="1"/>
  <c r="BF140" i="51" s="1"/>
  <c r="AV178" i="51"/>
  <c r="BB178" i="51" s="1"/>
  <c r="BF178" i="51" s="1"/>
  <c r="AV181" i="51"/>
  <c r="BB181" i="51" s="1"/>
  <c r="BF181" i="51" s="1"/>
  <c r="N7" i="51"/>
  <c r="N29" i="51"/>
  <c r="Z29" i="51" s="1"/>
  <c r="AL29" i="51" s="1"/>
  <c r="AX29" i="51" s="1"/>
  <c r="AU30" i="51"/>
  <c r="AY34" i="51"/>
  <c r="AZ34" i="51" s="1"/>
  <c r="AR36" i="51"/>
  <c r="N37" i="51"/>
  <c r="Z37" i="51" s="1"/>
  <c r="AL37" i="51" s="1"/>
  <c r="AX37" i="51" s="1"/>
  <c r="AU38" i="51"/>
  <c r="AY42" i="51"/>
  <c r="AZ42" i="51" s="1"/>
  <c r="N45" i="51"/>
  <c r="Z45" i="51" s="1"/>
  <c r="AL45" i="51" s="1"/>
  <c r="AU46" i="51"/>
  <c r="AT50" i="51"/>
  <c r="AR52" i="51"/>
  <c r="N56" i="51"/>
  <c r="Z56" i="51" s="1"/>
  <c r="AL56" i="51" s="1"/>
  <c r="AU58" i="51"/>
  <c r="N64" i="51"/>
  <c r="Z64" i="51" s="1"/>
  <c r="AL64" i="51" s="1"/>
  <c r="AU68" i="51"/>
  <c r="AR70" i="51"/>
  <c r="AV146" i="51"/>
  <c r="BB146" i="51" s="1"/>
  <c r="BF146" i="51" s="1"/>
  <c r="AV161" i="51"/>
  <c r="BB161" i="51" s="1"/>
  <c r="BF161" i="51" s="1"/>
  <c r="AV164" i="51"/>
  <c r="BB164" i="51" s="1"/>
  <c r="BF164" i="51" s="1"/>
  <c r="O7" i="51"/>
  <c r="AT31" i="51"/>
  <c r="AU32" i="51"/>
  <c r="BD33" i="51"/>
  <c r="AY33" i="51" s="1"/>
  <c r="AT34" i="51"/>
  <c r="AU35" i="51"/>
  <c r="AS36" i="51"/>
  <c r="AT39" i="51"/>
  <c r="AU40" i="51"/>
  <c r="BD41" i="51"/>
  <c r="AY41" i="51" s="1"/>
  <c r="AT42" i="51"/>
  <c r="AU43" i="51"/>
  <c r="AS44" i="51"/>
  <c r="AT47" i="51"/>
  <c r="AU48" i="51"/>
  <c r="P55" i="51"/>
  <c r="AB55" i="51" s="1"/>
  <c r="AN55" i="51" s="1"/>
  <c r="AU56" i="51"/>
  <c r="N59" i="51"/>
  <c r="Z59" i="51" s="1"/>
  <c r="AL59" i="51" s="1"/>
  <c r="AU63" i="51"/>
  <c r="AU64" i="51"/>
  <c r="AR66" i="51"/>
  <c r="AY67" i="51"/>
  <c r="AU74" i="51"/>
  <c r="BB148" i="51"/>
  <c r="BF148" i="51" s="1"/>
  <c r="D121" i="51"/>
  <c r="AU31" i="51"/>
  <c r="AS33" i="51"/>
  <c r="N35" i="51"/>
  <c r="Z35" i="51" s="1"/>
  <c r="AL35" i="51" s="1"/>
  <c r="AX35" i="51" s="1"/>
  <c r="AT36" i="51"/>
  <c r="AU39" i="51"/>
  <c r="AS41" i="51"/>
  <c r="N43" i="51"/>
  <c r="Z43" i="51" s="1"/>
  <c r="AL43" i="51" s="1"/>
  <c r="AX43" i="51" s="1"/>
  <c r="AT44" i="51"/>
  <c r="AU47" i="51"/>
  <c r="AS49" i="51"/>
  <c r="AS51" i="51"/>
  <c r="AA59" i="51"/>
  <c r="AM59" i="51" s="1"/>
  <c r="AU60" i="51"/>
  <c r="AA61" i="51"/>
  <c r="AM61" i="51" s="1"/>
  <c r="AS71" i="51"/>
  <c r="N72" i="51"/>
  <c r="Z72" i="51" s="1"/>
  <c r="AL72" i="51" s="1"/>
  <c r="AU75" i="51"/>
  <c r="AV138" i="51"/>
  <c r="BB138" i="51" s="1"/>
  <c r="BF138" i="51" s="1"/>
  <c r="AV141" i="51"/>
  <c r="BB141" i="51" s="1"/>
  <c r="BF141" i="51" s="1"/>
  <c r="AV144" i="51"/>
  <c r="BB144" i="51" s="1"/>
  <c r="BF144" i="51" s="1"/>
  <c r="AV152" i="51"/>
  <c r="BB152" i="51" s="1"/>
  <c r="BF152" i="51" s="1"/>
  <c r="AY49" i="51"/>
  <c r="N30" i="51"/>
  <c r="Z30" i="51" s="1"/>
  <c r="L84" i="51"/>
  <c r="AO33" i="51"/>
  <c r="AA39" i="51"/>
  <c r="AM39" i="51" s="1"/>
  <c r="N31" i="51"/>
  <c r="Z31" i="51" s="1"/>
  <c r="AA31" i="51"/>
  <c r="AM31" i="51" s="1"/>
  <c r="N47" i="51"/>
  <c r="Z47" i="51" s="1"/>
  <c r="AA47" i="51"/>
  <c r="AM47" i="51" s="1"/>
  <c r="L80" i="51"/>
  <c r="K80" i="51"/>
  <c r="X80" i="51" s="1"/>
  <c r="I94" i="51"/>
  <c r="K101" i="51"/>
  <c r="X101" i="51" s="1"/>
  <c r="L101" i="51"/>
  <c r="L122" i="51"/>
  <c r="K122" i="51"/>
  <c r="X122" i="51" s="1"/>
  <c r="BB68" i="51"/>
  <c r="O68" i="51"/>
  <c r="L95" i="51"/>
  <c r="K95" i="51"/>
  <c r="X95" i="51" s="1"/>
  <c r="BB71" i="51"/>
  <c r="O71" i="51"/>
  <c r="N71" i="51" s="1"/>
  <c r="Z71" i="51" s="1"/>
  <c r="AA30" i="51"/>
  <c r="AM30" i="51" s="1"/>
  <c r="L86" i="51"/>
  <c r="K86" i="51"/>
  <c r="X86" i="51" s="1"/>
  <c r="O36" i="51"/>
  <c r="AA36" i="51" s="1"/>
  <c r="AM36" i="51" s="1"/>
  <c r="AA38" i="51"/>
  <c r="AM38" i="51" s="1"/>
  <c r="AC40" i="51"/>
  <c r="AO40" i="51" s="1"/>
  <c r="I122" i="51"/>
  <c r="B124" i="51"/>
  <c r="B120" i="51"/>
  <c r="B116" i="51"/>
  <c r="B112" i="51"/>
  <c r="B108" i="51"/>
  <c r="B104" i="51"/>
  <c r="B100" i="51"/>
  <c r="B96" i="51"/>
  <c r="B123" i="51"/>
  <c r="B119" i="51"/>
  <c r="B115" i="51"/>
  <c r="B111" i="51"/>
  <c r="B121" i="51"/>
  <c r="B110" i="51"/>
  <c r="B106" i="51"/>
  <c r="B95" i="51"/>
  <c r="B85" i="51"/>
  <c r="B114" i="51"/>
  <c r="B105" i="51"/>
  <c r="B94" i="51"/>
  <c r="B86" i="51"/>
  <c r="B81" i="51"/>
  <c r="B117" i="51"/>
  <c r="B103" i="51"/>
  <c r="B93" i="51"/>
  <c r="B87" i="51"/>
  <c r="B102" i="51"/>
  <c r="B92" i="51"/>
  <c r="B88" i="51"/>
  <c r="B126" i="51"/>
  <c r="B113" i="51"/>
  <c r="B101" i="51"/>
  <c r="B89" i="51"/>
  <c r="B109" i="51"/>
  <c r="B82" i="51"/>
  <c r="B122" i="51"/>
  <c r="B84" i="51"/>
  <c r="B97" i="51"/>
  <c r="B125" i="51"/>
  <c r="B98" i="51"/>
  <c r="B118" i="51"/>
  <c r="B107" i="51"/>
  <c r="B99" i="51"/>
  <c r="B91" i="51"/>
  <c r="B90" i="51"/>
  <c r="B83" i="51"/>
  <c r="BD30" i="51"/>
  <c r="AY30" i="51" s="1"/>
  <c r="I83" i="51"/>
  <c r="N34" i="51"/>
  <c r="Z34" i="51" s="1"/>
  <c r="K85" i="51"/>
  <c r="X85" i="51" s="1"/>
  <c r="L85" i="51"/>
  <c r="P36" i="51"/>
  <c r="AB36" i="51" s="1"/>
  <c r="AN36" i="51" s="1"/>
  <c r="BB36" i="51"/>
  <c r="BD38" i="51"/>
  <c r="AY38" i="51" s="1"/>
  <c r="I91" i="51"/>
  <c r="N42" i="51"/>
  <c r="Z42" i="51" s="1"/>
  <c r="K93" i="51"/>
  <c r="X93" i="51" s="1"/>
  <c r="L93" i="51"/>
  <c r="P44" i="51"/>
  <c r="AB44" i="51" s="1"/>
  <c r="AR44" i="51"/>
  <c r="BB44" i="51"/>
  <c r="BD46" i="51"/>
  <c r="AY46" i="51" s="1"/>
  <c r="I99" i="51"/>
  <c r="AU50" i="51"/>
  <c r="N51" i="51"/>
  <c r="Z51" i="51" s="1"/>
  <c r="N58" i="51"/>
  <c r="Z58" i="51" s="1"/>
  <c r="AA58" i="51"/>
  <c r="AM58" i="51" s="1"/>
  <c r="AA69" i="51"/>
  <c r="AM69" i="51" s="1"/>
  <c r="L88" i="51"/>
  <c r="K88" i="51"/>
  <c r="X88" i="51" s="1"/>
  <c r="L96" i="51"/>
  <c r="K96" i="51"/>
  <c r="X96" i="51" s="1"/>
  <c r="BC65" i="51"/>
  <c r="P65" i="51"/>
  <c r="AB65" i="51" s="1"/>
  <c r="AN65" i="51" s="1"/>
  <c r="I93" i="51"/>
  <c r="I123" i="51"/>
  <c r="P68" i="51"/>
  <c r="AB68" i="51" s="1"/>
  <c r="AN68" i="51" s="1"/>
  <c r="BC68" i="51"/>
  <c r="I84" i="51"/>
  <c r="Q38" i="51"/>
  <c r="AC38" i="51" s="1"/>
  <c r="AC30" i="51"/>
  <c r="AO30" i="51" s="1"/>
  <c r="I82" i="51"/>
  <c r="AR35" i="51"/>
  <c r="BC36" i="51"/>
  <c r="I90" i="51"/>
  <c r="L92" i="51"/>
  <c r="K92" i="51"/>
  <c r="X92" i="51" s="1"/>
  <c r="AA44" i="51"/>
  <c r="AM44" i="51" s="1"/>
  <c r="BC44" i="51"/>
  <c r="AC46" i="51"/>
  <c r="AO46" i="51" s="1"/>
  <c r="I98" i="51"/>
  <c r="K100" i="51"/>
  <c r="X100" i="51" s="1"/>
  <c r="BC52" i="51"/>
  <c r="I106" i="51"/>
  <c r="L106" i="51"/>
  <c r="K106" i="51"/>
  <c r="X106" i="51" s="1"/>
  <c r="AR55" i="51"/>
  <c r="K116" i="51"/>
  <c r="X116" i="51" s="1"/>
  <c r="AR65" i="51"/>
  <c r="AR71" i="51"/>
  <c r="I86" i="51"/>
  <c r="BD62" i="51"/>
  <c r="AY62" i="51" s="1"/>
  <c r="Q62" i="51"/>
  <c r="N62" i="51" s="1"/>
  <c r="Z62" i="51" s="1"/>
  <c r="AL62" i="51" s="1"/>
  <c r="I85" i="51"/>
  <c r="L87" i="51"/>
  <c r="K87" i="51"/>
  <c r="X87" i="51" s="1"/>
  <c r="BD65" i="51"/>
  <c r="Q65" i="51"/>
  <c r="AC65" i="51" s="1"/>
  <c r="AO65" i="51" s="1"/>
  <c r="AR37" i="51"/>
  <c r="L94" i="51"/>
  <c r="K94" i="51"/>
  <c r="X94" i="51" s="1"/>
  <c r="AC48" i="51"/>
  <c r="AO48" i="51" s="1"/>
  <c r="M104" i="51"/>
  <c r="M96" i="51"/>
  <c r="M88" i="51"/>
  <c r="D123" i="51"/>
  <c r="D119" i="51"/>
  <c r="D115" i="51"/>
  <c r="D111" i="51"/>
  <c r="D107" i="51"/>
  <c r="D103" i="51"/>
  <c r="D99" i="51"/>
  <c r="D95" i="51"/>
  <c r="M123" i="51"/>
  <c r="M115" i="51"/>
  <c r="M107" i="51"/>
  <c r="M99" i="51"/>
  <c r="M91" i="51"/>
  <c r="D122" i="51"/>
  <c r="D118" i="51"/>
  <c r="D114" i="51"/>
  <c r="D110" i="51"/>
  <c r="D126" i="51"/>
  <c r="M118" i="51"/>
  <c r="D117" i="51"/>
  <c r="M113" i="51"/>
  <c r="D104" i="51"/>
  <c r="D93" i="51"/>
  <c r="D87" i="51"/>
  <c r="M85" i="51"/>
  <c r="M126" i="51"/>
  <c r="D120" i="51"/>
  <c r="D102" i="51"/>
  <c r="D92" i="51"/>
  <c r="D88" i="51"/>
  <c r="M86" i="51"/>
  <c r="D113" i="51"/>
  <c r="D101" i="51"/>
  <c r="D89" i="51"/>
  <c r="D116" i="51"/>
  <c r="D100" i="51"/>
  <c r="M94" i="51"/>
  <c r="D90" i="51"/>
  <c r="D82" i="51"/>
  <c r="D80" i="51"/>
  <c r="E80" i="51" s="1"/>
  <c r="F80" i="51" s="1"/>
  <c r="D125" i="51"/>
  <c r="M121" i="51"/>
  <c r="D109" i="51"/>
  <c r="D98" i="51"/>
  <c r="M93" i="51"/>
  <c r="D124" i="51"/>
  <c r="D96" i="51"/>
  <c r="D84" i="51"/>
  <c r="D105" i="51"/>
  <c r="D97" i="51"/>
  <c r="M83" i="51"/>
  <c r="D106" i="51"/>
  <c r="D81" i="51"/>
  <c r="D91" i="51"/>
  <c r="D86" i="51"/>
  <c r="D83" i="51"/>
  <c r="M101" i="51"/>
  <c r="D108" i="51"/>
  <c r="D94" i="51"/>
  <c r="D85" i="51"/>
  <c r="I81" i="51"/>
  <c r="N32" i="51"/>
  <c r="Z32" i="51" s="1"/>
  <c r="K83" i="51"/>
  <c r="X83" i="51" s="1"/>
  <c r="L83" i="51"/>
  <c r="AR34" i="51"/>
  <c r="K91" i="51"/>
  <c r="X91" i="51" s="1"/>
  <c r="AR42" i="51"/>
  <c r="I97" i="51"/>
  <c r="K99" i="51"/>
  <c r="X99" i="51" s="1"/>
  <c r="AA51" i="51"/>
  <c r="AM51" i="51" s="1"/>
  <c r="AS55" i="51"/>
  <c r="I113" i="51"/>
  <c r="I114" i="51"/>
  <c r="L115" i="51"/>
  <c r="K115" i="51"/>
  <c r="X115" i="51" s="1"/>
  <c r="AR64" i="51"/>
  <c r="AU66" i="51"/>
  <c r="AT70" i="51"/>
  <c r="I101" i="51"/>
  <c r="N66" i="51"/>
  <c r="Z66" i="51" s="1"/>
  <c r="AA66" i="51"/>
  <c r="AM66" i="51" s="1"/>
  <c r="I104" i="51"/>
  <c r="BD54" i="51"/>
  <c r="AY54" i="51" s="1"/>
  <c r="Q54" i="51"/>
  <c r="BC57" i="51"/>
  <c r="P57" i="51"/>
  <c r="AB57" i="51" s="1"/>
  <c r="AN57" i="51" s="1"/>
  <c r="P73" i="51"/>
  <c r="N73" i="51" s="1"/>
  <c r="Z73" i="51" s="1"/>
  <c r="BC73" i="51"/>
  <c r="BB55" i="51"/>
  <c r="AY55" i="51" s="1"/>
  <c r="O55" i="51"/>
  <c r="BD57" i="51"/>
  <c r="Q57" i="51"/>
  <c r="AC57" i="51" s="1"/>
  <c r="BD73" i="51"/>
  <c r="AC73" i="51"/>
  <c r="AO73" i="51" s="1"/>
  <c r="AR29" i="51"/>
  <c r="AR45" i="51"/>
  <c r="BC60" i="51"/>
  <c r="I80" i="51"/>
  <c r="L82" i="51"/>
  <c r="P33" i="51"/>
  <c r="J84" i="51" s="1"/>
  <c r="AR33" i="51"/>
  <c r="L90" i="51"/>
  <c r="K90" i="51"/>
  <c r="X90" i="51" s="1"/>
  <c r="P41" i="51"/>
  <c r="J92" i="51" s="1"/>
  <c r="AR41" i="51"/>
  <c r="I96" i="51"/>
  <c r="L98" i="51"/>
  <c r="K98" i="51"/>
  <c r="X98" i="51" s="1"/>
  <c r="P49" i="51"/>
  <c r="J100" i="51" s="1"/>
  <c r="AR49" i="51"/>
  <c r="AS64" i="51"/>
  <c r="AT65" i="51"/>
  <c r="AY167" i="51"/>
  <c r="AV167" i="51"/>
  <c r="AR50" i="51"/>
  <c r="BB52" i="51"/>
  <c r="O52" i="51"/>
  <c r="N52" i="51" s="1"/>
  <c r="Z52" i="51" s="1"/>
  <c r="BB60" i="51"/>
  <c r="O60" i="51"/>
  <c r="J111" i="51" s="1"/>
  <c r="BD70" i="51"/>
  <c r="Q70" i="51"/>
  <c r="N70" i="51" s="1"/>
  <c r="Z70" i="51" s="1"/>
  <c r="BB63" i="51"/>
  <c r="AY63" i="51" s="1"/>
  <c r="O63" i="51"/>
  <c r="N63" i="51" s="1"/>
  <c r="Z63" i="51" s="1"/>
  <c r="AC191" i="51"/>
  <c r="Y191" i="51"/>
  <c r="AF191" i="51"/>
  <c r="AX132" i="51"/>
  <c r="AT132" i="51"/>
  <c r="BA132" i="51"/>
  <c r="I92" i="51"/>
  <c r="AA46" i="51"/>
  <c r="AM46" i="51" s="1"/>
  <c r="X82" i="51"/>
  <c r="J126" i="51"/>
  <c r="J125" i="51"/>
  <c r="J121" i="51"/>
  <c r="J117" i="51"/>
  <c r="J113" i="51"/>
  <c r="J109" i="51"/>
  <c r="J101" i="51"/>
  <c r="J93" i="51"/>
  <c r="J124" i="51"/>
  <c r="J112" i="51"/>
  <c r="J102" i="51"/>
  <c r="J82" i="51"/>
  <c r="J80" i="51"/>
  <c r="J108" i="51"/>
  <c r="J99" i="51"/>
  <c r="J83" i="51"/>
  <c r="J96" i="51"/>
  <c r="J91" i="51"/>
  <c r="J85" i="51"/>
  <c r="J115" i="51"/>
  <c r="J107" i="51"/>
  <c r="J98" i="51"/>
  <c r="J104" i="51"/>
  <c r="J86" i="51"/>
  <c r="J110" i="51"/>
  <c r="J123" i="51"/>
  <c r="J94" i="51"/>
  <c r="J89" i="51"/>
  <c r="J88" i="51"/>
  <c r="K81" i="51"/>
  <c r="X81" i="51" s="1"/>
  <c r="AR32" i="51"/>
  <c r="I87" i="51"/>
  <c r="K89" i="51"/>
  <c r="X89" i="51" s="1"/>
  <c r="AR40" i="51"/>
  <c r="I95" i="51"/>
  <c r="K97" i="51"/>
  <c r="X97" i="51" s="1"/>
  <c r="AR48" i="51"/>
  <c r="Q49" i="51"/>
  <c r="AC49" i="51" s="1"/>
  <c r="AO49" i="51" s="1"/>
  <c r="L102" i="51"/>
  <c r="AA52" i="51"/>
  <c r="AM52" i="51" s="1"/>
  <c r="L107" i="51"/>
  <c r="K107" i="51"/>
  <c r="X107" i="51" s="1"/>
  <c r="AR56" i="51"/>
  <c r="K108" i="51"/>
  <c r="X108" i="51" s="1"/>
  <c r="AR57" i="51"/>
  <c r="AT64" i="51"/>
  <c r="AU65" i="51"/>
  <c r="L123" i="51"/>
  <c r="K123" i="51"/>
  <c r="X123" i="51" s="1"/>
  <c r="J81" i="51"/>
  <c r="I112" i="51"/>
  <c r="AT71" i="51"/>
  <c r="K114" i="51"/>
  <c r="X114" i="51" s="1"/>
  <c r="K105" i="51"/>
  <c r="X105" i="51" s="1"/>
  <c r="I111" i="51"/>
  <c r="K113" i="51"/>
  <c r="X113" i="51" s="1"/>
  <c r="I119" i="51"/>
  <c r="AU71" i="51"/>
  <c r="K124" i="51"/>
  <c r="X124" i="51" s="1"/>
  <c r="AR73" i="51"/>
  <c r="I126" i="51"/>
  <c r="AR75" i="51"/>
  <c r="L114" i="51"/>
  <c r="I102" i="51"/>
  <c r="L104" i="51"/>
  <c r="K104" i="51"/>
  <c r="X104" i="51" s="1"/>
  <c r="I110" i="51"/>
  <c r="L112" i="51"/>
  <c r="K112" i="51"/>
  <c r="X112" i="51" s="1"/>
  <c r="I118" i="51"/>
  <c r="L119" i="51"/>
  <c r="K119" i="51"/>
  <c r="X119" i="51" s="1"/>
  <c r="AR68" i="51"/>
  <c r="AU72" i="51"/>
  <c r="L103" i="51"/>
  <c r="AR54" i="51"/>
  <c r="I109" i="51"/>
  <c r="L111" i="51"/>
  <c r="AR62" i="51"/>
  <c r="I117" i="51"/>
  <c r="I120" i="51"/>
  <c r="L120" i="51"/>
  <c r="K120" i="51"/>
  <c r="X120" i="51" s="1"/>
  <c r="AR69" i="51"/>
  <c r="L110" i="51"/>
  <c r="AR61" i="51"/>
  <c r="L118" i="51"/>
  <c r="K118" i="51"/>
  <c r="X118" i="51" s="1"/>
  <c r="AS69" i="51"/>
  <c r="K110" i="51"/>
  <c r="X110" i="51" s="1"/>
  <c r="I107" i="51"/>
  <c r="K109" i="51"/>
  <c r="X109" i="51" s="1"/>
  <c r="L109" i="51"/>
  <c r="AR60" i="51"/>
  <c r="I115" i="51"/>
  <c r="X121" i="51"/>
  <c r="N74" i="51"/>
  <c r="Z74" i="51" s="1"/>
  <c r="N75" i="51"/>
  <c r="Z75" i="51" s="1"/>
  <c r="L117" i="51"/>
  <c r="L125" i="51"/>
  <c r="AY139" i="51"/>
  <c r="AV139" i="51"/>
  <c r="AY143" i="51"/>
  <c r="AV143" i="51"/>
  <c r="I125" i="51"/>
  <c r="L126" i="51"/>
  <c r="AY150" i="51"/>
  <c r="AV150" i="51"/>
  <c r="I124" i="51"/>
  <c r="AY162" i="51"/>
  <c r="AV162" i="51"/>
  <c r="AV151" i="51"/>
  <c r="BB151" i="51" s="1"/>
  <c r="BF151" i="51" s="1"/>
  <c r="AY166" i="51"/>
  <c r="AV166" i="51"/>
  <c r="AV149" i="51"/>
  <c r="BB149" i="51" s="1"/>
  <c r="BF149" i="51" s="1"/>
  <c r="AY158" i="51"/>
  <c r="AV158" i="51"/>
  <c r="AV159" i="51"/>
  <c r="BB159" i="51" s="1"/>
  <c r="BF159" i="51" s="1"/>
  <c r="AY171" i="51"/>
  <c r="AV171" i="51"/>
  <c r="AY175" i="51"/>
  <c r="AV175" i="51"/>
  <c r="BB176" i="51"/>
  <c r="BF176" i="51" s="1"/>
  <c r="AV170" i="51"/>
  <c r="BB170" i="51" s="1"/>
  <c r="BF170" i="51" s="1"/>
  <c r="AV174" i="51"/>
  <c r="BB174" i="51" s="1"/>
  <c r="BF174" i="51" s="1"/>
  <c r="AY179" i="51"/>
  <c r="AV179" i="51"/>
  <c r="X108" i="46"/>
  <c r="J93" i="46"/>
  <c r="AU32" i="46"/>
  <c r="X93" i="46"/>
  <c r="AR35" i="46"/>
  <c r="AY54" i="46"/>
  <c r="AY62" i="46"/>
  <c r="AZ62" i="46" s="1"/>
  <c r="AY74" i="46"/>
  <c r="AZ74" i="46" s="1"/>
  <c r="AY38" i="46"/>
  <c r="AZ38" i="46" s="1"/>
  <c r="AY65" i="46"/>
  <c r="AY34" i="46"/>
  <c r="AV143" i="46"/>
  <c r="BB143" i="46" s="1"/>
  <c r="BF143" i="46" s="1"/>
  <c r="AC4" i="14"/>
  <c r="AR29" i="46"/>
  <c r="AS30" i="46"/>
  <c r="AS32" i="46"/>
  <c r="AY36" i="46"/>
  <c r="AZ36" i="46" s="1"/>
  <c r="AT40" i="46"/>
  <c r="AT42" i="46"/>
  <c r="AY45" i="46"/>
  <c r="AT48" i="46"/>
  <c r="AT49" i="46"/>
  <c r="AU52" i="46"/>
  <c r="X107" i="46"/>
  <c r="AU60" i="46"/>
  <c r="AU64" i="46"/>
  <c r="AT72" i="46"/>
  <c r="AV163" i="46"/>
  <c r="AT32" i="49"/>
  <c r="AR38" i="49"/>
  <c r="AT50" i="49"/>
  <c r="AS53" i="49"/>
  <c r="AU63" i="49"/>
  <c r="AT32" i="46"/>
  <c r="AU43" i="46"/>
  <c r="AU46" i="46"/>
  <c r="AY49" i="46"/>
  <c r="AU50" i="46"/>
  <c r="AU57" i="46"/>
  <c r="N60" i="46"/>
  <c r="Z60" i="46" s="1"/>
  <c r="AL60" i="46" s="1"/>
  <c r="AR61" i="46"/>
  <c r="N65" i="46"/>
  <c r="Z65" i="46" s="1"/>
  <c r="AL65" i="46" s="1"/>
  <c r="AT70" i="46"/>
  <c r="N71" i="46"/>
  <c r="Z71" i="46" s="1"/>
  <c r="AY71" i="46"/>
  <c r="AZ71" i="46" s="1"/>
  <c r="BB149" i="46"/>
  <c r="BF149" i="46" s="1"/>
  <c r="BB167" i="46"/>
  <c r="BF167" i="46" s="1"/>
  <c r="AB4" i="14"/>
  <c r="AU40" i="49"/>
  <c r="AU50" i="49"/>
  <c r="AY75" i="49"/>
  <c r="AT38" i="46"/>
  <c r="AR40" i="46"/>
  <c r="AY53" i="46"/>
  <c r="AT56" i="46"/>
  <c r="AS57" i="46"/>
  <c r="AS61" i="46"/>
  <c r="AS65" i="46"/>
  <c r="AS67" i="46"/>
  <c r="BB144" i="46"/>
  <c r="BF144" i="46" s="1"/>
  <c r="BB176" i="46"/>
  <c r="BF176" i="46" s="1"/>
  <c r="U4" i="14"/>
  <c r="AT36" i="46"/>
  <c r="AS47" i="46"/>
  <c r="AS48" i="46"/>
  <c r="X100" i="46"/>
  <c r="AS53" i="46"/>
  <c r="AS55" i="46"/>
  <c r="AT63" i="46"/>
  <c r="AT65" i="46"/>
  <c r="AR71" i="46"/>
  <c r="BE135" i="46"/>
  <c r="AV152" i="46"/>
  <c r="BB152" i="46" s="1"/>
  <c r="BF152" i="46" s="1"/>
  <c r="AV156" i="46"/>
  <c r="AV180" i="46"/>
  <c r="BB180" i="46" s="1"/>
  <c r="BF180" i="46" s="1"/>
  <c r="BA135" i="48"/>
  <c r="AU34" i="49"/>
  <c r="AR53" i="49"/>
  <c r="AU68" i="49"/>
  <c r="AV141" i="49"/>
  <c r="BB141" i="49" s="1"/>
  <c r="BF141" i="49" s="1"/>
  <c r="AV143" i="49"/>
  <c r="AV151" i="49"/>
  <c r="BA135" i="50"/>
  <c r="AS31" i="46"/>
  <c r="AS33" i="46"/>
  <c r="AY35" i="46"/>
  <c r="AS43" i="46"/>
  <c r="AS49" i="46"/>
  <c r="AT51" i="46"/>
  <c r="AV141" i="46"/>
  <c r="AV171" i="46"/>
  <c r="BB171" i="46" s="1"/>
  <c r="BF171" i="46" s="1"/>
  <c r="AV155" i="49"/>
  <c r="AV157" i="49"/>
  <c r="BB157" i="49" s="1"/>
  <c r="BF157" i="49" s="1"/>
  <c r="AV163" i="49"/>
  <c r="BB163" i="49" s="1"/>
  <c r="BF163" i="49" s="1"/>
  <c r="AV165" i="49"/>
  <c r="BB165" i="49" s="1"/>
  <c r="BF165" i="49" s="1"/>
  <c r="AV171" i="49"/>
  <c r="BB171" i="49" s="1"/>
  <c r="BF171" i="49" s="1"/>
  <c r="X122" i="50"/>
  <c r="AY62" i="50"/>
  <c r="AZ62" i="50" s="1"/>
  <c r="AR74" i="50"/>
  <c r="AR56" i="50"/>
  <c r="AV177" i="50"/>
  <c r="AT53" i="50"/>
  <c r="AR55" i="50"/>
  <c r="AS56" i="50"/>
  <c r="AU58" i="50"/>
  <c r="AS43" i="50"/>
  <c r="AU45" i="50"/>
  <c r="AR50" i="50"/>
  <c r="AT52" i="50"/>
  <c r="AR41" i="50"/>
  <c r="AU31" i="50"/>
  <c r="AV160" i="50"/>
  <c r="BB160" i="50" s="1"/>
  <c r="BF160" i="50" s="1"/>
  <c r="AY31" i="50"/>
  <c r="AZ31" i="50" s="1"/>
  <c r="AU72" i="50"/>
  <c r="AS31" i="50"/>
  <c r="AS39" i="50"/>
  <c r="AU71" i="50"/>
  <c r="AT74" i="50"/>
  <c r="AS30" i="50"/>
  <c r="AU57" i="50"/>
  <c r="AT62" i="50"/>
  <c r="AR64" i="50"/>
  <c r="AS65" i="50"/>
  <c r="AV141" i="50"/>
  <c r="AV147" i="50"/>
  <c r="BB147" i="50" s="1"/>
  <c r="BF147" i="50" s="1"/>
  <c r="AV161" i="50"/>
  <c r="BB161" i="50" s="1"/>
  <c r="BF161" i="50" s="1"/>
  <c r="AV167" i="50"/>
  <c r="BB167" i="50" s="1"/>
  <c r="BF167" i="50" s="1"/>
  <c r="AV175" i="50"/>
  <c r="BB175" i="50" s="1"/>
  <c r="BF175" i="50" s="1"/>
  <c r="AS58" i="50"/>
  <c r="AU69" i="50"/>
  <c r="AY71" i="50"/>
  <c r="AU59" i="50"/>
  <c r="AV154" i="50"/>
  <c r="BB154" i="50" s="1"/>
  <c r="BF154" i="50" s="1"/>
  <c r="AS50" i="50"/>
  <c r="AS29" i="50"/>
  <c r="AU36" i="50"/>
  <c r="AS38" i="50"/>
  <c r="AS49" i="50"/>
  <c r="AU52" i="50"/>
  <c r="AS54" i="50"/>
  <c r="AT56" i="50"/>
  <c r="AT66" i="50"/>
  <c r="AU67" i="50"/>
  <c r="BE135" i="50"/>
  <c r="AY33" i="50"/>
  <c r="AT34" i="50"/>
  <c r="AR36" i="50"/>
  <c r="AS37" i="50"/>
  <c r="AU44" i="50"/>
  <c r="AS47" i="50"/>
  <c r="AT49" i="50"/>
  <c r="AU51" i="50"/>
  <c r="AY53" i="50"/>
  <c r="AZ53" i="50" s="1"/>
  <c r="AS64" i="50"/>
  <c r="AT65" i="50"/>
  <c r="AY69" i="50"/>
  <c r="AZ69" i="50" s="1"/>
  <c r="AY32" i="50"/>
  <c r="AZ32" i="50" s="1"/>
  <c r="AT37" i="50"/>
  <c r="AY40" i="50"/>
  <c r="AZ40" i="50" s="1"/>
  <c r="AY41" i="50"/>
  <c r="AT42" i="50"/>
  <c r="AS46" i="50"/>
  <c r="AU49" i="50"/>
  <c r="AS52" i="50"/>
  <c r="AV181" i="50"/>
  <c r="BB181" i="50" s="1"/>
  <c r="BF181" i="50" s="1"/>
  <c r="AS35" i="50"/>
  <c r="AU37" i="50"/>
  <c r="AY39" i="50"/>
  <c r="AZ39" i="50" s="1"/>
  <c r="AT45" i="50"/>
  <c r="N46" i="50"/>
  <c r="Z46" i="50" s="1"/>
  <c r="AL46" i="50" s="1"/>
  <c r="AT46" i="50"/>
  <c r="AU64" i="50"/>
  <c r="AR65" i="50"/>
  <c r="AV144" i="50"/>
  <c r="BB144" i="50" s="1"/>
  <c r="BF144" i="50" s="1"/>
  <c r="BB177" i="50"/>
  <c r="BF177" i="50" s="1"/>
  <c r="AY30" i="50"/>
  <c r="AZ30" i="50" s="1"/>
  <c r="AT29" i="50"/>
  <c r="AY48" i="50"/>
  <c r="AY55" i="50"/>
  <c r="AY75" i="50"/>
  <c r="AZ75" i="50" s="1"/>
  <c r="AU29" i="50"/>
  <c r="AU32" i="50"/>
  <c r="X84" i="50"/>
  <c r="AR49" i="50"/>
  <c r="AY61" i="50"/>
  <c r="AZ61" i="50" s="1"/>
  <c r="AY70" i="50"/>
  <c r="AZ70" i="50" s="1"/>
  <c r="AU73" i="50"/>
  <c r="AV146" i="50"/>
  <c r="BB146" i="50" s="1"/>
  <c r="BF146" i="50" s="1"/>
  <c r="AV169" i="50"/>
  <c r="BB169" i="50" s="1"/>
  <c r="BF169" i="50" s="1"/>
  <c r="AV172" i="50"/>
  <c r="BB172" i="50" s="1"/>
  <c r="BF172" i="50" s="1"/>
  <c r="AV178" i="50"/>
  <c r="BB178" i="50" s="1"/>
  <c r="BF178" i="50" s="1"/>
  <c r="AT31" i="50"/>
  <c r="AS33" i="50"/>
  <c r="AT35" i="50"/>
  <c r="AS41" i="50"/>
  <c r="AT43" i="50"/>
  <c r="AR48" i="50"/>
  <c r="AS51" i="50"/>
  <c r="AU56" i="50"/>
  <c r="AS63" i="50"/>
  <c r="AT68" i="50"/>
  <c r="AS70" i="50"/>
  <c r="AU74" i="50"/>
  <c r="AT30" i="50"/>
  <c r="AU35" i="50"/>
  <c r="AT39" i="50"/>
  <c r="AU43" i="50"/>
  <c r="AS45" i="50"/>
  <c r="AS48" i="50"/>
  <c r="AT51" i="50"/>
  <c r="AS59" i="50"/>
  <c r="AU66" i="50"/>
  <c r="AY66" i="50"/>
  <c r="AZ66" i="50" s="1"/>
  <c r="AT67" i="50"/>
  <c r="AU68" i="50"/>
  <c r="AT70" i="50"/>
  <c r="AS75" i="50"/>
  <c r="AV168" i="50"/>
  <c r="BB168" i="50" s="1"/>
  <c r="BF168" i="50" s="1"/>
  <c r="AV174" i="50"/>
  <c r="BB174" i="50" s="1"/>
  <c r="BF174" i="50" s="1"/>
  <c r="AY65" i="50"/>
  <c r="AR32" i="50"/>
  <c r="AR34" i="50"/>
  <c r="AT38" i="50"/>
  <c r="AR40" i="50"/>
  <c r="AR42" i="50"/>
  <c r="AY47" i="50"/>
  <c r="AZ47" i="50" s="1"/>
  <c r="AT48" i="50"/>
  <c r="AT50" i="50"/>
  <c r="AY56" i="50"/>
  <c r="AZ56" i="50" s="1"/>
  <c r="AS57" i="50"/>
  <c r="AT58" i="50"/>
  <c r="AT59" i="50"/>
  <c r="AT61" i="50"/>
  <c r="AV153" i="50"/>
  <c r="BB153" i="50" s="1"/>
  <c r="BF153" i="50" s="1"/>
  <c r="AV159" i="50"/>
  <c r="BB159" i="50" s="1"/>
  <c r="BF159" i="50" s="1"/>
  <c r="AV162" i="50"/>
  <c r="BB162" i="50" s="1"/>
  <c r="BF162" i="50" s="1"/>
  <c r="I81" i="50"/>
  <c r="AS34" i="50"/>
  <c r="AT36" i="50"/>
  <c r="AS42" i="50"/>
  <c r="AT44" i="50"/>
  <c r="AU50" i="50"/>
  <c r="AY52" i="50"/>
  <c r="AZ52" i="50" s="1"/>
  <c r="AS53" i="50"/>
  <c r="AT57" i="50"/>
  <c r="AU61" i="50"/>
  <c r="AS66" i="50"/>
  <c r="AT72" i="50"/>
  <c r="N73" i="50"/>
  <c r="Z73" i="50" s="1"/>
  <c r="AL73" i="50" s="1"/>
  <c r="AX73" i="50" s="1"/>
  <c r="AY74" i="50"/>
  <c r="AV139" i="50"/>
  <c r="BB139" i="50" s="1"/>
  <c r="BF139" i="50" s="1"/>
  <c r="AV142" i="50"/>
  <c r="BB142" i="50" s="1"/>
  <c r="BF142" i="50" s="1"/>
  <c r="AV150" i="50"/>
  <c r="BB150" i="50" s="1"/>
  <c r="BF150" i="50" s="1"/>
  <c r="AV156" i="50"/>
  <c r="BB156" i="50" s="1"/>
  <c r="BF156" i="50" s="1"/>
  <c r="AG200" i="50"/>
  <c r="AK200" i="50" s="1"/>
  <c r="N7" i="50"/>
  <c r="AG197" i="50"/>
  <c r="AK197" i="50" s="1"/>
  <c r="O7" i="50"/>
  <c r="AY38" i="50"/>
  <c r="AZ38" i="50" s="1"/>
  <c r="AV170" i="50"/>
  <c r="BB170" i="50" s="1"/>
  <c r="BF170" i="50" s="1"/>
  <c r="N29" i="50"/>
  <c r="Z29" i="50" s="1"/>
  <c r="E135" i="50" s="1"/>
  <c r="AY46" i="50"/>
  <c r="AZ46" i="50" s="1"/>
  <c r="AY57" i="50"/>
  <c r="AY58" i="50"/>
  <c r="AZ58" i="50" s="1"/>
  <c r="I111" i="50"/>
  <c r="AT60" i="50"/>
  <c r="AY60" i="50"/>
  <c r="AZ60" i="50" s="1"/>
  <c r="AT63" i="50"/>
  <c r="AU70" i="50"/>
  <c r="AU75" i="50"/>
  <c r="AV143" i="50"/>
  <c r="BB143" i="50" s="1"/>
  <c r="BF143" i="50" s="1"/>
  <c r="AA29" i="50"/>
  <c r="AM29" i="50" s="1"/>
  <c r="AU30" i="50"/>
  <c r="AS32" i="50"/>
  <c r="AT33" i="50"/>
  <c r="AU34" i="50"/>
  <c r="AS40" i="50"/>
  <c r="AT41" i="50"/>
  <c r="AU42" i="50"/>
  <c r="AU46" i="50"/>
  <c r="N47" i="50"/>
  <c r="Z47" i="50" s="1"/>
  <c r="AL47" i="50" s="1"/>
  <c r="AT47" i="50"/>
  <c r="I108" i="50"/>
  <c r="AY59" i="50"/>
  <c r="AU60" i="50"/>
  <c r="N61" i="50"/>
  <c r="Z61" i="50" s="1"/>
  <c r="AL61" i="50" s="1"/>
  <c r="AU63" i="50"/>
  <c r="AS67" i="50"/>
  <c r="AT69" i="50"/>
  <c r="N31" i="50"/>
  <c r="Z31" i="50" s="1"/>
  <c r="AL31" i="50" s="1"/>
  <c r="AT32" i="50"/>
  <c r="AU33" i="50"/>
  <c r="AU38" i="50"/>
  <c r="AT40" i="50"/>
  <c r="AU41" i="50"/>
  <c r="AU47" i="50"/>
  <c r="N48" i="50"/>
  <c r="Z48" i="50" s="1"/>
  <c r="AL48" i="50" s="1"/>
  <c r="N49" i="50"/>
  <c r="Z49" i="50" s="1"/>
  <c r="AL49" i="50" s="1"/>
  <c r="AX49" i="50" s="1"/>
  <c r="N50" i="50"/>
  <c r="Z50" i="50" s="1"/>
  <c r="AL50" i="50" s="1"/>
  <c r="N51" i="50"/>
  <c r="Z51" i="50" s="1"/>
  <c r="AL51" i="50" s="1"/>
  <c r="AX51" i="50" s="1"/>
  <c r="AR63" i="50"/>
  <c r="AY64" i="50"/>
  <c r="AS71" i="50"/>
  <c r="N75" i="50"/>
  <c r="Z75" i="50" s="1"/>
  <c r="AL75" i="50" s="1"/>
  <c r="N39" i="50"/>
  <c r="Z39" i="50" s="1"/>
  <c r="AL39" i="50" s="1"/>
  <c r="AY44" i="50"/>
  <c r="AZ44" i="50" s="1"/>
  <c r="AY45" i="50"/>
  <c r="AZ45" i="50" s="1"/>
  <c r="AU48" i="50"/>
  <c r="AY50" i="50"/>
  <c r="AY51" i="50"/>
  <c r="AS55" i="50"/>
  <c r="AS62" i="50"/>
  <c r="AY67" i="50"/>
  <c r="AY68" i="50"/>
  <c r="AZ68" i="50" s="1"/>
  <c r="AT71" i="50"/>
  <c r="AV148" i="50"/>
  <c r="BB148" i="50" s="1"/>
  <c r="BF148" i="50" s="1"/>
  <c r="L80" i="50"/>
  <c r="AY29" i="50"/>
  <c r="N32" i="50"/>
  <c r="Z32" i="50" s="1"/>
  <c r="AL32" i="50" s="1"/>
  <c r="AX32" i="50" s="1"/>
  <c r="N33" i="50"/>
  <c r="Z33" i="50" s="1"/>
  <c r="AL33" i="50" s="1"/>
  <c r="AX33" i="50" s="1"/>
  <c r="AR33" i="50"/>
  <c r="N34" i="50"/>
  <c r="Z34" i="50" s="1"/>
  <c r="AL34" i="50" s="1"/>
  <c r="N35" i="50"/>
  <c r="Z35" i="50" s="1"/>
  <c r="AL35" i="50" s="1"/>
  <c r="AX35" i="50" s="1"/>
  <c r="AY36" i="50"/>
  <c r="AZ36" i="50" s="1"/>
  <c r="AU39" i="50"/>
  <c r="N40" i="50"/>
  <c r="Z40" i="50" s="1"/>
  <c r="AL40" i="50" s="1"/>
  <c r="N41" i="50"/>
  <c r="Z41" i="50" s="1"/>
  <c r="AL41" i="50" s="1"/>
  <c r="N42" i="50"/>
  <c r="Z42" i="50" s="1"/>
  <c r="AL42" i="50" s="1"/>
  <c r="N43" i="50"/>
  <c r="Z43" i="50" s="1"/>
  <c r="AL43" i="50" s="1"/>
  <c r="AX43" i="50" s="1"/>
  <c r="AY49" i="50"/>
  <c r="AT55" i="50"/>
  <c r="AY63" i="50"/>
  <c r="N69" i="50"/>
  <c r="Z69" i="50" s="1"/>
  <c r="AL69" i="50" s="1"/>
  <c r="AY73" i="50"/>
  <c r="BB135" i="50"/>
  <c r="BF135" i="50" s="1"/>
  <c r="AV137" i="50"/>
  <c r="BB137" i="50" s="1"/>
  <c r="BF137" i="50" s="1"/>
  <c r="AV151" i="50"/>
  <c r="BB151" i="50" s="1"/>
  <c r="BF151" i="50" s="1"/>
  <c r="AV158" i="50"/>
  <c r="BB158" i="50" s="1"/>
  <c r="BF158" i="50" s="1"/>
  <c r="AV166" i="50"/>
  <c r="BB166" i="50" s="1"/>
  <c r="BF166" i="50" s="1"/>
  <c r="AV176" i="50"/>
  <c r="BB176" i="50" s="1"/>
  <c r="BF176" i="50" s="1"/>
  <c r="D85" i="50"/>
  <c r="AY34" i="50"/>
  <c r="AY35" i="50"/>
  <c r="AS36" i="50"/>
  <c r="AY37" i="50"/>
  <c r="AZ37" i="50" s="1"/>
  <c r="AU40" i="50"/>
  <c r="AY42" i="50"/>
  <c r="AY43" i="50"/>
  <c r="AS44" i="50"/>
  <c r="N54" i="50"/>
  <c r="Z54" i="50" s="1"/>
  <c r="AL54" i="50" s="1"/>
  <c r="AX54" i="50" s="1"/>
  <c r="AY54" i="50"/>
  <c r="AU55" i="50"/>
  <c r="AU62" i="50"/>
  <c r="AT64" i="50"/>
  <c r="AU65" i="50"/>
  <c r="AR71" i="50"/>
  <c r="AS74" i="50"/>
  <c r="B121" i="50"/>
  <c r="B117" i="50"/>
  <c r="B113" i="50"/>
  <c r="B109" i="50"/>
  <c r="B105" i="50"/>
  <c r="B101" i="50"/>
  <c r="B124" i="50"/>
  <c r="B125" i="50"/>
  <c r="B126" i="50"/>
  <c r="B119" i="50"/>
  <c r="B104" i="50"/>
  <c r="B102" i="50"/>
  <c r="B93" i="50"/>
  <c r="B123" i="50"/>
  <c r="B108" i="50"/>
  <c r="B106" i="50"/>
  <c r="B94" i="50"/>
  <c r="B86" i="50"/>
  <c r="B85" i="50"/>
  <c r="B112" i="50"/>
  <c r="B110" i="50"/>
  <c r="B116" i="50"/>
  <c r="B120" i="50"/>
  <c r="B122" i="50"/>
  <c r="B87" i="50"/>
  <c r="B98" i="50"/>
  <c r="B97" i="50"/>
  <c r="B84" i="50"/>
  <c r="B82" i="50"/>
  <c r="B111" i="50"/>
  <c r="B96" i="50"/>
  <c r="B92" i="50"/>
  <c r="B81" i="50"/>
  <c r="B114" i="50"/>
  <c r="B99" i="50"/>
  <c r="B91" i="50"/>
  <c r="B95" i="50"/>
  <c r="B90" i="50"/>
  <c r="B118" i="50"/>
  <c r="B115" i="50"/>
  <c r="B89" i="50"/>
  <c r="B100" i="50"/>
  <c r="B88" i="50"/>
  <c r="B103" i="50"/>
  <c r="B83" i="50"/>
  <c r="B107" i="50"/>
  <c r="AZ48" i="50"/>
  <c r="I110" i="50"/>
  <c r="I80" i="50"/>
  <c r="K82" i="50"/>
  <c r="X82" i="50" s="1"/>
  <c r="L82" i="50"/>
  <c r="I88" i="50"/>
  <c r="K90" i="50"/>
  <c r="X90" i="50" s="1"/>
  <c r="L90" i="50"/>
  <c r="I96" i="50"/>
  <c r="L98" i="50"/>
  <c r="L104" i="50"/>
  <c r="K104" i="50"/>
  <c r="X104" i="50" s="1"/>
  <c r="AR53" i="50"/>
  <c r="D82" i="50"/>
  <c r="D117" i="50"/>
  <c r="I118" i="50"/>
  <c r="J124" i="50"/>
  <c r="J122" i="50"/>
  <c r="J118" i="50"/>
  <c r="J114" i="50"/>
  <c r="J110" i="50"/>
  <c r="J106" i="50"/>
  <c r="J102" i="50"/>
  <c r="J109" i="50"/>
  <c r="J103" i="50"/>
  <c r="J98" i="50"/>
  <c r="J90" i="50"/>
  <c r="J81" i="50"/>
  <c r="J113" i="50"/>
  <c r="J107" i="50"/>
  <c r="J99" i="50"/>
  <c r="J92" i="50"/>
  <c r="J91" i="50"/>
  <c r="J82" i="50"/>
  <c r="J117" i="50"/>
  <c r="J111" i="50"/>
  <c r="J100" i="50"/>
  <c r="J126" i="50"/>
  <c r="J121" i="50"/>
  <c r="J125" i="50"/>
  <c r="J119" i="50"/>
  <c r="J95" i="50"/>
  <c r="J85" i="50"/>
  <c r="J112" i="50"/>
  <c r="J89" i="50"/>
  <c r="J83" i="50"/>
  <c r="J94" i="50"/>
  <c r="J88" i="50"/>
  <c r="J115" i="50"/>
  <c r="J93" i="50"/>
  <c r="J108" i="50"/>
  <c r="J105" i="50"/>
  <c r="J123" i="50"/>
  <c r="J80" i="50"/>
  <c r="J87" i="50"/>
  <c r="J120" i="50"/>
  <c r="J116" i="50"/>
  <c r="J86" i="50"/>
  <c r="J101" i="50"/>
  <c r="J97" i="50"/>
  <c r="J96" i="50"/>
  <c r="J104" i="50"/>
  <c r="N30" i="50"/>
  <c r="Z30" i="50" s="1"/>
  <c r="L81" i="50"/>
  <c r="K81" i="50"/>
  <c r="X81" i="50" s="1"/>
  <c r="AA33" i="50"/>
  <c r="AM33" i="50" s="1"/>
  <c r="AZ33" i="50" s="1"/>
  <c r="AB34" i="50"/>
  <c r="AN34" i="50" s="1"/>
  <c r="AC35" i="50"/>
  <c r="AO35" i="50" s="1"/>
  <c r="I87" i="50"/>
  <c r="N38" i="50"/>
  <c r="Z38" i="50" s="1"/>
  <c r="K89" i="50"/>
  <c r="X89" i="50" s="1"/>
  <c r="L89" i="50"/>
  <c r="AA41" i="50"/>
  <c r="AM41" i="50" s="1"/>
  <c r="AB42" i="50"/>
  <c r="AN42" i="50" s="1"/>
  <c r="AC43" i="50"/>
  <c r="AO43" i="50" s="1"/>
  <c r="I95" i="50"/>
  <c r="K97" i="50"/>
  <c r="X97" i="50" s="1"/>
  <c r="L97" i="50"/>
  <c r="AA49" i="50"/>
  <c r="AM49" i="50" s="1"/>
  <c r="AB50" i="50"/>
  <c r="AN50" i="50" s="1"/>
  <c r="AC51" i="50"/>
  <c r="AO51" i="50" s="1"/>
  <c r="I103" i="50"/>
  <c r="AC54" i="50"/>
  <c r="AO54" i="50" s="1"/>
  <c r="N57" i="50"/>
  <c r="Z57" i="50" s="1"/>
  <c r="AC57" i="50"/>
  <c r="AO57" i="50" s="1"/>
  <c r="M99" i="50"/>
  <c r="K83" i="50"/>
  <c r="X83" i="50" s="1"/>
  <c r="L83" i="50"/>
  <c r="J84" i="50"/>
  <c r="AR31" i="50"/>
  <c r="I86" i="50"/>
  <c r="N37" i="50"/>
  <c r="Z37" i="50" s="1"/>
  <c r="L88" i="50"/>
  <c r="K88" i="50"/>
  <c r="X88" i="50" s="1"/>
  <c r="AR39" i="50"/>
  <c r="I94" i="50"/>
  <c r="N45" i="50"/>
  <c r="Z45" i="50" s="1"/>
  <c r="L96" i="50"/>
  <c r="K96" i="50"/>
  <c r="X96" i="50" s="1"/>
  <c r="AR47" i="50"/>
  <c r="I102" i="50"/>
  <c r="N53" i="50"/>
  <c r="Z53" i="50" s="1"/>
  <c r="K105" i="50"/>
  <c r="X105" i="50" s="1"/>
  <c r="AR54" i="50"/>
  <c r="K80" i="50"/>
  <c r="X80" i="50" s="1"/>
  <c r="I97" i="50"/>
  <c r="I123" i="50"/>
  <c r="AR30" i="50"/>
  <c r="I85" i="50"/>
  <c r="N36" i="50"/>
  <c r="Z36" i="50" s="1"/>
  <c r="L87" i="50"/>
  <c r="K87" i="50"/>
  <c r="X87" i="50" s="1"/>
  <c r="AR38" i="50"/>
  <c r="I93" i="50"/>
  <c r="N44" i="50"/>
  <c r="Z44" i="50" s="1"/>
  <c r="L95" i="50"/>
  <c r="K95" i="50"/>
  <c r="X95" i="50" s="1"/>
  <c r="AR46" i="50"/>
  <c r="I101" i="50"/>
  <c r="N52" i="50"/>
  <c r="Z52" i="50" s="1"/>
  <c r="L103" i="50"/>
  <c r="K103" i="50"/>
  <c r="X103" i="50" s="1"/>
  <c r="AU53" i="50"/>
  <c r="N55" i="50"/>
  <c r="Z55" i="50" s="1"/>
  <c r="AA55" i="50"/>
  <c r="AM55" i="50" s="1"/>
  <c r="N62" i="50"/>
  <c r="Z62" i="50" s="1"/>
  <c r="N63" i="50"/>
  <c r="Z63" i="50" s="1"/>
  <c r="AA63" i="50"/>
  <c r="AM63" i="50" s="1"/>
  <c r="N64" i="50"/>
  <c r="Z64" i="50" s="1"/>
  <c r="AB64" i="50"/>
  <c r="AN64" i="50" s="1"/>
  <c r="N65" i="50"/>
  <c r="Z65" i="50" s="1"/>
  <c r="AC65" i="50"/>
  <c r="AO65" i="50" s="1"/>
  <c r="N70" i="50"/>
  <c r="Z70" i="50" s="1"/>
  <c r="N71" i="50"/>
  <c r="Z71" i="50" s="1"/>
  <c r="AA71" i="50"/>
  <c r="AM71" i="50" s="1"/>
  <c r="N72" i="50"/>
  <c r="Z72" i="50" s="1"/>
  <c r="AB72" i="50"/>
  <c r="AN72" i="50" s="1"/>
  <c r="D126" i="50"/>
  <c r="D124" i="50"/>
  <c r="D120" i="50"/>
  <c r="D116" i="50"/>
  <c r="D112" i="50"/>
  <c r="D108" i="50"/>
  <c r="D104" i="50"/>
  <c r="D100" i="50"/>
  <c r="D125" i="50"/>
  <c r="M120" i="50"/>
  <c r="M116" i="50"/>
  <c r="M112" i="50"/>
  <c r="M108" i="50"/>
  <c r="M104" i="50"/>
  <c r="M96" i="50"/>
  <c r="M88" i="50"/>
  <c r="M125" i="50"/>
  <c r="M126" i="50"/>
  <c r="M113" i="50"/>
  <c r="D110" i="50"/>
  <c r="D95" i="50"/>
  <c r="D87" i="50"/>
  <c r="M119" i="50"/>
  <c r="M117" i="50"/>
  <c r="D114" i="50"/>
  <c r="M102" i="50"/>
  <c r="D96" i="50"/>
  <c r="M94" i="50"/>
  <c r="D88" i="50"/>
  <c r="M86" i="50"/>
  <c r="D84" i="50"/>
  <c r="M121" i="50"/>
  <c r="D118" i="50"/>
  <c r="D103" i="50"/>
  <c r="D101" i="50"/>
  <c r="D122" i="50"/>
  <c r="D121" i="50"/>
  <c r="D111" i="50"/>
  <c r="M109" i="50"/>
  <c r="D92" i="50"/>
  <c r="D81" i="50"/>
  <c r="M107" i="50"/>
  <c r="D106" i="50"/>
  <c r="D99" i="50"/>
  <c r="D91" i="50"/>
  <c r="M87" i="50"/>
  <c r="D86" i="50"/>
  <c r="D80" i="50"/>
  <c r="E80" i="50" s="1"/>
  <c r="F80" i="50" s="1"/>
  <c r="D119" i="50"/>
  <c r="D109" i="50"/>
  <c r="D90" i="50"/>
  <c r="M82" i="50"/>
  <c r="D107" i="50"/>
  <c r="M105" i="50"/>
  <c r="M103" i="50"/>
  <c r="D102" i="50"/>
  <c r="M97" i="50"/>
  <c r="D89" i="50"/>
  <c r="D83" i="50"/>
  <c r="M81" i="50"/>
  <c r="M98" i="50"/>
  <c r="D115" i="50"/>
  <c r="D105" i="50"/>
  <c r="M91" i="50"/>
  <c r="M90" i="50"/>
  <c r="M89" i="50"/>
  <c r="M83" i="50"/>
  <c r="M95" i="50"/>
  <c r="D123" i="50"/>
  <c r="D113" i="50"/>
  <c r="D94" i="50"/>
  <c r="D93" i="50"/>
  <c r="K99" i="50"/>
  <c r="X99" i="50" s="1"/>
  <c r="L99" i="50"/>
  <c r="I119" i="50"/>
  <c r="AF191" i="50"/>
  <c r="AC191" i="50"/>
  <c r="Y191" i="50"/>
  <c r="AT132" i="50"/>
  <c r="BA132" i="50"/>
  <c r="AX132" i="50"/>
  <c r="AR29" i="50"/>
  <c r="I84" i="50"/>
  <c r="K86" i="50"/>
  <c r="X86" i="50" s="1"/>
  <c r="AR37" i="50"/>
  <c r="I92" i="50"/>
  <c r="K94" i="50"/>
  <c r="X94" i="50" s="1"/>
  <c r="AR45" i="50"/>
  <c r="I100" i="50"/>
  <c r="K102" i="50"/>
  <c r="X102" i="50" s="1"/>
  <c r="AT54" i="50"/>
  <c r="AE73" i="50"/>
  <c r="AQ73" i="50" s="1"/>
  <c r="AC74" i="50"/>
  <c r="AO74" i="50" s="1"/>
  <c r="N74" i="50"/>
  <c r="Z74" i="50" s="1"/>
  <c r="D97" i="50"/>
  <c r="M111" i="50"/>
  <c r="A26" i="50"/>
  <c r="I83" i="50"/>
  <c r="L85" i="50"/>
  <c r="K85" i="50"/>
  <c r="X85" i="50" s="1"/>
  <c r="I91" i="50"/>
  <c r="K93" i="50"/>
  <c r="X93" i="50" s="1"/>
  <c r="L93" i="50"/>
  <c r="AR44" i="50"/>
  <c r="I99" i="50"/>
  <c r="L101" i="50"/>
  <c r="K101" i="50"/>
  <c r="X101" i="50" s="1"/>
  <c r="AR52" i="50"/>
  <c r="AU54" i="50"/>
  <c r="N56" i="50"/>
  <c r="Z56" i="50" s="1"/>
  <c r="K112" i="50"/>
  <c r="X112" i="50" s="1"/>
  <c r="L112" i="50"/>
  <c r="AR61" i="50"/>
  <c r="L113" i="50"/>
  <c r="K113" i="50"/>
  <c r="X113" i="50" s="1"/>
  <c r="AR62" i="50"/>
  <c r="L120" i="50"/>
  <c r="K120" i="50"/>
  <c r="X120" i="50" s="1"/>
  <c r="AR69" i="50"/>
  <c r="L121" i="50"/>
  <c r="K121" i="50"/>
  <c r="X121" i="50" s="1"/>
  <c r="AR70" i="50"/>
  <c r="L124" i="50"/>
  <c r="K124" i="50"/>
  <c r="X124" i="50" s="1"/>
  <c r="AR73" i="50"/>
  <c r="I89" i="50"/>
  <c r="K91" i="50"/>
  <c r="X91" i="50" s="1"/>
  <c r="L91" i="50"/>
  <c r="I82" i="50"/>
  <c r="L84" i="50"/>
  <c r="AR35" i="50"/>
  <c r="I90" i="50"/>
  <c r="K92" i="50"/>
  <c r="X92" i="50" s="1"/>
  <c r="L92" i="50"/>
  <c r="AR43" i="50"/>
  <c r="I98" i="50"/>
  <c r="L100" i="50"/>
  <c r="K100" i="50"/>
  <c r="X100" i="50" s="1"/>
  <c r="AR51" i="50"/>
  <c r="L106" i="50"/>
  <c r="N59" i="50"/>
  <c r="Z59" i="50" s="1"/>
  <c r="AE59" i="50"/>
  <c r="AQ59" i="50" s="1"/>
  <c r="AS60" i="50"/>
  <c r="AS61" i="50"/>
  <c r="N67" i="50"/>
  <c r="Z67" i="50" s="1"/>
  <c r="AE67" i="50"/>
  <c r="AQ67" i="50" s="1"/>
  <c r="AS68" i="50"/>
  <c r="AS69" i="50"/>
  <c r="AY72" i="50"/>
  <c r="I124" i="50"/>
  <c r="L126" i="50"/>
  <c r="K126" i="50"/>
  <c r="X126" i="50" s="1"/>
  <c r="AR75" i="50"/>
  <c r="D98" i="50"/>
  <c r="I109" i="50"/>
  <c r="N60" i="50"/>
  <c r="Z60" i="50" s="1"/>
  <c r="L111" i="50"/>
  <c r="K111" i="50"/>
  <c r="X111" i="50" s="1"/>
  <c r="I117" i="50"/>
  <c r="N68" i="50"/>
  <c r="Z68" i="50" s="1"/>
  <c r="L119" i="50"/>
  <c r="K119" i="50"/>
  <c r="X119" i="50" s="1"/>
  <c r="AS73" i="50"/>
  <c r="K125" i="50"/>
  <c r="X125" i="50" s="1"/>
  <c r="AT75" i="50"/>
  <c r="L114" i="50"/>
  <c r="L122" i="50"/>
  <c r="L110" i="50"/>
  <c r="K110" i="50"/>
  <c r="X110" i="50" s="1"/>
  <c r="I116" i="50"/>
  <c r="L118" i="50"/>
  <c r="K118" i="50"/>
  <c r="X118" i="50" s="1"/>
  <c r="AT73" i="50"/>
  <c r="I125" i="50"/>
  <c r="I107" i="50"/>
  <c r="N58" i="50"/>
  <c r="Z58" i="50" s="1"/>
  <c r="L109" i="50"/>
  <c r="K109" i="50"/>
  <c r="X109" i="50" s="1"/>
  <c r="AR60" i="50"/>
  <c r="I115" i="50"/>
  <c r="N66" i="50"/>
  <c r="Z66" i="50" s="1"/>
  <c r="L117" i="50"/>
  <c r="K117" i="50"/>
  <c r="X117" i="50" s="1"/>
  <c r="AR68" i="50"/>
  <c r="I106" i="50"/>
  <c r="K108" i="50"/>
  <c r="X108" i="50" s="1"/>
  <c r="AR59" i="50"/>
  <c r="I114" i="50"/>
  <c r="AR67" i="50"/>
  <c r="I122" i="50"/>
  <c r="K106" i="50"/>
  <c r="X106" i="50" s="1"/>
  <c r="K116" i="50"/>
  <c r="X116" i="50" s="1"/>
  <c r="I105" i="50"/>
  <c r="K107" i="50"/>
  <c r="X107" i="50" s="1"/>
  <c r="L107" i="50"/>
  <c r="AR58" i="50"/>
  <c r="I113" i="50"/>
  <c r="L115" i="50"/>
  <c r="K115" i="50"/>
  <c r="X115" i="50" s="1"/>
  <c r="AR66" i="50"/>
  <c r="I121" i="50"/>
  <c r="L123" i="50"/>
  <c r="K123" i="50"/>
  <c r="X123" i="50" s="1"/>
  <c r="AR72" i="50"/>
  <c r="AY163" i="50"/>
  <c r="AV163" i="50"/>
  <c r="I104" i="50"/>
  <c r="AR57" i="50"/>
  <c r="I112" i="50"/>
  <c r="I120" i="50"/>
  <c r="AS72" i="50"/>
  <c r="I126" i="50"/>
  <c r="AY171" i="50"/>
  <c r="AV171" i="50"/>
  <c r="AY136" i="50"/>
  <c r="AV136" i="50"/>
  <c r="BB141" i="50"/>
  <c r="BF141" i="50" s="1"/>
  <c r="AY145" i="50"/>
  <c r="AV145" i="50"/>
  <c r="AV138" i="50"/>
  <c r="BB138" i="50" s="1"/>
  <c r="BF138" i="50" s="1"/>
  <c r="AY157" i="50"/>
  <c r="AV157" i="50"/>
  <c r="AV140" i="50"/>
  <c r="BB140" i="50" s="1"/>
  <c r="BF140" i="50" s="1"/>
  <c r="AV149" i="50"/>
  <c r="BB149" i="50" s="1"/>
  <c r="BF149" i="50" s="1"/>
  <c r="AY155" i="50"/>
  <c r="AV155" i="50"/>
  <c r="AY164" i="50"/>
  <c r="AV164" i="50"/>
  <c r="AJ194" i="50"/>
  <c r="AF194" i="50"/>
  <c r="AV165" i="50"/>
  <c r="BB165" i="50" s="1"/>
  <c r="BF165" i="50" s="1"/>
  <c r="AV173" i="50"/>
  <c r="BB173" i="50" s="1"/>
  <c r="BF173" i="50" s="1"/>
  <c r="AV152" i="50"/>
  <c r="BB152" i="50" s="1"/>
  <c r="BF152" i="50" s="1"/>
  <c r="AV179" i="50"/>
  <c r="BB179" i="50" s="1"/>
  <c r="BF179" i="50" s="1"/>
  <c r="AV180" i="50"/>
  <c r="BB180" i="50" s="1"/>
  <c r="BF180" i="50" s="1"/>
  <c r="AY44" i="49"/>
  <c r="AS58" i="49"/>
  <c r="AR65" i="49"/>
  <c r="AR30" i="49"/>
  <c r="AT61" i="49"/>
  <c r="AU62" i="49"/>
  <c r="AT66" i="49"/>
  <c r="AV168" i="49"/>
  <c r="BB168" i="49" s="1"/>
  <c r="BF168" i="49" s="1"/>
  <c r="AV176" i="49"/>
  <c r="BB176" i="49" s="1"/>
  <c r="BF176" i="49" s="1"/>
  <c r="AV180" i="49"/>
  <c r="BB180" i="49" s="1"/>
  <c r="BF180" i="49" s="1"/>
  <c r="AS29" i="49"/>
  <c r="AU51" i="49"/>
  <c r="AV139" i="49"/>
  <c r="AY35" i="49"/>
  <c r="AZ35" i="49" s="1"/>
  <c r="AU54" i="49"/>
  <c r="AT59" i="49"/>
  <c r="AS69" i="49"/>
  <c r="AS73" i="49"/>
  <c r="AS74" i="49"/>
  <c r="AR36" i="49"/>
  <c r="AU59" i="49"/>
  <c r="AS72" i="49"/>
  <c r="AU75" i="49"/>
  <c r="AV159" i="49"/>
  <c r="BB159" i="49" s="1"/>
  <c r="BF159" i="49" s="1"/>
  <c r="AS30" i="49"/>
  <c r="AT31" i="49"/>
  <c r="AU32" i="49"/>
  <c r="AS37" i="49"/>
  <c r="AU39" i="49"/>
  <c r="AY52" i="49"/>
  <c r="AY54" i="49"/>
  <c r="N56" i="49"/>
  <c r="Z56" i="49" s="1"/>
  <c r="AL56" i="49" s="1"/>
  <c r="AR59" i="49"/>
  <c r="AT30" i="49"/>
  <c r="AY36" i="49"/>
  <c r="AT37" i="49"/>
  <c r="AT53" i="49"/>
  <c r="AS70" i="49"/>
  <c r="N66" i="49"/>
  <c r="Z66" i="49" s="1"/>
  <c r="AL66" i="49" s="1"/>
  <c r="AX66" i="49" s="1"/>
  <c r="BE135" i="49"/>
  <c r="AV150" i="49"/>
  <c r="BB150" i="49" s="1"/>
  <c r="BF150" i="49" s="1"/>
  <c r="J125" i="49"/>
  <c r="AS31" i="49"/>
  <c r="AU33" i="49"/>
  <c r="AR37" i="49"/>
  <c r="AY50" i="49"/>
  <c r="AZ50" i="49" s="1"/>
  <c r="AY69" i="49"/>
  <c r="AZ69" i="49" s="1"/>
  <c r="BB135" i="49"/>
  <c r="BF135" i="49" s="1"/>
  <c r="AV156" i="49"/>
  <c r="BB156" i="49" s="1"/>
  <c r="BF156" i="49" s="1"/>
  <c r="AV158" i="49"/>
  <c r="BB158" i="49" s="1"/>
  <c r="BF158" i="49" s="1"/>
  <c r="AY34" i="49"/>
  <c r="AZ34" i="49" s="1"/>
  <c r="AY51" i="49"/>
  <c r="AZ51" i="49" s="1"/>
  <c r="BB142" i="49"/>
  <c r="BF142" i="49" s="1"/>
  <c r="AV147" i="49"/>
  <c r="BB147" i="49" s="1"/>
  <c r="BF147" i="49" s="1"/>
  <c r="AS32" i="49"/>
  <c r="N35" i="49"/>
  <c r="Z35" i="49" s="1"/>
  <c r="AY38" i="49"/>
  <c r="AS40" i="49"/>
  <c r="N41" i="49"/>
  <c r="Z41" i="49" s="1"/>
  <c r="AL41" i="49" s="1"/>
  <c r="AX41" i="49" s="1"/>
  <c r="N44" i="49"/>
  <c r="Z44" i="49" s="1"/>
  <c r="AL44" i="49" s="1"/>
  <c r="AX44" i="49" s="1"/>
  <c r="AU45" i="49"/>
  <c r="AU47" i="49"/>
  <c r="AS49" i="49"/>
  <c r="AT51" i="49"/>
  <c r="N52" i="49"/>
  <c r="Z52" i="49" s="1"/>
  <c r="AL52" i="49" s="1"/>
  <c r="AX52" i="49" s="1"/>
  <c r="AU55" i="49"/>
  <c r="AS59" i="49"/>
  <c r="AU61" i="49"/>
  <c r="AS66" i="49"/>
  <c r="AT70" i="49"/>
  <c r="AT40" i="49"/>
  <c r="AY42" i="49"/>
  <c r="AZ42" i="49" s="1"/>
  <c r="AY63" i="49"/>
  <c r="AZ63" i="49" s="1"/>
  <c r="AT67" i="49"/>
  <c r="N43" i="49"/>
  <c r="Z43" i="49" s="1"/>
  <c r="AL43" i="49" s="1"/>
  <c r="AX43" i="49" s="1"/>
  <c r="AS52" i="49"/>
  <c r="AS56" i="49"/>
  <c r="AT58" i="49"/>
  <c r="I103" i="49"/>
  <c r="AU30" i="49"/>
  <c r="AY37" i="49"/>
  <c r="AY41" i="49"/>
  <c r="AZ41" i="49" s="1"/>
  <c r="AY43" i="49"/>
  <c r="AZ43" i="49" s="1"/>
  <c r="AS44" i="49"/>
  <c r="AS46" i="49"/>
  <c r="N49" i="49"/>
  <c r="Z49" i="49" s="1"/>
  <c r="AL49" i="49" s="1"/>
  <c r="AX49" i="49" s="1"/>
  <c r="AT56" i="49"/>
  <c r="AU58" i="49"/>
  <c r="AT62" i="49"/>
  <c r="AS75" i="49"/>
  <c r="AV175" i="49"/>
  <c r="BB175" i="49" s="1"/>
  <c r="BF175" i="49" s="1"/>
  <c r="AT38" i="49"/>
  <c r="N42" i="49"/>
  <c r="Z42" i="49" s="1"/>
  <c r="AL42" i="49" s="1"/>
  <c r="AT46" i="49"/>
  <c r="AU48" i="49"/>
  <c r="AY55" i="49"/>
  <c r="I109" i="49"/>
  <c r="AT60" i="49"/>
  <c r="AT71" i="49"/>
  <c r="N74" i="49"/>
  <c r="Z74" i="49" s="1"/>
  <c r="AL74" i="49" s="1"/>
  <c r="AT33" i="49"/>
  <c r="AR45" i="49"/>
  <c r="AU46" i="49"/>
  <c r="AR52" i="49"/>
  <c r="AU60" i="49"/>
  <c r="AS63" i="49"/>
  <c r="AY64" i="49"/>
  <c r="AZ64" i="49" s="1"/>
  <c r="AT65" i="49"/>
  <c r="AY68" i="49"/>
  <c r="AT69" i="49"/>
  <c r="AU73" i="49"/>
  <c r="AU74" i="49"/>
  <c r="AV162" i="49"/>
  <c r="BB162" i="49" s="1"/>
  <c r="BF162" i="49" s="1"/>
  <c r="BB139" i="49"/>
  <c r="BF139" i="49" s="1"/>
  <c r="BB151" i="49"/>
  <c r="BF151" i="49" s="1"/>
  <c r="N40" i="49"/>
  <c r="Z40" i="49" s="1"/>
  <c r="AL40" i="49" s="1"/>
  <c r="AX40" i="49" s="1"/>
  <c r="AT41" i="49"/>
  <c r="J107" i="49"/>
  <c r="AR58" i="49"/>
  <c r="AS60" i="49"/>
  <c r="I112" i="49"/>
  <c r="AY62" i="49"/>
  <c r="AZ62" i="49" s="1"/>
  <c r="N67" i="49"/>
  <c r="Z67" i="49" s="1"/>
  <c r="AL67" i="49" s="1"/>
  <c r="AX67" i="49" s="1"/>
  <c r="AY67" i="49"/>
  <c r="AZ67" i="49" s="1"/>
  <c r="AV177" i="49"/>
  <c r="BB177" i="49" s="1"/>
  <c r="BF177" i="49" s="1"/>
  <c r="AY29" i="49"/>
  <c r="AY30" i="49"/>
  <c r="AZ30" i="49" s="1"/>
  <c r="N32" i="49"/>
  <c r="Z32" i="49" s="1"/>
  <c r="AL32" i="49" s="1"/>
  <c r="I84" i="49"/>
  <c r="AU35" i="49"/>
  <c r="AY39" i="49"/>
  <c r="AC40" i="49"/>
  <c r="AO40" i="49" s="1"/>
  <c r="AU41" i="49"/>
  <c r="AU42" i="49"/>
  <c r="AT45" i="49"/>
  <c r="AS50" i="49"/>
  <c r="AU53" i="49"/>
  <c r="N55" i="49"/>
  <c r="Z55" i="49" s="1"/>
  <c r="AL55" i="49" s="1"/>
  <c r="AS57" i="49"/>
  <c r="AY66" i="49"/>
  <c r="I118" i="49"/>
  <c r="AS67" i="49"/>
  <c r="AT72" i="49"/>
  <c r="AS33" i="49"/>
  <c r="AT57" i="49"/>
  <c r="N61" i="49"/>
  <c r="Z61" i="49" s="1"/>
  <c r="AL61" i="49" s="1"/>
  <c r="AX61" i="49" s="1"/>
  <c r="N62" i="49"/>
  <c r="Z62" i="49" s="1"/>
  <c r="AL62" i="49" s="1"/>
  <c r="AX62" i="49" s="1"/>
  <c r="N63" i="49"/>
  <c r="Z63" i="49" s="1"/>
  <c r="AL63" i="49" s="1"/>
  <c r="AX63" i="49" s="1"/>
  <c r="N64" i="49"/>
  <c r="Z64" i="49" s="1"/>
  <c r="AL64" i="49" s="1"/>
  <c r="AY65" i="49"/>
  <c r="AZ65" i="49" s="1"/>
  <c r="N70" i="49"/>
  <c r="Z70" i="49" s="1"/>
  <c r="AL70" i="49" s="1"/>
  <c r="AS71" i="49"/>
  <c r="AU72" i="49"/>
  <c r="AY73" i="49"/>
  <c r="AZ73" i="49" s="1"/>
  <c r="BB155" i="49"/>
  <c r="BF155" i="49" s="1"/>
  <c r="AV166" i="49"/>
  <c r="BB166" i="49" s="1"/>
  <c r="BF166" i="49" s="1"/>
  <c r="AV179" i="49"/>
  <c r="BB179" i="49" s="1"/>
  <c r="BF179" i="49" s="1"/>
  <c r="AR31" i="49"/>
  <c r="AY31" i="49"/>
  <c r="AZ31" i="49" s="1"/>
  <c r="N33" i="49"/>
  <c r="Z33" i="49" s="1"/>
  <c r="AL33" i="49" s="1"/>
  <c r="AX33" i="49" s="1"/>
  <c r="AU38" i="49"/>
  <c r="AS39" i="49"/>
  <c r="I91" i="49"/>
  <c r="AT44" i="49"/>
  <c r="N51" i="49"/>
  <c r="Z51" i="49" s="1"/>
  <c r="AL51" i="49" s="1"/>
  <c r="AT52" i="49"/>
  <c r="AU57" i="49"/>
  <c r="AU66" i="49"/>
  <c r="J122" i="49"/>
  <c r="I94" i="49"/>
  <c r="J101" i="49"/>
  <c r="I122" i="49"/>
  <c r="AV138" i="49"/>
  <c r="BB138" i="49" s="1"/>
  <c r="BF138" i="49" s="1"/>
  <c r="AT29" i="49"/>
  <c r="AS34" i="49"/>
  <c r="AS36" i="49"/>
  <c r="AU37" i="49"/>
  <c r="AS43" i="49"/>
  <c r="AU44" i="49"/>
  <c r="AY47" i="49"/>
  <c r="AY49" i="49"/>
  <c r="AZ49" i="49" s="1"/>
  <c r="AU52" i="49"/>
  <c r="N54" i="49"/>
  <c r="Z54" i="49" s="1"/>
  <c r="AL54" i="49" s="1"/>
  <c r="AR54" i="49"/>
  <c r="AS65" i="49"/>
  <c r="AU67" i="49"/>
  <c r="AY70" i="49"/>
  <c r="AZ70" i="49" s="1"/>
  <c r="AU71" i="49"/>
  <c r="AY72" i="49"/>
  <c r="AU29" i="49"/>
  <c r="I83" i="49"/>
  <c r="AY33" i="49"/>
  <c r="AZ33" i="49" s="1"/>
  <c r="AS35" i="49"/>
  <c r="AT36" i="49"/>
  <c r="N38" i="49"/>
  <c r="Z38" i="49" s="1"/>
  <c r="AL38" i="49" s="1"/>
  <c r="N39" i="49"/>
  <c r="Z39" i="49" s="1"/>
  <c r="AL39" i="49" s="1"/>
  <c r="AX39" i="49" s="1"/>
  <c r="AS42" i="49"/>
  <c r="AT43" i="49"/>
  <c r="N46" i="49"/>
  <c r="Z46" i="49" s="1"/>
  <c r="AL46" i="49" s="1"/>
  <c r="AX46" i="49" s="1"/>
  <c r="N48" i="49"/>
  <c r="Z48" i="49" s="1"/>
  <c r="AL48" i="49" s="1"/>
  <c r="AX48" i="49" s="1"/>
  <c r="AS48" i="49"/>
  <c r="AY48" i="49"/>
  <c r="I100" i="49"/>
  <c r="AT49" i="49"/>
  <c r="N50" i="49"/>
  <c r="Z50" i="49" s="1"/>
  <c r="AL50" i="49" s="1"/>
  <c r="N53" i="49"/>
  <c r="Z53" i="49" s="1"/>
  <c r="AL53" i="49" s="1"/>
  <c r="AY53" i="49"/>
  <c r="AS55" i="49"/>
  <c r="AV154" i="49"/>
  <c r="BB154" i="49" s="1"/>
  <c r="BF154" i="49" s="1"/>
  <c r="AV172" i="49"/>
  <c r="BB172" i="49" s="1"/>
  <c r="BF172" i="49" s="1"/>
  <c r="AV178" i="49"/>
  <c r="AA27" i="49"/>
  <c r="D102" i="49" s="1"/>
  <c r="AR29" i="49"/>
  <c r="N30" i="49"/>
  <c r="Z30" i="49" s="1"/>
  <c r="E136" i="49" s="1"/>
  <c r="Z136" i="49" s="1"/>
  <c r="N34" i="49"/>
  <c r="Z34" i="49" s="1"/>
  <c r="AL34" i="49" s="1"/>
  <c r="AA38" i="49"/>
  <c r="AM38" i="49" s="1"/>
  <c r="AA39" i="49"/>
  <c r="AM39" i="49" s="1"/>
  <c r="AY40" i="49"/>
  <c r="I92" i="49"/>
  <c r="AS41" i="49"/>
  <c r="AT42" i="49"/>
  <c r="AU43" i="49"/>
  <c r="AR44" i="49"/>
  <c r="N45" i="49"/>
  <c r="Z45" i="49" s="1"/>
  <c r="AL45" i="49" s="1"/>
  <c r="AY45" i="49"/>
  <c r="AY46" i="49"/>
  <c r="AS47" i="49"/>
  <c r="I99" i="49"/>
  <c r="AT48" i="49"/>
  <c r="AU49" i="49"/>
  <c r="AS51" i="49"/>
  <c r="N57" i="49"/>
  <c r="Z57" i="49" s="1"/>
  <c r="AL57" i="49" s="1"/>
  <c r="AX57" i="49" s="1"/>
  <c r="AY57" i="49"/>
  <c r="AZ57" i="49" s="1"/>
  <c r="AS64" i="49"/>
  <c r="AT73" i="49"/>
  <c r="AV137" i="49"/>
  <c r="BB137" i="49" s="1"/>
  <c r="BF137" i="49" s="1"/>
  <c r="BB144" i="49"/>
  <c r="BF144" i="49" s="1"/>
  <c r="AV146" i="49"/>
  <c r="BB146" i="49" s="1"/>
  <c r="BF146" i="49" s="1"/>
  <c r="AV164" i="49"/>
  <c r="AV167" i="49"/>
  <c r="BB167" i="49" s="1"/>
  <c r="BF167" i="49" s="1"/>
  <c r="AV174" i="49"/>
  <c r="BB174" i="49" s="1"/>
  <c r="BF174" i="49" s="1"/>
  <c r="I89" i="49"/>
  <c r="AC38" i="49"/>
  <c r="AO38" i="49" s="1"/>
  <c r="N36" i="49"/>
  <c r="Z36" i="49" s="1"/>
  <c r="AA36" i="49"/>
  <c r="AM36" i="49" s="1"/>
  <c r="N37" i="49"/>
  <c r="Z37" i="49" s="1"/>
  <c r="AB37" i="49"/>
  <c r="AN37" i="49" s="1"/>
  <c r="N31" i="49"/>
  <c r="Z31" i="49" s="1"/>
  <c r="K86" i="49"/>
  <c r="X86" i="49" s="1"/>
  <c r="AR35" i="49"/>
  <c r="M82" i="49"/>
  <c r="AR33" i="49"/>
  <c r="AY32" i="49"/>
  <c r="AZ32" i="49" s="1"/>
  <c r="AZ75" i="49"/>
  <c r="AL35" i="49"/>
  <c r="AF191" i="49"/>
  <c r="Y191" i="49"/>
  <c r="AC191" i="49"/>
  <c r="AX132" i="49"/>
  <c r="BA132" i="49"/>
  <c r="AT132" i="49"/>
  <c r="A26" i="49"/>
  <c r="N29" i="49"/>
  <c r="Z29" i="49" s="1"/>
  <c r="AB29" i="49"/>
  <c r="AN29" i="49" s="1"/>
  <c r="AT35" i="49"/>
  <c r="AU36" i="49"/>
  <c r="AZ47" i="49"/>
  <c r="K93" i="49"/>
  <c r="X93" i="49" s="1"/>
  <c r="I98" i="49"/>
  <c r="AE48" i="49"/>
  <c r="AQ48" i="49" s="1"/>
  <c r="K100" i="49"/>
  <c r="X100" i="49" s="1"/>
  <c r="AA52" i="49"/>
  <c r="AM52" i="49" s="1"/>
  <c r="I121" i="49"/>
  <c r="I81" i="49"/>
  <c r="K83" i="49"/>
  <c r="X83" i="49" s="1"/>
  <c r="AR34" i="49"/>
  <c r="K91" i="49"/>
  <c r="X91" i="49" s="1"/>
  <c r="AR42" i="49"/>
  <c r="K99" i="49"/>
  <c r="X99" i="49" s="1"/>
  <c r="AR50" i="49"/>
  <c r="I105" i="49"/>
  <c r="AA56" i="49"/>
  <c r="AM56" i="49" s="1"/>
  <c r="AZ56" i="49" s="1"/>
  <c r="I114" i="49"/>
  <c r="AT63" i="49"/>
  <c r="K115" i="49"/>
  <c r="X115" i="49" s="1"/>
  <c r="AR64" i="49"/>
  <c r="N65" i="49"/>
  <c r="Z65" i="49" s="1"/>
  <c r="AC54" i="49"/>
  <c r="AO54" i="49" s="1"/>
  <c r="L112" i="49"/>
  <c r="K112" i="49"/>
  <c r="X112" i="49" s="1"/>
  <c r="AR61" i="49"/>
  <c r="I97" i="49"/>
  <c r="AU56" i="49"/>
  <c r="I123" i="49"/>
  <c r="AR72" i="49"/>
  <c r="I90" i="49"/>
  <c r="K92" i="49"/>
  <c r="X92" i="49" s="1"/>
  <c r="AC46" i="49"/>
  <c r="AO46" i="49" s="1"/>
  <c r="AB53" i="49"/>
  <c r="AN53" i="49" s="1"/>
  <c r="J103" i="49"/>
  <c r="I80" i="49"/>
  <c r="K82" i="49"/>
  <c r="X82" i="49" s="1"/>
  <c r="I88" i="49"/>
  <c r="K90" i="49"/>
  <c r="X90" i="49" s="1"/>
  <c r="AR41" i="49"/>
  <c r="I96" i="49"/>
  <c r="N47" i="49"/>
  <c r="Z47" i="49" s="1"/>
  <c r="K98" i="49"/>
  <c r="X98" i="49" s="1"/>
  <c r="AR49" i="49"/>
  <c r="I104" i="49"/>
  <c r="AS54" i="49"/>
  <c r="N58" i="49"/>
  <c r="Z58" i="49" s="1"/>
  <c r="N59" i="49"/>
  <c r="Z59" i="49" s="1"/>
  <c r="N60" i="49"/>
  <c r="Z60" i="49" s="1"/>
  <c r="N69" i="49"/>
  <c r="Z69" i="49" s="1"/>
  <c r="AU69" i="49"/>
  <c r="K108" i="49"/>
  <c r="X108" i="49" s="1"/>
  <c r="K114" i="49"/>
  <c r="X114" i="49" s="1"/>
  <c r="AR63" i="49"/>
  <c r="AE71" i="49"/>
  <c r="AQ71" i="49" s="1"/>
  <c r="N71" i="49"/>
  <c r="Z71" i="49" s="1"/>
  <c r="AA44" i="49"/>
  <c r="AM44" i="49" s="1"/>
  <c r="AB45" i="49"/>
  <c r="AN45" i="49" s="1"/>
  <c r="B96" i="49"/>
  <c r="N7" i="49"/>
  <c r="J124" i="49"/>
  <c r="J120" i="49"/>
  <c r="J116" i="49"/>
  <c r="J112" i="49"/>
  <c r="J108" i="49"/>
  <c r="J104" i="49"/>
  <c r="J123" i="49"/>
  <c r="J119" i="49"/>
  <c r="J115" i="49"/>
  <c r="J111" i="49"/>
  <c r="J126" i="49"/>
  <c r="J109" i="49"/>
  <c r="J102" i="49"/>
  <c r="J96" i="49"/>
  <c r="J88" i="49"/>
  <c r="J83" i="49"/>
  <c r="J80" i="49"/>
  <c r="J117" i="49"/>
  <c r="J114" i="49"/>
  <c r="J106" i="49"/>
  <c r="J98" i="49"/>
  <c r="J97" i="49"/>
  <c r="J90" i="49"/>
  <c r="J89" i="49"/>
  <c r="J81" i="49"/>
  <c r="J118" i="49"/>
  <c r="J99" i="49"/>
  <c r="J121" i="49"/>
  <c r="J113" i="49"/>
  <c r="J110" i="49"/>
  <c r="J105" i="49"/>
  <c r="J100" i="49"/>
  <c r="J91" i="49"/>
  <c r="J85" i="49"/>
  <c r="J82" i="49"/>
  <c r="J92" i="49"/>
  <c r="J86" i="49"/>
  <c r="J84" i="49"/>
  <c r="J93" i="49"/>
  <c r="J94" i="49"/>
  <c r="J87" i="49"/>
  <c r="K81" i="49"/>
  <c r="X81" i="49" s="1"/>
  <c r="AR32" i="49"/>
  <c r="I87" i="49"/>
  <c r="K89" i="49"/>
  <c r="X89" i="49" s="1"/>
  <c r="AR40" i="49"/>
  <c r="I95" i="49"/>
  <c r="K97" i="49"/>
  <c r="X97" i="49" s="1"/>
  <c r="AR48" i="49"/>
  <c r="AT54" i="49"/>
  <c r="I106" i="49"/>
  <c r="K106" i="49"/>
  <c r="X106" i="49" s="1"/>
  <c r="AR55" i="49"/>
  <c r="AY59" i="49"/>
  <c r="AT64" i="49"/>
  <c r="K126" i="49"/>
  <c r="X126" i="49" s="1"/>
  <c r="AR75" i="49"/>
  <c r="L102" i="49"/>
  <c r="I110" i="49"/>
  <c r="K94" i="49"/>
  <c r="X94" i="49" s="1"/>
  <c r="AB68" i="49"/>
  <c r="AN68" i="49" s="1"/>
  <c r="N68" i="49"/>
  <c r="Z68" i="49" s="1"/>
  <c r="AR51" i="49"/>
  <c r="O7" i="49"/>
  <c r="I86" i="49"/>
  <c r="AR39" i="49"/>
  <c r="K96" i="49"/>
  <c r="X96" i="49" s="1"/>
  <c r="AR47" i="49"/>
  <c r="I102" i="49"/>
  <c r="K104" i="49"/>
  <c r="X104" i="49" s="1"/>
  <c r="I107" i="49"/>
  <c r="K107" i="49"/>
  <c r="X107" i="49" s="1"/>
  <c r="AR56" i="49"/>
  <c r="AA58" i="49"/>
  <c r="AM58" i="49" s="1"/>
  <c r="AY58" i="49"/>
  <c r="AB59" i="49"/>
  <c r="AN59" i="49" s="1"/>
  <c r="AY60" i="49"/>
  <c r="AZ60" i="49" s="1"/>
  <c r="AY61" i="49"/>
  <c r="AZ61" i="49" s="1"/>
  <c r="K113" i="49"/>
  <c r="X113" i="49" s="1"/>
  <c r="AR62" i="49"/>
  <c r="AU64" i="49"/>
  <c r="L116" i="49"/>
  <c r="K116" i="49"/>
  <c r="X116" i="49" s="1"/>
  <c r="AY74" i="49"/>
  <c r="AZ74" i="49" s="1"/>
  <c r="I126" i="49"/>
  <c r="J95" i="49"/>
  <c r="AR57" i="49"/>
  <c r="B126" i="49"/>
  <c r="B98" i="49"/>
  <c r="B105" i="49"/>
  <c r="B97" i="49"/>
  <c r="AS61" i="49"/>
  <c r="L118" i="49"/>
  <c r="K118" i="49"/>
  <c r="X118" i="49" s="1"/>
  <c r="AR67" i="49"/>
  <c r="I82" i="49"/>
  <c r="K84" i="49"/>
  <c r="X84" i="49" s="1"/>
  <c r="AR43" i="49"/>
  <c r="AA55" i="49"/>
  <c r="AM55" i="49" s="1"/>
  <c r="AY169" i="49"/>
  <c r="AV169" i="49"/>
  <c r="I85" i="49"/>
  <c r="K87" i="49"/>
  <c r="X87" i="49" s="1"/>
  <c r="I93" i="49"/>
  <c r="AR46" i="49"/>
  <c r="I101" i="49"/>
  <c r="K103" i="49"/>
  <c r="X103" i="49" s="1"/>
  <c r="AT55" i="49"/>
  <c r="I111" i="49"/>
  <c r="I113" i="49"/>
  <c r="AS62" i="49"/>
  <c r="AA66" i="49"/>
  <c r="AM66" i="49" s="1"/>
  <c r="K122" i="49"/>
  <c r="X122" i="49" s="1"/>
  <c r="AY71" i="49"/>
  <c r="I124" i="49"/>
  <c r="N75" i="49"/>
  <c r="Z75" i="49" s="1"/>
  <c r="I119" i="49"/>
  <c r="K119" i="49"/>
  <c r="X119" i="49" s="1"/>
  <c r="AY136" i="49"/>
  <c r="AV136" i="49"/>
  <c r="K111" i="49"/>
  <c r="X111" i="49" s="1"/>
  <c r="I117" i="49"/>
  <c r="AS68" i="49"/>
  <c r="AR68" i="49"/>
  <c r="N72" i="49"/>
  <c r="Z72" i="49" s="1"/>
  <c r="AR73" i="49"/>
  <c r="I108" i="49"/>
  <c r="L110" i="49"/>
  <c r="K110" i="49"/>
  <c r="X110" i="49" s="1"/>
  <c r="I116" i="49"/>
  <c r="AT68" i="49"/>
  <c r="I120" i="49"/>
  <c r="K120" i="49"/>
  <c r="X120" i="49" s="1"/>
  <c r="AR69" i="49"/>
  <c r="N73" i="49"/>
  <c r="Z73" i="49" s="1"/>
  <c r="I125" i="49"/>
  <c r="AR60" i="49"/>
  <c r="I115" i="49"/>
  <c r="AR66" i="49"/>
  <c r="K117" i="49"/>
  <c r="X117" i="49" s="1"/>
  <c r="L121" i="49"/>
  <c r="K121" i="49"/>
  <c r="X121" i="49" s="1"/>
  <c r="AR70" i="49"/>
  <c r="AA72" i="49"/>
  <c r="AM72" i="49" s="1"/>
  <c r="AR74" i="49"/>
  <c r="K124" i="49"/>
  <c r="X124" i="49" s="1"/>
  <c r="AY149" i="49"/>
  <c r="AV149" i="49"/>
  <c r="BB140" i="49"/>
  <c r="BF140" i="49" s="1"/>
  <c r="BB143" i="49"/>
  <c r="BF143" i="49" s="1"/>
  <c r="BB164" i="49"/>
  <c r="BF164" i="49" s="1"/>
  <c r="K123" i="49"/>
  <c r="X123" i="49" s="1"/>
  <c r="AY153" i="49"/>
  <c r="AV153" i="49"/>
  <c r="BB153" i="49" s="1"/>
  <c r="BF153" i="49" s="1"/>
  <c r="AV161" i="49"/>
  <c r="BB161" i="49" s="1"/>
  <c r="BF161" i="49" s="1"/>
  <c r="AV145" i="49"/>
  <c r="AV148" i="49"/>
  <c r="BB148" i="49" s="1"/>
  <c r="BF148" i="49" s="1"/>
  <c r="AV160" i="49"/>
  <c r="BB160" i="49" s="1"/>
  <c r="BF160" i="49" s="1"/>
  <c r="AY181" i="49"/>
  <c r="AV181" i="49"/>
  <c r="BB178" i="49"/>
  <c r="BF178" i="49" s="1"/>
  <c r="AJ194" i="49"/>
  <c r="AF194" i="49"/>
  <c r="AV170" i="49"/>
  <c r="BB170" i="49" s="1"/>
  <c r="BF170" i="49" s="1"/>
  <c r="AY173" i="49"/>
  <c r="AV173" i="49"/>
  <c r="AV152" i="49"/>
  <c r="BB152" i="49" s="1"/>
  <c r="BF152" i="49" s="1"/>
  <c r="X85" i="48"/>
  <c r="AV149" i="48"/>
  <c r="AV171" i="48"/>
  <c r="BB171" i="48" s="1"/>
  <c r="BF171" i="48" s="1"/>
  <c r="AV173" i="48"/>
  <c r="BB173" i="48" s="1"/>
  <c r="BF173" i="48" s="1"/>
  <c r="AV175" i="48"/>
  <c r="BB175" i="48" s="1"/>
  <c r="BF175" i="48" s="1"/>
  <c r="X93" i="48"/>
  <c r="AV146" i="48"/>
  <c r="BB146" i="48" s="1"/>
  <c r="BF146" i="48" s="1"/>
  <c r="AV148" i="48"/>
  <c r="BB148" i="48" s="1"/>
  <c r="BF148" i="48" s="1"/>
  <c r="AV152" i="48"/>
  <c r="BB152" i="48" s="1"/>
  <c r="BF152" i="48" s="1"/>
  <c r="AV160" i="48"/>
  <c r="AV162" i="48"/>
  <c r="BB162" i="48" s="1"/>
  <c r="BF162" i="48" s="1"/>
  <c r="X84" i="48"/>
  <c r="BB135" i="48"/>
  <c r="BF135" i="48" s="1"/>
  <c r="AV141" i="48"/>
  <c r="BB141" i="48" s="1"/>
  <c r="BF141" i="48" s="1"/>
  <c r="AR67" i="48"/>
  <c r="AY39" i="48"/>
  <c r="AZ39" i="48" s="1"/>
  <c r="AT30" i="48"/>
  <c r="AR34" i="48"/>
  <c r="AU43" i="48"/>
  <c r="AY48" i="48"/>
  <c r="AT50" i="48"/>
  <c r="AT51" i="48"/>
  <c r="AY58" i="48"/>
  <c r="AZ58" i="48" s="1"/>
  <c r="AT59" i="48"/>
  <c r="AS67" i="48"/>
  <c r="AS68" i="48"/>
  <c r="AS75" i="48"/>
  <c r="AU30" i="48"/>
  <c r="AU55" i="48"/>
  <c r="AY74" i="48"/>
  <c r="AZ74" i="48" s="1"/>
  <c r="AS33" i="48"/>
  <c r="AR40" i="48"/>
  <c r="AY57" i="48"/>
  <c r="AS70" i="48"/>
  <c r="AS73" i="48"/>
  <c r="AS31" i="48"/>
  <c r="AT33" i="48"/>
  <c r="AS38" i="48"/>
  <c r="AS40" i="48"/>
  <c r="AR48" i="48"/>
  <c r="AS50" i="48"/>
  <c r="AY53" i="48"/>
  <c r="AZ53" i="48" s="1"/>
  <c r="AT60" i="48"/>
  <c r="AT31" i="48"/>
  <c r="AY37" i="48"/>
  <c r="AT42" i="48"/>
  <c r="Z47" i="48"/>
  <c r="AY47" i="48"/>
  <c r="AZ47" i="48" s="1"/>
  <c r="AS58" i="48"/>
  <c r="AU62" i="48"/>
  <c r="AT58" i="48"/>
  <c r="AU69" i="48"/>
  <c r="AV144" i="48"/>
  <c r="AV170" i="48"/>
  <c r="BB170" i="48" s="1"/>
  <c r="BF170" i="48" s="1"/>
  <c r="AV176" i="48"/>
  <c r="BB176" i="48" s="1"/>
  <c r="BF176" i="48" s="1"/>
  <c r="AY73" i="48"/>
  <c r="AZ73" i="48" s="1"/>
  <c r="AV180" i="48"/>
  <c r="BB180" i="48" s="1"/>
  <c r="BF180" i="48" s="1"/>
  <c r="AY46" i="48"/>
  <c r="AY55" i="48"/>
  <c r="AZ55" i="48" s="1"/>
  <c r="AY66" i="48"/>
  <c r="AY144" i="48"/>
  <c r="I83" i="48"/>
  <c r="AY65" i="48"/>
  <c r="AZ65" i="48" s="1"/>
  <c r="AV166" i="48"/>
  <c r="AY31" i="48"/>
  <c r="AZ31" i="48" s="1"/>
  <c r="AS46" i="48"/>
  <c r="X118" i="48"/>
  <c r="AY166" i="48"/>
  <c r="Z29" i="48"/>
  <c r="Z36" i="48"/>
  <c r="AT36" i="48"/>
  <c r="AT52" i="48"/>
  <c r="AY54" i="48"/>
  <c r="AZ54" i="48" s="1"/>
  <c r="AU60" i="48"/>
  <c r="AY64" i="48"/>
  <c r="AZ64" i="48" s="1"/>
  <c r="AU72" i="48"/>
  <c r="AU75" i="48"/>
  <c r="BE135" i="48"/>
  <c r="I82" i="48"/>
  <c r="AU35" i="48"/>
  <c r="AS39" i="48"/>
  <c r="AS41" i="48"/>
  <c r="Z46" i="48"/>
  <c r="Z49" i="48"/>
  <c r="AU52" i="48"/>
  <c r="AS54" i="48"/>
  <c r="AU54" i="48"/>
  <c r="Z55" i="48"/>
  <c r="AT55" i="48"/>
  <c r="AS57" i="48"/>
  <c r="AR60" i="48"/>
  <c r="AS62" i="48"/>
  <c r="AT63" i="48"/>
  <c r="AU71" i="48"/>
  <c r="AU73" i="48"/>
  <c r="AR75" i="48"/>
  <c r="AV153" i="48"/>
  <c r="BB153" i="48" s="1"/>
  <c r="BF153" i="48" s="1"/>
  <c r="AS35" i="48"/>
  <c r="AY38" i="48"/>
  <c r="AZ38" i="48" s="1"/>
  <c r="AT41" i="48"/>
  <c r="AR49" i="48"/>
  <c r="Z54" i="48"/>
  <c r="AT57" i="48"/>
  <c r="AS61" i="48"/>
  <c r="AU63" i="48"/>
  <c r="AY68" i="48"/>
  <c r="AZ68" i="48" s="1"/>
  <c r="AS30" i="48"/>
  <c r="AT35" i="48"/>
  <c r="AU41" i="48"/>
  <c r="AY42" i="48"/>
  <c r="AU47" i="48"/>
  <c r="AS59" i="48"/>
  <c r="AT61" i="48"/>
  <c r="AS69" i="48"/>
  <c r="AS74" i="48"/>
  <c r="AV138" i="48"/>
  <c r="BB138" i="48" s="1"/>
  <c r="BF138" i="48" s="1"/>
  <c r="AV181" i="48"/>
  <c r="BB181" i="48" s="1"/>
  <c r="BF181" i="48" s="1"/>
  <c r="AG195" i="48"/>
  <c r="AK195" i="48" s="1"/>
  <c r="O7" i="48"/>
  <c r="N7" i="48"/>
  <c r="AG201" i="48"/>
  <c r="AK201" i="48" s="1"/>
  <c r="AA46" i="48"/>
  <c r="AM46" i="48" s="1"/>
  <c r="AA49" i="48"/>
  <c r="AM49" i="48" s="1"/>
  <c r="AU64" i="48"/>
  <c r="X112" i="48"/>
  <c r="AV136" i="48"/>
  <c r="BB136" i="48" s="1"/>
  <c r="BF136" i="48" s="1"/>
  <c r="AV156" i="48"/>
  <c r="BB156" i="48" s="1"/>
  <c r="BF156" i="48" s="1"/>
  <c r="AV163" i="48"/>
  <c r="BB163" i="48" s="1"/>
  <c r="BF163" i="48" s="1"/>
  <c r="AY30" i="48"/>
  <c r="AZ30" i="48" s="1"/>
  <c r="Z32" i="48"/>
  <c r="AY32" i="48"/>
  <c r="AZ32" i="48" s="1"/>
  <c r="AU34" i="48"/>
  <c r="AU36" i="48"/>
  <c r="AS42" i="48"/>
  <c r="AY45" i="48"/>
  <c r="AU48" i="48"/>
  <c r="AY49" i="48"/>
  <c r="AY50" i="48"/>
  <c r="AZ50" i="48" s="1"/>
  <c r="AU56" i="48"/>
  <c r="AY56" i="48"/>
  <c r="AU61" i="48"/>
  <c r="Z72" i="48"/>
  <c r="AY72" i="48"/>
  <c r="AZ72" i="48" s="1"/>
  <c r="AY29" i="48"/>
  <c r="I84" i="48"/>
  <c r="Z37" i="48"/>
  <c r="Z63" i="48"/>
  <c r="AL63" i="48" s="1"/>
  <c r="Z73" i="48"/>
  <c r="AL73" i="48" s="1"/>
  <c r="AV140" i="48"/>
  <c r="BB140" i="48" s="1"/>
  <c r="BF140" i="48" s="1"/>
  <c r="AV145" i="48"/>
  <c r="BB145" i="48" s="1"/>
  <c r="BF145" i="48" s="1"/>
  <c r="AV155" i="48"/>
  <c r="BB155" i="48" s="1"/>
  <c r="BF155" i="48" s="1"/>
  <c r="AV167" i="48"/>
  <c r="BB167" i="48" s="1"/>
  <c r="BF167" i="48" s="1"/>
  <c r="AU29" i="48"/>
  <c r="AR32" i="48"/>
  <c r="AU33" i="48"/>
  <c r="Z35" i="48"/>
  <c r="AY36" i="48"/>
  <c r="AZ36" i="48" s="1"/>
  <c r="Z41" i="48"/>
  <c r="AS43" i="48"/>
  <c r="AY62" i="48"/>
  <c r="AZ62" i="48" s="1"/>
  <c r="AT68" i="48"/>
  <c r="Z74" i="48"/>
  <c r="Z75" i="48"/>
  <c r="AL75" i="48" s="1"/>
  <c r="AS34" i="48"/>
  <c r="AS32" i="48"/>
  <c r="AY34" i="48"/>
  <c r="AZ34" i="48" s="1"/>
  <c r="AU39" i="48"/>
  <c r="Z42" i="48"/>
  <c r="AY43" i="48"/>
  <c r="AZ43" i="48" s="1"/>
  <c r="I95" i="48"/>
  <c r="AS44" i="48"/>
  <c r="AS45" i="48"/>
  <c r="AS48" i="48"/>
  <c r="AT49" i="48"/>
  <c r="AS51" i="48"/>
  <c r="AY51" i="48"/>
  <c r="AS52" i="48"/>
  <c r="AS53" i="48"/>
  <c r="AS56" i="48"/>
  <c r="AU57" i="48"/>
  <c r="AS66" i="48"/>
  <c r="AT67" i="48"/>
  <c r="AU68" i="48"/>
  <c r="AY70" i="48"/>
  <c r="AZ70" i="48" s="1"/>
  <c r="Z71" i="48"/>
  <c r="AV137" i="48"/>
  <c r="AV159" i="48"/>
  <c r="AV172" i="48"/>
  <c r="BB172" i="48" s="1"/>
  <c r="BF172" i="48" s="1"/>
  <c r="AT32" i="48"/>
  <c r="AY33" i="48"/>
  <c r="AU40" i="48"/>
  <c r="AB42" i="48"/>
  <c r="AN42" i="48" s="1"/>
  <c r="AY44" i="48"/>
  <c r="AT45" i="48"/>
  <c r="AT46" i="48"/>
  <c r="AS47" i="48"/>
  <c r="AT48" i="48"/>
  <c r="AU49" i="48"/>
  <c r="AU50" i="48"/>
  <c r="AY52" i="48"/>
  <c r="AZ52" i="48" s="1"/>
  <c r="AT53" i="48"/>
  <c r="AS55" i="48"/>
  <c r="AT56" i="48"/>
  <c r="Z58" i="48"/>
  <c r="AL58" i="48" s="1"/>
  <c r="AY59" i="48"/>
  <c r="AY60" i="48"/>
  <c r="AZ60" i="48" s="1"/>
  <c r="AY63" i="48"/>
  <c r="AS65" i="48"/>
  <c r="AU67" i="48"/>
  <c r="BB149" i="48"/>
  <c r="BF149" i="48" s="1"/>
  <c r="BB159" i="48"/>
  <c r="BF159" i="48" s="1"/>
  <c r="AJ194" i="48"/>
  <c r="AU32" i="48"/>
  <c r="AY35" i="48"/>
  <c r="I87" i="48"/>
  <c r="AU46" i="48"/>
  <c r="Z50" i="48"/>
  <c r="AT54" i="48"/>
  <c r="Z57" i="48"/>
  <c r="AR59" i="48"/>
  <c r="AS60" i="48"/>
  <c r="AT64" i="48"/>
  <c r="AT65" i="48"/>
  <c r="AR74" i="48"/>
  <c r="AT75" i="48"/>
  <c r="AV151" i="48"/>
  <c r="BB151" i="48" s="1"/>
  <c r="BF151" i="48" s="1"/>
  <c r="AV169" i="48"/>
  <c r="BB169" i="48" s="1"/>
  <c r="BF169" i="48" s="1"/>
  <c r="AV174" i="48"/>
  <c r="BB174" i="48" s="1"/>
  <c r="BF174" i="48" s="1"/>
  <c r="K90" i="48"/>
  <c r="X90" i="48" s="1"/>
  <c r="L90" i="48"/>
  <c r="AR39" i="48"/>
  <c r="I80" i="48"/>
  <c r="Z31" i="48"/>
  <c r="L82" i="48"/>
  <c r="K82" i="48"/>
  <c r="X82" i="48" s="1"/>
  <c r="AC35" i="48"/>
  <c r="AO35" i="48" s="1"/>
  <c r="I88" i="48"/>
  <c r="L88" i="48"/>
  <c r="K88" i="48"/>
  <c r="X88" i="48" s="1"/>
  <c r="L94" i="48"/>
  <c r="K94" i="48"/>
  <c r="X94" i="48" s="1"/>
  <c r="AR43" i="48"/>
  <c r="AA44" i="48"/>
  <c r="AM44" i="48" s="1"/>
  <c r="Z44" i="48"/>
  <c r="I96" i="48"/>
  <c r="AR45" i="48"/>
  <c r="Z48" i="48"/>
  <c r="AA48" i="48"/>
  <c r="AM48" i="48" s="1"/>
  <c r="AZ57" i="48"/>
  <c r="M125" i="48"/>
  <c r="M121" i="48"/>
  <c r="M113" i="48"/>
  <c r="M124" i="48"/>
  <c r="M120" i="48"/>
  <c r="M116" i="48"/>
  <c r="M112" i="48"/>
  <c r="M108" i="48"/>
  <c r="M104" i="48"/>
  <c r="D111" i="48"/>
  <c r="M109" i="48"/>
  <c r="D103" i="48"/>
  <c r="M101" i="48"/>
  <c r="M123" i="48"/>
  <c r="M119" i="48"/>
  <c r="M115" i="48"/>
  <c r="M111" i="48"/>
  <c r="D124" i="48"/>
  <c r="D122" i="48"/>
  <c r="D120" i="48"/>
  <c r="D118" i="48"/>
  <c r="D116" i="48"/>
  <c r="D114" i="48"/>
  <c r="D112" i="48"/>
  <c r="D106" i="48"/>
  <c r="D107" i="48"/>
  <c r="M105" i="48"/>
  <c r="D126" i="48"/>
  <c r="D119" i="48"/>
  <c r="D115" i="48"/>
  <c r="D110" i="48"/>
  <c r="D102" i="48"/>
  <c r="M92" i="48"/>
  <c r="D125" i="48"/>
  <c r="D121" i="48"/>
  <c r="D100" i="48"/>
  <c r="D99" i="48"/>
  <c r="D95" i="48"/>
  <c r="D91" i="48"/>
  <c r="D117" i="48"/>
  <c r="M106" i="48"/>
  <c r="D104" i="48"/>
  <c r="D98" i="48"/>
  <c r="D94" i="48"/>
  <c r="D90" i="48"/>
  <c r="D86" i="48"/>
  <c r="D82" i="48"/>
  <c r="M81" i="48"/>
  <c r="D109" i="48"/>
  <c r="D105" i="48"/>
  <c r="M98" i="48"/>
  <c r="M94" i="48"/>
  <c r="D123" i="48"/>
  <c r="D101" i="48"/>
  <c r="D97" i="48"/>
  <c r="M118" i="48"/>
  <c r="D113" i="48"/>
  <c r="M89" i="48"/>
  <c r="D93" i="48"/>
  <c r="D108" i="48"/>
  <c r="D96" i="48"/>
  <c r="D92" i="48"/>
  <c r="D88" i="48"/>
  <c r="D83" i="48"/>
  <c r="M82" i="48"/>
  <c r="D80" i="48"/>
  <c r="E80" i="48" s="1"/>
  <c r="F80" i="48" s="1"/>
  <c r="D84" i="48"/>
  <c r="M90" i="48"/>
  <c r="D89" i="48"/>
  <c r="D87" i="48"/>
  <c r="D85" i="48"/>
  <c r="M83" i="48"/>
  <c r="M103" i="48"/>
  <c r="D81" i="48"/>
  <c r="M85" i="48"/>
  <c r="M87" i="48"/>
  <c r="AC29" i="48"/>
  <c r="AO29" i="48" s="1"/>
  <c r="AE37" i="48"/>
  <c r="AQ37" i="48" s="1"/>
  <c r="I104" i="48"/>
  <c r="AR53" i="48"/>
  <c r="J124" i="48"/>
  <c r="J122" i="48"/>
  <c r="J120" i="48"/>
  <c r="J118" i="48"/>
  <c r="J116" i="48"/>
  <c r="J114" i="48"/>
  <c r="J112" i="48"/>
  <c r="J106" i="48"/>
  <c r="J109" i="48"/>
  <c r="J126" i="48"/>
  <c r="J125" i="48"/>
  <c r="J121" i="48"/>
  <c r="J117" i="48"/>
  <c r="J113" i="48"/>
  <c r="J110" i="48"/>
  <c r="J123" i="48"/>
  <c r="J104" i="48"/>
  <c r="J105" i="48"/>
  <c r="J103" i="48"/>
  <c r="J101" i="48"/>
  <c r="J97" i="48"/>
  <c r="J93" i="48"/>
  <c r="J89" i="48"/>
  <c r="J111" i="48"/>
  <c r="J107" i="48"/>
  <c r="J96" i="48"/>
  <c r="J92" i="48"/>
  <c r="J88" i="48"/>
  <c r="J84" i="48"/>
  <c r="J102" i="48"/>
  <c r="J100" i="48"/>
  <c r="J99" i="48"/>
  <c r="J95" i="48"/>
  <c r="J119" i="48"/>
  <c r="J115" i="48"/>
  <c r="J108" i="48"/>
  <c r="J98" i="48"/>
  <c r="J94" i="48"/>
  <c r="J87" i="48"/>
  <c r="J85" i="48"/>
  <c r="J81" i="48"/>
  <c r="J91" i="48"/>
  <c r="J86" i="48"/>
  <c r="J83" i="48"/>
  <c r="J82" i="48"/>
  <c r="J80" i="48"/>
  <c r="J90" i="48"/>
  <c r="Z30" i="48"/>
  <c r="K81" i="48"/>
  <c r="X81" i="48" s="1"/>
  <c r="L81" i="48"/>
  <c r="Z33" i="48"/>
  <c r="AS37" i="48"/>
  <c r="AR37" i="48"/>
  <c r="L89" i="48"/>
  <c r="K89" i="48"/>
  <c r="X89" i="48" s="1"/>
  <c r="AR38" i="48"/>
  <c r="Z39" i="48"/>
  <c r="L106" i="48"/>
  <c r="K106" i="48"/>
  <c r="X106" i="48" s="1"/>
  <c r="AR55" i="48"/>
  <c r="L87" i="48"/>
  <c r="K87" i="48"/>
  <c r="X87" i="48" s="1"/>
  <c r="AR36" i="48"/>
  <c r="I81" i="48"/>
  <c r="K80" i="48"/>
  <c r="X80" i="48" s="1"/>
  <c r="AR31" i="48"/>
  <c r="I86" i="48"/>
  <c r="AT37" i="48"/>
  <c r="AY40" i="48"/>
  <c r="Z51" i="48"/>
  <c r="AD51" i="48"/>
  <c r="AP51" i="48" s="1"/>
  <c r="B109" i="48"/>
  <c r="B101" i="48"/>
  <c r="B125" i="48"/>
  <c r="B123" i="48"/>
  <c r="B121" i="48"/>
  <c r="B119" i="48"/>
  <c r="B111" i="48"/>
  <c r="B104" i="48"/>
  <c r="B105" i="48"/>
  <c r="B124" i="48"/>
  <c r="B122" i="48"/>
  <c r="B120" i="48"/>
  <c r="B113" i="48"/>
  <c r="B106" i="48"/>
  <c r="B118" i="48"/>
  <c r="B108" i="48"/>
  <c r="B96" i="48"/>
  <c r="B92" i="48"/>
  <c r="B115" i="48"/>
  <c r="B112" i="48"/>
  <c r="B110" i="48"/>
  <c r="B102" i="48"/>
  <c r="B100" i="48"/>
  <c r="B99" i="48"/>
  <c r="B95" i="48"/>
  <c r="B91" i="48"/>
  <c r="B87" i="48"/>
  <c r="B83" i="48"/>
  <c r="B117" i="48"/>
  <c r="B114" i="48"/>
  <c r="B107" i="48"/>
  <c r="B126" i="48"/>
  <c r="B103" i="48"/>
  <c r="B98" i="48"/>
  <c r="B94" i="48"/>
  <c r="B116" i="48"/>
  <c r="B90" i="48"/>
  <c r="B86" i="48"/>
  <c r="B93" i="48"/>
  <c r="B82" i="48"/>
  <c r="B88" i="48"/>
  <c r="B97" i="48"/>
  <c r="B85" i="48"/>
  <c r="B84" i="48"/>
  <c r="B89" i="48"/>
  <c r="B81" i="48"/>
  <c r="L83" i="48"/>
  <c r="K83" i="48"/>
  <c r="X83" i="48" s="1"/>
  <c r="Z40" i="48"/>
  <c r="AA40" i="48"/>
  <c r="AM40" i="48" s="1"/>
  <c r="AD63" i="48"/>
  <c r="AP63" i="48" s="1"/>
  <c r="AA66" i="48"/>
  <c r="AM66" i="48" s="1"/>
  <c r="Z66" i="48"/>
  <c r="AS36" i="48"/>
  <c r="I85" i="48"/>
  <c r="AR30" i="48"/>
  <c r="AA33" i="48"/>
  <c r="AM33" i="48" s="1"/>
  <c r="Z34" i="48"/>
  <c r="K86" i="48"/>
  <c r="X86" i="48" s="1"/>
  <c r="AR35" i="48"/>
  <c r="Z38" i="48"/>
  <c r="AT38" i="48"/>
  <c r="AY41" i="48"/>
  <c r="AZ41" i="48" s="1"/>
  <c r="Z43" i="48"/>
  <c r="L98" i="48"/>
  <c r="K98" i="48"/>
  <c r="X98" i="48" s="1"/>
  <c r="AR47" i="48"/>
  <c r="Z59" i="48"/>
  <c r="AA59" i="48"/>
  <c r="AM59" i="48" s="1"/>
  <c r="Z56" i="48"/>
  <c r="AA56" i="48"/>
  <c r="AM56" i="48" s="1"/>
  <c r="AR33" i="48"/>
  <c r="AF191" i="48"/>
  <c r="AC191" i="48"/>
  <c r="Y191" i="48"/>
  <c r="BA132" i="48"/>
  <c r="AT132" i="48"/>
  <c r="AX132" i="48"/>
  <c r="AR29" i="48"/>
  <c r="AU38" i="48"/>
  <c r="I92" i="48"/>
  <c r="AB45" i="48"/>
  <c r="AN45" i="48" s="1"/>
  <c r="Z45" i="48"/>
  <c r="AE71" i="48"/>
  <c r="AQ71" i="48" s="1"/>
  <c r="L124" i="48"/>
  <c r="K124" i="48"/>
  <c r="X124" i="48" s="1"/>
  <c r="AR73" i="48"/>
  <c r="L84" i="48"/>
  <c r="L85" i="48"/>
  <c r="K97" i="48"/>
  <c r="X97" i="48" s="1"/>
  <c r="L97" i="48"/>
  <c r="I103" i="48"/>
  <c r="K105" i="48"/>
  <c r="X105" i="48" s="1"/>
  <c r="L105" i="48"/>
  <c r="I113" i="48"/>
  <c r="I122" i="48"/>
  <c r="I94" i="48"/>
  <c r="L96" i="48"/>
  <c r="K96" i="48"/>
  <c r="X96" i="48" s="1"/>
  <c r="I102" i="48"/>
  <c r="Z53" i="48"/>
  <c r="L104" i="48"/>
  <c r="K104" i="48"/>
  <c r="X104" i="48" s="1"/>
  <c r="I112" i="48"/>
  <c r="AR61" i="48"/>
  <c r="I114" i="48"/>
  <c r="K114" i="48"/>
  <c r="X114" i="48" s="1"/>
  <c r="L114" i="48"/>
  <c r="AR63" i="48"/>
  <c r="L115" i="48"/>
  <c r="K115" i="48"/>
  <c r="X115" i="48" s="1"/>
  <c r="AR64" i="48"/>
  <c r="AU65" i="48"/>
  <c r="Z67" i="48"/>
  <c r="Z70" i="48"/>
  <c r="AS71" i="48"/>
  <c r="AT73" i="48"/>
  <c r="I93" i="48"/>
  <c r="L95" i="48"/>
  <c r="K95" i="48"/>
  <c r="X95" i="48" s="1"/>
  <c r="AR46" i="48"/>
  <c r="I101" i="48"/>
  <c r="Z52" i="48"/>
  <c r="K103" i="48"/>
  <c r="X103" i="48" s="1"/>
  <c r="L103" i="48"/>
  <c r="AR54" i="48"/>
  <c r="K109" i="48"/>
  <c r="X109" i="48" s="1"/>
  <c r="L109" i="48"/>
  <c r="AR58" i="48"/>
  <c r="AS63" i="48"/>
  <c r="I115" i="48"/>
  <c r="AS64" i="48"/>
  <c r="Z65" i="48"/>
  <c r="K117" i="48"/>
  <c r="X117" i="48" s="1"/>
  <c r="L117" i="48"/>
  <c r="Z68" i="48"/>
  <c r="AY69" i="48"/>
  <c r="AZ69" i="48" s="1"/>
  <c r="I100" i="48"/>
  <c r="K102" i="48"/>
  <c r="X102" i="48" s="1"/>
  <c r="I108" i="48"/>
  <c r="L110" i="48"/>
  <c r="K110" i="48"/>
  <c r="X110" i="48" s="1"/>
  <c r="K125" i="48"/>
  <c r="X125" i="48" s="1"/>
  <c r="L125" i="48"/>
  <c r="I91" i="48"/>
  <c r="AR44" i="48"/>
  <c r="I99" i="48"/>
  <c r="K101" i="48"/>
  <c r="X101" i="48" s="1"/>
  <c r="L101" i="48"/>
  <c r="AR52" i="48"/>
  <c r="I107" i="48"/>
  <c r="Z64" i="48"/>
  <c r="AT66" i="48"/>
  <c r="I121" i="48"/>
  <c r="L123" i="48"/>
  <c r="K123" i="48"/>
  <c r="X123" i="48" s="1"/>
  <c r="AR72" i="48"/>
  <c r="AA75" i="48"/>
  <c r="AM75" i="48" s="1"/>
  <c r="I90" i="48"/>
  <c r="L92" i="48"/>
  <c r="K92" i="48"/>
  <c r="X92" i="48" s="1"/>
  <c r="I98" i="48"/>
  <c r="K100" i="48"/>
  <c r="X100" i="48" s="1"/>
  <c r="L100" i="48"/>
  <c r="AR51" i="48"/>
  <c r="I106" i="48"/>
  <c r="K108" i="48"/>
  <c r="X108" i="48" s="1"/>
  <c r="L108" i="48"/>
  <c r="AU58" i="48"/>
  <c r="Z60" i="48"/>
  <c r="Z61" i="48"/>
  <c r="Z62" i="48"/>
  <c r="AU66" i="48"/>
  <c r="AY67" i="48"/>
  <c r="AZ67" i="48" s="1"/>
  <c r="Z69" i="48"/>
  <c r="AY71" i="48"/>
  <c r="I123" i="48"/>
  <c r="AS72" i="48"/>
  <c r="AT74" i="48"/>
  <c r="L93" i="48"/>
  <c r="I89" i="48"/>
  <c r="L91" i="48"/>
  <c r="K91" i="48"/>
  <c r="X91" i="48" s="1"/>
  <c r="AR42" i="48"/>
  <c r="I97" i="48"/>
  <c r="L99" i="48"/>
  <c r="K99" i="48"/>
  <c r="X99" i="48" s="1"/>
  <c r="AR50" i="48"/>
  <c r="I105" i="48"/>
  <c r="K107" i="48"/>
  <c r="X107" i="48" s="1"/>
  <c r="L107" i="48"/>
  <c r="AU59" i="48"/>
  <c r="AY61" i="48"/>
  <c r="AZ61" i="48" s="1"/>
  <c r="L116" i="48"/>
  <c r="K116" i="48"/>
  <c r="X116" i="48" s="1"/>
  <c r="AR65" i="48"/>
  <c r="AT72" i="48"/>
  <c r="AU74" i="48"/>
  <c r="AY75" i="48"/>
  <c r="I120" i="48"/>
  <c r="K122" i="48"/>
  <c r="X122" i="48" s="1"/>
  <c r="L122" i="48"/>
  <c r="I111" i="48"/>
  <c r="K113" i="48"/>
  <c r="X113" i="48" s="1"/>
  <c r="L113" i="48"/>
  <c r="I119" i="48"/>
  <c r="K121" i="48"/>
  <c r="X121" i="48" s="1"/>
  <c r="L121" i="48"/>
  <c r="I110" i="48"/>
  <c r="L112" i="48"/>
  <c r="I118" i="48"/>
  <c r="L120" i="48"/>
  <c r="K120" i="48"/>
  <c r="X120" i="48" s="1"/>
  <c r="AR71" i="48"/>
  <c r="I126" i="48"/>
  <c r="L118" i="48"/>
  <c r="I109" i="48"/>
  <c r="L111" i="48"/>
  <c r="K111" i="48"/>
  <c r="X111" i="48" s="1"/>
  <c r="AR62" i="48"/>
  <c r="I117" i="48"/>
  <c r="L119" i="48"/>
  <c r="K119" i="48"/>
  <c r="X119" i="48" s="1"/>
  <c r="AR70" i="48"/>
  <c r="I125" i="48"/>
  <c r="I116" i="48"/>
  <c r="AR69" i="48"/>
  <c r="I124" i="48"/>
  <c r="K126" i="48"/>
  <c r="X126" i="48" s="1"/>
  <c r="L126" i="48"/>
  <c r="AY147" i="48"/>
  <c r="AV147" i="48"/>
  <c r="AV150" i="48"/>
  <c r="BB150" i="48" s="1"/>
  <c r="BF150" i="48" s="1"/>
  <c r="AY161" i="48"/>
  <c r="AV161" i="48"/>
  <c r="AY139" i="48"/>
  <c r="AV139" i="48"/>
  <c r="BB137" i="48"/>
  <c r="BF137" i="48" s="1"/>
  <c r="AY179" i="48"/>
  <c r="AV179" i="48"/>
  <c r="AV142" i="48"/>
  <c r="AV157" i="48"/>
  <c r="BB157" i="48" s="1"/>
  <c r="BF157" i="48" s="1"/>
  <c r="BB160" i="48"/>
  <c r="BF160" i="48" s="1"/>
  <c r="AV143" i="48"/>
  <c r="BB143" i="48" s="1"/>
  <c r="BF143" i="48" s="1"/>
  <c r="AV154" i="48"/>
  <c r="BB154" i="48" s="1"/>
  <c r="BF154" i="48" s="1"/>
  <c r="AY158" i="48"/>
  <c r="AV158" i="48"/>
  <c r="AV164" i="48"/>
  <c r="BB164" i="48" s="1"/>
  <c r="BF164" i="48" s="1"/>
  <c r="AV165" i="48"/>
  <c r="BB165" i="48" s="1"/>
  <c r="BF165" i="48" s="1"/>
  <c r="AV168" i="48"/>
  <c r="BB168" i="48" s="1"/>
  <c r="BF168" i="48" s="1"/>
  <c r="AV177" i="48"/>
  <c r="BB177" i="48" s="1"/>
  <c r="BF177" i="48" s="1"/>
  <c r="AY178" i="48"/>
  <c r="AV178" i="48"/>
  <c r="K115" i="46"/>
  <c r="X115" i="46" s="1"/>
  <c r="BB179" i="46"/>
  <c r="BF179" i="46" s="1"/>
  <c r="AA30" i="46"/>
  <c r="AM30" i="46" s="1"/>
  <c r="AY30" i="46"/>
  <c r="AY31" i="46"/>
  <c r="AY32" i="46"/>
  <c r="AZ32" i="46" s="1"/>
  <c r="AY33" i="46"/>
  <c r="I85" i="46"/>
  <c r="AS34" i="46"/>
  <c r="AS35" i="46"/>
  <c r="AS36" i="46"/>
  <c r="AU36" i="46"/>
  <c r="N39" i="46"/>
  <c r="Z39" i="46" s="1"/>
  <c r="AL39" i="46" s="1"/>
  <c r="AX39" i="46" s="1"/>
  <c r="AY39" i="46"/>
  <c r="AZ39" i="46" s="1"/>
  <c r="N42" i="46"/>
  <c r="Z42" i="46" s="1"/>
  <c r="AL42" i="46" s="1"/>
  <c r="AS45" i="46"/>
  <c r="AT46" i="46"/>
  <c r="AS51" i="46"/>
  <c r="N56" i="46"/>
  <c r="Z56" i="46" s="1"/>
  <c r="AL56" i="46" s="1"/>
  <c r="AX56" i="46" s="1"/>
  <c r="AY64" i="46"/>
  <c r="N66" i="46"/>
  <c r="Z66" i="46" s="1"/>
  <c r="AL66" i="46" s="1"/>
  <c r="AU72" i="46"/>
  <c r="AT73" i="46"/>
  <c r="BB156" i="46"/>
  <c r="BF156" i="46" s="1"/>
  <c r="I83" i="46"/>
  <c r="N37" i="46"/>
  <c r="Z37" i="46" s="1"/>
  <c r="AL37" i="46" s="1"/>
  <c r="AX37" i="46" s="1"/>
  <c r="AU38" i="46"/>
  <c r="AY50" i="46"/>
  <c r="AY51" i="46"/>
  <c r="AY52" i="46"/>
  <c r="AZ52" i="46" s="1"/>
  <c r="N54" i="46"/>
  <c r="Z54" i="46" s="1"/>
  <c r="BB163" i="46"/>
  <c r="BF163" i="46" s="1"/>
  <c r="BB168" i="46"/>
  <c r="BF168" i="46" s="1"/>
  <c r="AY29" i="46"/>
  <c r="N34" i="46"/>
  <c r="Z34" i="46" s="1"/>
  <c r="N52" i="46"/>
  <c r="Z52" i="46" s="1"/>
  <c r="AL52" i="46" s="1"/>
  <c r="AX52" i="46" s="1"/>
  <c r="N57" i="46"/>
  <c r="Z57" i="46" s="1"/>
  <c r="AL57" i="46" s="1"/>
  <c r="AX57" i="46" s="1"/>
  <c r="AU73" i="46"/>
  <c r="AV178" i="46"/>
  <c r="BB178" i="46" s="1"/>
  <c r="BF178" i="46" s="1"/>
  <c r="AT30" i="46"/>
  <c r="AU31" i="46"/>
  <c r="AU34" i="46"/>
  <c r="AS39" i="46"/>
  <c r="AU41" i="46"/>
  <c r="AY42" i="46"/>
  <c r="AT43" i="46"/>
  <c r="AR46" i="46"/>
  <c r="N48" i="46"/>
  <c r="Z48" i="46" s="1"/>
  <c r="AL48" i="46" s="1"/>
  <c r="AX48" i="46" s="1"/>
  <c r="AY56" i="46"/>
  <c r="AZ56" i="46" s="1"/>
  <c r="N58" i="46"/>
  <c r="Z58" i="46" s="1"/>
  <c r="AL58" i="46" s="1"/>
  <c r="X109" i="46"/>
  <c r="AR60" i="46"/>
  <c r="AT61" i="46"/>
  <c r="AU62" i="46"/>
  <c r="AU65" i="46"/>
  <c r="AY66" i="46"/>
  <c r="AT67" i="46"/>
  <c r="AY67" i="46"/>
  <c r="AU68" i="46"/>
  <c r="N72" i="46"/>
  <c r="Z72" i="46" s="1"/>
  <c r="AL72" i="46" s="1"/>
  <c r="AX72" i="46" s="1"/>
  <c r="AS75" i="46"/>
  <c r="BA135" i="46"/>
  <c r="AV148" i="46"/>
  <c r="AV153" i="46"/>
  <c r="BB153" i="46" s="1"/>
  <c r="BF153" i="46" s="1"/>
  <c r="AV160" i="46"/>
  <c r="BB160" i="46" s="1"/>
  <c r="BF160" i="46" s="1"/>
  <c r="AU30" i="46"/>
  <c r="AU35" i="46"/>
  <c r="AT39" i="46"/>
  <c r="AY43" i="46"/>
  <c r="AU44" i="46"/>
  <c r="AY44" i="46"/>
  <c r="AZ44" i="46" s="1"/>
  <c r="AR45" i="46"/>
  <c r="N46" i="46"/>
  <c r="Z46" i="46" s="1"/>
  <c r="AL46" i="46" s="1"/>
  <c r="AA48" i="46"/>
  <c r="AM48" i="46" s="1"/>
  <c r="AY57" i="46"/>
  <c r="AU61" i="46"/>
  <c r="AR63" i="46"/>
  <c r="N68" i="46"/>
  <c r="Z68" i="46" s="1"/>
  <c r="AL68" i="46" s="1"/>
  <c r="AT75" i="46"/>
  <c r="AY75" i="46"/>
  <c r="J94" i="46"/>
  <c r="AR36" i="46"/>
  <c r="AY37" i="46"/>
  <c r="AU39" i="46"/>
  <c r="N44" i="46"/>
  <c r="Z44" i="46" s="1"/>
  <c r="AL44" i="46" s="1"/>
  <c r="N49" i="46"/>
  <c r="Z49" i="46" s="1"/>
  <c r="AL49" i="46" s="1"/>
  <c r="AX49" i="46" s="1"/>
  <c r="AT54" i="46"/>
  <c r="AS59" i="46"/>
  <c r="AY69" i="46"/>
  <c r="AV145" i="46"/>
  <c r="BB145" i="46" s="1"/>
  <c r="BF145" i="46" s="1"/>
  <c r="AV172" i="46"/>
  <c r="BB172" i="46" s="1"/>
  <c r="BF172" i="46" s="1"/>
  <c r="BB175" i="46"/>
  <c r="BF175" i="46" s="1"/>
  <c r="AT29" i="46"/>
  <c r="AR33" i="46"/>
  <c r="X97" i="46"/>
  <c r="AY48" i="46"/>
  <c r="N50" i="46"/>
  <c r="Z50" i="46" s="1"/>
  <c r="AL50" i="46" s="1"/>
  <c r="AT53" i="46"/>
  <c r="AU54" i="46"/>
  <c r="AR56" i="46"/>
  <c r="AY58" i="46"/>
  <c r="AY59" i="46"/>
  <c r="AY60" i="46"/>
  <c r="AZ60" i="46" s="1"/>
  <c r="N62" i="46"/>
  <c r="Z62" i="46" s="1"/>
  <c r="AL62" i="46" s="1"/>
  <c r="AZ68" i="46"/>
  <c r="AS72" i="46"/>
  <c r="N73" i="46"/>
  <c r="Z73" i="46" s="1"/>
  <c r="AL73" i="46" s="1"/>
  <c r="AT74" i="46"/>
  <c r="AV137" i="46"/>
  <c r="BB137" i="46" s="1"/>
  <c r="BF137" i="46" s="1"/>
  <c r="AV164" i="46"/>
  <c r="BB164" i="46" s="1"/>
  <c r="BF164" i="46" s="1"/>
  <c r="X80" i="47"/>
  <c r="AU33" i="47"/>
  <c r="AS67" i="47"/>
  <c r="AT46" i="47"/>
  <c r="AV136" i="47"/>
  <c r="BB136" i="47" s="1"/>
  <c r="BF136" i="47" s="1"/>
  <c r="AR33" i="47"/>
  <c r="AT35" i="47"/>
  <c r="AT59" i="47"/>
  <c r="AU60" i="47"/>
  <c r="AR65" i="47"/>
  <c r="AT58" i="47"/>
  <c r="AU38" i="47"/>
  <c r="AS44" i="47"/>
  <c r="AU37" i="47"/>
  <c r="AS51" i="47"/>
  <c r="AR74" i="47"/>
  <c r="AV145" i="47"/>
  <c r="BB145" i="47" s="1"/>
  <c r="BF145" i="47" s="1"/>
  <c r="AV151" i="47"/>
  <c r="BB151" i="47" s="1"/>
  <c r="BF151" i="47" s="1"/>
  <c r="AV155" i="47"/>
  <c r="BB155" i="47" s="1"/>
  <c r="BF155" i="47" s="1"/>
  <c r="AV161" i="47"/>
  <c r="BB161" i="47" s="1"/>
  <c r="BF161" i="47" s="1"/>
  <c r="AV173" i="47"/>
  <c r="BB173" i="47" s="1"/>
  <c r="BF173" i="47" s="1"/>
  <c r="AV177" i="47"/>
  <c r="BB177" i="47" s="1"/>
  <c r="BF177" i="47" s="1"/>
  <c r="AS50" i="47"/>
  <c r="AT51" i="47"/>
  <c r="AS34" i="47"/>
  <c r="AR39" i="47"/>
  <c r="AS54" i="47"/>
  <c r="AU41" i="47"/>
  <c r="AU45" i="47"/>
  <c r="AT49" i="47"/>
  <c r="AT70" i="47"/>
  <c r="AU70" i="47"/>
  <c r="AY57" i="47"/>
  <c r="AZ57" i="47" s="1"/>
  <c r="N59" i="47"/>
  <c r="Z59" i="47" s="1"/>
  <c r="AL59" i="47" s="1"/>
  <c r="AR66" i="47"/>
  <c r="AT68" i="47"/>
  <c r="AU69" i="47"/>
  <c r="AR70" i="47"/>
  <c r="AV140" i="47"/>
  <c r="BB140" i="47" s="1"/>
  <c r="BF140" i="47" s="1"/>
  <c r="AV162" i="47"/>
  <c r="BB162" i="47" s="1"/>
  <c r="BF162" i="47" s="1"/>
  <c r="AU29" i="47"/>
  <c r="AU54" i="47"/>
  <c r="AT57" i="47"/>
  <c r="AR64" i="47"/>
  <c r="AR34" i="47"/>
  <c r="AS45" i="47"/>
  <c r="AR47" i="47"/>
  <c r="AY48" i="47"/>
  <c r="AZ48" i="47" s="1"/>
  <c r="AU30" i="47"/>
  <c r="AR32" i="47"/>
  <c r="AS43" i="47"/>
  <c r="AS32" i="47"/>
  <c r="AU36" i="47"/>
  <c r="AT43" i="47"/>
  <c r="AT52" i="47"/>
  <c r="AU53" i="47"/>
  <c r="AS62" i="47"/>
  <c r="AT64" i="47"/>
  <c r="AT66" i="47"/>
  <c r="AY73" i="47"/>
  <c r="AT74" i="47"/>
  <c r="AU52" i="47"/>
  <c r="N63" i="47"/>
  <c r="Z63" i="47" s="1"/>
  <c r="AL63" i="47" s="1"/>
  <c r="AU66" i="47"/>
  <c r="AR67" i="47"/>
  <c r="AV170" i="47"/>
  <c r="BB170" i="47" s="1"/>
  <c r="BF170" i="47" s="1"/>
  <c r="AT48" i="47"/>
  <c r="AS60" i="47"/>
  <c r="AT61" i="47"/>
  <c r="AT72" i="47"/>
  <c r="AV141" i="47"/>
  <c r="BB141" i="47" s="1"/>
  <c r="BF141" i="47" s="1"/>
  <c r="AY40" i="47"/>
  <c r="AZ40" i="47" s="1"/>
  <c r="AY47" i="47"/>
  <c r="AZ47" i="47" s="1"/>
  <c r="AY55" i="47"/>
  <c r="AZ55" i="47" s="1"/>
  <c r="N61" i="47"/>
  <c r="Z61" i="47" s="1"/>
  <c r="AL61" i="47" s="1"/>
  <c r="AX61" i="47" s="1"/>
  <c r="AY63" i="47"/>
  <c r="AZ63" i="47" s="1"/>
  <c r="AU44" i="47"/>
  <c r="AV138" i="47"/>
  <c r="BB138" i="47" s="1"/>
  <c r="BF138" i="47" s="1"/>
  <c r="AY31" i="47"/>
  <c r="AZ31" i="47" s="1"/>
  <c r="AR41" i="47"/>
  <c r="AS42" i="47"/>
  <c r="AU46" i="47"/>
  <c r="AS47" i="47"/>
  <c r="AR50" i="47"/>
  <c r="AR56" i="47"/>
  <c r="AS58" i="47"/>
  <c r="AR61" i="47"/>
  <c r="AU68" i="47"/>
  <c r="AV144" i="47"/>
  <c r="BB144" i="47" s="1"/>
  <c r="BF144" i="47" s="1"/>
  <c r="AV168" i="47"/>
  <c r="BB168" i="47" s="1"/>
  <c r="BF168" i="47" s="1"/>
  <c r="AS30" i="47"/>
  <c r="AY41" i="47"/>
  <c r="AY44" i="47"/>
  <c r="AR49" i="47"/>
  <c r="AS57" i="47"/>
  <c r="AS68" i="47"/>
  <c r="AT30" i="47"/>
  <c r="AS35" i="47"/>
  <c r="AS38" i="47"/>
  <c r="AS40" i="47"/>
  <c r="N44" i="47"/>
  <c r="Z44" i="47" s="1"/>
  <c r="AL44" i="47" s="1"/>
  <c r="AX44" i="47" s="1"/>
  <c r="AT60" i="47"/>
  <c r="N62" i="47"/>
  <c r="Z62" i="47" s="1"/>
  <c r="AL62" i="47" s="1"/>
  <c r="AS63" i="47"/>
  <c r="AT65" i="47"/>
  <c r="AS71" i="47"/>
  <c r="AY32" i="47"/>
  <c r="AZ32" i="47" s="1"/>
  <c r="AT33" i="47"/>
  <c r="AT36" i="47"/>
  <c r="AT40" i="47"/>
  <c r="AT45" i="47"/>
  <c r="AR46" i="47"/>
  <c r="AU56" i="47"/>
  <c r="AU57" i="47"/>
  <c r="AU59" i="47"/>
  <c r="N60" i="47"/>
  <c r="Z60" i="47" s="1"/>
  <c r="AL60" i="47" s="1"/>
  <c r="AX60" i="47" s="1"/>
  <c r="AT67" i="47"/>
  <c r="AS75" i="47"/>
  <c r="AV163" i="47"/>
  <c r="BB163" i="47" s="1"/>
  <c r="BF163" i="47" s="1"/>
  <c r="AV165" i="47"/>
  <c r="BB165" i="47" s="1"/>
  <c r="BF165" i="47" s="1"/>
  <c r="AY29" i="47"/>
  <c r="AZ29" i="47" s="1"/>
  <c r="AY39" i="47"/>
  <c r="AZ39" i="47" s="1"/>
  <c r="AT44" i="47"/>
  <c r="X111" i="47"/>
  <c r="AY62" i="47"/>
  <c r="AZ62" i="47" s="1"/>
  <c r="AS65" i="47"/>
  <c r="AU67" i="47"/>
  <c r="AY68" i="47"/>
  <c r="AZ68" i="47" s="1"/>
  <c r="AT75" i="47"/>
  <c r="AV152" i="47"/>
  <c r="BB152" i="47" s="1"/>
  <c r="BF152" i="47" s="1"/>
  <c r="AG199" i="47"/>
  <c r="AK199" i="47" s="1"/>
  <c r="O7" i="47"/>
  <c r="AG201" i="47"/>
  <c r="AK201" i="47" s="1"/>
  <c r="N7" i="47"/>
  <c r="AT32" i="47"/>
  <c r="AY33" i="47"/>
  <c r="AS36" i="47"/>
  <c r="AY36" i="47"/>
  <c r="AZ36" i="47" s="1"/>
  <c r="AS37" i="47"/>
  <c r="AS39" i="47"/>
  <c r="AU40" i="47"/>
  <c r="N41" i="47"/>
  <c r="Z41" i="47" s="1"/>
  <c r="AL41" i="47" s="1"/>
  <c r="AX41" i="47" s="1"/>
  <c r="AT42" i="47"/>
  <c r="AU43" i="47"/>
  <c r="AY45" i="47"/>
  <c r="AZ45" i="47" s="1"/>
  <c r="AS46" i="47"/>
  <c r="AT47" i="47"/>
  <c r="AU48" i="47"/>
  <c r="AY49" i="47"/>
  <c r="AS52" i="47"/>
  <c r="AY52" i="47"/>
  <c r="AS53" i="47"/>
  <c r="AR54" i="47"/>
  <c r="AS55" i="47"/>
  <c r="AU61" i="47"/>
  <c r="AU62" i="47"/>
  <c r="AS64" i="47"/>
  <c r="AU65" i="47"/>
  <c r="AY69" i="47"/>
  <c r="AU74" i="47"/>
  <c r="AV176" i="47"/>
  <c r="BB176" i="47" s="1"/>
  <c r="BF176" i="47" s="1"/>
  <c r="AR31" i="47"/>
  <c r="AU32" i="47"/>
  <c r="N33" i="47"/>
  <c r="Z33" i="47" s="1"/>
  <c r="AL33" i="47" s="1"/>
  <c r="AX33" i="47" s="1"/>
  <c r="AT34" i="47"/>
  <c r="AU35" i="47"/>
  <c r="AY37" i="47"/>
  <c r="AZ37" i="47" s="1"/>
  <c r="AT39" i="47"/>
  <c r="AU42" i="47"/>
  <c r="AY46" i="47"/>
  <c r="AZ46" i="47" s="1"/>
  <c r="AU47" i="47"/>
  <c r="N49" i="47"/>
  <c r="Z49" i="47" s="1"/>
  <c r="AL49" i="47" s="1"/>
  <c r="AX49" i="47" s="1"/>
  <c r="AT50" i="47"/>
  <c r="AU51" i="47"/>
  <c r="AY53" i="47"/>
  <c r="AZ53" i="47" s="1"/>
  <c r="AT55" i="47"/>
  <c r="N57" i="47"/>
  <c r="Z57" i="47" s="1"/>
  <c r="AL57" i="47" s="1"/>
  <c r="AX57" i="47" s="1"/>
  <c r="N58" i="47"/>
  <c r="Z58" i="47" s="1"/>
  <c r="AL58" i="47" s="1"/>
  <c r="AT69" i="47"/>
  <c r="N70" i="47"/>
  <c r="Z70" i="47" s="1"/>
  <c r="AL70" i="47" s="1"/>
  <c r="AY70" i="47"/>
  <c r="AZ70" i="47" s="1"/>
  <c r="AV149" i="47"/>
  <c r="BB149" i="47" s="1"/>
  <c r="BF149" i="47" s="1"/>
  <c r="AV154" i="47"/>
  <c r="BB154" i="47" s="1"/>
  <c r="BF154" i="47" s="1"/>
  <c r="AV180" i="47"/>
  <c r="BB180" i="47" s="1"/>
  <c r="BF180" i="47" s="1"/>
  <c r="AS31" i="47"/>
  <c r="AU34" i="47"/>
  <c r="AT37" i="47"/>
  <c r="AT38" i="47"/>
  <c r="AY38" i="47"/>
  <c r="AZ38" i="47" s="1"/>
  <c r="AU39" i="47"/>
  <c r="AS41" i="47"/>
  <c r="AR42" i="47"/>
  <c r="N46" i="47"/>
  <c r="Z46" i="47" s="1"/>
  <c r="AL46" i="47" s="1"/>
  <c r="AX46" i="47" s="1"/>
  <c r="N47" i="47"/>
  <c r="Z47" i="47" s="1"/>
  <c r="AL47" i="47" s="1"/>
  <c r="N48" i="47"/>
  <c r="Z48" i="47" s="1"/>
  <c r="AL48" i="47" s="1"/>
  <c r="AU50" i="47"/>
  <c r="AT53" i="47"/>
  <c r="AT54" i="47"/>
  <c r="AY54" i="47"/>
  <c r="AZ54" i="47" s="1"/>
  <c r="AU55" i="47"/>
  <c r="AY59" i="47"/>
  <c r="AZ59" i="47" s="1"/>
  <c r="N67" i="47"/>
  <c r="Z67" i="47" s="1"/>
  <c r="AL67" i="47" s="1"/>
  <c r="AX67" i="47" s="1"/>
  <c r="AY72" i="47"/>
  <c r="AS73" i="47"/>
  <c r="AY75" i="47"/>
  <c r="AZ75" i="47" s="1"/>
  <c r="AS29" i="47"/>
  <c r="AT31" i="47"/>
  <c r="AS33" i="47"/>
  <c r="N38" i="47"/>
  <c r="Z38" i="47" s="1"/>
  <c r="AL38" i="47" s="1"/>
  <c r="AX38" i="47" s="1"/>
  <c r="N39" i="47"/>
  <c r="Z39" i="47" s="1"/>
  <c r="AL39" i="47" s="1"/>
  <c r="N40" i="47"/>
  <c r="Z40" i="47" s="1"/>
  <c r="AL40" i="47" s="1"/>
  <c r="AT41" i="47"/>
  <c r="N43" i="47"/>
  <c r="Z43" i="47" s="1"/>
  <c r="AL43" i="47" s="1"/>
  <c r="AS49" i="47"/>
  <c r="N54" i="47"/>
  <c r="Z54" i="47" s="1"/>
  <c r="AL54" i="47" s="1"/>
  <c r="AX54" i="47" s="1"/>
  <c r="N55" i="47"/>
  <c r="Z55" i="47" s="1"/>
  <c r="AL55" i="47" s="1"/>
  <c r="N56" i="47"/>
  <c r="Z56" i="47" s="1"/>
  <c r="AL56" i="47" s="1"/>
  <c r="AT73" i="47"/>
  <c r="AU31" i="47"/>
  <c r="N32" i="47"/>
  <c r="Z32" i="47" s="1"/>
  <c r="AL32" i="47" s="1"/>
  <c r="N35" i="47"/>
  <c r="Z35" i="47" s="1"/>
  <c r="AL35" i="47" s="1"/>
  <c r="N42" i="47"/>
  <c r="Z42" i="47" s="1"/>
  <c r="AL42" i="47" s="1"/>
  <c r="AX42" i="47" s="1"/>
  <c r="AY43" i="47"/>
  <c r="AZ43" i="47" s="1"/>
  <c r="N51" i="47"/>
  <c r="Z51" i="47" s="1"/>
  <c r="AL51" i="47" s="1"/>
  <c r="AY56" i="47"/>
  <c r="AZ56" i="47" s="1"/>
  <c r="AR57" i="47"/>
  <c r="AY65" i="47"/>
  <c r="AU73" i="47"/>
  <c r="AY74" i="47"/>
  <c r="AV146" i="47"/>
  <c r="BB146" i="47" s="1"/>
  <c r="BF146" i="47" s="1"/>
  <c r="AV158" i="47"/>
  <c r="BB158" i="47" s="1"/>
  <c r="BF158" i="47" s="1"/>
  <c r="AV174" i="47"/>
  <c r="BB174" i="47" s="1"/>
  <c r="BF174" i="47" s="1"/>
  <c r="I125" i="47"/>
  <c r="AT29" i="47"/>
  <c r="AY30" i="47"/>
  <c r="AZ30" i="47" s="1"/>
  <c r="N34" i="47"/>
  <c r="Z34" i="47" s="1"/>
  <c r="AL34" i="47" s="1"/>
  <c r="AX34" i="47" s="1"/>
  <c r="AB35" i="47"/>
  <c r="AN35" i="47" s="1"/>
  <c r="AY35" i="47"/>
  <c r="AA42" i="47"/>
  <c r="AM42" i="47" s="1"/>
  <c r="AY42" i="47"/>
  <c r="AU49" i="47"/>
  <c r="N50" i="47"/>
  <c r="Z50" i="47" s="1"/>
  <c r="AL50" i="47" s="1"/>
  <c r="AX50" i="47" s="1"/>
  <c r="AB51" i="47"/>
  <c r="AN51" i="47" s="1"/>
  <c r="AY51" i="47"/>
  <c r="N52" i="47"/>
  <c r="Z52" i="47" s="1"/>
  <c r="AL52" i="47" s="1"/>
  <c r="AT62" i="47"/>
  <c r="AS66" i="47"/>
  <c r="N69" i="47"/>
  <c r="Z69" i="47" s="1"/>
  <c r="AL69" i="47" s="1"/>
  <c r="AX69" i="47" s="1"/>
  <c r="AV143" i="47"/>
  <c r="BB143" i="47" s="1"/>
  <c r="BF143" i="47" s="1"/>
  <c r="AV160" i="47"/>
  <c r="BB160" i="47" s="1"/>
  <c r="BF160" i="47" s="1"/>
  <c r="AV166" i="47"/>
  <c r="BB166" i="47" s="1"/>
  <c r="BF166" i="47" s="1"/>
  <c r="N30" i="47"/>
  <c r="Z30" i="47" s="1"/>
  <c r="AL30" i="47" s="1"/>
  <c r="N31" i="47"/>
  <c r="Z31" i="47" s="1"/>
  <c r="AL31" i="47" s="1"/>
  <c r="AA34" i="47"/>
  <c r="AM34" i="47" s="1"/>
  <c r="AY34" i="47"/>
  <c r="AS48" i="47"/>
  <c r="AA50" i="47"/>
  <c r="AM50" i="47" s="1"/>
  <c r="AY50" i="47"/>
  <c r="AS56" i="47"/>
  <c r="AU58" i="47"/>
  <c r="AS59" i="47"/>
  <c r="AY61" i="47"/>
  <c r="AZ61" i="47" s="1"/>
  <c r="AY64" i="47"/>
  <c r="AS70" i="47"/>
  <c r="AS72" i="47"/>
  <c r="AS74" i="47"/>
  <c r="AU75" i="47"/>
  <c r="BB135" i="47"/>
  <c r="BF135" i="47" s="1"/>
  <c r="AV171" i="47"/>
  <c r="BB171" i="47" s="1"/>
  <c r="BF171" i="47" s="1"/>
  <c r="I97" i="47"/>
  <c r="K122" i="47"/>
  <c r="X122" i="47" s="1"/>
  <c r="I85" i="47"/>
  <c r="I104" i="47"/>
  <c r="K106" i="47"/>
  <c r="X106" i="47" s="1"/>
  <c r="AS61" i="47"/>
  <c r="N65" i="47"/>
  <c r="Z65" i="47" s="1"/>
  <c r="AB65" i="47"/>
  <c r="AN65" i="47" s="1"/>
  <c r="AD44" i="47"/>
  <c r="AP44" i="47" s="1"/>
  <c r="AD52" i="47"/>
  <c r="AP52" i="47" s="1"/>
  <c r="N29" i="47"/>
  <c r="Z29" i="47" s="1"/>
  <c r="I86" i="47"/>
  <c r="N37" i="47"/>
  <c r="Z37" i="47" s="1"/>
  <c r="K88" i="47"/>
  <c r="X88" i="47" s="1"/>
  <c r="I94" i="47"/>
  <c r="N45" i="47"/>
  <c r="Z45" i="47" s="1"/>
  <c r="K96" i="47"/>
  <c r="X96" i="47" s="1"/>
  <c r="I102" i="47"/>
  <c r="N53" i="47"/>
  <c r="Z53" i="47" s="1"/>
  <c r="K104" i="47"/>
  <c r="X104" i="47" s="1"/>
  <c r="AR55" i="47"/>
  <c r="AY58" i="47"/>
  <c r="K114" i="47"/>
  <c r="X114" i="47" s="1"/>
  <c r="AR63" i="47"/>
  <c r="K99" i="47"/>
  <c r="X99" i="47" s="1"/>
  <c r="N64" i="47"/>
  <c r="Z64" i="47" s="1"/>
  <c r="AA64" i="47"/>
  <c r="AM64" i="47" s="1"/>
  <c r="K81" i="47"/>
  <c r="X81" i="47" s="1"/>
  <c r="AA49" i="47"/>
  <c r="AM49" i="47" s="1"/>
  <c r="AR30" i="47"/>
  <c r="N36" i="47"/>
  <c r="Z36" i="47" s="1"/>
  <c r="K87" i="47"/>
  <c r="X87" i="47" s="1"/>
  <c r="AR38" i="47"/>
  <c r="I93" i="47"/>
  <c r="K95" i="47"/>
  <c r="X95" i="47" s="1"/>
  <c r="I101" i="47"/>
  <c r="K103" i="47"/>
  <c r="X103" i="47" s="1"/>
  <c r="I117" i="47"/>
  <c r="I119" i="47"/>
  <c r="I83" i="47"/>
  <c r="AR48" i="47"/>
  <c r="I122" i="47"/>
  <c r="AF191" i="47"/>
  <c r="AT132" i="47"/>
  <c r="AC191" i="47"/>
  <c r="Y191" i="47"/>
  <c r="BA132" i="47"/>
  <c r="AX132" i="47"/>
  <c r="AR29" i="47"/>
  <c r="I84" i="47"/>
  <c r="K86" i="47"/>
  <c r="X86" i="47" s="1"/>
  <c r="AR37" i="47"/>
  <c r="I92" i="47"/>
  <c r="K94" i="47"/>
  <c r="X94" i="47" s="1"/>
  <c r="AR45" i="47"/>
  <c r="I100" i="47"/>
  <c r="K102" i="47"/>
  <c r="X102" i="47" s="1"/>
  <c r="AR53" i="47"/>
  <c r="AY60" i="47"/>
  <c r="AT63" i="47"/>
  <c r="AR71" i="47"/>
  <c r="N74" i="47"/>
  <c r="Z74" i="47" s="1"/>
  <c r="AA74" i="47"/>
  <c r="AM74" i="47" s="1"/>
  <c r="I81" i="47"/>
  <c r="I89" i="47"/>
  <c r="K91" i="47"/>
  <c r="X91" i="47" s="1"/>
  <c r="I105" i="47"/>
  <c r="I80" i="47"/>
  <c r="K82" i="47"/>
  <c r="X82" i="47" s="1"/>
  <c r="I88" i="47"/>
  <c r="K90" i="47"/>
  <c r="X90" i="47" s="1"/>
  <c r="I96" i="47"/>
  <c r="K98" i="47"/>
  <c r="X98" i="47" s="1"/>
  <c r="AT56" i="47"/>
  <c r="AA58" i="47"/>
  <c r="AM58" i="47" s="1"/>
  <c r="I87" i="47"/>
  <c r="AA41" i="47"/>
  <c r="AM41" i="47" s="1"/>
  <c r="K97" i="47"/>
  <c r="X97" i="47" s="1"/>
  <c r="I103" i="47"/>
  <c r="A26" i="47"/>
  <c r="AA27" i="47"/>
  <c r="L88" i="47" s="1"/>
  <c r="K85" i="47"/>
  <c r="X85" i="47" s="1"/>
  <c r="AR36" i="47"/>
  <c r="I91" i="47"/>
  <c r="AR44" i="47"/>
  <c r="I99" i="47"/>
  <c r="K101" i="47"/>
  <c r="X101" i="47" s="1"/>
  <c r="AR52" i="47"/>
  <c r="I110" i="47"/>
  <c r="I111" i="47"/>
  <c r="AU63" i="47"/>
  <c r="AU64" i="47"/>
  <c r="N73" i="47"/>
  <c r="Z73" i="47" s="1"/>
  <c r="AB73" i="47"/>
  <c r="AN73" i="47" s="1"/>
  <c r="K89" i="47"/>
  <c r="X89" i="47" s="1"/>
  <c r="K83" i="47"/>
  <c r="X83" i="47" s="1"/>
  <c r="L83" i="47"/>
  <c r="K112" i="47"/>
  <c r="X112" i="47" s="1"/>
  <c r="J124" i="47"/>
  <c r="J126" i="47"/>
  <c r="J120" i="47"/>
  <c r="J112" i="47"/>
  <c r="J111" i="47"/>
  <c r="J107" i="47"/>
  <c r="J103" i="47"/>
  <c r="J99" i="47"/>
  <c r="J95" i="47"/>
  <c r="J91" i="47"/>
  <c r="J87" i="47"/>
  <c r="J83" i="47"/>
  <c r="J122" i="47"/>
  <c r="J121" i="47"/>
  <c r="J114" i="47"/>
  <c r="J113" i="47"/>
  <c r="J123" i="47"/>
  <c r="J119" i="47"/>
  <c r="J106" i="47"/>
  <c r="J93" i="47"/>
  <c r="J81" i="47"/>
  <c r="J118" i="47"/>
  <c r="J115" i="47"/>
  <c r="J108" i="47"/>
  <c r="J97" i="47"/>
  <c r="J86" i="47"/>
  <c r="J82" i="47"/>
  <c r="J105" i="47"/>
  <c r="J101" i="47"/>
  <c r="J90" i="47"/>
  <c r="J84" i="47"/>
  <c r="J116" i="47"/>
  <c r="J94" i="47"/>
  <c r="J88" i="47"/>
  <c r="J104" i="47"/>
  <c r="J98" i="47"/>
  <c r="J125" i="47"/>
  <c r="J117" i="47"/>
  <c r="J92" i="47"/>
  <c r="J89" i="47"/>
  <c r="J102" i="47"/>
  <c r="J80" i="47"/>
  <c r="J110" i="47"/>
  <c r="J100" i="47"/>
  <c r="J96" i="47"/>
  <c r="J109" i="47"/>
  <c r="J85" i="47"/>
  <c r="AA33" i="47"/>
  <c r="AM33" i="47" s="1"/>
  <c r="AR40" i="47"/>
  <c r="I95" i="47"/>
  <c r="K105" i="47"/>
  <c r="X105" i="47" s="1"/>
  <c r="AA60" i="47"/>
  <c r="AM60" i="47" s="1"/>
  <c r="I82" i="47"/>
  <c r="K84" i="47"/>
  <c r="X84" i="47" s="1"/>
  <c r="AR35" i="47"/>
  <c r="I90" i="47"/>
  <c r="K92" i="47"/>
  <c r="X92" i="47" s="1"/>
  <c r="AR43" i="47"/>
  <c r="I98" i="47"/>
  <c r="K100" i="47"/>
  <c r="X100" i="47" s="1"/>
  <c r="AR51" i="47"/>
  <c r="I106" i="47"/>
  <c r="I108" i="47"/>
  <c r="K108" i="47"/>
  <c r="X108" i="47" s="1"/>
  <c r="K110" i="47"/>
  <c r="X110" i="47" s="1"/>
  <c r="AR59" i="47"/>
  <c r="I112" i="47"/>
  <c r="K113" i="47"/>
  <c r="X113" i="47" s="1"/>
  <c r="AR62" i="47"/>
  <c r="N66" i="47"/>
  <c r="Z66" i="47" s="1"/>
  <c r="AY71" i="47"/>
  <c r="AZ71" i="47" s="1"/>
  <c r="AD72" i="47"/>
  <c r="AP72" i="47" s="1"/>
  <c r="N72" i="47"/>
  <c r="Z72" i="47" s="1"/>
  <c r="K119" i="47"/>
  <c r="X119" i="47" s="1"/>
  <c r="AR68" i="47"/>
  <c r="AD69" i="47"/>
  <c r="AP69" i="47" s="1"/>
  <c r="I123" i="47"/>
  <c r="K123" i="47"/>
  <c r="X123" i="47" s="1"/>
  <c r="AR72" i="47"/>
  <c r="I109" i="47"/>
  <c r="N68" i="47"/>
  <c r="Z68" i="47" s="1"/>
  <c r="N71" i="47"/>
  <c r="Z71" i="47" s="1"/>
  <c r="AT71" i="47"/>
  <c r="I116" i="47"/>
  <c r="AY66" i="47"/>
  <c r="AZ66" i="47" s="1"/>
  <c r="AB67" i="47"/>
  <c r="AN67" i="47" s="1"/>
  <c r="I120" i="47"/>
  <c r="K120" i="47"/>
  <c r="X120" i="47" s="1"/>
  <c r="AR69" i="47"/>
  <c r="AU71" i="47"/>
  <c r="K124" i="47"/>
  <c r="X124" i="47" s="1"/>
  <c r="AR73" i="47"/>
  <c r="I126" i="47"/>
  <c r="AR75" i="47"/>
  <c r="I107" i="47"/>
  <c r="AR60" i="47"/>
  <c r="I115" i="47"/>
  <c r="AS69" i="47"/>
  <c r="AU72" i="47"/>
  <c r="K109" i="47"/>
  <c r="X109" i="47" s="1"/>
  <c r="I114" i="47"/>
  <c r="K116" i="47"/>
  <c r="X116" i="47" s="1"/>
  <c r="I118" i="47"/>
  <c r="AY67" i="47"/>
  <c r="BE135" i="47"/>
  <c r="BA135" i="47"/>
  <c r="K107" i="47"/>
  <c r="X107" i="47" s="1"/>
  <c r="AR58" i="47"/>
  <c r="I113" i="47"/>
  <c r="K115" i="47"/>
  <c r="X115" i="47" s="1"/>
  <c r="I121" i="47"/>
  <c r="K121" i="47"/>
  <c r="X121" i="47" s="1"/>
  <c r="N75" i="47"/>
  <c r="Z75" i="47" s="1"/>
  <c r="AY153" i="47"/>
  <c r="AV153" i="47"/>
  <c r="K117" i="47"/>
  <c r="X117" i="47" s="1"/>
  <c r="I124" i="47"/>
  <c r="K126" i="47"/>
  <c r="X126" i="47" s="1"/>
  <c r="AY142" i="47"/>
  <c r="AV142" i="47"/>
  <c r="AY147" i="47"/>
  <c r="AV147" i="47"/>
  <c r="K118" i="47"/>
  <c r="X118" i="47" s="1"/>
  <c r="AY164" i="47"/>
  <c r="AV164" i="47"/>
  <c r="AY181" i="47"/>
  <c r="AV181" i="47"/>
  <c r="AV137" i="47"/>
  <c r="AY139" i="47"/>
  <c r="AV139" i="47"/>
  <c r="AV148" i="47"/>
  <c r="BB148" i="47" s="1"/>
  <c r="BF148" i="47" s="1"/>
  <c r="AY150" i="47"/>
  <c r="AV150" i="47"/>
  <c r="AY156" i="47"/>
  <c r="AV156" i="47"/>
  <c r="AY157" i="47"/>
  <c r="AV157" i="47"/>
  <c r="AV175" i="47"/>
  <c r="BB175" i="47" s="1"/>
  <c r="BF175" i="47" s="1"/>
  <c r="AV167" i="47"/>
  <c r="BB167" i="47" s="1"/>
  <c r="BF167" i="47" s="1"/>
  <c r="AV169" i="47"/>
  <c r="BB169" i="47" s="1"/>
  <c r="BF169" i="47" s="1"/>
  <c r="AY172" i="47"/>
  <c r="AV172" i="47"/>
  <c r="AV159" i="47"/>
  <c r="BB159" i="47" s="1"/>
  <c r="BF159" i="47" s="1"/>
  <c r="AV179" i="47"/>
  <c r="BB179" i="47" s="1"/>
  <c r="BF179" i="47" s="1"/>
  <c r="AV178" i="47"/>
  <c r="BB178" i="47" s="1"/>
  <c r="BF178" i="47" s="1"/>
  <c r="AF194" i="47"/>
  <c r="E136" i="46"/>
  <c r="AL30" i="46"/>
  <c r="I82" i="46"/>
  <c r="AE67" i="46"/>
  <c r="AQ67" i="46" s="1"/>
  <c r="N67" i="46"/>
  <c r="Z67" i="46" s="1"/>
  <c r="AA35" i="46"/>
  <c r="AM35" i="46" s="1"/>
  <c r="AZ35" i="46" s="1"/>
  <c r="N35" i="46"/>
  <c r="Z35" i="46" s="1"/>
  <c r="AR43" i="46"/>
  <c r="K94" i="46"/>
  <c r="X94" i="46" s="1"/>
  <c r="AD50" i="46"/>
  <c r="AP50" i="46" s="1"/>
  <c r="AB61" i="46"/>
  <c r="AN61" i="46" s="1"/>
  <c r="AZ61" i="46" s="1"/>
  <c r="N61" i="46"/>
  <c r="Z61" i="46" s="1"/>
  <c r="AE59" i="46"/>
  <c r="AQ59" i="46" s="1"/>
  <c r="N59" i="46"/>
  <c r="Z59" i="46" s="1"/>
  <c r="K118" i="46"/>
  <c r="X118" i="46" s="1"/>
  <c r="AR67" i="46"/>
  <c r="AE27" i="46"/>
  <c r="L99" i="46" s="1"/>
  <c r="J113" i="46"/>
  <c r="I90" i="46"/>
  <c r="J111" i="46"/>
  <c r="I113" i="46"/>
  <c r="AD42" i="46"/>
  <c r="AP42" i="46" s="1"/>
  <c r="AZ46" i="46"/>
  <c r="AL54" i="46"/>
  <c r="AL71" i="46"/>
  <c r="AA75" i="46"/>
  <c r="AM75" i="46" s="1"/>
  <c r="N75" i="46"/>
  <c r="Z75" i="46" s="1"/>
  <c r="L90" i="46"/>
  <c r="K90" i="46"/>
  <c r="X90" i="46" s="1"/>
  <c r="AR39" i="46"/>
  <c r="AB53" i="46"/>
  <c r="AN53" i="46" s="1"/>
  <c r="AZ53" i="46" s="1"/>
  <c r="N53" i="46"/>
  <c r="Z53" i="46" s="1"/>
  <c r="I96" i="46"/>
  <c r="AE43" i="46"/>
  <c r="AQ43" i="46" s="1"/>
  <c r="N43" i="46"/>
  <c r="Z43" i="46" s="1"/>
  <c r="AD58" i="46"/>
  <c r="I80" i="46"/>
  <c r="I86" i="46"/>
  <c r="AZ45" i="46"/>
  <c r="AZ54" i="46"/>
  <c r="N31" i="46"/>
  <c r="Z31" i="46" s="1"/>
  <c r="AC31" i="46"/>
  <c r="AO31" i="46" s="1"/>
  <c r="AZ34" i="46"/>
  <c r="AZ37" i="46"/>
  <c r="K102" i="46"/>
  <c r="X102" i="46" s="1"/>
  <c r="AR51" i="46"/>
  <c r="AD66" i="46"/>
  <c r="AP66" i="46" s="1"/>
  <c r="AB69" i="46"/>
  <c r="AN69" i="46" s="1"/>
  <c r="N69" i="46"/>
  <c r="Z69" i="46" s="1"/>
  <c r="AZ73" i="46"/>
  <c r="J98" i="46"/>
  <c r="N29" i="46"/>
  <c r="Z29" i="46" s="1"/>
  <c r="AA29" i="46"/>
  <c r="AM29" i="46" s="1"/>
  <c r="N33" i="46"/>
  <c r="Z33" i="46" s="1"/>
  <c r="AE33" i="46"/>
  <c r="AQ33" i="46" s="1"/>
  <c r="AZ33" i="46" s="1"/>
  <c r="I87" i="46"/>
  <c r="AE51" i="46"/>
  <c r="AQ51" i="46" s="1"/>
  <c r="N51" i="46"/>
  <c r="Z51" i="46" s="1"/>
  <c r="K110" i="46"/>
  <c r="X110" i="46" s="1"/>
  <c r="L110" i="46"/>
  <c r="AR59" i="46"/>
  <c r="I110" i="46"/>
  <c r="I118" i="46"/>
  <c r="AR42" i="46"/>
  <c r="L104" i="46"/>
  <c r="K104" i="46"/>
  <c r="X104" i="46" s="1"/>
  <c r="I117" i="46"/>
  <c r="L89" i="46"/>
  <c r="K89" i="46"/>
  <c r="X89" i="46" s="1"/>
  <c r="AS50" i="46"/>
  <c r="I81" i="46"/>
  <c r="B85" i="46"/>
  <c r="I91" i="46"/>
  <c r="L115" i="46"/>
  <c r="M117" i="46"/>
  <c r="M113" i="46"/>
  <c r="M109" i="46"/>
  <c r="M105" i="46"/>
  <c r="M101" i="46"/>
  <c r="M97" i="46"/>
  <c r="D120" i="46"/>
  <c r="D116" i="46"/>
  <c r="M124" i="46"/>
  <c r="M116" i="46"/>
  <c r="D115" i="46"/>
  <c r="D104" i="46"/>
  <c r="D96" i="46"/>
  <c r="M87" i="46"/>
  <c r="M83" i="46"/>
  <c r="D81" i="46"/>
  <c r="D126" i="46"/>
  <c r="D125" i="46"/>
  <c r="M119" i="46"/>
  <c r="D114" i="46"/>
  <c r="D111" i="46"/>
  <c r="D105" i="46"/>
  <c r="M103" i="46"/>
  <c r="D97" i="46"/>
  <c r="M95" i="46"/>
  <c r="D94" i="46"/>
  <c r="D90" i="46"/>
  <c r="D86" i="46"/>
  <c r="D82" i="46"/>
  <c r="M81" i="46"/>
  <c r="D123" i="46"/>
  <c r="D113" i="46"/>
  <c r="D106" i="46"/>
  <c r="D98" i="46"/>
  <c r="M96" i="46"/>
  <c r="M90" i="46"/>
  <c r="M82" i="46"/>
  <c r="D122" i="46"/>
  <c r="D107" i="46"/>
  <c r="D99" i="46"/>
  <c r="D93" i="46"/>
  <c r="D89" i="46"/>
  <c r="D121" i="46"/>
  <c r="M111" i="46"/>
  <c r="D108" i="46"/>
  <c r="M106" i="46"/>
  <c r="D100" i="46"/>
  <c r="M123" i="46"/>
  <c r="M122" i="46"/>
  <c r="D103" i="46"/>
  <c r="M100" i="46"/>
  <c r="D87" i="46"/>
  <c r="D102" i="46"/>
  <c r="D101" i="46"/>
  <c r="M92" i="46"/>
  <c r="M89" i="46"/>
  <c r="M85" i="46"/>
  <c r="D117" i="46"/>
  <c r="M98" i="46"/>
  <c r="D91" i="46"/>
  <c r="D88" i="46"/>
  <c r="D118" i="46"/>
  <c r="M93" i="46"/>
  <c r="Y93" i="46" s="1"/>
  <c r="AC29" i="46"/>
  <c r="AO29" i="46" s="1"/>
  <c r="N32" i="46"/>
  <c r="Z32" i="46" s="1"/>
  <c r="L83" i="46"/>
  <c r="K83" i="46"/>
  <c r="X83" i="46" s="1"/>
  <c r="N36" i="46"/>
  <c r="Z36" i="46" s="1"/>
  <c r="N38" i="46"/>
  <c r="Z38" i="46" s="1"/>
  <c r="AR38" i="46"/>
  <c r="I106" i="46"/>
  <c r="N64" i="46"/>
  <c r="Z64" i="46" s="1"/>
  <c r="I121" i="46"/>
  <c r="AR70" i="46"/>
  <c r="AT71" i="46"/>
  <c r="AC72" i="46"/>
  <c r="AO72" i="46" s="1"/>
  <c r="AZ72" i="46" s="1"/>
  <c r="I124" i="46"/>
  <c r="AS73" i="46"/>
  <c r="N74" i="46"/>
  <c r="Z74" i="46" s="1"/>
  <c r="J81" i="46"/>
  <c r="J82" i="46"/>
  <c r="D84" i="46"/>
  <c r="J89" i="46"/>
  <c r="J90" i="46"/>
  <c r="I98" i="46"/>
  <c r="D110" i="46"/>
  <c r="B120" i="46"/>
  <c r="AF191" i="46"/>
  <c r="AC191" i="46"/>
  <c r="Y191" i="46"/>
  <c r="BA132" i="46"/>
  <c r="AX132" i="46"/>
  <c r="AT132" i="46"/>
  <c r="I94" i="46"/>
  <c r="I97" i="46"/>
  <c r="I105" i="46"/>
  <c r="AU37" i="46"/>
  <c r="I93" i="46"/>
  <c r="L96" i="46"/>
  <c r="I109" i="46"/>
  <c r="L112" i="46"/>
  <c r="K112" i="46"/>
  <c r="X112" i="46" s="1"/>
  <c r="AX71" i="46"/>
  <c r="I125" i="46"/>
  <c r="B98" i="46"/>
  <c r="L124" i="46"/>
  <c r="K124" i="46"/>
  <c r="X124" i="46" s="1"/>
  <c r="AR73" i="46"/>
  <c r="M108" i="46"/>
  <c r="AL34" i="46"/>
  <c r="N40" i="46"/>
  <c r="Z40" i="46" s="1"/>
  <c r="N41" i="46"/>
  <c r="Z41" i="46" s="1"/>
  <c r="L95" i="46"/>
  <c r="K95" i="46"/>
  <c r="X95" i="46" s="1"/>
  <c r="AR44" i="46"/>
  <c r="I100" i="46"/>
  <c r="L103" i="46"/>
  <c r="K103" i="46"/>
  <c r="X103" i="46" s="1"/>
  <c r="AR52" i="46"/>
  <c r="I108" i="46"/>
  <c r="I116" i="46"/>
  <c r="L119" i="46"/>
  <c r="K119" i="46"/>
  <c r="X119" i="46" s="1"/>
  <c r="AR68" i="46"/>
  <c r="AS70" i="46"/>
  <c r="I126" i="46"/>
  <c r="K82" i="46"/>
  <c r="X82" i="46" s="1"/>
  <c r="D85" i="46"/>
  <c r="M88" i="46"/>
  <c r="I104" i="46"/>
  <c r="D112" i="46"/>
  <c r="AY174" i="46"/>
  <c r="AV174" i="46"/>
  <c r="I84" i="46"/>
  <c r="AR34" i="46"/>
  <c r="L85" i="46"/>
  <c r="K85" i="46"/>
  <c r="X85" i="46" s="1"/>
  <c r="I92" i="46"/>
  <c r="AR41" i="46"/>
  <c r="L120" i="46"/>
  <c r="K120" i="46"/>
  <c r="X120" i="46" s="1"/>
  <c r="B126" i="46"/>
  <c r="B125" i="46"/>
  <c r="B121" i="46"/>
  <c r="B117" i="46"/>
  <c r="B113" i="46"/>
  <c r="B118" i="46"/>
  <c r="B110" i="46"/>
  <c r="B102" i="46"/>
  <c r="B116" i="46"/>
  <c r="B103" i="46"/>
  <c r="B95" i="46"/>
  <c r="B91" i="46"/>
  <c r="B87" i="46"/>
  <c r="B83" i="46"/>
  <c r="B115" i="46"/>
  <c r="B104" i="46"/>
  <c r="B96" i="46"/>
  <c r="B81" i="46"/>
  <c r="B124" i="46"/>
  <c r="B114" i="46"/>
  <c r="B111" i="46"/>
  <c r="B105" i="46"/>
  <c r="B97" i="46"/>
  <c r="B94" i="46"/>
  <c r="B90" i="46"/>
  <c r="B86" i="46"/>
  <c r="B123" i="46"/>
  <c r="B106" i="46"/>
  <c r="B112" i="46"/>
  <c r="B93" i="46"/>
  <c r="B84" i="46"/>
  <c r="B109" i="46"/>
  <c r="B108" i="46"/>
  <c r="B82" i="46"/>
  <c r="B122" i="46"/>
  <c r="B107" i="46"/>
  <c r="B101" i="46"/>
  <c r="B100" i="46"/>
  <c r="I101" i="46"/>
  <c r="AY139" i="46"/>
  <c r="AV139" i="46"/>
  <c r="K84" i="46"/>
  <c r="X84" i="46" s="1"/>
  <c r="L84" i="46"/>
  <c r="L87" i="46"/>
  <c r="K87" i="46"/>
  <c r="X87" i="46" s="1"/>
  <c r="AC49" i="46"/>
  <c r="AO49" i="46" s="1"/>
  <c r="B88" i="46"/>
  <c r="L111" i="46"/>
  <c r="N7" i="46"/>
  <c r="J122" i="46"/>
  <c r="J118" i="46"/>
  <c r="J114" i="46"/>
  <c r="J126" i="46"/>
  <c r="J121" i="46"/>
  <c r="J107" i="46"/>
  <c r="J99" i="46"/>
  <c r="J123" i="46"/>
  <c r="J109" i="46"/>
  <c r="J108" i="46"/>
  <c r="J101" i="46"/>
  <c r="J100" i="46"/>
  <c r="J92" i="46"/>
  <c r="J88" i="46"/>
  <c r="J84" i="46"/>
  <c r="J120" i="46"/>
  <c r="J112" i="46"/>
  <c r="J110" i="46"/>
  <c r="J102" i="46"/>
  <c r="J117" i="46"/>
  <c r="J91" i="46"/>
  <c r="J87" i="46"/>
  <c r="J119" i="46"/>
  <c r="J103" i="46"/>
  <c r="J115" i="46"/>
  <c r="J97" i="46"/>
  <c r="J125" i="46"/>
  <c r="J106" i="46"/>
  <c r="J95" i="46"/>
  <c r="J124" i="46"/>
  <c r="J105" i="46"/>
  <c r="J86" i="46"/>
  <c r="J83" i="46"/>
  <c r="J80" i="46"/>
  <c r="L81" i="46"/>
  <c r="K81" i="46"/>
  <c r="X81" i="46" s="1"/>
  <c r="AR32" i="46"/>
  <c r="L86" i="46"/>
  <c r="K86" i="46"/>
  <c r="X86" i="46" s="1"/>
  <c r="I88" i="46"/>
  <c r="AS44" i="46"/>
  <c r="N45" i="46"/>
  <c r="Z45" i="46" s="1"/>
  <c r="AU47" i="46"/>
  <c r="AY47" i="46"/>
  <c r="AZ47" i="46" s="1"/>
  <c r="AS52" i="46"/>
  <c r="AY55" i="46"/>
  <c r="AZ55" i="46" s="1"/>
  <c r="AS60" i="46"/>
  <c r="AY63" i="46"/>
  <c r="AZ63" i="46" s="1"/>
  <c r="AB64" i="46"/>
  <c r="AN64" i="46" s="1"/>
  <c r="AS68" i="46"/>
  <c r="AR69" i="46"/>
  <c r="AU75" i="46"/>
  <c r="J85" i="46"/>
  <c r="O85" i="46" s="1"/>
  <c r="J104" i="46"/>
  <c r="M107" i="46"/>
  <c r="L114" i="46"/>
  <c r="I102" i="46"/>
  <c r="A26" i="46"/>
  <c r="K122" i="46"/>
  <c r="X122" i="46" s="1"/>
  <c r="L122" i="46"/>
  <c r="D92" i="46"/>
  <c r="AS42" i="46"/>
  <c r="AC57" i="46"/>
  <c r="AO57" i="46" s="1"/>
  <c r="AZ57" i="46" s="1"/>
  <c r="AS58" i="46"/>
  <c r="AC65" i="46"/>
  <c r="AO65" i="46" s="1"/>
  <c r="AZ65" i="46" s="1"/>
  <c r="AS66" i="46"/>
  <c r="D83" i="46"/>
  <c r="D119" i="46"/>
  <c r="O7" i="46"/>
  <c r="K80" i="46"/>
  <c r="X80" i="46" s="1"/>
  <c r="AR31" i="46"/>
  <c r="K88" i="46"/>
  <c r="X88" i="46" s="1"/>
  <c r="L88" i="46"/>
  <c r="AA40" i="46"/>
  <c r="AM40" i="46" s="1"/>
  <c r="AY40" i="46"/>
  <c r="AY41" i="46"/>
  <c r="AZ41" i="46" s="1"/>
  <c r="I95" i="46"/>
  <c r="AT44" i="46"/>
  <c r="L97" i="46"/>
  <c r="N47" i="46"/>
  <c r="Z47" i="46" s="1"/>
  <c r="I103" i="46"/>
  <c r="AT52" i="46"/>
  <c r="L105" i="46"/>
  <c r="K105" i="46"/>
  <c r="X105" i="46" s="1"/>
  <c r="N55" i="46"/>
  <c r="Z55" i="46" s="1"/>
  <c r="I111" i="46"/>
  <c r="AT60" i="46"/>
  <c r="L113" i="46"/>
  <c r="K113" i="46"/>
  <c r="X113" i="46" s="1"/>
  <c r="N63" i="46"/>
  <c r="Z63" i="46" s="1"/>
  <c r="AX65" i="46"/>
  <c r="I119" i="46"/>
  <c r="AT68" i="46"/>
  <c r="D95" i="46"/>
  <c r="J96" i="46"/>
  <c r="D109" i="46"/>
  <c r="M114" i="46"/>
  <c r="J116" i="46"/>
  <c r="I99" i="46"/>
  <c r="I107" i="46"/>
  <c r="I115" i="46"/>
  <c r="K117" i="46"/>
  <c r="X117" i="46" s="1"/>
  <c r="AY70" i="46"/>
  <c r="I123" i="46"/>
  <c r="L98" i="46"/>
  <c r="I114" i="46"/>
  <c r="K116" i="46"/>
  <c r="X116" i="46" s="1"/>
  <c r="N70" i="46"/>
  <c r="Z70" i="46" s="1"/>
  <c r="K123" i="46"/>
  <c r="X123" i="46" s="1"/>
  <c r="AR72" i="46"/>
  <c r="L92" i="46"/>
  <c r="K99" i="46"/>
  <c r="X99" i="46" s="1"/>
  <c r="I89" i="46"/>
  <c r="L91" i="46"/>
  <c r="K91" i="46"/>
  <c r="X91" i="46" s="1"/>
  <c r="AR50" i="46"/>
  <c r="AR58" i="46"/>
  <c r="AR66" i="46"/>
  <c r="AY150" i="46"/>
  <c r="AV150" i="46"/>
  <c r="AR49" i="46"/>
  <c r="AR57" i="46"/>
  <c r="I112" i="46"/>
  <c r="AR65" i="46"/>
  <c r="I120" i="46"/>
  <c r="AA70" i="46"/>
  <c r="AM70" i="46" s="1"/>
  <c r="I122" i="46"/>
  <c r="L125" i="46"/>
  <c r="K125" i="46"/>
  <c r="X125" i="46" s="1"/>
  <c r="AR74" i="46"/>
  <c r="L126" i="46"/>
  <c r="K126" i="46"/>
  <c r="X126" i="46" s="1"/>
  <c r="AR75" i="46"/>
  <c r="L106" i="46"/>
  <c r="AY161" i="46"/>
  <c r="AV161" i="46"/>
  <c r="AY142" i="46"/>
  <c r="AV142" i="46"/>
  <c r="AY158" i="46"/>
  <c r="AV158" i="46"/>
  <c r="BB158" i="46" s="1"/>
  <c r="BF158" i="46" s="1"/>
  <c r="AY166" i="46"/>
  <c r="AV166" i="46"/>
  <c r="BB148" i="46"/>
  <c r="BF148" i="46" s="1"/>
  <c r="BB141" i="46"/>
  <c r="BF141" i="46" s="1"/>
  <c r="AY146" i="46"/>
  <c r="AV146" i="46"/>
  <c r="L121" i="46"/>
  <c r="K121" i="46"/>
  <c r="X121" i="46" s="1"/>
  <c r="AY138" i="46"/>
  <c r="AV138" i="46"/>
  <c r="AV155" i="46"/>
  <c r="BB155" i="46" s="1"/>
  <c r="BF155" i="46" s="1"/>
  <c r="AV157" i="46"/>
  <c r="BB157" i="46" s="1"/>
  <c r="BF157" i="46" s="1"/>
  <c r="AY154" i="46"/>
  <c r="AV154" i="46"/>
  <c r="AV151" i="46"/>
  <c r="BB151" i="46" s="1"/>
  <c r="BF151" i="46" s="1"/>
  <c r="AY169" i="46"/>
  <c r="AV169" i="46"/>
  <c r="AJ194" i="46"/>
  <c r="AF194" i="46"/>
  <c r="AY165" i="46"/>
  <c r="AV165" i="46"/>
  <c r="AY173" i="46"/>
  <c r="AV173" i="46"/>
  <c r="AV181" i="46"/>
  <c r="BB181" i="46" s="1"/>
  <c r="BF181" i="46" s="1"/>
  <c r="AV142" i="45"/>
  <c r="BB142" i="45" s="1"/>
  <c r="BF142" i="45" s="1"/>
  <c r="AT38" i="45"/>
  <c r="AU74" i="45"/>
  <c r="AV163" i="45"/>
  <c r="BB163" i="45" s="1"/>
  <c r="BF163" i="45" s="1"/>
  <c r="AT54" i="45"/>
  <c r="AR45" i="45"/>
  <c r="AT47" i="45"/>
  <c r="AT56" i="45"/>
  <c r="BB135" i="45"/>
  <c r="BF135" i="45" s="1"/>
  <c r="AS62" i="45"/>
  <c r="AT63" i="45"/>
  <c r="AU64" i="45"/>
  <c r="AU33" i="45"/>
  <c r="AR53" i="45"/>
  <c r="AU70" i="45"/>
  <c r="AU65" i="45"/>
  <c r="X81" i="45"/>
  <c r="Z81" i="45" s="1"/>
  <c r="AU50" i="45"/>
  <c r="AS59" i="45"/>
  <c r="AV164" i="45"/>
  <c r="BB164" i="45" s="1"/>
  <c r="BF164" i="45" s="1"/>
  <c r="AR38" i="45"/>
  <c r="AS39" i="45"/>
  <c r="AU41" i="45"/>
  <c r="AU73" i="45"/>
  <c r="AR74" i="45"/>
  <c r="AU31" i="45"/>
  <c r="AT34" i="45"/>
  <c r="AS65" i="45"/>
  <c r="AT67" i="45"/>
  <c r="AT29" i="45"/>
  <c r="AS32" i="45"/>
  <c r="X101" i="45"/>
  <c r="AR72" i="45"/>
  <c r="AU75" i="45"/>
  <c r="AS68" i="45"/>
  <c r="X115" i="45"/>
  <c r="AS30" i="45"/>
  <c r="AU32" i="45"/>
  <c r="AS52" i="45"/>
  <c r="AR73" i="45"/>
  <c r="AT30" i="45"/>
  <c r="AS55" i="45"/>
  <c r="AU61" i="45"/>
  <c r="AU47" i="45"/>
  <c r="AT33" i="45"/>
  <c r="AT72" i="45"/>
  <c r="AV138" i="45"/>
  <c r="BB138" i="45" s="1"/>
  <c r="BF138" i="45" s="1"/>
  <c r="X90" i="45"/>
  <c r="AT41" i="45"/>
  <c r="N42" i="45"/>
  <c r="Z42" i="45" s="1"/>
  <c r="AL42" i="45" s="1"/>
  <c r="AX42" i="45" s="1"/>
  <c r="AY60" i="45"/>
  <c r="AZ60" i="45" s="1"/>
  <c r="N62" i="45"/>
  <c r="Z62" i="45" s="1"/>
  <c r="AL62" i="45" s="1"/>
  <c r="AX62" i="45" s="1"/>
  <c r="AS66" i="45"/>
  <c r="AS53" i="45"/>
  <c r="AR62" i="45"/>
  <c r="AT71" i="45"/>
  <c r="AS38" i="45"/>
  <c r="AT39" i="45"/>
  <c r="AR44" i="45"/>
  <c r="AT64" i="45"/>
  <c r="AT75" i="45"/>
  <c r="AV150" i="45"/>
  <c r="BB150" i="45" s="1"/>
  <c r="BF150" i="45" s="1"/>
  <c r="AR30" i="45"/>
  <c r="AR36" i="45"/>
  <c r="AU39" i="45"/>
  <c r="AU46" i="45"/>
  <c r="AU53" i="45"/>
  <c r="AR54" i="45"/>
  <c r="AS56" i="45"/>
  <c r="AS61" i="45"/>
  <c r="AS67" i="45"/>
  <c r="AT73" i="45"/>
  <c r="AT37" i="45"/>
  <c r="AY43" i="45"/>
  <c r="AZ43" i="45" s="1"/>
  <c r="AR46" i="45"/>
  <c r="AS47" i="45"/>
  <c r="AT49" i="45"/>
  <c r="AR70" i="45"/>
  <c r="N73" i="45"/>
  <c r="Z73" i="45" s="1"/>
  <c r="AL73" i="45" s="1"/>
  <c r="AX73" i="45" s="1"/>
  <c r="BA135" i="45"/>
  <c r="AV172" i="45"/>
  <c r="BB172" i="45" s="1"/>
  <c r="BF172" i="45" s="1"/>
  <c r="AV174" i="45"/>
  <c r="BB174" i="45" s="1"/>
  <c r="BF174" i="45" s="1"/>
  <c r="AU37" i="45"/>
  <c r="AT40" i="45"/>
  <c r="AU49" i="45"/>
  <c r="AU57" i="45"/>
  <c r="AS63" i="45"/>
  <c r="AT65" i="45"/>
  <c r="AU72" i="45"/>
  <c r="AS75" i="45"/>
  <c r="AV139" i="45"/>
  <c r="BB139" i="45" s="1"/>
  <c r="BF139" i="45" s="1"/>
  <c r="AT32" i="45"/>
  <c r="AS46" i="45"/>
  <c r="AT48" i="45"/>
  <c r="AT50" i="45"/>
  <c r="N51" i="45"/>
  <c r="Z51" i="45" s="1"/>
  <c r="AL51" i="45" s="1"/>
  <c r="AR52" i="45"/>
  <c r="AT55" i="45"/>
  <c r="AT59" i="45"/>
  <c r="AR61" i="45"/>
  <c r="AY69" i="45"/>
  <c r="AS70" i="45"/>
  <c r="X124" i="45"/>
  <c r="AV155" i="45"/>
  <c r="BB155" i="45" s="1"/>
  <c r="BF155" i="45" s="1"/>
  <c r="AV178" i="45"/>
  <c r="BB178" i="45" s="1"/>
  <c r="BF178" i="45" s="1"/>
  <c r="AV180" i="45"/>
  <c r="BB180" i="45" s="1"/>
  <c r="BF180" i="45" s="1"/>
  <c r="AU59" i="45"/>
  <c r="AS64" i="45"/>
  <c r="AT70" i="45"/>
  <c r="AR29" i="45"/>
  <c r="AU40" i="45"/>
  <c r="AY44" i="45"/>
  <c r="AZ44" i="45" s="1"/>
  <c r="AT45" i="45"/>
  <c r="N50" i="45"/>
  <c r="Z50" i="45" s="1"/>
  <c r="AL50" i="45" s="1"/>
  <c r="AS60" i="45"/>
  <c r="AY67" i="45"/>
  <c r="AZ67" i="45" s="1"/>
  <c r="AT68" i="45"/>
  <c r="AS72" i="45"/>
  <c r="AS74" i="45"/>
  <c r="AS29" i="45"/>
  <c r="AS31" i="45"/>
  <c r="AU38" i="45"/>
  <c r="I91" i="45"/>
  <c r="AU45" i="45"/>
  <c r="AY51" i="45"/>
  <c r="AZ51" i="45" s="1"/>
  <c r="X104" i="45"/>
  <c r="AS54" i="45"/>
  <c r="AY59" i="45"/>
  <c r="AZ59" i="45" s="1"/>
  <c r="AU68" i="45"/>
  <c r="AR69" i="45"/>
  <c r="AS71" i="45"/>
  <c r="AT31" i="45"/>
  <c r="AY35" i="45"/>
  <c r="AZ35" i="45" s="1"/>
  <c r="AR37" i="45"/>
  <c r="AT42" i="45"/>
  <c r="N74" i="45"/>
  <c r="Z74" i="45" s="1"/>
  <c r="AL74" i="45" s="1"/>
  <c r="AX74" i="45" s="1"/>
  <c r="AV175" i="45"/>
  <c r="BB175" i="45" s="1"/>
  <c r="BF175" i="45" s="1"/>
  <c r="AV177" i="45"/>
  <c r="BB177" i="45" s="1"/>
  <c r="BF177" i="45" s="1"/>
  <c r="AS33" i="45"/>
  <c r="AY41" i="45"/>
  <c r="AZ41" i="45" s="1"/>
  <c r="AY42" i="45"/>
  <c r="AZ42" i="45" s="1"/>
  <c r="AU29" i="45"/>
  <c r="N33" i="45"/>
  <c r="Z33" i="45" s="1"/>
  <c r="AL33" i="45" s="1"/>
  <c r="AU42" i="45"/>
  <c r="N43" i="45"/>
  <c r="Z43" i="45" s="1"/>
  <c r="AL43" i="45" s="1"/>
  <c r="AS44" i="45"/>
  <c r="AS45" i="45"/>
  <c r="AU48" i="45"/>
  <c r="AY52" i="45"/>
  <c r="AZ52" i="45" s="1"/>
  <c r="AT53" i="45"/>
  <c r="AU56" i="45"/>
  <c r="AR60" i="45"/>
  <c r="AY62" i="45"/>
  <c r="AY68" i="45"/>
  <c r="AU71" i="45"/>
  <c r="AS73" i="45"/>
  <c r="AG200" i="45"/>
  <c r="AK200" i="45" s="1"/>
  <c r="N7" i="45"/>
  <c r="I83" i="45"/>
  <c r="AY32" i="45"/>
  <c r="I84" i="45"/>
  <c r="AY34" i="45"/>
  <c r="AZ34" i="45" s="1"/>
  <c r="AV148" i="45"/>
  <c r="BB148" i="45" s="1"/>
  <c r="BF148" i="45" s="1"/>
  <c r="AU30" i="45"/>
  <c r="I85" i="45"/>
  <c r="N35" i="45"/>
  <c r="Z35" i="45" s="1"/>
  <c r="AL35" i="45" s="1"/>
  <c r="AY36" i="45"/>
  <c r="AZ36" i="45" s="1"/>
  <c r="AS37" i="45"/>
  <c r="K88" i="45"/>
  <c r="X88" i="45" s="1"/>
  <c r="X126" i="45"/>
  <c r="AV156" i="45"/>
  <c r="BB156" i="45" s="1"/>
  <c r="BF156" i="45" s="1"/>
  <c r="AU34" i="45"/>
  <c r="AA62" i="45"/>
  <c r="AM62" i="45" s="1"/>
  <c r="AY63" i="45"/>
  <c r="AY64" i="45"/>
  <c r="I116" i="45"/>
  <c r="AA74" i="45"/>
  <c r="AM74" i="45" s="1"/>
  <c r="N34" i="45"/>
  <c r="Z34" i="45" s="1"/>
  <c r="AL34" i="45" s="1"/>
  <c r="AY46" i="45"/>
  <c r="AZ46" i="45" s="1"/>
  <c r="AT52" i="45"/>
  <c r="AY55" i="45"/>
  <c r="N57" i="45"/>
  <c r="Z57" i="45" s="1"/>
  <c r="AL57" i="45" s="1"/>
  <c r="AX57" i="45" s="1"/>
  <c r="N61" i="45"/>
  <c r="Z61" i="45" s="1"/>
  <c r="AL61" i="45" s="1"/>
  <c r="AX61" i="45" s="1"/>
  <c r="AY65" i="45"/>
  <c r="I117" i="45"/>
  <c r="AT66" i="45"/>
  <c r="AU67" i="45"/>
  <c r="AS69" i="45"/>
  <c r="AY74" i="45"/>
  <c r="AV141" i="45"/>
  <c r="BB141" i="45" s="1"/>
  <c r="BF141" i="45" s="1"/>
  <c r="AV146" i="45"/>
  <c r="BB146" i="45" s="1"/>
  <c r="BF146" i="45" s="1"/>
  <c r="AF194" i="45"/>
  <c r="AS36" i="45"/>
  <c r="J89" i="45"/>
  <c r="AS43" i="45"/>
  <c r="N45" i="45"/>
  <c r="Z45" i="45" s="1"/>
  <c r="AL45" i="45" s="1"/>
  <c r="AX45" i="45" s="1"/>
  <c r="N48" i="45"/>
  <c r="Z48" i="45" s="1"/>
  <c r="AL48" i="45" s="1"/>
  <c r="AX48" i="45" s="1"/>
  <c r="AU52" i="45"/>
  <c r="AY53" i="45"/>
  <c r="AZ53" i="45" s="1"/>
  <c r="I107" i="45"/>
  <c r="AY57" i="45"/>
  <c r="AZ57" i="45" s="1"/>
  <c r="I109" i="45"/>
  <c r="AT58" i="45"/>
  <c r="AY58" i="45"/>
  <c r="AZ58" i="45" s="1"/>
  <c r="N60" i="45"/>
  <c r="Z60" i="45" s="1"/>
  <c r="AL60" i="45" s="1"/>
  <c r="AX60" i="45" s="1"/>
  <c r="AY61" i="45"/>
  <c r="AU66" i="45"/>
  <c r="AY66" i="45"/>
  <c r="AZ66" i="45" s="1"/>
  <c r="N68" i="45"/>
  <c r="Z68" i="45" s="1"/>
  <c r="AL68" i="45" s="1"/>
  <c r="AX68" i="45" s="1"/>
  <c r="AT69" i="45"/>
  <c r="AY73" i="45"/>
  <c r="BE135" i="45"/>
  <c r="AV162" i="45"/>
  <c r="BB162" i="45" s="1"/>
  <c r="BF162" i="45" s="1"/>
  <c r="AV170" i="45"/>
  <c r="BB170" i="45" s="1"/>
  <c r="BF170" i="45" s="1"/>
  <c r="I93" i="45"/>
  <c r="AY30" i="45"/>
  <c r="AZ30" i="45" s="1"/>
  <c r="AT36" i="45"/>
  <c r="AT43" i="45"/>
  <c r="AY45" i="45"/>
  <c r="AS48" i="45"/>
  <c r="N49" i="45"/>
  <c r="Z49" i="45" s="1"/>
  <c r="AL49" i="45" s="1"/>
  <c r="AT57" i="45"/>
  <c r="AU58" i="45"/>
  <c r="N59" i="45"/>
  <c r="Z59" i="45" s="1"/>
  <c r="AL59" i="45" s="1"/>
  <c r="AT62" i="45"/>
  <c r="AU63" i="45"/>
  <c r="N66" i="45"/>
  <c r="Z66" i="45" s="1"/>
  <c r="AL66" i="45" s="1"/>
  <c r="AX66" i="45" s="1"/>
  <c r="N67" i="45"/>
  <c r="Z67" i="45" s="1"/>
  <c r="AL67" i="45" s="1"/>
  <c r="AU69" i="45"/>
  <c r="AT74" i="45"/>
  <c r="AV140" i="45"/>
  <c r="BB140" i="45" s="1"/>
  <c r="BF140" i="45" s="1"/>
  <c r="AV143" i="45"/>
  <c r="BB143" i="45" s="1"/>
  <c r="BF143" i="45" s="1"/>
  <c r="AV151" i="45"/>
  <c r="BB151" i="45" s="1"/>
  <c r="BF151" i="45" s="1"/>
  <c r="AV161" i="45"/>
  <c r="BB161" i="45" s="1"/>
  <c r="BF161" i="45" s="1"/>
  <c r="AV167" i="45"/>
  <c r="BB167" i="45" s="1"/>
  <c r="BF167" i="45" s="1"/>
  <c r="J120" i="45"/>
  <c r="N29" i="45"/>
  <c r="Z29" i="45" s="1"/>
  <c r="AL29" i="45" s="1"/>
  <c r="AX29" i="45" s="1"/>
  <c r="N32" i="45"/>
  <c r="Z32" i="45" s="1"/>
  <c r="AL32" i="45" s="1"/>
  <c r="AX32" i="45" s="1"/>
  <c r="AE33" i="45"/>
  <c r="AQ33" i="45" s="1"/>
  <c r="AU36" i="45"/>
  <c r="AY37" i="45"/>
  <c r="AZ37" i="45" s="1"/>
  <c r="AY39" i="45"/>
  <c r="AZ39" i="45" s="1"/>
  <c r="AS40" i="45"/>
  <c r="N41" i="45"/>
  <c r="Z41" i="45" s="1"/>
  <c r="AL41" i="45" s="1"/>
  <c r="AU43" i="45"/>
  <c r="N44" i="45"/>
  <c r="Z44" i="45" s="1"/>
  <c r="AL44" i="45" s="1"/>
  <c r="AT46" i="45"/>
  <c r="AY48" i="45"/>
  <c r="I100" i="45"/>
  <c r="AS49" i="45"/>
  <c r="AY50" i="45"/>
  <c r="AZ50" i="45" s="1"/>
  <c r="AU54" i="45"/>
  <c r="AU55" i="45"/>
  <c r="N58" i="45"/>
  <c r="Z58" i="45" s="1"/>
  <c r="AL58" i="45" s="1"/>
  <c r="AT61" i="45"/>
  <c r="AU62" i="45"/>
  <c r="AY72" i="45"/>
  <c r="AV153" i="45"/>
  <c r="BB153" i="45" s="1"/>
  <c r="BF153" i="45" s="1"/>
  <c r="AV169" i="45"/>
  <c r="BB169" i="45" s="1"/>
  <c r="BF169" i="45" s="1"/>
  <c r="AV176" i="45"/>
  <c r="BB176" i="45" s="1"/>
  <c r="BF176" i="45" s="1"/>
  <c r="AV179" i="45"/>
  <c r="BB179" i="45" s="1"/>
  <c r="BF179" i="45" s="1"/>
  <c r="AV181" i="45"/>
  <c r="BB181" i="45" s="1"/>
  <c r="BF181" i="45" s="1"/>
  <c r="I89" i="45"/>
  <c r="N30" i="45"/>
  <c r="Z30" i="45" s="1"/>
  <c r="AD32" i="45"/>
  <c r="AP32" i="45" s="1"/>
  <c r="AS34" i="45"/>
  <c r="I88" i="45"/>
  <c r="N39" i="45"/>
  <c r="Z39" i="45" s="1"/>
  <c r="I90" i="45"/>
  <c r="K95" i="45"/>
  <c r="X95" i="45" s="1"/>
  <c r="N46" i="45"/>
  <c r="Z46" i="45" s="1"/>
  <c r="AD48" i="45"/>
  <c r="AP48" i="45" s="1"/>
  <c r="AS50" i="45"/>
  <c r="I106" i="45"/>
  <c r="N55" i="45"/>
  <c r="Z55" i="45" s="1"/>
  <c r="K111" i="45"/>
  <c r="X111" i="45" s="1"/>
  <c r="N75" i="45"/>
  <c r="Z75" i="45" s="1"/>
  <c r="AC75" i="45"/>
  <c r="AO75" i="45" s="1"/>
  <c r="K94" i="45"/>
  <c r="X94" i="45" s="1"/>
  <c r="AR43" i="45"/>
  <c r="AF191" i="45"/>
  <c r="AC191" i="45"/>
  <c r="AX132" i="45"/>
  <c r="AT132" i="45"/>
  <c r="BA132" i="45"/>
  <c r="Y191" i="45"/>
  <c r="AE27" i="45"/>
  <c r="L104" i="45" s="1"/>
  <c r="J126" i="45"/>
  <c r="AA29" i="45"/>
  <c r="AM29" i="45" s="1"/>
  <c r="AY31" i="45"/>
  <c r="AZ31" i="45" s="1"/>
  <c r="AR32" i="45"/>
  <c r="AY33" i="45"/>
  <c r="K86" i="45"/>
  <c r="X86" i="45" s="1"/>
  <c r="AR35" i="45"/>
  <c r="N36" i="45"/>
  <c r="Z36" i="45" s="1"/>
  <c r="AY38" i="45"/>
  <c r="AY40" i="45"/>
  <c r="I92" i="45"/>
  <c r="AS41" i="45"/>
  <c r="AA45" i="45"/>
  <c r="AM45" i="45" s="1"/>
  <c r="AY47" i="45"/>
  <c r="AZ47" i="45" s="1"/>
  <c r="AY49" i="45"/>
  <c r="AZ49" i="45" s="1"/>
  <c r="I101" i="45"/>
  <c r="K102" i="45"/>
  <c r="X102" i="45" s="1"/>
  <c r="AR51" i="45"/>
  <c r="N52" i="45"/>
  <c r="Z52" i="45" s="1"/>
  <c r="I105" i="45"/>
  <c r="AY54" i="45"/>
  <c r="AZ54" i="45" s="1"/>
  <c r="AC55" i="45"/>
  <c r="AO55" i="45" s="1"/>
  <c r="AY56" i="45"/>
  <c r="I108" i="45"/>
  <c r="AS57" i="45"/>
  <c r="AA61" i="45"/>
  <c r="AM61" i="45" s="1"/>
  <c r="N63" i="45"/>
  <c r="Z63" i="45" s="1"/>
  <c r="AC63" i="45"/>
  <c r="AO63" i="45" s="1"/>
  <c r="K85" i="45"/>
  <c r="X85" i="45" s="1"/>
  <c r="AR34" i="45"/>
  <c r="AB38" i="45"/>
  <c r="AN38" i="45" s="1"/>
  <c r="AS35" i="45"/>
  <c r="AT44" i="45"/>
  <c r="I99" i="45"/>
  <c r="AS51" i="45"/>
  <c r="AT60" i="45"/>
  <c r="AD64" i="45"/>
  <c r="AP64" i="45" s="1"/>
  <c r="N64" i="45"/>
  <c r="Z64" i="45" s="1"/>
  <c r="N69" i="45"/>
  <c r="Z69" i="45" s="1"/>
  <c r="AA69" i="45"/>
  <c r="AM69" i="45" s="1"/>
  <c r="N70" i="45"/>
  <c r="Z70" i="45" s="1"/>
  <c r="AB70" i="45"/>
  <c r="AN70" i="45" s="1"/>
  <c r="AC71" i="45"/>
  <c r="AO71" i="45" s="1"/>
  <c r="N71" i="45"/>
  <c r="Z71" i="45" s="1"/>
  <c r="K123" i="45"/>
  <c r="X123" i="45" s="1"/>
  <c r="K110" i="45"/>
  <c r="X110" i="45" s="1"/>
  <c r="AR59" i="45"/>
  <c r="A26" i="45"/>
  <c r="AY29" i="45"/>
  <c r="AT35" i="45"/>
  <c r="N37" i="45"/>
  <c r="Z37" i="45" s="1"/>
  <c r="K93" i="45"/>
  <c r="X93" i="45" s="1"/>
  <c r="AR42" i="45"/>
  <c r="AU44" i="45"/>
  <c r="AT51" i="45"/>
  <c r="N53" i="45"/>
  <c r="Z53" i="45" s="1"/>
  <c r="K109" i="45"/>
  <c r="X109" i="45" s="1"/>
  <c r="AR58" i="45"/>
  <c r="AU60" i="45"/>
  <c r="AA68" i="45"/>
  <c r="AM68" i="45" s="1"/>
  <c r="J119" i="45"/>
  <c r="AY70" i="45"/>
  <c r="AD72" i="45"/>
  <c r="AP72" i="45" s="1"/>
  <c r="N72" i="45"/>
  <c r="Z72" i="45" s="1"/>
  <c r="AR50" i="45"/>
  <c r="N31" i="45"/>
  <c r="Z31" i="45" s="1"/>
  <c r="AU35" i="45"/>
  <c r="K87" i="45"/>
  <c r="X87" i="45" s="1"/>
  <c r="N38" i="45"/>
  <c r="Z38" i="45" s="1"/>
  <c r="N40" i="45"/>
  <c r="Z40" i="45" s="1"/>
  <c r="AD40" i="45"/>
  <c r="AP40" i="45" s="1"/>
  <c r="AS42" i="45"/>
  <c r="I96" i="45"/>
  <c r="N47" i="45"/>
  <c r="Z47" i="45" s="1"/>
  <c r="AU51" i="45"/>
  <c r="K103" i="45"/>
  <c r="X103" i="45" s="1"/>
  <c r="N54" i="45"/>
  <c r="Z54" i="45" s="1"/>
  <c r="N56" i="45"/>
  <c r="Z56" i="45" s="1"/>
  <c r="AD56" i="45"/>
  <c r="AP56" i="45" s="1"/>
  <c r="AS58" i="45"/>
  <c r="I112" i="45"/>
  <c r="AE65" i="45"/>
  <c r="AQ65" i="45" s="1"/>
  <c r="N65" i="45"/>
  <c r="Z65" i="45" s="1"/>
  <c r="K118" i="45"/>
  <c r="X118" i="45" s="1"/>
  <c r="AR67" i="45"/>
  <c r="AR68" i="45"/>
  <c r="K119" i="45"/>
  <c r="X119" i="45" s="1"/>
  <c r="AY71" i="45"/>
  <c r="I115" i="45"/>
  <c r="I123" i="45"/>
  <c r="I82" i="45"/>
  <c r="I98" i="45"/>
  <c r="K100" i="45"/>
  <c r="X100" i="45" s="1"/>
  <c r="K108" i="45"/>
  <c r="X108" i="45" s="1"/>
  <c r="I114" i="45"/>
  <c r="K116" i="45"/>
  <c r="X116" i="45" s="1"/>
  <c r="I122" i="45"/>
  <c r="J90" i="45"/>
  <c r="J92" i="45"/>
  <c r="K117" i="45"/>
  <c r="X117" i="45" s="1"/>
  <c r="I81" i="45"/>
  <c r="K91" i="45"/>
  <c r="X91" i="45" s="1"/>
  <c r="I97" i="45"/>
  <c r="K99" i="45"/>
  <c r="X99" i="45" s="1"/>
  <c r="K107" i="45"/>
  <c r="X107" i="45" s="1"/>
  <c r="I113" i="45"/>
  <c r="AR66" i="45"/>
  <c r="I121" i="45"/>
  <c r="I126" i="45"/>
  <c r="AR75" i="45"/>
  <c r="K80" i="45"/>
  <c r="X80" i="45" s="1"/>
  <c r="K92" i="45"/>
  <c r="X92" i="45" s="1"/>
  <c r="J112" i="45"/>
  <c r="I80" i="45"/>
  <c r="K82" i="45"/>
  <c r="X82" i="45" s="1"/>
  <c r="AR33" i="45"/>
  <c r="AR41" i="45"/>
  <c r="K98" i="45"/>
  <c r="X98" i="45" s="1"/>
  <c r="AR49" i="45"/>
  <c r="I104" i="45"/>
  <c r="K106" i="45"/>
  <c r="X106" i="45" s="1"/>
  <c r="AR57" i="45"/>
  <c r="K114" i="45"/>
  <c r="X114" i="45" s="1"/>
  <c r="AR65" i="45"/>
  <c r="I120" i="45"/>
  <c r="K122" i="45"/>
  <c r="X122" i="45" s="1"/>
  <c r="AA73" i="45"/>
  <c r="AM73" i="45" s="1"/>
  <c r="J105" i="45"/>
  <c r="J124" i="45"/>
  <c r="J125" i="45"/>
  <c r="J115" i="45"/>
  <c r="J111" i="45"/>
  <c r="J107" i="45"/>
  <c r="J103" i="45"/>
  <c r="J99" i="45"/>
  <c r="J95" i="45"/>
  <c r="J121" i="45"/>
  <c r="J114" i="45"/>
  <c r="J110" i="45"/>
  <c r="J106" i="45"/>
  <c r="J102" i="45"/>
  <c r="J98" i="45"/>
  <c r="J94" i="45"/>
  <c r="J122" i="45"/>
  <c r="J113" i="45"/>
  <c r="J104" i="45"/>
  <c r="J101" i="45"/>
  <c r="J87" i="45"/>
  <c r="J83" i="45"/>
  <c r="J80" i="45"/>
  <c r="J118" i="45"/>
  <c r="J81" i="45"/>
  <c r="J117" i="45"/>
  <c r="J100" i="45"/>
  <c r="J97" i="45"/>
  <c r="J91" i="45"/>
  <c r="O91" i="45" s="1"/>
  <c r="J86" i="45"/>
  <c r="J82" i="45"/>
  <c r="J108" i="45"/>
  <c r="J109" i="45"/>
  <c r="J96" i="45"/>
  <c r="J93" i="45"/>
  <c r="J85" i="45"/>
  <c r="J123" i="45"/>
  <c r="J116" i="45"/>
  <c r="I87" i="45"/>
  <c r="K89" i="45"/>
  <c r="X89" i="45" s="1"/>
  <c r="AR40" i="45"/>
  <c r="I95" i="45"/>
  <c r="K97" i="45"/>
  <c r="X97" i="45" s="1"/>
  <c r="AR48" i="45"/>
  <c r="I103" i="45"/>
  <c r="K105" i="45"/>
  <c r="X105" i="45" s="1"/>
  <c r="AR56" i="45"/>
  <c r="I111" i="45"/>
  <c r="K113" i="45"/>
  <c r="X113" i="45" s="1"/>
  <c r="AR64" i="45"/>
  <c r="I119" i="45"/>
  <c r="K121" i="45"/>
  <c r="X121" i="45" s="1"/>
  <c r="J84" i="45"/>
  <c r="O7" i="45"/>
  <c r="AR31" i="45"/>
  <c r="I86" i="45"/>
  <c r="AR39" i="45"/>
  <c r="I94" i="45"/>
  <c r="K96" i="45"/>
  <c r="X96" i="45" s="1"/>
  <c r="AR47" i="45"/>
  <c r="I102" i="45"/>
  <c r="AR55" i="45"/>
  <c r="I110" i="45"/>
  <c r="K112" i="45"/>
  <c r="X112" i="45" s="1"/>
  <c r="AR63" i="45"/>
  <c r="I118" i="45"/>
  <c r="K120" i="45"/>
  <c r="X120" i="45" s="1"/>
  <c r="AR71" i="45"/>
  <c r="AY75" i="45"/>
  <c r="K84" i="45"/>
  <c r="X84" i="45" s="1"/>
  <c r="J88" i="45"/>
  <c r="I125" i="45"/>
  <c r="I124" i="45"/>
  <c r="AY168" i="45"/>
  <c r="AV168" i="45"/>
  <c r="AV137" i="45"/>
  <c r="BB137" i="45" s="1"/>
  <c r="BF137" i="45" s="1"/>
  <c r="AY144" i="45"/>
  <c r="AV144" i="45"/>
  <c r="AY136" i="45"/>
  <c r="AV136" i="45"/>
  <c r="AY158" i="45"/>
  <c r="AV158" i="45"/>
  <c r="AY157" i="45"/>
  <c r="AV157" i="45"/>
  <c r="AY149" i="45"/>
  <c r="AV149" i="45"/>
  <c r="AY173" i="45"/>
  <c r="AV173" i="45"/>
  <c r="AV145" i="45"/>
  <c r="BB145" i="45" s="1"/>
  <c r="BF145" i="45" s="1"/>
  <c r="AV147" i="45"/>
  <c r="BB147" i="45" s="1"/>
  <c r="BF147" i="45" s="1"/>
  <c r="AY166" i="45"/>
  <c r="AV166" i="45"/>
  <c r="AV154" i="45"/>
  <c r="BB154" i="45" s="1"/>
  <c r="BF154" i="45" s="1"/>
  <c r="AY165" i="45"/>
  <c r="AV165" i="45"/>
  <c r="AV160" i="45"/>
  <c r="BB160" i="45" s="1"/>
  <c r="BF160" i="45" s="1"/>
  <c r="AV171" i="45"/>
  <c r="BB171" i="45" s="1"/>
  <c r="BF171" i="45" s="1"/>
  <c r="AV152" i="45"/>
  <c r="BB152" i="45" s="1"/>
  <c r="BF152" i="45" s="1"/>
  <c r="AV159" i="45"/>
  <c r="BB159" i="45" s="1"/>
  <c r="BF159" i="45" s="1"/>
  <c r="AS39" i="42"/>
  <c r="AU41" i="42"/>
  <c r="X118" i="42"/>
  <c r="AT74" i="42"/>
  <c r="AT64" i="42"/>
  <c r="AT69" i="42"/>
  <c r="X126" i="42"/>
  <c r="AS38" i="43"/>
  <c r="AU56" i="42"/>
  <c r="BE135" i="42"/>
  <c r="AT62" i="42"/>
  <c r="AS70" i="42"/>
  <c r="AU72" i="42"/>
  <c r="AT75" i="42"/>
  <c r="AV157" i="42"/>
  <c r="BB157" i="42" s="1"/>
  <c r="BF157" i="42" s="1"/>
  <c r="AV161" i="42"/>
  <c r="BB161" i="42" s="1"/>
  <c r="BF161" i="42" s="1"/>
  <c r="AV165" i="42"/>
  <c r="AR46" i="43"/>
  <c r="AV151" i="43"/>
  <c r="AV179" i="43"/>
  <c r="AT45" i="43"/>
  <c r="AR51" i="43"/>
  <c r="AT53" i="43"/>
  <c r="AS31" i="43"/>
  <c r="AS30" i="43"/>
  <c r="BE135" i="43"/>
  <c r="AT70" i="43"/>
  <c r="AU75" i="43"/>
  <c r="AV140" i="43"/>
  <c r="BB140" i="43" s="1"/>
  <c r="BF140" i="43" s="1"/>
  <c r="AS55" i="43"/>
  <c r="AU57" i="43"/>
  <c r="AT39" i="43"/>
  <c r="AU40" i="43"/>
  <c r="AT47" i="43"/>
  <c r="AS62" i="43"/>
  <c r="AT63" i="43"/>
  <c r="AS66" i="43"/>
  <c r="AV137" i="43"/>
  <c r="BB137" i="43" s="1"/>
  <c r="BF137" i="43" s="1"/>
  <c r="AV149" i="43"/>
  <c r="BB149" i="43" s="1"/>
  <c r="BF149" i="43" s="1"/>
  <c r="AY44" i="43"/>
  <c r="AZ44" i="43" s="1"/>
  <c r="AT71" i="43"/>
  <c r="N36" i="43"/>
  <c r="Z36" i="43" s="1"/>
  <c r="AL36" i="43" s="1"/>
  <c r="AR38" i="43"/>
  <c r="AS43" i="43"/>
  <c r="AU49" i="43"/>
  <c r="AU35" i="43"/>
  <c r="AR45" i="43"/>
  <c r="AY50" i="43"/>
  <c r="AZ50" i="43" s="1"/>
  <c r="AR62" i="43"/>
  <c r="AT38" i="43"/>
  <c r="AU74" i="43"/>
  <c r="AU32" i="43"/>
  <c r="AY32" i="43"/>
  <c r="AY35" i="43"/>
  <c r="AZ35" i="43" s="1"/>
  <c r="AT41" i="43"/>
  <c r="AU31" i="43"/>
  <c r="AR37" i="43"/>
  <c r="AS32" i="43"/>
  <c r="AS34" i="43"/>
  <c r="AS46" i="43"/>
  <c r="AS51" i="43"/>
  <c r="AT52" i="43"/>
  <c r="AV147" i="43"/>
  <c r="BB147" i="43" s="1"/>
  <c r="BF147" i="43" s="1"/>
  <c r="AV162" i="43"/>
  <c r="BB162" i="43" s="1"/>
  <c r="BF162" i="43" s="1"/>
  <c r="AT31" i="43"/>
  <c r="AS39" i="43"/>
  <c r="AU41" i="43"/>
  <c r="AR60" i="43"/>
  <c r="AR61" i="43"/>
  <c r="AU73" i="43"/>
  <c r="AT30" i="43"/>
  <c r="AS47" i="43"/>
  <c r="AT48" i="43"/>
  <c r="AS61" i="43"/>
  <c r="AT62" i="43"/>
  <c r="AU30" i="43"/>
  <c r="AU69" i="43"/>
  <c r="AR70" i="43"/>
  <c r="AT37" i="43"/>
  <c r="AS40" i="43"/>
  <c r="AY54" i="43"/>
  <c r="AT64" i="43"/>
  <c r="AU65" i="43"/>
  <c r="AS70" i="43"/>
  <c r="AT72" i="43"/>
  <c r="AV172" i="43"/>
  <c r="BB172" i="43" s="1"/>
  <c r="BF172" i="43" s="1"/>
  <c r="AY34" i="43"/>
  <c r="AZ34" i="43" s="1"/>
  <c r="AS63" i="43"/>
  <c r="AY66" i="43"/>
  <c r="AZ66" i="43" s="1"/>
  <c r="AU33" i="43"/>
  <c r="AS36" i="43"/>
  <c r="AU51" i="43"/>
  <c r="AR52" i="43"/>
  <c r="AU53" i="43"/>
  <c r="AR54" i="43"/>
  <c r="AT66" i="43"/>
  <c r="AT68" i="43"/>
  <c r="AU72" i="43"/>
  <c r="AY74" i="43"/>
  <c r="AZ74" i="43" s="1"/>
  <c r="AV145" i="43"/>
  <c r="BB145" i="43" s="1"/>
  <c r="BF145" i="43" s="1"/>
  <c r="AV159" i="43"/>
  <c r="BB159" i="43" s="1"/>
  <c r="BF159" i="43" s="1"/>
  <c r="AY31" i="43"/>
  <c r="I85" i="43"/>
  <c r="AS44" i="43"/>
  <c r="AY45" i="43"/>
  <c r="AS52" i="43"/>
  <c r="AS53" i="43"/>
  <c r="AS54" i="43"/>
  <c r="AT55" i="43"/>
  <c r="AT56" i="43"/>
  <c r="AU58" i="43"/>
  <c r="AU68" i="43"/>
  <c r="AY75" i="43"/>
  <c r="AZ75" i="43" s="1"/>
  <c r="AY48" i="43"/>
  <c r="J86" i="43"/>
  <c r="AT29" i="43"/>
  <c r="AY30" i="43"/>
  <c r="AY33" i="43"/>
  <c r="AZ33" i="43" s="1"/>
  <c r="AU38" i="43"/>
  <c r="AT40" i="43"/>
  <c r="AT42" i="43"/>
  <c r="AY43" i="43"/>
  <c r="AZ43" i="43" s="1"/>
  <c r="AU56" i="43"/>
  <c r="AY59" i="43"/>
  <c r="AZ59" i="43" s="1"/>
  <c r="AU62" i="43"/>
  <c r="AU64" i="43"/>
  <c r="X116" i="43"/>
  <c r="AR68" i="43"/>
  <c r="AR69" i="43"/>
  <c r="AS71" i="43"/>
  <c r="AV146" i="43"/>
  <c r="BB146" i="43" s="1"/>
  <c r="BF146" i="43" s="1"/>
  <c r="AS33" i="43"/>
  <c r="AU42" i="43"/>
  <c r="AU44" i="43"/>
  <c r="AT50" i="43"/>
  <c r="AY51" i="43"/>
  <c r="AZ51" i="43" s="1"/>
  <c r="AU54" i="43"/>
  <c r="AS59" i="43"/>
  <c r="AY60" i="43"/>
  <c r="AS65" i="43"/>
  <c r="AY67" i="43"/>
  <c r="AZ67" i="43" s="1"/>
  <c r="AR29" i="43"/>
  <c r="AR30" i="43"/>
  <c r="AT32" i="43"/>
  <c r="AT33" i="43"/>
  <c r="AT35" i="43"/>
  <c r="AY36" i="43"/>
  <c r="AZ36" i="43" s="1"/>
  <c r="AR43" i="43"/>
  <c r="AU50" i="43"/>
  <c r="AY62" i="43"/>
  <c r="AZ62" i="43" s="1"/>
  <c r="AT73" i="43"/>
  <c r="AV139" i="43"/>
  <c r="BB139" i="43" s="1"/>
  <c r="BF139" i="43" s="1"/>
  <c r="AV150" i="43"/>
  <c r="BB150" i="43" s="1"/>
  <c r="BF150" i="43" s="1"/>
  <c r="AV175" i="43"/>
  <c r="BB175" i="43" s="1"/>
  <c r="BF175" i="43" s="1"/>
  <c r="AG200" i="43"/>
  <c r="AK200" i="43" s="1"/>
  <c r="N7" i="43"/>
  <c r="BB179" i="43"/>
  <c r="BF179" i="43" s="1"/>
  <c r="AG195" i="43"/>
  <c r="AK195" i="43" s="1"/>
  <c r="O7" i="43"/>
  <c r="I110" i="43"/>
  <c r="AC27" i="43"/>
  <c r="I81" i="43"/>
  <c r="AU34" i="43"/>
  <c r="N35" i="43"/>
  <c r="Z35" i="43" s="1"/>
  <c r="AL35" i="43" s="1"/>
  <c r="AT43" i="43"/>
  <c r="AT46" i="43"/>
  <c r="AU47" i="43"/>
  <c r="AY52" i="43"/>
  <c r="AY53" i="43"/>
  <c r="AZ53" i="43" s="1"/>
  <c r="N57" i="43"/>
  <c r="Z57" i="43" s="1"/>
  <c r="AL57" i="43" s="1"/>
  <c r="AT59" i="43"/>
  <c r="N61" i="43"/>
  <c r="Z61" i="43" s="1"/>
  <c r="AL61" i="43" s="1"/>
  <c r="N65" i="43"/>
  <c r="Z65" i="43" s="1"/>
  <c r="AL65" i="43" s="1"/>
  <c r="AY65" i="43"/>
  <c r="N67" i="43"/>
  <c r="Z67" i="43" s="1"/>
  <c r="AL67" i="43" s="1"/>
  <c r="AU70" i="43"/>
  <c r="N74" i="43"/>
  <c r="Z74" i="43" s="1"/>
  <c r="AL74" i="43" s="1"/>
  <c r="AX74" i="43" s="1"/>
  <c r="N75" i="43"/>
  <c r="Z75" i="43" s="1"/>
  <c r="AL75" i="43" s="1"/>
  <c r="AV144" i="43"/>
  <c r="BB144" i="43" s="1"/>
  <c r="BF144" i="43" s="1"/>
  <c r="AV167" i="43"/>
  <c r="BB167" i="43" s="1"/>
  <c r="BF167" i="43" s="1"/>
  <c r="AY29" i="43"/>
  <c r="N34" i="43"/>
  <c r="Z34" i="43" s="1"/>
  <c r="AL34" i="43" s="1"/>
  <c r="N38" i="43"/>
  <c r="Z38" i="43" s="1"/>
  <c r="AL38" i="43" s="1"/>
  <c r="AS41" i="43"/>
  <c r="AS42" i="43"/>
  <c r="I94" i="43"/>
  <c r="AU43" i="43"/>
  <c r="AS45" i="43"/>
  <c r="AU46" i="43"/>
  <c r="AU48" i="43"/>
  <c r="AT54" i="43"/>
  <c r="AY55" i="43"/>
  <c r="AS56" i="43"/>
  <c r="AY56" i="43"/>
  <c r="AS57" i="43"/>
  <c r="AY57" i="43"/>
  <c r="AZ57" i="43" s="1"/>
  <c r="AT58" i="43"/>
  <c r="AU59" i="43"/>
  <c r="N60" i="43"/>
  <c r="Z60" i="43" s="1"/>
  <c r="AL60" i="43" s="1"/>
  <c r="AX60" i="43" s="1"/>
  <c r="AY63" i="43"/>
  <c r="AZ63" i="43" s="1"/>
  <c r="AS64" i="43"/>
  <c r="AY64" i="43"/>
  <c r="AT65" i="43"/>
  <c r="AU66" i="43"/>
  <c r="N68" i="43"/>
  <c r="Z68" i="43" s="1"/>
  <c r="AL68" i="43" s="1"/>
  <c r="AX68" i="43" s="1"/>
  <c r="AY68" i="43"/>
  <c r="AZ68" i="43" s="1"/>
  <c r="AS69" i="43"/>
  <c r="AU71" i="43"/>
  <c r="AV170" i="43"/>
  <c r="AY38" i="43"/>
  <c r="AZ38" i="43" s="1"/>
  <c r="AY39" i="43"/>
  <c r="AY40" i="43"/>
  <c r="AY41" i="43"/>
  <c r="AZ41" i="43" s="1"/>
  <c r="AY42" i="43"/>
  <c r="AZ42" i="43" s="1"/>
  <c r="N44" i="43"/>
  <c r="Z44" i="43" s="1"/>
  <c r="AL44" i="43" s="1"/>
  <c r="I107" i="43"/>
  <c r="AT57" i="43"/>
  <c r="AY58" i="43"/>
  <c r="AZ58" i="43" s="1"/>
  <c r="AZ60" i="43"/>
  <c r="I115" i="43"/>
  <c r="N66" i="43"/>
  <c r="Z66" i="43" s="1"/>
  <c r="AL66" i="43" s="1"/>
  <c r="AT69" i="43"/>
  <c r="AV156" i="43"/>
  <c r="BB156" i="43" s="1"/>
  <c r="BF156" i="43" s="1"/>
  <c r="AY170" i="43"/>
  <c r="AV174" i="43"/>
  <c r="BB174" i="43" s="1"/>
  <c r="BF174" i="43" s="1"/>
  <c r="AV177" i="43"/>
  <c r="BB177" i="43" s="1"/>
  <c r="BF177" i="43" s="1"/>
  <c r="AT36" i="43"/>
  <c r="N43" i="43"/>
  <c r="Z43" i="43" s="1"/>
  <c r="AL43" i="43" s="1"/>
  <c r="AY49" i="43"/>
  <c r="N58" i="43"/>
  <c r="Z58" i="43" s="1"/>
  <c r="AL58" i="43" s="1"/>
  <c r="N59" i="43"/>
  <c r="Z59" i="43" s="1"/>
  <c r="AL59" i="43" s="1"/>
  <c r="AT61" i="43"/>
  <c r="K94" i="43"/>
  <c r="X94" i="43" s="1"/>
  <c r="AF194" i="43"/>
  <c r="AS29" i="43"/>
  <c r="AS35" i="43"/>
  <c r="AU36" i="43"/>
  <c r="AY37" i="43"/>
  <c r="N42" i="43"/>
  <c r="Z42" i="43" s="1"/>
  <c r="AL42" i="43" s="1"/>
  <c r="AX42" i="43" s="1"/>
  <c r="N46" i="43"/>
  <c r="Z46" i="43" s="1"/>
  <c r="AL46" i="43" s="1"/>
  <c r="AX46" i="43" s="1"/>
  <c r="N48" i="43"/>
  <c r="Z48" i="43" s="1"/>
  <c r="AL48" i="43" s="1"/>
  <c r="N50" i="43"/>
  <c r="Z50" i="43" s="1"/>
  <c r="AL50" i="43" s="1"/>
  <c r="N51" i="43"/>
  <c r="Z51" i="43" s="1"/>
  <c r="AL51" i="43" s="1"/>
  <c r="AR53" i="43"/>
  <c r="AS60" i="43"/>
  <c r="AU61" i="43"/>
  <c r="AS68" i="43"/>
  <c r="AS75" i="43"/>
  <c r="AV163" i="43"/>
  <c r="BB163" i="43" s="1"/>
  <c r="BF163" i="43" s="1"/>
  <c r="AV169" i="43"/>
  <c r="BB169" i="43" s="1"/>
  <c r="BF169" i="43" s="1"/>
  <c r="AV178" i="43"/>
  <c r="BB178" i="43" s="1"/>
  <c r="BF178" i="43" s="1"/>
  <c r="AR34" i="43"/>
  <c r="AU39" i="43"/>
  <c r="AY46" i="43"/>
  <c r="AZ46" i="43" s="1"/>
  <c r="AY47" i="43"/>
  <c r="N54" i="43"/>
  <c r="Z54" i="43" s="1"/>
  <c r="AL54" i="43" s="1"/>
  <c r="AY70" i="43"/>
  <c r="AZ70" i="43" s="1"/>
  <c r="N73" i="43"/>
  <c r="Z73" i="43" s="1"/>
  <c r="AL73" i="43" s="1"/>
  <c r="AX73" i="43" s="1"/>
  <c r="AT75" i="43"/>
  <c r="X104" i="43"/>
  <c r="BB151" i="43"/>
  <c r="BF151" i="43" s="1"/>
  <c r="AA27" i="43"/>
  <c r="N30" i="43"/>
  <c r="Z30" i="43" s="1"/>
  <c r="E136" i="43" s="1"/>
  <c r="X136" i="43" s="1"/>
  <c r="I86" i="43"/>
  <c r="AS37" i="43"/>
  <c r="AT44" i="43"/>
  <c r="AA54" i="43"/>
  <c r="AM54" i="43" s="1"/>
  <c r="N55" i="43"/>
  <c r="Z55" i="43" s="1"/>
  <c r="AL55" i="43" s="1"/>
  <c r="AX55" i="43" s="1"/>
  <c r="AY69" i="43"/>
  <c r="AZ69" i="43" s="1"/>
  <c r="AY71" i="43"/>
  <c r="AZ71" i="43" s="1"/>
  <c r="AS72" i="43"/>
  <c r="AY72" i="43"/>
  <c r="AS73" i="43"/>
  <c r="AY73" i="43"/>
  <c r="AZ73" i="43" s="1"/>
  <c r="AT74" i="43"/>
  <c r="AV141" i="43"/>
  <c r="BB141" i="43" s="1"/>
  <c r="BF141" i="43" s="1"/>
  <c r="AV152" i="43"/>
  <c r="AV155" i="43"/>
  <c r="BB155" i="43" s="1"/>
  <c r="BF155" i="43" s="1"/>
  <c r="AV157" i="43"/>
  <c r="AV164" i="43"/>
  <c r="BB164" i="43" s="1"/>
  <c r="BF164" i="43" s="1"/>
  <c r="AV181" i="43"/>
  <c r="BB181" i="43" s="1"/>
  <c r="BF181" i="43" s="1"/>
  <c r="N31" i="43"/>
  <c r="Z31" i="43" s="1"/>
  <c r="AC31" i="43"/>
  <c r="AO31" i="43" s="1"/>
  <c r="N47" i="43"/>
  <c r="Z47" i="43" s="1"/>
  <c r="AC47" i="43"/>
  <c r="AO47" i="43" s="1"/>
  <c r="N37" i="43"/>
  <c r="Z37" i="43" s="1"/>
  <c r="AA37" i="43"/>
  <c r="AM37" i="43" s="1"/>
  <c r="N45" i="43"/>
  <c r="Z45" i="43" s="1"/>
  <c r="AA45" i="43"/>
  <c r="AM45" i="43" s="1"/>
  <c r="AZ45" i="43" s="1"/>
  <c r="I83" i="43"/>
  <c r="I93" i="43"/>
  <c r="I99" i="43"/>
  <c r="I91" i="43"/>
  <c r="AD40" i="43"/>
  <c r="AP40" i="43" s="1"/>
  <c r="N40" i="43"/>
  <c r="Z40" i="43" s="1"/>
  <c r="I121" i="43"/>
  <c r="I87" i="43"/>
  <c r="AE27" i="43"/>
  <c r="I100" i="43"/>
  <c r="I118" i="43"/>
  <c r="J107" i="43"/>
  <c r="I101" i="43"/>
  <c r="I95" i="43"/>
  <c r="I80" i="43"/>
  <c r="I82" i="43"/>
  <c r="I90" i="43"/>
  <c r="AA49" i="43"/>
  <c r="AM49" i="43" s="1"/>
  <c r="N49" i="43"/>
  <c r="Z49" i="43" s="1"/>
  <c r="N29" i="43"/>
  <c r="Z29" i="43" s="1"/>
  <c r="AA29" i="43"/>
  <c r="AM29" i="43" s="1"/>
  <c r="N52" i="43"/>
  <c r="Z52" i="43" s="1"/>
  <c r="AA52" i="43"/>
  <c r="AM52" i="43" s="1"/>
  <c r="AU29" i="43"/>
  <c r="K87" i="43"/>
  <c r="X87" i="43" s="1"/>
  <c r="AR36" i="43"/>
  <c r="AU37" i="43"/>
  <c r="K95" i="43"/>
  <c r="X95" i="43" s="1"/>
  <c r="AR44" i="43"/>
  <c r="AU45" i="43"/>
  <c r="AN54" i="43"/>
  <c r="N32" i="43"/>
  <c r="Z32" i="43" s="1"/>
  <c r="AD32" i="43"/>
  <c r="AP32" i="43" s="1"/>
  <c r="AC39" i="43"/>
  <c r="AO39" i="43" s="1"/>
  <c r="N39" i="43"/>
  <c r="Z39" i="43" s="1"/>
  <c r="AD48" i="43"/>
  <c r="AP48" i="43" s="1"/>
  <c r="AC191" i="43"/>
  <c r="AT132" i="43"/>
  <c r="BA132" i="43"/>
  <c r="AF191" i="43"/>
  <c r="AX132" i="43"/>
  <c r="Y191" i="43"/>
  <c r="I84" i="43"/>
  <c r="A26" i="43"/>
  <c r="AC55" i="43"/>
  <c r="AO55" i="43" s="1"/>
  <c r="K117" i="43"/>
  <c r="X117" i="43" s="1"/>
  <c r="AR66" i="43"/>
  <c r="AC30" i="43"/>
  <c r="AO30" i="43" s="1"/>
  <c r="N33" i="43"/>
  <c r="Z33" i="43" s="1"/>
  <c r="K84" i="43"/>
  <c r="X84" i="43" s="1"/>
  <c r="AR35" i="43"/>
  <c r="N41" i="43"/>
  <c r="Z41" i="43" s="1"/>
  <c r="K92" i="43"/>
  <c r="X92" i="43" s="1"/>
  <c r="I98" i="43"/>
  <c r="AS48" i="43"/>
  <c r="K111" i="43"/>
  <c r="X111" i="43" s="1"/>
  <c r="N62" i="43"/>
  <c r="Z62" i="43" s="1"/>
  <c r="N64" i="43"/>
  <c r="Z64" i="43" s="1"/>
  <c r="AD64" i="43"/>
  <c r="AP64" i="43" s="1"/>
  <c r="N71" i="43"/>
  <c r="Z71" i="43" s="1"/>
  <c r="J81" i="43"/>
  <c r="K89" i="43"/>
  <c r="X89" i="43" s="1"/>
  <c r="J101" i="43"/>
  <c r="J102" i="43"/>
  <c r="K109" i="43"/>
  <c r="X109" i="43" s="1"/>
  <c r="J111" i="43"/>
  <c r="I126" i="43"/>
  <c r="AR59" i="43"/>
  <c r="I125" i="43"/>
  <c r="K110" i="43"/>
  <c r="X110" i="43" s="1"/>
  <c r="AR48" i="43"/>
  <c r="K99" i="43"/>
  <c r="X99" i="43" s="1"/>
  <c r="K85" i="43"/>
  <c r="X85" i="43" s="1"/>
  <c r="K83" i="43"/>
  <c r="X83" i="43" s="1"/>
  <c r="I89" i="43"/>
  <c r="K91" i="43"/>
  <c r="X91" i="43" s="1"/>
  <c r="AR42" i="43"/>
  <c r="I97" i="43"/>
  <c r="K103" i="43"/>
  <c r="X103" i="43" s="1"/>
  <c r="I106" i="43"/>
  <c r="I108" i="43"/>
  <c r="AA61" i="43"/>
  <c r="AM61" i="43" s="1"/>
  <c r="I117" i="43"/>
  <c r="K118" i="43"/>
  <c r="X118" i="43" s="1"/>
  <c r="AR67" i="43"/>
  <c r="I124" i="43"/>
  <c r="J82" i="43"/>
  <c r="K93" i="43"/>
  <c r="X93" i="43" s="1"/>
  <c r="K102" i="43"/>
  <c r="X102" i="43" s="1"/>
  <c r="J103" i="43"/>
  <c r="J126" i="43"/>
  <c r="AY165" i="43"/>
  <c r="AV165" i="43"/>
  <c r="I109" i="43"/>
  <c r="I116" i="43"/>
  <c r="I92" i="43"/>
  <c r="AR33" i="43"/>
  <c r="I88" i="43"/>
  <c r="AR41" i="43"/>
  <c r="I96" i="43"/>
  <c r="K98" i="43"/>
  <c r="X98" i="43" s="1"/>
  <c r="K100" i="43"/>
  <c r="X100" i="43" s="1"/>
  <c r="AT60" i="43"/>
  <c r="AS67" i="43"/>
  <c r="K82" i="43"/>
  <c r="X82" i="43" s="1"/>
  <c r="J124" i="43"/>
  <c r="J120" i="43"/>
  <c r="J123" i="43"/>
  <c r="J110" i="43"/>
  <c r="J109" i="43"/>
  <c r="J119" i="43"/>
  <c r="J117" i="43"/>
  <c r="J112" i="43"/>
  <c r="J104" i="43"/>
  <c r="J122" i="43"/>
  <c r="J114" i="43"/>
  <c r="J113" i="43"/>
  <c r="J106" i="43"/>
  <c r="J105" i="43"/>
  <c r="J125" i="43"/>
  <c r="J115" i="43"/>
  <c r="J116" i="43"/>
  <c r="J93" i="43"/>
  <c r="J89" i="43"/>
  <c r="J85" i="43"/>
  <c r="J97" i="43"/>
  <c r="J96" i="43"/>
  <c r="J92" i="43"/>
  <c r="J88" i="43"/>
  <c r="J84" i="43"/>
  <c r="J108" i="43"/>
  <c r="J98" i="43"/>
  <c r="J121" i="43"/>
  <c r="J118" i="43"/>
  <c r="J100" i="43"/>
  <c r="J99" i="43"/>
  <c r="J95" i="43"/>
  <c r="J91" i="43"/>
  <c r="J87" i="43"/>
  <c r="J83" i="43"/>
  <c r="J80" i="43"/>
  <c r="K81" i="43"/>
  <c r="X81" i="43" s="1"/>
  <c r="AR32" i="43"/>
  <c r="AR40" i="43"/>
  <c r="K97" i="43"/>
  <c r="X97" i="43" s="1"/>
  <c r="AS49" i="43"/>
  <c r="AR49" i="43"/>
  <c r="K101" i="43"/>
  <c r="X101" i="43" s="1"/>
  <c r="AR50" i="43"/>
  <c r="N53" i="43"/>
  <c r="Z53" i="43" s="1"/>
  <c r="AR58" i="43"/>
  <c r="AU60" i="43"/>
  <c r="AY61" i="43"/>
  <c r="AE65" i="43"/>
  <c r="AQ65" i="43" s="1"/>
  <c r="AT67" i="43"/>
  <c r="N69" i="43"/>
  <c r="Z69" i="43" s="1"/>
  <c r="K125" i="43"/>
  <c r="X125" i="43" s="1"/>
  <c r="AR74" i="43"/>
  <c r="K86" i="43"/>
  <c r="X86" i="43" s="1"/>
  <c r="J90" i="43"/>
  <c r="AY148" i="43"/>
  <c r="AV148" i="43"/>
  <c r="K126" i="43"/>
  <c r="X126" i="43" s="1"/>
  <c r="AR75" i="43"/>
  <c r="I123" i="43"/>
  <c r="K80" i="43"/>
  <c r="X80" i="43" s="1"/>
  <c r="AR31" i="43"/>
  <c r="K88" i="43"/>
  <c r="X88" i="43" s="1"/>
  <c r="AR39" i="43"/>
  <c r="K96" i="43"/>
  <c r="X96" i="43" s="1"/>
  <c r="AR47" i="43"/>
  <c r="AT49" i="43"/>
  <c r="AS50" i="43"/>
  <c r="AT51" i="43"/>
  <c r="AU52" i="43"/>
  <c r="N56" i="43"/>
  <c r="Z56" i="43" s="1"/>
  <c r="AD56" i="43"/>
  <c r="AP56" i="43" s="1"/>
  <c r="AS58" i="43"/>
  <c r="N63" i="43"/>
  <c r="Z63" i="43" s="1"/>
  <c r="AU67" i="43"/>
  <c r="K119" i="43"/>
  <c r="X119" i="43" s="1"/>
  <c r="N70" i="43"/>
  <c r="Z70" i="43" s="1"/>
  <c r="N72" i="43"/>
  <c r="Z72" i="43" s="1"/>
  <c r="AD72" i="43"/>
  <c r="AP72" i="43" s="1"/>
  <c r="AS74" i="43"/>
  <c r="K90" i="43"/>
  <c r="X90" i="43" s="1"/>
  <c r="J94" i="43"/>
  <c r="I105" i="43"/>
  <c r="I114" i="43"/>
  <c r="I122" i="43"/>
  <c r="K124" i="43"/>
  <c r="X124" i="43" s="1"/>
  <c r="AY136" i="43"/>
  <c r="AV136" i="43"/>
  <c r="K107" i="43"/>
  <c r="X107" i="43" s="1"/>
  <c r="I113" i="43"/>
  <c r="K115" i="43"/>
  <c r="X115" i="43" s="1"/>
  <c r="K123" i="43"/>
  <c r="X123" i="43" s="1"/>
  <c r="AY154" i="43"/>
  <c r="AV154" i="43"/>
  <c r="I104" i="43"/>
  <c r="K106" i="43"/>
  <c r="X106" i="43" s="1"/>
  <c r="AR57" i="43"/>
  <c r="I112" i="43"/>
  <c r="K114" i="43"/>
  <c r="X114" i="43" s="1"/>
  <c r="AR65" i="43"/>
  <c r="I120" i="43"/>
  <c r="K122" i="43"/>
  <c r="X122" i="43" s="1"/>
  <c r="AR73" i="43"/>
  <c r="K108" i="43"/>
  <c r="X108" i="43" s="1"/>
  <c r="K120" i="43"/>
  <c r="X120" i="43" s="1"/>
  <c r="I103" i="43"/>
  <c r="K105" i="43"/>
  <c r="X105" i="43" s="1"/>
  <c r="AR56" i="43"/>
  <c r="I111" i="43"/>
  <c r="K113" i="43"/>
  <c r="X113" i="43" s="1"/>
  <c r="AR64" i="43"/>
  <c r="I119" i="43"/>
  <c r="K121" i="43"/>
  <c r="X121" i="43" s="1"/>
  <c r="AR72" i="43"/>
  <c r="I102" i="43"/>
  <c r="AR55" i="43"/>
  <c r="AR63" i="43"/>
  <c r="AR71" i="43"/>
  <c r="BB152" i="43"/>
  <c r="BF152" i="43" s="1"/>
  <c r="AY142" i="43"/>
  <c r="AV142" i="43"/>
  <c r="AV160" i="43"/>
  <c r="BB160" i="43" s="1"/>
  <c r="BF160" i="43" s="1"/>
  <c r="BA135" i="43"/>
  <c r="BB135" i="43"/>
  <c r="BF135" i="43" s="1"/>
  <c r="AY168" i="43"/>
  <c r="AV168" i="43"/>
  <c r="AV138" i="43"/>
  <c r="BB138" i="43" s="1"/>
  <c r="BF138" i="43" s="1"/>
  <c r="AV158" i="43"/>
  <c r="BB158" i="43" s="1"/>
  <c r="BF158" i="43" s="1"/>
  <c r="AV176" i="43"/>
  <c r="BB176" i="43" s="1"/>
  <c r="BF176" i="43" s="1"/>
  <c r="AV143" i="43"/>
  <c r="BB143" i="43" s="1"/>
  <c r="BF143" i="43" s="1"/>
  <c r="AY157" i="43"/>
  <c r="AV173" i="43"/>
  <c r="BB173" i="43" s="1"/>
  <c r="BF173" i="43" s="1"/>
  <c r="AV161" i="43"/>
  <c r="BB161" i="43" s="1"/>
  <c r="BF161" i="43" s="1"/>
  <c r="AV153" i="43"/>
  <c r="BB153" i="43" s="1"/>
  <c r="BF153" i="43" s="1"/>
  <c r="AV166" i="43"/>
  <c r="BB166" i="43" s="1"/>
  <c r="BF166" i="43" s="1"/>
  <c r="AV171" i="43"/>
  <c r="BB171" i="43" s="1"/>
  <c r="BF171" i="43" s="1"/>
  <c r="AV180" i="43"/>
  <c r="BB180" i="43" s="1"/>
  <c r="BF180" i="43" s="1"/>
  <c r="AU40" i="42"/>
  <c r="AU45" i="42"/>
  <c r="AS47" i="42"/>
  <c r="AR73" i="42"/>
  <c r="AS74" i="42"/>
  <c r="AV154" i="42"/>
  <c r="BB154" i="42" s="1"/>
  <c r="BF154" i="42" s="1"/>
  <c r="AV166" i="42"/>
  <c r="BB166" i="42" s="1"/>
  <c r="BF166" i="42" s="1"/>
  <c r="AS40" i="42"/>
  <c r="AU55" i="42"/>
  <c r="X116" i="42"/>
  <c r="AS72" i="42"/>
  <c r="AV143" i="42"/>
  <c r="AU33" i="42"/>
  <c r="AR44" i="42"/>
  <c r="AS54" i="42"/>
  <c r="AS73" i="42"/>
  <c r="AS29" i="42"/>
  <c r="AS30" i="42"/>
  <c r="AT32" i="42"/>
  <c r="AY51" i="42"/>
  <c r="AU66" i="42"/>
  <c r="AT30" i="42"/>
  <c r="AU32" i="42"/>
  <c r="AY34" i="42"/>
  <c r="AZ34" i="42" s="1"/>
  <c r="AS37" i="42"/>
  <c r="AT46" i="42"/>
  <c r="AU50" i="42"/>
  <c r="AS53" i="42"/>
  <c r="AS60" i="42"/>
  <c r="AS66" i="42"/>
  <c r="AY74" i="42"/>
  <c r="AV151" i="42"/>
  <c r="BB151" i="42" s="1"/>
  <c r="BF151" i="42" s="1"/>
  <c r="AV167" i="42"/>
  <c r="AS32" i="42"/>
  <c r="N33" i="42"/>
  <c r="Z33" i="42" s="1"/>
  <c r="AL33" i="42" s="1"/>
  <c r="AU39" i="42"/>
  <c r="AY59" i="42"/>
  <c r="AZ59" i="42" s="1"/>
  <c r="AV171" i="42"/>
  <c r="BB171" i="42" s="1"/>
  <c r="BF171" i="42" s="1"/>
  <c r="AV175" i="42"/>
  <c r="BB175" i="42" s="1"/>
  <c r="BF175" i="42" s="1"/>
  <c r="AS58" i="42"/>
  <c r="AR61" i="42"/>
  <c r="AY73" i="42"/>
  <c r="AZ73" i="42" s="1"/>
  <c r="I90" i="42"/>
  <c r="AR36" i="42"/>
  <c r="N41" i="42"/>
  <c r="Z41" i="42" s="1"/>
  <c r="AL41" i="42" s="1"/>
  <c r="AT42" i="42"/>
  <c r="AT47" i="42"/>
  <c r="AT58" i="42"/>
  <c r="AS61" i="42"/>
  <c r="AU65" i="42"/>
  <c r="AT73" i="42"/>
  <c r="AV141" i="42"/>
  <c r="AV145" i="42"/>
  <c r="AV168" i="42"/>
  <c r="BB168" i="42" s="1"/>
  <c r="BF168" i="42" s="1"/>
  <c r="AV172" i="42"/>
  <c r="BB172" i="42" s="1"/>
  <c r="BF172" i="42" s="1"/>
  <c r="AT29" i="42"/>
  <c r="AU38" i="42"/>
  <c r="AT52" i="42"/>
  <c r="AU54" i="42"/>
  <c r="AT67" i="42"/>
  <c r="AY69" i="42"/>
  <c r="N74" i="42"/>
  <c r="Z74" i="42" s="1"/>
  <c r="AL74" i="42" s="1"/>
  <c r="AX74" i="42" s="1"/>
  <c r="I86" i="42"/>
  <c r="AR29" i="42"/>
  <c r="AR30" i="42"/>
  <c r="AU30" i="42"/>
  <c r="N31" i="42"/>
  <c r="Z31" i="42" s="1"/>
  <c r="AL31" i="42" s="1"/>
  <c r="AX31" i="42" s="1"/>
  <c r="AU31" i="42"/>
  <c r="N34" i="42"/>
  <c r="Z34" i="42" s="1"/>
  <c r="AL34" i="42" s="1"/>
  <c r="AT37" i="42"/>
  <c r="AY38" i="42"/>
  <c r="AT40" i="42"/>
  <c r="AS43" i="42"/>
  <c r="AS45" i="42"/>
  <c r="AS49" i="42"/>
  <c r="AS51" i="42"/>
  <c r="AT53" i="42"/>
  <c r="AT55" i="42"/>
  <c r="AS57" i="42"/>
  <c r="AS64" i="42"/>
  <c r="AT39" i="42"/>
  <c r="AY42" i="42"/>
  <c r="AZ42" i="42" s="1"/>
  <c r="AT45" i="42"/>
  <c r="AT49" i="42"/>
  <c r="AT57" i="42"/>
  <c r="AS71" i="42"/>
  <c r="AU75" i="42"/>
  <c r="AV155" i="42"/>
  <c r="BB155" i="42" s="1"/>
  <c r="BF155" i="42" s="1"/>
  <c r="AV169" i="42"/>
  <c r="BB169" i="42" s="1"/>
  <c r="BF169" i="42" s="1"/>
  <c r="AR37" i="42"/>
  <c r="AU42" i="42"/>
  <c r="AR52" i="42"/>
  <c r="AR53" i="42"/>
  <c r="AS55" i="42"/>
  <c r="N64" i="42"/>
  <c r="Z64" i="42" s="1"/>
  <c r="AL64" i="42" s="1"/>
  <c r="AX64" i="42" s="1"/>
  <c r="AU67" i="42"/>
  <c r="AY70" i="42"/>
  <c r="AZ70" i="42" s="1"/>
  <c r="AU29" i="42"/>
  <c r="AS31" i="42"/>
  <c r="AT33" i="42"/>
  <c r="AY35" i="42"/>
  <c r="AZ35" i="42" s="1"/>
  <c r="AS44" i="42"/>
  <c r="AY48" i="42"/>
  <c r="AY50" i="42"/>
  <c r="AZ50" i="42" s="1"/>
  <c r="AS52" i="42"/>
  <c r="AY56" i="42"/>
  <c r="AY58" i="42"/>
  <c r="AZ58" i="42" s="1"/>
  <c r="AY64" i="42"/>
  <c r="AU69" i="42"/>
  <c r="AV138" i="42"/>
  <c r="BB138" i="42" s="1"/>
  <c r="BF138" i="42" s="1"/>
  <c r="AV149" i="42"/>
  <c r="BB149" i="42" s="1"/>
  <c r="BF149" i="42" s="1"/>
  <c r="AV152" i="42"/>
  <c r="AV163" i="42"/>
  <c r="BB163" i="42" s="1"/>
  <c r="BF163" i="42" s="1"/>
  <c r="AT31" i="42"/>
  <c r="AT38" i="42"/>
  <c r="AY43" i="42"/>
  <c r="AZ43" i="42" s="1"/>
  <c r="AS46" i="42"/>
  <c r="AT54" i="42"/>
  <c r="AR72" i="42"/>
  <c r="AU73" i="42"/>
  <c r="BA135" i="42"/>
  <c r="BB167" i="42"/>
  <c r="BF167" i="42" s="1"/>
  <c r="AA27" i="42"/>
  <c r="AU49" i="42"/>
  <c r="N53" i="42"/>
  <c r="Z53" i="42" s="1"/>
  <c r="AL53" i="42" s="1"/>
  <c r="AX53" i="42" s="1"/>
  <c r="AU57" i="42"/>
  <c r="N63" i="42"/>
  <c r="Z63" i="42" s="1"/>
  <c r="AL63" i="42" s="1"/>
  <c r="BB135" i="42"/>
  <c r="BF135" i="42" s="1"/>
  <c r="AV150" i="42"/>
  <c r="BB150" i="42" s="1"/>
  <c r="BF150" i="42" s="1"/>
  <c r="AV153" i="42"/>
  <c r="BB153" i="42" s="1"/>
  <c r="BF153" i="42" s="1"/>
  <c r="BB141" i="42"/>
  <c r="BF141" i="42" s="1"/>
  <c r="AZ51" i="42"/>
  <c r="AZ69" i="42"/>
  <c r="AG195" i="42"/>
  <c r="AK195" i="42" s="1"/>
  <c r="O7" i="42"/>
  <c r="AY32" i="42"/>
  <c r="AZ32" i="42" s="1"/>
  <c r="AU34" i="42"/>
  <c r="AY37" i="42"/>
  <c r="AY41" i="42"/>
  <c r="AZ41" i="42" s="1"/>
  <c r="AT44" i="42"/>
  <c r="AR45" i="42"/>
  <c r="N46" i="42"/>
  <c r="Z46" i="42" s="1"/>
  <c r="AL46" i="42" s="1"/>
  <c r="AX46" i="42" s="1"/>
  <c r="AT48" i="42"/>
  <c r="AY49" i="42"/>
  <c r="AZ49" i="42" s="1"/>
  <c r="AU51" i="42"/>
  <c r="AA53" i="42"/>
  <c r="AM53" i="42" s="1"/>
  <c r="AY53" i="42"/>
  <c r="AY54" i="42"/>
  <c r="AT60" i="42"/>
  <c r="AA64" i="42"/>
  <c r="AM64" i="42" s="1"/>
  <c r="AY67" i="42"/>
  <c r="AV140" i="42"/>
  <c r="BB140" i="42" s="1"/>
  <c r="BF140" i="42" s="1"/>
  <c r="BB143" i="42"/>
  <c r="BF143" i="42" s="1"/>
  <c r="AV173" i="42"/>
  <c r="BB173" i="42" s="1"/>
  <c r="BF173" i="42" s="1"/>
  <c r="AV178" i="42"/>
  <c r="I100" i="42"/>
  <c r="J92" i="42"/>
  <c r="AA31" i="42"/>
  <c r="AM31" i="42" s="1"/>
  <c r="AR39" i="42"/>
  <c r="N42" i="42"/>
  <c r="Z42" i="42" s="1"/>
  <c r="AL42" i="42" s="1"/>
  <c r="I94" i="42"/>
  <c r="AT43" i="42"/>
  <c r="AU44" i="42"/>
  <c r="AA46" i="42"/>
  <c r="AM46" i="42" s="1"/>
  <c r="N49" i="42"/>
  <c r="Z49" i="42" s="1"/>
  <c r="AL49" i="42" s="1"/>
  <c r="AX49" i="42" s="1"/>
  <c r="N50" i="42"/>
  <c r="Z50" i="42" s="1"/>
  <c r="N61" i="42"/>
  <c r="Z61" i="42" s="1"/>
  <c r="AL61" i="42" s="1"/>
  <c r="AX61" i="42" s="1"/>
  <c r="I119" i="42"/>
  <c r="AT72" i="42"/>
  <c r="AY30" i="42"/>
  <c r="AZ30" i="42" s="1"/>
  <c r="I84" i="42"/>
  <c r="AY36" i="42"/>
  <c r="I91" i="42"/>
  <c r="AU43" i="42"/>
  <c r="N45" i="42"/>
  <c r="Z45" i="42" s="1"/>
  <c r="AL45" i="42" s="1"/>
  <c r="AX45" i="42" s="1"/>
  <c r="N51" i="42"/>
  <c r="Z51" i="42" s="1"/>
  <c r="AL51" i="42" s="1"/>
  <c r="AY52" i="42"/>
  <c r="AS59" i="42"/>
  <c r="AA61" i="42"/>
  <c r="AM61" i="42" s="1"/>
  <c r="AY61" i="42"/>
  <c r="AZ61" i="42" s="1"/>
  <c r="AY63" i="42"/>
  <c r="AZ63" i="42" s="1"/>
  <c r="AT65" i="42"/>
  <c r="AT71" i="42"/>
  <c r="AV147" i="42"/>
  <c r="BB147" i="42" s="1"/>
  <c r="BF147" i="42" s="1"/>
  <c r="BB152" i="42"/>
  <c r="BF152" i="42" s="1"/>
  <c r="N43" i="42"/>
  <c r="Z43" i="42" s="1"/>
  <c r="AL43" i="42" s="1"/>
  <c r="AY45" i="42"/>
  <c r="AY55" i="42"/>
  <c r="I107" i="42"/>
  <c r="AS56" i="42"/>
  <c r="N68" i="42"/>
  <c r="Z68" i="42" s="1"/>
  <c r="AL68" i="42" s="1"/>
  <c r="AX68" i="42" s="1"/>
  <c r="I120" i="42"/>
  <c r="AC33" i="42"/>
  <c r="AO33" i="42" s="1"/>
  <c r="AY31" i="42"/>
  <c r="AS36" i="42"/>
  <c r="AU37" i="42"/>
  <c r="N39" i="42"/>
  <c r="Z39" i="42" s="1"/>
  <c r="AL39" i="42" s="1"/>
  <c r="AX39" i="42" s="1"/>
  <c r="AU53" i="42"/>
  <c r="I108" i="42"/>
  <c r="I109" i="42"/>
  <c r="I110" i="42"/>
  <c r="AY60" i="42"/>
  <c r="AU64" i="42"/>
  <c r="AY66" i="42"/>
  <c r="AZ66" i="42" s="1"/>
  <c r="AY68" i="42"/>
  <c r="AZ68" i="42" s="1"/>
  <c r="AT70" i="42"/>
  <c r="I126" i="42"/>
  <c r="AV136" i="42"/>
  <c r="BB136" i="42" s="1"/>
  <c r="BF136" i="42" s="1"/>
  <c r="AV139" i="42"/>
  <c r="BB139" i="42" s="1"/>
  <c r="BF139" i="42" s="1"/>
  <c r="AV159" i="42"/>
  <c r="BB159" i="42" s="1"/>
  <c r="BF159" i="42" s="1"/>
  <c r="AV174" i="42"/>
  <c r="BB174" i="42" s="1"/>
  <c r="BF174" i="42" s="1"/>
  <c r="AV177" i="42"/>
  <c r="BB177" i="42" s="1"/>
  <c r="BF177" i="42" s="1"/>
  <c r="AV179" i="42"/>
  <c r="BB179" i="42" s="1"/>
  <c r="BF179" i="42" s="1"/>
  <c r="N29" i="42"/>
  <c r="Z29" i="42" s="1"/>
  <c r="E135" i="42" s="1"/>
  <c r="AS34" i="42"/>
  <c r="AS35" i="42"/>
  <c r="AT36" i="42"/>
  <c r="N38" i="42"/>
  <c r="Z38" i="42" s="1"/>
  <c r="AL38" i="42" s="1"/>
  <c r="AA39" i="42"/>
  <c r="AM39" i="42" s="1"/>
  <c r="AY40" i="42"/>
  <c r="I92" i="42"/>
  <c r="AY44" i="42"/>
  <c r="I98" i="42"/>
  <c r="AY47" i="42"/>
  <c r="AZ47" i="42" s="1"/>
  <c r="N54" i="42"/>
  <c r="Z54" i="42" s="1"/>
  <c r="AL54" i="42" s="1"/>
  <c r="AX54" i="42" s="1"/>
  <c r="AT56" i="42"/>
  <c r="AY57" i="42"/>
  <c r="AZ57" i="42" s="1"/>
  <c r="AU58" i="42"/>
  <c r="AT61" i="42"/>
  <c r="AS62" i="42"/>
  <c r="AU63" i="42"/>
  <c r="N65" i="42"/>
  <c r="Z65" i="42" s="1"/>
  <c r="AL65" i="42" s="1"/>
  <c r="AR65" i="42"/>
  <c r="I118" i="42"/>
  <c r="N69" i="42"/>
  <c r="Z69" i="42" s="1"/>
  <c r="AL69" i="42" s="1"/>
  <c r="N72" i="42"/>
  <c r="Z72" i="42" s="1"/>
  <c r="AL72" i="42" s="1"/>
  <c r="AX72" i="42" s="1"/>
  <c r="BB165" i="42"/>
  <c r="BF165" i="42" s="1"/>
  <c r="I101" i="42"/>
  <c r="N7" i="42"/>
  <c r="AA29" i="42"/>
  <c r="AM29" i="42" s="1"/>
  <c r="I83" i="42"/>
  <c r="AY33" i="42"/>
  <c r="AT34" i="42"/>
  <c r="AT35" i="42"/>
  <c r="AA38" i="42"/>
  <c r="AM38" i="42" s="1"/>
  <c r="AU46" i="42"/>
  <c r="I99" i="42"/>
  <c r="AS48" i="42"/>
  <c r="AS50" i="42"/>
  <c r="AU52" i="42"/>
  <c r="AA54" i="42"/>
  <c r="AM54" i="42" s="1"/>
  <c r="N57" i="42"/>
  <c r="Z57" i="42" s="1"/>
  <c r="AL57" i="42" s="1"/>
  <c r="N58" i="42"/>
  <c r="Z58" i="42" s="1"/>
  <c r="AL58" i="42" s="1"/>
  <c r="N59" i="42"/>
  <c r="Z59" i="42" s="1"/>
  <c r="AL59" i="42" s="1"/>
  <c r="AU61" i="42"/>
  <c r="AU62" i="42"/>
  <c r="AY62" i="42"/>
  <c r="AZ62" i="42" s="1"/>
  <c r="AA72" i="42"/>
  <c r="AM72" i="42" s="1"/>
  <c r="AV137" i="42"/>
  <c r="BB137" i="42" s="1"/>
  <c r="BF137" i="42" s="1"/>
  <c r="AV180" i="42"/>
  <c r="BB180" i="42" s="1"/>
  <c r="BF180" i="42" s="1"/>
  <c r="K85" i="42"/>
  <c r="X85" i="42" s="1"/>
  <c r="AR34" i="42"/>
  <c r="AE48" i="42"/>
  <c r="AQ48" i="42" s="1"/>
  <c r="N48" i="42"/>
  <c r="Z48" i="42" s="1"/>
  <c r="J110" i="42"/>
  <c r="K109" i="42"/>
  <c r="X109" i="42" s="1"/>
  <c r="AR58" i="42"/>
  <c r="AF191" i="42"/>
  <c r="Y191" i="42"/>
  <c r="AC191" i="42"/>
  <c r="BA132" i="42"/>
  <c r="AX132" i="42"/>
  <c r="AT132" i="42"/>
  <c r="AS41" i="42"/>
  <c r="N52" i="42"/>
  <c r="Z52" i="42" s="1"/>
  <c r="AA52" i="42"/>
  <c r="AM52" i="42" s="1"/>
  <c r="K110" i="42"/>
  <c r="X110" i="42" s="1"/>
  <c r="AR59" i="42"/>
  <c r="AL50" i="42"/>
  <c r="N30" i="42"/>
  <c r="Z30" i="42" s="1"/>
  <c r="K93" i="42"/>
  <c r="X93" i="42" s="1"/>
  <c r="AR42" i="42"/>
  <c r="N44" i="42"/>
  <c r="Z44" i="42" s="1"/>
  <c r="AA44" i="42"/>
  <c r="AM44" i="42" s="1"/>
  <c r="K101" i="42"/>
  <c r="X101" i="42" s="1"/>
  <c r="AR50" i="42"/>
  <c r="N55" i="42"/>
  <c r="Z55" i="42" s="1"/>
  <c r="AD55" i="42"/>
  <c r="AP55" i="42" s="1"/>
  <c r="K114" i="42"/>
  <c r="X114" i="42" s="1"/>
  <c r="N36" i="42"/>
  <c r="Z36" i="42" s="1"/>
  <c r="AA36" i="42"/>
  <c r="AM36" i="42" s="1"/>
  <c r="N60" i="42"/>
  <c r="Z60" i="42" s="1"/>
  <c r="AA60" i="42"/>
  <c r="AM60" i="42" s="1"/>
  <c r="AR31" i="42"/>
  <c r="I82" i="42"/>
  <c r="AY39" i="42"/>
  <c r="AS42" i="42"/>
  <c r="AB45" i="42"/>
  <c r="AN45" i="42" s="1"/>
  <c r="J96" i="42"/>
  <c r="N47" i="42"/>
  <c r="Z47" i="42" s="1"/>
  <c r="K102" i="42"/>
  <c r="X102" i="42" s="1"/>
  <c r="AR51" i="42"/>
  <c r="AT59" i="42"/>
  <c r="AS63" i="42"/>
  <c r="N66" i="42"/>
  <c r="Z66" i="42" s="1"/>
  <c r="AB37" i="42"/>
  <c r="AN37" i="42" s="1"/>
  <c r="N37" i="42"/>
  <c r="Z37" i="42" s="1"/>
  <c r="K86" i="42"/>
  <c r="X86" i="42" s="1"/>
  <c r="AR35" i="42"/>
  <c r="N32" i="42"/>
  <c r="Z32" i="42" s="1"/>
  <c r="AE40" i="42"/>
  <c r="AQ40" i="42" s="1"/>
  <c r="N40" i="42"/>
  <c r="Z40" i="42" s="1"/>
  <c r="K94" i="42"/>
  <c r="X94" i="42" s="1"/>
  <c r="AR43" i="42"/>
  <c r="AY46" i="42"/>
  <c r="AT50" i="42"/>
  <c r="AU59" i="42"/>
  <c r="AU60" i="42"/>
  <c r="AT63" i="42"/>
  <c r="N71" i="42"/>
  <c r="Z71" i="42" s="1"/>
  <c r="AA71" i="42"/>
  <c r="AM71" i="42" s="1"/>
  <c r="A26" i="42"/>
  <c r="AR33" i="42"/>
  <c r="AU35" i="42"/>
  <c r="AY29" i="42"/>
  <c r="AS33" i="42"/>
  <c r="N35" i="42"/>
  <c r="Z35" i="42" s="1"/>
  <c r="AU36" i="42"/>
  <c r="AT51" i="42"/>
  <c r="AE56" i="42"/>
  <c r="AQ56" i="42" s="1"/>
  <c r="N56" i="42"/>
  <c r="Z56" i="42" s="1"/>
  <c r="N62" i="42"/>
  <c r="Z62" i="42" s="1"/>
  <c r="K108" i="42"/>
  <c r="X108" i="42" s="1"/>
  <c r="I81" i="42"/>
  <c r="K83" i="42"/>
  <c r="X83" i="42" s="1"/>
  <c r="I89" i="42"/>
  <c r="K91" i="42"/>
  <c r="X91" i="42" s="1"/>
  <c r="I97" i="42"/>
  <c r="K99" i="42"/>
  <c r="X99" i="42" s="1"/>
  <c r="I105" i="42"/>
  <c r="K107" i="42"/>
  <c r="X107" i="42" s="1"/>
  <c r="I113" i="42"/>
  <c r="AS68" i="42"/>
  <c r="AS75" i="42"/>
  <c r="K92" i="42"/>
  <c r="X92" i="42" s="1"/>
  <c r="AC27" i="42"/>
  <c r="B82" i="42" s="1"/>
  <c r="I80" i="42"/>
  <c r="K82" i="42"/>
  <c r="X82" i="42" s="1"/>
  <c r="I88" i="42"/>
  <c r="K90" i="42"/>
  <c r="X90" i="42" s="1"/>
  <c r="AR41" i="42"/>
  <c r="I96" i="42"/>
  <c r="K98" i="42"/>
  <c r="X98" i="42" s="1"/>
  <c r="L98" i="42"/>
  <c r="AF98" i="42" s="1"/>
  <c r="AR49" i="42"/>
  <c r="I104" i="42"/>
  <c r="K106" i="42"/>
  <c r="X106" i="42" s="1"/>
  <c r="AR57" i="42"/>
  <c r="I112" i="42"/>
  <c r="I115" i="42"/>
  <c r="AA65" i="42"/>
  <c r="AM65" i="42" s="1"/>
  <c r="AA67" i="42"/>
  <c r="AM67" i="42" s="1"/>
  <c r="N67" i="42"/>
  <c r="Z67" i="42" s="1"/>
  <c r="AT68" i="42"/>
  <c r="N73" i="42"/>
  <c r="Z73" i="42" s="1"/>
  <c r="AD74" i="42"/>
  <c r="AP74" i="42" s="1"/>
  <c r="J88" i="42"/>
  <c r="J101" i="42"/>
  <c r="J126" i="42"/>
  <c r="J125" i="42"/>
  <c r="J116" i="42"/>
  <c r="J112" i="42"/>
  <c r="J108" i="42"/>
  <c r="J124" i="42"/>
  <c r="J123" i="42"/>
  <c r="J117" i="42"/>
  <c r="J115" i="42"/>
  <c r="J111" i="42"/>
  <c r="J107" i="42"/>
  <c r="J103" i="42"/>
  <c r="J122" i="42"/>
  <c r="J121" i="42"/>
  <c r="J81" i="42"/>
  <c r="J120" i="42"/>
  <c r="J114" i="42"/>
  <c r="J113" i="42"/>
  <c r="J100" i="42"/>
  <c r="J119" i="42"/>
  <c r="J118" i="42"/>
  <c r="J99" i="42"/>
  <c r="J97" i="42"/>
  <c r="J95" i="42"/>
  <c r="J93" i="42"/>
  <c r="J91" i="42"/>
  <c r="J89" i="42"/>
  <c r="J87" i="42"/>
  <c r="J85" i="42"/>
  <c r="J83" i="42"/>
  <c r="J105" i="42"/>
  <c r="J80" i="42"/>
  <c r="J106" i="42"/>
  <c r="J102" i="42"/>
  <c r="J109" i="42"/>
  <c r="J104" i="42"/>
  <c r="J98" i="42"/>
  <c r="J94" i="42"/>
  <c r="J90" i="42"/>
  <c r="J86" i="42"/>
  <c r="J82" i="42"/>
  <c r="L81" i="42"/>
  <c r="AR32" i="42"/>
  <c r="I87" i="42"/>
  <c r="K89" i="42"/>
  <c r="X89" i="42" s="1"/>
  <c r="AR40" i="42"/>
  <c r="I95" i="42"/>
  <c r="K97" i="42"/>
  <c r="X97" i="42" s="1"/>
  <c r="AR48" i="42"/>
  <c r="I103" i="42"/>
  <c r="K105" i="42"/>
  <c r="X105" i="42" s="1"/>
  <c r="AR56" i="42"/>
  <c r="I111" i="42"/>
  <c r="AR62" i="42"/>
  <c r="K115" i="42"/>
  <c r="X115" i="42" s="1"/>
  <c r="AU70" i="42"/>
  <c r="AY71" i="42"/>
  <c r="I125" i="42"/>
  <c r="K113" i="42"/>
  <c r="X113" i="42" s="1"/>
  <c r="I106" i="42"/>
  <c r="I117" i="42"/>
  <c r="K117" i="42"/>
  <c r="X117" i="42" s="1"/>
  <c r="AR66" i="42"/>
  <c r="AS67" i="42"/>
  <c r="K119" i="42"/>
  <c r="X119" i="42" s="1"/>
  <c r="AR68" i="42"/>
  <c r="K121" i="42"/>
  <c r="X121" i="42" s="1"/>
  <c r="K80" i="42"/>
  <c r="X80" i="42" s="1"/>
  <c r="AR47" i="42"/>
  <c r="I102" i="42"/>
  <c r="K104" i="42"/>
  <c r="X104" i="42" s="1"/>
  <c r="AR55" i="42"/>
  <c r="K112" i="42"/>
  <c r="X112" i="42" s="1"/>
  <c r="AR64" i="42"/>
  <c r="K120" i="42"/>
  <c r="X120" i="42" s="1"/>
  <c r="AR69" i="42"/>
  <c r="N70" i="42"/>
  <c r="Z70" i="42" s="1"/>
  <c r="AY75" i="42"/>
  <c r="AZ75" i="42" s="1"/>
  <c r="K81" i="42"/>
  <c r="X81" i="42" s="1"/>
  <c r="J84" i="42"/>
  <c r="K100" i="42"/>
  <c r="X100" i="42" s="1"/>
  <c r="I85" i="42"/>
  <c r="K87" i="42"/>
  <c r="X87" i="42" s="1"/>
  <c r="AR38" i="42"/>
  <c r="I93" i="42"/>
  <c r="K95" i="42"/>
  <c r="X95" i="42" s="1"/>
  <c r="AR46" i="42"/>
  <c r="K103" i="42"/>
  <c r="X103" i="42" s="1"/>
  <c r="AR54" i="42"/>
  <c r="K111" i="42"/>
  <c r="X111" i="42" s="1"/>
  <c r="I114" i="42"/>
  <c r="I116" i="42"/>
  <c r="AY65" i="42"/>
  <c r="AS69" i="42"/>
  <c r="AU71" i="42"/>
  <c r="AY72" i="42"/>
  <c r="K84" i="42"/>
  <c r="X84" i="42" s="1"/>
  <c r="I124" i="42"/>
  <c r="N75" i="42"/>
  <c r="Z75" i="42" s="1"/>
  <c r="I123" i="42"/>
  <c r="K125" i="42"/>
  <c r="X125" i="42" s="1"/>
  <c r="AR67" i="42"/>
  <c r="I122" i="42"/>
  <c r="K124" i="42"/>
  <c r="X124" i="42" s="1"/>
  <c r="AR75" i="42"/>
  <c r="I121" i="42"/>
  <c r="K123" i="42"/>
  <c r="X123" i="42" s="1"/>
  <c r="AR74" i="42"/>
  <c r="K122" i="42"/>
  <c r="X122" i="42" s="1"/>
  <c r="BB145" i="42"/>
  <c r="BF145" i="42" s="1"/>
  <c r="AY162" i="42"/>
  <c r="AV162" i="42"/>
  <c r="AY144" i="42"/>
  <c r="AV144" i="42"/>
  <c r="AY160" i="42"/>
  <c r="AV160" i="42"/>
  <c r="AV148" i="42"/>
  <c r="BB148" i="42" s="1"/>
  <c r="BF148" i="42" s="1"/>
  <c r="AY158" i="42"/>
  <c r="AV158" i="42"/>
  <c r="AY170" i="42"/>
  <c r="AV170" i="42"/>
  <c r="AY164" i="42"/>
  <c r="AV164" i="42"/>
  <c r="AV146" i="42"/>
  <c r="BB146" i="42" s="1"/>
  <c r="BF146" i="42" s="1"/>
  <c r="AY156" i="42"/>
  <c r="AV156" i="42"/>
  <c r="AY181" i="42"/>
  <c r="AV181" i="42"/>
  <c r="AY142" i="42"/>
  <c r="AV142" i="42"/>
  <c r="AV176" i="42"/>
  <c r="BB176" i="42" s="1"/>
  <c r="BF176" i="42" s="1"/>
  <c r="BB178" i="42"/>
  <c r="BF178" i="42" s="1"/>
  <c r="AF194" i="42"/>
  <c r="AY61" i="51" l="1"/>
  <c r="AZ66" i="46"/>
  <c r="AZ72" i="42"/>
  <c r="AZ44" i="42"/>
  <c r="AL29" i="42"/>
  <c r="AZ75" i="46"/>
  <c r="M82" i="51"/>
  <c r="AY74" i="51"/>
  <c r="AZ74" i="51" s="1"/>
  <c r="AF85" i="46"/>
  <c r="AZ34" i="47"/>
  <c r="AZ61" i="43"/>
  <c r="Y111" i="46"/>
  <c r="J122" i="51"/>
  <c r="AZ49" i="46"/>
  <c r="M110" i="46"/>
  <c r="Y83" i="50"/>
  <c r="AZ42" i="46"/>
  <c r="O83" i="46"/>
  <c r="P83" i="46" s="1"/>
  <c r="AF83" i="46"/>
  <c r="AZ71" i="50"/>
  <c r="J116" i="51"/>
  <c r="O110" i="42"/>
  <c r="P110" i="42" s="1"/>
  <c r="AZ65" i="43"/>
  <c r="L117" i="46"/>
  <c r="AG117" i="46" s="1"/>
  <c r="L93" i="46"/>
  <c r="Y82" i="46"/>
  <c r="O83" i="49"/>
  <c r="AZ36" i="49"/>
  <c r="J120" i="51"/>
  <c r="M80" i="51"/>
  <c r="AZ67" i="51"/>
  <c r="AZ71" i="42"/>
  <c r="AZ69" i="46"/>
  <c r="AZ59" i="46"/>
  <c r="AZ48" i="46"/>
  <c r="O103" i="49"/>
  <c r="P103" i="49" s="1"/>
  <c r="L86" i="50"/>
  <c r="N67" i="51"/>
  <c r="Z67" i="51" s="1"/>
  <c r="AL67" i="51" s="1"/>
  <c r="L97" i="51"/>
  <c r="J118" i="51"/>
  <c r="O118" i="51" s="1"/>
  <c r="P118" i="51" s="1"/>
  <c r="M105" i="51"/>
  <c r="M102" i="46"/>
  <c r="M112" i="46"/>
  <c r="L108" i="50"/>
  <c r="W108" i="50" s="1"/>
  <c r="AZ67" i="50"/>
  <c r="AZ50" i="50"/>
  <c r="AY69" i="51"/>
  <c r="M99" i="46"/>
  <c r="Y99" i="46" s="1"/>
  <c r="M86" i="46"/>
  <c r="Q86" i="46" s="1"/>
  <c r="R86" i="46" s="1"/>
  <c r="AZ56" i="48"/>
  <c r="AZ71" i="49"/>
  <c r="AZ53" i="49"/>
  <c r="AZ61" i="51"/>
  <c r="AZ29" i="45"/>
  <c r="AZ32" i="43"/>
  <c r="L80" i="46"/>
  <c r="AF80" i="46" s="1"/>
  <c r="M80" i="46"/>
  <c r="AZ67" i="46"/>
  <c r="AZ41" i="47"/>
  <c r="AZ30" i="46"/>
  <c r="AZ68" i="49"/>
  <c r="AZ52" i="49"/>
  <c r="AZ29" i="51"/>
  <c r="AZ51" i="51"/>
  <c r="J97" i="51"/>
  <c r="N46" i="51"/>
  <c r="Z46" i="51" s="1"/>
  <c r="J90" i="51"/>
  <c r="L99" i="51"/>
  <c r="W99" i="51" s="1"/>
  <c r="J105" i="51"/>
  <c r="Y105" i="51" s="1"/>
  <c r="N54" i="51"/>
  <c r="Z54" i="51" s="1"/>
  <c r="AL54" i="51" s="1"/>
  <c r="AF88" i="51"/>
  <c r="N39" i="51"/>
  <c r="Z39" i="51" s="1"/>
  <c r="AL39" i="51" s="1"/>
  <c r="O88" i="51"/>
  <c r="P88" i="51" s="1"/>
  <c r="AY70" i="51"/>
  <c r="AC62" i="51"/>
  <c r="AO62" i="51" s="1"/>
  <c r="AZ62" i="51" s="1"/>
  <c r="AY43" i="51"/>
  <c r="AZ43" i="51" s="1"/>
  <c r="I108" i="51"/>
  <c r="O108" i="51" s="1"/>
  <c r="P108" i="51" s="1"/>
  <c r="AZ66" i="51"/>
  <c r="AZ69" i="51"/>
  <c r="J119" i="51"/>
  <c r="O119" i="51" s="1"/>
  <c r="P119" i="51" s="1"/>
  <c r="M98" i="51"/>
  <c r="Y98" i="51" s="1"/>
  <c r="BB171" i="51"/>
  <c r="BF171" i="51" s="1"/>
  <c r="M97" i="51"/>
  <c r="AA63" i="51"/>
  <c r="AM63" i="51" s="1"/>
  <c r="AZ63" i="51" s="1"/>
  <c r="AZ39" i="51"/>
  <c r="AZ59" i="51"/>
  <c r="AZ31" i="51"/>
  <c r="L81" i="51"/>
  <c r="AF81" i="51" s="1"/>
  <c r="M116" i="51"/>
  <c r="Y116" i="51" s="1"/>
  <c r="AZ47" i="51"/>
  <c r="E135" i="51"/>
  <c r="F135" i="51" s="1"/>
  <c r="AY44" i="51"/>
  <c r="I116" i="51"/>
  <c r="O116" i="51" s="1"/>
  <c r="AC54" i="51"/>
  <c r="M120" i="51"/>
  <c r="Y120" i="51" s="1"/>
  <c r="AZ58" i="51"/>
  <c r="BB150" i="51"/>
  <c r="BF150" i="51" s="1"/>
  <c r="BB167" i="51"/>
  <c r="BF167" i="51" s="1"/>
  <c r="M89" i="51"/>
  <c r="Y89" i="51" s="1"/>
  <c r="AZ48" i="51"/>
  <c r="I89" i="51"/>
  <c r="AY71" i="51"/>
  <c r="M110" i="51"/>
  <c r="Y110" i="51" s="1"/>
  <c r="BB175" i="51"/>
  <c r="BF175" i="51" s="1"/>
  <c r="BB166" i="51"/>
  <c r="BF166" i="51" s="1"/>
  <c r="AY57" i="51"/>
  <c r="J106" i="51"/>
  <c r="O106" i="51" s="1"/>
  <c r="L100" i="51"/>
  <c r="J114" i="51"/>
  <c r="O114" i="51" s="1"/>
  <c r="M112" i="51"/>
  <c r="Q112" i="51" s="1"/>
  <c r="J95" i="51"/>
  <c r="O95" i="51" s="1"/>
  <c r="P95" i="51" s="1"/>
  <c r="Y93" i="51"/>
  <c r="Y94" i="51"/>
  <c r="M125" i="51"/>
  <c r="Q125" i="51" s="1"/>
  <c r="R125" i="51" s="1"/>
  <c r="N65" i="51"/>
  <c r="Z65" i="51" s="1"/>
  <c r="AL65" i="51" s="1"/>
  <c r="AA71" i="51"/>
  <c r="L124" i="51"/>
  <c r="AG124" i="51" s="1"/>
  <c r="N55" i="51"/>
  <c r="Z55" i="51" s="1"/>
  <c r="Y82" i="51"/>
  <c r="M81" i="51"/>
  <c r="I105" i="51"/>
  <c r="AZ30" i="51"/>
  <c r="AZ40" i="51"/>
  <c r="AY52" i="51"/>
  <c r="AZ52" i="51" s="1"/>
  <c r="AZ46" i="51"/>
  <c r="AO38" i="51"/>
  <c r="AZ38" i="51" s="1"/>
  <c r="L89" i="51"/>
  <c r="AN44" i="51"/>
  <c r="M95" i="51"/>
  <c r="AO57" i="51"/>
  <c r="L108" i="51"/>
  <c r="AG111" i="51"/>
  <c r="W111" i="51"/>
  <c r="AF84" i="51"/>
  <c r="O84" i="51"/>
  <c r="AX72" i="51"/>
  <c r="E83" i="51"/>
  <c r="F83" i="51" s="1"/>
  <c r="E110" i="51"/>
  <c r="F110" i="51" s="1"/>
  <c r="AX40" i="51"/>
  <c r="AF126" i="51"/>
  <c r="O126" i="51"/>
  <c r="P126" i="51" s="1"/>
  <c r="O98" i="51"/>
  <c r="AF98" i="51"/>
  <c r="E90" i="51"/>
  <c r="F90" i="51" s="1"/>
  <c r="E88" i="51"/>
  <c r="F88" i="51" s="1"/>
  <c r="E121" i="51"/>
  <c r="F121" i="51" s="1"/>
  <c r="W101" i="51"/>
  <c r="Q101" i="51"/>
  <c r="R101" i="51" s="1"/>
  <c r="AG101" i="51"/>
  <c r="W125" i="51"/>
  <c r="AG125" i="51"/>
  <c r="I121" i="51"/>
  <c r="AG112" i="51"/>
  <c r="W112" i="51"/>
  <c r="N60" i="51"/>
  <c r="Z60" i="51" s="1"/>
  <c r="AA60" i="51"/>
  <c r="AB41" i="51"/>
  <c r="N41" i="51"/>
  <c r="Z41" i="51" s="1"/>
  <c r="AX56" i="51"/>
  <c r="AL73" i="51"/>
  <c r="M102" i="51"/>
  <c r="Y102" i="51" s="1"/>
  <c r="M90" i="51"/>
  <c r="Y90" i="51" s="1"/>
  <c r="M109" i="51"/>
  <c r="Y109" i="51" s="1"/>
  <c r="Y113" i="51"/>
  <c r="Y115" i="51"/>
  <c r="Y104" i="51"/>
  <c r="AG87" i="51"/>
  <c r="W87" i="51"/>
  <c r="O86" i="51"/>
  <c r="P86" i="51" s="1"/>
  <c r="AF86" i="51"/>
  <c r="AL58" i="51"/>
  <c r="E91" i="51"/>
  <c r="F91" i="51" s="1"/>
  <c r="E122" i="51"/>
  <c r="F122" i="51" s="1"/>
  <c r="E92" i="51"/>
  <c r="F92" i="51" s="1"/>
  <c r="E94" i="51"/>
  <c r="F94" i="51" s="1"/>
  <c r="E111" i="51"/>
  <c r="F111" i="51" s="1"/>
  <c r="E112" i="51"/>
  <c r="F112" i="51" s="1"/>
  <c r="N36" i="51"/>
  <c r="Z36" i="51" s="1"/>
  <c r="AG95" i="51"/>
  <c r="W95" i="51"/>
  <c r="M117" i="51"/>
  <c r="Y117" i="51" s="1"/>
  <c r="W102" i="51"/>
  <c r="AG102" i="51"/>
  <c r="AF96" i="51"/>
  <c r="O96" i="51"/>
  <c r="Y107" i="51"/>
  <c r="E97" i="51"/>
  <c r="F97" i="51" s="1"/>
  <c r="O111" i="51"/>
  <c r="P111" i="51" s="1"/>
  <c r="AF111" i="51"/>
  <c r="AF87" i="51"/>
  <c r="AY73" i="51"/>
  <c r="Y83" i="51"/>
  <c r="AY36" i="51"/>
  <c r="AZ36" i="51" s="1"/>
  <c r="E84" i="51"/>
  <c r="F84" i="51" s="1"/>
  <c r="E86" i="51"/>
  <c r="F86" i="51" s="1"/>
  <c r="E108" i="51"/>
  <c r="F108" i="51" s="1"/>
  <c r="BB179" i="51"/>
  <c r="BF179" i="51" s="1"/>
  <c r="AG117" i="51"/>
  <c r="W117" i="51"/>
  <c r="AG103" i="51"/>
  <c r="W103" i="51"/>
  <c r="O110" i="51"/>
  <c r="AF110" i="51"/>
  <c r="AG97" i="51"/>
  <c r="W97" i="51"/>
  <c r="Z81" i="51"/>
  <c r="AD81" i="51" s="1"/>
  <c r="AL63" i="51"/>
  <c r="AY60" i="51"/>
  <c r="N57" i="51"/>
  <c r="Z57" i="51" s="1"/>
  <c r="AL66" i="51"/>
  <c r="AF97" i="51"/>
  <c r="O97" i="51"/>
  <c r="P97" i="51" s="1"/>
  <c r="AL32" i="51"/>
  <c r="M108" i="51"/>
  <c r="Y108" i="51" s="1"/>
  <c r="AF85" i="51"/>
  <c r="O85" i="51"/>
  <c r="P85" i="51" s="1"/>
  <c r="AF82" i="51"/>
  <c r="O82" i="51"/>
  <c r="P82" i="51" s="1"/>
  <c r="O123" i="51"/>
  <c r="AF123" i="51"/>
  <c r="AL69" i="51"/>
  <c r="AG85" i="51"/>
  <c r="W85" i="51"/>
  <c r="Q85" i="51"/>
  <c r="S85" i="51" s="1"/>
  <c r="E99" i="51"/>
  <c r="F99" i="51" s="1"/>
  <c r="E82" i="51"/>
  <c r="F82" i="51" s="1"/>
  <c r="E102" i="51"/>
  <c r="F102" i="51" s="1"/>
  <c r="E105" i="51"/>
  <c r="F105" i="51" s="1"/>
  <c r="E115" i="51"/>
  <c r="F115" i="51" s="1"/>
  <c r="E116" i="51"/>
  <c r="F116" i="51" s="1"/>
  <c r="N68" i="51"/>
  <c r="Z68" i="51" s="1"/>
  <c r="AF94" i="51"/>
  <c r="O94" i="51"/>
  <c r="AL47" i="51"/>
  <c r="AX45" i="51"/>
  <c r="AF103" i="51"/>
  <c r="AX48" i="51"/>
  <c r="AF118" i="51"/>
  <c r="Y96" i="51"/>
  <c r="E104" i="51"/>
  <c r="F104" i="51" s="1"/>
  <c r="O124" i="51"/>
  <c r="P124" i="51" s="1"/>
  <c r="AF112" i="51"/>
  <c r="O112" i="51"/>
  <c r="W126" i="51"/>
  <c r="AG126" i="51"/>
  <c r="Q126" i="51"/>
  <c r="R126" i="51" s="1"/>
  <c r="O115" i="51"/>
  <c r="AF115" i="51"/>
  <c r="Q118" i="51"/>
  <c r="AG118" i="51"/>
  <c r="W118" i="51"/>
  <c r="AG120" i="51"/>
  <c r="W120" i="51"/>
  <c r="AG123" i="51"/>
  <c r="W123" i="51"/>
  <c r="Q123" i="51"/>
  <c r="AF92" i="51"/>
  <c r="O92" i="51"/>
  <c r="AL52" i="51"/>
  <c r="AG90" i="51"/>
  <c r="W90" i="51"/>
  <c r="AL55" i="51"/>
  <c r="AF101" i="51"/>
  <c r="O101" i="51"/>
  <c r="AG115" i="51"/>
  <c r="W115" i="51"/>
  <c r="Q115" i="51"/>
  <c r="O81" i="51"/>
  <c r="P81" i="51" s="1"/>
  <c r="Y121" i="51"/>
  <c r="Y126" i="51"/>
  <c r="Y91" i="51"/>
  <c r="Y123" i="51"/>
  <c r="Q94" i="51"/>
  <c r="S94" i="51" s="1"/>
  <c r="AG94" i="51"/>
  <c r="W94" i="51"/>
  <c r="AG106" i="51"/>
  <c r="W106" i="51"/>
  <c r="AF93" i="51"/>
  <c r="O93" i="51"/>
  <c r="AG96" i="51"/>
  <c r="W96" i="51"/>
  <c r="Q96" i="51"/>
  <c r="AL51" i="51"/>
  <c r="W93" i="51"/>
  <c r="Q93" i="51"/>
  <c r="AG93" i="51"/>
  <c r="E107" i="51"/>
  <c r="F107" i="51" s="1"/>
  <c r="E109" i="51"/>
  <c r="F109" i="51" s="1"/>
  <c r="E87" i="51"/>
  <c r="F87" i="51" s="1"/>
  <c r="E114" i="51"/>
  <c r="F114" i="51" s="1"/>
  <c r="E119" i="51"/>
  <c r="F119" i="51" s="1"/>
  <c r="E120" i="51"/>
  <c r="F120" i="51" s="1"/>
  <c r="AG86" i="51"/>
  <c r="W86" i="51"/>
  <c r="Q86" i="51"/>
  <c r="R86" i="51" s="1"/>
  <c r="AA68" i="51"/>
  <c r="AG84" i="51"/>
  <c r="W84" i="51"/>
  <c r="N38" i="51"/>
  <c r="Z38" i="51" s="1"/>
  <c r="O107" i="51"/>
  <c r="AF107" i="51"/>
  <c r="AF80" i="51"/>
  <c r="O80" i="51"/>
  <c r="AG83" i="51"/>
  <c r="W83" i="51"/>
  <c r="Q83" i="51"/>
  <c r="R83" i="51" s="1"/>
  <c r="AF125" i="51"/>
  <c r="O125" i="51"/>
  <c r="P125" i="51" s="1"/>
  <c r="AL75" i="51"/>
  <c r="AF120" i="51"/>
  <c r="O120" i="51"/>
  <c r="P120" i="51" s="1"/>
  <c r="AG104" i="51"/>
  <c r="W104" i="51"/>
  <c r="Q104" i="51"/>
  <c r="R104" i="51" s="1"/>
  <c r="AG107" i="51"/>
  <c r="Q107" i="51"/>
  <c r="R107" i="51" s="1"/>
  <c r="W107" i="51"/>
  <c r="AF95" i="51"/>
  <c r="N49" i="51"/>
  <c r="Z49" i="51" s="1"/>
  <c r="AB49" i="51"/>
  <c r="J103" i="51"/>
  <c r="O103" i="51" s="1"/>
  <c r="AF114" i="51"/>
  <c r="Y86" i="51"/>
  <c r="Y85" i="51"/>
  <c r="AF106" i="51"/>
  <c r="AL34" i="51"/>
  <c r="E118" i="51"/>
  <c r="F118" i="51" s="1"/>
  <c r="E89" i="51"/>
  <c r="F89" i="51" s="1"/>
  <c r="E93" i="51"/>
  <c r="F93" i="51" s="1"/>
  <c r="E85" i="51"/>
  <c r="F85" i="51" s="1"/>
  <c r="E123" i="51"/>
  <c r="F123" i="51" s="1"/>
  <c r="E124" i="51"/>
  <c r="F124" i="51" s="1"/>
  <c r="AY68" i="51"/>
  <c r="AG80" i="51"/>
  <c r="Q80" i="51"/>
  <c r="AL31" i="51"/>
  <c r="AB73" i="51"/>
  <c r="BB139" i="51"/>
  <c r="BF139" i="51" s="1"/>
  <c r="O4" i="51"/>
  <c r="O11" i="51" s="1"/>
  <c r="AL70" i="51"/>
  <c r="E81" i="51"/>
  <c r="F81" i="51" s="1"/>
  <c r="BB162" i="51"/>
  <c r="BF162" i="51" s="1"/>
  <c r="BB143" i="51"/>
  <c r="BF143" i="51" s="1"/>
  <c r="N4" i="51"/>
  <c r="N11" i="51" s="1"/>
  <c r="AG109" i="51"/>
  <c r="W109" i="51"/>
  <c r="AF117" i="51"/>
  <c r="O117" i="51"/>
  <c r="P117" i="51" s="1"/>
  <c r="AF102" i="51"/>
  <c r="O102" i="51"/>
  <c r="P102" i="51" s="1"/>
  <c r="AF119" i="51"/>
  <c r="AB33" i="51"/>
  <c r="N33" i="51"/>
  <c r="Z33" i="51" s="1"/>
  <c r="AA55" i="51"/>
  <c r="O113" i="51"/>
  <c r="L91" i="51"/>
  <c r="AF91" i="51" s="1"/>
  <c r="M87" i="51"/>
  <c r="Y99" i="51"/>
  <c r="Y88" i="51"/>
  <c r="AX64" i="51"/>
  <c r="AG92" i="51"/>
  <c r="W92" i="51"/>
  <c r="I100" i="51"/>
  <c r="AY65" i="51"/>
  <c r="AZ65" i="51" s="1"/>
  <c r="AG88" i="51"/>
  <c r="Q88" i="51"/>
  <c r="W88" i="51"/>
  <c r="AX62" i="51"/>
  <c r="AL42" i="51"/>
  <c r="AF83" i="51"/>
  <c r="O83" i="51"/>
  <c r="E98" i="51"/>
  <c r="F98" i="51" s="1"/>
  <c r="E101" i="51"/>
  <c r="F101" i="51" s="1"/>
  <c r="E103" i="51"/>
  <c r="F103" i="51" s="1"/>
  <c r="E95" i="51"/>
  <c r="F95" i="51" s="1"/>
  <c r="E96" i="51"/>
  <c r="F96" i="51" s="1"/>
  <c r="AL71" i="51"/>
  <c r="AX59" i="51"/>
  <c r="N44" i="51"/>
  <c r="Z44" i="51" s="1"/>
  <c r="E136" i="51"/>
  <c r="AL30" i="51"/>
  <c r="AF104" i="51"/>
  <c r="O104" i="51"/>
  <c r="E126" i="51"/>
  <c r="F126" i="51" s="1"/>
  <c r="O109" i="51"/>
  <c r="P109" i="51" s="1"/>
  <c r="AF109" i="51"/>
  <c r="Y101" i="51"/>
  <c r="BB158" i="51"/>
  <c r="BF158" i="51" s="1"/>
  <c r="AL74" i="51"/>
  <c r="W110" i="51"/>
  <c r="AG110" i="51"/>
  <c r="AG119" i="51"/>
  <c r="W119" i="51"/>
  <c r="AG114" i="51"/>
  <c r="W114" i="51"/>
  <c r="L113" i="51"/>
  <c r="AC70" i="51"/>
  <c r="W98" i="51"/>
  <c r="AG98" i="51"/>
  <c r="Q82" i="51"/>
  <c r="W82" i="51"/>
  <c r="AG82" i="51"/>
  <c r="M103" i="51"/>
  <c r="L116" i="51"/>
  <c r="AF90" i="51"/>
  <c r="O90" i="51"/>
  <c r="P90" i="51" s="1"/>
  <c r="J87" i="51"/>
  <c r="O87" i="51" s="1"/>
  <c r="O99" i="51"/>
  <c r="O91" i="51"/>
  <c r="P91" i="51" s="1"/>
  <c r="E125" i="51"/>
  <c r="F125" i="51" s="1"/>
  <c r="E113" i="51"/>
  <c r="F113" i="51" s="1"/>
  <c r="E117" i="51"/>
  <c r="F117" i="51" s="1"/>
  <c r="E106" i="51"/>
  <c r="F106" i="51" s="1"/>
  <c r="E100" i="51"/>
  <c r="F100" i="51" s="1"/>
  <c r="O122" i="51"/>
  <c r="AF122" i="51"/>
  <c r="AG122" i="51"/>
  <c r="W122" i="51"/>
  <c r="AL46" i="51"/>
  <c r="AZ31" i="46"/>
  <c r="L101" i="46"/>
  <c r="Q101" i="46" s="1"/>
  <c r="L82" i="46"/>
  <c r="Q82" i="46" s="1"/>
  <c r="M120" i="46"/>
  <c r="Q120" i="46" s="1"/>
  <c r="O84" i="49"/>
  <c r="P84" i="49" s="1"/>
  <c r="AZ43" i="46"/>
  <c r="AZ44" i="49"/>
  <c r="BB173" i="46"/>
  <c r="BF173" i="46" s="1"/>
  <c r="O112" i="49"/>
  <c r="AF112" i="49"/>
  <c r="M84" i="46"/>
  <c r="Q84" i="46" s="1"/>
  <c r="BB181" i="49"/>
  <c r="BF181" i="49" s="1"/>
  <c r="M118" i="46"/>
  <c r="AZ57" i="50"/>
  <c r="M114" i="50"/>
  <c r="Y114" i="50" s="1"/>
  <c r="M92" i="50"/>
  <c r="Y92" i="50" s="1"/>
  <c r="M122" i="50"/>
  <c r="Y122" i="50" s="1"/>
  <c r="Y95" i="50"/>
  <c r="AZ63" i="50"/>
  <c r="AZ59" i="50"/>
  <c r="AZ65" i="50"/>
  <c r="AZ29" i="50"/>
  <c r="AZ43" i="50"/>
  <c r="AZ72" i="50"/>
  <c r="Y103" i="50"/>
  <c r="M123" i="50"/>
  <c r="Y123" i="50" s="1"/>
  <c r="M93" i="50"/>
  <c r="Q93" i="50" s="1"/>
  <c r="BB171" i="50"/>
  <c r="BF171" i="50" s="1"/>
  <c r="AZ74" i="50"/>
  <c r="AZ42" i="50"/>
  <c r="AL29" i="50"/>
  <c r="AX29" i="50" s="1"/>
  <c r="L125" i="50"/>
  <c r="Q125" i="50" s="1"/>
  <c r="R125" i="50" s="1"/>
  <c r="AZ41" i="50"/>
  <c r="M80" i="50"/>
  <c r="Q80" i="50" s="1"/>
  <c r="R80" i="50" s="1"/>
  <c r="L116" i="50"/>
  <c r="W116" i="50" s="1"/>
  <c r="M100" i="50"/>
  <c r="Y100" i="50" s="1"/>
  <c r="M101" i="50"/>
  <c r="Q101" i="50" s="1"/>
  <c r="R101" i="50" s="1"/>
  <c r="O111" i="50"/>
  <c r="P111" i="50" s="1"/>
  <c r="AF111" i="50"/>
  <c r="AZ73" i="50"/>
  <c r="AZ34" i="50"/>
  <c r="AG80" i="50"/>
  <c r="AF81" i="50"/>
  <c r="AZ55" i="50"/>
  <c r="O81" i="50"/>
  <c r="P81" i="50" s="1"/>
  <c r="AZ54" i="50"/>
  <c r="Y98" i="50"/>
  <c r="Y105" i="50"/>
  <c r="Y87" i="50"/>
  <c r="Y111" i="50"/>
  <c r="AZ51" i="50"/>
  <c r="AZ64" i="50"/>
  <c r="L105" i="50"/>
  <c r="W105" i="50" s="1"/>
  <c r="AZ49" i="50"/>
  <c r="AZ35" i="50"/>
  <c r="Y88" i="50"/>
  <c r="Y120" i="50"/>
  <c r="Y89" i="50"/>
  <c r="O108" i="50"/>
  <c r="P108" i="50" s="1"/>
  <c r="Y94" i="50"/>
  <c r="BB163" i="50"/>
  <c r="BF163" i="50" s="1"/>
  <c r="Y97" i="50"/>
  <c r="M118" i="50"/>
  <c r="Y118" i="50" s="1"/>
  <c r="Y99" i="50"/>
  <c r="Y102" i="50"/>
  <c r="Y121" i="50"/>
  <c r="Y112" i="50"/>
  <c r="O104" i="50"/>
  <c r="P104" i="50" s="1"/>
  <c r="AF104" i="50"/>
  <c r="O119" i="50"/>
  <c r="P119" i="50" s="1"/>
  <c r="AF119" i="50"/>
  <c r="AX50" i="50"/>
  <c r="E109" i="50"/>
  <c r="F109" i="50" s="1"/>
  <c r="E113" i="50"/>
  <c r="F113" i="50" s="1"/>
  <c r="O100" i="50"/>
  <c r="P100" i="50" s="1"/>
  <c r="AF100" i="50"/>
  <c r="O88" i="50"/>
  <c r="AF88" i="50"/>
  <c r="E112" i="50"/>
  <c r="F112" i="50" s="1"/>
  <c r="W109" i="50"/>
  <c r="Q109" i="50"/>
  <c r="R109" i="50" s="1"/>
  <c r="AG109" i="50"/>
  <c r="AL55" i="50"/>
  <c r="E99" i="50"/>
  <c r="F99" i="50" s="1"/>
  <c r="E104" i="50"/>
  <c r="F104" i="50" s="1"/>
  <c r="AL58" i="50"/>
  <c r="AF91" i="50"/>
  <c r="O91" i="50"/>
  <c r="AX75" i="50"/>
  <c r="AG88" i="50"/>
  <c r="Q88" i="50"/>
  <c r="W88" i="50"/>
  <c r="E100" i="50"/>
  <c r="F100" i="50" s="1"/>
  <c r="E86" i="50"/>
  <c r="F86" i="50" s="1"/>
  <c r="E119" i="50"/>
  <c r="F119" i="50" s="1"/>
  <c r="E117" i="50"/>
  <c r="F117" i="50" s="1"/>
  <c r="BB164" i="50"/>
  <c r="BF164" i="50" s="1"/>
  <c r="BB145" i="50"/>
  <c r="BF145" i="50" s="1"/>
  <c r="N4" i="50"/>
  <c r="N11" i="50" s="1"/>
  <c r="AF113" i="50"/>
  <c r="O113" i="50"/>
  <c r="AF122" i="50"/>
  <c r="O122" i="50"/>
  <c r="P122" i="50" s="1"/>
  <c r="O107" i="50"/>
  <c r="AF107" i="50"/>
  <c r="Q119" i="50"/>
  <c r="AG119" i="50"/>
  <c r="W119" i="50"/>
  <c r="AL67" i="50"/>
  <c r="AG84" i="50"/>
  <c r="W84" i="50"/>
  <c r="W121" i="50"/>
  <c r="AG121" i="50"/>
  <c r="Q121" i="50"/>
  <c r="W113" i="50"/>
  <c r="Q113" i="50"/>
  <c r="R113" i="50" s="1"/>
  <c r="AG113" i="50"/>
  <c r="L94" i="50"/>
  <c r="AF94" i="50" s="1"/>
  <c r="Y82" i="50"/>
  <c r="Y109" i="50"/>
  <c r="Y113" i="50"/>
  <c r="AL70" i="50"/>
  <c r="AL44" i="50"/>
  <c r="O123" i="50"/>
  <c r="P123" i="50" s="1"/>
  <c r="AF123" i="50"/>
  <c r="AL37" i="50"/>
  <c r="Q89" i="50"/>
  <c r="W89" i="50"/>
  <c r="AG89" i="50"/>
  <c r="AG81" i="50"/>
  <c r="Q81" i="50"/>
  <c r="AF118" i="50"/>
  <c r="O118" i="50"/>
  <c r="AG104" i="50"/>
  <c r="W104" i="50"/>
  <c r="Q104" i="50"/>
  <c r="R104" i="50" s="1"/>
  <c r="AF80" i="50"/>
  <c r="O80" i="50"/>
  <c r="AX47" i="50"/>
  <c r="AX48" i="50"/>
  <c r="E89" i="50"/>
  <c r="F89" i="50" s="1"/>
  <c r="E81" i="50"/>
  <c r="F81" i="50" s="1"/>
  <c r="E87" i="50"/>
  <c r="F87" i="50" s="1"/>
  <c r="E94" i="50"/>
  <c r="F94" i="50" s="1"/>
  <c r="E126" i="50"/>
  <c r="F126" i="50" s="1"/>
  <c r="E121" i="50"/>
  <c r="F121" i="50" s="1"/>
  <c r="O116" i="50"/>
  <c r="O84" i="50"/>
  <c r="AF84" i="50"/>
  <c r="AL36" i="50"/>
  <c r="E102" i="50"/>
  <c r="F102" i="50" s="1"/>
  <c r="O106" i="50"/>
  <c r="AF106" i="50"/>
  <c r="AF90" i="50"/>
  <c r="O90" i="50"/>
  <c r="P90" i="50" s="1"/>
  <c r="AG99" i="50"/>
  <c r="W99" i="50"/>
  <c r="Q99" i="50"/>
  <c r="R99" i="50" s="1"/>
  <c r="AL71" i="50"/>
  <c r="AF103" i="50"/>
  <c r="O103" i="50"/>
  <c r="E85" i="50"/>
  <c r="F85" i="50" s="1"/>
  <c r="AG110" i="50"/>
  <c r="W110" i="50"/>
  <c r="Q95" i="50"/>
  <c r="R95" i="50" s="1"/>
  <c r="W95" i="50"/>
  <c r="AG95" i="50"/>
  <c r="AX61" i="50"/>
  <c r="E98" i="50"/>
  <c r="F98" i="50" s="1"/>
  <c r="O126" i="50"/>
  <c r="P126" i="50" s="1"/>
  <c r="AF126" i="50"/>
  <c r="O120" i="50"/>
  <c r="P120" i="50" s="1"/>
  <c r="AF120" i="50"/>
  <c r="W117" i="50"/>
  <c r="Q117" i="50"/>
  <c r="AG117" i="50"/>
  <c r="O125" i="50"/>
  <c r="P125" i="50" s="1"/>
  <c r="W122" i="50"/>
  <c r="AG122" i="50"/>
  <c r="AL68" i="50"/>
  <c r="AG100" i="50"/>
  <c r="W100" i="50"/>
  <c r="O82" i="50"/>
  <c r="AF82" i="50"/>
  <c r="W85" i="50"/>
  <c r="AG85" i="50"/>
  <c r="AF92" i="50"/>
  <c r="O92" i="50"/>
  <c r="P92" i="50" s="1"/>
  <c r="Y90" i="50"/>
  <c r="M84" i="50"/>
  <c r="Y84" i="50" s="1"/>
  <c r="Y117" i="50"/>
  <c r="M115" i="50"/>
  <c r="Y115" i="50" s="1"/>
  <c r="Y104" i="50"/>
  <c r="AL63" i="50"/>
  <c r="AF93" i="50"/>
  <c r="O93" i="50"/>
  <c r="O86" i="50"/>
  <c r="P86" i="50" s="1"/>
  <c r="AF86" i="50"/>
  <c r="E136" i="50"/>
  <c r="AL30" i="50"/>
  <c r="Q98" i="50"/>
  <c r="R98" i="50" s="1"/>
  <c r="W98" i="50"/>
  <c r="AG98" i="50"/>
  <c r="AX46" i="50"/>
  <c r="E115" i="50"/>
  <c r="F115" i="50" s="1"/>
  <c r="E92" i="50"/>
  <c r="F92" i="50" s="1"/>
  <c r="E122" i="50"/>
  <c r="F122" i="50" s="1"/>
  <c r="E106" i="50"/>
  <c r="F106" i="50" s="1"/>
  <c r="E125" i="50"/>
  <c r="F125" i="50" s="1"/>
  <c r="AX34" i="50"/>
  <c r="AX41" i="50"/>
  <c r="AX31" i="50"/>
  <c r="E84" i="50"/>
  <c r="F84" i="50" s="1"/>
  <c r="AF109" i="50"/>
  <c r="O109" i="50"/>
  <c r="AL56" i="50"/>
  <c r="AL64" i="50"/>
  <c r="AL53" i="50"/>
  <c r="W82" i="50"/>
  <c r="Q82" i="50"/>
  <c r="R82" i="50" s="1"/>
  <c r="AG82" i="50"/>
  <c r="E97" i="50"/>
  <c r="F97" i="50" s="1"/>
  <c r="Z81" i="50"/>
  <c r="AD81" i="50" s="1"/>
  <c r="E114" i="50"/>
  <c r="F114" i="50" s="1"/>
  <c r="BB155" i="50"/>
  <c r="BF155" i="50" s="1"/>
  <c r="BB157" i="50"/>
  <c r="BF157" i="50" s="1"/>
  <c r="Q107" i="50"/>
  <c r="W107" i="50"/>
  <c r="AG107" i="50"/>
  <c r="AF114" i="50"/>
  <c r="O114" i="50"/>
  <c r="AL66" i="50"/>
  <c r="AG114" i="50"/>
  <c r="W114" i="50"/>
  <c r="AF117" i="50"/>
  <c r="O117" i="50"/>
  <c r="P117" i="50" s="1"/>
  <c r="AG126" i="50"/>
  <c r="Q126" i="50"/>
  <c r="W126" i="50"/>
  <c r="AF98" i="50"/>
  <c r="O98" i="50"/>
  <c r="P98" i="50" s="1"/>
  <c r="AG91" i="50"/>
  <c r="W91" i="50"/>
  <c r="Q91" i="50"/>
  <c r="W124" i="50"/>
  <c r="AG124" i="50"/>
  <c r="W101" i="50"/>
  <c r="AG101" i="50"/>
  <c r="AF83" i="50"/>
  <c r="O83" i="50"/>
  <c r="P83" i="50" s="1"/>
  <c r="Y91" i="50"/>
  <c r="Y119" i="50"/>
  <c r="Y126" i="50"/>
  <c r="Y108" i="50"/>
  <c r="Q103" i="50"/>
  <c r="R103" i="50" s="1"/>
  <c r="W103" i="50"/>
  <c r="AG103" i="50"/>
  <c r="O97" i="50"/>
  <c r="P97" i="50" s="1"/>
  <c r="AF97" i="50"/>
  <c r="AG96" i="50"/>
  <c r="Q96" i="50"/>
  <c r="R96" i="50" s="1"/>
  <c r="W96" i="50"/>
  <c r="Q97" i="50"/>
  <c r="AG97" i="50"/>
  <c r="W97" i="50"/>
  <c r="AL38" i="50"/>
  <c r="AF96" i="50"/>
  <c r="O96" i="50"/>
  <c r="P96" i="50" s="1"/>
  <c r="AF110" i="50"/>
  <c r="O110" i="50"/>
  <c r="E118" i="50"/>
  <c r="F118" i="50" s="1"/>
  <c r="E96" i="50"/>
  <c r="F96" i="50" s="1"/>
  <c r="E120" i="50"/>
  <c r="F120" i="50" s="1"/>
  <c r="E108" i="50"/>
  <c r="F108" i="50" s="1"/>
  <c r="E124" i="50"/>
  <c r="F124" i="50" s="1"/>
  <c r="AX40" i="50"/>
  <c r="AL60" i="50"/>
  <c r="E103" i="50"/>
  <c r="F103" i="50" s="1"/>
  <c r="AG115" i="50"/>
  <c r="W115" i="50"/>
  <c r="BB136" i="50"/>
  <c r="BF136" i="50" s="1"/>
  <c r="O4" i="50"/>
  <c r="O11" i="50" s="1"/>
  <c r="O112" i="50"/>
  <c r="AF112" i="50"/>
  <c r="AG123" i="50"/>
  <c r="W123" i="50"/>
  <c r="O115" i="50"/>
  <c r="P115" i="50" s="1"/>
  <c r="AF115" i="50"/>
  <c r="O124" i="50"/>
  <c r="AF124" i="50"/>
  <c r="AG112" i="50"/>
  <c r="Q112" i="50"/>
  <c r="R112" i="50" s="1"/>
  <c r="W112" i="50"/>
  <c r="AF99" i="50"/>
  <c r="O99" i="50"/>
  <c r="P99" i="50" s="1"/>
  <c r="AL74" i="50"/>
  <c r="Y107" i="50"/>
  <c r="Y86" i="50"/>
  <c r="M85" i="50"/>
  <c r="Y85" i="50" s="1"/>
  <c r="Y125" i="50"/>
  <c r="AL72" i="50"/>
  <c r="AL65" i="50"/>
  <c r="AL62" i="50"/>
  <c r="AL52" i="50"/>
  <c r="AL45" i="50"/>
  <c r="AL57" i="50"/>
  <c r="O87" i="50"/>
  <c r="P87" i="50" s="1"/>
  <c r="AF87" i="50"/>
  <c r="W90" i="50"/>
  <c r="Q90" i="50"/>
  <c r="AG90" i="50"/>
  <c r="AX39" i="50"/>
  <c r="E107" i="50"/>
  <c r="F107" i="50" s="1"/>
  <c r="E90" i="50"/>
  <c r="F90" i="50" s="1"/>
  <c r="E111" i="50"/>
  <c r="F111" i="50" s="1"/>
  <c r="E116" i="50"/>
  <c r="F116" i="50" s="1"/>
  <c r="E123" i="50"/>
  <c r="F123" i="50" s="1"/>
  <c r="E101" i="50"/>
  <c r="F101" i="50" s="1"/>
  <c r="AG93" i="50"/>
  <c r="W93" i="50"/>
  <c r="G135" i="50"/>
  <c r="F135" i="50"/>
  <c r="E91" i="50"/>
  <c r="F91" i="50" s="1"/>
  <c r="W106" i="50"/>
  <c r="AG106" i="50"/>
  <c r="M106" i="50"/>
  <c r="Y106" i="50" s="1"/>
  <c r="O85" i="50"/>
  <c r="P85" i="50" s="1"/>
  <c r="AF85" i="50"/>
  <c r="E88" i="50"/>
  <c r="F88" i="50" s="1"/>
  <c r="Y96" i="50"/>
  <c r="O102" i="50"/>
  <c r="AF121" i="50"/>
  <c r="O121" i="50"/>
  <c r="P121" i="50" s="1"/>
  <c r="O105" i="50"/>
  <c r="P105" i="50" s="1"/>
  <c r="W118" i="50"/>
  <c r="AG118" i="50"/>
  <c r="Q111" i="50"/>
  <c r="W111" i="50"/>
  <c r="AG111" i="50"/>
  <c r="AL59" i="50"/>
  <c r="AG92" i="50"/>
  <c r="W92" i="50"/>
  <c r="AF89" i="50"/>
  <c r="O89" i="50"/>
  <c r="P89" i="50" s="1"/>
  <c r="AG120" i="50"/>
  <c r="Q120" i="50"/>
  <c r="W120" i="50"/>
  <c r="L102" i="50"/>
  <c r="AF102" i="50" s="1"/>
  <c r="AG86" i="50"/>
  <c r="Q86" i="50"/>
  <c r="W86" i="50"/>
  <c r="M110" i="50"/>
  <c r="Y110" i="50" s="1"/>
  <c r="M124" i="50"/>
  <c r="Y124" i="50" s="1"/>
  <c r="Y116" i="50"/>
  <c r="AF101" i="50"/>
  <c r="O101" i="50"/>
  <c r="P101" i="50" s="1"/>
  <c r="Q87" i="50"/>
  <c r="R87" i="50" s="1"/>
  <c r="AG87" i="50"/>
  <c r="W87" i="50"/>
  <c r="AX69" i="50"/>
  <c r="O94" i="50"/>
  <c r="P94" i="50" s="1"/>
  <c r="Q83" i="50"/>
  <c r="R83" i="50" s="1"/>
  <c r="W83" i="50"/>
  <c r="AG83" i="50"/>
  <c r="O95" i="50"/>
  <c r="P95" i="50" s="1"/>
  <c r="AF95" i="50"/>
  <c r="AX42" i="50"/>
  <c r="E83" i="50"/>
  <c r="F83" i="50" s="1"/>
  <c r="E95" i="50"/>
  <c r="F95" i="50" s="1"/>
  <c r="E82" i="50"/>
  <c r="F82" i="50" s="1"/>
  <c r="E110" i="50"/>
  <c r="F110" i="50" s="1"/>
  <c r="E93" i="50"/>
  <c r="F93" i="50" s="1"/>
  <c r="E105" i="50"/>
  <c r="F105" i="50" s="1"/>
  <c r="AZ48" i="49"/>
  <c r="AZ46" i="49"/>
  <c r="O91" i="49"/>
  <c r="P91" i="49" s="1"/>
  <c r="M92" i="49"/>
  <c r="L114" i="49"/>
  <c r="AF114" i="49" s="1"/>
  <c r="M91" i="49"/>
  <c r="AZ45" i="49"/>
  <c r="AZ54" i="49"/>
  <c r="M94" i="49"/>
  <c r="AL30" i="49"/>
  <c r="AX30" i="49" s="1"/>
  <c r="O118" i="49"/>
  <c r="P118" i="49" s="1"/>
  <c r="M97" i="49"/>
  <c r="D122" i="49"/>
  <c r="AZ37" i="49"/>
  <c r="D99" i="49"/>
  <c r="O109" i="49"/>
  <c r="P109" i="49" s="1"/>
  <c r="AZ29" i="49"/>
  <c r="M96" i="49"/>
  <c r="AZ58" i="49"/>
  <c r="D96" i="49"/>
  <c r="L87" i="49"/>
  <c r="AF87" i="49" s="1"/>
  <c r="B113" i="49"/>
  <c r="L106" i="49"/>
  <c r="AG106" i="49" s="1"/>
  <c r="D108" i="49"/>
  <c r="D92" i="49"/>
  <c r="L95" i="49"/>
  <c r="B106" i="49"/>
  <c r="B100" i="49"/>
  <c r="B112" i="49"/>
  <c r="B107" i="49"/>
  <c r="L96" i="49"/>
  <c r="AF96" i="49" s="1"/>
  <c r="L109" i="49"/>
  <c r="AF109" i="49" s="1"/>
  <c r="D95" i="49"/>
  <c r="D90" i="49"/>
  <c r="M81" i="49"/>
  <c r="D116" i="49"/>
  <c r="M100" i="49"/>
  <c r="Y100" i="49" s="1"/>
  <c r="D101" i="49"/>
  <c r="M123" i="49"/>
  <c r="M102" i="49"/>
  <c r="Q102" i="49" s="1"/>
  <c r="AZ39" i="49"/>
  <c r="B108" i="49"/>
  <c r="L88" i="49"/>
  <c r="D84" i="49"/>
  <c r="M105" i="49"/>
  <c r="L117" i="49"/>
  <c r="AF117" i="49" s="1"/>
  <c r="L120" i="49"/>
  <c r="L124" i="49"/>
  <c r="B86" i="49"/>
  <c r="B85" i="49"/>
  <c r="B88" i="49"/>
  <c r="E88" i="49" s="1"/>
  <c r="B82" i="49"/>
  <c r="B125" i="49"/>
  <c r="B111" i="49"/>
  <c r="B94" i="49"/>
  <c r="O92" i="49"/>
  <c r="P92" i="49" s="1"/>
  <c r="B93" i="49"/>
  <c r="L108" i="49"/>
  <c r="AG108" i="49" s="1"/>
  <c r="L90" i="49"/>
  <c r="B84" i="49"/>
  <c r="D98" i="49"/>
  <c r="D112" i="49"/>
  <c r="M83" i="49"/>
  <c r="M101" i="49"/>
  <c r="Y101" i="49" s="1"/>
  <c r="D107" i="49"/>
  <c r="D103" i="49"/>
  <c r="M121" i="49"/>
  <c r="Q121" i="49" s="1"/>
  <c r="R121" i="49" s="1"/>
  <c r="M114" i="49"/>
  <c r="B103" i="49"/>
  <c r="D94" i="49"/>
  <c r="L123" i="49"/>
  <c r="Q123" i="49" s="1"/>
  <c r="L125" i="49"/>
  <c r="W125" i="49" s="1"/>
  <c r="BB169" i="49"/>
  <c r="BF169" i="49" s="1"/>
  <c r="L84" i="49"/>
  <c r="AF84" i="49" s="1"/>
  <c r="B117" i="49"/>
  <c r="B95" i="49"/>
  <c r="B91" i="49"/>
  <c r="B110" i="49"/>
  <c r="B115" i="49"/>
  <c r="L113" i="49"/>
  <c r="AF113" i="49" s="1"/>
  <c r="L107" i="49"/>
  <c r="AG107" i="49" s="1"/>
  <c r="L126" i="49"/>
  <c r="AG126" i="49" s="1"/>
  <c r="O99" i="49"/>
  <c r="P99" i="49" s="1"/>
  <c r="B87" i="49"/>
  <c r="L99" i="49"/>
  <c r="AF99" i="49" s="1"/>
  <c r="D87" i="49"/>
  <c r="D124" i="49"/>
  <c r="M93" i="49"/>
  <c r="M111" i="49"/>
  <c r="D109" i="49"/>
  <c r="M108" i="49"/>
  <c r="M125" i="49"/>
  <c r="D106" i="49"/>
  <c r="AZ38" i="49"/>
  <c r="O122" i="49"/>
  <c r="P122" i="49" s="1"/>
  <c r="B104" i="49"/>
  <c r="L83" i="49"/>
  <c r="D93" i="49"/>
  <c r="AZ72" i="49"/>
  <c r="L119" i="49"/>
  <c r="AF119" i="49" s="1"/>
  <c r="L103" i="49"/>
  <c r="W103" i="49" s="1"/>
  <c r="B89" i="49"/>
  <c r="B102" i="49"/>
  <c r="B99" i="49"/>
  <c r="E99" i="49" s="1"/>
  <c r="F99" i="49" s="1"/>
  <c r="B114" i="49"/>
  <c r="B119" i="49"/>
  <c r="L94" i="49"/>
  <c r="AF94" i="49" s="1"/>
  <c r="L81" i="49"/>
  <c r="AF81" i="49" s="1"/>
  <c r="L92" i="49"/>
  <c r="AF92" i="49" s="1"/>
  <c r="L115" i="49"/>
  <c r="AG115" i="49" s="1"/>
  <c r="L93" i="49"/>
  <c r="AF93" i="49" s="1"/>
  <c r="M84" i="49"/>
  <c r="Y84" i="49" s="1"/>
  <c r="D81" i="49"/>
  <c r="D80" i="49"/>
  <c r="E80" i="49" s="1"/>
  <c r="F80" i="49" s="1"/>
  <c r="D97" i="49"/>
  <c r="E97" i="49" s="1"/>
  <c r="F97" i="49" s="1"/>
  <c r="D120" i="49"/>
  <c r="M112" i="49"/>
  <c r="Y112" i="49" s="1"/>
  <c r="M113" i="49"/>
  <c r="D113" i="49"/>
  <c r="D110" i="49"/>
  <c r="E110" i="49" s="1"/>
  <c r="F110" i="49" s="1"/>
  <c r="L111" i="49"/>
  <c r="Q111" i="49" s="1"/>
  <c r="B92" i="49"/>
  <c r="D82" i="49"/>
  <c r="E82" i="49" s="1"/>
  <c r="F82" i="49" s="1"/>
  <c r="L122" i="49"/>
  <c r="AG122" i="49" s="1"/>
  <c r="L85" i="49"/>
  <c r="AF85" i="49" s="1"/>
  <c r="B116" i="49"/>
  <c r="B109" i="49"/>
  <c r="B81" i="49"/>
  <c r="B118" i="49"/>
  <c r="B123" i="49"/>
  <c r="B121" i="49"/>
  <c r="W121" i="49" s="1"/>
  <c r="L97" i="49"/>
  <c r="AG97" i="49" s="1"/>
  <c r="L98" i="49"/>
  <c r="AG98" i="49" s="1"/>
  <c r="L82" i="49"/>
  <c r="AF82" i="49" s="1"/>
  <c r="M85" i="49"/>
  <c r="D83" i="49"/>
  <c r="D111" i="49"/>
  <c r="E111" i="49" s="1"/>
  <c r="F111" i="49" s="1"/>
  <c r="D104" i="49"/>
  <c r="D123" i="49"/>
  <c r="M124" i="49"/>
  <c r="M115" i="49"/>
  <c r="D117" i="49"/>
  <c r="D114" i="49"/>
  <c r="B124" i="49"/>
  <c r="E124" i="49" s="1"/>
  <c r="F124" i="49" s="1"/>
  <c r="AZ55" i="49"/>
  <c r="L101" i="49"/>
  <c r="AF101" i="49" s="1"/>
  <c r="M98" i="49"/>
  <c r="Y98" i="49" s="1"/>
  <c r="L80" i="49"/>
  <c r="AG80" i="49" s="1"/>
  <c r="B120" i="49"/>
  <c r="B101" i="49"/>
  <c r="E101" i="49" s="1"/>
  <c r="F101" i="49" s="1"/>
  <c r="B90" i="49"/>
  <c r="B122" i="49"/>
  <c r="E122" i="49" s="1"/>
  <c r="L104" i="49"/>
  <c r="AG104" i="49" s="1"/>
  <c r="B83" i="49"/>
  <c r="O100" i="49"/>
  <c r="P100" i="49" s="1"/>
  <c r="L100" i="49"/>
  <c r="W100" i="49" s="1"/>
  <c r="D88" i="49"/>
  <c r="D91" i="49"/>
  <c r="Y91" i="49" s="1"/>
  <c r="D89" i="49"/>
  <c r="E89" i="49" s="1"/>
  <c r="F89" i="49" s="1"/>
  <c r="D115" i="49"/>
  <c r="E115" i="49" s="1"/>
  <c r="F115" i="49" s="1"/>
  <c r="D86" i="49"/>
  <c r="D85" i="49"/>
  <c r="D119" i="49"/>
  <c r="E119" i="49" s="1"/>
  <c r="F119" i="49" s="1"/>
  <c r="M90" i="49"/>
  <c r="D118" i="49"/>
  <c r="L105" i="49"/>
  <c r="AG105" i="49" s="1"/>
  <c r="BB149" i="49"/>
  <c r="BF149" i="49" s="1"/>
  <c r="AZ66" i="49"/>
  <c r="L89" i="49"/>
  <c r="W89" i="49" s="1"/>
  <c r="M107" i="49"/>
  <c r="D100" i="49"/>
  <c r="E100" i="49" s="1"/>
  <c r="F100" i="49" s="1"/>
  <c r="D121" i="49"/>
  <c r="M118" i="49"/>
  <c r="Y118" i="49" s="1"/>
  <c r="D126" i="49"/>
  <c r="E126" i="49" s="1"/>
  <c r="F126" i="49" s="1"/>
  <c r="L86" i="49"/>
  <c r="O94" i="49"/>
  <c r="P94" i="49" s="1"/>
  <c r="L91" i="49"/>
  <c r="AG91" i="49" s="1"/>
  <c r="M89" i="49"/>
  <c r="D105" i="49"/>
  <c r="M116" i="49"/>
  <c r="Q116" i="49" s="1"/>
  <c r="R116" i="49" s="1"/>
  <c r="D125" i="49"/>
  <c r="M126" i="49"/>
  <c r="AZ40" i="49"/>
  <c r="M88" i="49"/>
  <c r="Y88" i="49" s="1"/>
  <c r="M87" i="49"/>
  <c r="Y87" i="49" s="1"/>
  <c r="M120" i="49"/>
  <c r="Y120" i="49" s="1"/>
  <c r="M86" i="49"/>
  <c r="P112" i="49"/>
  <c r="AG120" i="49"/>
  <c r="O107" i="49"/>
  <c r="P107" i="49" s="1"/>
  <c r="O96" i="49"/>
  <c r="AL31" i="49"/>
  <c r="O120" i="49"/>
  <c r="O86" i="49"/>
  <c r="M103" i="49"/>
  <c r="O101" i="49"/>
  <c r="P101" i="49" s="1"/>
  <c r="E120" i="49"/>
  <c r="F120" i="49" s="1"/>
  <c r="E113" i="49"/>
  <c r="F113" i="49" s="1"/>
  <c r="AZ59" i="49"/>
  <c r="AG81" i="49"/>
  <c r="AL71" i="49"/>
  <c r="O123" i="49"/>
  <c r="P123" i="49" s="1"/>
  <c r="O114" i="49"/>
  <c r="P114" i="49" s="1"/>
  <c r="E135" i="49"/>
  <c r="AL29" i="49"/>
  <c r="M109" i="49"/>
  <c r="M117" i="49"/>
  <c r="Y117" i="49" s="1"/>
  <c r="Y90" i="49"/>
  <c r="M122" i="49"/>
  <c r="Y122" i="49" s="1"/>
  <c r="O117" i="49"/>
  <c r="P117" i="49" s="1"/>
  <c r="BB145" i="49"/>
  <c r="BF145" i="49" s="1"/>
  <c r="N4" i="49"/>
  <c r="N11" i="49" s="1"/>
  <c r="O116" i="49"/>
  <c r="AF116" i="49"/>
  <c r="O124" i="49"/>
  <c r="O82" i="49"/>
  <c r="P82" i="49" s="1"/>
  <c r="E98" i="49"/>
  <c r="F98" i="49" s="1"/>
  <c r="W116" i="49"/>
  <c r="AG116" i="49"/>
  <c r="O102" i="49"/>
  <c r="AF102" i="49"/>
  <c r="AF95" i="49"/>
  <c r="O95" i="49"/>
  <c r="P95" i="49" s="1"/>
  <c r="AL69" i="49"/>
  <c r="O104" i="49"/>
  <c r="O97" i="49"/>
  <c r="AX50" i="49"/>
  <c r="AX56" i="49"/>
  <c r="AX53" i="49"/>
  <c r="M119" i="49"/>
  <c r="M99" i="49"/>
  <c r="Y99" i="49" s="1"/>
  <c r="Y94" i="49"/>
  <c r="Y136" i="49"/>
  <c r="AB136" i="49" s="1"/>
  <c r="G136" i="49"/>
  <c r="AL36" i="49"/>
  <c r="AX35" i="49"/>
  <c r="O85" i="49"/>
  <c r="E102" i="49"/>
  <c r="F102" i="49" s="1"/>
  <c r="AL68" i="49"/>
  <c r="AL58" i="49"/>
  <c r="AF115" i="49"/>
  <c r="O115" i="49"/>
  <c r="P115" i="49" s="1"/>
  <c r="AL75" i="49"/>
  <c r="AG118" i="49"/>
  <c r="AX55" i="49"/>
  <c r="O125" i="49"/>
  <c r="AL72" i="49"/>
  <c r="BB136" i="49"/>
  <c r="BF136" i="49" s="1"/>
  <c r="O4" i="49"/>
  <c r="O11" i="49" s="1"/>
  <c r="E94" i="49"/>
  <c r="F94" i="49" s="1"/>
  <c r="AL60" i="49"/>
  <c r="O88" i="49"/>
  <c r="P88" i="49" s="1"/>
  <c r="AX74" i="49"/>
  <c r="AX45" i="49"/>
  <c r="AX51" i="49"/>
  <c r="E116" i="49"/>
  <c r="F116" i="49" s="1"/>
  <c r="AG121" i="49"/>
  <c r="AL73" i="49"/>
  <c r="AG110" i="49"/>
  <c r="W110" i="49"/>
  <c r="O113" i="49"/>
  <c r="O93" i="49"/>
  <c r="P93" i="49" s="1"/>
  <c r="E112" i="49"/>
  <c r="F112" i="49" s="1"/>
  <c r="O126" i="49"/>
  <c r="E96" i="49"/>
  <c r="F96" i="49" s="1"/>
  <c r="AL65" i="49"/>
  <c r="O105" i="49"/>
  <c r="O98" i="49"/>
  <c r="AX38" i="49"/>
  <c r="M80" i="49"/>
  <c r="AX54" i="49"/>
  <c r="AL37" i="49"/>
  <c r="O119" i="49"/>
  <c r="O108" i="49"/>
  <c r="P108" i="49" s="1"/>
  <c r="O111" i="49"/>
  <c r="P111" i="49" s="1"/>
  <c r="AG87" i="49"/>
  <c r="AX64" i="49"/>
  <c r="W101" i="49"/>
  <c r="O110" i="49"/>
  <c r="P110" i="49" s="1"/>
  <c r="AF110" i="49"/>
  <c r="O106" i="49"/>
  <c r="P106" i="49" s="1"/>
  <c r="AL59" i="49"/>
  <c r="W82" i="49"/>
  <c r="M95" i="49"/>
  <c r="M104" i="49"/>
  <c r="M106" i="49"/>
  <c r="Y106" i="49" s="1"/>
  <c r="AX32" i="49"/>
  <c r="O89" i="49"/>
  <c r="O121" i="49"/>
  <c r="P121" i="49" s="1"/>
  <c r="AF121" i="49"/>
  <c r="P83" i="49"/>
  <c r="Z81" i="49"/>
  <c r="AD81" i="49" s="1"/>
  <c r="AG112" i="49"/>
  <c r="W112" i="49"/>
  <c r="BB173" i="49"/>
  <c r="BF173" i="49" s="1"/>
  <c r="E91" i="49"/>
  <c r="F91" i="49" s="1"/>
  <c r="AX70" i="49"/>
  <c r="AG102" i="49"/>
  <c r="W102" i="49"/>
  <c r="O87" i="49"/>
  <c r="P87" i="49" s="1"/>
  <c r="AF118" i="49"/>
  <c r="E87" i="49"/>
  <c r="F87" i="49" s="1"/>
  <c r="AL47" i="49"/>
  <c r="O80" i="49"/>
  <c r="P80" i="49" s="1"/>
  <c r="O90" i="49"/>
  <c r="P90" i="49" s="1"/>
  <c r="O81" i="49"/>
  <c r="P81" i="49" s="1"/>
  <c r="E84" i="49"/>
  <c r="F84" i="49" s="1"/>
  <c r="AX34" i="49"/>
  <c r="M110" i="49"/>
  <c r="AX42" i="49"/>
  <c r="AZ75" i="48"/>
  <c r="AL55" i="48"/>
  <c r="E161" i="48"/>
  <c r="M161" i="48"/>
  <c r="E157" i="48"/>
  <c r="M157" i="48"/>
  <c r="E154" i="48"/>
  <c r="M154" i="48"/>
  <c r="E166" i="48"/>
  <c r="M166" i="48"/>
  <c r="E158" i="48"/>
  <c r="M158" i="48"/>
  <c r="E176" i="48"/>
  <c r="M176" i="48"/>
  <c r="E151" i="48"/>
  <c r="M151" i="48"/>
  <c r="E165" i="48"/>
  <c r="M165" i="48"/>
  <c r="E144" i="48"/>
  <c r="M144" i="48"/>
  <c r="AL144" i="48" s="1"/>
  <c r="AL41" i="48"/>
  <c r="AX41" i="48" s="1"/>
  <c r="E147" i="48"/>
  <c r="M147" i="48"/>
  <c r="AL72" i="48"/>
  <c r="AX72" i="48" s="1"/>
  <c r="E178" i="48"/>
  <c r="M178" i="48"/>
  <c r="AL54" i="48"/>
  <c r="AX54" i="48" s="1"/>
  <c r="E160" i="48"/>
  <c r="M160" i="48"/>
  <c r="E142" i="48"/>
  <c r="M142" i="48"/>
  <c r="E171" i="48"/>
  <c r="M171" i="48"/>
  <c r="E173" i="48"/>
  <c r="M173" i="48"/>
  <c r="M172" i="48"/>
  <c r="E172" i="48"/>
  <c r="E135" i="48"/>
  <c r="F135" i="48" s="1"/>
  <c r="M135" i="48"/>
  <c r="E170" i="48"/>
  <c r="M170" i="48"/>
  <c r="E139" i="48"/>
  <c r="M139" i="48"/>
  <c r="E150" i="48"/>
  <c r="M150" i="48"/>
  <c r="M164" i="48"/>
  <c r="E164" i="48"/>
  <c r="AL35" i="48"/>
  <c r="AX35" i="48" s="1"/>
  <c r="E141" i="48"/>
  <c r="M141" i="48"/>
  <c r="E179" i="48"/>
  <c r="M179" i="48"/>
  <c r="AL49" i="48"/>
  <c r="AX49" i="48" s="1"/>
  <c r="E155" i="48"/>
  <c r="M155" i="48"/>
  <c r="E175" i="48"/>
  <c r="M175" i="48"/>
  <c r="E174" i="48"/>
  <c r="M174" i="48"/>
  <c r="M140" i="48"/>
  <c r="E140" i="48"/>
  <c r="AL57" i="48"/>
  <c r="AX57" i="48" s="1"/>
  <c r="E163" i="48"/>
  <c r="M163" i="48"/>
  <c r="E181" i="48"/>
  <c r="M181" i="48"/>
  <c r="E169" i="48"/>
  <c r="M169" i="48"/>
  <c r="AL46" i="48"/>
  <c r="AX46" i="48" s="1"/>
  <c r="E152" i="48"/>
  <c r="M152" i="48"/>
  <c r="AL42" i="48"/>
  <c r="AX42" i="48" s="1"/>
  <c r="M148" i="48"/>
  <c r="E148" i="48"/>
  <c r="E145" i="48"/>
  <c r="M145" i="48"/>
  <c r="AL74" i="48"/>
  <c r="AX74" i="48" s="1"/>
  <c r="M180" i="48"/>
  <c r="E180" i="48"/>
  <c r="AL37" i="48"/>
  <c r="AX37" i="48" s="1"/>
  <c r="E143" i="48"/>
  <c r="M143" i="48"/>
  <c r="E138" i="48"/>
  <c r="M138" i="48"/>
  <c r="E168" i="48"/>
  <c r="M168" i="48"/>
  <c r="E159" i="48"/>
  <c r="M159" i="48"/>
  <c r="E167" i="48"/>
  <c r="M167" i="48"/>
  <c r="AL47" i="48"/>
  <c r="E153" i="48"/>
  <c r="M153" i="48"/>
  <c r="E162" i="48"/>
  <c r="M162" i="48"/>
  <c r="E149" i="48"/>
  <c r="M149" i="48"/>
  <c r="E146" i="48"/>
  <c r="M146" i="48"/>
  <c r="E136" i="48"/>
  <c r="M136" i="48"/>
  <c r="E137" i="48"/>
  <c r="M137" i="48"/>
  <c r="AL50" i="48"/>
  <c r="AX50" i="48" s="1"/>
  <c r="M156" i="48"/>
  <c r="E156" i="48"/>
  <c r="AL71" i="48"/>
  <c r="AX71" i="48" s="1"/>
  <c r="E177" i="48"/>
  <c r="M177" i="48"/>
  <c r="M102" i="48"/>
  <c r="Y102" i="48" s="1"/>
  <c r="M114" i="48"/>
  <c r="Y114" i="48" s="1"/>
  <c r="M86" i="48"/>
  <c r="Y86" i="48" s="1"/>
  <c r="M80" i="48"/>
  <c r="AZ66" i="48"/>
  <c r="BB178" i="48"/>
  <c r="BF178" i="48" s="1"/>
  <c r="AZ48" i="48"/>
  <c r="AZ42" i="48"/>
  <c r="AL36" i="48"/>
  <c r="AX36" i="48" s="1"/>
  <c r="O87" i="48"/>
  <c r="P87" i="48" s="1"/>
  <c r="AL32" i="48"/>
  <c r="AX32" i="48" s="1"/>
  <c r="BB144" i="48"/>
  <c r="BF144" i="48" s="1"/>
  <c r="AZ63" i="48"/>
  <c r="AZ46" i="48"/>
  <c r="O95" i="48"/>
  <c r="P95" i="48" s="1"/>
  <c r="AZ49" i="48"/>
  <c r="AL29" i="48"/>
  <c r="AX29" i="48" s="1"/>
  <c r="AZ37" i="48"/>
  <c r="M95" i="48"/>
  <c r="Q95" i="48" s="1"/>
  <c r="BB166" i="48"/>
  <c r="BF166" i="48" s="1"/>
  <c r="L102" i="48"/>
  <c r="O83" i="48"/>
  <c r="P83" i="48" s="1"/>
  <c r="AZ51" i="48"/>
  <c r="AF84" i="48"/>
  <c r="BB161" i="48"/>
  <c r="BF161" i="48" s="1"/>
  <c r="O84" i="48"/>
  <c r="L80" i="48"/>
  <c r="M100" i="48"/>
  <c r="Q100" i="48" s="1"/>
  <c r="R100" i="48" s="1"/>
  <c r="AZ33" i="48"/>
  <c r="Y103" i="48"/>
  <c r="AZ71" i="48"/>
  <c r="M122" i="48"/>
  <c r="Y122" i="48" s="1"/>
  <c r="M93" i="48"/>
  <c r="Y93" i="48" s="1"/>
  <c r="AZ35" i="48"/>
  <c r="O82" i="48"/>
  <c r="AZ44" i="48"/>
  <c r="M88" i="48"/>
  <c r="Y88" i="48" s="1"/>
  <c r="M110" i="48"/>
  <c r="Y110" i="48" s="1"/>
  <c r="AZ45" i="48"/>
  <c r="Y89" i="48"/>
  <c r="L86" i="48"/>
  <c r="AZ29" i="48"/>
  <c r="M97" i="48"/>
  <c r="Y97" i="48" s="1"/>
  <c r="Y119" i="48"/>
  <c r="Y104" i="48"/>
  <c r="BB179" i="48"/>
  <c r="BF179" i="48" s="1"/>
  <c r="Y123" i="48"/>
  <c r="BB158" i="48"/>
  <c r="BF158" i="48" s="1"/>
  <c r="AZ59" i="48"/>
  <c r="M126" i="48"/>
  <c r="Y126" i="48" s="1"/>
  <c r="Y112" i="48"/>
  <c r="O97" i="48"/>
  <c r="P97" i="48" s="1"/>
  <c r="AF97" i="48"/>
  <c r="AG105" i="48"/>
  <c r="W105" i="48"/>
  <c r="Q105" i="48"/>
  <c r="R105" i="48" s="1"/>
  <c r="AL59" i="48"/>
  <c r="E116" i="48"/>
  <c r="F116" i="48" s="1"/>
  <c r="AL51" i="48"/>
  <c r="AL33" i="48"/>
  <c r="E198" i="48" s="1"/>
  <c r="Q82" i="48"/>
  <c r="R82" i="48" s="1"/>
  <c r="AG82" i="48"/>
  <c r="W82" i="48"/>
  <c r="AF115" i="48"/>
  <c r="O115" i="48"/>
  <c r="AG124" i="48"/>
  <c r="W124" i="48"/>
  <c r="Q124" i="48"/>
  <c r="R124" i="48" s="1"/>
  <c r="E94" i="48"/>
  <c r="F94" i="48" s="1"/>
  <c r="E125" i="48"/>
  <c r="F125" i="48" s="1"/>
  <c r="O119" i="48"/>
  <c r="AF119" i="48"/>
  <c r="Q123" i="48"/>
  <c r="R123" i="48" s="1"/>
  <c r="W123" i="48"/>
  <c r="AG123" i="48"/>
  <c r="AF101" i="48"/>
  <c r="O101" i="48"/>
  <c r="P101" i="48" s="1"/>
  <c r="AF103" i="48"/>
  <c r="O103" i="48"/>
  <c r="P103" i="48" s="1"/>
  <c r="E97" i="48"/>
  <c r="F97" i="48" s="1"/>
  <c r="E92" i="48"/>
  <c r="F92" i="48" s="1"/>
  <c r="AF82" i="48"/>
  <c r="BB139" i="48"/>
  <c r="BF139" i="48" s="1"/>
  <c r="O4" i="48"/>
  <c r="O11" i="48" s="1"/>
  <c r="AF124" i="48"/>
  <c r="O124" i="48"/>
  <c r="P124" i="48" s="1"/>
  <c r="AF117" i="48"/>
  <c r="O117" i="48"/>
  <c r="P117" i="48" s="1"/>
  <c r="AG113" i="48"/>
  <c r="W113" i="48"/>
  <c r="Q113" i="48"/>
  <c r="R113" i="48" s="1"/>
  <c r="AG91" i="48"/>
  <c r="W91" i="48"/>
  <c r="AL69" i="48"/>
  <c r="O98" i="48"/>
  <c r="AF98" i="48"/>
  <c r="O121" i="48"/>
  <c r="AF121" i="48"/>
  <c r="AL67" i="48"/>
  <c r="AF114" i="48"/>
  <c r="O114" i="48"/>
  <c r="P114" i="48" s="1"/>
  <c r="AG96" i="48"/>
  <c r="W96" i="48"/>
  <c r="AG97" i="48"/>
  <c r="W97" i="48"/>
  <c r="AL43" i="48"/>
  <c r="AL66" i="48"/>
  <c r="AL40" i="48"/>
  <c r="E88" i="48"/>
  <c r="F88" i="48" s="1"/>
  <c r="E103" i="48"/>
  <c r="F103" i="48" s="1"/>
  <c r="E95" i="48"/>
  <c r="F95" i="48" s="1"/>
  <c r="E96" i="48"/>
  <c r="F96" i="48" s="1"/>
  <c r="E105" i="48"/>
  <c r="F105" i="48" s="1"/>
  <c r="E109" i="48"/>
  <c r="F109" i="48" s="1"/>
  <c r="AG87" i="48"/>
  <c r="W87" i="48"/>
  <c r="Q87" i="48"/>
  <c r="Q106" i="48"/>
  <c r="R106" i="48" s="1"/>
  <c r="W106" i="48"/>
  <c r="AG106" i="48"/>
  <c r="Z81" i="48"/>
  <c r="Y83" i="48"/>
  <c r="Y94" i="48"/>
  <c r="Y92" i="48"/>
  <c r="Y101" i="48"/>
  <c r="Y116" i="48"/>
  <c r="AF96" i="48"/>
  <c r="O96" i="48"/>
  <c r="P96" i="48" s="1"/>
  <c r="AF120" i="48"/>
  <c r="O120" i="48"/>
  <c r="P120" i="48" s="1"/>
  <c r="W101" i="48"/>
  <c r="AG101" i="48"/>
  <c r="Q101" i="48"/>
  <c r="R101" i="48" s="1"/>
  <c r="E84" i="48"/>
  <c r="F84" i="48" s="1"/>
  <c r="E120" i="48"/>
  <c r="F120" i="48" s="1"/>
  <c r="Y121" i="48"/>
  <c r="Q94" i="48"/>
  <c r="R94" i="48" s="1"/>
  <c r="AG94" i="48"/>
  <c r="W94" i="48"/>
  <c r="AG100" i="48"/>
  <c r="W100" i="48"/>
  <c r="O102" i="48"/>
  <c r="P102" i="48" s="1"/>
  <c r="AF85" i="48"/>
  <c r="O85" i="48"/>
  <c r="P85" i="48" s="1"/>
  <c r="E87" i="48"/>
  <c r="F87" i="48" s="1"/>
  <c r="Y125" i="48"/>
  <c r="AL31" i="48"/>
  <c r="AG107" i="48"/>
  <c r="W107" i="48"/>
  <c r="O99" i="48"/>
  <c r="AF99" i="48"/>
  <c r="E91" i="48"/>
  <c r="F91" i="48" s="1"/>
  <c r="E124" i="48"/>
  <c r="F124" i="48" s="1"/>
  <c r="Y82" i="48"/>
  <c r="O80" i="48"/>
  <c r="P80" i="48" s="1"/>
  <c r="AG120" i="48"/>
  <c r="W120" i="48"/>
  <c r="Q120" i="48"/>
  <c r="R120" i="48" s="1"/>
  <c r="O105" i="48"/>
  <c r="AF105" i="48"/>
  <c r="O89" i="48"/>
  <c r="P89" i="48" s="1"/>
  <c r="AF89" i="48"/>
  <c r="AL68" i="48"/>
  <c r="AG109" i="48"/>
  <c r="W109" i="48"/>
  <c r="Q109" i="48"/>
  <c r="R109" i="48" s="1"/>
  <c r="O94" i="48"/>
  <c r="AF94" i="48"/>
  <c r="AL45" i="48"/>
  <c r="AX63" i="48"/>
  <c r="E82" i="48"/>
  <c r="F82" i="48" s="1"/>
  <c r="E126" i="48"/>
  <c r="F126" i="48" s="1"/>
  <c r="E99" i="48"/>
  <c r="F99" i="48" s="1"/>
  <c r="E108" i="48"/>
  <c r="F108" i="48" s="1"/>
  <c r="E104" i="48"/>
  <c r="F104" i="48" s="1"/>
  <c r="Q89" i="48"/>
  <c r="R89" i="48" s="1"/>
  <c r="AG89" i="48"/>
  <c r="W89" i="48"/>
  <c r="AL30" i="48"/>
  <c r="Y87" i="48"/>
  <c r="Y98" i="48"/>
  <c r="M96" i="48"/>
  <c r="Y96" i="48" s="1"/>
  <c r="Y105" i="48"/>
  <c r="Y120" i="48"/>
  <c r="AL44" i="48"/>
  <c r="W88" i="48"/>
  <c r="AG88" i="48"/>
  <c r="AL53" i="48"/>
  <c r="E112" i="48"/>
  <c r="F112" i="48" s="1"/>
  <c r="O126" i="48"/>
  <c r="P126" i="48" s="1"/>
  <c r="AF126" i="48"/>
  <c r="AL70" i="48"/>
  <c r="E85" i="48"/>
  <c r="F85" i="48" s="1"/>
  <c r="M99" i="48"/>
  <c r="Y99" i="48" s="1"/>
  <c r="AF118" i="48"/>
  <c r="O118" i="48"/>
  <c r="O111" i="48"/>
  <c r="AF111" i="48"/>
  <c r="AG93" i="48"/>
  <c r="W93" i="48"/>
  <c r="AG108" i="48"/>
  <c r="W108" i="48"/>
  <c r="Q108" i="48"/>
  <c r="R108" i="48" s="1"/>
  <c r="AG92" i="48"/>
  <c r="W92" i="48"/>
  <c r="Q92" i="48"/>
  <c r="R92" i="48" s="1"/>
  <c r="AL64" i="48"/>
  <c r="O91" i="48"/>
  <c r="AF91" i="48"/>
  <c r="AG117" i="48"/>
  <c r="W117" i="48"/>
  <c r="AG95" i="48"/>
  <c r="W95" i="48"/>
  <c r="AF112" i="48"/>
  <c r="O112" i="48"/>
  <c r="P112" i="48" s="1"/>
  <c r="Q85" i="48"/>
  <c r="R85" i="48" s="1"/>
  <c r="AG85" i="48"/>
  <c r="W85" i="48"/>
  <c r="W83" i="48"/>
  <c r="Q83" i="48"/>
  <c r="AG83" i="48"/>
  <c r="E93" i="48"/>
  <c r="F93" i="48" s="1"/>
  <c r="E107" i="48"/>
  <c r="F107" i="48" s="1"/>
  <c r="E100" i="48"/>
  <c r="F100" i="48" s="1"/>
  <c r="E118" i="48"/>
  <c r="F118" i="48" s="1"/>
  <c r="E111" i="48"/>
  <c r="F111" i="48" s="1"/>
  <c r="AZ40" i="48"/>
  <c r="AX47" i="48"/>
  <c r="M84" i="48"/>
  <c r="Y84" i="48" s="1"/>
  <c r="Y109" i="48"/>
  <c r="Y124" i="48"/>
  <c r="AF95" i="48"/>
  <c r="AF88" i="48"/>
  <c r="O88" i="48"/>
  <c r="AG121" i="48"/>
  <c r="W121" i="48"/>
  <c r="Q121" i="48"/>
  <c r="R121" i="48" s="1"/>
  <c r="O123" i="48"/>
  <c r="P123" i="48" s="1"/>
  <c r="AF123" i="48"/>
  <c r="E83" i="48"/>
  <c r="F83" i="48" s="1"/>
  <c r="AF81" i="48"/>
  <c r="O81" i="48"/>
  <c r="P81" i="48" s="1"/>
  <c r="AG126" i="48"/>
  <c r="W126" i="48"/>
  <c r="AX73" i="48"/>
  <c r="AG114" i="48"/>
  <c r="W114" i="48"/>
  <c r="E122" i="48"/>
  <c r="F122" i="48" s="1"/>
  <c r="AL39" i="48"/>
  <c r="Y108" i="48"/>
  <c r="AL48" i="48"/>
  <c r="Q119" i="48"/>
  <c r="R119" i="48" s="1"/>
  <c r="AG119" i="48"/>
  <c r="W119" i="48"/>
  <c r="O100" i="48"/>
  <c r="P100" i="48" s="1"/>
  <c r="AF100" i="48"/>
  <c r="AL34" i="48"/>
  <c r="E98" i="48"/>
  <c r="F98" i="48" s="1"/>
  <c r="E101" i="48"/>
  <c r="F101" i="48" s="1"/>
  <c r="AG81" i="48"/>
  <c r="Q81" i="48"/>
  <c r="R81" i="48" s="1"/>
  <c r="BB147" i="48"/>
  <c r="BF147" i="48" s="1"/>
  <c r="AF116" i="48"/>
  <c r="O116" i="48"/>
  <c r="Q111" i="48"/>
  <c r="R111" i="48" s="1"/>
  <c r="AG111" i="48"/>
  <c r="W111" i="48"/>
  <c r="AG112" i="48"/>
  <c r="W112" i="48"/>
  <c r="Q112" i="48"/>
  <c r="R112" i="48" s="1"/>
  <c r="W122" i="48"/>
  <c r="AG122" i="48"/>
  <c r="AL62" i="48"/>
  <c r="O90" i="48"/>
  <c r="AF90" i="48"/>
  <c r="AF107" i="48"/>
  <c r="O107" i="48"/>
  <c r="P107" i="48" s="1"/>
  <c r="AG110" i="48"/>
  <c r="W110" i="48"/>
  <c r="AF93" i="48"/>
  <c r="O93" i="48"/>
  <c r="AF122" i="48"/>
  <c r="O122" i="48"/>
  <c r="P122" i="48" s="1"/>
  <c r="AG84" i="48"/>
  <c r="W84" i="48"/>
  <c r="AF87" i="48"/>
  <c r="AL38" i="48"/>
  <c r="AX75" i="48"/>
  <c r="AX55" i="48"/>
  <c r="E81" i="48"/>
  <c r="F81" i="48" s="1"/>
  <c r="E86" i="48"/>
  <c r="F86" i="48" s="1"/>
  <c r="E114" i="48"/>
  <c r="F114" i="48" s="1"/>
  <c r="E102" i="48"/>
  <c r="F102" i="48" s="1"/>
  <c r="E106" i="48"/>
  <c r="F106" i="48" s="1"/>
  <c r="E119" i="48"/>
  <c r="F119" i="48" s="1"/>
  <c r="AF83" i="48"/>
  <c r="AF104" i="48"/>
  <c r="O104" i="48"/>
  <c r="P104" i="48" s="1"/>
  <c r="Y85" i="48"/>
  <c r="Y118" i="48"/>
  <c r="Y106" i="48"/>
  <c r="M107" i="48"/>
  <c r="Y107" i="48" s="1"/>
  <c r="Y111" i="48"/>
  <c r="Y113" i="48"/>
  <c r="W118" i="48"/>
  <c r="AG118" i="48"/>
  <c r="Q118" i="48"/>
  <c r="R118" i="48" s="1"/>
  <c r="AL61" i="48"/>
  <c r="E123" i="48"/>
  <c r="F123" i="48" s="1"/>
  <c r="AL52" i="48"/>
  <c r="AX58" i="48"/>
  <c r="E115" i="48"/>
  <c r="F115" i="48" s="1"/>
  <c r="Q90" i="48"/>
  <c r="R90" i="48" s="1"/>
  <c r="W90" i="48"/>
  <c r="AG90" i="48"/>
  <c r="AL60" i="48"/>
  <c r="Q98" i="48"/>
  <c r="R98" i="48" s="1"/>
  <c r="AG98" i="48"/>
  <c r="W98" i="48"/>
  <c r="BB142" i="48"/>
  <c r="BF142" i="48" s="1"/>
  <c r="N4" i="48"/>
  <c r="N11" i="48" s="1"/>
  <c r="AF125" i="48"/>
  <c r="O125" i="48"/>
  <c r="AF109" i="48"/>
  <c r="O109" i="48"/>
  <c r="P109" i="48" s="1"/>
  <c r="O110" i="48"/>
  <c r="AF110" i="48"/>
  <c r="AG116" i="48"/>
  <c r="W116" i="48"/>
  <c r="Q116" i="48"/>
  <c r="R116" i="48" s="1"/>
  <c r="AG99" i="48"/>
  <c r="W99" i="48"/>
  <c r="AF106" i="48"/>
  <c r="O106" i="48"/>
  <c r="AG125" i="48"/>
  <c r="W125" i="48"/>
  <c r="Q125" i="48"/>
  <c r="R125" i="48" s="1"/>
  <c r="O108" i="48"/>
  <c r="P108" i="48" s="1"/>
  <c r="AF108" i="48"/>
  <c r="AL65" i="48"/>
  <c r="Q103" i="48"/>
  <c r="R103" i="48" s="1"/>
  <c r="AG103" i="48"/>
  <c r="W103" i="48"/>
  <c r="Q115" i="48"/>
  <c r="W115" i="48"/>
  <c r="AG115" i="48"/>
  <c r="AG104" i="48"/>
  <c r="Q104" i="48"/>
  <c r="W104" i="48"/>
  <c r="O113" i="48"/>
  <c r="P113" i="48" s="1"/>
  <c r="AF113" i="48"/>
  <c r="AF92" i="48"/>
  <c r="O92" i="48"/>
  <c r="P92" i="48" s="1"/>
  <c r="AL56" i="48"/>
  <c r="E89" i="48"/>
  <c r="F89" i="48" s="1"/>
  <c r="E90" i="48"/>
  <c r="F90" i="48" s="1"/>
  <c r="E117" i="48"/>
  <c r="F117" i="48" s="1"/>
  <c r="E110" i="48"/>
  <c r="F110" i="48" s="1"/>
  <c r="E113" i="48"/>
  <c r="F113" i="48" s="1"/>
  <c r="E121" i="48"/>
  <c r="F121" i="48" s="1"/>
  <c r="O86" i="48"/>
  <c r="Y90" i="48"/>
  <c r="M91" i="48"/>
  <c r="Y91" i="48" s="1"/>
  <c r="Y115" i="48"/>
  <c r="M117" i="48"/>
  <c r="Y117" i="48" s="1"/>
  <c r="BB150" i="46"/>
  <c r="BF150" i="46" s="1"/>
  <c r="L116" i="46"/>
  <c r="W116" i="46" s="1"/>
  <c r="Y98" i="46"/>
  <c r="BB166" i="46"/>
  <c r="BF166" i="46" s="1"/>
  <c r="AZ64" i="46"/>
  <c r="AZ29" i="46"/>
  <c r="BB169" i="46"/>
  <c r="BF169" i="46" s="1"/>
  <c r="L123" i="46"/>
  <c r="AZ51" i="46"/>
  <c r="L100" i="46"/>
  <c r="Q100" i="46" s="1"/>
  <c r="Y114" i="46"/>
  <c r="BB139" i="46"/>
  <c r="BF139" i="46" s="1"/>
  <c r="M121" i="46"/>
  <c r="Y121" i="46" s="1"/>
  <c r="L102" i="46"/>
  <c r="AF102" i="46" s="1"/>
  <c r="L107" i="46"/>
  <c r="W107" i="46" s="1"/>
  <c r="Y95" i="46"/>
  <c r="D124" i="46"/>
  <c r="M125" i="46"/>
  <c r="Y125" i="46" s="1"/>
  <c r="B89" i="46"/>
  <c r="AZ50" i="46"/>
  <c r="BB150" i="47"/>
  <c r="BF150" i="47" s="1"/>
  <c r="BB164" i="47"/>
  <c r="BF164" i="47" s="1"/>
  <c r="AZ52" i="47"/>
  <c r="O125" i="47"/>
  <c r="P125" i="47" s="1"/>
  <c r="AZ42" i="47"/>
  <c r="AZ73" i="47"/>
  <c r="AZ72" i="47"/>
  <c r="AZ33" i="47"/>
  <c r="AZ50" i="47"/>
  <c r="AZ64" i="47"/>
  <c r="D119" i="47"/>
  <c r="BB172" i="47"/>
  <c r="BF172" i="47" s="1"/>
  <c r="BB156" i="47"/>
  <c r="BF156" i="47" s="1"/>
  <c r="BB181" i="47"/>
  <c r="BF181" i="47" s="1"/>
  <c r="AZ51" i="47"/>
  <c r="AZ65" i="47"/>
  <c r="AZ35" i="47"/>
  <c r="AZ69" i="47"/>
  <c r="E136" i="47"/>
  <c r="L113" i="47"/>
  <c r="AG113" i="47" s="1"/>
  <c r="AZ74" i="47"/>
  <c r="L116" i="47"/>
  <c r="AG116" i="47" s="1"/>
  <c r="L80" i="47"/>
  <c r="AG80" i="47" s="1"/>
  <c r="L99" i="47"/>
  <c r="AF99" i="47" s="1"/>
  <c r="D89" i="47"/>
  <c r="D85" i="47"/>
  <c r="L105" i="47"/>
  <c r="AG105" i="47" s="1"/>
  <c r="L98" i="47"/>
  <c r="AF98" i="47" s="1"/>
  <c r="M121" i="47"/>
  <c r="D117" i="47"/>
  <c r="BB153" i="47"/>
  <c r="BF153" i="47" s="1"/>
  <c r="L123" i="47"/>
  <c r="AG123" i="47" s="1"/>
  <c r="L92" i="47"/>
  <c r="AF92" i="47" s="1"/>
  <c r="D96" i="47"/>
  <c r="AZ44" i="47"/>
  <c r="D106" i="47"/>
  <c r="L122" i="47"/>
  <c r="AG122" i="47" s="1"/>
  <c r="L124" i="47"/>
  <c r="AF124" i="47" s="1"/>
  <c r="M111" i="47"/>
  <c r="AZ67" i="47"/>
  <c r="M103" i="47"/>
  <c r="D103" i="47"/>
  <c r="D108" i="47"/>
  <c r="M82" i="47"/>
  <c r="AZ58" i="47"/>
  <c r="L85" i="47"/>
  <c r="AF85" i="47" s="1"/>
  <c r="AZ49" i="47"/>
  <c r="D80" i="47"/>
  <c r="E80" i="47" s="1"/>
  <c r="F80" i="47" s="1"/>
  <c r="D83" i="47"/>
  <c r="M110" i="47"/>
  <c r="M85" i="47"/>
  <c r="M88" i="47"/>
  <c r="Q88" i="47" s="1"/>
  <c r="D116" i="47"/>
  <c r="BB147" i="47"/>
  <c r="BF147" i="47" s="1"/>
  <c r="L101" i="47"/>
  <c r="AG101" i="47" s="1"/>
  <c r="L91" i="47"/>
  <c r="M120" i="47"/>
  <c r="M117" i="47"/>
  <c r="D126" i="47"/>
  <c r="BB157" i="47"/>
  <c r="BF157" i="47" s="1"/>
  <c r="M84" i="47"/>
  <c r="AG88" i="47"/>
  <c r="O118" i="47"/>
  <c r="O116" i="47"/>
  <c r="P116" i="47" s="1"/>
  <c r="O108" i="47"/>
  <c r="AG83" i="47"/>
  <c r="O100" i="47"/>
  <c r="AL45" i="47"/>
  <c r="O113" i="47"/>
  <c r="O112" i="47"/>
  <c r="O95" i="47"/>
  <c r="O96" i="47"/>
  <c r="BB142" i="47"/>
  <c r="BF142" i="47" s="1"/>
  <c r="N4" i="47"/>
  <c r="N11" i="47" s="1"/>
  <c r="D86" i="47"/>
  <c r="D113" i="47"/>
  <c r="D93" i="47"/>
  <c r="L89" i="47"/>
  <c r="AF89" i="47" s="1"/>
  <c r="AL75" i="47"/>
  <c r="L107" i="47"/>
  <c r="O114" i="47"/>
  <c r="P114" i="47" s="1"/>
  <c r="L120" i="47"/>
  <c r="AF120" i="47" s="1"/>
  <c r="O99" i="47"/>
  <c r="P99" i="47" s="1"/>
  <c r="L90" i="47"/>
  <c r="AF90" i="47" s="1"/>
  <c r="O89" i="47"/>
  <c r="P89" i="47" s="1"/>
  <c r="AZ60" i="47"/>
  <c r="L94" i="47"/>
  <c r="AF94" i="47" s="1"/>
  <c r="O117" i="47"/>
  <c r="P117" i="47" s="1"/>
  <c r="L87" i="47"/>
  <c r="D94" i="47"/>
  <c r="D115" i="47"/>
  <c r="M87" i="47"/>
  <c r="M97" i="47"/>
  <c r="D95" i="47"/>
  <c r="D87" i="47"/>
  <c r="D100" i="47"/>
  <c r="M125" i="47"/>
  <c r="D97" i="47"/>
  <c r="M90" i="47"/>
  <c r="D125" i="47"/>
  <c r="L104" i="47"/>
  <c r="AF104" i="47" s="1"/>
  <c r="AX56" i="47"/>
  <c r="O84" i="47"/>
  <c r="P84" i="47" s="1"/>
  <c r="AX62" i="47"/>
  <c r="O106" i="47"/>
  <c r="P106" i="47" s="1"/>
  <c r="O93" i="47"/>
  <c r="O94" i="47"/>
  <c r="AX39" i="47"/>
  <c r="O107" i="47"/>
  <c r="P107" i="47" s="1"/>
  <c r="B123" i="47"/>
  <c r="B122" i="47"/>
  <c r="B114" i="47"/>
  <c r="B115" i="47"/>
  <c r="B110" i="47"/>
  <c r="B106" i="47"/>
  <c r="B102" i="47"/>
  <c r="B98" i="47"/>
  <c r="B94" i="47"/>
  <c r="B90" i="47"/>
  <c r="B86" i="47"/>
  <c r="B125" i="47"/>
  <c r="B116" i="47"/>
  <c r="B117" i="47"/>
  <c r="B118" i="47"/>
  <c r="B103" i="47"/>
  <c r="B92" i="47"/>
  <c r="B121" i="47"/>
  <c r="B120" i="47"/>
  <c r="B96" i="47"/>
  <c r="B119" i="47"/>
  <c r="B112" i="47"/>
  <c r="B111" i="47"/>
  <c r="B100" i="47"/>
  <c r="B85" i="47"/>
  <c r="B83" i="47"/>
  <c r="W83" i="47" s="1"/>
  <c r="B109" i="47"/>
  <c r="B89" i="47"/>
  <c r="B87" i="47"/>
  <c r="B113" i="47"/>
  <c r="B108" i="47"/>
  <c r="B105" i="47"/>
  <c r="B93" i="47"/>
  <c r="B82" i="47"/>
  <c r="B107" i="47"/>
  <c r="B101" i="47"/>
  <c r="B99" i="47"/>
  <c r="B97" i="47"/>
  <c r="B124" i="47"/>
  <c r="B95" i="47"/>
  <c r="B91" i="47"/>
  <c r="B88" i="47"/>
  <c r="B84" i="47"/>
  <c r="B81" i="47"/>
  <c r="B104" i="47"/>
  <c r="L119" i="47"/>
  <c r="AF119" i="47" s="1"/>
  <c r="B126" i="47"/>
  <c r="M89" i="47"/>
  <c r="M91" i="47"/>
  <c r="D98" i="47"/>
  <c r="M86" i="47"/>
  <c r="O97" i="47"/>
  <c r="L111" i="47"/>
  <c r="AF111" i="47" s="1"/>
  <c r="AL71" i="47"/>
  <c r="AX70" i="47"/>
  <c r="L100" i="47"/>
  <c r="AF100" i="47" s="1"/>
  <c r="L84" i="47"/>
  <c r="AF84" i="47" s="1"/>
  <c r="M113" i="47"/>
  <c r="AX58" i="47"/>
  <c r="O88" i="47"/>
  <c r="P88" i="47" s="1"/>
  <c r="AF88" i="47"/>
  <c r="O81" i="47"/>
  <c r="P81" i="47" s="1"/>
  <c r="L109" i="47"/>
  <c r="AF109" i="47" s="1"/>
  <c r="O92" i="47"/>
  <c r="P92" i="47" s="1"/>
  <c r="D121" i="47"/>
  <c r="L103" i="47"/>
  <c r="AF103" i="47" s="1"/>
  <c r="Z81" i="47"/>
  <c r="D104" i="47"/>
  <c r="D84" i="47"/>
  <c r="D92" i="47"/>
  <c r="M107" i="47"/>
  <c r="M100" i="47"/>
  <c r="M92" i="47"/>
  <c r="D111" i="47"/>
  <c r="M105" i="47"/>
  <c r="D101" i="47"/>
  <c r="M94" i="47"/>
  <c r="M114" i="47"/>
  <c r="AL53" i="47"/>
  <c r="AL37" i="47"/>
  <c r="AX48" i="47"/>
  <c r="O115" i="47"/>
  <c r="P115" i="47" s="1"/>
  <c r="AX31" i="47"/>
  <c r="O90" i="47"/>
  <c r="AL73" i="47"/>
  <c r="O122" i="47"/>
  <c r="AX32" i="47"/>
  <c r="O123" i="47"/>
  <c r="P123" i="47" s="1"/>
  <c r="O87" i="47"/>
  <c r="M112" i="47"/>
  <c r="D114" i="47"/>
  <c r="M123" i="47"/>
  <c r="D123" i="47"/>
  <c r="L126" i="47"/>
  <c r="AF126" i="47" s="1"/>
  <c r="L121" i="47"/>
  <c r="AF121" i="47" s="1"/>
  <c r="O120" i="47"/>
  <c r="AL68" i="47"/>
  <c r="AL66" i="47"/>
  <c r="L110" i="47"/>
  <c r="O98" i="47"/>
  <c r="O82" i="47"/>
  <c r="M119" i="47"/>
  <c r="L93" i="47"/>
  <c r="AF93" i="47" s="1"/>
  <c r="AX59" i="47"/>
  <c r="L82" i="47"/>
  <c r="AF82" i="47" s="1"/>
  <c r="M80" i="47"/>
  <c r="D90" i="47"/>
  <c r="AL36" i="47"/>
  <c r="L81" i="47"/>
  <c r="D81" i="47"/>
  <c r="D88" i="47"/>
  <c r="M95" i="47"/>
  <c r="M108" i="47"/>
  <c r="D107" i="47"/>
  <c r="D102" i="47"/>
  <c r="D112" i="47"/>
  <c r="M109" i="47"/>
  <c r="D105" i="47"/>
  <c r="M98" i="47"/>
  <c r="M118" i="47"/>
  <c r="O102" i="47"/>
  <c r="P102" i="47" s="1"/>
  <c r="O86" i="47"/>
  <c r="P86" i="47" s="1"/>
  <c r="L106" i="47"/>
  <c r="AX30" i="47"/>
  <c r="AX40" i="47"/>
  <c r="O105" i="47"/>
  <c r="BB137" i="47"/>
  <c r="BF137" i="47" s="1"/>
  <c r="O4" i="47"/>
  <c r="O11" i="47" s="1"/>
  <c r="O119" i="47"/>
  <c r="P119" i="47" s="1"/>
  <c r="O124" i="47"/>
  <c r="O121" i="47"/>
  <c r="O126" i="47"/>
  <c r="P126" i="47" s="1"/>
  <c r="O109" i="47"/>
  <c r="L108" i="47"/>
  <c r="AF108" i="47" s="1"/>
  <c r="L112" i="47"/>
  <c r="O111" i="47"/>
  <c r="P111" i="47" s="1"/>
  <c r="O91" i="47"/>
  <c r="P91" i="47" s="1"/>
  <c r="O103" i="47"/>
  <c r="P103" i="47" s="1"/>
  <c r="AF83" i="47"/>
  <c r="O83" i="47"/>
  <c r="O101" i="47"/>
  <c r="M83" i="47"/>
  <c r="Y83" i="47" s="1"/>
  <c r="D122" i="47"/>
  <c r="M99" i="47"/>
  <c r="M81" i="47"/>
  <c r="D91" i="47"/>
  <c r="M104" i="47"/>
  <c r="D120" i="47"/>
  <c r="M116" i="47"/>
  <c r="Y116" i="47" s="1"/>
  <c r="D109" i="47"/>
  <c r="M102" i="47"/>
  <c r="M122" i="47"/>
  <c r="AL65" i="47"/>
  <c r="O104" i="47"/>
  <c r="AX35" i="47"/>
  <c r="AL72" i="47"/>
  <c r="BB139" i="47"/>
  <c r="BF139" i="47" s="1"/>
  <c r="L125" i="47"/>
  <c r="L118" i="47"/>
  <c r="AF118" i="47" s="1"/>
  <c r="L115" i="47"/>
  <c r="AF115" i="47" s="1"/>
  <c r="L117" i="47"/>
  <c r="AF117" i="47" s="1"/>
  <c r="O110" i="47"/>
  <c r="L97" i="47"/>
  <c r="O80" i="47"/>
  <c r="AL74" i="47"/>
  <c r="L102" i="47"/>
  <c r="AF102" i="47" s="1"/>
  <c r="L86" i="47"/>
  <c r="D82" i="47"/>
  <c r="L95" i="47"/>
  <c r="AF95" i="47" s="1"/>
  <c r="AL64" i="47"/>
  <c r="M93" i="47"/>
  <c r="M124" i="47"/>
  <c r="M101" i="47"/>
  <c r="D99" i="47"/>
  <c r="M96" i="47"/>
  <c r="D110" i="47"/>
  <c r="D124" i="47"/>
  <c r="D118" i="47"/>
  <c r="M115" i="47"/>
  <c r="M106" i="47"/>
  <c r="M126" i="47"/>
  <c r="L114" i="47"/>
  <c r="AF114" i="47" s="1"/>
  <c r="L96" i="47"/>
  <c r="AF96" i="47" s="1"/>
  <c r="E135" i="47"/>
  <c r="AL29" i="47"/>
  <c r="AX63" i="47"/>
  <c r="O85" i="47"/>
  <c r="P85" i="47" s="1"/>
  <c r="AX43" i="47"/>
  <c r="AX55" i="47"/>
  <c r="AX47" i="47"/>
  <c r="AX52" i="47"/>
  <c r="AX51" i="47"/>
  <c r="P85" i="46"/>
  <c r="AG99" i="46"/>
  <c r="AG91" i="46"/>
  <c r="W91" i="46"/>
  <c r="W122" i="46"/>
  <c r="Q122" i="46"/>
  <c r="R122" i="46" s="1"/>
  <c r="AG122" i="46"/>
  <c r="AG84" i="46"/>
  <c r="W84" i="46"/>
  <c r="O104" i="46"/>
  <c r="P104" i="46" s="1"/>
  <c r="AF104" i="46"/>
  <c r="E120" i="46"/>
  <c r="F120" i="46" s="1"/>
  <c r="Q116" i="46"/>
  <c r="AF111" i="46"/>
  <c r="O111" i="46"/>
  <c r="AL47" i="46"/>
  <c r="AG86" i="46"/>
  <c r="W86" i="46"/>
  <c r="AG111" i="46"/>
  <c r="Q111" i="46"/>
  <c r="W111" i="46"/>
  <c r="E101" i="46"/>
  <c r="F101" i="46" s="1"/>
  <c r="E112" i="46"/>
  <c r="F112" i="46"/>
  <c r="E111" i="46"/>
  <c r="F111" i="46"/>
  <c r="F87" i="46"/>
  <c r="E87" i="46"/>
  <c r="E113" i="46"/>
  <c r="F113" i="46" s="1"/>
  <c r="AG120" i="46"/>
  <c r="W120" i="46"/>
  <c r="Q85" i="46"/>
  <c r="S85" i="46" s="1"/>
  <c r="T85" i="46" s="1"/>
  <c r="W85" i="46"/>
  <c r="AG85" i="46"/>
  <c r="Y88" i="46"/>
  <c r="O116" i="46"/>
  <c r="AG95" i="46"/>
  <c r="W95" i="46"/>
  <c r="Q95" i="46"/>
  <c r="R95" i="46" s="1"/>
  <c r="O94" i="46"/>
  <c r="AL32" i="46"/>
  <c r="Y100" i="46"/>
  <c r="M115" i="46"/>
  <c r="Y115" i="46" s="1"/>
  <c r="Y118" i="46"/>
  <c r="Y110" i="46"/>
  <c r="AG104" i="46"/>
  <c r="W104" i="46"/>
  <c r="AL51" i="46"/>
  <c r="AF113" i="46"/>
  <c r="O113" i="46"/>
  <c r="E100" i="46"/>
  <c r="F100" i="46"/>
  <c r="O89" i="46"/>
  <c r="AF89" i="46"/>
  <c r="O120" i="46"/>
  <c r="P120" i="46" s="1"/>
  <c r="AF120" i="46"/>
  <c r="AF114" i="46"/>
  <c r="O114" i="46"/>
  <c r="O107" i="46"/>
  <c r="P107" i="46" s="1"/>
  <c r="AG97" i="46"/>
  <c r="Q97" i="46"/>
  <c r="R97" i="46" s="1"/>
  <c r="W97" i="46"/>
  <c r="E88" i="46"/>
  <c r="F88" i="46" s="1"/>
  <c r="E107" i="46"/>
  <c r="F107" i="46" s="1"/>
  <c r="E106" i="46"/>
  <c r="F106" i="46" s="1"/>
  <c r="E114" i="46"/>
  <c r="F114" i="46" s="1"/>
  <c r="E91" i="46"/>
  <c r="F91" i="46" s="1"/>
  <c r="E117" i="46"/>
  <c r="F117" i="46" s="1"/>
  <c r="O108" i="46"/>
  <c r="AL41" i="46"/>
  <c r="AG124" i="46"/>
  <c r="W124" i="46"/>
  <c r="Q124" i="46"/>
  <c r="O98" i="46"/>
  <c r="AF98" i="46"/>
  <c r="O124" i="46"/>
  <c r="P124" i="46" s="1"/>
  <c r="AF124" i="46"/>
  <c r="O106" i="46"/>
  <c r="P106" i="46" s="1"/>
  <c r="AF106" i="46"/>
  <c r="Y85" i="46"/>
  <c r="Y90" i="46"/>
  <c r="Y103" i="46"/>
  <c r="Y97" i="46"/>
  <c r="M126" i="46"/>
  <c r="AL69" i="46"/>
  <c r="L118" i="46"/>
  <c r="AF118" i="46" s="1"/>
  <c r="AX50" i="46"/>
  <c r="O82" i="46"/>
  <c r="P82" i="46" s="1"/>
  <c r="AF82" i="46"/>
  <c r="Q106" i="46"/>
  <c r="S106" i="46" s="1"/>
  <c r="AG106" i="46"/>
  <c r="W106" i="46"/>
  <c r="E105" i="46"/>
  <c r="F105" i="46"/>
  <c r="AG121" i="46"/>
  <c r="W121" i="46"/>
  <c r="Q92" i="46"/>
  <c r="AG92" i="46"/>
  <c r="Q98" i="46"/>
  <c r="W98" i="46"/>
  <c r="AG98" i="46"/>
  <c r="AF119" i="46"/>
  <c r="O119" i="46"/>
  <c r="AL55" i="46"/>
  <c r="Z81" i="46"/>
  <c r="AD81" i="46" s="1"/>
  <c r="E195" i="46" s="1"/>
  <c r="E122" i="46"/>
  <c r="F122" i="46" s="1"/>
  <c r="E123" i="46"/>
  <c r="F123" i="46" s="1"/>
  <c r="E124" i="46"/>
  <c r="F124" i="46" s="1"/>
  <c r="E95" i="46"/>
  <c r="F95" i="46" s="1"/>
  <c r="E121" i="46"/>
  <c r="F121" i="46" s="1"/>
  <c r="AF84" i="46"/>
  <c r="O84" i="46"/>
  <c r="P84" i="46" s="1"/>
  <c r="AL40" i="46"/>
  <c r="AG112" i="46"/>
  <c r="W112" i="46"/>
  <c r="Q112" i="46"/>
  <c r="R112" i="46" s="1"/>
  <c r="Y89" i="46"/>
  <c r="Y122" i="46"/>
  <c r="M94" i="46"/>
  <c r="Y94" i="46" s="1"/>
  <c r="Y83" i="46"/>
  <c r="Y112" i="46"/>
  <c r="Y101" i="46"/>
  <c r="W115" i="46"/>
  <c r="AG115" i="46"/>
  <c r="R89" i="46"/>
  <c r="Q89" i="46"/>
  <c r="AG89" i="46"/>
  <c r="W89" i="46"/>
  <c r="E135" i="46"/>
  <c r="F136" i="46" s="1"/>
  <c r="AL29" i="46"/>
  <c r="AP58" i="46"/>
  <c r="AZ58" i="46" s="1"/>
  <c r="L109" i="46"/>
  <c r="O96" i="46"/>
  <c r="AF96" i="46"/>
  <c r="AX44" i="46"/>
  <c r="O90" i="46"/>
  <c r="AF90" i="46"/>
  <c r="AL35" i="46"/>
  <c r="O122" i="46"/>
  <c r="P122" i="46" s="1"/>
  <c r="AF122" i="46"/>
  <c r="E118" i="46"/>
  <c r="F118" i="46" s="1"/>
  <c r="O97" i="46"/>
  <c r="AF97" i="46"/>
  <c r="BB154" i="46"/>
  <c r="BF154" i="46" s="1"/>
  <c r="BB146" i="46"/>
  <c r="BF146" i="46" s="1"/>
  <c r="BB142" i="46"/>
  <c r="BF142" i="46" s="1"/>
  <c r="N4" i="46"/>
  <c r="N11" i="46" s="1"/>
  <c r="W126" i="46"/>
  <c r="AG126" i="46"/>
  <c r="O123" i="46"/>
  <c r="P123" i="46" s="1"/>
  <c r="AF99" i="46"/>
  <c r="O99" i="46"/>
  <c r="P99" i="46" s="1"/>
  <c r="O95" i="46"/>
  <c r="P95" i="46" s="1"/>
  <c r="AF95" i="46"/>
  <c r="O102" i="46"/>
  <c r="P102" i="46" s="1"/>
  <c r="AL45" i="46"/>
  <c r="Q81" i="46"/>
  <c r="R81" i="46" s="1"/>
  <c r="AG81" i="46"/>
  <c r="Q93" i="46"/>
  <c r="W93" i="46"/>
  <c r="AG93" i="46"/>
  <c r="E82" i="46"/>
  <c r="F82" i="46" s="1"/>
  <c r="E86" i="46"/>
  <c r="F86" i="46" s="1"/>
  <c r="E81" i="46"/>
  <c r="F81" i="46" s="1"/>
  <c r="E103" i="46"/>
  <c r="F103" i="46" s="1"/>
  <c r="E125" i="46"/>
  <c r="F125" i="46" s="1"/>
  <c r="BB174" i="46"/>
  <c r="BF174" i="46" s="1"/>
  <c r="AF126" i="46"/>
  <c r="O126" i="46"/>
  <c r="P126" i="46" s="1"/>
  <c r="O109" i="46"/>
  <c r="P109" i="46" s="1"/>
  <c r="Y92" i="46"/>
  <c r="Y123" i="46"/>
  <c r="Y96" i="46"/>
  <c r="Y87" i="46"/>
  <c r="Y116" i="46"/>
  <c r="Y105" i="46"/>
  <c r="AF91" i="46"/>
  <c r="O91" i="46"/>
  <c r="L108" i="46"/>
  <c r="AF87" i="46"/>
  <c r="O87" i="46"/>
  <c r="O86" i="46"/>
  <c r="AF86" i="46"/>
  <c r="AX58" i="46"/>
  <c r="AX62" i="46"/>
  <c r="AL59" i="46"/>
  <c r="AL61" i="46"/>
  <c r="AL67" i="46"/>
  <c r="AX30" i="46"/>
  <c r="BB138" i="46"/>
  <c r="BF138" i="46" s="1"/>
  <c r="O4" i="46"/>
  <c r="O11" i="46" s="1"/>
  <c r="AF115" i="46"/>
  <c r="O115" i="46"/>
  <c r="P115" i="46" s="1"/>
  <c r="E83" i="46"/>
  <c r="F83" i="46" s="1"/>
  <c r="AG83" i="46"/>
  <c r="W83" i="46"/>
  <c r="Q83" i="46"/>
  <c r="AX42" i="46"/>
  <c r="AG101" i="46"/>
  <c r="W101" i="46"/>
  <c r="BB165" i="46"/>
  <c r="BF165" i="46" s="1"/>
  <c r="AF112" i="46"/>
  <c r="O112" i="46"/>
  <c r="P112" i="46" s="1"/>
  <c r="AZ70" i="46"/>
  <c r="AL63" i="46"/>
  <c r="AG105" i="46"/>
  <c r="Q105" i="46"/>
  <c r="W105" i="46"/>
  <c r="W114" i="46"/>
  <c r="Q114" i="46"/>
  <c r="AG114" i="46"/>
  <c r="E108" i="46"/>
  <c r="F108" i="46"/>
  <c r="E90" i="46"/>
  <c r="F90" i="46" s="1"/>
  <c r="E96" i="46"/>
  <c r="F96" i="46" s="1"/>
  <c r="E116" i="46"/>
  <c r="F116" i="46" s="1"/>
  <c r="E126" i="46"/>
  <c r="F126" i="46"/>
  <c r="AG103" i="46"/>
  <c r="W103" i="46"/>
  <c r="Q103" i="46"/>
  <c r="R103" i="46" s="1"/>
  <c r="AX34" i="46"/>
  <c r="Q96" i="46"/>
  <c r="R96" i="46" s="1"/>
  <c r="W96" i="46"/>
  <c r="AG96" i="46"/>
  <c r="AL38" i="46"/>
  <c r="M91" i="46"/>
  <c r="Y91" i="46" s="1"/>
  <c r="Y109" i="46"/>
  <c r="E85" i="46"/>
  <c r="F85" i="46" s="1"/>
  <c r="E89" i="46"/>
  <c r="F89" i="46" s="1"/>
  <c r="O118" i="46"/>
  <c r="AX66" i="46"/>
  <c r="O80" i="46"/>
  <c r="B119" i="46"/>
  <c r="B99" i="46"/>
  <c r="D80" i="46"/>
  <c r="E80" i="46" s="1"/>
  <c r="F80" i="46" s="1"/>
  <c r="B92" i="46"/>
  <c r="W92" i="46" s="1"/>
  <c r="G136" i="46"/>
  <c r="E93" i="46"/>
  <c r="F93" i="46" s="1"/>
  <c r="AL74" i="46"/>
  <c r="BB161" i="46"/>
  <c r="BF161" i="46" s="1"/>
  <c r="AL70" i="46"/>
  <c r="AZ40" i="46"/>
  <c r="Y107" i="46"/>
  <c r="E109" i="46"/>
  <c r="F109" i="46" s="1"/>
  <c r="E94" i="46"/>
  <c r="F94" i="46" s="1"/>
  <c r="E104" i="46"/>
  <c r="F104" i="46" s="1"/>
  <c r="E102" i="46"/>
  <c r="F102" i="46" s="1"/>
  <c r="AF100" i="46"/>
  <c r="O100" i="46"/>
  <c r="P100" i="46" s="1"/>
  <c r="AG82" i="46"/>
  <c r="E98" i="46"/>
  <c r="F98" i="46" s="1"/>
  <c r="O93" i="46"/>
  <c r="AF93" i="46"/>
  <c r="O105" i="46"/>
  <c r="AF105" i="46"/>
  <c r="AF121" i="46"/>
  <c r="O121" i="46"/>
  <c r="AL36" i="46"/>
  <c r="Y106" i="46"/>
  <c r="M104" i="46"/>
  <c r="Y104" i="46" s="1"/>
  <c r="Y119" i="46"/>
  <c r="Y124" i="46"/>
  <c r="Y113" i="46"/>
  <c r="O81" i="46"/>
  <c r="P81" i="46" s="1"/>
  <c r="AF81" i="46"/>
  <c r="O117" i="46"/>
  <c r="P117" i="46" s="1"/>
  <c r="AF110" i="46"/>
  <c r="O110" i="46"/>
  <c r="AG90" i="46"/>
  <c r="W90" i="46"/>
  <c r="Q90" i="46"/>
  <c r="AX73" i="46"/>
  <c r="AX60" i="46"/>
  <c r="Q88" i="46"/>
  <c r="AG88" i="46"/>
  <c r="W88" i="46"/>
  <c r="Q119" i="46"/>
  <c r="AG119" i="46"/>
  <c r="AG125" i="46"/>
  <c r="W125" i="46"/>
  <c r="AG113" i="46"/>
  <c r="W113" i="46"/>
  <c r="Q113" i="46"/>
  <c r="R113" i="46" s="1"/>
  <c r="O103" i="46"/>
  <c r="AF103" i="46"/>
  <c r="AX68" i="46"/>
  <c r="AF88" i="46"/>
  <c r="O88" i="46"/>
  <c r="P88" i="46" s="1"/>
  <c r="AG87" i="46"/>
  <c r="W87" i="46"/>
  <c r="Q87" i="46"/>
  <c r="R87" i="46" s="1"/>
  <c r="O101" i="46"/>
  <c r="E84" i="46"/>
  <c r="F84" i="46" s="1"/>
  <c r="E97" i="46"/>
  <c r="F97" i="46"/>
  <c r="E115" i="46"/>
  <c r="F115" i="46" s="1"/>
  <c r="E110" i="46"/>
  <c r="F110" i="46" s="1"/>
  <c r="O92" i="46"/>
  <c r="AF92" i="46"/>
  <c r="Y108" i="46"/>
  <c r="AF125" i="46"/>
  <c r="O125" i="46"/>
  <c r="AL64" i="46"/>
  <c r="Y102" i="46"/>
  <c r="Y117" i="46"/>
  <c r="W110" i="46"/>
  <c r="AG110" i="46"/>
  <c r="Q110" i="46"/>
  <c r="R110" i="46" s="1"/>
  <c r="AL33" i="46"/>
  <c r="AL31" i="46"/>
  <c r="AL43" i="46"/>
  <c r="AL53" i="46"/>
  <c r="AL75" i="46"/>
  <c r="AX54" i="46"/>
  <c r="L94" i="46"/>
  <c r="AF94" i="46" s="1"/>
  <c r="AX46" i="46"/>
  <c r="AZ62" i="45"/>
  <c r="D81" i="45"/>
  <c r="AZ33" i="45"/>
  <c r="AZ75" i="45"/>
  <c r="O83" i="45"/>
  <c r="P83" i="45" s="1"/>
  <c r="L91" i="45"/>
  <c r="AZ64" i="45"/>
  <c r="AZ72" i="45"/>
  <c r="L88" i="45"/>
  <c r="AF88" i="45" s="1"/>
  <c r="O100" i="45"/>
  <c r="P100" i="45" s="1"/>
  <c r="D115" i="45"/>
  <c r="B125" i="45"/>
  <c r="M80" i="45"/>
  <c r="D124" i="45"/>
  <c r="AZ71" i="45"/>
  <c r="D114" i="45"/>
  <c r="B83" i="45"/>
  <c r="O109" i="45"/>
  <c r="P109" i="45" s="1"/>
  <c r="M122" i="45"/>
  <c r="AZ68" i="45"/>
  <c r="AZ69" i="45"/>
  <c r="D121" i="45"/>
  <c r="L85" i="45"/>
  <c r="AF85" i="45" s="1"/>
  <c r="M93" i="45"/>
  <c r="L120" i="45"/>
  <c r="AF120" i="45" s="1"/>
  <c r="L105" i="45"/>
  <c r="AG105" i="45" s="1"/>
  <c r="L89" i="45"/>
  <c r="AG89" i="45" s="1"/>
  <c r="M102" i="45"/>
  <c r="L82" i="45"/>
  <c r="AF82" i="45" s="1"/>
  <c r="D98" i="45"/>
  <c r="D88" i="45"/>
  <c r="M108" i="45"/>
  <c r="M97" i="45"/>
  <c r="D126" i="45"/>
  <c r="L84" i="45"/>
  <c r="L101" i="45"/>
  <c r="AF101" i="45" s="1"/>
  <c r="B103" i="45"/>
  <c r="B97" i="45"/>
  <c r="L126" i="45"/>
  <c r="AZ73" i="45"/>
  <c r="L106" i="45"/>
  <c r="AF106" i="45" s="1"/>
  <c r="D91" i="45"/>
  <c r="D110" i="45"/>
  <c r="D92" i="45"/>
  <c r="D118" i="45"/>
  <c r="B107" i="45"/>
  <c r="B126" i="45"/>
  <c r="L92" i="45"/>
  <c r="AG92" i="45" s="1"/>
  <c r="D95" i="45"/>
  <c r="M115" i="45"/>
  <c r="Y115" i="45" s="1"/>
  <c r="D99" i="45"/>
  <c r="M85" i="45"/>
  <c r="D96" i="45"/>
  <c r="D125" i="45"/>
  <c r="E125" i="45" s="1"/>
  <c r="F125" i="45" s="1"/>
  <c r="L116" i="45"/>
  <c r="B89" i="45"/>
  <c r="W89" i="45" s="1"/>
  <c r="B94" i="45"/>
  <c r="L81" i="45"/>
  <c r="AZ63" i="45"/>
  <c r="L124" i="45"/>
  <c r="AF124" i="45" s="1"/>
  <c r="L96" i="45"/>
  <c r="AF96" i="45" s="1"/>
  <c r="M107" i="45"/>
  <c r="L122" i="45"/>
  <c r="AG122" i="45" s="1"/>
  <c r="D111" i="45"/>
  <c r="D89" i="45"/>
  <c r="D100" i="45"/>
  <c r="D93" i="45"/>
  <c r="L87" i="45"/>
  <c r="AF87" i="45" s="1"/>
  <c r="B86" i="45"/>
  <c r="B98" i="45"/>
  <c r="E98" i="45" s="1"/>
  <c r="F98" i="45" s="1"/>
  <c r="M126" i="45"/>
  <c r="M87" i="45"/>
  <c r="L113" i="45"/>
  <c r="AF113" i="45" s="1"/>
  <c r="L97" i="45"/>
  <c r="AG97" i="45" s="1"/>
  <c r="O85" i="45"/>
  <c r="M121" i="45"/>
  <c r="M98" i="45"/>
  <c r="D104" i="45"/>
  <c r="D97" i="45"/>
  <c r="M103" i="45"/>
  <c r="B95" i="45"/>
  <c r="E95" i="45" s="1"/>
  <c r="F95" i="45" s="1"/>
  <c r="B123" i="45"/>
  <c r="AZ55" i="45"/>
  <c r="AZ32" i="45"/>
  <c r="D84" i="45"/>
  <c r="B93" i="45"/>
  <c r="D83" i="45"/>
  <c r="L112" i="45"/>
  <c r="AG112" i="45" s="1"/>
  <c r="D102" i="45"/>
  <c r="M99" i="45"/>
  <c r="D119" i="45"/>
  <c r="D117" i="45"/>
  <c r="M100" i="45"/>
  <c r="B99" i="45"/>
  <c r="B120" i="45"/>
  <c r="L111" i="45"/>
  <c r="AG111" i="45" s="1"/>
  <c r="M110" i="45"/>
  <c r="L119" i="45"/>
  <c r="AG119" i="45" s="1"/>
  <c r="M83" i="45"/>
  <c r="B111" i="45"/>
  <c r="B104" i="45"/>
  <c r="B112" i="45"/>
  <c r="B101" i="45"/>
  <c r="B102" i="45"/>
  <c r="L80" i="45"/>
  <c r="AF80" i="45" s="1"/>
  <c r="AZ45" i="45"/>
  <c r="L86" i="45"/>
  <c r="AG86" i="45" s="1"/>
  <c r="L94" i="45"/>
  <c r="AF94" i="45" s="1"/>
  <c r="M104" i="45"/>
  <c r="M84" i="45"/>
  <c r="D90" i="45"/>
  <c r="D106" i="45"/>
  <c r="E106" i="45" s="1"/>
  <c r="F106" i="45" s="1"/>
  <c r="M116" i="45"/>
  <c r="D108" i="45"/>
  <c r="M101" i="45"/>
  <c r="D101" i="45"/>
  <c r="M123" i="45"/>
  <c r="M91" i="45"/>
  <c r="Q91" i="45" s="1"/>
  <c r="S91" i="45" s="1"/>
  <c r="T91" i="45" s="1"/>
  <c r="B84" i="45"/>
  <c r="B121" i="45"/>
  <c r="B85" i="45"/>
  <c r="B116" i="45"/>
  <c r="B105" i="45"/>
  <c r="B106" i="45"/>
  <c r="L98" i="45"/>
  <c r="L90" i="45"/>
  <c r="AG90" i="45" s="1"/>
  <c r="M106" i="45"/>
  <c r="M88" i="45"/>
  <c r="M95" i="45"/>
  <c r="M111" i="45"/>
  <c r="M118" i="45"/>
  <c r="D112" i="45"/>
  <c r="M105" i="45"/>
  <c r="D105" i="45"/>
  <c r="L108" i="45"/>
  <c r="AG108" i="45" s="1"/>
  <c r="B91" i="45"/>
  <c r="B87" i="45"/>
  <c r="B100" i="45"/>
  <c r="E100" i="45" s="1"/>
  <c r="F100" i="45" s="1"/>
  <c r="B92" i="45"/>
  <c r="B119" i="45"/>
  <c r="B109" i="45"/>
  <c r="B110" i="45"/>
  <c r="AZ61" i="45"/>
  <c r="BB173" i="45"/>
  <c r="BF173" i="45" s="1"/>
  <c r="BB158" i="45"/>
  <c r="BF158" i="45" s="1"/>
  <c r="L121" i="45"/>
  <c r="L115" i="45"/>
  <c r="AF115" i="45" s="1"/>
  <c r="M82" i="45"/>
  <c r="D87" i="45"/>
  <c r="M92" i="45"/>
  <c r="D103" i="45"/>
  <c r="M114" i="45"/>
  <c r="Y114" i="45" s="1"/>
  <c r="D120" i="45"/>
  <c r="D116" i="45"/>
  <c r="M109" i="45"/>
  <c r="D109" i="45"/>
  <c r="L117" i="45"/>
  <c r="AG117" i="45" s="1"/>
  <c r="M86" i="45"/>
  <c r="L125" i="45"/>
  <c r="M81" i="45"/>
  <c r="L93" i="45"/>
  <c r="AF93" i="45" s="1"/>
  <c r="B81" i="45"/>
  <c r="E81" i="45" s="1"/>
  <c r="F81" i="45" s="1"/>
  <c r="B88" i="45"/>
  <c r="B115" i="45"/>
  <c r="B124" i="45"/>
  <c r="B113" i="45"/>
  <c r="B114" i="45"/>
  <c r="L110" i="45"/>
  <c r="AF110" i="45" s="1"/>
  <c r="AZ48" i="45"/>
  <c r="M90" i="45"/>
  <c r="M94" i="45"/>
  <c r="D107" i="45"/>
  <c r="D85" i="45"/>
  <c r="D123" i="45"/>
  <c r="M117" i="45"/>
  <c r="M113" i="45"/>
  <c r="D113" i="45"/>
  <c r="D80" i="45"/>
  <c r="E80" i="45" s="1"/>
  <c r="F80" i="45" s="1"/>
  <c r="L100" i="45"/>
  <c r="AF100" i="45" s="1"/>
  <c r="D86" i="45"/>
  <c r="L118" i="45"/>
  <c r="AF118" i="45" s="1"/>
  <c r="L103" i="45"/>
  <c r="L109" i="45"/>
  <c r="AG109" i="45" s="1"/>
  <c r="B96" i="45"/>
  <c r="B90" i="45"/>
  <c r="B82" i="45"/>
  <c r="B118" i="45"/>
  <c r="B117" i="45"/>
  <c r="B122" i="45"/>
  <c r="L102" i="45"/>
  <c r="L114" i="45"/>
  <c r="W114" i="45" s="1"/>
  <c r="BB166" i="45"/>
  <c r="BF166" i="45" s="1"/>
  <c r="BB149" i="45"/>
  <c r="BF149" i="45" s="1"/>
  <c r="O107" i="45"/>
  <c r="P107" i="45" s="1"/>
  <c r="AF84" i="45"/>
  <c r="AZ74" i="45"/>
  <c r="M89" i="45"/>
  <c r="AZ65" i="45"/>
  <c r="AZ70" i="45"/>
  <c r="L83" i="45"/>
  <c r="AF83" i="45" s="1"/>
  <c r="O117" i="45"/>
  <c r="P117" i="45" s="1"/>
  <c r="E135" i="45"/>
  <c r="G135" i="45" s="1"/>
  <c r="L107" i="45"/>
  <c r="M120" i="45"/>
  <c r="O116" i="45"/>
  <c r="P116" i="45" s="1"/>
  <c r="L95" i="45"/>
  <c r="AG95" i="45" s="1"/>
  <c r="BB157" i="45"/>
  <c r="BF157" i="45" s="1"/>
  <c r="L99" i="45"/>
  <c r="AF99" i="45" s="1"/>
  <c r="M125" i="45"/>
  <c r="M112" i="45"/>
  <c r="O84" i="45"/>
  <c r="P84" i="45" s="1"/>
  <c r="O93" i="45"/>
  <c r="P93" i="45" s="1"/>
  <c r="D94" i="45"/>
  <c r="AG104" i="45"/>
  <c r="P85" i="45"/>
  <c r="P91" i="45"/>
  <c r="AL37" i="45"/>
  <c r="AX35" i="45"/>
  <c r="AL39" i="45"/>
  <c r="BB144" i="45"/>
  <c r="BF144" i="45" s="1"/>
  <c r="N4" i="45"/>
  <c r="N11" i="45" s="1"/>
  <c r="O118" i="45"/>
  <c r="AG84" i="45"/>
  <c r="O96" i="45"/>
  <c r="P96" i="45" s="1"/>
  <c r="AX33" i="45"/>
  <c r="AX67" i="45"/>
  <c r="AL46" i="45"/>
  <c r="AX58" i="45"/>
  <c r="O124" i="45"/>
  <c r="AX59" i="45"/>
  <c r="O114" i="45"/>
  <c r="P114" i="45" s="1"/>
  <c r="O82" i="45"/>
  <c r="P82" i="45" s="1"/>
  <c r="AL65" i="45"/>
  <c r="AL72" i="45"/>
  <c r="E117" i="45"/>
  <c r="F117" i="45" s="1"/>
  <c r="AL70" i="45"/>
  <c r="O92" i="45"/>
  <c r="P92" i="45" s="1"/>
  <c r="AL55" i="45"/>
  <c r="O88" i="45"/>
  <c r="P88" i="45" s="1"/>
  <c r="AL54" i="45"/>
  <c r="AL52" i="45"/>
  <c r="O89" i="45"/>
  <c r="P89" i="45" s="1"/>
  <c r="O94" i="45"/>
  <c r="O119" i="45"/>
  <c r="O103" i="45"/>
  <c r="P103" i="45" s="1"/>
  <c r="O87" i="45"/>
  <c r="P87" i="45" s="1"/>
  <c r="O126" i="45"/>
  <c r="P126" i="45" s="1"/>
  <c r="M124" i="45"/>
  <c r="M96" i="45"/>
  <c r="O108" i="45"/>
  <c r="P108" i="45" s="1"/>
  <c r="AZ40" i="45"/>
  <c r="AX51" i="45"/>
  <c r="O106" i="45"/>
  <c r="P106" i="45" s="1"/>
  <c r="L123" i="45"/>
  <c r="AL64" i="45"/>
  <c r="AZ56" i="45"/>
  <c r="O101" i="45"/>
  <c r="P101" i="45" s="1"/>
  <c r="AZ38" i="45"/>
  <c r="O123" i="45"/>
  <c r="P123" i="45" s="1"/>
  <c r="AX49" i="45"/>
  <c r="AL31" i="45"/>
  <c r="BB136" i="45"/>
  <c r="BF136" i="45" s="1"/>
  <c r="O4" i="45"/>
  <c r="O11" i="45" s="1"/>
  <c r="BB168" i="45"/>
  <c r="BF168" i="45" s="1"/>
  <c r="O125" i="45"/>
  <c r="P125" i="45" s="1"/>
  <c r="O110" i="45"/>
  <c r="P110" i="45" s="1"/>
  <c r="Y95" i="45"/>
  <c r="O115" i="45"/>
  <c r="P115" i="45" s="1"/>
  <c r="AL38" i="45"/>
  <c r="AL53" i="45"/>
  <c r="AL69" i="45"/>
  <c r="O99" i="45"/>
  <c r="AL36" i="45"/>
  <c r="AX41" i="45"/>
  <c r="O97" i="45"/>
  <c r="P97" i="45" s="1"/>
  <c r="O112" i="45"/>
  <c r="O86" i="45"/>
  <c r="P86" i="45" s="1"/>
  <c r="O104" i="45"/>
  <c r="P104" i="45" s="1"/>
  <c r="AF104" i="45"/>
  <c r="O80" i="45"/>
  <c r="AC81" i="45"/>
  <c r="AL71" i="45"/>
  <c r="AL63" i="45"/>
  <c r="AX34" i="45"/>
  <c r="O121" i="45"/>
  <c r="P121" i="45" s="1"/>
  <c r="AL40" i="45"/>
  <c r="BB165" i="45"/>
  <c r="BF165" i="45" s="1"/>
  <c r="O102" i="45"/>
  <c r="P102" i="45" s="1"/>
  <c r="O111" i="45"/>
  <c r="O95" i="45"/>
  <c r="P95" i="45" s="1"/>
  <c r="O120" i="45"/>
  <c r="P120" i="45" s="1"/>
  <c r="O113" i="45"/>
  <c r="P113" i="45" s="1"/>
  <c r="O81" i="45"/>
  <c r="P81" i="45" s="1"/>
  <c r="M119" i="45"/>
  <c r="Y119" i="45" s="1"/>
  <c r="O122" i="45"/>
  <c r="P122" i="45" s="1"/>
  <c r="O98" i="45"/>
  <c r="P98" i="45" s="1"/>
  <c r="AL56" i="45"/>
  <c r="AL47" i="45"/>
  <c r="AD81" i="45"/>
  <c r="AX43" i="45"/>
  <c r="O105" i="45"/>
  <c r="P105" i="45" s="1"/>
  <c r="D122" i="45"/>
  <c r="B108" i="45"/>
  <c r="D82" i="45"/>
  <c r="AX44" i="45"/>
  <c r="AL75" i="45"/>
  <c r="O90" i="45"/>
  <c r="P90" i="45" s="1"/>
  <c r="E136" i="45"/>
  <c r="AL30" i="45"/>
  <c r="AX50" i="45"/>
  <c r="AZ56" i="42"/>
  <c r="AZ38" i="42"/>
  <c r="L104" i="42"/>
  <c r="AF104" i="42" s="1"/>
  <c r="O90" i="42"/>
  <c r="L125" i="42"/>
  <c r="AF125" i="42" s="1"/>
  <c r="AZ53" i="42"/>
  <c r="M94" i="43"/>
  <c r="BB157" i="43"/>
  <c r="BF157" i="43" s="1"/>
  <c r="L115" i="43"/>
  <c r="AF115" i="43" s="1"/>
  <c r="AZ55" i="43"/>
  <c r="O85" i="43"/>
  <c r="P85" i="43" s="1"/>
  <c r="B103" i="43"/>
  <c r="M99" i="43"/>
  <c r="D90" i="43"/>
  <c r="L88" i="43"/>
  <c r="AF88" i="43" s="1"/>
  <c r="B101" i="43"/>
  <c r="O94" i="43"/>
  <c r="M108" i="43"/>
  <c r="M122" i="43"/>
  <c r="AZ52" i="43"/>
  <c r="L119" i="43"/>
  <c r="AG119" i="43" s="1"/>
  <c r="B119" i="43"/>
  <c r="L113" i="43"/>
  <c r="AG113" i="43" s="1"/>
  <c r="D95" i="43"/>
  <c r="L104" i="43"/>
  <c r="AF104" i="43" s="1"/>
  <c r="AZ72" i="43"/>
  <c r="D97" i="43"/>
  <c r="D85" i="43"/>
  <c r="L101" i="43"/>
  <c r="AG101" i="43" s="1"/>
  <c r="O110" i="43"/>
  <c r="P110" i="43" s="1"/>
  <c r="AZ48" i="43"/>
  <c r="O81" i="43"/>
  <c r="P81" i="43" s="1"/>
  <c r="AZ56" i="43"/>
  <c r="AZ64" i="43"/>
  <c r="AZ31" i="43"/>
  <c r="AZ40" i="43"/>
  <c r="BB168" i="43"/>
  <c r="BF168" i="43" s="1"/>
  <c r="AZ49" i="43"/>
  <c r="O86" i="43"/>
  <c r="P86" i="43" s="1"/>
  <c r="L84" i="43"/>
  <c r="AG84" i="43" s="1"/>
  <c r="O115" i="43"/>
  <c r="P115" i="43" s="1"/>
  <c r="AZ54" i="43"/>
  <c r="AZ29" i="43"/>
  <c r="L93" i="43"/>
  <c r="AF93" i="43" s="1"/>
  <c r="AZ30" i="43"/>
  <c r="D116" i="43"/>
  <c r="B109" i="43"/>
  <c r="M117" i="43"/>
  <c r="B114" i="43"/>
  <c r="BB165" i="43"/>
  <c r="BF165" i="43" s="1"/>
  <c r="BB170" i="43"/>
  <c r="BF170" i="43" s="1"/>
  <c r="O107" i="43"/>
  <c r="P107" i="43" s="1"/>
  <c r="AL30" i="43"/>
  <c r="AX30" i="43" s="1"/>
  <c r="AZ39" i="43"/>
  <c r="L126" i="43"/>
  <c r="AF126" i="43" s="1"/>
  <c r="L81" i="43"/>
  <c r="D99" i="43"/>
  <c r="L82" i="43"/>
  <c r="AG82" i="43" s="1"/>
  <c r="M96" i="43"/>
  <c r="L118" i="43"/>
  <c r="AG118" i="43" s="1"/>
  <c r="D89" i="43"/>
  <c r="M101" i="43"/>
  <c r="D94" i="43"/>
  <c r="Y94" i="43" s="1"/>
  <c r="D101" i="43"/>
  <c r="E101" i="43" s="1"/>
  <c r="F101" i="43" s="1"/>
  <c r="M98" i="43"/>
  <c r="D110" i="43"/>
  <c r="D120" i="43"/>
  <c r="M125" i="43"/>
  <c r="M126" i="43"/>
  <c r="B82" i="43"/>
  <c r="B105" i="43"/>
  <c r="B84" i="43"/>
  <c r="W84" i="43" s="1"/>
  <c r="B108" i="43"/>
  <c r="B113" i="43"/>
  <c r="B123" i="43"/>
  <c r="L86" i="43"/>
  <c r="AF86" i="43" s="1"/>
  <c r="M105" i="43"/>
  <c r="L95" i="43"/>
  <c r="AF95" i="43" s="1"/>
  <c r="M84" i="43"/>
  <c r="M88" i="43"/>
  <c r="M85" i="43"/>
  <c r="M102" i="43"/>
  <c r="M104" i="43"/>
  <c r="D81" i="43"/>
  <c r="D107" i="43"/>
  <c r="D119" i="43"/>
  <c r="E119" i="43" s="1"/>
  <c r="F119" i="43" s="1"/>
  <c r="D109" i="43"/>
  <c r="M113" i="43"/>
  <c r="D125" i="43"/>
  <c r="D122" i="43"/>
  <c r="B90" i="43"/>
  <c r="B87" i="43"/>
  <c r="B92" i="43"/>
  <c r="B120" i="43"/>
  <c r="B112" i="43"/>
  <c r="B93" i="43"/>
  <c r="D103" i="43"/>
  <c r="AZ37" i="43"/>
  <c r="D96" i="43"/>
  <c r="D105" i="43"/>
  <c r="D121" i="43"/>
  <c r="B88" i="43"/>
  <c r="L107" i="43"/>
  <c r="AF107" i="43" s="1"/>
  <c r="L80" i="43"/>
  <c r="AF80" i="43" s="1"/>
  <c r="M89" i="43"/>
  <c r="L121" i="43"/>
  <c r="AG121" i="43" s="1"/>
  <c r="L105" i="43"/>
  <c r="AG105" i="43" s="1"/>
  <c r="L116" i="43"/>
  <c r="AG116" i="43" s="1"/>
  <c r="BB148" i="43"/>
  <c r="BF148" i="43" s="1"/>
  <c r="L125" i="43"/>
  <c r="AF125" i="43" s="1"/>
  <c r="L97" i="43"/>
  <c r="AG97" i="43" s="1"/>
  <c r="L91" i="43"/>
  <c r="AG91" i="43" s="1"/>
  <c r="M111" i="43"/>
  <c r="D123" i="43"/>
  <c r="M83" i="43"/>
  <c r="D80" i="43"/>
  <c r="E80" i="43" s="1"/>
  <c r="F80" i="43" s="1"/>
  <c r="M109" i="43"/>
  <c r="M115" i="43"/>
  <c r="D115" i="43"/>
  <c r="M106" i="43"/>
  <c r="D126" i="43"/>
  <c r="B94" i="43"/>
  <c r="B91" i="43"/>
  <c r="B96" i="43"/>
  <c r="B107" i="43"/>
  <c r="E107" i="43" s="1"/>
  <c r="F107" i="43" s="1"/>
  <c r="B124" i="43"/>
  <c r="L92" i="43"/>
  <c r="AG92" i="43" s="1"/>
  <c r="L102" i="43"/>
  <c r="M92" i="43"/>
  <c r="L122" i="43"/>
  <c r="AG122" i="43" s="1"/>
  <c r="L124" i="43"/>
  <c r="AF124" i="43" s="1"/>
  <c r="L100" i="43"/>
  <c r="AF100" i="43" s="1"/>
  <c r="M103" i="43"/>
  <c r="M107" i="43"/>
  <c r="B86" i="43"/>
  <c r="B116" i="43"/>
  <c r="L96" i="43"/>
  <c r="AG96" i="43" s="1"/>
  <c r="M82" i="43"/>
  <c r="M81" i="43"/>
  <c r="M87" i="43"/>
  <c r="D83" i="43"/>
  <c r="D111" i="43"/>
  <c r="M121" i="43"/>
  <c r="Y121" i="43" s="1"/>
  <c r="M119" i="43"/>
  <c r="M110" i="43"/>
  <c r="B102" i="43"/>
  <c r="B95" i="43"/>
  <c r="B98" i="43"/>
  <c r="B115" i="43"/>
  <c r="W115" i="43" s="1"/>
  <c r="B125" i="43"/>
  <c r="L111" i="43"/>
  <c r="AF111" i="43" s="1"/>
  <c r="L109" i="43"/>
  <c r="AF109" i="43" s="1"/>
  <c r="AZ47" i="43"/>
  <c r="D84" i="43"/>
  <c r="D102" i="43"/>
  <c r="D100" i="43"/>
  <c r="D118" i="43"/>
  <c r="B121" i="43"/>
  <c r="L114" i="43"/>
  <c r="AG114" i="43" s="1"/>
  <c r="D124" i="43"/>
  <c r="L94" i="43"/>
  <c r="AF94" i="43" s="1"/>
  <c r="D112" i="43"/>
  <c r="B97" i="43"/>
  <c r="E97" i="43" s="1"/>
  <c r="F97" i="43" s="1"/>
  <c r="L90" i="43"/>
  <c r="AF90" i="43" s="1"/>
  <c r="M86" i="43"/>
  <c r="D82" i="43"/>
  <c r="M91" i="43"/>
  <c r="D87" i="43"/>
  <c r="D117" i="43"/>
  <c r="M123" i="43"/>
  <c r="Y123" i="43" s="1"/>
  <c r="D106" i="43"/>
  <c r="M114" i="43"/>
  <c r="B117" i="43"/>
  <c r="B100" i="43"/>
  <c r="B104" i="43"/>
  <c r="B118" i="43"/>
  <c r="B122" i="43"/>
  <c r="L110" i="43"/>
  <c r="AF110" i="43" s="1"/>
  <c r="L85" i="43"/>
  <c r="AF85" i="43" s="1"/>
  <c r="L117" i="43"/>
  <c r="AG117" i="43" s="1"/>
  <c r="L106" i="43"/>
  <c r="AF106" i="43" s="1"/>
  <c r="M97" i="43"/>
  <c r="D93" i="43"/>
  <c r="M124" i="43"/>
  <c r="B83" i="43"/>
  <c r="L120" i="43"/>
  <c r="AG120" i="43" s="1"/>
  <c r="L123" i="43"/>
  <c r="AG123" i="43" s="1"/>
  <c r="L112" i="43"/>
  <c r="AF112" i="43" s="1"/>
  <c r="M93" i="43"/>
  <c r="D98" i="43"/>
  <c r="L103" i="43"/>
  <c r="AF103" i="43" s="1"/>
  <c r="L83" i="43"/>
  <c r="M90" i="43"/>
  <c r="D86" i="43"/>
  <c r="M95" i="43"/>
  <c r="D91" i="43"/>
  <c r="M120" i="43"/>
  <c r="D108" i="43"/>
  <c r="D114" i="43"/>
  <c r="M118" i="43"/>
  <c r="L99" i="43"/>
  <c r="B81" i="43"/>
  <c r="B99" i="43"/>
  <c r="B110" i="43"/>
  <c r="B106" i="43"/>
  <c r="B126" i="43"/>
  <c r="L108" i="43"/>
  <c r="AF108" i="43" s="1"/>
  <c r="L87" i="43"/>
  <c r="P94" i="43"/>
  <c r="AL70" i="43"/>
  <c r="O82" i="43"/>
  <c r="AX75" i="43"/>
  <c r="AX57" i="43"/>
  <c r="O121" i="43"/>
  <c r="AX67" i="43"/>
  <c r="AL53" i="43"/>
  <c r="O88" i="43"/>
  <c r="P88" i="43" s="1"/>
  <c r="E135" i="43"/>
  <c r="F136" i="43" s="1"/>
  <c r="AL29" i="43"/>
  <c r="AX44" i="43"/>
  <c r="O95" i="43"/>
  <c r="P95" i="43" s="1"/>
  <c r="AX66" i="43"/>
  <c r="O93" i="43"/>
  <c r="AL47" i="43"/>
  <c r="O106" i="43"/>
  <c r="P106" i="43" s="1"/>
  <c r="O87" i="43"/>
  <c r="O105" i="43"/>
  <c r="P105" i="43" s="1"/>
  <c r="O117" i="43"/>
  <c r="P117" i="43" s="1"/>
  <c r="AL71" i="43"/>
  <c r="AL41" i="43"/>
  <c r="O80" i="43"/>
  <c r="P80" i="43" s="1"/>
  <c r="O102" i="43"/>
  <c r="P102" i="43" s="1"/>
  <c r="O111" i="43"/>
  <c r="P111" i="43" s="1"/>
  <c r="AL56" i="43"/>
  <c r="O124" i="43"/>
  <c r="P124" i="43" s="1"/>
  <c r="O97" i="43"/>
  <c r="M100" i="43"/>
  <c r="O125" i="43"/>
  <c r="P125" i="43" s="1"/>
  <c r="AX48" i="43"/>
  <c r="O101" i="43"/>
  <c r="P101" i="43" s="1"/>
  <c r="AL40" i="43"/>
  <c r="AL45" i="43"/>
  <c r="O90" i="43"/>
  <c r="P90" i="43" s="1"/>
  <c r="BB142" i="43"/>
  <c r="BF142" i="43" s="1"/>
  <c r="N4" i="43"/>
  <c r="N11" i="43" s="1"/>
  <c r="O113" i="43"/>
  <c r="AX65" i="43"/>
  <c r="AX61" i="43"/>
  <c r="M112" i="43"/>
  <c r="AL64" i="43"/>
  <c r="AL39" i="43"/>
  <c r="AX34" i="43"/>
  <c r="AL52" i="43"/>
  <c r="AL31" i="43"/>
  <c r="AX59" i="43"/>
  <c r="O99" i="43"/>
  <c r="P99" i="43" s="1"/>
  <c r="O112" i="43"/>
  <c r="P112" i="43" s="1"/>
  <c r="O104" i="43"/>
  <c r="O122" i="43"/>
  <c r="P122" i="43" s="1"/>
  <c r="AX54" i="43"/>
  <c r="Z81" i="43"/>
  <c r="AD81" i="43" s="1"/>
  <c r="O92" i="43"/>
  <c r="P92" i="43" s="1"/>
  <c r="M80" i="43"/>
  <c r="M116" i="43"/>
  <c r="AL62" i="43"/>
  <c r="AL33" i="43"/>
  <c r="AX43" i="43"/>
  <c r="AX35" i="43"/>
  <c r="O118" i="43"/>
  <c r="P118" i="43" s="1"/>
  <c r="O91" i="43"/>
  <c r="P91" i="43" s="1"/>
  <c r="AX51" i="43"/>
  <c r="L89" i="43"/>
  <c r="AF89" i="43" s="1"/>
  <c r="O83" i="43"/>
  <c r="P83" i="43" s="1"/>
  <c r="AL37" i="43"/>
  <c r="O120" i="43"/>
  <c r="BB154" i="43"/>
  <c r="BF154" i="43" s="1"/>
  <c r="L98" i="43"/>
  <c r="O116" i="43"/>
  <c r="P116" i="43" s="1"/>
  <c r="O108" i="43"/>
  <c r="P108" i="43" s="1"/>
  <c r="O98" i="43"/>
  <c r="O84" i="43"/>
  <c r="P84" i="43" s="1"/>
  <c r="O100" i="43"/>
  <c r="P100" i="43" s="1"/>
  <c r="AX38" i="43"/>
  <c r="AX36" i="43"/>
  <c r="AX50" i="43"/>
  <c r="O123" i="43"/>
  <c r="O119" i="43"/>
  <c r="P119" i="43" s="1"/>
  <c r="O103" i="43"/>
  <c r="BB136" i="43"/>
  <c r="BF136" i="43" s="1"/>
  <c r="O4" i="43"/>
  <c r="O11" i="43" s="1"/>
  <c r="O114" i="43"/>
  <c r="P114" i="43" s="1"/>
  <c r="AL72" i="43"/>
  <c r="AL63" i="43"/>
  <c r="AL69" i="43"/>
  <c r="O96" i="43"/>
  <c r="O109" i="43"/>
  <c r="O89" i="43"/>
  <c r="O126" i="43"/>
  <c r="P126" i="43" s="1"/>
  <c r="AL32" i="43"/>
  <c r="AX58" i="43"/>
  <c r="AL49" i="43"/>
  <c r="B85" i="43"/>
  <c r="D104" i="43"/>
  <c r="D88" i="43"/>
  <c r="D113" i="43"/>
  <c r="B89" i="43"/>
  <c r="B111" i="43"/>
  <c r="D92" i="43"/>
  <c r="W136" i="43"/>
  <c r="AB136" i="43" s="1"/>
  <c r="G136" i="43"/>
  <c r="AZ65" i="42"/>
  <c r="AZ74" i="42"/>
  <c r="AZ33" i="42"/>
  <c r="O118" i="42"/>
  <c r="P118" i="42" s="1"/>
  <c r="O126" i="42"/>
  <c r="P126" i="42" s="1"/>
  <c r="O100" i="42"/>
  <c r="P100" i="42" s="1"/>
  <c r="AZ40" i="42"/>
  <c r="O86" i="42"/>
  <c r="P86" i="42" s="1"/>
  <c r="O94" i="42"/>
  <c r="P94" i="42" s="1"/>
  <c r="L117" i="42"/>
  <c r="AG117" i="42" s="1"/>
  <c r="L115" i="42"/>
  <c r="AF115" i="42" s="1"/>
  <c r="BB181" i="42"/>
  <c r="BF181" i="42" s="1"/>
  <c r="BB162" i="42"/>
  <c r="BF162" i="42" s="1"/>
  <c r="L121" i="42"/>
  <c r="AG121" i="42" s="1"/>
  <c r="AZ37" i="42"/>
  <c r="B98" i="42"/>
  <c r="W98" i="42" s="1"/>
  <c r="AZ48" i="42"/>
  <c r="B100" i="42"/>
  <c r="O101" i="42"/>
  <c r="L126" i="42"/>
  <c r="AG126" i="42" s="1"/>
  <c r="L96" i="42"/>
  <c r="AG96" i="42" s="1"/>
  <c r="L95" i="42"/>
  <c r="AF95" i="42" s="1"/>
  <c r="L86" i="42"/>
  <c r="AF86" i="42" s="1"/>
  <c r="L88" i="42"/>
  <c r="AG88" i="42" s="1"/>
  <c r="L119" i="42"/>
  <c r="AF119" i="42" s="1"/>
  <c r="L122" i="42"/>
  <c r="AF122" i="42" s="1"/>
  <c r="L84" i="42"/>
  <c r="W84" i="42" s="1"/>
  <c r="L118" i="42"/>
  <c r="AF118" i="42" s="1"/>
  <c r="L111" i="42"/>
  <c r="AF111" i="42" s="1"/>
  <c r="L112" i="42"/>
  <c r="AG112" i="42" s="1"/>
  <c r="L105" i="42"/>
  <c r="AF105" i="42" s="1"/>
  <c r="L89" i="42"/>
  <c r="AG89" i="42" s="1"/>
  <c r="O98" i="42"/>
  <c r="P98" i="42" s="1"/>
  <c r="O108" i="42"/>
  <c r="P108" i="42" s="1"/>
  <c r="AZ55" i="42"/>
  <c r="O92" i="42"/>
  <c r="P92" i="42" s="1"/>
  <c r="AZ64" i="42"/>
  <c r="L116" i="42"/>
  <c r="AG116" i="42" s="1"/>
  <c r="L120" i="42"/>
  <c r="AG120" i="42" s="1"/>
  <c r="L97" i="42"/>
  <c r="AG97" i="42" s="1"/>
  <c r="L80" i="42"/>
  <c r="O119" i="42"/>
  <c r="P119" i="42" s="1"/>
  <c r="B84" i="42"/>
  <c r="L93" i="42"/>
  <c r="AG93" i="42" s="1"/>
  <c r="O83" i="42"/>
  <c r="P83" i="42" s="1"/>
  <c r="AZ45" i="42"/>
  <c r="O120" i="42"/>
  <c r="P120" i="42" s="1"/>
  <c r="L124" i="42"/>
  <c r="AG124" i="42" s="1"/>
  <c r="L87" i="42"/>
  <c r="BB158" i="42"/>
  <c r="BF158" i="42" s="1"/>
  <c r="L123" i="42"/>
  <c r="AF123" i="42" s="1"/>
  <c r="L103" i="42"/>
  <c r="AF103" i="42" s="1"/>
  <c r="O109" i="42"/>
  <c r="P109" i="42" s="1"/>
  <c r="AZ31" i="42"/>
  <c r="AZ54" i="42"/>
  <c r="O91" i="42"/>
  <c r="P91" i="42" s="1"/>
  <c r="AZ67" i="42"/>
  <c r="B113" i="42"/>
  <c r="AZ29" i="42"/>
  <c r="BB160" i="42"/>
  <c r="BF160" i="42" s="1"/>
  <c r="B118" i="42"/>
  <c r="AZ60" i="42"/>
  <c r="O84" i="42"/>
  <c r="P84" i="42" s="1"/>
  <c r="AZ46" i="42"/>
  <c r="B87" i="42"/>
  <c r="B120" i="42"/>
  <c r="AZ39" i="42"/>
  <c r="L109" i="42"/>
  <c r="AF109" i="42" s="1"/>
  <c r="O107" i="42"/>
  <c r="P107" i="42" s="1"/>
  <c r="L113" i="42"/>
  <c r="AF113" i="42" s="1"/>
  <c r="L91" i="42"/>
  <c r="AG91" i="42" s="1"/>
  <c r="B105" i="42"/>
  <c r="B107" i="42"/>
  <c r="L102" i="42"/>
  <c r="AZ36" i="42"/>
  <c r="AZ52" i="42"/>
  <c r="BB170" i="42"/>
  <c r="BF170" i="42" s="1"/>
  <c r="O99" i="42"/>
  <c r="P99" i="42" s="1"/>
  <c r="P101" i="42"/>
  <c r="P90" i="42"/>
  <c r="AG122" i="42"/>
  <c r="O111" i="42"/>
  <c r="O80" i="42"/>
  <c r="AL60" i="42"/>
  <c r="BB164" i="42"/>
  <c r="BF164" i="42" s="1"/>
  <c r="AL75" i="42"/>
  <c r="O85" i="42"/>
  <c r="AL70" i="42"/>
  <c r="O112" i="42"/>
  <c r="P112" i="42" s="1"/>
  <c r="O96" i="42"/>
  <c r="P96" i="42" s="1"/>
  <c r="M125" i="42"/>
  <c r="Q125" i="42" s="1"/>
  <c r="M121" i="42"/>
  <c r="M124" i="42"/>
  <c r="M120" i="42"/>
  <c r="M123" i="42"/>
  <c r="M119" i="42"/>
  <c r="D126" i="42"/>
  <c r="D119" i="42"/>
  <c r="D114" i="42"/>
  <c r="D110" i="42"/>
  <c r="D106" i="42"/>
  <c r="M122" i="42"/>
  <c r="D118" i="42"/>
  <c r="M114" i="42"/>
  <c r="M110" i="42"/>
  <c r="M106" i="42"/>
  <c r="M102" i="42"/>
  <c r="M98" i="42"/>
  <c r="M94" i="42"/>
  <c r="M90" i="42"/>
  <c r="M86" i="42"/>
  <c r="M82" i="42"/>
  <c r="D113" i="42"/>
  <c r="D109" i="42"/>
  <c r="D105" i="42"/>
  <c r="D101" i="42"/>
  <c r="M113" i="42"/>
  <c r="M109" i="42"/>
  <c r="M105" i="42"/>
  <c r="M101" i="42"/>
  <c r="M97" i="42"/>
  <c r="M93" i="42"/>
  <c r="Q93" i="42" s="1"/>
  <c r="R93" i="42" s="1"/>
  <c r="M89" i="42"/>
  <c r="M85" i="42"/>
  <c r="D124" i="42"/>
  <c r="D123" i="42"/>
  <c r="D116" i="42"/>
  <c r="D112" i="42"/>
  <c r="M126" i="42"/>
  <c r="Y126" i="42" s="1"/>
  <c r="M118" i="42"/>
  <c r="D102" i="42"/>
  <c r="M99" i="42"/>
  <c r="M95" i="42"/>
  <c r="M91" i="42"/>
  <c r="M87" i="42"/>
  <c r="M83" i="42"/>
  <c r="M80" i="42"/>
  <c r="M117" i="42"/>
  <c r="Q117" i="42" s="1"/>
  <c r="R117" i="42" s="1"/>
  <c r="M116" i="42"/>
  <c r="M112" i="42"/>
  <c r="M108" i="42"/>
  <c r="D100" i="42"/>
  <c r="E100" i="42" s="1"/>
  <c r="F100" i="42" s="1"/>
  <c r="D98" i="42"/>
  <c r="D96" i="42"/>
  <c r="D94" i="42"/>
  <c r="D92" i="42"/>
  <c r="D90" i="42"/>
  <c r="D88" i="42"/>
  <c r="D86" i="42"/>
  <c r="D84" i="42"/>
  <c r="E84" i="42" s="1"/>
  <c r="F84" i="42" s="1"/>
  <c r="D82" i="42"/>
  <c r="E82" i="42" s="1"/>
  <c r="F82" i="42" s="1"/>
  <c r="D117" i="42"/>
  <c r="D107" i="42"/>
  <c r="M104" i="42"/>
  <c r="M115" i="42"/>
  <c r="M103" i="42"/>
  <c r="D81" i="42"/>
  <c r="D120" i="42"/>
  <c r="E120" i="42" s="1"/>
  <c r="F120" i="42" s="1"/>
  <c r="M111" i="42"/>
  <c r="D108" i="42"/>
  <c r="M96" i="42"/>
  <c r="M92" i="42"/>
  <c r="Y92" i="42" s="1"/>
  <c r="M88" i="42"/>
  <c r="M84" i="42"/>
  <c r="D125" i="42"/>
  <c r="D121" i="42"/>
  <c r="D115" i="42"/>
  <c r="M100" i="42"/>
  <c r="D99" i="42"/>
  <c r="D97" i="42"/>
  <c r="D95" i="42"/>
  <c r="D93" i="42"/>
  <c r="D91" i="42"/>
  <c r="D89" i="42"/>
  <c r="D87" i="42"/>
  <c r="D85" i="42"/>
  <c r="D83" i="42"/>
  <c r="M107" i="42"/>
  <c r="Y107" i="42" s="1"/>
  <c r="M81" i="42"/>
  <c r="Q81" i="42" s="1"/>
  <c r="R81" i="42" s="1"/>
  <c r="D122" i="42"/>
  <c r="D111" i="42"/>
  <c r="D103" i="42"/>
  <c r="D104" i="42"/>
  <c r="D80" i="42"/>
  <c r="E80" i="42" s="1"/>
  <c r="F80" i="42" s="1"/>
  <c r="O113" i="42"/>
  <c r="AX33" i="42"/>
  <c r="AL32" i="42"/>
  <c r="B93" i="42"/>
  <c r="B86" i="42"/>
  <c r="B101" i="42"/>
  <c r="B102" i="42"/>
  <c r="W102" i="42" s="1"/>
  <c r="B111" i="42"/>
  <c r="AL66" i="42"/>
  <c r="AL47" i="42"/>
  <c r="AX65" i="42"/>
  <c r="G135" i="42"/>
  <c r="F135" i="42"/>
  <c r="AG98" i="42"/>
  <c r="Q98" i="42"/>
  <c r="AL48" i="42"/>
  <c r="BB142" i="42"/>
  <c r="BF142" i="42" s="1"/>
  <c r="N4" i="42"/>
  <c r="N11" i="42" s="1"/>
  <c r="O4" i="42"/>
  <c r="O11" i="42" s="1"/>
  <c r="BB144" i="42"/>
  <c r="BF144" i="42" s="1"/>
  <c r="O124" i="42"/>
  <c r="P124" i="42" s="1"/>
  <c r="AL73" i="42"/>
  <c r="O89" i="42"/>
  <c r="P89" i="42" s="1"/>
  <c r="AX63" i="42"/>
  <c r="B95" i="42"/>
  <c r="B83" i="42"/>
  <c r="B88" i="42"/>
  <c r="B103" i="42"/>
  <c r="B106" i="42"/>
  <c r="B115" i="42"/>
  <c r="W115" i="42" s="1"/>
  <c r="AX34" i="42"/>
  <c r="AL36" i="42"/>
  <c r="AX57" i="42"/>
  <c r="AL44" i="42"/>
  <c r="AL52" i="42"/>
  <c r="O95" i="42"/>
  <c r="P95" i="42" s="1"/>
  <c r="O97" i="42"/>
  <c r="P97" i="42" s="1"/>
  <c r="E113" i="42"/>
  <c r="F113" i="42" s="1"/>
  <c r="O125" i="42"/>
  <c r="O82" i="42"/>
  <c r="O122" i="42"/>
  <c r="P122" i="42" s="1"/>
  <c r="O116" i="42"/>
  <c r="AF102" i="42"/>
  <c r="O102" i="42"/>
  <c r="O103" i="42"/>
  <c r="P103" i="42" s="1"/>
  <c r="O87" i="42"/>
  <c r="P87" i="42" s="1"/>
  <c r="L90" i="42"/>
  <c r="L107" i="42"/>
  <c r="L83" i="42"/>
  <c r="L108" i="42"/>
  <c r="L92" i="42"/>
  <c r="AX42" i="42"/>
  <c r="AL35" i="42"/>
  <c r="L94" i="42"/>
  <c r="B85" i="42"/>
  <c r="B99" i="42"/>
  <c r="B90" i="42"/>
  <c r="B123" i="42"/>
  <c r="B110" i="42"/>
  <c r="B121" i="42"/>
  <c r="AX43" i="42"/>
  <c r="AX50" i="42"/>
  <c r="L100" i="42"/>
  <c r="L85" i="42"/>
  <c r="AF85" i="42" s="1"/>
  <c r="AX41" i="42"/>
  <c r="AL40" i="42"/>
  <c r="O114" i="42"/>
  <c r="AL67" i="42"/>
  <c r="L106" i="42"/>
  <c r="O105" i="42"/>
  <c r="P105" i="42" s="1"/>
  <c r="B108" i="42"/>
  <c r="B112" i="42"/>
  <c r="B92" i="42"/>
  <c r="B104" i="42"/>
  <c r="B114" i="42"/>
  <c r="B126" i="42"/>
  <c r="AX38" i="42"/>
  <c r="L101" i="42"/>
  <c r="AX59" i="42"/>
  <c r="AG102" i="42"/>
  <c r="O117" i="42"/>
  <c r="P117" i="42" s="1"/>
  <c r="AG115" i="42"/>
  <c r="AG81" i="42"/>
  <c r="O104" i="42"/>
  <c r="P104" i="42" s="1"/>
  <c r="AF88" i="42"/>
  <c r="O88" i="42"/>
  <c r="P88" i="42" s="1"/>
  <c r="L99" i="42"/>
  <c r="AF81" i="42"/>
  <c r="O81" i="42"/>
  <c r="P81" i="42" s="1"/>
  <c r="AX69" i="42"/>
  <c r="AL62" i="42"/>
  <c r="AL71" i="42"/>
  <c r="AX58" i="42"/>
  <c r="B91" i="42"/>
  <c r="B116" i="42"/>
  <c r="B94" i="42"/>
  <c r="B109" i="42"/>
  <c r="B119" i="42"/>
  <c r="B124" i="42"/>
  <c r="AL37" i="42"/>
  <c r="E136" i="42"/>
  <c r="AL30" i="42"/>
  <c r="O123" i="42"/>
  <c r="P123" i="42" s="1"/>
  <c r="O115" i="42"/>
  <c r="P115" i="42" s="1"/>
  <c r="AX29" i="42"/>
  <c r="O93" i="42"/>
  <c r="Z81" i="42"/>
  <c r="BB156" i="42"/>
  <c r="BF156" i="42" s="1"/>
  <c r="O121" i="42"/>
  <c r="O106" i="42"/>
  <c r="P106" i="42" s="1"/>
  <c r="L82" i="42"/>
  <c r="AF82" i="42" s="1"/>
  <c r="AL56" i="42"/>
  <c r="B97" i="42"/>
  <c r="B117" i="42"/>
  <c r="B96" i="42"/>
  <c r="B122" i="42"/>
  <c r="B81" i="42"/>
  <c r="B125" i="42"/>
  <c r="AX51" i="42"/>
  <c r="L114" i="42"/>
  <c r="AF114" i="42" s="1"/>
  <c r="AL55" i="42"/>
  <c r="L110" i="42"/>
  <c r="B89" i="42"/>
  <c r="L4" i="14"/>
  <c r="K4" i="14"/>
  <c r="A25" i="41"/>
  <c r="V240" i="41"/>
  <c r="AA240" i="41" s="1"/>
  <c r="AG240" i="41" s="1"/>
  <c r="AK240" i="41" s="1"/>
  <c r="V239" i="41"/>
  <c r="AA239" i="41" s="1"/>
  <c r="AG239" i="41" s="1"/>
  <c r="AK239" i="41" s="1"/>
  <c r="V238" i="41"/>
  <c r="AA238" i="41" s="1"/>
  <c r="AG238" i="41" s="1"/>
  <c r="AK238" i="41" s="1"/>
  <c r="V237" i="41"/>
  <c r="AA237" i="41" s="1"/>
  <c r="AG237" i="41" s="1"/>
  <c r="AK237" i="41" s="1"/>
  <c r="V236" i="41"/>
  <c r="AA236" i="41" s="1"/>
  <c r="AG236" i="41" s="1"/>
  <c r="AK236" i="41" s="1"/>
  <c r="V235" i="41"/>
  <c r="AA235" i="41" s="1"/>
  <c r="AG235" i="41" s="1"/>
  <c r="AK235" i="41" s="1"/>
  <c r="V234" i="41"/>
  <c r="AA234" i="41" s="1"/>
  <c r="AG234" i="41" s="1"/>
  <c r="AK234" i="41" s="1"/>
  <c r="V233" i="41"/>
  <c r="AA233" i="41" s="1"/>
  <c r="AG233" i="41" s="1"/>
  <c r="AK233" i="41" s="1"/>
  <c r="V232" i="41"/>
  <c r="AA232" i="41" s="1"/>
  <c r="AG232" i="41" s="1"/>
  <c r="AK232" i="41" s="1"/>
  <c r="V231" i="41"/>
  <c r="AA231" i="41" s="1"/>
  <c r="AG231" i="41" s="1"/>
  <c r="AK231" i="41" s="1"/>
  <c r="V230" i="41"/>
  <c r="AA230" i="41" s="1"/>
  <c r="AG230" i="41" s="1"/>
  <c r="AK230" i="41" s="1"/>
  <c r="V229" i="41"/>
  <c r="AA229" i="41" s="1"/>
  <c r="AG229" i="41" s="1"/>
  <c r="AK229" i="41" s="1"/>
  <c r="V228" i="41"/>
  <c r="AA228" i="41" s="1"/>
  <c r="AG228" i="41" s="1"/>
  <c r="AK228" i="41" s="1"/>
  <c r="V227" i="41"/>
  <c r="AA227" i="41" s="1"/>
  <c r="AG227" i="41" s="1"/>
  <c r="AK227" i="41" s="1"/>
  <c r="V226" i="41"/>
  <c r="AA226" i="41" s="1"/>
  <c r="AG226" i="41" s="1"/>
  <c r="AK226" i="41" s="1"/>
  <c r="V225" i="41"/>
  <c r="AA225" i="41" s="1"/>
  <c r="AG225" i="41" s="1"/>
  <c r="AK225" i="41" s="1"/>
  <c r="V224" i="41"/>
  <c r="AA224" i="41" s="1"/>
  <c r="AG224" i="41" s="1"/>
  <c r="AK224" i="41" s="1"/>
  <c r="V223" i="41"/>
  <c r="AA223" i="41" s="1"/>
  <c r="AG223" i="41" s="1"/>
  <c r="AK223" i="41" s="1"/>
  <c r="V222" i="41"/>
  <c r="AA222" i="41" s="1"/>
  <c r="AG222" i="41" s="1"/>
  <c r="AK222" i="41" s="1"/>
  <c r="V221" i="41"/>
  <c r="AA221" i="41" s="1"/>
  <c r="AG221" i="41" s="1"/>
  <c r="AK221" i="41" s="1"/>
  <c r="V220" i="41"/>
  <c r="AA220" i="41" s="1"/>
  <c r="AG220" i="41" s="1"/>
  <c r="AK220" i="41" s="1"/>
  <c r="V219" i="41"/>
  <c r="AA219" i="41" s="1"/>
  <c r="AG219" i="41" s="1"/>
  <c r="AK219" i="41" s="1"/>
  <c r="V218" i="41"/>
  <c r="AA218" i="41" s="1"/>
  <c r="AG218" i="41" s="1"/>
  <c r="AK218" i="41" s="1"/>
  <c r="V217" i="41"/>
  <c r="AA217" i="41" s="1"/>
  <c r="AG217" i="41" s="1"/>
  <c r="AK217" i="41" s="1"/>
  <c r="AA216" i="41"/>
  <c r="AG216" i="41" s="1"/>
  <c r="AK216" i="41" s="1"/>
  <c r="V216" i="41"/>
  <c r="V215" i="41"/>
  <c r="AA215" i="41" s="1"/>
  <c r="AG215" i="41" s="1"/>
  <c r="AK215" i="41" s="1"/>
  <c r="V214" i="41"/>
  <c r="AA214" i="41" s="1"/>
  <c r="AG214" i="41" s="1"/>
  <c r="AK214" i="41" s="1"/>
  <c r="V213" i="41"/>
  <c r="AA213" i="41" s="1"/>
  <c r="AG213" i="41" s="1"/>
  <c r="AK213" i="41" s="1"/>
  <c r="V212" i="41"/>
  <c r="AA212" i="41" s="1"/>
  <c r="AG212" i="41" s="1"/>
  <c r="AK212" i="41" s="1"/>
  <c r="V211" i="41"/>
  <c r="AA211" i="41" s="1"/>
  <c r="AG211" i="41" s="1"/>
  <c r="AK211" i="41" s="1"/>
  <c r="V210" i="41"/>
  <c r="AA210" i="41" s="1"/>
  <c r="AG210" i="41" s="1"/>
  <c r="AK210" i="41" s="1"/>
  <c r="V209" i="41"/>
  <c r="AA209" i="41" s="1"/>
  <c r="AG209" i="41" s="1"/>
  <c r="AK209" i="41" s="1"/>
  <c r="AA208" i="41"/>
  <c r="AG208" i="41" s="1"/>
  <c r="AK208" i="41" s="1"/>
  <c r="V208" i="41"/>
  <c r="V207" i="41"/>
  <c r="AA207" i="41" s="1"/>
  <c r="AG207" i="41" s="1"/>
  <c r="AK207" i="41" s="1"/>
  <c r="V206" i="41"/>
  <c r="AA206" i="41" s="1"/>
  <c r="AG206" i="41" s="1"/>
  <c r="AK206" i="41" s="1"/>
  <c r="V205" i="41"/>
  <c r="AA205" i="41" s="1"/>
  <c r="AG205" i="41" s="1"/>
  <c r="AK205" i="41" s="1"/>
  <c r="V204" i="41"/>
  <c r="AA204" i="41" s="1"/>
  <c r="AG204" i="41" s="1"/>
  <c r="AK204" i="41" s="1"/>
  <c r="V203" i="41"/>
  <c r="AA203" i="41" s="1"/>
  <c r="AG203" i="41" s="1"/>
  <c r="AK203" i="41" s="1"/>
  <c r="V202" i="41"/>
  <c r="AA202" i="41" s="1"/>
  <c r="AG202" i="41" s="1"/>
  <c r="AK202" i="41" s="1"/>
  <c r="V201" i="41"/>
  <c r="AA201" i="41" s="1"/>
  <c r="AG201" i="41" s="1"/>
  <c r="AK201" i="41" s="1"/>
  <c r="V200" i="41"/>
  <c r="AA200" i="41" s="1"/>
  <c r="AG200" i="41" s="1"/>
  <c r="AK200" i="41" s="1"/>
  <c r="V199" i="41"/>
  <c r="AA199" i="41" s="1"/>
  <c r="AG199" i="41" s="1"/>
  <c r="AK199" i="41" s="1"/>
  <c r="V198" i="41"/>
  <c r="AA198" i="41" s="1"/>
  <c r="AG198" i="41" s="1"/>
  <c r="AK198" i="41" s="1"/>
  <c r="V197" i="41"/>
  <c r="AA197" i="41" s="1"/>
  <c r="AG197" i="41" s="1"/>
  <c r="AK197" i="41" s="1"/>
  <c r="AG196" i="41"/>
  <c r="AK196" i="41" s="1"/>
  <c r="V196" i="41"/>
  <c r="AA196" i="41" s="1"/>
  <c r="V195" i="41"/>
  <c r="AA195" i="41" s="1"/>
  <c r="AG195" i="41" s="1"/>
  <c r="AK195" i="41" s="1"/>
  <c r="AA194" i="41"/>
  <c r="AG194" i="41" s="1"/>
  <c r="AK194" i="41" s="1"/>
  <c r="Z194" i="41"/>
  <c r="AJ194" i="41" s="1"/>
  <c r="AP181" i="41"/>
  <c r="AC181" i="41"/>
  <c r="AP180" i="41"/>
  <c r="AY180" i="41" s="1"/>
  <c r="AC180" i="41"/>
  <c r="AV180" i="41" s="1"/>
  <c r="AP179" i="41"/>
  <c r="AC179" i="41"/>
  <c r="AP178" i="41"/>
  <c r="AY178" i="41" s="1"/>
  <c r="AC178" i="41"/>
  <c r="AV178" i="41" s="1"/>
  <c r="BB178" i="41" s="1"/>
  <c r="BF178" i="41" s="1"/>
  <c r="AP177" i="41"/>
  <c r="AC177" i="41"/>
  <c r="AP176" i="41"/>
  <c r="AY176" i="41" s="1"/>
  <c r="AC176" i="41"/>
  <c r="AP175" i="41"/>
  <c r="AY175" i="41" s="1"/>
  <c r="AC175" i="41"/>
  <c r="AP174" i="41"/>
  <c r="AY174" i="41" s="1"/>
  <c r="AC174" i="41"/>
  <c r="AP173" i="41"/>
  <c r="AC173" i="41"/>
  <c r="AP172" i="41"/>
  <c r="AY172" i="41" s="1"/>
  <c r="AC172" i="41"/>
  <c r="AP171" i="41"/>
  <c r="AC171" i="41"/>
  <c r="AP170" i="41"/>
  <c r="AY170" i="41" s="1"/>
  <c r="AC170" i="41"/>
  <c r="AP169" i="41"/>
  <c r="AC169" i="41"/>
  <c r="AP168" i="41"/>
  <c r="AY168" i="41" s="1"/>
  <c r="AC168" i="41"/>
  <c r="AP167" i="41"/>
  <c r="AY167" i="41" s="1"/>
  <c r="AC167" i="41"/>
  <c r="AP166" i="41"/>
  <c r="AY166" i="41" s="1"/>
  <c r="AC166" i="41"/>
  <c r="AP165" i="41"/>
  <c r="AC165" i="41"/>
  <c r="AP164" i="41"/>
  <c r="AY164" i="41" s="1"/>
  <c r="AC164" i="41"/>
  <c r="AP163" i="41"/>
  <c r="AC163" i="41"/>
  <c r="AP162" i="41"/>
  <c r="AY162" i="41" s="1"/>
  <c r="AC162" i="41"/>
  <c r="AP161" i="41"/>
  <c r="AC161" i="41"/>
  <c r="AP160" i="41"/>
  <c r="AY160" i="41" s="1"/>
  <c r="AC160" i="41"/>
  <c r="AP159" i="41"/>
  <c r="AY159" i="41" s="1"/>
  <c r="AC159" i="41"/>
  <c r="AP158" i="41"/>
  <c r="AY158" i="41" s="1"/>
  <c r="AC158" i="41"/>
  <c r="AP157" i="41"/>
  <c r="AY157" i="41" s="1"/>
  <c r="AC157" i="41"/>
  <c r="AP156" i="41"/>
  <c r="AY156" i="41" s="1"/>
  <c r="AC156" i="41"/>
  <c r="AP155" i="41"/>
  <c r="AY155" i="41" s="1"/>
  <c r="AC155" i="41"/>
  <c r="AP154" i="41"/>
  <c r="AY154" i="41" s="1"/>
  <c r="AC154" i="41"/>
  <c r="AP153" i="41"/>
  <c r="AY153" i="41" s="1"/>
  <c r="AC153" i="41"/>
  <c r="AP152" i="41"/>
  <c r="AY152" i="41" s="1"/>
  <c r="AC152" i="41"/>
  <c r="AP151" i="41"/>
  <c r="AY151" i="41" s="1"/>
  <c r="AC151" i="41"/>
  <c r="AP150" i="41"/>
  <c r="AY150" i="41" s="1"/>
  <c r="AC150" i="41"/>
  <c r="AP149" i="41"/>
  <c r="AY149" i="41" s="1"/>
  <c r="AC149" i="41"/>
  <c r="AP148" i="41"/>
  <c r="AY148" i="41" s="1"/>
  <c r="AC148" i="41"/>
  <c r="AP147" i="41"/>
  <c r="AY147" i="41" s="1"/>
  <c r="AC147" i="41"/>
  <c r="AP146" i="41"/>
  <c r="AY146" i="41" s="1"/>
  <c r="AC146" i="41"/>
  <c r="AP145" i="41"/>
  <c r="AY145" i="41" s="1"/>
  <c r="AC145" i="41"/>
  <c r="AP144" i="41"/>
  <c r="AY144" i="41" s="1"/>
  <c r="AC144" i="41"/>
  <c r="AP143" i="41"/>
  <c r="AY143" i="41" s="1"/>
  <c r="AC143" i="41"/>
  <c r="AP142" i="41"/>
  <c r="AY142" i="41" s="1"/>
  <c r="AC142" i="41"/>
  <c r="AP141" i="41"/>
  <c r="AY141" i="41" s="1"/>
  <c r="AC141" i="41"/>
  <c r="AP140" i="41"/>
  <c r="AY140" i="41" s="1"/>
  <c r="AC140" i="41"/>
  <c r="AP139" i="41"/>
  <c r="AY139" i="41" s="1"/>
  <c r="AC139" i="41"/>
  <c r="AP138" i="41"/>
  <c r="AY138" i="41" s="1"/>
  <c r="AC138" i="41"/>
  <c r="AP137" i="41"/>
  <c r="AY137" i="41" s="1"/>
  <c r="AC137" i="41"/>
  <c r="AP136" i="41"/>
  <c r="AY136" i="41" s="1"/>
  <c r="AC136" i="41"/>
  <c r="AY135" i="41"/>
  <c r="C126" i="41"/>
  <c r="C125" i="41"/>
  <c r="C124" i="41"/>
  <c r="C123" i="41"/>
  <c r="C122" i="41"/>
  <c r="C121" i="41"/>
  <c r="C120" i="41"/>
  <c r="C119" i="41"/>
  <c r="C118" i="41"/>
  <c r="C117" i="41"/>
  <c r="C116" i="41"/>
  <c r="C115" i="41"/>
  <c r="C114" i="41"/>
  <c r="C113" i="41"/>
  <c r="C112" i="41"/>
  <c r="C111" i="41"/>
  <c r="C110" i="41"/>
  <c r="C109" i="41"/>
  <c r="C108" i="41"/>
  <c r="C107" i="41"/>
  <c r="C106" i="41"/>
  <c r="C105" i="41"/>
  <c r="C104" i="41"/>
  <c r="C103" i="41"/>
  <c r="C102" i="41"/>
  <c r="C101" i="41"/>
  <c r="C100" i="41"/>
  <c r="C99" i="41"/>
  <c r="C98" i="41"/>
  <c r="C97" i="41"/>
  <c r="C96" i="41"/>
  <c r="C95" i="41"/>
  <c r="C94" i="41"/>
  <c r="C93" i="41"/>
  <c r="C92" i="41"/>
  <c r="C91" i="41"/>
  <c r="C90" i="41"/>
  <c r="C89" i="41"/>
  <c r="C88" i="41"/>
  <c r="C87" i="41"/>
  <c r="C86" i="41"/>
  <c r="C85" i="41"/>
  <c r="C84" i="41"/>
  <c r="C83" i="41"/>
  <c r="C82" i="41"/>
  <c r="C81" i="41"/>
  <c r="C80" i="41"/>
  <c r="B80" i="41"/>
  <c r="F79" i="41"/>
  <c r="W78" i="41"/>
  <c r="H78" i="41"/>
  <c r="A78" i="41"/>
  <c r="BF75" i="41"/>
  <c r="BE75" i="41"/>
  <c r="BD75" i="41"/>
  <c r="BC75" i="41"/>
  <c r="BB75" i="41"/>
  <c r="AW75" i="41"/>
  <c r="AI75" i="41"/>
  <c r="AH75" i="41"/>
  <c r="AG75" i="41"/>
  <c r="AF75" i="41"/>
  <c r="W75" i="41"/>
  <c r="AU75" i="41" s="1"/>
  <c r="V75" i="41"/>
  <c r="U75" i="41"/>
  <c r="T75" i="41"/>
  <c r="S75" i="41"/>
  <c r="AE75" i="41" s="1"/>
  <c r="AQ75" i="41" s="1"/>
  <c r="R75" i="41"/>
  <c r="AD75" i="41" s="1"/>
  <c r="AP75" i="41" s="1"/>
  <c r="Q75" i="41"/>
  <c r="AC75" i="41" s="1"/>
  <c r="AO75" i="41" s="1"/>
  <c r="P75" i="41"/>
  <c r="AB75" i="41" s="1"/>
  <c r="AN75" i="41" s="1"/>
  <c r="O75" i="41"/>
  <c r="BF74" i="41"/>
  <c r="BE74" i="41"/>
  <c r="BD74" i="41"/>
  <c r="BC74" i="41"/>
  <c r="BB74" i="41"/>
  <c r="AW74" i="41"/>
  <c r="AI74" i="41"/>
  <c r="AH74" i="41"/>
  <c r="AG74" i="41"/>
  <c r="AF74" i="41"/>
  <c r="W74" i="41"/>
  <c r="V74" i="41"/>
  <c r="U74" i="41"/>
  <c r="T74" i="41"/>
  <c r="S74" i="41"/>
  <c r="AE74" i="41" s="1"/>
  <c r="AQ74" i="41" s="1"/>
  <c r="R74" i="41"/>
  <c r="AD74" i="41" s="1"/>
  <c r="AP74" i="41" s="1"/>
  <c r="Q74" i="41"/>
  <c r="AC74" i="41" s="1"/>
  <c r="AO74" i="41" s="1"/>
  <c r="P74" i="41"/>
  <c r="AB74" i="41" s="1"/>
  <c r="AN74" i="41" s="1"/>
  <c r="O74" i="41"/>
  <c r="BF73" i="41"/>
  <c r="BE73" i="41"/>
  <c r="BD73" i="41"/>
  <c r="BC73" i="41"/>
  <c r="BB73" i="41"/>
  <c r="AW73" i="41"/>
  <c r="AI73" i="41"/>
  <c r="AH73" i="41"/>
  <c r="AG73" i="41"/>
  <c r="AF73" i="41"/>
  <c r="W73" i="41"/>
  <c r="AU73" i="41" s="1"/>
  <c r="V73" i="41"/>
  <c r="U73" i="41"/>
  <c r="T73" i="41"/>
  <c r="S73" i="41"/>
  <c r="AE73" i="41" s="1"/>
  <c r="AQ73" i="41" s="1"/>
  <c r="R73" i="41"/>
  <c r="AD73" i="41" s="1"/>
  <c r="AP73" i="41" s="1"/>
  <c r="Q73" i="41"/>
  <c r="AC73" i="41" s="1"/>
  <c r="AO73" i="41" s="1"/>
  <c r="P73" i="41"/>
  <c r="AB73" i="41" s="1"/>
  <c r="AN73" i="41" s="1"/>
  <c r="O73" i="41"/>
  <c r="BF72" i="41"/>
  <c r="BE72" i="41"/>
  <c r="BD72" i="41"/>
  <c r="BC72" i="41"/>
  <c r="BB72" i="41"/>
  <c r="AW72" i="41"/>
  <c r="AI72" i="41"/>
  <c r="AH72" i="41"/>
  <c r="AG72" i="41"/>
  <c r="AF72" i="41"/>
  <c r="W72" i="41"/>
  <c r="V72" i="41"/>
  <c r="U72" i="41"/>
  <c r="T72" i="41"/>
  <c r="S72" i="41"/>
  <c r="AE72" i="41" s="1"/>
  <c r="AQ72" i="41" s="1"/>
  <c r="R72" i="41"/>
  <c r="AD72" i="41" s="1"/>
  <c r="AP72" i="41" s="1"/>
  <c r="Q72" i="41"/>
  <c r="AC72" i="41" s="1"/>
  <c r="AO72" i="41" s="1"/>
  <c r="P72" i="41"/>
  <c r="AB72" i="41" s="1"/>
  <c r="AN72" i="41" s="1"/>
  <c r="O72" i="41"/>
  <c r="BF71" i="41"/>
  <c r="BE71" i="41"/>
  <c r="BD71" i="41"/>
  <c r="BC71" i="41"/>
  <c r="BB71" i="41"/>
  <c r="AW71" i="41"/>
  <c r="AI71" i="41"/>
  <c r="AH71" i="41"/>
  <c r="AG71" i="41"/>
  <c r="AF71" i="41"/>
  <c r="W71" i="41"/>
  <c r="AU71" i="41" s="1"/>
  <c r="V71" i="41"/>
  <c r="U71" i="41"/>
  <c r="T71" i="41"/>
  <c r="S71" i="41"/>
  <c r="AE71" i="41" s="1"/>
  <c r="AQ71" i="41" s="1"/>
  <c r="R71" i="41"/>
  <c r="AD71" i="41" s="1"/>
  <c r="AP71" i="41" s="1"/>
  <c r="Q71" i="41"/>
  <c r="AC71" i="41" s="1"/>
  <c r="AO71" i="41" s="1"/>
  <c r="P71" i="41"/>
  <c r="AB71" i="41" s="1"/>
  <c r="AN71" i="41" s="1"/>
  <c r="O71" i="41"/>
  <c r="BF70" i="41"/>
  <c r="BE70" i="41"/>
  <c r="BD70" i="41"/>
  <c r="BC70" i="41"/>
  <c r="BB70" i="41"/>
  <c r="AW70" i="41"/>
  <c r="AI70" i="41"/>
  <c r="AH70" i="41"/>
  <c r="AG70" i="41"/>
  <c r="AF70" i="41"/>
  <c r="W70" i="41"/>
  <c r="V70" i="41"/>
  <c r="U70" i="41"/>
  <c r="T70" i="41"/>
  <c r="S70" i="41"/>
  <c r="AE70" i="41" s="1"/>
  <c r="AQ70" i="41" s="1"/>
  <c r="R70" i="41"/>
  <c r="AD70" i="41" s="1"/>
  <c r="AP70" i="41" s="1"/>
  <c r="Q70" i="41"/>
  <c r="AC70" i="41" s="1"/>
  <c r="AO70" i="41" s="1"/>
  <c r="P70" i="41"/>
  <c r="AB70" i="41" s="1"/>
  <c r="AN70" i="41" s="1"/>
  <c r="O70" i="41"/>
  <c r="BF69" i="41"/>
  <c r="BE69" i="41"/>
  <c r="BD69" i="41"/>
  <c r="BC69" i="41"/>
  <c r="BB69" i="41"/>
  <c r="AW69" i="41"/>
  <c r="AI69" i="41"/>
  <c r="AH69" i="41"/>
  <c r="AG69" i="41"/>
  <c r="AF69" i="41"/>
  <c r="W69" i="41"/>
  <c r="AU69" i="41" s="1"/>
  <c r="V69" i="41"/>
  <c r="U69" i="41"/>
  <c r="T69" i="41"/>
  <c r="S69" i="41"/>
  <c r="AE69" i="41" s="1"/>
  <c r="AQ69" i="41" s="1"/>
  <c r="R69" i="41"/>
  <c r="AD69" i="41" s="1"/>
  <c r="AP69" i="41" s="1"/>
  <c r="Q69" i="41"/>
  <c r="AC69" i="41" s="1"/>
  <c r="AO69" i="41" s="1"/>
  <c r="P69" i="41"/>
  <c r="AB69" i="41" s="1"/>
  <c r="AN69" i="41" s="1"/>
  <c r="O69" i="41"/>
  <c r="BF68" i="41"/>
  <c r="BE68" i="41"/>
  <c r="BD68" i="41"/>
  <c r="BC68" i="41"/>
  <c r="BB68" i="41"/>
  <c r="AW68" i="41"/>
  <c r="AI68" i="41"/>
  <c r="AH68" i="41"/>
  <c r="AG68" i="41"/>
  <c r="AF68" i="41"/>
  <c r="W68" i="41"/>
  <c r="V68" i="41"/>
  <c r="U68" i="41"/>
  <c r="T68" i="41"/>
  <c r="S68" i="41"/>
  <c r="AE68" i="41" s="1"/>
  <c r="AQ68" i="41" s="1"/>
  <c r="R68" i="41"/>
  <c r="AD68" i="41" s="1"/>
  <c r="AP68" i="41" s="1"/>
  <c r="Q68" i="41"/>
  <c r="AC68" i="41" s="1"/>
  <c r="AO68" i="41" s="1"/>
  <c r="P68" i="41"/>
  <c r="AB68" i="41" s="1"/>
  <c r="AN68" i="41" s="1"/>
  <c r="O68" i="41"/>
  <c r="AA68" i="41" s="1"/>
  <c r="AM68" i="41" s="1"/>
  <c r="BF67" i="41"/>
  <c r="BE67" i="41"/>
  <c r="BD67" i="41"/>
  <c r="BC67" i="41"/>
  <c r="BB67" i="41"/>
  <c r="AW67" i="41"/>
  <c r="AI67" i="41"/>
  <c r="AH67" i="41"/>
  <c r="AG67" i="41"/>
  <c r="AF67" i="41"/>
  <c r="W67" i="41"/>
  <c r="AU67" i="41" s="1"/>
  <c r="V67" i="41"/>
  <c r="U67" i="41"/>
  <c r="T67" i="41"/>
  <c r="S67" i="41"/>
  <c r="AE67" i="41" s="1"/>
  <c r="AQ67" i="41" s="1"/>
  <c r="R67" i="41"/>
  <c r="AD67" i="41" s="1"/>
  <c r="AP67" i="41" s="1"/>
  <c r="Q67" i="41"/>
  <c r="AC67" i="41" s="1"/>
  <c r="AO67" i="41" s="1"/>
  <c r="P67" i="41"/>
  <c r="AB67" i="41" s="1"/>
  <c r="AN67" i="41" s="1"/>
  <c r="O67" i="41"/>
  <c r="BF66" i="41"/>
  <c r="BE66" i="41"/>
  <c r="BD66" i="41"/>
  <c r="BC66" i="41"/>
  <c r="BB66" i="41"/>
  <c r="AW66" i="41"/>
  <c r="AI66" i="41"/>
  <c r="AH66" i="41"/>
  <c r="AG66" i="41"/>
  <c r="AF66" i="41"/>
  <c r="W66" i="41"/>
  <c r="V66" i="41"/>
  <c r="U66" i="41"/>
  <c r="T66" i="41"/>
  <c r="S66" i="41"/>
  <c r="AE66" i="41" s="1"/>
  <c r="AQ66" i="41" s="1"/>
  <c r="R66" i="41"/>
  <c r="AD66" i="41" s="1"/>
  <c r="AP66" i="41" s="1"/>
  <c r="Q66" i="41"/>
  <c r="AC66" i="41" s="1"/>
  <c r="AO66" i="41" s="1"/>
  <c r="P66" i="41"/>
  <c r="AB66" i="41" s="1"/>
  <c r="AN66" i="41" s="1"/>
  <c r="O66" i="41"/>
  <c r="BF65" i="41"/>
  <c r="BE65" i="41"/>
  <c r="BD65" i="41"/>
  <c r="BC65" i="41"/>
  <c r="BB65" i="41"/>
  <c r="AW65" i="41"/>
  <c r="AI65" i="41"/>
  <c r="AH65" i="41"/>
  <c r="AG65" i="41"/>
  <c r="AF65" i="41"/>
  <c r="W65" i="41"/>
  <c r="AU65" i="41" s="1"/>
  <c r="V65" i="41"/>
  <c r="U65" i="41"/>
  <c r="T65" i="41"/>
  <c r="S65" i="41"/>
  <c r="AE65" i="41" s="1"/>
  <c r="AQ65" i="41" s="1"/>
  <c r="R65" i="41"/>
  <c r="AD65" i="41" s="1"/>
  <c r="AP65" i="41" s="1"/>
  <c r="Q65" i="41"/>
  <c r="AC65" i="41" s="1"/>
  <c r="AO65" i="41" s="1"/>
  <c r="P65" i="41"/>
  <c r="AB65" i="41" s="1"/>
  <c r="AN65" i="41" s="1"/>
  <c r="O65" i="41"/>
  <c r="BF64" i="41"/>
  <c r="BE64" i="41"/>
  <c r="BD64" i="41"/>
  <c r="BC64" i="41"/>
  <c r="BB64" i="41"/>
  <c r="AW64" i="41"/>
  <c r="AI64" i="41"/>
  <c r="AH64" i="41"/>
  <c r="AG64" i="41"/>
  <c r="AF64" i="41"/>
  <c r="W64" i="41"/>
  <c r="V64" i="41"/>
  <c r="U64" i="41"/>
  <c r="T64" i="41"/>
  <c r="S64" i="41"/>
  <c r="AE64" i="41" s="1"/>
  <c r="AQ64" i="41" s="1"/>
  <c r="R64" i="41"/>
  <c r="AD64" i="41" s="1"/>
  <c r="AP64" i="41" s="1"/>
  <c r="Q64" i="41"/>
  <c r="AC64" i="41" s="1"/>
  <c r="AO64" i="41" s="1"/>
  <c r="P64" i="41"/>
  <c r="AB64" i="41" s="1"/>
  <c r="AN64" i="41" s="1"/>
  <c r="O64" i="41"/>
  <c r="AA64" i="41" s="1"/>
  <c r="AM64" i="41" s="1"/>
  <c r="BF63" i="41"/>
  <c r="BE63" i="41"/>
  <c r="BD63" i="41"/>
  <c r="BC63" i="41"/>
  <c r="BB63" i="41"/>
  <c r="AW63" i="41"/>
  <c r="AI63" i="41"/>
  <c r="AH63" i="41"/>
  <c r="AG63" i="41"/>
  <c r="AF63" i="41"/>
  <c r="W63" i="41"/>
  <c r="V63" i="41"/>
  <c r="U63" i="41"/>
  <c r="T63" i="41"/>
  <c r="S63" i="41"/>
  <c r="AE63" i="41" s="1"/>
  <c r="AQ63" i="41" s="1"/>
  <c r="R63" i="41"/>
  <c r="AD63" i="41" s="1"/>
  <c r="AP63" i="41" s="1"/>
  <c r="Q63" i="41"/>
  <c r="AC63" i="41" s="1"/>
  <c r="AO63" i="41" s="1"/>
  <c r="P63" i="41"/>
  <c r="AB63" i="41" s="1"/>
  <c r="AN63" i="41" s="1"/>
  <c r="O63" i="41"/>
  <c r="BF62" i="41"/>
  <c r="BE62" i="41"/>
  <c r="BD62" i="41"/>
  <c r="BC62" i="41"/>
  <c r="BB62" i="41"/>
  <c r="AW62" i="41"/>
  <c r="AI62" i="41"/>
  <c r="AH62" i="41"/>
  <c r="AG62" i="41"/>
  <c r="AF62" i="41"/>
  <c r="W62" i="41"/>
  <c r="V62" i="41"/>
  <c r="U62" i="41"/>
  <c r="T62" i="41"/>
  <c r="S62" i="41"/>
  <c r="AE62" i="41" s="1"/>
  <c r="AQ62" i="41" s="1"/>
  <c r="R62" i="41"/>
  <c r="AD62" i="41" s="1"/>
  <c r="AP62" i="41" s="1"/>
  <c r="Q62" i="41"/>
  <c r="AC62" i="41" s="1"/>
  <c r="AO62" i="41" s="1"/>
  <c r="P62" i="41"/>
  <c r="AB62" i="41" s="1"/>
  <c r="AN62" i="41" s="1"/>
  <c r="O62" i="41"/>
  <c r="AA62" i="41" s="1"/>
  <c r="AM62" i="41" s="1"/>
  <c r="BF61" i="41"/>
  <c r="BE61" i="41"/>
  <c r="BD61" i="41"/>
  <c r="BC61" i="41"/>
  <c r="BB61" i="41"/>
  <c r="AW61" i="41"/>
  <c r="AI61" i="41"/>
  <c r="AH61" i="41"/>
  <c r="AG61" i="41"/>
  <c r="AF61" i="41"/>
  <c r="W61" i="41"/>
  <c r="AU61" i="41" s="1"/>
  <c r="V61" i="41"/>
  <c r="U61" i="41"/>
  <c r="T61" i="41"/>
  <c r="S61" i="41"/>
  <c r="AE61" i="41" s="1"/>
  <c r="AQ61" i="41" s="1"/>
  <c r="R61" i="41"/>
  <c r="AD61" i="41" s="1"/>
  <c r="AP61" i="41" s="1"/>
  <c r="Q61" i="41"/>
  <c r="P61" i="41"/>
  <c r="AB61" i="41" s="1"/>
  <c r="AN61" i="41" s="1"/>
  <c r="O61" i="41"/>
  <c r="BF60" i="41"/>
  <c r="BE60" i="41"/>
  <c r="BD60" i="41"/>
  <c r="BC60" i="41"/>
  <c r="BB60" i="41"/>
  <c r="AW60" i="41"/>
  <c r="AI60" i="41"/>
  <c r="AH60" i="41"/>
  <c r="AG60" i="41"/>
  <c r="AF60" i="41"/>
  <c r="W60" i="41"/>
  <c r="V60" i="41"/>
  <c r="U60" i="41"/>
  <c r="T60" i="41"/>
  <c r="S60" i="41"/>
  <c r="AE60" i="41" s="1"/>
  <c r="AQ60" i="41" s="1"/>
  <c r="R60" i="41"/>
  <c r="AD60" i="41" s="1"/>
  <c r="AP60" i="41" s="1"/>
  <c r="Q60" i="41"/>
  <c r="AC60" i="41" s="1"/>
  <c r="AO60" i="41" s="1"/>
  <c r="P60" i="41"/>
  <c r="AB60" i="41" s="1"/>
  <c r="AN60" i="41" s="1"/>
  <c r="O60" i="41"/>
  <c r="AA60" i="41" s="1"/>
  <c r="AM60" i="41" s="1"/>
  <c r="BF59" i="41"/>
  <c r="BE59" i="41"/>
  <c r="BD59" i="41"/>
  <c r="BC59" i="41"/>
  <c r="BB59" i="41"/>
  <c r="AW59" i="41"/>
  <c r="AI59" i="41"/>
  <c r="AH59" i="41"/>
  <c r="AG59" i="41"/>
  <c r="AF59" i="41"/>
  <c r="W59" i="41"/>
  <c r="AU59" i="41" s="1"/>
  <c r="V59" i="41"/>
  <c r="U59" i="41"/>
  <c r="T59" i="41"/>
  <c r="S59" i="41"/>
  <c r="AE59" i="41" s="1"/>
  <c r="AQ59" i="41" s="1"/>
  <c r="R59" i="41"/>
  <c r="AD59" i="41" s="1"/>
  <c r="AP59" i="41" s="1"/>
  <c r="Q59" i="41"/>
  <c r="P59" i="41"/>
  <c r="AB59" i="41" s="1"/>
  <c r="AN59" i="41" s="1"/>
  <c r="O59" i="41"/>
  <c r="BF58" i="41"/>
  <c r="BE58" i="41"/>
  <c r="BD58" i="41"/>
  <c r="BC58" i="41"/>
  <c r="BB58" i="41"/>
  <c r="AW58" i="41"/>
  <c r="AI58" i="41"/>
  <c r="AH58" i="41"/>
  <c r="AG58" i="41"/>
  <c r="AF58" i="41"/>
  <c r="W58" i="41"/>
  <c r="V58" i="41"/>
  <c r="U58" i="41"/>
  <c r="T58" i="41"/>
  <c r="S58" i="41"/>
  <c r="AE58" i="41" s="1"/>
  <c r="AQ58" i="41" s="1"/>
  <c r="R58" i="41"/>
  <c r="AD58" i="41" s="1"/>
  <c r="AP58" i="41" s="1"/>
  <c r="Q58" i="41"/>
  <c r="AC58" i="41" s="1"/>
  <c r="AO58" i="41" s="1"/>
  <c r="P58" i="41"/>
  <c r="AB58" i="41" s="1"/>
  <c r="AN58" i="41" s="1"/>
  <c r="O58" i="41"/>
  <c r="AA58" i="41" s="1"/>
  <c r="AM58" i="41" s="1"/>
  <c r="BF57" i="41"/>
  <c r="BE57" i="41"/>
  <c r="BD57" i="41"/>
  <c r="BC57" i="41"/>
  <c r="BB57" i="41"/>
  <c r="AW57" i="41"/>
  <c r="AI57" i="41"/>
  <c r="AH57" i="41"/>
  <c r="AG57" i="41"/>
  <c r="AF57" i="41"/>
  <c r="W57" i="41"/>
  <c r="AU57" i="41" s="1"/>
  <c r="V57" i="41"/>
  <c r="U57" i="41"/>
  <c r="T57" i="41"/>
  <c r="S57" i="41"/>
  <c r="AE57" i="41" s="1"/>
  <c r="AQ57" i="41" s="1"/>
  <c r="R57" i="41"/>
  <c r="AD57" i="41" s="1"/>
  <c r="AP57" i="41" s="1"/>
  <c r="Q57" i="41"/>
  <c r="P57" i="41"/>
  <c r="AB57" i="41" s="1"/>
  <c r="AN57" i="41" s="1"/>
  <c r="O57" i="41"/>
  <c r="BF56" i="41"/>
  <c r="BE56" i="41"/>
  <c r="BD56" i="41"/>
  <c r="BC56" i="41"/>
  <c r="BB56" i="41"/>
  <c r="AW56" i="41"/>
  <c r="AI56" i="41"/>
  <c r="AH56" i="41"/>
  <c r="AG56" i="41"/>
  <c r="AF56" i="41"/>
  <c r="W56" i="41"/>
  <c r="V56" i="41"/>
  <c r="U56" i="41"/>
  <c r="T56" i="41"/>
  <c r="S56" i="41"/>
  <c r="AE56" i="41" s="1"/>
  <c r="AQ56" i="41" s="1"/>
  <c r="R56" i="41"/>
  <c r="AD56" i="41" s="1"/>
  <c r="AP56" i="41" s="1"/>
  <c r="Q56" i="41"/>
  <c r="AC56" i="41" s="1"/>
  <c r="AO56" i="41" s="1"/>
  <c r="P56" i="41"/>
  <c r="AB56" i="41" s="1"/>
  <c r="AN56" i="41" s="1"/>
  <c r="O56" i="41"/>
  <c r="AA56" i="41" s="1"/>
  <c r="AM56" i="41" s="1"/>
  <c r="BF55" i="41"/>
  <c r="BE55" i="41"/>
  <c r="BD55" i="41"/>
  <c r="BC55" i="41"/>
  <c r="BB55" i="41"/>
  <c r="AW55" i="41"/>
  <c r="AI55" i="41"/>
  <c r="AH55" i="41"/>
  <c r="AG55" i="41"/>
  <c r="AF55" i="41"/>
  <c r="W55" i="41"/>
  <c r="AU55" i="41" s="1"/>
  <c r="V55" i="41"/>
  <c r="U55" i="41"/>
  <c r="T55" i="41"/>
  <c r="S55" i="41"/>
  <c r="AE55" i="41" s="1"/>
  <c r="AQ55" i="41" s="1"/>
  <c r="R55" i="41"/>
  <c r="AD55" i="41" s="1"/>
  <c r="AP55" i="41" s="1"/>
  <c r="Q55" i="41"/>
  <c r="P55" i="41"/>
  <c r="AB55" i="41" s="1"/>
  <c r="AN55" i="41" s="1"/>
  <c r="O55" i="41"/>
  <c r="BF54" i="41"/>
  <c r="BE54" i="41"/>
  <c r="BD54" i="41"/>
  <c r="BC54" i="41"/>
  <c r="BB54" i="41"/>
  <c r="AW54" i="41"/>
  <c r="AI54" i="41"/>
  <c r="AH54" i="41"/>
  <c r="AG54" i="41"/>
  <c r="AF54" i="41"/>
  <c r="W54" i="41"/>
  <c r="V54" i="41"/>
  <c r="U54" i="41"/>
  <c r="T54" i="41"/>
  <c r="S54" i="41"/>
  <c r="AE54" i="41" s="1"/>
  <c r="AQ54" i="41" s="1"/>
  <c r="R54" i="41"/>
  <c r="AD54" i="41" s="1"/>
  <c r="AP54" i="41" s="1"/>
  <c r="Q54" i="41"/>
  <c r="AC54" i="41" s="1"/>
  <c r="AO54" i="41" s="1"/>
  <c r="P54" i="41"/>
  <c r="AB54" i="41" s="1"/>
  <c r="AN54" i="41" s="1"/>
  <c r="O54" i="41"/>
  <c r="AA54" i="41" s="1"/>
  <c r="AM54" i="41" s="1"/>
  <c r="BF53" i="41"/>
  <c r="BE53" i="41"/>
  <c r="BD53" i="41"/>
  <c r="BC53" i="41"/>
  <c r="BB53" i="41"/>
  <c r="AW53" i="41"/>
  <c r="AI53" i="41"/>
  <c r="AH53" i="41"/>
  <c r="AG53" i="41"/>
  <c r="AF53" i="41"/>
  <c r="W53" i="41"/>
  <c r="AU53" i="41" s="1"/>
  <c r="V53" i="41"/>
  <c r="U53" i="41"/>
  <c r="T53" i="41"/>
  <c r="S53" i="41"/>
  <c r="AE53" i="41" s="1"/>
  <c r="AQ53" i="41" s="1"/>
  <c r="R53" i="41"/>
  <c r="AD53" i="41" s="1"/>
  <c r="AP53" i="41" s="1"/>
  <c r="Q53" i="41"/>
  <c r="P53" i="41"/>
  <c r="AB53" i="41" s="1"/>
  <c r="AN53" i="41" s="1"/>
  <c r="O53" i="41"/>
  <c r="BF52" i="41"/>
  <c r="BE52" i="41"/>
  <c r="BD52" i="41"/>
  <c r="BC52" i="41"/>
  <c r="BB52" i="41"/>
  <c r="AW52" i="41"/>
  <c r="AI52" i="41"/>
  <c r="AH52" i="41"/>
  <c r="AG52" i="41"/>
  <c r="AF52" i="41"/>
  <c r="W52" i="41"/>
  <c r="V52" i="41"/>
  <c r="U52" i="41"/>
  <c r="T52" i="41"/>
  <c r="S52" i="41"/>
  <c r="AE52" i="41" s="1"/>
  <c r="AQ52" i="41" s="1"/>
  <c r="R52" i="41"/>
  <c r="AD52" i="41" s="1"/>
  <c r="AP52" i="41" s="1"/>
  <c r="Q52" i="41"/>
  <c r="AC52" i="41" s="1"/>
  <c r="AO52" i="41" s="1"/>
  <c r="P52" i="41"/>
  <c r="AB52" i="41" s="1"/>
  <c r="AN52" i="41" s="1"/>
  <c r="O52" i="41"/>
  <c r="AA52" i="41" s="1"/>
  <c r="AM52" i="41" s="1"/>
  <c r="BF51" i="41"/>
  <c r="BE51" i="41"/>
  <c r="BD51" i="41"/>
  <c r="BC51" i="41"/>
  <c r="BB51" i="41"/>
  <c r="AW51" i="41"/>
  <c r="AI51" i="41"/>
  <c r="AH51" i="41"/>
  <c r="AG51" i="41"/>
  <c r="AF51" i="41"/>
  <c r="K102" i="41" s="1"/>
  <c r="X102" i="41" s="1"/>
  <c r="W51" i="41"/>
  <c r="AU51" i="41" s="1"/>
  <c r="V51" i="41"/>
  <c r="U51" i="41"/>
  <c r="T51" i="41"/>
  <c r="S51" i="41"/>
  <c r="AE51" i="41" s="1"/>
  <c r="AQ51" i="41" s="1"/>
  <c r="R51" i="41"/>
  <c r="AD51" i="41" s="1"/>
  <c r="AP51" i="41" s="1"/>
  <c r="Q51" i="41"/>
  <c r="AC51" i="41" s="1"/>
  <c r="AO51" i="41" s="1"/>
  <c r="P51" i="41"/>
  <c r="AB51" i="41" s="1"/>
  <c r="AN51" i="41" s="1"/>
  <c r="O51" i="41"/>
  <c r="BF50" i="41"/>
  <c r="BE50" i="41"/>
  <c r="BD50" i="41"/>
  <c r="BC50" i="41"/>
  <c r="BB50" i="41"/>
  <c r="AW50" i="41"/>
  <c r="AI50" i="41"/>
  <c r="AH50" i="41"/>
  <c r="AG50" i="41"/>
  <c r="AF50" i="41"/>
  <c r="W50" i="41"/>
  <c r="V50" i="41"/>
  <c r="U50" i="41"/>
  <c r="T50" i="41"/>
  <c r="S50" i="41"/>
  <c r="AE50" i="41" s="1"/>
  <c r="AQ50" i="41" s="1"/>
  <c r="R50" i="41"/>
  <c r="AD50" i="41" s="1"/>
  <c r="AP50" i="41" s="1"/>
  <c r="AC50" i="41"/>
  <c r="AO50" i="41" s="1"/>
  <c r="P50" i="41"/>
  <c r="AB50" i="41" s="1"/>
  <c r="AN50" i="41" s="1"/>
  <c r="O50" i="41"/>
  <c r="AA50" i="41" s="1"/>
  <c r="AM50" i="41" s="1"/>
  <c r="BF49" i="41"/>
  <c r="BE49" i="41"/>
  <c r="BD49" i="41"/>
  <c r="BC49" i="41"/>
  <c r="BB49" i="41"/>
  <c r="AW49" i="41"/>
  <c r="AI49" i="41"/>
  <c r="AH49" i="41"/>
  <c r="AG49" i="41"/>
  <c r="AF49" i="41"/>
  <c r="K100" i="41" s="1"/>
  <c r="X100" i="41" s="1"/>
  <c r="W49" i="41"/>
  <c r="AU49" i="41" s="1"/>
  <c r="V49" i="41"/>
  <c r="U49" i="41"/>
  <c r="T49" i="41"/>
  <c r="S49" i="41"/>
  <c r="AE49" i="41" s="1"/>
  <c r="AQ49" i="41" s="1"/>
  <c r="R49" i="41"/>
  <c r="AD49" i="41" s="1"/>
  <c r="AP49" i="41" s="1"/>
  <c r="Q49" i="41"/>
  <c r="AC49" i="41" s="1"/>
  <c r="AO49" i="41" s="1"/>
  <c r="P49" i="41"/>
  <c r="AB49" i="41" s="1"/>
  <c r="AN49" i="41" s="1"/>
  <c r="O49" i="41"/>
  <c r="BF48" i="41"/>
  <c r="BE48" i="41"/>
  <c r="BD48" i="41"/>
  <c r="BC48" i="41"/>
  <c r="BB48" i="41"/>
  <c r="AW48" i="41"/>
  <c r="AI48" i="41"/>
  <c r="AH48" i="41"/>
  <c r="AG48" i="41"/>
  <c r="AF48" i="41"/>
  <c r="W48" i="41"/>
  <c r="V48" i="41"/>
  <c r="U48" i="41"/>
  <c r="T48" i="41"/>
  <c r="S48" i="41"/>
  <c r="AE48" i="41" s="1"/>
  <c r="AQ48" i="41" s="1"/>
  <c r="R48" i="41"/>
  <c r="AD48" i="41" s="1"/>
  <c r="AP48" i="41" s="1"/>
  <c r="Q48" i="41"/>
  <c r="AC48" i="41" s="1"/>
  <c r="AO48" i="41" s="1"/>
  <c r="P48" i="41"/>
  <c r="AB48" i="41" s="1"/>
  <c r="AN48" i="41" s="1"/>
  <c r="O48" i="41"/>
  <c r="AA48" i="41" s="1"/>
  <c r="AM48" i="41" s="1"/>
  <c r="BF47" i="41"/>
  <c r="BE47" i="41"/>
  <c r="BD47" i="41"/>
  <c r="BC47" i="41"/>
  <c r="BB47" i="41"/>
  <c r="AW47" i="41"/>
  <c r="AI47" i="41"/>
  <c r="AH47" i="41"/>
  <c r="AG47" i="41"/>
  <c r="AF47" i="41"/>
  <c r="K98" i="41" s="1"/>
  <c r="X98" i="41" s="1"/>
  <c r="W47" i="41"/>
  <c r="AU47" i="41" s="1"/>
  <c r="V47" i="41"/>
  <c r="U47" i="41"/>
  <c r="T47" i="41"/>
  <c r="S47" i="41"/>
  <c r="AE47" i="41" s="1"/>
  <c r="AQ47" i="41" s="1"/>
  <c r="R47" i="41"/>
  <c r="AD47" i="41" s="1"/>
  <c r="AP47" i="41" s="1"/>
  <c r="Q47" i="41"/>
  <c r="AC47" i="41" s="1"/>
  <c r="AO47" i="41" s="1"/>
  <c r="P47" i="41"/>
  <c r="AB47" i="41" s="1"/>
  <c r="AN47" i="41" s="1"/>
  <c r="O47" i="41"/>
  <c r="BF46" i="41"/>
  <c r="BE46" i="41"/>
  <c r="BD46" i="41"/>
  <c r="BC46" i="41"/>
  <c r="BB46" i="41"/>
  <c r="AW46" i="41"/>
  <c r="AI46" i="41"/>
  <c r="AH46" i="41"/>
  <c r="AG46" i="41"/>
  <c r="AF46" i="41"/>
  <c r="W46" i="41"/>
  <c r="V46" i="41"/>
  <c r="U46" i="41"/>
  <c r="T46" i="41"/>
  <c r="S46" i="41"/>
  <c r="AE46" i="41" s="1"/>
  <c r="AQ46" i="41" s="1"/>
  <c r="R46" i="41"/>
  <c r="AD46" i="41" s="1"/>
  <c r="AP46" i="41" s="1"/>
  <c r="Q46" i="41"/>
  <c r="AC46" i="41" s="1"/>
  <c r="AO46" i="41" s="1"/>
  <c r="P46" i="41"/>
  <c r="AB46" i="41" s="1"/>
  <c r="AN46" i="41" s="1"/>
  <c r="O46" i="41"/>
  <c r="AA46" i="41" s="1"/>
  <c r="AM46" i="41" s="1"/>
  <c r="BF45" i="41"/>
  <c r="BE45" i="41"/>
  <c r="BD45" i="41"/>
  <c r="BC45" i="41"/>
  <c r="BB45" i="41"/>
  <c r="AW45" i="41"/>
  <c r="AI45" i="41"/>
  <c r="AH45" i="41"/>
  <c r="AG45" i="41"/>
  <c r="AF45" i="41"/>
  <c r="K96" i="41" s="1"/>
  <c r="X96" i="41" s="1"/>
  <c r="W45" i="41"/>
  <c r="AU45" i="41" s="1"/>
  <c r="V45" i="41"/>
  <c r="U45" i="41"/>
  <c r="T45" i="41"/>
  <c r="S45" i="41"/>
  <c r="AE45" i="41" s="1"/>
  <c r="AQ45" i="41" s="1"/>
  <c r="R45" i="41"/>
  <c r="AD45" i="41" s="1"/>
  <c r="AP45" i="41" s="1"/>
  <c r="Q45" i="41"/>
  <c r="AC45" i="41" s="1"/>
  <c r="AO45" i="41" s="1"/>
  <c r="P45" i="41"/>
  <c r="AB45" i="41" s="1"/>
  <c r="AN45" i="41" s="1"/>
  <c r="O45" i="41"/>
  <c r="BF44" i="41"/>
  <c r="BE44" i="41"/>
  <c r="BD44" i="41"/>
  <c r="BC44" i="41"/>
  <c r="BB44" i="41"/>
  <c r="AW44" i="41"/>
  <c r="AI44" i="41"/>
  <c r="AH44" i="41"/>
  <c r="AG44" i="41"/>
  <c r="AF44" i="41"/>
  <c r="W44" i="41"/>
  <c r="V44" i="41"/>
  <c r="U44" i="41"/>
  <c r="T44" i="41"/>
  <c r="S44" i="41"/>
  <c r="AE44" i="41" s="1"/>
  <c r="AQ44" i="41" s="1"/>
  <c r="R44" i="41"/>
  <c r="AD44" i="41" s="1"/>
  <c r="AP44" i="41" s="1"/>
  <c r="Q44" i="41"/>
  <c r="AC44" i="41" s="1"/>
  <c r="AO44" i="41" s="1"/>
  <c r="P44" i="41"/>
  <c r="AB44" i="41" s="1"/>
  <c r="AN44" i="41" s="1"/>
  <c r="O44" i="41"/>
  <c r="AA44" i="41" s="1"/>
  <c r="AM44" i="41" s="1"/>
  <c r="BF43" i="41"/>
  <c r="BE43" i="41"/>
  <c r="BD43" i="41"/>
  <c r="BC43" i="41"/>
  <c r="BB43" i="41"/>
  <c r="AW43" i="41"/>
  <c r="AI43" i="41"/>
  <c r="AH43" i="41"/>
  <c r="AG43" i="41"/>
  <c r="AF43" i="41"/>
  <c r="K94" i="41" s="1"/>
  <c r="X94" i="41" s="1"/>
  <c r="W43" i="41"/>
  <c r="AU43" i="41" s="1"/>
  <c r="V43" i="41"/>
  <c r="U43" i="41"/>
  <c r="T43" i="41"/>
  <c r="S43" i="41"/>
  <c r="AE43" i="41" s="1"/>
  <c r="AQ43" i="41" s="1"/>
  <c r="R43" i="41"/>
  <c r="AD43" i="41" s="1"/>
  <c r="AP43" i="41" s="1"/>
  <c r="Q43" i="41"/>
  <c r="AC43" i="41" s="1"/>
  <c r="AO43" i="41" s="1"/>
  <c r="P43" i="41"/>
  <c r="AB43" i="41" s="1"/>
  <c r="AN43" i="41" s="1"/>
  <c r="O43" i="41"/>
  <c r="BF42" i="41"/>
  <c r="BE42" i="41"/>
  <c r="BD42" i="41"/>
  <c r="BC42" i="41"/>
  <c r="BB42" i="41"/>
  <c r="AW42" i="41"/>
  <c r="AI42" i="41"/>
  <c r="AH42" i="41"/>
  <c r="AG42" i="41"/>
  <c r="AF42" i="41"/>
  <c r="W42" i="41"/>
  <c r="V42" i="41"/>
  <c r="U42" i="41"/>
  <c r="T42" i="41"/>
  <c r="S42" i="41"/>
  <c r="AE42" i="41" s="1"/>
  <c r="AQ42" i="41" s="1"/>
  <c r="R42" i="41"/>
  <c r="AD42" i="41" s="1"/>
  <c r="AP42" i="41" s="1"/>
  <c r="Q42" i="41"/>
  <c r="AC42" i="41" s="1"/>
  <c r="AO42" i="41" s="1"/>
  <c r="P42" i="41"/>
  <c r="AB42" i="41" s="1"/>
  <c r="AN42" i="41" s="1"/>
  <c r="O42" i="41"/>
  <c r="AA42" i="41" s="1"/>
  <c r="AM42" i="41" s="1"/>
  <c r="BF41" i="41"/>
  <c r="BE41" i="41"/>
  <c r="BD41" i="41"/>
  <c r="BC41" i="41"/>
  <c r="BB41" i="41"/>
  <c r="AW41" i="41"/>
  <c r="AI41" i="41"/>
  <c r="AH41" i="41"/>
  <c r="AG41" i="41"/>
  <c r="AF41" i="41"/>
  <c r="K92" i="41" s="1"/>
  <c r="X92" i="41" s="1"/>
  <c r="W41" i="41"/>
  <c r="AU41" i="41" s="1"/>
  <c r="V41" i="41"/>
  <c r="U41" i="41"/>
  <c r="T41" i="41"/>
  <c r="S41" i="41"/>
  <c r="AE41" i="41" s="1"/>
  <c r="AQ41" i="41" s="1"/>
  <c r="R41" i="41"/>
  <c r="AD41" i="41" s="1"/>
  <c r="AP41" i="41" s="1"/>
  <c r="Q41" i="41"/>
  <c r="AC41" i="41" s="1"/>
  <c r="AO41" i="41" s="1"/>
  <c r="P41" i="41"/>
  <c r="AB41" i="41" s="1"/>
  <c r="AN41" i="41" s="1"/>
  <c r="O41" i="41"/>
  <c r="BF40" i="41"/>
  <c r="BE40" i="41"/>
  <c r="BD40" i="41"/>
  <c r="BC40" i="41"/>
  <c r="BB40" i="41"/>
  <c r="AW40" i="41"/>
  <c r="AI40" i="41"/>
  <c r="AH40" i="41"/>
  <c r="AG40" i="41"/>
  <c r="AF40" i="41"/>
  <c r="W40" i="41"/>
  <c r="V40" i="41"/>
  <c r="U40" i="41"/>
  <c r="T40" i="41"/>
  <c r="S40" i="41"/>
  <c r="AE40" i="41" s="1"/>
  <c r="AQ40" i="41" s="1"/>
  <c r="R40" i="41"/>
  <c r="AD40" i="41" s="1"/>
  <c r="AP40" i="41" s="1"/>
  <c r="AC40" i="41"/>
  <c r="AO40" i="41" s="1"/>
  <c r="P40" i="41"/>
  <c r="AB40" i="41" s="1"/>
  <c r="AN40" i="41" s="1"/>
  <c r="O40" i="41"/>
  <c r="AA40" i="41" s="1"/>
  <c r="AM40" i="41" s="1"/>
  <c r="BF39" i="41"/>
  <c r="BE39" i="41"/>
  <c r="BD39" i="41"/>
  <c r="BC39" i="41"/>
  <c r="BB39" i="41"/>
  <c r="AW39" i="41"/>
  <c r="AI39" i="41"/>
  <c r="AH39" i="41"/>
  <c r="AG39" i="41"/>
  <c r="AF39" i="41"/>
  <c r="K90" i="41" s="1"/>
  <c r="X90" i="41" s="1"/>
  <c r="W39" i="41"/>
  <c r="AU39" i="41" s="1"/>
  <c r="V39" i="41"/>
  <c r="U39" i="41"/>
  <c r="T39" i="41"/>
  <c r="S39" i="41"/>
  <c r="AE39" i="41" s="1"/>
  <c r="AQ39" i="41" s="1"/>
  <c r="R39" i="41"/>
  <c r="AD39" i="41" s="1"/>
  <c r="AP39" i="41" s="1"/>
  <c r="Q39" i="41"/>
  <c r="AC39" i="41" s="1"/>
  <c r="AO39" i="41" s="1"/>
  <c r="P39" i="41"/>
  <c r="AB39" i="41" s="1"/>
  <c r="AN39" i="41" s="1"/>
  <c r="O39" i="41"/>
  <c r="BF38" i="41"/>
  <c r="BE38" i="41"/>
  <c r="BD38" i="41"/>
  <c r="BC38" i="41"/>
  <c r="BB38" i="41"/>
  <c r="AW38" i="41"/>
  <c r="AI38" i="41"/>
  <c r="AH38" i="41"/>
  <c r="AG38" i="41"/>
  <c r="AF38" i="41"/>
  <c r="W38" i="41"/>
  <c r="V38" i="41"/>
  <c r="U38" i="41"/>
  <c r="T38" i="41"/>
  <c r="S38" i="41"/>
  <c r="AE38" i="41" s="1"/>
  <c r="AQ38" i="41" s="1"/>
  <c r="R38" i="41"/>
  <c r="AD38" i="41" s="1"/>
  <c r="AP38" i="41" s="1"/>
  <c r="Q38" i="41"/>
  <c r="AC38" i="41" s="1"/>
  <c r="AO38" i="41" s="1"/>
  <c r="P38" i="41"/>
  <c r="AB38" i="41" s="1"/>
  <c r="AN38" i="41" s="1"/>
  <c r="O38" i="41"/>
  <c r="AA38" i="41" s="1"/>
  <c r="AM38" i="41" s="1"/>
  <c r="BF37" i="41"/>
  <c r="BE37" i="41"/>
  <c r="BD37" i="41"/>
  <c r="BC37" i="41"/>
  <c r="BB37" i="41"/>
  <c r="AW37" i="41"/>
  <c r="AI37" i="41"/>
  <c r="AH37" i="41"/>
  <c r="AG37" i="41"/>
  <c r="AF37" i="41"/>
  <c r="K88" i="41" s="1"/>
  <c r="X88" i="41" s="1"/>
  <c r="W37" i="41"/>
  <c r="AU37" i="41" s="1"/>
  <c r="V37" i="41"/>
  <c r="U37" i="41"/>
  <c r="T37" i="41"/>
  <c r="S37" i="41"/>
  <c r="AE37" i="41" s="1"/>
  <c r="AQ37" i="41" s="1"/>
  <c r="R37" i="41"/>
  <c r="AD37" i="41" s="1"/>
  <c r="AP37" i="41" s="1"/>
  <c r="Q37" i="41"/>
  <c r="AC37" i="41" s="1"/>
  <c r="AO37" i="41" s="1"/>
  <c r="P37" i="41"/>
  <c r="AB37" i="41" s="1"/>
  <c r="AN37" i="41" s="1"/>
  <c r="O37" i="41"/>
  <c r="BF36" i="41"/>
  <c r="BE36" i="41"/>
  <c r="BD36" i="41"/>
  <c r="BC36" i="41"/>
  <c r="BB36" i="41"/>
  <c r="AW36" i="41"/>
  <c r="AI36" i="41"/>
  <c r="AH36" i="41"/>
  <c r="AG36" i="41"/>
  <c r="AF36" i="41"/>
  <c r="W36" i="41"/>
  <c r="V36" i="41"/>
  <c r="U36" i="41"/>
  <c r="T36" i="41"/>
  <c r="S36" i="41"/>
  <c r="AE36" i="41" s="1"/>
  <c r="AQ36" i="41" s="1"/>
  <c r="R36" i="41"/>
  <c r="AD36" i="41" s="1"/>
  <c r="AP36" i="41" s="1"/>
  <c r="Q36" i="41"/>
  <c r="AC36" i="41" s="1"/>
  <c r="AO36" i="41" s="1"/>
  <c r="P36" i="41"/>
  <c r="AB36" i="41" s="1"/>
  <c r="AN36" i="41" s="1"/>
  <c r="O36" i="41"/>
  <c r="AA36" i="41" s="1"/>
  <c r="AM36" i="41" s="1"/>
  <c r="BF35" i="41"/>
  <c r="BE35" i="41"/>
  <c r="BD35" i="41"/>
  <c r="BC35" i="41"/>
  <c r="BB35" i="41"/>
  <c r="AW35" i="41"/>
  <c r="AI35" i="41"/>
  <c r="AH35" i="41"/>
  <c r="AG35" i="41"/>
  <c r="AF35" i="41"/>
  <c r="K86" i="41" s="1"/>
  <c r="X86" i="41" s="1"/>
  <c r="W35" i="41"/>
  <c r="AU35" i="41" s="1"/>
  <c r="V35" i="41"/>
  <c r="U35" i="41"/>
  <c r="T35" i="41"/>
  <c r="S35" i="41"/>
  <c r="AE35" i="41" s="1"/>
  <c r="AQ35" i="41" s="1"/>
  <c r="R35" i="41"/>
  <c r="AD35" i="41" s="1"/>
  <c r="AP35" i="41" s="1"/>
  <c r="Q35" i="41"/>
  <c r="AC35" i="41" s="1"/>
  <c r="AO35" i="41" s="1"/>
  <c r="P35" i="41"/>
  <c r="AB35" i="41" s="1"/>
  <c r="AN35" i="41" s="1"/>
  <c r="O35" i="41"/>
  <c r="BF34" i="41"/>
  <c r="BE34" i="41"/>
  <c r="BD34" i="41"/>
  <c r="BC34" i="41"/>
  <c r="BB34" i="41"/>
  <c r="AW34" i="41"/>
  <c r="AI34" i="41"/>
  <c r="AH34" i="41"/>
  <c r="AG34" i="41"/>
  <c r="AF34" i="41"/>
  <c r="W34" i="41"/>
  <c r="V34" i="41"/>
  <c r="U34" i="41"/>
  <c r="T34" i="41"/>
  <c r="S34" i="41"/>
  <c r="AE34" i="41" s="1"/>
  <c r="AQ34" i="41" s="1"/>
  <c r="R34" i="41"/>
  <c r="AD34" i="41" s="1"/>
  <c r="AP34" i="41" s="1"/>
  <c r="Q34" i="41"/>
  <c r="AC34" i="41" s="1"/>
  <c r="AO34" i="41" s="1"/>
  <c r="P34" i="41"/>
  <c r="AB34" i="41" s="1"/>
  <c r="AN34" i="41" s="1"/>
  <c r="O34" i="41"/>
  <c r="AA34" i="41" s="1"/>
  <c r="AM34" i="41" s="1"/>
  <c r="BF33" i="41"/>
  <c r="BE33" i="41"/>
  <c r="BD33" i="41"/>
  <c r="BC33" i="41"/>
  <c r="BB33" i="41"/>
  <c r="AW33" i="41"/>
  <c r="AI33" i="41"/>
  <c r="AH33" i="41"/>
  <c r="AG33" i="41"/>
  <c r="AF33" i="41"/>
  <c r="K84" i="41" s="1"/>
  <c r="X84" i="41" s="1"/>
  <c r="W33" i="41"/>
  <c r="V33" i="41"/>
  <c r="U33" i="41"/>
  <c r="T33" i="41"/>
  <c r="S33" i="41"/>
  <c r="AE33" i="41" s="1"/>
  <c r="AQ33" i="41" s="1"/>
  <c r="R33" i="41"/>
  <c r="AD33" i="41" s="1"/>
  <c r="AP33" i="41" s="1"/>
  <c r="Q33" i="41"/>
  <c r="AC33" i="41" s="1"/>
  <c r="AO33" i="41" s="1"/>
  <c r="P33" i="41"/>
  <c r="AB33" i="41" s="1"/>
  <c r="AN33" i="41" s="1"/>
  <c r="O33" i="41"/>
  <c r="BF32" i="41"/>
  <c r="BE32" i="41"/>
  <c r="BD32" i="41"/>
  <c r="BC32" i="41"/>
  <c r="BB32" i="41"/>
  <c r="AW32" i="41"/>
  <c r="AI32" i="41"/>
  <c r="AH32" i="41"/>
  <c r="AG32" i="41"/>
  <c r="AF32" i="41"/>
  <c r="W32" i="41"/>
  <c r="V32" i="41"/>
  <c r="U32" i="41"/>
  <c r="T32" i="41"/>
  <c r="S32" i="41"/>
  <c r="AE32" i="41" s="1"/>
  <c r="AQ32" i="41" s="1"/>
  <c r="R32" i="41"/>
  <c r="AD32" i="41" s="1"/>
  <c r="AP32" i="41" s="1"/>
  <c r="Q32" i="41"/>
  <c r="AC32" i="41" s="1"/>
  <c r="AO32" i="41" s="1"/>
  <c r="P32" i="41"/>
  <c r="AB32" i="41" s="1"/>
  <c r="AN32" i="41" s="1"/>
  <c r="O32" i="41"/>
  <c r="AA32" i="41" s="1"/>
  <c r="AM32" i="41" s="1"/>
  <c r="BF31" i="41"/>
  <c r="BE31" i="41"/>
  <c r="BD31" i="41"/>
  <c r="BC31" i="41"/>
  <c r="BB31" i="41"/>
  <c r="AW31" i="41"/>
  <c r="AI31" i="41"/>
  <c r="AH31" i="41"/>
  <c r="AG31" i="41"/>
  <c r="AF31" i="41"/>
  <c r="K82" i="41" s="1"/>
  <c r="X82" i="41" s="1"/>
  <c r="W31" i="41"/>
  <c r="AU31" i="41" s="1"/>
  <c r="V31" i="41"/>
  <c r="U31" i="41"/>
  <c r="T31" i="41"/>
  <c r="S31" i="41"/>
  <c r="AE31" i="41" s="1"/>
  <c r="AQ31" i="41" s="1"/>
  <c r="R31" i="41"/>
  <c r="AD31" i="41" s="1"/>
  <c r="AP31" i="41" s="1"/>
  <c r="Q31" i="41"/>
  <c r="AC31" i="41" s="1"/>
  <c r="AO31" i="41" s="1"/>
  <c r="P31" i="41"/>
  <c r="AB31" i="41" s="1"/>
  <c r="AN31" i="41" s="1"/>
  <c r="O31" i="41"/>
  <c r="BF30" i="41"/>
  <c r="BE30" i="41"/>
  <c r="BD30" i="41"/>
  <c r="BC30" i="41"/>
  <c r="BB30" i="41"/>
  <c r="AW30" i="41"/>
  <c r="AI30" i="41"/>
  <c r="AH30" i="41"/>
  <c r="AG30" i="41"/>
  <c r="AF30" i="41"/>
  <c r="K81" i="41" s="1"/>
  <c r="W30" i="41"/>
  <c r="V30" i="41"/>
  <c r="U30" i="41"/>
  <c r="T30" i="41"/>
  <c r="S30" i="41"/>
  <c r="AE30" i="41" s="1"/>
  <c r="AQ30" i="41" s="1"/>
  <c r="R30" i="41"/>
  <c r="AD30" i="41" s="1"/>
  <c r="AP30" i="41" s="1"/>
  <c r="Q30" i="41"/>
  <c r="AC30" i="41" s="1"/>
  <c r="AO30" i="41" s="1"/>
  <c r="P30" i="41"/>
  <c r="AB30" i="41" s="1"/>
  <c r="AN30" i="41" s="1"/>
  <c r="O30" i="41"/>
  <c r="AA30" i="41" s="1"/>
  <c r="AM30" i="41" s="1"/>
  <c r="BF29" i="41"/>
  <c r="BE29" i="41"/>
  <c r="BD29" i="41"/>
  <c r="BC29" i="41"/>
  <c r="BB29" i="41"/>
  <c r="AW29" i="41"/>
  <c r="AI29" i="41"/>
  <c r="AH29" i="41"/>
  <c r="AG29" i="41"/>
  <c r="AF29" i="41"/>
  <c r="K80" i="41" s="1"/>
  <c r="X80" i="41" s="1"/>
  <c r="W29" i="41"/>
  <c r="AU29" i="41" s="1"/>
  <c r="V29" i="41"/>
  <c r="U29" i="41"/>
  <c r="T29" i="41"/>
  <c r="S29" i="41"/>
  <c r="AE29" i="41" s="1"/>
  <c r="AQ29" i="41" s="1"/>
  <c r="R29" i="41"/>
  <c r="AD29" i="41" s="1"/>
  <c r="AP29" i="41" s="1"/>
  <c r="Q29" i="41"/>
  <c r="AC29" i="41" s="1"/>
  <c r="AO29" i="41" s="1"/>
  <c r="P29" i="41"/>
  <c r="AB29" i="41" s="1"/>
  <c r="AN29" i="41" s="1"/>
  <c r="O29" i="41"/>
  <c r="S27" i="41"/>
  <c r="AE27" i="41" s="1"/>
  <c r="R27" i="41"/>
  <c r="AD27" i="41" s="1"/>
  <c r="Q27" i="41"/>
  <c r="AC27" i="41" s="1"/>
  <c r="P27" i="41"/>
  <c r="AB27" i="41" s="1"/>
  <c r="O27" i="41"/>
  <c r="AK25" i="41"/>
  <c r="Y25" i="41"/>
  <c r="M25" i="41"/>
  <c r="A1" i="41"/>
  <c r="W76" i="3"/>
  <c r="H76" i="3"/>
  <c r="A76" i="3"/>
  <c r="AK23" i="3"/>
  <c r="Y23" i="3"/>
  <c r="M23" i="3"/>
  <c r="A23" i="3"/>
  <c r="T238" i="3"/>
  <c r="Y238" i="3" s="1"/>
  <c r="T237" i="3"/>
  <c r="Y237" i="3" s="1"/>
  <c r="T236" i="3"/>
  <c r="Y236" i="3" s="1"/>
  <c r="T235" i="3"/>
  <c r="Y235" i="3" s="1"/>
  <c r="T234" i="3"/>
  <c r="Y234" i="3" s="1"/>
  <c r="T233" i="3"/>
  <c r="Y233" i="3" s="1"/>
  <c r="T232" i="3"/>
  <c r="Y232" i="3" s="1"/>
  <c r="T231" i="3"/>
  <c r="Y231" i="3" s="1"/>
  <c r="T230" i="3"/>
  <c r="Y230" i="3" s="1"/>
  <c r="T229" i="3"/>
  <c r="Y229" i="3" s="1"/>
  <c r="T228" i="3"/>
  <c r="Y228" i="3" s="1"/>
  <c r="T227" i="3"/>
  <c r="Y227" i="3" s="1"/>
  <c r="T226" i="3"/>
  <c r="Y226" i="3" s="1"/>
  <c r="T225" i="3"/>
  <c r="Y225" i="3" s="1"/>
  <c r="T224" i="3"/>
  <c r="Y224" i="3" s="1"/>
  <c r="T223" i="3"/>
  <c r="Y223" i="3" s="1"/>
  <c r="T222" i="3"/>
  <c r="Y222" i="3" s="1"/>
  <c r="T221" i="3"/>
  <c r="Y221" i="3" s="1"/>
  <c r="T220" i="3"/>
  <c r="Y220" i="3" s="1"/>
  <c r="T219" i="3"/>
  <c r="Y219" i="3" s="1"/>
  <c r="T218" i="3"/>
  <c r="Y218" i="3" s="1"/>
  <c r="T217" i="3"/>
  <c r="Y217" i="3" s="1"/>
  <c r="T216" i="3"/>
  <c r="Y216" i="3" s="1"/>
  <c r="T215" i="3"/>
  <c r="Y215" i="3" s="1"/>
  <c r="T214" i="3"/>
  <c r="Y214" i="3" s="1"/>
  <c r="T213" i="3"/>
  <c r="Y213" i="3" s="1"/>
  <c r="T212" i="3"/>
  <c r="Y212" i="3" s="1"/>
  <c r="T211" i="3"/>
  <c r="Y211" i="3" s="1"/>
  <c r="T210" i="3"/>
  <c r="Y210" i="3" s="1"/>
  <c r="T209" i="3"/>
  <c r="Y209" i="3" s="1"/>
  <c r="T208" i="3"/>
  <c r="Y208" i="3" s="1"/>
  <c r="T207" i="3"/>
  <c r="Y207" i="3" s="1"/>
  <c r="T206" i="3"/>
  <c r="Y206" i="3" s="1"/>
  <c r="T205" i="3"/>
  <c r="Y205" i="3" s="1"/>
  <c r="T204" i="3"/>
  <c r="Y204" i="3" s="1"/>
  <c r="T203" i="3"/>
  <c r="Y203" i="3" s="1"/>
  <c r="T202" i="3"/>
  <c r="Y202" i="3" s="1"/>
  <c r="T201" i="3"/>
  <c r="Y201" i="3" s="1"/>
  <c r="T200" i="3"/>
  <c r="Y200" i="3" s="1"/>
  <c r="T199" i="3"/>
  <c r="Y199" i="3" s="1"/>
  <c r="T198" i="3"/>
  <c r="Y198" i="3" s="1"/>
  <c r="T197" i="3"/>
  <c r="Y197" i="3" s="1"/>
  <c r="T196" i="3"/>
  <c r="Y196" i="3" s="1"/>
  <c r="T195" i="3"/>
  <c r="Y195" i="3" s="1"/>
  <c r="T194" i="3"/>
  <c r="Y194" i="3" s="1"/>
  <c r="T193" i="3"/>
  <c r="Y193" i="3" s="1"/>
  <c r="Y192" i="3"/>
  <c r="AG125" i="42" l="1"/>
  <c r="AG84" i="42"/>
  <c r="AG94" i="45"/>
  <c r="Y84" i="46"/>
  <c r="Z84" i="46" s="1"/>
  <c r="AD84" i="46" s="1"/>
  <c r="E198" i="46" s="1"/>
  <c r="Q99" i="46"/>
  <c r="R99" i="46" s="1"/>
  <c r="AG123" i="42"/>
  <c r="AG80" i="46"/>
  <c r="AF108" i="50"/>
  <c r="Y118" i="51"/>
  <c r="Q84" i="42"/>
  <c r="S119" i="46"/>
  <c r="AF117" i="46"/>
  <c r="W82" i="46"/>
  <c r="Q108" i="50"/>
  <c r="R108" i="50" s="1"/>
  <c r="Q118" i="42"/>
  <c r="S118" i="42" s="1"/>
  <c r="T118" i="42" s="1"/>
  <c r="AG104" i="43"/>
  <c r="AG119" i="49"/>
  <c r="AG114" i="49"/>
  <c r="AG100" i="49"/>
  <c r="N68" i="41"/>
  <c r="Z68" i="41" s="1"/>
  <c r="AL68" i="41" s="1"/>
  <c r="AX68" i="41" s="1"/>
  <c r="AG109" i="42"/>
  <c r="Q103" i="42"/>
  <c r="AF126" i="42"/>
  <c r="AG94" i="43"/>
  <c r="AG115" i="43"/>
  <c r="AF101" i="46"/>
  <c r="AF122" i="49"/>
  <c r="Q92" i="49"/>
  <c r="S92" i="49" s="1"/>
  <c r="T92" i="49" s="1"/>
  <c r="Q123" i="50"/>
  <c r="Q114" i="50"/>
  <c r="R114" i="50" s="1"/>
  <c r="N50" i="41"/>
  <c r="Z50" i="41" s="1"/>
  <c r="AF117" i="42"/>
  <c r="AF96" i="43"/>
  <c r="W104" i="43"/>
  <c r="Q104" i="43"/>
  <c r="R104" i="43" s="1"/>
  <c r="Q125" i="46"/>
  <c r="S125" i="46" s="1"/>
  <c r="T125" i="46" s="1"/>
  <c r="W100" i="46"/>
  <c r="AG107" i="46"/>
  <c r="AF80" i="49"/>
  <c r="AF98" i="49"/>
  <c r="Q97" i="49"/>
  <c r="Y105" i="49"/>
  <c r="Y114" i="49"/>
  <c r="W125" i="42"/>
  <c r="W82" i="45"/>
  <c r="S83" i="46"/>
  <c r="T83" i="46" s="1"/>
  <c r="S124" i="46"/>
  <c r="AG99" i="49"/>
  <c r="AF100" i="49"/>
  <c r="W98" i="49"/>
  <c r="Z98" i="49" s="1"/>
  <c r="AD98" i="49" s="1"/>
  <c r="E212" i="49" s="1"/>
  <c r="AF103" i="49"/>
  <c r="Q80" i="49"/>
  <c r="S80" i="49" s="1"/>
  <c r="T80" i="49" s="1"/>
  <c r="AG85" i="49"/>
  <c r="AF97" i="49"/>
  <c r="W97" i="49"/>
  <c r="AG103" i="49"/>
  <c r="W119" i="49"/>
  <c r="Q122" i="50"/>
  <c r="S122" i="50" s="1"/>
  <c r="T122" i="50" s="1"/>
  <c r="AG86" i="43"/>
  <c r="W102" i="46"/>
  <c r="Z102" i="46" s="1"/>
  <c r="AD102" i="46" s="1"/>
  <c r="E216" i="46" s="1"/>
  <c r="AG109" i="49"/>
  <c r="AG125" i="49"/>
  <c r="Y125" i="49"/>
  <c r="Y92" i="49"/>
  <c r="AY38" i="41"/>
  <c r="AY56" i="41"/>
  <c r="AZ56" i="41" s="1"/>
  <c r="AY57" i="41"/>
  <c r="N58" i="41"/>
  <c r="Z58" i="41" s="1"/>
  <c r="AL58" i="41" s="1"/>
  <c r="AX58" i="41" s="1"/>
  <c r="AY74" i="41"/>
  <c r="AY75" i="41"/>
  <c r="W89" i="42"/>
  <c r="AF93" i="42"/>
  <c r="W93" i="42"/>
  <c r="AG104" i="42"/>
  <c r="AG118" i="42"/>
  <c r="Q102" i="42"/>
  <c r="S102" i="42" s="1"/>
  <c r="T102" i="42" s="1"/>
  <c r="Q117" i="46"/>
  <c r="R117" i="46" s="1"/>
  <c r="Q121" i="46"/>
  <c r="R121" i="46" s="1"/>
  <c r="E195" i="49"/>
  <c r="R195" i="49" s="1"/>
  <c r="AG82" i="49"/>
  <c r="Q115" i="49"/>
  <c r="W108" i="49"/>
  <c r="AG117" i="49"/>
  <c r="Q105" i="49"/>
  <c r="R105" i="49" s="1"/>
  <c r="Q100" i="49"/>
  <c r="AG108" i="50"/>
  <c r="Y97" i="51"/>
  <c r="Z97" i="51" s="1"/>
  <c r="AD97" i="51" s="1"/>
  <c r="E211" i="51" s="1"/>
  <c r="N34" i="41"/>
  <c r="Z34" i="41" s="1"/>
  <c r="AL34" i="41" s="1"/>
  <c r="AX34" i="41" s="1"/>
  <c r="W103" i="42"/>
  <c r="AG103" i="42"/>
  <c r="Q104" i="42"/>
  <c r="R104" i="42" s="1"/>
  <c r="W117" i="46"/>
  <c r="S90" i="46"/>
  <c r="AF122" i="47"/>
  <c r="AF126" i="49"/>
  <c r="N42" i="41"/>
  <c r="Z42" i="41" s="1"/>
  <c r="AL42" i="41" s="1"/>
  <c r="AX42" i="41" s="1"/>
  <c r="W104" i="42"/>
  <c r="W118" i="42"/>
  <c r="AG87" i="45"/>
  <c r="Y120" i="46"/>
  <c r="Z120" i="46" s="1"/>
  <c r="Q82" i="49"/>
  <c r="R82" i="49" s="1"/>
  <c r="AF105" i="49"/>
  <c r="AG84" i="49"/>
  <c r="Q90" i="49"/>
  <c r="R90" i="49" s="1"/>
  <c r="Q120" i="49"/>
  <c r="S120" i="49" s="1"/>
  <c r="T120" i="49" s="1"/>
  <c r="AF99" i="51"/>
  <c r="Q80" i="46"/>
  <c r="R80" i="46" s="1"/>
  <c r="AU63" i="41"/>
  <c r="AY32" i="41"/>
  <c r="AZ32" i="41" s="1"/>
  <c r="AY33" i="41"/>
  <c r="AY46" i="41"/>
  <c r="AY64" i="41"/>
  <c r="AZ64" i="41" s="1"/>
  <c r="AY65" i="41"/>
  <c r="AF96" i="42"/>
  <c r="Q96" i="42"/>
  <c r="S96" i="42" s="1"/>
  <c r="Y126" i="46"/>
  <c r="Z126" i="46" s="1"/>
  <c r="AD126" i="46" s="1"/>
  <c r="E240" i="46" s="1"/>
  <c r="Q126" i="46"/>
  <c r="R126" i="46" s="1"/>
  <c r="AY41" i="41"/>
  <c r="AU33" i="41"/>
  <c r="AY40" i="41"/>
  <c r="AZ40" i="41" s="1"/>
  <c r="AY54" i="41"/>
  <c r="AZ54" i="41" s="1"/>
  <c r="AY72" i="41"/>
  <c r="Q123" i="46"/>
  <c r="S123" i="46" s="1"/>
  <c r="T123" i="46" s="1"/>
  <c r="AF123" i="46"/>
  <c r="AG121" i="45"/>
  <c r="AF121" i="45"/>
  <c r="AF91" i="45"/>
  <c r="AG91" i="45"/>
  <c r="AF84" i="42"/>
  <c r="Q115" i="42"/>
  <c r="S115" i="42" s="1"/>
  <c r="T115" i="42" s="1"/>
  <c r="Q123" i="42"/>
  <c r="AG100" i="43"/>
  <c r="W87" i="45"/>
  <c r="AG100" i="46"/>
  <c r="Y86" i="46"/>
  <c r="AF116" i="46"/>
  <c r="AG116" i="46"/>
  <c r="Q112" i="49"/>
  <c r="S112" i="49" s="1"/>
  <c r="T112" i="49" s="1"/>
  <c r="AF91" i="49"/>
  <c r="AG92" i="49"/>
  <c r="Q114" i="49"/>
  <c r="S114" i="49" s="1"/>
  <c r="T114" i="49" s="1"/>
  <c r="W87" i="49"/>
  <c r="Q96" i="49"/>
  <c r="AG123" i="49"/>
  <c r="AG99" i="51"/>
  <c r="W91" i="45"/>
  <c r="W96" i="49"/>
  <c r="AG93" i="49"/>
  <c r="AY30" i="41"/>
  <c r="AZ30" i="41" s="1"/>
  <c r="AY48" i="41"/>
  <c r="AY49" i="41"/>
  <c r="AY62" i="41"/>
  <c r="AZ62" i="41" s="1"/>
  <c r="AY66" i="41"/>
  <c r="AY67" i="41"/>
  <c r="W126" i="42"/>
  <c r="W123" i="42"/>
  <c r="AF116" i="43"/>
  <c r="Q101" i="45"/>
  <c r="Y83" i="49"/>
  <c r="Y93" i="50"/>
  <c r="Z93" i="50" s="1"/>
  <c r="AD93" i="50" s="1"/>
  <c r="E207" i="50" s="1"/>
  <c r="Q109" i="51"/>
  <c r="S109" i="51" s="1"/>
  <c r="T109" i="51" s="1"/>
  <c r="Y112" i="51"/>
  <c r="Y103" i="51"/>
  <c r="Z103" i="51" s="1"/>
  <c r="AD103" i="51" s="1"/>
  <c r="E217" i="51" s="1"/>
  <c r="Q99" i="51"/>
  <c r="S99" i="51" s="1"/>
  <c r="T99" i="51" s="1"/>
  <c r="Q98" i="51"/>
  <c r="R98" i="51" s="1"/>
  <c r="Q110" i="51"/>
  <c r="S110" i="51" s="1"/>
  <c r="T110" i="51" s="1"/>
  <c r="S88" i="51"/>
  <c r="T88" i="51" s="1"/>
  <c r="AG81" i="51"/>
  <c r="S118" i="51"/>
  <c r="T118" i="51" s="1"/>
  <c r="Y95" i="51"/>
  <c r="Z95" i="51" s="1"/>
  <c r="AD95" i="51" s="1"/>
  <c r="Y125" i="51"/>
  <c r="Z125" i="51" s="1"/>
  <c r="AC125" i="51" s="1"/>
  <c r="Q97" i="51"/>
  <c r="S97" i="51" s="1"/>
  <c r="T97" i="51" s="1"/>
  <c r="G135" i="51"/>
  <c r="AZ57" i="51"/>
  <c r="AF124" i="51"/>
  <c r="W124" i="51"/>
  <c r="W100" i="51"/>
  <c r="S115" i="51"/>
  <c r="T115" i="51" s="1"/>
  <c r="S112" i="51"/>
  <c r="T112" i="51" s="1"/>
  <c r="AZ44" i="51"/>
  <c r="Q81" i="51"/>
  <c r="R81" i="51" s="1"/>
  <c r="M114" i="51"/>
  <c r="Y114" i="51" s="1"/>
  <c r="Z114" i="51" s="1"/>
  <c r="AD114" i="51" s="1"/>
  <c r="E228" i="51" s="1"/>
  <c r="R88" i="51"/>
  <c r="O89" i="51"/>
  <c r="P89" i="51" s="1"/>
  <c r="Q120" i="51"/>
  <c r="R120" i="51" s="1"/>
  <c r="AO54" i="51"/>
  <c r="AZ54" i="51" s="1"/>
  <c r="L105" i="51"/>
  <c r="Q105" i="51" s="1"/>
  <c r="R105" i="51" s="1"/>
  <c r="P116" i="51"/>
  <c r="AF89" i="51"/>
  <c r="Q95" i="51"/>
  <c r="R95" i="51" s="1"/>
  <c r="S86" i="51"/>
  <c r="T86" i="51" s="1"/>
  <c r="S96" i="51"/>
  <c r="T96" i="51" s="1"/>
  <c r="S123" i="51"/>
  <c r="T123" i="51" s="1"/>
  <c r="S82" i="51"/>
  <c r="T82" i="51" s="1"/>
  <c r="R96" i="51"/>
  <c r="Y87" i="51"/>
  <c r="Z87" i="51" s="1"/>
  <c r="AD87" i="51" s="1"/>
  <c r="O105" i="51"/>
  <c r="P105" i="51" s="1"/>
  <c r="R110" i="51"/>
  <c r="S93" i="51"/>
  <c r="T93" i="51" s="1"/>
  <c r="AM71" i="51"/>
  <c r="AZ71" i="51" s="1"/>
  <c r="M122" i="51"/>
  <c r="P87" i="51"/>
  <c r="AX47" i="51"/>
  <c r="AX69" i="51"/>
  <c r="AX63" i="51"/>
  <c r="Z96" i="51"/>
  <c r="AD96" i="51" s="1"/>
  <c r="E210" i="51" s="1"/>
  <c r="AX66" i="51"/>
  <c r="AM55" i="51"/>
  <c r="AZ55" i="51" s="1"/>
  <c r="M106" i="51"/>
  <c r="S80" i="51"/>
  <c r="T80" i="51" s="1"/>
  <c r="Z80" i="51"/>
  <c r="AG116" i="51"/>
  <c r="W116" i="51"/>
  <c r="Q116" i="51"/>
  <c r="S116" i="51" s="1"/>
  <c r="T116" i="51" s="1"/>
  <c r="R82" i="51"/>
  <c r="P104" i="51"/>
  <c r="AG91" i="51"/>
  <c r="W91" i="51"/>
  <c r="Q91" i="51"/>
  <c r="S91" i="51" s="1"/>
  <c r="T91" i="51" s="1"/>
  <c r="AL33" i="51"/>
  <c r="R80" i="51"/>
  <c r="P103" i="51"/>
  <c r="S104" i="51"/>
  <c r="T104" i="51" s="1"/>
  <c r="S83" i="51"/>
  <c r="T83" i="51" s="1"/>
  <c r="R93" i="51"/>
  <c r="Z90" i="51"/>
  <c r="AD90" i="51" s="1"/>
  <c r="E204" i="51" s="1"/>
  <c r="P92" i="51"/>
  <c r="R123" i="51"/>
  <c r="T94" i="51"/>
  <c r="T85" i="51"/>
  <c r="Q87" i="51"/>
  <c r="AM60" i="51"/>
  <c r="AZ60" i="51" s="1"/>
  <c r="M111" i="51"/>
  <c r="Z112" i="51"/>
  <c r="AD112" i="51" s="1"/>
  <c r="E226" i="51" s="1"/>
  <c r="S125" i="51"/>
  <c r="T125" i="51" s="1"/>
  <c r="Z82" i="51"/>
  <c r="AD82" i="51" s="1"/>
  <c r="E196" i="51" s="1"/>
  <c r="Q113" i="51"/>
  <c r="S113" i="51" s="1"/>
  <c r="T113" i="51" s="1"/>
  <c r="AG113" i="51"/>
  <c r="W113" i="51"/>
  <c r="P106" i="51"/>
  <c r="Z94" i="51"/>
  <c r="AD94" i="51" s="1"/>
  <c r="E208" i="51" s="1"/>
  <c r="AX32" i="51"/>
  <c r="AX58" i="51"/>
  <c r="R112" i="51"/>
  <c r="Z110" i="51"/>
  <c r="AD110" i="51" s="1"/>
  <c r="E224" i="51" s="1"/>
  <c r="P83" i="51"/>
  <c r="AN33" i="51"/>
  <c r="AZ33" i="51" s="1"/>
  <c r="M84" i="51"/>
  <c r="Z107" i="51"/>
  <c r="AD107" i="51" s="1"/>
  <c r="E221" i="51" s="1"/>
  <c r="AF116" i="51"/>
  <c r="AX51" i="51"/>
  <c r="Q90" i="51"/>
  <c r="Z123" i="51"/>
  <c r="AD123" i="51" s="1"/>
  <c r="E237" i="51" s="1"/>
  <c r="AL57" i="51"/>
  <c r="Z117" i="51"/>
  <c r="AA117" i="51" s="1"/>
  <c r="E172" i="51" s="1"/>
  <c r="AX73" i="51"/>
  <c r="AL60" i="51"/>
  <c r="AX65" i="51"/>
  <c r="AX74" i="51"/>
  <c r="AX70" i="51"/>
  <c r="AO70" i="51"/>
  <c r="AZ70" i="51" s="1"/>
  <c r="L121" i="51"/>
  <c r="AF121" i="51" s="1"/>
  <c r="AX34" i="51"/>
  <c r="P80" i="51"/>
  <c r="P122" i="51"/>
  <c r="P99" i="51"/>
  <c r="Z98" i="51"/>
  <c r="AD98" i="51" s="1"/>
  <c r="E212" i="51" s="1"/>
  <c r="AX71" i="51"/>
  <c r="AX42" i="51"/>
  <c r="AF113" i="51"/>
  <c r="AN49" i="51"/>
  <c r="AZ49" i="51" s="1"/>
  <c r="M100" i="51"/>
  <c r="S107" i="51"/>
  <c r="T107" i="51" s="1"/>
  <c r="Z104" i="51"/>
  <c r="AD104" i="51" s="1"/>
  <c r="E218" i="51" s="1"/>
  <c r="AX75" i="51"/>
  <c r="Z83" i="51"/>
  <c r="AB83" i="51" s="1"/>
  <c r="M138" i="51" s="1"/>
  <c r="P107" i="51"/>
  <c r="P93" i="51"/>
  <c r="R94" i="51"/>
  <c r="Z120" i="51"/>
  <c r="AD120" i="51" s="1"/>
  <c r="E234" i="51" s="1"/>
  <c r="P115" i="51"/>
  <c r="P94" i="51"/>
  <c r="R85" i="51"/>
  <c r="P110" i="51"/>
  <c r="AL36" i="51"/>
  <c r="O121" i="51"/>
  <c r="Z99" i="51"/>
  <c r="AD99" i="51" s="1"/>
  <c r="E213" i="51" s="1"/>
  <c r="P84" i="51"/>
  <c r="AX55" i="51"/>
  <c r="AG108" i="51"/>
  <c r="W108" i="51"/>
  <c r="Q108" i="51"/>
  <c r="S108" i="51" s="1"/>
  <c r="T108" i="51" s="1"/>
  <c r="AX46" i="51"/>
  <c r="AL44" i="51"/>
  <c r="Z126" i="51"/>
  <c r="AC126" i="51" s="1"/>
  <c r="Z102" i="51"/>
  <c r="AD102" i="51" s="1"/>
  <c r="E216" i="51" s="1"/>
  <c r="R118" i="51"/>
  <c r="E195" i="51"/>
  <c r="AX30" i="51"/>
  <c r="AF100" i="51"/>
  <c r="O100" i="51"/>
  <c r="P100" i="51" s="1"/>
  <c r="P113" i="51"/>
  <c r="AG100" i="51"/>
  <c r="AN73" i="51"/>
  <c r="AZ73" i="51" s="1"/>
  <c r="M124" i="51"/>
  <c r="AL49" i="51"/>
  <c r="AL38" i="51"/>
  <c r="AM68" i="51"/>
  <c r="AZ68" i="51" s="1"/>
  <c r="M119" i="51"/>
  <c r="P101" i="51"/>
  <c r="S126" i="51"/>
  <c r="T126" i="51" s="1"/>
  <c r="P112" i="51"/>
  <c r="AL68" i="51"/>
  <c r="Z85" i="51"/>
  <c r="AD85" i="51" s="1"/>
  <c r="E199" i="51" s="1"/>
  <c r="P123" i="51"/>
  <c r="Q117" i="51"/>
  <c r="P96" i="51"/>
  <c r="AF108" i="51"/>
  <c r="S101" i="51"/>
  <c r="T101" i="51" s="1"/>
  <c r="Q89" i="51"/>
  <c r="W89" i="51"/>
  <c r="AG89" i="51"/>
  <c r="Z109" i="51"/>
  <c r="AD109" i="51" s="1"/>
  <c r="E223" i="51" s="1"/>
  <c r="Z86" i="51"/>
  <c r="AD86" i="51" s="1"/>
  <c r="E200" i="51" s="1"/>
  <c r="R115" i="51"/>
  <c r="AL41" i="51"/>
  <c r="Z88" i="51"/>
  <c r="AB88" i="51" s="1"/>
  <c r="M143" i="51" s="1"/>
  <c r="P114" i="51"/>
  <c r="Z93" i="51"/>
  <c r="AD93" i="51" s="1"/>
  <c r="E207" i="51" s="1"/>
  <c r="Z115" i="51"/>
  <c r="AD115" i="51" s="1"/>
  <c r="E229" i="51" s="1"/>
  <c r="AC81" i="51"/>
  <c r="AB81" i="51"/>
  <c r="M136" i="51" s="1"/>
  <c r="Q102" i="51"/>
  <c r="AN41" i="51"/>
  <c r="AZ41" i="51" s="1"/>
  <c r="M92" i="51"/>
  <c r="AX39" i="51"/>
  <c r="P98" i="51"/>
  <c r="G136" i="51"/>
  <c r="X136" i="51"/>
  <c r="F136" i="51"/>
  <c r="AX54" i="51"/>
  <c r="AX31" i="51"/>
  <c r="AX67" i="51"/>
  <c r="AX52" i="51"/>
  <c r="Z118" i="51"/>
  <c r="AC118" i="51" s="1"/>
  <c r="Q103" i="51"/>
  <c r="Z101" i="51"/>
  <c r="AD101" i="51" s="1"/>
  <c r="E215" i="51" s="1"/>
  <c r="S111" i="46"/>
  <c r="T111" i="46" s="1"/>
  <c r="E123" i="49"/>
  <c r="F123" i="49" s="1"/>
  <c r="S116" i="46"/>
  <c r="T116" i="46" s="1"/>
  <c r="AF125" i="50"/>
  <c r="S93" i="46"/>
  <c r="T93" i="46" s="1"/>
  <c r="Y97" i="49"/>
  <c r="E104" i="49"/>
  <c r="F104" i="49" s="1"/>
  <c r="Q92" i="50"/>
  <c r="R92" i="50" s="1"/>
  <c r="R83" i="46"/>
  <c r="E105" i="49"/>
  <c r="F105" i="49" s="1"/>
  <c r="Q86" i="49"/>
  <c r="S86" i="49" s="1"/>
  <c r="Q85" i="49"/>
  <c r="R85" i="49" s="1"/>
  <c r="Y124" i="49"/>
  <c r="W115" i="49"/>
  <c r="W120" i="49"/>
  <c r="Z120" i="49" s="1"/>
  <c r="AD120" i="49" s="1"/>
  <c r="E234" i="49" s="1"/>
  <c r="AG125" i="50"/>
  <c r="Q115" i="46"/>
  <c r="R115" i="46" s="1"/>
  <c r="W125" i="50"/>
  <c r="Z125" i="50" s="1"/>
  <c r="AD125" i="50" s="1"/>
  <c r="E239" i="50" s="1"/>
  <c r="S84" i="46"/>
  <c r="T84" i="46" s="1"/>
  <c r="S96" i="46"/>
  <c r="T96" i="46" s="1"/>
  <c r="Q102" i="46"/>
  <c r="R102" i="46" s="1"/>
  <c r="W105" i="49"/>
  <c r="S120" i="50"/>
  <c r="T120" i="50" s="1"/>
  <c r="AF116" i="50"/>
  <c r="S81" i="50"/>
  <c r="T81" i="50" s="1"/>
  <c r="AF105" i="50"/>
  <c r="Y101" i="50"/>
  <c r="Z101" i="50" s="1"/>
  <c r="AB101" i="50" s="1"/>
  <c r="M156" i="50" s="1"/>
  <c r="S111" i="50"/>
  <c r="T111" i="50" s="1"/>
  <c r="Q100" i="50"/>
  <c r="R100" i="50" s="1"/>
  <c r="S91" i="50"/>
  <c r="T91" i="50" s="1"/>
  <c r="S119" i="50"/>
  <c r="T119" i="50" s="1"/>
  <c r="Q116" i="50"/>
  <c r="R116" i="50" s="1"/>
  <c r="S126" i="50"/>
  <c r="T126" i="50" s="1"/>
  <c r="AG116" i="50"/>
  <c r="S93" i="50"/>
  <c r="T93" i="50" s="1"/>
  <c r="S123" i="50"/>
  <c r="T123" i="50" s="1"/>
  <c r="Q118" i="50"/>
  <c r="S86" i="50"/>
  <c r="T86" i="50" s="1"/>
  <c r="S107" i="50"/>
  <c r="T107" i="50" s="1"/>
  <c r="Q105" i="50"/>
  <c r="R105" i="50" s="1"/>
  <c r="AG105" i="50"/>
  <c r="S108" i="50"/>
  <c r="T108" i="50" s="1"/>
  <c r="S83" i="50"/>
  <c r="T83" i="50" s="1"/>
  <c r="S125" i="50"/>
  <c r="T125" i="50" s="1"/>
  <c r="R123" i="50"/>
  <c r="S97" i="50"/>
  <c r="T97" i="50" s="1"/>
  <c r="R97" i="50"/>
  <c r="S88" i="50"/>
  <c r="T88" i="50" s="1"/>
  <c r="R91" i="50"/>
  <c r="R126" i="50"/>
  <c r="R88" i="50"/>
  <c r="S103" i="50"/>
  <c r="T103" i="50" s="1"/>
  <c r="Z120" i="50"/>
  <c r="AD120" i="50" s="1"/>
  <c r="E234" i="50" s="1"/>
  <c r="AX71" i="50"/>
  <c r="AX36" i="50"/>
  <c r="Z113" i="50"/>
  <c r="AD113" i="50" s="1"/>
  <c r="E227" i="50" s="1"/>
  <c r="Z92" i="50"/>
  <c r="AD92" i="50" s="1"/>
  <c r="E206" i="50" s="1"/>
  <c r="Z96" i="50"/>
  <c r="AD96" i="50" s="1"/>
  <c r="E210" i="50" s="1"/>
  <c r="Z114" i="50"/>
  <c r="AC114" i="50" s="1"/>
  <c r="P114" i="50"/>
  <c r="Z108" i="50"/>
  <c r="AD108" i="50" s="1"/>
  <c r="E222" i="50" s="1"/>
  <c r="E195" i="50"/>
  <c r="AX30" i="50"/>
  <c r="Q85" i="50"/>
  <c r="P82" i="50"/>
  <c r="S89" i="50"/>
  <c r="T89" i="50" s="1"/>
  <c r="AX44" i="50"/>
  <c r="S121" i="50"/>
  <c r="T121" i="50" s="1"/>
  <c r="P113" i="50"/>
  <c r="AX55" i="50"/>
  <c r="S87" i="50"/>
  <c r="T87" i="50" s="1"/>
  <c r="Z86" i="50"/>
  <c r="AD86" i="50" s="1"/>
  <c r="E200" i="50" s="1"/>
  <c r="R120" i="50"/>
  <c r="AX57" i="50"/>
  <c r="AX52" i="50"/>
  <c r="Z112" i="50"/>
  <c r="AD112" i="50" s="1"/>
  <c r="E226" i="50" s="1"/>
  <c r="Z123" i="50"/>
  <c r="AD123" i="50" s="1"/>
  <c r="E237" i="50" s="1"/>
  <c r="AX38" i="50"/>
  <c r="Z103" i="50"/>
  <c r="AD103" i="50" s="1"/>
  <c r="E217" i="50" s="1"/>
  <c r="Z124" i="50"/>
  <c r="AD124" i="50" s="1"/>
  <c r="E238" i="50" s="1"/>
  <c r="Z126" i="50"/>
  <c r="AB126" i="50" s="1"/>
  <c r="M181" i="50" s="1"/>
  <c r="S114" i="50"/>
  <c r="T114" i="50" s="1"/>
  <c r="P109" i="50"/>
  <c r="G136" i="50"/>
  <c r="F136" i="50"/>
  <c r="P93" i="50"/>
  <c r="S117" i="50"/>
  <c r="T117" i="50" s="1"/>
  <c r="P118" i="50"/>
  <c r="R89" i="50"/>
  <c r="R121" i="50"/>
  <c r="AX67" i="50"/>
  <c r="Z80" i="50"/>
  <c r="Z105" i="50"/>
  <c r="AD105" i="50" s="1"/>
  <c r="E219" i="50" s="1"/>
  <c r="AX59" i="50"/>
  <c r="Q106" i="50"/>
  <c r="S90" i="50"/>
  <c r="T90" i="50" s="1"/>
  <c r="AX72" i="50"/>
  <c r="S112" i="50"/>
  <c r="T112" i="50" s="1"/>
  <c r="P124" i="50"/>
  <c r="Z115" i="50"/>
  <c r="AD115" i="50" s="1"/>
  <c r="E229" i="50" s="1"/>
  <c r="S96" i="50"/>
  <c r="T96" i="50" s="1"/>
  <c r="S101" i="50"/>
  <c r="T101" i="50" s="1"/>
  <c r="R107" i="50"/>
  <c r="AX64" i="50"/>
  <c r="R117" i="50"/>
  <c r="Z95" i="50"/>
  <c r="AD95" i="50" s="1"/>
  <c r="E209" i="50" s="1"/>
  <c r="S99" i="50"/>
  <c r="T99" i="50" s="1"/>
  <c r="P80" i="50"/>
  <c r="AX37" i="50"/>
  <c r="W94" i="50"/>
  <c r="Q94" i="50"/>
  <c r="S94" i="50" s="1"/>
  <c r="T94" i="50" s="1"/>
  <c r="AG94" i="50"/>
  <c r="P107" i="50"/>
  <c r="Z116" i="50"/>
  <c r="AD116" i="50" s="1"/>
  <c r="E230" i="50" s="1"/>
  <c r="S80" i="50"/>
  <c r="T80" i="50" s="1"/>
  <c r="Z106" i="50"/>
  <c r="AC106" i="50" s="1"/>
  <c r="Z90" i="50"/>
  <c r="AD90" i="50" s="1"/>
  <c r="E204" i="50" s="1"/>
  <c r="AX74" i="50"/>
  <c r="AX60" i="50"/>
  <c r="Z85" i="50"/>
  <c r="AA85" i="50" s="1"/>
  <c r="E140" i="50" s="1"/>
  <c r="Z100" i="50"/>
  <c r="AD100" i="50" s="1"/>
  <c r="E214" i="50" s="1"/>
  <c r="Z122" i="50"/>
  <c r="AD122" i="50" s="1"/>
  <c r="E236" i="50" s="1"/>
  <c r="Z117" i="50"/>
  <c r="AD117" i="50" s="1"/>
  <c r="E231" i="50" s="1"/>
  <c r="S95" i="50"/>
  <c r="T95" i="50" s="1"/>
  <c r="AX70" i="50"/>
  <c r="Z121" i="50"/>
  <c r="AD121" i="50" s="1"/>
  <c r="E235" i="50" s="1"/>
  <c r="P88" i="50"/>
  <c r="Z89" i="50"/>
  <c r="AD89" i="50" s="1"/>
  <c r="E203" i="50" s="1"/>
  <c r="R86" i="50"/>
  <c r="Z118" i="50"/>
  <c r="AD118" i="50" s="1"/>
  <c r="E232" i="50" s="1"/>
  <c r="R93" i="50"/>
  <c r="R90" i="50"/>
  <c r="AX45" i="50"/>
  <c r="AX62" i="50"/>
  <c r="P110" i="50"/>
  <c r="Z97" i="50"/>
  <c r="AD97" i="50" s="1"/>
  <c r="E211" i="50" s="1"/>
  <c r="Z91" i="50"/>
  <c r="AD91" i="50" s="1"/>
  <c r="E205" i="50" s="1"/>
  <c r="AX66" i="50"/>
  <c r="Z107" i="50"/>
  <c r="AD107" i="50" s="1"/>
  <c r="E221" i="50" s="1"/>
  <c r="AC81" i="50"/>
  <c r="AB81" i="50"/>
  <c r="M136" i="50" s="1"/>
  <c r="S82" i="50"/>
  <c r="T82" i="50" s="1"/>
  <c r="AX63" i="50"/>
  <c r="R122" i="50"/>
  <c r="Z99" i="50"/>
  <c r="AD99" i="50" s="1"/>
  <c r="E213" i="50" s="1"/>
  <c r="P106" i="50"/>
  <c r="P84" i="50"/>
  <c r="S104" i="50"/>
  <c r="T104" i="50" s="1"/>
  <c r="R81" i="50"/>
  <c r="Z84" i="50"/>
  <c r="AC84" i="50" s="1"/>
  <c r="R119" i="50"/>
  <c r="Z88" i="50"/>
  <c r="AD88" i="50" s="1"/>
  <c r="E202" i="50" s="1"/>
  <c r="S109" i="50"/>
  <c r="T109" i="50" s="1"/>
  <c r="AX65" i="50"/>
  <c r="Z83" i="50"/>
  <c r="AD83" i="50" s="1"/>
  <c r="E197" i="50" s="1"/>
  <c r="AG102" i="50"/>
  <c r="W102" i="50"/>
  <c r="Q102" i="50"/>
  <c r="S102" i="50" s="1"/>
  <c r="T102" i="50" s="1"/>
  <c r="P102" i="50"/>
  <c r="Q115" i="50"/>
  <c r="AX56" i="50"/>
  <c r="Z98" i="50"/>
  <c r="AD98" i="50" s="1"/>
  <c r="E212" i="50" s="1"/>
  <c r="Z110" i="50"/>
  <c r="AD110" i="50" s="1"/>
  <c r="E224" i="50" s="1"/>
  <c r="P103" i="50"/>
  <c r="P116" i="50"/>
  <c r="S113" i="50"/>
  <c r="T113" i="50" s="1"/>
  <c r="Z119" i="50"/>
  <c r="AD119" i="50" s="1"/>
  <c r="E233" i="50" s="1"/>
  <c r="P91" i="50"/>
  <c r="Z111" i="50"/>
  <c r="AD111" i="50" s="1"/>
  <c r="E225" i="50" s="1"/>
  <c r="AX53" i="50"/>
  <c r="Q110" i="50"/>
  <c r="Z87" i="50"/>
  <c r="AD87" i="50" s="1"/>
  <c r="E201" i="50" s="1"/>
  <c r="R111" i="50"/>
  <c r="P112" i="50"/>
  <c r="Q124" i="50"/>
  <c r="Z82" i="50"/>
  <c r="AA82" i="50" s="1"/>
  <c r="E137" i="50" s="1"/>
  <c r="S98" i="50"/>
  <c r="T98" i="50" s="1"/>
  <c r="AX68" i="50"/>
  <c r="Z104" i="50"/>
  <c r="AB104" i="50" s="1"/>
  <c r="M159" i="50" s="1"/>
  <c r="Q84" i="50"/>
  <c r="AX58" i="50"/>
  <c r="Z109" i="50"/>
  <c r="AD109" i="50" s="1"/>
  <c r="E223" i="50" s="1"/>
  <c r="AG96" i="49"/>
  <c r="Q93" i="49"/>
  <c r="R93" i="49" s="1"/>
  <c r="AF123" i="49"/>
  <c r="AF120" i="49"/>
  <c r="W124" i="49"/>
  <c r="S195" i="49"/>
  <c r="Q125" i="49"/>
  <c r="S125" i="49" s="1"/>
  <c r="Q91" i="49"/>
  <c r="S91" i="49" s="1"/>
  <c r="T91" i="49" s="1"/>
  <c r="W91" i="49"/>
  <c r="Z91" i="49" s="1"/>
  <c r="AD91" i="49" s="1"/>
  <c r="E205" i="49" s="1"/>
  <c r="Y86" i="49"/>
  <c r="AF106" i="49"/>
  <c r="AG124" i="49"/>
  <c r="Y89" i="49"/>
  <c r="Z89" i="49" s="1"/>
  <c r="AD89" i="49" s="1"/>
  <c r="E203" i="49" s="1"/>
  <c r="Y85" i="49"/>
  <c r="E103" i="49"/>
  <c r="F103" i="49" s="1"/>
  <c r="W109" i="49"/>
  <c r="AF125" i="49"/>
  <c r="Q124" i="49"/>
  <c r="S124" i="49" s="1"/>
  <c r="T124" i="49" s="1"/>
  <c r="E118" i="49"/>
  <c r="F118" i="49" s="1"/>
  <c r="S111" i="49"/>
  <c r="T111" i="49" s="1"/>
  <c r="E81" i="49"/>
  <c r="F81" i="49" s="1"/>
  <c r="E114" i="49"/>
  <c r="F114" i="49" s="1"/>
  <c r="Q83" i="49"/>
  <c r="S83" i="49" s="1"/>
  <c r="T83" i="49" s="1"/>
  <c r="Y111" i="49"/>
  <c r="W107" i="49"/>
  <c r="E107" i="49"/>
  <c r="F107" i="49" s="1"/>
  <c r="W93" i="49"/>
  <c r="E86" i="49"/>
  <c r="F86" i="49" s="1"/>
  <c r="E95" i="49"/>
  <c r="F95" i="49" s="1"/>
  <c r="W99" i="49"/>
  <c r="Z99" i="49" s="1"/>
  <c r="AB99" i="49" s="1"/>
  <c r="M154" i="49" s="1"/>
  <c r="W113" i="49"/>
  <c r="W122" i="49"/>
  <c r="Z122" i="49" s="1"/>
  <c r="AD122" i="49" s="1"/>
  <c r="E236" i="49" s="1"/>
  <c r="AG83" i="49"/>
  <c r="AF104" i="49"/>
  <c r="AF107" i="49"/>
  <c r="Y115" i="49"/>
  <c r="Z115" i="49" s="1"/>
  <c r="AD115" i="49" s="1"/>
  <c r="E229" i="49" s="1"/>
  <c r="Y126" i="49"/>
  <c r="AF83" i="49"/>
  <c r="AG113" i="49"/>
  <c r="S123" i="49"/>
  <c r="T123" i="49" s="1"/>
  <c r="W118" i="49"/>
  <c r="Z118" i="49" s="1"/>
  <c r="AD118" i="49" s="1"/>
  <c r="E232" i="49" s="1"/>
  <c r="AG111" i="49"/>
  <c r="Y110" i="49"/>
  <c r="Z110" i="49" s="1"/>
  <c r="Q113" i="49"/>
  <c r="S113" i="49" s="1"/>
  <c r="T113" i="49" s="1"/>
  <c r="Y95" i="49"/>
  <c r="W114" i="49"/>
  <c r="Z114" i="49" s="1"/>
  <c r="AD114" i="49" s="1"/>
  <c r="E228" i="49" s="1"/>
  <c r="AF111" i="49"/>
  <c r="Y102" i="49"/>
  <c r="Z102" i="49" s="1"/>
  <c r="AC102" i="49" s="1"/>
  <c r="W104" i="49"/>
  <c r="W111" i="49"/>
  <c r="AF124" i="49"/>
  <c r="F122" i="49"/>
  <c r="Y107" i="49"/>
  <c r="Y108" i="49"/>
  <c r="E117" i="49"/>
  <c r="F117" i="49" s="1"/>
  <c r="W90" i="49"/>
  <c r="Z90" i="49" s="1"/>
  <c r="AA90" i="49" s="1"/>
  <c r="E145" i="49" s="1"/>
  <c r="F88" i="49"/>
  <c r="Q81" i="49"/>
  <c r="R81" i="49" s="1"/>
  <c r="E106" i="49"/>
  <c r="F106" i="49" s="1"/>
  <c r="W83" i="49"/>
  <c r="Z83" i="49" s="1"/>
  <c r="AD83" i="49" s="1"/>
  <c r="E197" i="49" s="1"/>
  <c r="E92" i="49"/>
  <c r="F92" i="49" s="1"/>
  <c r="Y93" i="49"/>
  <c r="E109" i="49"/>
  <c r="F109" i="49" s="1"/>
  <c r="E85" i="49"/>
  <c r="F85" i="49" s="1"/>
  <c r="E108" i="49"/>
  <c r="F108" i="49" s="1"/>
  <c r="E90" i="49"/>
  <c r="F90" i="49" s="1"/>
  <c r="W95" i="49"/>
  <c r="Y96" i="49"/>
  <c r="Z96" i="49" s="1"/>
  <c r="AD96" i="49" s="1"/>
  <c r="E210" i="49" s="1"/>
  <c r="W94" i="49"/>
  <c r="Z94" i="49" s="1"/>
  <c r="AA94" i="49" s="1"/>
  <c r="E149" i="49" s="1"/>
  <c r="Q107" i="49"/>
  <c r="R107" i="49" s="1"/>
  <c r="Q98" i="49"/>
  <c r="S98" i="49" s="1"/>
  <c r="T98" i="49" s="1"/>
  <c r="AG89" i="49"/>
  <c r="AG101" i="49"/>
  <c r="W126" i="49"/>
  <c r="W85" i="49"/>
  <c r="Y121" i="49"/>
  <c r="Z121" i="49" s="1"/>
  <c r="AD121" i="49" s="1"/>
  <c r="E235" i="49" s="1"/>
  <c r="AG90" i="49"/>
  <c r="Q94" i="49"/>
  <c r="S94" i="49" s="1"/>
  <c r="T94" i="49" s="1"/>
  <c r="W84" i="49"/>
  <c r="Q88" i="49"/>
  <c r="R88" i="49" s="1"/>
  <c r="Y104" i="49"/>
  <c r="W106" i="49"/>
  <c r="Z106" i="49" s="1"/>
  <c r="AD106" i="49" s="1"/>
  <c r="E220" i="49" s="1"/>
  <c r="W117" i="49"/>
  <c r="Z117" i="49" s="1"/>
  <c r="Y82" i="49"/>
  <c r="Z82" i="49" s="1"/>
  <c r="AD82" i="49" s="1"/>
  <c r="E196" i="49" s="1"/>
  <c r="S100" i="49"/>
  <c r="T100" i="49" s="1"/>
  <c r="AG94" i="49"/>
  <c r="Y109" i="49"/>
  <c r="Q84" i="49"/>
  <c r="S84" i="49" s="1"/>
  <c r="T84" i="49" s="1"/>
  <c r="Y103" i="49"/>
  <c r="Z103" i="49" s="1"/>
  <c r="AA103" i="49" s="1"/>
  <c r="E158" i="49" s="1"/>
  <c r="E121" i="49"/>
  <c r="F121" i="49" s="1"/>
  <c r="AF90" i="49"/>
  <c r="W88" i="49"/>
  <c r="Z88" i="49" s="1"/>
  <c r="AB88" i="49" s="1"/>
  <c r="M143" i="49" s="1"/>
  <c r="Q101" i="49"/>
  <c r="S101" i="49" s="1"/>
  <c r="T101" i="49" s="1"/>
  <c r="AF108" i="49"/>
  <c r="Q110" i="49"/>
  <c r="S110" i="49" s="1"/>
  <c r="T110" i="49" s="1"/>
  <c r="AF88" i="49"/>
  <c r="AG95" i="49"/>
  <c r="E83" i="49"/>
  <c r="F83" i="49" s="1"/>
  <c r="Y123" i="49"/>
  <c r="AG88" i="49"/>
  <c r="W92" i="49"/>
  <c r="E93" i="49"/>
  <c r="F93" i="49" s="1"/>
  <c r="Y113" i="49"/>
  <c r="W123" i="49"/>
  <c r="Q108" i="49"/>
  <c r="R108" i="49" s="1"/>
  <c r="Q87" i="49"/>
  <c r="R87" i="49" s="1"/>
  <c r="Q118" i="49"/>
  <c r="S118" i="49" s="1"/>
  <c r="T118" i="49" s="1"/>
  <c r="Y119" i="49"/>
  <c r="Z119" i="49" s="1"/>
  <c r="AC119" i="49" s="1"/>
  <c r="W86" i="49"/>
  <c r="AG86" i="49"/>
  <c r="R111" i="49"/>
  <c r="Q126" i="49"/>
  <c r="R126" i="49" s="1"/>
  <c r="AF89" i="49"/>
  <c r="AF86" i="49"/>
  <c r="S115" i="49"/>
  <c r="T115" i="49" s="1"/>
  <c r="Q95" i="49"/>
  <c r="S95" i="49" s="1"/>
  <c r="T95" i="49" s="1"/>
  <c r="E125" i="49"/>
  <c r="F125" i="49" s="1"/>
  <c r="Y116" i="49"/>
  <c r="Z116" i="49" s="1"/>
  <c r="AD116" i="49" s="1"/>
  <c r="E230" i="49" s="1"/>
  <c r="Q89" i="49"/>
  <c r="R89" i="49" s="1"/>
  <c r="Q99" i="49"/>
  <c r="S99" i="49" s="1"/>
  <c r="T99" i="49" s="1"/>
  <c r="S96" i="49"/>
  <c r="T96" i="49" s="1"/>
  <c r="P195" i="49"/>
  <c r="AX58" i="49"/>
  <c r="AX29" i="49"/>
  <c r="R115" i="49"/>
  <c r="Q106" i="49"/>
  <c r="T125" i="49"/>
  <c r="S102" i="49"/>
  <c r="T102" i="49" s="1"/>
  <c r="Z112" i="49"/>
  <c r="AC112" i="49" s="1"/>
  <c r="Z87" i="49"/>
  <c r="AD87" i="49" s="1"/>
  <c r="E201" i="49" s="1"/>
  <c r="R96" i="49"/>
  <c r="P125" i="49"/>
  <c r="P85" i="49"/>
  <c r="R100" i="49"/>
  <c r="S116" i="49"/>
  <c r="T116" i="49" s="1"/>
  <c r="Q104" i="49"/>
  <c r="Z84" i="49"/>
  <c r="AD84" i="49" s="1"/>
  <c r="E198" i="49" s="1"/>
  <c r="T86" i="49"/>
  <c r="AX31" i="49"/>
  <c r="Q103" i="49"/>
  <c r="S121" i="49"/>
  <c r="T121" i="49" s="1"/>
  <c r="G135" i="49"/>
  <c r="F135" i="49"/>
  <c r="R102" i="49"/>
  <c r="AX73" i="49"/>
  <c r="AX60" i="49"/>
  <c r="AX68" i="49"/>
  <c r="AX69" i="49"/>
  <c r="R98" i="49"/>
  <c r="R95" i="49"/>
  <c r="AX36" i="49"/>
  <c r="Q119" i="49"/>
  <c r="Q122" i="49"/>
  <c r="AX59" i="49"/>
  <c r="AX37" i="49"/>
  <c r="S85" i="49"/>
  <c r="T85" i="49" s="1"/>
  <c r="AX72" i="49"/>
  <c r="F136" i="49"/>
  <c r="P116" i="49"/>
  <c r="S97" i="49"/>
  <c r="T97" i="49" s="1"/>
  <c r="P86" i="49"/>
  <c r="AX65" i="49"/>
  <c r="Z100" i="49"/>
  <c r="AD100" i="49" s="1"/>
  <c r="E214" i="49" s="1"/>
  <c r="P119" i="49"/>
  <c r="P89" i="49"/>
  <c r="Z109" i="49"/>
  <c r="AD109" i="49" s="1"/>
  <c r="E223" i="49" s="1"/>
  <c r="P126" i="49"/>
  <c r="R123" i="49"/>
  <c r="R118" i="49"/>
  <c r="P104" i="49"/>
  <c r="P102" i="49"/>
  <c r="P124" i="49"/>
  <c r="R97" i="49"/>
  <c r="P96" i="49"/>
  <c r="AX75" i="49"/>
  <c r="R120" i="49"/>
  <c r="AX47" i="49"/>
  <c r="AC81" i="49"/>
  <c r="AB81" i="49"/>
  <c r="M136" i="49" s="1"/>
  <c r="Q109" i="49"/>
  <c r="Z101" i="49"/>
  <c r="AD101" i="49" s="1"/>
  <c r="E215" i="49" s="1"/>
  <c r="P98" i="49"/>
  <c r="P105" i="49"/>
  <c r="P113" i="49"/>
  <c r="Z125" i="49"/>
  <c r="AA125" i="49" s="1"/>
  <c r="E180" i="49" s="1"/>
  <c r="Q117" i="49"/>
  <c r="P97" i="49"/>
  <c r="AX71" i="49"/>
  <c r="Z97" i="49"/>
  <c r="AD97" i="49" s="1"/>
  <c r="E211" i="49" s="1"/>
  <c r="P120" i="49"/>
  <c r="Q114" i="48"/>
  <c r="R114" i="48" s="1"/>
  <c r="G135" i="48"/>
  <c r="S87" i="48"/>
  <c r="T87" i="48" s="1"/>
  <c r="S83" i="48"/>
  <c r="T83" i="48" s="1"/>
  <c r="Q110" i="48"/>
  <c r="R110" i="48" s="1"/>
  <c r="AB81" i="48"/>
  <c r="AC81" i="48"/>
  <c r="AD81" i="48"/>
  <c r="S115" i="48"/>
  <c r="T115" i="48" s="1"/>
  <c r="R87" i="48"/>
  <c r="S95" i="48"/>
  <c r="T95" i="48" s="1"/>
  <c r="R95" i="48"/>
  <c r="AF86" i="48"/>
  <c r="P110" i="48"/>
  <c r="AG80" i="48"/>
  <c r="P105" i="48"/>
  <c r="Y100" i="48"/>
  <c r="Z100" i="48" s="1"/>
  <c r="AB100" i="48" s="1"/>
  <c r="P99" i="48"/>
  <c r="P115" i="48"/>
  <c r="P121" i="48"/>
  <c r="P106" i="48"/>
  <c r="P90" i="48"/>
  <c r="P94" i="48"/>
  <c r="S104" i="48"/>
  <c r="T104" i="48" s="1"/>
  <c r="P86" i="48"/>
  <c r="R104" i="48"/>
  <c r="P98" i="48"/>
  <c r="Q102" i="48"/>
  <c r="R102" i="48" s="1"/>
  <c r="Y95" i="48"/>
  <c r="Z95" i="48" s="1"/>
  <c r="AC95" i="48" s="1"/>
  <c r="P111" i="48"/>
  <c r="R115" i="48"/>
  <c r="P119" i="48"/>
  <c r="P116" i="48"/>
  <c r="R83" i="48"/>
  <c r="P125" i="48"/>
  <c r="P88" i="48"/>
  <c r="P118" i="48"/>
  <c r="P84" i="48"/>
  <c r="P93" i="48"/>
  <c r="P91" i="48"/>
  <c r="P82" i="48"/>
  <c r="AF102" i="48"/>
  <c r="AF80" i="48"/>
  <c r="AG102" i="48"/>
  <c r="W102" i="48"/>
  <c r="Z102" i="48" s="1"/>
  <c r="AD102" i="48" s="1"/>
  <c r="Q84" i="48"/>
  <c r="S103" i="48"/>
  <c r="T103" i="48" s="1"/>
  <c r="S85" i="48"/>
  <c r="T85" i="48" s="1"/>
  <c r="Q88" i="48"/>
  <c r="R88" i="48" s="1"/>
  <c r="Q80" i="48"/>
  <c r="Z80" i="48" s="1"/>
  <c r="S90" i="48"/>
  <c r="T90" i="48" s="1"/>
  <c r="W86" i="48"/>
  <c r="AG86" i="48"/>
  <c r="Q93" i="48"/>
  <c r="Q86" i="48"/>
  <c r="S86" i="48" s="1"/>
  <c r="T86" i="48" s="1"/>
  <c r="Q117" i="48"/>
  <c r="Q99" i="48"/>
  <c r="S108" i="48"/>
  <c r="T108" i="48" s="1"/>
  <c r="S121" i="48"/>
  <c r="T121" i="48" s="1"/>
  <c r="S94" i="48"/>
  <c r="T94" i="48" s="1"/>
  <c r="Q122" i="48"/>
  <c r="S82" i="48"/>
  <c r="T82" i="48" s="1"/>
  <c r="Q97" i="48"/>
  <c r="Q126" i="48"/>
  <c r="Q96" i="48"/>
  <c r="S105" i="48"/>
  <c r="T105" i="48" s="1"/>
  <c r="S116" i="48"/>
  <c r="T116" i="48" s="1"/>
  <c r="S109" i="48"/>
  <c r="T109" i="48" s="1"/>
  <c r="S100" i="48"/>
  <c r="T100" i="48" s="1"/>
  <c r="S110" i="48"/>
  <c r="T110" i="48" s="1"/>
  <c r="S81" i="48"/>
  <c r="T81" i="48" s="1"/>
  <c r="Z98" i="48"/>
  <c r="AC98" i="48" s="1"/>
  <c r="Z94" i="48"/>
  <c r="AX52" i="48"/>
  <c r="Z119" i="48"/>
  <c r="AC119" i="48" s="1"/>
  <c r="Y136" i="48"/>
  <c r="AB136" i="48" s="1"/>
  <c r="G136" i="48"/>
  <c r="F136" i="48"/>
  <c r="Z106" i="48"/>
  <c r="AB106" i="48" s="1"/>
  <c r="AX69" i="48"/>
  <c r="S113" i="48"/>
  <c r="T113" i="48" s="1"/>
  <c r="S124" i="48"/>
  <c r="T124" i="48" s="1"/>
  <c r="Z104" i="48"/>
  <c r="AC104" i="48" s="1"/>
  <c r="Z103" i="48"/>
  <c r="AC103" i="48" s="1"/>
  <c r="Z111" i="48"/>
  <c r="AC111" i="48" s="1"/>
  <c r="S119" i="48"/>
  <c r="T119" i="48" s="1"/>
  <c r="Z117" i="48"/>
  <c r="AB117" i="48" s="1"/>
  <c r="S106" i="48"/>
  <c r="T106" i="48" s="1"/>
  <c r="AX43" i="48"/>
  <c r="Z82" i="48"/>
  <c r="AC82" i="48" s="1"/>
  <c r="Z90" i="48"/>
  <c r="AC90" i="48" s="1"/>
  <c r="Z116" i="48"/>
  <c r="AD116" i="48" s="1"/>
  <c r="Z112" i="48"/>
  <c r="AA112" i="48" s="1"/>
  <c r="S125" i="48"/>
  <c r="T125" i="48" s="1"/>
  <c r="AX60" i="48"/>
  <c r="S118" i="48"/>
  <c r="T118" i="48" s="1"/>
  <c r="Z110" i="48"/>
  <c r="AD110" i="48" s="1"/>
  <c r="Z83" i="48"/>
  <c r="AC83" i="48" s="1"/>
  <c r="S92" i="48"/>
  <c r="T92" i="48" s="1"/>
  <c r="Z93" i="48"/>
  <c r="AD93" i="48" s="1"/>
  <c r="Z89" i="48"/>
  <c r="AX68" i="48"/>
  <c r="Z96" i="48"/>
  <c r="AA96" i="48" s="1"/>
  <c r="Z113" i="48"/>
  <c r="AD113" i="48" s="1"/>
  <c r="Z124" i="48"/>
  <c r="AA124" i="48" s="1"/>
  <c r="AX45" i="48"/>
  <c r="Z107" i="48"/>
  <c r="AB107" i="48" s="1"/>
  <c r="AX66" i="48"/>
  <c r="AX61" i="48"/>
  <c r="AX64" i="48"/>
  <c r="AX67" i="48"/>
  <c r="AX51" i="48"/>
  <c r="AX38" i="48"/>
  <c r="Z114" i="48"/>
  <c r="AA114" i="48" s="1"/>
  <c r="Z121" i="48"/>
  <c r="AD121" i="48" s="1"/>
  <c r="E235" i="48" s="1"/>
  <c r="R235" i="48" s="1"/>
  <c r="Z108" i="48"/>
  <c r="S101" i="48"/>
  <c r="T101" i="48" s="1"/>
  <c r="Z99" i="48"/>
  <c r="Z122" i="48"/>
  <c r="AB122" i="48" s="1"/>
  <c r="S111" i="48"/>
  <c r="T111" i="48" s="1"/>
  <c r="Z101" i="48"/>
  <c r="AB101" i="48" s="1"/>
  <c r="AX40" i="48"/>
  <c r="Q91" i="48"/>
  <c r="R91" i="48" s="1"/>
  <c r="Z123" i="48"/>
  <c r="AD123" i="48" s="1"/>
  <c r="AX34" i="48"/>
  <c r="Z126" i="48"/>
  <c r="AA126" i="48" s="1"/>
  <c r="AX31" i="48"/>
  <c r="Z105" i="48"/>
  <c r="AB105" i="48" s="1"/>
  <c r="AL160" i="48" s="1"/>
  <c r="AX65" i="48"/>
  <c r="Z125" i="48"/>
  <c r="AC125" i="48" s="1"/>
  <c r="Z118" i="48"/>
  <c r="AB118" i="48" s="1"/>
  <c r="Z84" i="48"/>
  <c r="AA84" i="48" s="1"/>
  <c r="AX62" i="48"/>
  <c r="AX48" i="48"/>
  <c r="Z85" i="48"/>
  <c r="AB85" i="48" s="1"/>
  <c r="Z92" i="48"/>
  <c r="Z88" i="48"/>
  <c r="S89" i="48"/>
  <c r="T89" i="48" s="1"/>
  <c r="Q107" i="48"/>
  <c r="R107" i="48" s="1"/>
  <c r="Z97" i="48"/>
  <c r="AD97" i="48" s="1"/>
  <c r="S123" i="48"/>
  <c r="T123" i="48" s="1"/>
  <c r="AX33" i="48"/>
  <c r="E224" i="48"/>
  <c r="R224" i="48" s="1"/>
  <c r="AX59" i="48"/>
  <c r="AX56" i="48"/>
  <c r="E195" i="48"/>
  <c r="R195" i="48" s="1"/>
  <c r="AX30" i="48"/>
  <c r="Z120" i="48"/>
  <c r="AD120" i="48" s="1"/>
  <c r="S98" i="48"/>
  <c r="T98" i="48" s="1"/>
  <c r="AX39" i="48"/>
  <c r="Z109" i="48"/>
  <c r="AB109" i="48" s="1"/>
  <c r="Z115" i="48"/>
  <c r="AA115" i="48" s="1"/>
  <c r="S112" i="48"/>
  <c r="T112" i="48" s="1"/>
  <c r="AX70" i="48"/>
  <c r="AX53" i="48"/>
  <c r="AX44" i="48"/>
  <c r="S120" i="48"/>
  <c r="T120" i="48" s="1"/>
  <c r="AL136" i="48"/>
  <c r="Z87" i="48"/>
  <c r="AD87" i="48" s="1"/>
  <c r="Z91" i="48"/>
  <c r="AD91" i="48" s="1"/>
  <c r="AF107" i="46"/>
  <c r="R106" i="46"/>
  <c r="R85" i="46"/>
  <c r="S114" i="46"/>
  <c r="AG102" i="46"/>
  <c r="S120" i="46"/>
  <c r="T120" i="46" s="1"/>
  <c r="S98" i="46"/>
  <c r="T98" i="46" s="1"/>
  <c r="AG123" i="46"/>
  <c r="W123" i="46"/>
  <c r="S105" i="46"/>
  <c r="T105" i="46" s="1"/>
  <c r="Q91" i="46"/>
  <c r="S91" i="46" s="1"/>
  <c r="T91" i="46" s="1"/>
  <c r="Q107" i="46"/>
  <c r="R107" i="46" s="1"/>
  <c r="X136" i="47"/>
  <c r="AF80" i="47"/>
  <c r="AF123" i="47"/>
  <c r="AG99" i="47"/>
  <c r="Q99" i="47"/>
  <c r="R99" i="47" s="1"/>
  <c r="W99" i="47"/>
  <c r="AG85" i="47"/>
  <c r="Q123" i="47"/>
  <c r="S123" i="47" s="1"/>
  <c r="T123" i="47" s="1"/>
  <c r="W92" i="47"/>
  <c r="AG92" i="47"/>
  <c r="W123" i="47"/>
  <c r="AF105" i="47"/>
  <c r="Y119" i="47"/>
  <c r="G136" i="47"/>
  <c r="Q105" i="47"/>
  <c r="S105" i="47" s="1"/>
  <c r="T105" i="47" s="1"/>
  <c r="Y86" i="47"/>
  <c r="Q113" i="47"/>
  <c r="R113" i="47" s="1"/>
  <c r="Y126" i="47"/>
  <c r="Y108" i="47"/>
  <c r="AF113" i="47"/>
  <c r="Q80" i="47"/>
  <c r="R80" i="47" s="1"/>
  <c r="Y111" i="47"/>
  <c r="W124" i="47"/>
  <c r="Y117" i="47"/>
  <c r="Y103" i="47"/>
  <c r="AG124" i="47"/>
  <c r="W113" i="47"/>
  <c r="AF116" i="47"/>
  <c r="W85" i="47"/>
  <c r="W116" i="47"/>
  <c r="Z116" i="47" s="1"/>
  <c r="Y96" i="47"/>
  <c r="Y120" i="47"/>
  <c r="Y112" i="47"/>
  <c r="Q92" i="47"/>
  <c r="S92" i="47" s="1"/>
  <c r="T92" i="47" s="1"/>
  <c r="Y95" i="47"/>
  <c r="Y110" i="47"/>
  <c r="Y89" i="47"/>
  <c r="Y85" i="47"/>
  <c r="Z85" i="47" s="1"/>
  <c r="AC85" i="47" s="1"/>
  <c r="Y106" i="47"/>
  <c r="Y124" i="47"/>
  <c r="Y121" i="47"/>
  <c r="AG98" i="47"/>
  <c r="Y93" i="47"/>
  <c r="Y88" i="47"/>
  <c r="Y122" i="47"/>
  <c r="S99" i="47"/>
  <c r="T99" i="47" s="1"/>
  <c r="Q85" i="47"/>
  <c r="R85" i="47" s="1"/>
  <c r="Y113" i="47"/>
  <c r="W91" i="47"/>
  <c r="Y101" i="47"/>
  <c r="Y82" i="47"/>
  <c r="Y94" i="47"/>
  <c r="Y84" i="47"/>
  <c r="W98" i="47"/>
  <c r="Q83" i="47"/>
  <c r="Y115" i="47"/>
  <c r="Q91" i="47"/>
  <c r="S91" i="47" s="1"/>
  <c r="T91" i="47" s="1"/>
  <c r="AF101" i="47"/>
  <c r="AF91" i="47"/>
  <c r="Y125" i="47"/>
  <c r="AG91" i="47"/>
  <c r="W101" i="47"/>
  <c r="Y104" i="47"/>
  <c r="Y109" i="47"/>
  <c r="Y107" i="47"/>
  <c r="Y91" i="47"/>
  <c r="Y97" i="47"/>
  <c r="AG81" i="47"/>
  <c r="Q81" i="47"/>
  <c r="S81" i="47" s="1"/>
  <c r="T81" i="47" s="1"/>
  <c r="E104" i="47"/>
  <c r="F104" i="47" s="1"/>
  <c r="E110" i="47"/>
  <c r="F110" i="47" s="1"/>
  <c r="AX36" i="47"/>
  <c r="Y114" i="47"/>
  <c r="E96" i="47"/>
  <c r="F96" i="47" s="1"/>
  <c r="W97" i="47"/>
  <c r="AG97" i="47"/>
  <c r="Q97" i="47"/>
  <c r="S97" i="47" s="1"/>
  <c r="T97" i="47" s="1"/>
  <c r="E120" i="47"/>
  <c r="F120" i="47" s="1"/>
  <c r="AX29" i="47"/>
  <c r="AX64" i="47"/>
  <c r="AX74" i="47"/>
  <c r="Q117" i="47"/>
  <c r="S117" i="47" s="1"/>
  <c r="T117" i="47" s="1"/>
  <c r="W117" i="47"/>
  <c r="AG117" i="47"/>
  <c r="AG112" i="47"/>
  <c r="W112" i="47"/>
  <c r="Q112" i="47"/>
  <c r="S112" i="47" s="1"/>
  <c r="T112" i="47" s="1"/>
  <c r="Q116" i="47"/>
  <c r="AX37" i="47"/>
  <c r="E88" i="47"/>
  <c r="F88" i="47" s="1"/>
  <c r="E82" i="47"/>
  <c r="F82" i="47" s="1"/>
  <c r="E83" i="47"/>
  <c r="F83" i="47" s="1"/>
  <c r="E121" i="47"/>
  <c r="F121" i="47" s="1"/>
  <c r="E90" i="47"/>
  <c r="F90" i="47" s="1"/>
  <c r="E122" i="47"/>
  <c r="F122" i="47" s="1"/>
  <c r="W107" i="47"/>
  <c r="Q107" i="47"/>
  <c r="S107" i="47" s="1"/>
  <c r="T107" i="47" s="1"/>
  <c r="AG107" i="47"/>
  <c r="AF112" i="47"/>
  <c r="P118" i="47"/>
  <c r="AX65" i="47"/>
  <c r="E99" i="47"/>
  <c r="F99" i="47" s="1"/>
  <c r="AG87" i="47"/>
  <c r="Q87" i="47"/>
  <c r="S87" i="47" s="1"/>
  <c r="T87" i="47" s="1"/>
  <c r="W87" i="47"/>
  <c r="AG86" i="47"/>
  <c r="W86" i="47"/>
  <c r="Q86" i="47"/>
  <c r="S86" i="47" s="1"/>
  <c r="T86" i="47" s="1"/>
  <c r="AG110" i="47"/>
  <c r="W110" i="47"/>
  <c r="Q110" i="47"/>
  <c r="S110" i="47" s="1"/>
  <c r="T110" i="47" s="1"/>
  <c r="E101" i="47"/>
  <c r="F101" i="47" s="1"/>
  <c r="AX66" i="47"/>
  <c r="P122" i="47"/>
  <c r="E107" i="47"/>
  <c r="F107" i="47" s="1"/>
  <c r="G135" i="47"/>
  <c r="F135" i="47"/>
  <c r="P110" i="47"/>
  <c r="W115" i="47"/>
  <c r="AG115" i="47"/>
  <c r="Q115" i="47"/>
  <c r="S115" i="47" s="1"/>
  <c r="T115" i="47" s="1"/>
  <c r="P83" i="47"/>
  <c r="Q108" i="47"/>
  <c r="S108" i="47" s="1"/>
  <c r="T108" i="47" s="1"/>
  <c r="W108" i="47"/>
  <c r="AG108" i="47"/>
  <c r="P82" i="47"/>
  <c r="AG121" i="47"/>
  <c r="W121" i="47"/>
  <c r="Q121" i="47"/>
  <c r="S121" i="47" s="1"/>
  <c r="T121" i="47" s="1"/>
  <c r="P87" i="47"/>
  <c r="AX73" i="47"/>
  <c r="F136" i="47"/>
  <c r="Y105" i="47"/>
  <c r="AC81" i="47"/>
  <c r="AB81" i="47"/>
  <c r="M136" i="47" s="1"/>
  <c r="AG109" i="47"/>
  <c r="W109" i="47"/>
  <c r="Q109" i="47"/>
  <c r="S109" i="47" s="1"/>
  <c r="T109" i="47" s="1"/>
  <c r="AF97" i="47"/>
  <c r="E91" i="47"/>
  <c r="F91" i="47" s="1"/>
  <c r="E93" i="47"/>
  <c r="F93" i="47" s="1"/>
  <c r="E85" i="47"/>
  <c r="F85" i="47" s="1"/>
  <c r="E92" i="47"/>
  <c r="F92" i="47" s="1"/>
  <c r="E94" i="47"/>
  <c r="F94" i="47" s="1"/>
  <c r="E123" i="47"/>
  <c r="F123" i="47" s="1"/>
  <c r="P94" i="47"/>
  <c r="Q104" i="47"/>
  <c r="S104" i="47" s="1"/>
  <c r="T104" i="47" s="1"/>
  <c r="AG104" i="47"/>
  <c r="W104" i="47"/>
  <c r="AG94" i="47"/>
  <c r="W94" i="47"/>
  <c r="Q94" i="47"/>
  <c r="S94" i="47" s="1"/>
  <c r="T94" i="47" s="1"/>
  <c r="AX75" i="47"/>
  <c r="Q122" i="47"/>
  <c r="P96" i="47"/>
  <c r="P100" i="47"/>
  <c r="E116" i="47"/>
  <c r="F116" i="47" s="1"/>
  <c r="W93" i="47"/>
  <c r="AG93" i="47"/>
  <c r="Q93" i="47"/>
  <c r="S93" i="47" s="1"/>
  <c r="T93" i="47" s="1"/>
  <c r="E81" i="47"/>
  <c r="F81" i="47" s="1"/>
  <c r="E89" i="47"/>
  <c r="F89" i="47" s="1"/>
  <c r="AG90" i="47"/>
  <c r="W90" i="47"/>
  <c r="Q90" i="47"/>
  <c r="S90" i="47" s="1"/>
  <c r="T90" i="47" s="1"/>
  <c r="P101" i="47"/>
  <c r="P120" i="47"/>
  <c r="AX71" i="47"/>
  <c r="E84" i="47"/>
  <c r="F84" i="47" s="1"/>
  <c r="E86" i="47"/>
  <c r="F86" i="47" s="1"/>
  <c r="P93" i="47"/>
  <c r="AF110" i="47"/>
  <c r="AG118" i="47"/>
  <c r="Q118" i="47"/>
  <c r="S118" i="47" s="1"/>
  <c r="T118" i="47" s="1"/>
  <c r="W118" i="47"/>
  <c r="AX72" i="47"/>
  <c r="Y99" i="47"/>
  <c r="P121" i="47"/>
  <c r="Y118" i="47"/>
  <c r="AG126" i="47"/>
  <c r="W126" i="47"/>
  <c r="Q126" i="47"/>
  <c r="S126" i="47" s="1"/>
  <c r="T126" i="47" s="1"/>
  <c r="AF87" i="47"/>
  <c r="AD81" i="47"/>
  <c r="E195" i="47" s="1"/>
  <c r="E95" i="47"/>
  <c r="F95" i="47" s="1"/>
  <c r="E105" i="47"/>
  <c r="F105" i="47" s="1"/>
  <c r="E100" i="47"/>
  <c r="F100" i="47" s="1"/>
  <c r="E103" i="47"/>
  <c r="F103" i="47" s="1"/>
  <c r="E98" i="47"/>
  <c r="F98" i="47" s="1"/>
  <c r="Y87" i="47"/>
  <c r="P108" i="47"/>
  <c r="W88" i="47"/>
  <c r="E87" i="47"/>
  <c r="F87" i="47" s="1"/>
  <c r="AF86" i="47"/>
  <c r="E115" i="47"/>
  <c r="F115" i="47" s="1"/>
  <c r="E109" i="47"/>
  <c r="F109" i="47" s="1"/>
  <c r="P112" i="47"/>
  <c r="Q96" i="47"/>
  <c r="S96" i="47" s="1"/>
  <c r="T96" i="47" s="1"/>
  <c r="AG96" i="47"/>
  <c r="W96" i="47"/>
  <c r="W95" i="47"/>
  <c r="AG95" i="47"/>
  <c r="Q95" i="47"/>
  <c r="S95" i="47" s="1"/>
  <c r="T95" i="47" s="1"/>
  <c r="Q125" i="47"/>
  <c r="S125" i="47" s="1"/>
  <c r="T125" i="47" s="1"/>
  <c r="AG125" i="47"/>
  <c r="W125" i="47"/>
  <c r="AF125" i="47"/>
  <c r="Y102" i="47"/>
  <c r="P105" i="47"/>
  <c r="AG106" i="47"/>
  <c r="W106" i="47"/>
  <c r="Q106" i="47"/>
  <c r="S106" i="47" s="1"/>
  <c r="T106" i="47" s="1"/>
  <c r="Y98" i="47"/>
  <c r="AX68" i="47"/>
  <c r="AX53" i="47"/>
  <c r="Y92" i="47"/>
  <c r="Q84" i="47"/>
  <c r="S84" i="47" s="1"/>
  <c r="T84" i="47" s="1"/>
  <c r="W84" i="47"/>
  <c r="AG84" i="47"/>
  <c r="W111" i="47"/>
  <c r="Q111" i="47"/>
  <c r="S111" i="47" s="1"/>
  <c r="T111" i="47" s="1"/>
  <c r="AG111" i="47"/>
  <c r="P97" i="47"/>
  <c r="E126" i="47"/>
  <c r="F126" i="47" s="1"/>
  <c r="E124" i="47"/>
  <c r="F124" i="47" s="1"/>
  <c r="E108" i="47"/>
  <c r="F108" i="47" s="1"/>
  <c r="E111" i="47"/>
  <c r="F111" i="47" s="1"/>
  <c r="E118" i="47"/>
  <c r="F118" i="47" s="1"/>
  <c r="E102" i="47"/>
  <c r="F102" i="47" s="1"/>
  <c r="AF107" i="47"/>
  <c r="AF106" i="47"/>
  <c r="Y90" i="47"/>
  <c r="Q101" i="47"/>
  <c r="W122" i="47"/>
  <c r="P113" i="47"/>
  <c r="S88" i="47"/>
  <c r="T88" i="47" s="1"/>
  <c r="E119" i="47"/>
  <c r="F119" i="47" s="1"/>
  <c r="E125" i="47"/>
  <c r="F125" i="47" s="1"/>
  <c r="Z83" i="47"/>
  <c r="AD83" i="47" s="1"/>
  <c r="E197" i="47" s="1"/>
  <c r="AG102" i="47"/>
  <c r="W102" i="47"/>
  <c r="Q102" i="47"/>
  <c r="S102" i="47" s="1"/>
  <c r="T102" i="47" s="1"/>
  <c r="E114" i="47"/>
  <c r="F114" i="47" s="1"/>
  <c r="AG114" i="47"/>
  <c r="W114" i="47"/>
  <c r="Q114" i="47"/>
  <c r="S114" i="47" s="1"/>
  <c r="T114" i="47" s="1"/>
  <c r="P80" i="47"/>
  <c r="P104" i="47"/>
  <c r="P109" i="47"/>
  <c r="P124" i="47"/>
  <c r="AG82" i="47"/>
  <c r="W82" i="47"/>
  <c r="Q82" i="47"/>
  <c r="S82" i="47" s="1"/>
  <c r="T82" i="47" s="1"/>
  <c r="P98" i="47"/>
  <c r="Y123" i="47"/>
  <c r="P90" i="47"/>
  <c r="W105" i="47"/>
  <c r="Y100" i="47"/>
  <c r="AG103" i="47"/>
  <c r="W103" i="47"/>
  <c r="Q103" i="47"/>
  <c r="S103" i="47" s="1"/>
  <c r="T103" i="47" s="1"/>
  <c r="AF81" i="47"/>
  <c r="Q100" i="47"/>
  <c r="S100" i="47" s="1"/>
  <c r="T100" i="47" s="1"/>
  <c r="AG100" i="47"/>
  <c r="W100" i="47"/>
  <c r="Q119" i="47"/>
  <c r="S119" i="47" s="1"/>
  <c r="T119" i="47" s="1"/>
  <c r="AG119" i="47"/>
  <c r="W119" i="47"/>
  <c r="E97" i="47"/>
  <c r="F97" i="47" s="1"/>
  <c r="E113" i="47"/>
  <c r="F113" i="47" s="1"/>
  <c r="E112" i="47"/>
  <c r="F112" i="47" s="1"/>
  <c r="E117" i="47"/>
  <c r="F117" i="47" s="1"/>
  <c r="E106" i="47"/>
  <c r="F106" i="47" s="1"/>
  <c r="Q124" i="47"/>
  <c r="Q98" i="47"/>
  <c r="AG120" i="47"/>
  <c r="W120" i="47"/>
  <c r="Q120" i="47"/>
  <c r="S120" i="47" s="1"/>
  <c r="T120" i="47" s="1"/>
  <c r="AG89" i="47"/>
  <c r="Q89" i="47"/>
  <c r="S89" i="47" s="1"/>
  <c r="T89" i="47" s="1"/>
  <c r="W89" i="47"/>
  <c r="P95" i="47"/>
  <c r="AX45" i="47"/>
  <c r="R88" i="47"/>
  <c r="G195" i="46"/>
  <c r="Z92" i="46"/>
  <c r="AA92" i="46" s="1"/>
  <c r="E147" i="46" s="1"/>
  <c r="AX55" i="46"/>
  <c r="Z100" i="46"/>
  <c r="AC100" i="46" s="1"/>
  <c r="E119" i="46"/>
  <c r="F119" i="46" s="1"/>
  <c r="AX35" i="46"/>
  <c r="R98" i="46"/>
  <c r="Z88" i="46"/>
  <c r="AD88" i="46" s="1"/>
  <c r="E202" i="46" s="1"/>
  <c r="Z82" i="46"/>
  <c r="AD82" i="46" s="1"/>
  <c r="E196" i="46" s="1"/>
  <c r="AX61" i="46"/>
  <c r="R93" i="46"/>
  <c r="S126" i="46"/>
  <c r="T126" i="46" s="1"/>
  <c r="AX69" i="46"/>
  <c r="AX41" i="46"/>
  <c r="R123" i="46"/>
  <c r="AX51" i="46"/>
  <c r="R120" i="46"/>
  <c r="AX47" i="46"/>
  <c r="R116" i="46"/>
  <c r="E99" i="46"/>
  <c r="F99" i="46" s="1"/>
  <c r="Z93" i="46"/>
  <c r="AD93" i="46" s="1"/>
  <c r="E207" i="46" s="1"/>
  <c r="Z124" i="46"/>
  <c r="AC124" i="46" s="1"/>
  <c r="Z110" i="46"/>
  <c r="AC110" i="46" s="1"/>
  <c r="AX53" i="46"/>
  <c r="P125" i="46"/>
  <c r="P101" i="46"/>
  <c r="Z113" i="46"/>
  <c r="AD113" i="46" s="1"/>
  <c r="E227" i="46" s="1"/>
  <c r="R90" i="46"/>
  <c r="S82" i="46"/>
  <c r="T82" i="46" s="1"/>
  <c r="P118" i="46"/>
  <c r="AG108" i="46"/>
  <c r="W108" i="46"/>
  <c r="Q108" i="46"/>
  <c r="S108" i="46" s="1"/>
  <c r="T108" i="46" s="1"/>
  <c r="P97" i="46"/>
  <c r="P96" i="46"/>
  <c r="S89" i="46"/>
  <c r="T89" i="46" s="1"/>
  <c r="AX40" i="46"/>
  <c r="T119" i="46"/>
  <c r="Z106" i="46"/>
  <c r="AC106" i="46" s="1"/>
  <c r="P98" i="46"/>
  <c r="T114" i="46"/>
  <c r="P94" i="46"/>
  <c r="P116" i="46"/>
  <c r="R111" i="46"/>
  <c r="Z91" i="46"/>
  <c r="AD91" i="46" s="1"/>
  <c r="E205" i="46" s="1"/>
  <c r="Z105" i="46"/>
  <c r="AD105" i="46" s="1"/>
  <c r="E219" i="46" s="1"/>
  <c r="R119" i="46"/>
  <c r="Z112" i="46"/>
  <c r="AD112" i="46" s="1"/>
  <c r="E226" i="46" s="1"/>
  <c r="AX33" i="46"/>
  <c r="Z125" i="46"/>
  <c r="AD125" i="46" s="1"/>
  <c r="E239" i="46" s="1"/>
  <c r="S88" i="46"/>
  <c r="T88" i="46" s="1"/>
  <c r="Z90" i="46"/>
  <c r="AD90" i="46" s="1"/>
  <c r="E204" i="46" s="1"/>
  <c r="AX36" i="46"/>
  <c r="P105" i="46"/>
  <c r="R82" i="46"/>
  <c r="AX74" i="46"/>
  <c r="AX38" i="46"/>
  <c r="AX63" i="46"/>
  <c r="S101" i="46"/>
  <c r="T101" i="46" s="1"/>
  <c r="Z83" i="46"/>
  <c r="AD83" i="46" s="1"/>
  <c r="E197" i="46" s="1"/>
  <c r="S81" i="46"/>
  <c r="T81" i="46" s="1"/>
  <c r="AG109" i="46"/>
  <c r="W109" i="46"/>
  <c r="Q109" i="46"/>
  <c r="S109" i="46" s="1"/>
  <c r="T109" i="46" s="1"/>
  <c r="S92" i="46"/>
  <c r="T92" i="46" s="1"/>
  <c r="AG118" i="46"/>
  <c r="W118" i="46"/>
  <c r="Q118" i="46"/>
  <c r="S118" i="46" s="1"/>
  <c r="T118" i="46" s="1"/>
  <c r="T106" i="46"/>
  <c r="S86" i="46"/>
  <c r="T86" i="46" s="1"/>
  <c r="R84" i="46"/>
  <c r="Z111" i="46"/>
  <c r="AD111" i="46" s="1"/>
  <c r="E225" i="46" s="1"/>
  <c r="AG94" i="46"/>
  <c r="W94" i="46"/>
  <c r="Q94" i="46"/>
  <c r="S94" i="46" s="1"/>
  <c r="T94" i="46" s="1"/>
  <c r="S87" i="46"/>
  <c r="T87" i="46" s="1"/>
  <c r="R88" i="46"/>
  <c r="P80" i="46"/>
  <c r="S103" i="46"/>
  <c r="T103" i="46" s="1"/>
  <c r="Z114" i="46"/>
  <c r="AD114" i="46" s="1"/>
  <c r="E228" i="46" s="1"/>
  <c r="R101" i="46"/>
  <c r="AX59" i="46"/>
  <c r="P91" i="46"/>
  <c r="P119" i="46"/>
  <c r="R92" i="46"/>
  <c r="Z121" i="46"/>
  <c r="AD121" i="46" s="1"/>
  <c r="E235" i="46" s="1"/>
  <c r="Z107" i="46"/>
  <c r="AB107" i="46" s="1"/>
  <c r="M162" i="46" s="1"/>
  <c r="Z97" i="46"/>
  <c r="AC97" i="46" s="1"/>
  <c r="P114" i="46"/>
  <c r="Z104" i="46"/>
  <c r="AB104" i="46" s="1"/>
  <c r="M159" i="46" s="1"/>
  <c r="S95" i="46"/>
  <c r="T95" i="46" s="1"/>
  <c r="W99" i="46"/>
  <c r="AX75" i="46"/>
  <c r="Z116" i="46"/>
  <c r="AC116" i="46" s="1"/>
  <c r="S113" i="46"/>
  <c r="T113" i="46" s="1"/>
  <c r="P87" i="46"/>
  <c r="Z89" i="46"/>
  <c r="AC89" i="46" s="1"/>
  <c r="P89" i="46"/>
  <c r="P103" i="46"/>
  <c r="S117" i="46"/>
  <c r="T117" i="46" s="1"/>
  <c r="W119" i="46"/>
  <c r="AX70" i="46"/>
  <c r="E92" i="46"/>
  <c r="F92" i="46" s="1"/>
  <c r="Z103" i="46"/>
  <c r="AD103" i="46" s="1"/>
  <c r="E217" i="46" s="1"/>
  <c r="R114" i="46"/>
  <c r="Z101" i="46"/>
  <c r="AD101" i="46" s="1"/>
  <c r="E215" i="46" s="1"/>
  <c r="AX45" i="46"/>
  <c r="Z80" i="46"/>
  <c r="S80" i="46"/>
  <c r="T80" i="46" s="1"/>
  <c r="T90" i="46"/>
  <c r="AX29" i="46"/>
  <c r="Z115" i="46"/>
  <c r="AD115" i="46" s="1"/>
  <c r="E229" i="46" s="1"/>
  <c r="AB81" i="46"/>
  <c r="M136" i="46" s="1"/>
  <c r="AC81" i="46"/>
  <c r="S100" i="46"/>
  <c r="T100" i="46" s="1"/>
  <c r="AF108" i="46"/>
  <c r="S97" i="46"/>
  <c r="T97" i="46" s="1"/>
  <c r="AX32" i="46"/>
  <c r="Z95" i="46"/>
  <c r="AD95" i="46" s="1"/>
  <c r="E209" i="46" s="1"/>
  <c r="Z85" i="46"/>
  <c r="AD85" i="46" s="1"/>
  <c r="E199" i="46" s="1"/>
  <c r="Z86" i="46"/>
  <c r="AD86" i="46" s="1"/>
  <c r="E200" i="46" s="1"/>
  <c r="S122" i="46"/>
  <c r="T122" i="46" s="1"/>
  <c r="AX31" i="46"/>
  <c r="Z96" i="46"/>
  <c r="AD96" i="46" s="1"/>
  <c r="E210" i="46" s="1"/>
  <c r="P113" i="46"/>
  <c r="AX43" i="46"/>
  <c r="S110" i="46"/>
  <c r="T110" i="46" s="1"/>
  <c r="AX64" i="46"/>
  <c r="P92" i="46"/>
  <c r="Z87" i="46"/>
  <c r="AD87" i="46" s="1"/>
  <c r="E201" i="46" s="1"/>
  <c r="Z117" i="46"/>
  <c r="AD117" i="46" s="1"/>
  <c r="E231" i="46" s="1"/>
  <c r="P110" i="46"/>
  <c r="P121" i="46"/>
  <c r="P93" i="46"/>
  <c r="R105" i="46"/>
  <c r="AX67" i="46"/>
  <c r="P86" i="46"/>
  <c r="AF109" i="46"/>
  <c r="P90" i="46"/>
  <c r="G135" i="46"/>
  <c r="F135" i="46"/>
  <c r="S112" i="46"/>
  <c r="T112" i="46" s="1"/>
  <c r="Z98" i="46"/>
  <c r="AD98" i="46" s="1"/>
  <c r="E212" i="46" s="1"/>
  <c r="R100" i="46"/>
  <c r="S107" i="46"/>
  <c r="T107" i="46" s="1"/>
  <c r="T124" i="46"/>
  <c r="R124" i="46"/>
  <c r="P108" i="46"/>
  <c r="Q104" i="46"/>
  <c r="P111" i="46"/>
  <c r="Z122" i="46"/>
  <c r="AD122" i="46" s="1"/>
  <c r="E236" i="46" s="1"/>
  <c r="S99" i="46"/>
  <c r="T99" i="46" s="1"/>
  <c r="AF92" i="45"/>
  <c r="Y120" i="45"/>
  <c r="Q110" i="45"/>
  <c r="S110" i="45" s="1"/>
  <c r="T110" i="45" s="1"/>
  <c r="AF111" i="45"/>
  <c r="AG110" i="45"/>
  <c r="Y110" i="45"/>
  <c r="AG106" i="45"/>
  <c r="AG113" i="45"/>
  <c r="Y113" i="45"/>
  <c r="E102" i="45"/>
  <c r="F102" i="45" s="1"/>
  <c r="E91" i="45"/>
  <c r="F91" i="45" s="1"/>
  <c r="AG93" i="45"/>
  <c r="Y116" i="45"/>
  <c r="Y111" i="45"/>
  <c r="Y108" i="45"/>
  <c r="E123" i="45"/>
  <c r="F123" i="45" s="1"/>
  <c r="Q97" i="45"/>
  <c r="S97" i="45" s="1"/>
  <c r="T97" i="45" s="1"/>
  <c r="Q81" i="45"/>
  <c r="R81" i="45" s="1"/>
  <c r="AF119" i="45"/>
  <c r="AG120" i="45"/>
  <c r="AF112" i="45"/>
  <c r="E89" i="45"/>
  <c r="F89" i="45" s="1"/>
  <c r="Q88" i="45"/>
  <c r="R88" i="45" s="1"/>
  <c r="W110" i="45"/>
  <c r="E114" i="45"/>
  <c r="F114" i="45" s="1"/>
  <c r="W120" i="45"/>
  <c r="Z120" i="45" s="1"/>
  <c r="AC120" i="45" s="1"/>
  <c r="Q120" i="45"/>
  <c r="R120" i="45" s="1"/>
  <c r="W102" i="45"/>
  <c r="Z102" i="45" s="1"/>
  <c r="AC102" i="45" s="1"/>
  <c r="Q103" i="45"/>
  <c r="R103" i="45" s="1"/>
  <c r="Q92" i="45"/>
  <c r="R92" i="45" s="1"/>
  <c r="Q113" i="45"/>
  <c r="R113" i="45" s="1"/>
  <c r="AG80" i="45"/>
  <c r="AG81" i="45"/>
  <c r="Y89" i="45"/>
  <c r="Z89" i="45" s="1"/>
  <c r="AD89" i="45" s="1"/>
  <c r="E203" i="45" s="1"/>
  <c r="E85" i="45"/>
  <c r="F85" i="45" s="1"/>
  <c r="AG88" i="45"/>
  <c r="Q93" i="45"/>
  <c r="R93" i="45" s="1"/>
  <c r="W106" i="45"/>
  <c r="E116" i="45"/>
  <c r="F116" i="45" s="1"/>
  <c r="W93" i="45"/>
  <c r="Q112" i="45"/>
  <c r="R112" i="45" s="1"/>
  <c r="W88" i="45"/>
  <c r="W92" i="45"/>
  <c r="Q83" i="45"/>
  <c r="S83" i="45" s="1"/>
  <c r="T83" i="45" s="1"/>
  <c r="Y93" i="45"/>
  <c r="Y99" i="45"/>
  <c r="Q122" i="45"/>
  <c r="R122" i="45" s="1"/>
  <c r="AF105" i="45"/>
  <c r="W105" i="45"/>
  <c r="AG115" i="45"/>
  <c r="AF81" i="45"/>
  <c r="AB81" i="45"/>
  <c r="M136" i="45" s="1"/>
  <c r="AF86" i="45"/>
  <c r="Q115" i="45"/>
  <c r="R115" i="45" s="1"/>
  <c r="Q111" i="45"/>
  <c r="R111" i="45" s="1"/>
  <c r="AF89" i="45"/>
  <c r="Y94" i="45"/>
  <c r="Y106" i="45"/>
  <c r="W84" i="45"/>
  <c r="Y83" i="45"/>
  <c r="Y97" i="45"/>
  <c r="Y126" i="45"/>
  <c r="Q116" i="45"/>
  <c r="R116" i="45" s="1"/>
  <c r="E126" i="45"/>
  <c r="F126" i="45" s="1"/>
  <c r="Q126" i="45"/>
  <c r="S126" i="45" s="1"/>
  <c r="T126" i="45" s="1"/>
  <c r="E88" i="45"/>
  <c r="F88" i="45" s="1"/>
  <c r="AG100" i="45"/>
  <c r="AG99" i="45"/>
  <c r="E113" i="45"/>
  <c r="F113" i="45" s="1"/>
  <c r="E110" i="45"/>
  <c r="F110" i="45" s="1"/>
  <c r="E105" i="45"/>
  <c r="F105" i="45" s="1"/>
  <c r="Q84" i="45"/>
  <c r="R84" i="45" s="1"/>
  <c r="W112" i="45"/>
  <c r="E99" i="45"/>
  <c r="F99" i="45" s="1"/>
  <c r="E93" i="45"/>
  <c r="F93" i="45" s="1"/>
  <c r="E97" i="45"/>
  <c r="F97" i="45" s="1"/>
  <c r="E121" i="45"/>
  <c r="F121" i="45" s="1"/>
  <c r="AF97" i="45"/>
  <c r="E87" i="45"/>
  <c r="F87" i="45" s="1"/>
  <c r="E109" i="45"/>
  <c r="F109" i="45" s="1"/>
  <c r="Q100" i="45"/>
  <c r="S100" i="45" s="1"/>
  <c r="T100" i="45" s="1"/>
  <c r="W86" i="45"/>
  <c r="E96" i="45"/>
  <c r="F96" i="45" s="1"/>
  <c r="Y118" i="45"/>
  <c r="Q80" i="45"/>
  <c r="R80" i="45" s="1"/>
  <c r="E82" i="45"/>
  <c r="F82" i="45" s="1"/>
  <c r="W115" i="45"/>
  <c r="Z115" i="45" s="1"/>
  <c r="AD115" i="45" s="1"/>
  <c r="E229" i="45" s="1"/>
  <c r="Y109" i="45"/>
  <c r="W119" i="45"/>
  <c r="Z119" i="45" s="1"/>
  <c r="AD119" i="45" s="1"/>
  <c r="E233" i="45" s="1"/>
  <c r="Y101" i="45"/>
  <c r="E111" i="45"/>
  <c r="F111" i="45" s="1"/>
  <c r="Y102" i="45"/>
  <c r="W116" i="45"/>
  <c r="Z116" i="45" s="1"/>
  <c r="AD116" i="45" s="1"/>
  <c r="E230" i="45" s="1"/>
  <c r="AF126" i="45"/>
  <c r="AG116" i="45"/>
  <c r="W98" i="45"/>
  <c r="Y123" i="45"/>
  <c r="Y98" i="45"/>
  <c r="AF116" i="45"/>
  <c r="AG126" i="45"/>
  <c r="W97" i="45"/>
  <c r="Z97" i="45" s="1"/>
  <c r="AC97" i="45" s="1"/>
  <c r="Y125" i="45"/>
  <c r="Y86" i="45"/>
  <c r="E107" i="45"/>
  <c r="F107" i="45" s="1"/>
  <c r="E112" i="45"/>
  <c r="F112" i="45" s="1"/>
  <c r="Y121" i="45"/>
  <c r="Q85" i="45"/>
  <c r="S85" i="45" s="1"/>
  <c r="T85" i="45" s="1"/>
  <c r="E92" i="45"/>
  <c r="F92" i="45" s="1"/>
  <c r="W126" i="45"/>
  <c r="W122" i="45"/>
  <c r="E104" i="45"/>
  <c r="F104" i="45" s="1"/>
  <c r="AG102" i="45"/>
  <c r="AG103" i="45"/>
  <c r="E124" i="45"/>
  <c r="F124" i="45" s="1"/>
  <c r="Y105" i="45"/>
  <c r="Y104" i="45"/>
  <c r="E84" i="45"/>
  <c r="F84" i="45" s="1"/>
  <c r="W103" i="45"/>
  <c r="AF122" i="45"/>
  <c r="W90" i="45"/>
  <c r="AF102" i="45"/>
  <c r="W100" i="45"/>
  <c r="E120" i="45"/>
  <c r="F120" i="45" s="1"/>
  <c r="E83" i="45"/>
  <c r="F83" i="45" s="1"/>
  <c r="Q109" i="45"/>
  <c r="S109" i="45" s="1"/>
  <c r="T109" i="45" s="1"/>
  <c r="AF103" i="45"/>
  <c r="W85" i="45"/>
  <c r="W96" i="45"/>
  <c r="W83" i="45"/>
  <c r="W121" i="45"/>
  <c r="Z121" i="45" s="1"/>
  <c r="AD121" i="45" s="1"/>
  <c r="E235" i="45" s="1"/>
  <c r="Q108" i="45"/>
  <c r="S108" i="45" s="1"/>
  <c r="T108" i="45" s="1"/>
  <c r="Q107" i="45"/>
  <c r="R107" i="45" s="1"/>
  <c r="Q90" i="45"/>
  <c r="R90" i="45" s="1"/>
  <c r="AG85" i="45"/>
  <c r="W104" i="45"/>
  <c r="AF90" i="45"/>
  <c r="Y88" i="45"/>
  <c r="Y124" i="45"/>
  <c r="Y87" i="45"/>
  <c r="Q87" i="45"/>
  <c r="S87" i="45" s="1"/>
  <c r="T87" i="45" s="1"/>
  <c r="E86" i="45"/>
  <c r="F86" i="45" s="1"/>
  <c r="Q99" i="45"/>
  <c r="S99" i="45" s="1"/>
  <c r="T99" i="45" s="1"/>
  <c r="E118" i="45"/>
  <c r="F118" i="45" s="1"/>
  <c r="AG101" i="45"/>
  <c r="Q121" i="45"/>
  <c r="R121" i="45" s="1"/>
  <c r="Q94" i="45"/>
  <c r="R94" i="45" s="1"/>
  <c r="Y92" i="45"/>
  <c r="AG124" i="45"/>
  <c r="W94" i="45"/>
  <c r="W99" i="45"/>
  <c r="Z99" i="45" s="1"/>
  <c r="AD99" i="45" s="1"/>
  <c r="E213" i="45" s="1"/>
  <c r="AG96" i="45"/>
  <c r="E94" i="45"/>
  <c r="F94" i="45" s="1"/>
  <c r="Y107" i="45"/>
  <c r="Q89" i="45"/>
  <c r="R89" i="45" s="1"/>
  <c r="Y96" i="45"/>
  <c r="E119" i="45"/>
  <c r="F119" i="45" s="1"/>
  <c r="Y100" i="45"/>
  <c r="AF98" i="45"/>
  <c r="W111" i="45"/>
  <c r="AG82" i="45"/>
  <c r="E115" i="45"/>
  <c r="F115" i="45" s="1"/>
  <c r="Y117" i="45"/>
  <c r="Q125" i="45"/>
  <c r="S125" i="45" s="1"/>
  <c r="T125" i="45" s="1"/>
  <c r="E103" i="45"/>
  <c r="F103" i="45" s="1"/>
  <c r="Y90" i="45"/>
  <c r="W101" i="45"/>
  <c r="Q82" i="45"/>
  <c r="R82" i="45" s="1"/>
  <c r="Q86" i="45"/>
  <c r="R86" i="45" s="1"/>
  <c r="Y91" i="45"/>
  <c r="Y84" i="45"/>
  <c r="E101" i="45"/>
  <c r="F101" i="45" s="1"/>
  <c r="AF109" i="45"/>
  <c r="W109" i="45"/>
  <c r="Q105" i="45"/>
  <c r="R105" i="45" s="1"/>
  <c r="Y85" i="45"/>
  <c r="AG114" i="45"/>
  <c r="AG107" i="45"/>
  <c r="W108" i="45"/>
  <c r="Q106" i="45"/>
  <c r="S106" i="45" s="1"/>
  <c r="T106" i="45" s="1"/>
  <c r="Q102" i="45"/>
  <c r="S102" i="45" s="1"/>
  <c r="T102" i="45" s="1"/>
  <c r="E90" i="45"/>
  <c r="F90" i="45" s="1"/>
  <c r="AF114" i="45"/>
  <c r="Q114" i="45"/>
  <c r="R114" i="45" s="1"/>
  <c r="W107" i="45"/>
  <c r="AF107" i="45"/>
  <c r="E122" i="45"/>
  <c r="F122" i="45" s="1"/>
  <c r="Y103" i="45"/>
  <c r="AG125" i="45"/>
  <c r="W113" i="45"/>
  <c r="W124" i="45"/>
  <c r="W118" i="45"/>
  <c r="AF117" i="45"/>
  <c r="W125" i="45"/>
  <c r="AF125" i="45"/>
  <c r="Q95" i="45"/>
  <c r="S95" i="45" s="1"/>
  <c r="T95" i="45" s="1"/>
  <c r="AF108" i="45"/>
  <c r="Q117" i="45"/>
  <c r="R117" i="45" s="1"/>
  <c r="AG118" i="45"/>
  <c r="AG98" i="45"/>
  <c r="Q104" i="45"/>
  <c r="R104" i="45" s="1"/>
  <c r="W117" i="45"/>
  <c r="Q118" i="45"/>
  <c r="S118" i="45" s="1"/>
  <c r="T118" i="45" s="1"/>
  <c r="Q98" i="45"/>
  <c r="S98" i="45" s="1"/>
  <c r="T98" i="45" s="1"/>
  <c r="AG83" i="45"/>
  <c r="Y122" i="45"/>
  <c r="F135" i="45"/>
  <c r="Q119" i="45"/>
  <c r="R119" i="45" s="1"/>
  <c r="Y112" i="45"/>
  <c r="AF95" i="45"/>
  <c r="R91" i="45"/>
  <c r="S101" i="45"/>
  <c r="T101" i="45" s="1"/>
  <c r="W95" i="45"/>
  <c r="Z95" i="45" s="1"/>
  <c r="AB95" i="45" s="1"/>
  <c r="M150" i="45" s="1"/>
  <c r="AX71" i="45"/>
  <c r="AX36" i="45"/>
  <c r="AX69" i="45"/>
  <c r="AX53" i="45"/>
  <c r="AX65" i="45"/>
  <c r="AX47" i="45"/>
  <c r="AG123" i="45"/>
  <c r="W123" i="45"/>
  <c r="Q123" i="45"/>
  <c r="S123" i="45" s="1"/>
  <c r="T123" i="45" s="1"/>
  <c r="AX70" i="45"/>
  <c r="R101" i="45"/>
  <c r="AX75" i="45"/>
  <c r="AX56" i="45"/>
  <c r="AF123" i="45"/>
  <c r="AX52" i="45"/>
  <c r="AX54" i="45"/>
  <c r="Q96" i="45"/>
  <c r="P80" i="45"/>
  <c r="P99" i="45"/>
  <c r="AX46" i="45"/>
  <c r="E195" i="45"/>
  <c r="AX30" i="45"/>
  <c r="P111" i="45"/>
  <c r="AX31" i="45"/>
  <c r="P94" i="45"/>
  <c r="P124" i="45"/>
  <c r="AX39" i="45"/>
  <c r="E108" i="45"/>
  <c r="F108" i="45" s="1"/>
  <c r="O136" i="45"/>
  <c r="AK136" i="45"/>
  <c r="AX38" i="45"/>
  <c r="AX55" i="45"/>
  <c r="P118" i="45"/>
  <c r="AX37" i="45"/>
  <c r="Y82" i="45"/>
  <c r="G136" i="45"/>
  <c r="F136" i="45"/>
  <c r="Q124" i="45"/>
  <c r="AX64" i="45"/>
  <c r="AX72" i="45"/>
  <c r="Z114" i="45"/>
  <c r="AD114" i="45" s="1"/>
  <c r="E228" i="45" s="1"/>
  <c r="AX40" i="45"/>
  <c r="P119" i="45"/>
  <c r="S80" i="45"/>
  <c r="T80" i="45" s="1"/>
  <c r="AX63" i="45"/>
  <c r="P112" i="45"/>
  <c r="W116" i="42"/>
  <c r="AG95" i="42"/>
  <c r="W111" i="42"/>
  <c r="W119" i="43"/>
  <c r="AF116" i="42"/>
  <c r="AF121" i="42"/>
  <c r="W121" i="42"/>
  <c r="W95" i="42"/>
  <c r="AF119" i="43"/>
  <c r="Y99" i="43"/>
  <c r="W101" i="43"/>
  <c r="AF101" i="43"/>
  <c r="Q119" i="43"/>
  <c r="S119" i="43" s="1"/>
  <c r="T119" i="43" s="1"/>
  <c r="W88" i="43"/>
  <c r="W126" i="43"/>
  <c r="W92" i="43"/>
  <c r="E90" i="43"/>
  <c r="F90" i="43" s="1"/>
  <c r="AG88" i="43"/>
  <c r="Y90" i="43"/>
  <c r="Q113" i="43"/>
  <c r="R113" i="43" s="1"/>
  <c r="Q88" i="43"/>
  <c r="S88" i="43" s="1"/>
  <c r="T88" i="43" s="1"/>
  <c r="E81" i="43"/>
  <c r="F81" i="43" s="1"/>
  <c r="Q116" i="43"/>
  <c r="R116" i="43" s="1"/>
  <c r="Q87" i="43"/>
  <c r="R87" i="43" s="1"/>
  <c r="Q118" i="43"/>
  <c r="S118" i="43" s="1"/>
  <c r="T118" i="43" s="1"/>
  <c r="AF118" i="43"/>
  <c r="Y114" i="43"/>
  <c r="E87" i="43"/>
  <c r="F87" i="43" s="1"/>
  <c r="W116" i="43"/>
  <c r="W93" i="43"/>
  <c r="AG90" i="43"/>
  <c r="AG93" i="43"/>
  <c r="Y108" i="43"/>
  <c r="E98" i="43"/>
  <c r="F98" i="43" s="1"/>
  <c r="Y97" i="43"/>
  <c r="W86" i="43"/>
  <c r="E115" i="43"/>
  <c r="F115" i="43" s="1"/>
  <c r="E105" i="43"/>
  <c r="F105" i="43" s="1"/>
  <c r="AF117" i="43"/>
  <c r="Y122" i="43"/>
  <c r="AF123" i="43"/>
  <c r="W100" i="43"/>
  <c r="Y100" i="43"/>
  <c r="Q86" i="43"/>
  <c r="S86" i="43" s="1"/>
  <c r="T86" i="43" s="1"/>
  <c r="AF113" i="43"/>
  <c r="Y105" i="43"/>
  <c r="AF84" i="43"/>
  <c r="Y95" i="43"/>
  <c r="W114" i="43"/>
  <c r="E95" i="43"/>
  <c r="F95" i="43" s="1"/>
  <c r="W99" i="43"/>
  <c r="W113" i="43"/>
  <c r="Y85" i="43"/>
  <c r="AG107" i="43"/>
  <c r="E195" i="43"/>
  <c r="G195" i="43" s="1"/>
  <c r="W107" i="43"/>
  <c r="E86" i="43"/>
  <c r="F86" i="43" s="1"/>
  <c r="Y83" i="43"/>
  <c r="E96" i="43"/>
  <c r="F96" i="43" s="1"/>
  <c r="W123" i="43"/>
  <c r="Z123" i="43" s="1"/>
  <c r="AD123" i="43" s="1"/>
  <c r="E237" i="43" s="1"/>
  <c r="E120" i="43"/>
  <c r="F120" i="43" s="1"/>
  <c r="Y96" i="43"/>
  <c r="E83" i="43"/>
  <c r="F83" i="43" s="1"/>
  <c r="E102" i="43"/>
  <c r="F102" i="43" s="1"/>
  <c r="AF97" i="43"/>
  <c r="E118" i="43"/>
  <c r="F118" i="43" s="1"/>
  <c r="Q82" i="43"/>
  <c r="R82" i="43" s="1"/>
  <c r="Q114" i="43"/>
  <c r="R114" i="43" s="1"/>
  <c r="AG99" i="43"/>
  <c r="AF122" i="43"/>
  <c r="AF99" i="43"/>
  <c r="AF120" i="43"/>
  <c r="AF105" i="43"/>
  <c r="AG85" i="43"/>
  <c r="W90" i="43"/>
  <c r="Z90" i="43" s="1"/>
  <c r="AD90" i="43" s="1"/>
  <c r="E204" i="43" s="1"/>
  <c r="AF121" i="43"/>
  <c r="AF82" i="43"/>
  <c r="Q83" i="43"/>
  <c r="R83" i="43" s="1"/>
  <c r="Q124" i="43"/>
  <c r="R124" i="43" s="1"/>
  <c r="E122" i="43"/>
  <c r="F122" i="43" s="1"/>
  <c r="W97" i="43"/>
  <c r="Q123" i="43"/>
  <c r="S123" i="43" s="1"/>
  <c r="T123" i="43" s="1"/>
  <c r="W110" i="43"/>
  <c r="AG124" i="43"/>
  <c r="Y124" i="43"/>
  <c r="W102" i="43"/>
  <c r="Y106" i="43"/>
  <c r="Q81" i="43"/>
  <c r="S81" i="43" s="1"/>
  <c r="T81" i="43" s="1"/>
  <c r="Q117" i="43"/>
  <c r="R117" i="43" s="1"/>
  <c r="E123" i="43"/>
  <c r="F123" i="43" s="1"/>
  <c r="Q105" i="43"/>
  <c r="S105" i="43" s="1"/>
  <c r="T105" i="43" s="1"/>
  <c r="AG110" i="43"/>
  <c r="Q90" i="43"/>
  <c r="S90" i="43" s="1"/>
  <c r="T90" i="43" s="1"/>
  <c r="Q97" i="43"/>
  <c r="R97" i="43" s="1"/>
  <c r="E112" i="43"/>
  <c r="F112" i="43" s="1"/>
  <c r="Y109" i="43"/>
  <c r="Y84" i="43"/>
  <c r="Z84" i="43" s="1"/>
  <c r="AD84" i="43" s="1"/>
  <c r="E198" i="43" s="1"/>
  <c r="E109" i="43"/>
  <c r="F109" i="43" s="1"/>
  <c r="W105" i="43"/>
  <c r="Y112" i="43"/>
  <c r="E106" i="43"/>
  <c r="F106" i="43" s="1"/>
  <c r="Y120" i="43"/>
  <c r="Y82" i="43"/>
  <c r="Y104" i="43"/>
  <c r="Q99" i="43"/>
  <c r="S99" i="43" s="1"/>
  <c r="T99" i="43" s="1"/>
  <c r="Q122" i="43"/>
  <c r="S122" i="43" s="1"/>
  <c r="T122" i="43" s="1"/>
  <c r="E110" i="43"/>
  <c r="F110" i="43" s="1"/>
  <c r="E91" i="43"/>
  <c r="F91" i="43" s="1"/>
  <c r="W117" i="43"/>
  <c r="W118" i="43"/>
  <c r="Q84" i="43"/>
  <c r="S84" i="43" s="1"/>
  <c r="T84" i="43" s="1"/>
  <c r="Q126" i="43"/>
  <c r="R126" i="43" s="1"/>
  <c r="Q102" i="43"/>
  <c r="S102" i="43" s="1"/>
  <c r="T102" i="43" s="1"/>
  <c r="W103" i="43"/>
  <c r="AG126" i="43"/>
  <c r="W112" i="43"/>
  <c r="E116" i="43"/>
  <c r="F116" i="43" s="1"/>
  <c r="AG111" i="43"/>
  <c r="Q121" i="43"/>
  <c r="R121" i="43" s="1"/>
  <c r="Y116" i="43"/>
  <c r="AG103" i="43"/>
  <c r="AG112" i="43"/>
  <c r="Y115" i="43"/>
  <c r="Z115" i="43" s="1"/>
  <c r="AD115" i="43" s="1"/>
  <c r="E229" i="43" s="1"/>
  <c r="Y113" i="43"/>
  <c r="AF114" i="43"/>
  <c r="AG106" i="43"/>
  <c r="E94" i="43"/>
  <c r="F94" i="43" s="1"/>
  <c r="W95" i="43"/>
  <c r="Q107" i="43"/>
  <c r="S107" i="43" s="1"/>
  <c r="T107" i="43" s="1"/>
  <c r="AF91" i="43"/>
  <c r="AF92" i="43"/>
  <c r="E117" i="43"/>
  <c r="F117" i="43" s="1"/>
  <c r="Q110" i="43"/>
  <c r="S110" i="43" s="1"/>
  <c r="T110" i="43" s="1"/>
  <c r="W96" i="43"/>
  <c r="Z96" i="43" s="1"/>
  <c r="AD96" i="43" s="1"/>
  <c r="E210" i="43" s="1"/>
  <c r="Q92" i="43"/>
  <c r="S92" i="43" s="1"/>
  <c r="T92" i="43" s="1"/>
  <c r="Y126" i="43"/>
  <c r="Q111" i="43"/>
  <c r="R111" i="43" s="1"/>
  <c r="Y89" i="43"/>
  <c r="Y103" i="43"/>
  <c r="Y125" i="43"/>
  <c r="W108" i="43"/>
  <c r="Y98" i="43"/>
  <c r="E99" i="43"/>
  <c r="F99" i="43" s="1"/>
  <c r="Y117" i="43"/>
  <c r="E126" i="43"/>
  <c r="F126" i="43" s="1"/>
  <c r="AF87" i="43"/>
  <c r="Y88" i="43"/>
  <c r="AG102" i="43"/>
  <c r="E108" i="43"/>
  <c r="F108" i="43" s="1"/>
  <c r="E114" i="43"/>
  <c r="F114" i="43" s="1"/>
  <c r="Q91" i="43"/>
  <c r="S91" i="43" s="1"/>
  <c r="T91" i="43" s="1"/>
  <c r="AG80" i="43"/>
  <c r="Y118" i="43"/>
  <c r="AG108" i="43"/>
  <c r="Q103" i="43"/>
  <c r="R103" i="43" s="1"/>
  <c r="AF102" i="43"/>
  <c r="W83" i="43"/>
  <c r="Q94" i="43"/>
  <c r="S94" i="43" s="1"/>
  <c r="T94" i="43" s="1"/>
  <c r="AG87" i="43"/>
  <c r="W91" i="43"/>
  <c r="Q108" i="43"/>
  <c r="S108" i="43" s="1"/>
  <c r="T108" i="43" s="1"/>
  <c r="W122" i="43"/>
  <c r="AG83" i="43"/>
  <c r="W109" i="43"/>
  <c r="Y93" i="43"/>
  <c r="W106" i="43"/>
  <c r="Y111" i="43"/>
  <c r="E124" i="43"/>
  <c r="F124" i="43" s="1"/>
  <c r="W120" i="43"/>
  <c r="Y101" i="43"/>
  <c r="W87" i="43"/>
  <c r="E93" i="43"/>
  <c r="F93" i="43" s="1"/>
  <c r="E84" i="43"/>
  <c r="F84" i="43" s="1"/>
  <c r="AF81" i="43"/>
  <c r="AF83" i="43"/>
  <c r="Q80" i="43"/>
  <c r="Z80" i="43" s="1"/>
  <c r="AG109" i="43"/>
  <c r="E113" i="43"/>
  <c r="F113" i="43" s="1"/>
  <c r="AG81" i="43"/>
  <c r="Q85" i="43"/>
  <c r="S85" i="43" s="1"/>
  <c r="T85" i="43" s="1"/>
  <c r="Y110" i="43"/>
  <c r="Q109" i="43"/>
  <c r="R109" i="43" s="1"/>
  <c r="Q96" i="43"/>
  <c r="R96" i="43" s="1"/>
  <c r="Y92" i="43"/>
  <c r="E103" i="43"/>
  <c r="F103" i="43" s="1"/>
  <c r="W94" i="43"/>
  <c r="Z94" i="43" s="1"/>
  <c r="Q120" i="43"/>
  <c r="Y107" i="43"/>
  <c r="Q101" i="43"/>
  <c r="S101" i="43" s="1"/>
  <c r="T101" i="43" s="1"/>
  <c r="AG95" i="43"/>
  <c r="W124" i="43"/>
  <c r="Y119" i="43"/>
  <c r="Z119" i="43" s="1"/>
  <c r="AD119" i="43" s="1"/>
  <c r="E233" i="43" s="1"/>
  <c r="Y86" i="43"/>
  <c r="W125" i="43"/>
  <c r="Q93" i="43"/>
  <c r="Y87" i="43"/>
  <c r="AG125" i="43"/>
  <c r="E100" i="43"/>
  <c r="F100" i="43" s="1"/>
  <c r="W82" i="43"/>
  <c r="E82" i="43"/>
  <c r="F82" i="43" s="1"/>
  <c r="Q125" i="43"/>
  <c r="R125" i="43" s="1"/>
  <c r="Q112" i="43"/>
  <c r="S112" i="43" s="1"/>
  <c r="T112" i="43" s="1"/>
  <c r="E121" i="43"/>
  <c r="F121" i="43" s="1"/>
  <c r="Y102" i="43"/>
  <c r="Q115" i="43"/>
  <c r="W121" i="43"/>
  <c r="Z121" i="43" s="1"/>
  <c r="AD121" i="43" s="1"/>
  <c r="E235" i="43" s="1"/>
  <c r="E88" i="43"/>
  <c r="F88" i="43" s="1"/>
  <c r="Q106" i="43"/>
  <c r="S106" i="43" s="1"/>
  <c r="T106" i="43" s="1"/>
  <c r="E125" i="43"/>
  <c r="F125" i="43" s="1"/>
  <c r="Q95" i="43"/>
  <c r="S95" i="43" s="1"/>
  <c r="T95" i="43" s="1"/>
  <c r="Y91" i="43"/>
  <c r="U195" i="43"/>
  <c r="Z195" i="43" s="1"/>
  <c r="E92" i="43"/>
  <c r="F92" i="43" s="1"/>
  <c r="P103" i="43"/>
  <c r="AG98" i="43"/>
  <c r="W98" i="43"/>
  <c r="Q98" i="43"/>
  <c r="S98" i="43" s="1"/>
  <c r="T98" i="43" s="1"/>
  <c r="AX62" i="43"/>
  <c r="AX40" i="43"/>
  <c r="AX41" i="43"/>
  <c r="AX32" i="43"/>
  <c r="E89" i="43"/>
  <c r="F89" i="43" s="1"/>
  <c r="P109" i="43"/>
  <c r="P98" i="43"/>
  <c r="P120" i="43"/>
  <c r="P104" i="43"/>
  <c r="AX52" i="43"/>
  <c r="AX64" i="43"/>
  <c r="E104" i="43"/>
  <c r="F104" i="43" s="1"/>
  <c r="P113" i="43"/>
  <c r="P97" i="43"/>
  <c r="AX56" i="43"/>
  <c r="S104" i="43"/>
  <c r="T104" i="43" s="1"/>
  <c r="AX37" i="43"/>
  <c r="AX45" i="43"/>
  <c r="E111" i="43"/>
  <c r="F111" i="43" s="1"/>
  <c r="AX69" i="43"/>
  <c r="P121" i="43"/>
  <c r="AF98" i="43"/>
  <c r="AX39" i="43"/>
  <c r="Q100" i="43"/>
  <c r="AX53" i="43"/>
  <c r="AX70" i="43"/>
  <c r="AX33" i="43"/>
  <c r="AX72" i="43"/>
  <c r="E85" i="43"/>
  <c r="F85" i="43" s="1"/>
  <c r="AX63" i="43"/>
  <c r="Q89" i="43"/>
  <c r="S89" i="43" s="1"/>
  <c r="T89" i="43" s="1"/>
  <c r="W89" i="43"/>
  <c r="AG89" i="43"/>
  <c r="W85" i="43"/>
  <c r="AC81" i="43"/>
  <c r="AB81" i="43"/>
  <c r="M136" i="43" s="1"/>
  <c r="AK136" i="43" s="1"/>
  <c r="AX71" i="43"/>
  <c r="P93" i="43"/>
  <c r="AX29" i="43"/>
  <c r="P82" i="43"/>
  <c r="P123" i="43"/>
  <c r="AX31" i="43"/>
  <c r="AX47" i="43"/>
  <c r="AX49" i="43"/>
  <c r="P89" i="43"/>
  <c r="P96" i="43"/>
  <c r="W111" i="43"/>
  <c r="P87" i="43"/>
  <c r="G135" i="43"/>
  <c r="F135" i="43"/>
  <c r="Q88" i="42"/>
  <c r="S88" i="42" s="1"/>
  <c r="T88" i="42" s="1"/>
  <c r="AF97" i="42"/>
  <c r="AF89" i="42"/>
  <c r="AF124" i="42"/>
  <c r="Q121" i="42"/>
  <c r="S121" i="42" s="1"/>
  <c r="T121" i="42" s="1"/>
  <c r="W124" i="42"/>
  <c r="Q89" i="42"/>
  <c r="R89" i="42" s="1"/>
  <c r="AG111" i="42"/>
  <c r="W88" i="42"/>
  <c r="W97" i="42"/>
  <c r="W105" i="42"/>
  <c r="Q97" i="42"/>
  <c r="R97" i="42" s="1"/>
  <c r="Q111" i="42"/>
  <c r="S111" i="42" s="1"/>
  <c r="T111" i="42" s="1"/>
  <c r="E98" i="42"/>
  <c r="F98" i="42" s="1"/>
  <c r="E118" i="42"/>
  <c r="F118" i="42" s="1"/>
  <c r="AG105" i="42"/>
  <c r="W112" i="42"/>
  <c r="Q116" i="42"/>
  <c r="R116" i="42" s="1"/>
  <c r="AF120" i="42"/>
  <c r="W113" i="42"/>
  <c r="AF112" i="42"/>
  <c r="W120" i="42"/>
  <c r="Q86" i="42"/>
  <c r="S86" i="42" s="1"/>
  <c r="T86" i="42" s="1"/>
  <c r="AG86" i="42"/>
  <c r="Q120" i="42"/>
  <c r="S120" i="42" s="1"/>
  <c r="T120" i="42" s="1"/>
  <c r="Y91" i="42"/>
  <c r="Y109" i="42"/>
  <c r="Y90" i="42"/>
  <c r="Y122" i="42"/>
  <c r="E107" i="42"/>
  <c r="F107" i="42" s="1"/>
  <c r="W87" i="42"/>
  <c r="AF87" i="42"/>
  <c r="AF80" i="42"/>
  <c r="Q80" i="42"/>
  <c r="R80" i="42" s="1"/>
  <c r="AG87" i="42"/>
  <c r="E105" i="42"/>
  <c r="F105" i="42" s="1"/>
  <c r="AG119" i="42"/>
  <c r="AG80" i="42"/>
  <c r="S98" i="42"/>
  <c r="T98" i="42" s="1"/>
  <c r="Y110" i="42"/>
  <c r="Y101" i="42"/>
  <c r="Y114" i="42"/>
  <c r="Y119" i="42"/>
  <c r="E87" i="42"/>
  <c r="F87" i="42" s="1"/>
  <c r="Q87" i="42"/>
  <c r="R87" i="42" s="1"/>
  <c r="Y105" i="42"/>
  <c r="S123" i="42"/>
  <c r="T123" i="42" s="1"/>
  <c r="R123" i="42"/>
  <c r="AG113" i="42"/>
  <c r="S84" i="42"/>
  <c r="T84" i="42" s="1"/>
  <c r="R96" i="42"/>
  <c r="Y108" i="42"/>
  <c r="Y95" i="42"/>
  <c r="Y113" i="42"/>
  <c r="Y94" i="42"/>
  <c r="Y124" i="42"/>
  <c r="S125" i="42"/>
  <c r="T125" i="42" s="1"/>
  <c r="AF91" i="42"/>
  <c r="R118" i="42"/>
  <c r="R125" i="42"/>
  <c r="Q91" i="42"/>
  <c r="S91" i="42" s="1"/>
  <c r="T91" i="42" s="1"/>
  <c r="W91" i="42"/>
  <c r="Q105" i="42"/>
  <c r="S105" i="42" s="1"/>
  <c r="T105" i="42" s="1"/>
  <c r="Y88" i="42"/>
  <c r="Y118" i="42"/>
  <c r="Z118" i="42" s="1"/>
  <c r="AA118" i="42" s="1"/>
  <c r="E173" i="42" s="1"/>
  <c r="Y96" i="42"/>
  <c r="R86" i="42"/>
  <c r="E119" i="42"/>
  <c r="F119" i="42"/>
  <c r="AG106" i="42"/>
  <c r="W106" i="42"/>
  <c r="Q106" i="42"/>
  <c r="S106" i="42" s="1"/>
  <c r="T106" i="42" s="1"/>
  <c r="E85" i="42"/>
  <c r="F85" i="42" s="1"/>
  <c r="AG101" i="42"/>
  <c r="Q101" i="42"/>
  <c r="S101" i="42" s="1"/>
  <c r="T101" i="42" s="1"/>
  <c r="W101" i="42"/>
  <c r="AF101" i="42"/>
  <c r="E106" i="42"/>
  <c r="F106" i="42" s="1"/>
  <c r="E86" i="42"/>
  <c r="F86" i="42" s="1"/>
  <c r="AG110" i="42"/>
  <c r="W110" i="42"/>
  <c r="Q110" i="42"/>
  <c r="S110" i="42" s="1"/>
  <c r="T110" i="42" s="1"/>
  <c r="AF110" i="42"/>
  <c r="E125" i="42"/>
  <c r="F125" i="42" s="1"/>
  <c r="E94" i="42"/>
  <c r="F94" i="42" s="1"/>
  <c r="Q109" i="42"/>
  <c r="AX35" i="42"/>
  <c r="W107" i="42"/>
  <c r="Q107" i="42"/>
  <c r="S107" i="42" s="1"/>
  <c r="T107" i="42" s="1"/>
  <c r="AG107" i="42"/>
  <c r="AF107" i="42"/>
  <c r="AX52" i="42"/>
  <c r="E103" i="42"/>
  <c r="F103" i="42" s="1"/>
  <c r="R84" i="42"/>
  <c r="AX66" i="42"/>
  <c r="E93" i="42"/>
  <c r="F93" i="42" s="1"/>
  <c r="Y84" i="42"/>
  <c r="Y103" i="42"/>
  <c r="Z103" i="42" s="1"/>
  <c r="Y112" i="42"/>
  <c r="Y99" i="42"/>
  <c r="Y85" i="42"/>
  <c r="Y98" i="42"/>
  <c r="Z98" i="42" s="1"/>
  <c r="Y121" i="42"/>
  <c r="W86" i="42"/>
  <c r="Q112" i="42"/>
  <c r="G136" i="42"/>
  <c r="F136" i="42"/>
  <c r="AX48" i="42"/>
  <c r="R115" i="42"/>
  <c r="AX67" i="42"/>
  <c r="E81" i="42"/>
  <c r="F81" i="42" s="1"/>
  <c r="AF106" i="42"/>
  <c r="P121" i="42"/>
  <c r="P93" i="42"/>
  <c r="E116" i="42"/>
  <c r="F116" i="42" s="1"/>
  <c r="S81" i="42"/>
  <c r="T81" i="42" s="1"/>
  <c r="E126" i="42"/>
  <c r="F126" i="42" s="1"/>
  <c r="AX40" i="42"/>
  <c r="E121" i="42"/>
  <c r="F121" i="42" s="1"/>
  <c r="AG90" i="42"/>
  <c r="Q90" i="42"/>
  <c r="S90" i="42" s="1"/>
  <c r="T90" i="42" s="1"/>
  <c r="W90" i="42"/>
  <c r="AF90" i="42"/>
  <c r="P125" i="42"/>
  <c r="AX36" i="42"/>
  <c r="E88" i="42"/>
  <c r="F88" i="42" s="1"/>
  <c r="AX32" i="42"/>
  <c r="Y115" i="42"/>
  <c r="Y116" i="42"/>
  <c r="Y89" i="42"/>
  <c r="Y102" i="42"/>
  <c r="Y125" i="42"/>
  <c r="P85" i="42"/>
  <c r="Q126" i="42"/>
  <c r="W119" i="42"/>
  <c r="AX71" i="42"/>
  <c r="Q108" i="42"/>
  <c r="S108" i="42" s="1"/>
  <c r="T108" i="42" s="1"/>
  <c r="AG108" i="42"/>
  <c r="W108" i="42"/>
  <c r="AF108" i="42"/>
  <c r="E109" i="42"/>
  <c r="F109" i="42" s="1"/>
  <c r="AX55" i="42"/>
  <c r="E122" i="42"/>
  <c r="F122" i="42" s="1"/>
  <c r="AX37" i="42"/>
  <c r="E91" i="42"/>
  <c r="F91" i="42" s="1"/>
  <c r="AX62" i="42"/>
  <c r="W99" i="42"/>
  <c r="AG99" i="42"/>
  <c r="Q99" i="42"/>
  <c r="S99" i="42" s="1"/>
  <c r="T99" i="42" s="1"/>
  <c r="AF99" i="42"/>
  <c r="Q113" i="42"/>
  <c r="E114" i="42"/>
  <c r="F114" i="42" s="1"/>
  <c r="E110" i="42"/>
  <c r="F110" i="42" s="1"/>
  <c r="Q95" i="42"/>
  <c r="E83" i="42"/>
  <c r="F83" i="42" s="1"/>
  <c r="Y104" i="42"/>
  <c r="Y117" i="42"/>
  <c r="Y93" i="42"/>
  <c r="Y106" i="42"/>
  <c r="T96" i="42"/>
  <c r="Q119" i="42"/>
  <c r="Q122" i="42"/>
  <c r="E108" i="42"/>
  <c r="F108" i="42" s="1"/>
  <c r="Y120" i="42"/>
  <c r="AG94" i="42"/>
  <c r="Q94" i="42"/>
  <c r="S94" i="42" s="1"/>
  <c r="T94" i="42" s="1"/>
  <c r="W94" i="42"/>
  <c r="AF94" i="42"/>
  <c r="E96" i="42"/>
  <c r="F96" i="42" s="1"/>
  <c r="AG82" i="42"/>
  <c r="Q82" i="42"/>
  <c r="S82" i="42" s="1"/>
  <c r="T82" i="42" s="1"/>
  <c r="W82" i="42"/>
  <c r="E104" i="42"/>
  <c r="F104" i="42" s="1"/>
  <c r="S117" i="42"/>
  <c r="T117" i="42" s="1"/>
  <c r="AG85" i="42"/>
  <c r="W85" i="42"/>
  <c r="Q85" i="42"/>
  <c r="S85" i="42" s="1"/>
  <c r="T85" i="42" s="1"/>
  <c r="E123" i="42"/>
  <c r="F123" i="42" s="1"/>
  <c r="P102" i="42"/>
  <c r="AX44" i="42"/>
  <c r="E95" i="42"/>
  <c r="F95" i="42" s="1"/>
  <c r="S104" i="42"/>
  <c r="T104" i="42" s="1"/>
  <c r="P113" i="42"/>
  <c r="Y97" i="42"/>
  <c r="AX75" i="42"/>
  <c r="W122" i="42"/>
  <c r="E89" i="42"/>
  <c r="F89" i="42" s="1"/>
  <c r="AC81" i="42"/>
  <c r="AB81" i="42"/>
  <c r="M136" i="42" s="1"/>
  <c r="AX56" i="42"/>
  <c r="W83" i="42"/>
  <c r="AG83" i="42"/>
  <c r="Q83" i="42"/>
  <c r="S83" i="42" s="1"/>
  <c r="T83" i="42" s="1"/>
  <c r="AF83" i="42"/>
  <c r="Z126" i="42"/>
  <c r="AC126" i="42" s="1"/>
  <c r="E117" i="42"/>
  <c r="F117" i="42" s="1"/>
  <c r="W96" i="42"/>
  <c r="E92" i="42"/>
  <c r="F92" i="42" s="1"/>
  <c r="W117" i="42"/>
  <c r="Q100" i="42"/>
  <c r="S100" i="42" s="1"/>
  <c r="T100" i="42" s="1"/>
  <c r="W100" i="42"/>
  <c r="AG100" i="42"/>
  <c r="AF100" i="42"/>
  <c r="E90" i="42"/>
  <c r="F90" i="42" s="1"/>
  <c r="Q124" i="42"/>
  <c r="S103" i="42"/>
  <c r="T103" i="42" s="1"/>
  <c r="E111" i="42"/>
  <c r="F111" i="42" s="1"/>
  <c r="Y100" i="42"/>
  <c r="Y83" i="42"/>
  <c r="Y82" i="42"/>
  <c r="AX70" i="42"/>
  <c r="P111" i="42"/>
  <c r="E115" i="42"/>
  <c r="F115" i="42" s="1"/>
  <c r="E101" i="42"/>
  <c r="F101" i="42"/>
  <c r="P116" i="42"/>
  <c r="P80" i="42"/>
  <c r="AG114" i="42"/>
  <c r="W114" i="42"/>
  <c r="Q114" i="42"/>
  <c r="S114" i="42" s="1"/>
  <c r="T114" i="42" s="1"/>
  <c r="E97" i="42"/>
  <c r="F97" i="42" s="1"/>
  <c r="AD81" i="42"/>
  <c r="E195" i="42" s="1"/>
  <c r="S93" i="42"/>
  <c r="T93" i="42" s="1"/>
  <c r="AX30" i="42"/>
  <c r="E124" i="42"/>
  <c r="F124" i="42"/>
  <c r="E112" i="42"/>
  <c r="F112" i="42" s="1"/>
  <c r="P114" i="42"/>
  <c r="W109" i="42"/>
  <c r="E99" i="42"/>
  <c r="F99" i="42" s="1"/>
  <c r="AG92" i="42"/>
  <c r="Q92" i="42"/>
  <c r="S92" i="42" s="1"/>
  <c r="T92" i="42" s="1"/>
  <c r="W92" i="42"/>
  <c r="AF92" i="42"/>
  <c r="P82" i="42"/>
  <c r="AX73" i="42"/>
  <c r="R103" i="42"/>
  <c r="R98" i="42"/>
  <c r="AX47" i="42"/>
  <c r="E102" i="42"/>
  <c r="F102" i="42" s="1"/>
  <c r="Y111" i="42"/>
  <c r="Y87" i="42"/>
  <c r="Y86" i="42"/>
  <c r="Y123" i="42"/>
  <c r="AX60" i="42"/>
  <c r="A26" i="41"/>
  <c r="Y191" i="41"/>
  <c r="AC191" i="41"/>
  <c r="BA132" i="41"/>
  <c r="AX132" i="41"/>
  <c r="AF191" i="41"/>
  <c r="AT132" i="41"/>
  <c r="AA66" i="41"/>
  <c r="AM66" i="41" s="1"/>
  <c r="AZ66" i="41" s="1"/>
  <c r="N66" i="41"/>
  <c r="Z66" i="41" s="1"/>
  <c r="AL66" i="41" s="1"/>
  <c r="AX66" i="41" s="1"/>
  <c r="AY29" i="41"/>
  <c r="N30" i="41"/>
  <c r="Z30" i="41" s="1"/>
  <c r="AL30" i="41" s="1"/>
  <c r="AX30" i="41" s="1"/>
  <c r="AY34" i="41"/>
  <c r="AZ34" i="41" s="1"/>
  <c r="AY36" i="41"/>
  <c r="AZ36" i="41" s="1"/>
  <c r="AY37" i="41"/>
  <c r="N38" i="41"/>
  <c r="Z38" i="41" s="1"/>
  <c r="AL38" i="41" s="1"/>
  <c r="AX38" i="41" s="1"/>
  <c r="AY42" i="41"/>
  <c r="AZ42" i="41" s="1"/>
  <c r="AY44" i="41"/>
  <c r="AZ44" i="41" s="1"/>
  <c r="AY45" i="41"/>
  <c r="N46" i="41"/>
  <c r="Z46" i="41" s="1"/>
  <c r="AL46" i="41" s="1"/>
  <c r="AX46" i="41" s="1"/>
  <c r="AY50" i="41"/>
  <c r="AZ50" i="41" s="1"/>
  <c r="AY52" i="41"/>
  <c r="AZ52" i="41" s="1"/>
  <c r="AY53" i="41"/>
  <c r="N54" i="41"/>
  <c r="Z54" i="41" s="1"/>
  <c r="AL54" i="41" s="1"/>
  <c r="AX54" i="41" s="1"/>
  <c r="AY58" i="41"/>
  <c r="AZ58" i="41" s="1"/>
  <c r="AY60" i="41"/>
  <c r="AY61" i="41"/>
  <c r="N62" i="41"/>
  <c r="Z62" i="41" s="1"/>
  <c r="AL62" i="41" s="1"/>
  <c r="AX62" i="41" s="1"/>
  <c r="AA72" i="41"/>
  <c r="AM72" i="41" s="1"/>
  <c r="AZ72" i="41" s="1"/>
  <c r="N72" i="41"/>
  <c r="Z72" i="41" s="1"/>
  <c r="AL72" i="41" s="1"/>
  <c r="AX72" i="41" s="1"/>
  <c r="AY68" i="41"/>
  <c r="AY70" i="41"/>
  <c r="AY71" i="41"/>
  <c r="AV162" i="41"/>
  <c r="BB162" i="41" s="1"/>
  <c r="BF162" i="41" s="1"/>
  <c r="AV164" i="41"/>
  <c r="BB164" i="41" s="1"/>
  <c r="BF164" i="41" s="1"/>
  <c r="AV173" i="41"/>
  <c r="O7" i="3"/>
  <c r="AS30" i="41"/>
  <c r="AU30" i="41"/>
  <c r="N31" i="41"/>
  <c r="Z31" i="41" s="1"/>
  <c r="AL31" i="41" s="1"/>
  <c r="AT32" i="41"/>
  <c r="AS34" i="41"/>
  <c r="AU34" i="41"/>
  <c r="N35" i="41"/>
  <c r="Z35" i="41" s="1"/>
  <c r="AL35" i="41" s="1"/>
  <c r="AT36" i="41"/>
  <c r="AS38" i="41"/>
  <c r="AU38" i="41"/>
  <c r="N39" i="41"/>
  <c r="Z39" i="41" s="1"/>
  <c r="AL39" i="41" s="1"/>
  <c r="AT40" i="41"/>
  <c r="AS42" i="41"/>
  <c r="AU42" i="41"/>
  <c r="N43" i="41"/>
  <c r="Z43" i="41" s="1"/>
  <c r="AL43" i="41" s="1"/>
  <c r="AT44" i="41"/>
  <c r="AS46" i="41"/>
  <c r="AU46" i="41"/>
  <c r="N47" i="41"/>
  <c r="Z47" i="41" s="1"/>
  <c r="AL47" i="41" s="1"/>
  <c r="AT48" i="41"/>
  <c r="AS50" i="41"/>
  <c r="AU50" i="41"/>
  <c r="N51" i="41"/>
  <c r="Z51" i="41" s="1"/>
  <c r="AL51" i="41" s="1"/>
  <c r="AT52" i="41"/>
  <c r="AS54" i="41"/>
  <c r="AU54" i="41"/>
  <c r="N55" i="41"/>
  <c r="Z55" i="41" s="1"/>
  <c r="AL55" i="41" s="1"/>
  <c r="AT56" i="41"/>
  <c r="AS58" i="41"/>
  <c r="AU58" i="41"/>
  <c r="N59" i="41"/>
  <c r="Z59" i="41" s="1"/>
  <c r="AL59" i="41" s="1"/>
  <c r="AT60" i="41"/>
  <c r="AS62" i="41"/>
  <c r="AU62" i="41"/>
  <c r="N63" i="41"/>
  <c r="Z63" i="41" s="1"/>
  <c r="AL63" i="41" s="1"/>
  <c r="AT64" i="41"/>
  <c r="AS66" i="41"/>
  <c r="AU66" i="41"/>
  <c r="N67" i="41"/>
  <c r="Z67" i="41" s="1"/>
  <c r="AL67" i="41" s="1"/>
  <c r="AS68" i="41"/>
  <c r="AU68" i="41"/>
  <c r="N69" i="41"/>
  <c r="Z69" i="41" s="1"/>
  <c r="AL69" i="41" s="1"/>
  <c r="AT70" i="41"/>
  <c r="AS72" i="41"/>
  <c r="AU72" i="41"/>
  <c r="N73" i="41"/>
  <c r="Z73" i="41" s="1"/>
  <c r="AL73" i="41" s="1"/>
  <c r="AT74" i="41"/>
  <c r="AV135" i="41"/>
  <c r="BB135" i="41" s="1"/>
  <c r="BF135" i="41" s="1"/>
  <c r="AV136" i="41"/>
  <c r="BB136" i="41" s="1"/>
  <c r="BF136" i="41" s="1"/>
  <c r="AV137" i="41"/>
  <c r="BB137" i="41" s="1"/>
  <c r="BF137" i="41" s="1"/>
  <c r="AV138" i="41"/>
  <c r="BB138" i="41" s="1"/>
  <c r="BF138" i="41" s="1"/>
  <c r="AV139" i="41"/>
  <c r="BB139" i="41" s="1"/>
  <c r="BF139" i="41" s="1"/>
  <c r="AV140" i="41"/>
  <c r="BB140" i="41" s="1"/>
  <c r="BF140" i="41" s="1"/>
  <c r="AV141" i="41"/>
  <c r="BB141" i="41" s="1"/>
  <c r="BF141" i="41" s="1"/>
  <c r="AV142" i="41"/>
  <c r="BB142" i="41" s="1"/>
  <c r="BF142" i="41" s="1"/>
  <c r="AV143" i="41"/>
  <c r="BB143" i="41" s="1"/>
  <c r="BF143" i="41" s="1"/>
  <c r="AV144" i="41"/>
  <c r="BB144" i="41" s="1"/>
  <c r="BF144" i="41" s="1"/>
  <c r="AV145" i="41"/>
  <c r="BB145" i="41" s="1"/>
  <c r="BF145" i="41" s="1"/>
  <c r="AV146" i="41"/>
  <c r="BB146" i="41" s="1"/>
  <c r="BF146" i="41" s="1"/>
  <c r="AV147" i="41"/>
  <c r="BB147" i="41" s="1"/>
  <c r="BF147" i="41" s="1"/>
  <c r="AV148" i="41"/>
  <c r="BB148" i="41" s="1"/>
  <c r="BF148" i="41" s="1"/>
  <c r="AV149" i="41"/>
  <c r="BB149" i="41" s="1"/>
  <c r="BF149" i="41" s="1"/>
  <c r="AV150" i="41"/>
  <c r="BB150" i="41" s="1"/>
  <c r="BF150" i="41" s="1"/>
  <c r="AV151" i="41"/>
  <c r="BB151" i="41" s="1"/>
  <c r="BF151" i="41" s="1"/>
  <c r="AV152" i="41"/>
  <c r="BB152" i="41" s="1"/>
  <c r="BF152" i="41" s="1"/>
  <c r="AV153" i="41"/>
  <c r="BB153" i="41" s="1"/>
  <c r="BF153" i="41" s="1"/>
  <c r="AV154" i="41"/>
  <c r="BB154" i="41" s="1"/>
  <c r="BF154" i="41" s="1"/>
  <c r="AV155" i="41"/>
  <c r="BB155" i="41" s="1"/>
  <c r="BF155" i="41" s="1"/>
  <c r="AV156" i="41"/>
  <c r="BB156" i="41" s="1"/>
  <c r="BF156" i="41" s="1"/>
  <c r="AV157" i="41"/>
  <c r="BB157" i="41" s="1"/>
  <c r="BF157" i="41" s="1"/>
  <c r="AV158" i="41"/>
  <c r="BB158" i="41" s="1"/>
  <c r="BF158" i="41" s="1"/>
  <c r="AV165" i="41"/>
  <c r="AV168" i="41"/>
  <c r="BB168" i="41" s="1"/>
  <c r="BF168" i="41" s="1"/>
  <c r="AV170" i="41"/>
  <c r="BB170" i="41" s="1"/>
  <c r="BF170" i="41" s="1"/>
  <c r="AV172" i="41"/>
  <c r="BB172" i="41" s="1"/>
  <c r="BF172" i="41" s="1"/>
  <c r="AV174" i="41"/>
  <c r="BB174" i="41" s="1"/>
  <c r="BF174" i="41" s="1"/>
  <c r="AV181" i="41"/>
  <c r="I101" i="41"/>
  <c r="I99" i="41"/>
  <c r="I97" i="41"/>
  <c r="I95" i="41"/>
  <c r="I93" i="41"/>
  <c r="I91" i="41"/>
  <c r="I89" i="41"/>
  <c r="I87" i="41"/>
  <c r="I85" i="41"/>
  <c r="I83" i="41"/>
  <c r="J81" i="41"/>
  <c r="AT29" i="41"/>
  <c r="AS31" i="41"/>
  <c r="AT33" i="41"/>
  <c r="AS35" i="41"/>
  <c r="AT37" i="41"/>
  <c r="AS39" i="41"/>
  <c r="AT41" i="41"/>
  <c r="AS43" i="41"/>
  <c r="AT45" i="41"/>
  <c r="AS47" i="41"/>
  <c r="AT49" i="41"/>
  <c r="AS51" i="41"/>
  <c r="AT53" i="41"/>
  <c r="I106" i="41"/>
  <c r="AS55" i="41"/>
  <c r="AT57" i="41"/>
  <c r="I110" i="41"/>
  <c r="AS59" i="41"/>
  <c r="AT61" i="41"/>
  <c r="AS63" i="41"/>
  <c r="AT65" i="41"/>
  <c r="AA70" i="41"/>
  <c r="AM70" i="41" s="1"/>
  <c r="N70" i="41"/>
  <c r="Z70" i="41" s="1"/>
  <c r="AL70" i="41" s="1"/>
  <c r="AX70" i="41" s="1"/>
  <c r="AT71" i="41"/>
  <c r="AS73" i="41"/>
  <c r="AV171" i="41"/>
  <c r="AY171" i="41"/>
  <c r="O7" i="41"/>
  <c r="N29" i="41"/>
  <c r="Z29" i="41" s="1"/>
  <c r="E135" i="41" s="1"/>
  <c r="AS29" i="41"/>
  <c r="X81" i="41"/>
  <c r="Z81" i="41" s="1"/>
  <c r="AT30" i="41"/>
  <c r="AT31" i="41"/>
  <c r="AY31" i="41"/>
  <c r="N32" i="41"/>
  <c r="Z32" i="41" s="1"/>
  <c r="AL32" i="41" s="1"/>
  <c r="AX32" i="41" s="1"/>
  <c r="AS32" i="41"/>
  <c r="AU32" i="41"/>
  <c r="N33" i="41"/>
  <c r="Z33" i="41" s="1"/>
  <c r="AL33" i="41" s="1"/>
  <c r="AS33" i="41"/>
  <c r="AT34" i="41"/>
  <c r="AT35" i="41"/>
  <c r="AY35" i="41"/>
  <c r="N36" i="41"/>
  <c r="Z36" i="41" s="1"/>
  <c r="AL36" i="41" s="1"/>
  <c r="AS36" i="41"/>
  <c r="AU36" i="41"/>
  <c r="N37" i="41"/>
  <c r="Z37" i="41" s="1"/>
  <c r="AL37" i="41" s="1"/>
  <c r="AS37" i="41"/>
  <c r="AT38" i="41"/>
  <c r="AT39" i="41"/>
  <c r="AY39" i="41"/>
  <c r="N40" i="41"/>
  <c r="Z40" i="41" s="1"/>
  <c r="AL40" i="41" s="1"/>
  <c r="AX40" i="41" s="1"/>
  <c r="AS40" i="41"/>
  <c r="AU40" i="41"/>
  <c r="N41" i="41"/>
  <c r="Z41" i="41" s="1"/>
  <c r="AL41" i="41" s="1"/>
  <c r="AS41" i="41"/>
  <c r="AT42" i="41"/>
  <c r="AT43" i="41"/>
  <c r="AY43" i="41"/>
  <c r="N44" i="41"/>
  <c r="Z44" i="41" s="1"/>
  <c r="AL44" i="41" s="1"/>
  <c r="AS44" i="41"/>
  <c r="AU44" i="41"/>
  <c r="N45" i="41"/>
  <c r="Z45" i="41" s="1"/>
  <c r="AL45" i="41" s="1"/>
  <c r="AS45" i="41"/>
  <c r="AT46" i="41"/>
  <c r="AT47" i="41"/>
  <c r="AY47" i="41"/>
  <c r="N48" i="41"/>
  <c r="Z48" i="41" s="1"/>
  <c r="AL48" i="41" s="1"/>
  <c r="AX48" i="41" s="1"/>
  <c r="AS48" i="41"/>
  <c r="AU48" i="41"/>
  <c r="N49" i="41"/>
  <c r="Z49" i="41" s="1"/>
  <c r="AL49" i="41" s="1"/>
  <c r="AS49" i="41"/>
  <c r="AT50" i="41"/>
  <c r="AT51" i="41"/>
  <c r="AY51" i="41"/>
  <c r="N52" i="41"/>
  <c r="Z52" i="41" s="1"/>
  <c r="AL52" i="41" s="1"/>
  <c r="AX52" i="41" s="1"/>
  <c r="AS52" i="41"/>
  <c r="AU52" i="41"/>
  <c r="N53" i="41"/>
  <c r="Z53" i="41" s="1"/>
  <c r="AL53" i="41" s="1"/>
  <c r="I104" i="41"/>
  <c r="AS53" i="41"/>
  <c r="AT54" i="41"/>
  <c r="AT55" i="41"/>
  <c r="AY55" i="41"/>
  <c r="N56" i="41"/>
  <c r="Z56" i="41" s="1"/>
  <c r="AL56" i="41" s="1"/>
  <c r="AX56" i="41" s="1"/>
  <c r="AS56" i="41"/>
  <c r="AU56" i="41"/>
  <c r="N57" i="41"/>
  <c r="Z57" i="41" s="1"/>
  <c r="AL57" i="41" s="1"/>
  <c r="I108" i="41"/>
  <c r="AS57" i="41"/>
  <c r="AT58" i="41"/>
  <c r="AT59" i="41"/>
  <c r="AY59" i="41"/>
  <c r="N60" i="41"/>
  <c r="Z60" i="41" s="1"/>
  <c r="AL60" i="41" s="1"/>
  <c r="AX60" i="41" s="1"/>
  <c r="AS60" i="41"/>
  <c r="AU60" i="41"/>
  <c r="N61" i="41"/>
  <c r="Z61" i="41" s="1"/>
  <c r="AL61" i="41" s="1"/>
  <c r="I112" i="41"/>
  <c r="AS61" i="41"/>
  <c r="AT62" i="41"/>
  <c r="AT63" i="41"/>
  <c r="AY63" i="41"/>
  <c r="N64" i="41"/>
  <c r="Z64" i="41" s="1"/>
  <c r="AL64" i="41" s="1"/>
  <c r="AX64" i="41" s="1"/>
  <c r="AS64" i="41"/>
  <c r="AU64" i="41"/>
  <c r="N65" i="41"/>
  <c r="Z65" i="41" s="1"/>
  <c r="AS65" i="41"/>
  <c r="AT66" i="41"/>
  <c r="AT67" i="41"/>
  <c r="AS69" i="41"/>
  <c r="AA74" i="41"/>
  <c r="AM74" i="41" s="1"/>
  <c r="AZ74" i="41" s="1"/>
  <c r="N74" i="41"/>
  <c r="Z74" i="41" s="1"/>
  <c r="AL74" i="41" s="1"/>
  <c r="AX74" i="41" s="1"/>
  <c r="AT75" i="41"/>
  <c r="AV160" i="41"/>
  <c r="BB160" i="41" s="1"/>
  <c r="BF160" i="41" s="1"/>
  <c r="AV163" i="41"/>
  <c r="AY163" i="41"/>
  <c r="AV166" i="41"/>
  <c r="BB166" i="41" s="1"/>
  <c r="BF166" i="41" s="1"/>
  <c r="AV176" i="41"/>
  <c r="BB176" i="41" s="1"/>
  <c r="BF176" i="41" s="1"/>
  <c r="AV179" i="41"/>
  <c r="AY179" i="41"/>
  <c r="AS67" i="41"/>
  <c r="AT68" i="41"/>
  <c r="AT69" i="41"/>
  <c r="AY69" i="41"/>
  <c r="AS70" i="41"/>
  <c r="AU70" i="41"/>
  <c r="N71" i="41"/>
  <c r="Z71" i="41" s="1"/>
  <c r="AL71" i="41" s="1"/>
  <c r="AS71" i="41"/>
  <c r="AT72" i="41"/>
  <c r="AT73" i="41"/>
  <c r="AY73" i="41"/>
  <c r="AS74" i="41"/>
  <c r="AU74" i="41"/>
  <c r="N75" i="41"/>
  <c r="Z75" i="41" s="1"/>
  <c r="AL75" i="41" s="1"/>
  <c r="AS75" i="41"/>
  <c r="AV159" i="41"/>
  <c r="AV161" i="41"/>
  <c r="AV167" i="41"/>
  <c r="BB167" i="41" s="1"/>
  <c r="BF167" i="41" s="1"/>
  <c r="AV169" i="41"/>
  <c r="AV175" i="41"/>
  <c r="BB175" i="41" s="1"/>
  <c r="BF175" i="41" s="1"/>
  <c r="AV177" i="41"/>
  <c r="BB180" i="41"/>
  <c r="BF180" i="41" s="1"/>
  <c r="AL50" i="41"/>
  <c r="AX50" i="41" s="1"/>
  <c r="AZ38" i="41"/>
  <c r="AZ46" i="41"/>
  <c r="AZ48" i="41"/>
  <c r="AC53" i="41"/>
  <c r="AO53" i="41" s="1"/>
  <c r="AC55" i="41"/>
  <c r="AO55" i="41" s="1"/>
  <c r="AC57" i="41"/>
  <c r="AO57" i="41" s="1"/>
  <c r="AC59" i="41"/>
  <c r="AO59" i="41" s="1"/>
  <c r="AZ60" i="41"/>
  <c r="AC61" i="41"/>
  <c r="AO61" i="41" s="1"/>
  <c r="K113" i="41"/>
  <c r="X113" i="41" s="1"/>
  <c r="K115" i="41"/>
  <c r="X115" i="41" s="1"/>
  <c r="AL65" i="41"/>
  <c r="K117" i="41"/>
  <c r="X117" i="41" s="1"/>
  <c r="K119" i="41"/>
  <c r="X119" i="41" s="1"/>
  <c r="AZ68" i="41"/>
  <c r="K121" i="41"/>
  <c r="X121" i="41" s="1"/>
  <c r="K123" i="41"/>
  <c r="X123" i="41" s="1"/>
  <c r="K125" i="41"/>
  <c r="X125" i="41" s="1"/>
  <c r="K103" i="41"/>
  <c r="X103" i="41" s="1"/>
  <c r="K105" i="41"/>
  <c r="X105" i="41" s="1"/>
  <c r="K107" i="41"/>
  <c r="X107" i="41" s="1"/>
  <c r="K109" i="41"/>
  <c r="X109" i="41" s="1"/>
  <c r="K111" i="41"/>
  <c r="X111" i="41" s="1"/>
  <c r="I126" i="41"/>
  <c r="I124" i="41"/>
  <c r="I122" i="41"/>
  <c r="I120" i="41"/>
  <c r="I118" i="41"/>
  <c r="I116" i="41"/>
  <c r="I114" i="41"/>
  <c r="J126" i="41"/>
  <c r="J125" i="41"/>
  <c r="J124" i="41"/>
  <c r="J123" i="41"/>
  <c r="J122" i="41"/>
  <c r="J121" i="41"/>
  <c r="J120" i="41"/>
  <c r="J119" i="41"/>
  <c r="J118" i="41"/>
  <c r="J117" i="41"/>
  <c r="J116" i="41"/>
  <c r="J115" i="41"/>
  <c r="J114" i="41"/>
  <c r="J113" i="41"/>
  <c r="J112" i="41"/>
  <c r="J111" i="41"/>
  <c r="J110" i="41"/>
  <c r="J109" i="41"/>
  <c r="J108" i="41"/>
  <c r="J107" i="41"/>
  <c r="J106" i="41"/>
  <c r="J105" i="41"/>
  <c r="J104" i="41"/>
  <c r="J103" i="41"/>
  <c r="J102" i="41"/>
  <c r="J101" i="41"/>
  <c r="O101" i="41" s="1"/>
  <c r="P101" i="41" s="1"/>
  <c r="J100" i="41"/>
  <c r="J99" i="41"/>
  <c r="J98" i="41"/>
  <c r="J97" i="41"/>
  <c r="J96" i="41"/>
  <c r="J95" i="41"/>
  <c r="J94" i="41"/>
  <c r="J93" i="41"/>
  <c r="O93" i="41" s="1"/>
  <c r="P93" i="41" s="1"/>
  <c r="J92" i="41"/>
  <c r="J91" i="41"/>
  <c r="J90" i="41"/>
  <c r="J89" i="41"/>
  <c r="J88" i="41"/>
  <c r="J87" i="41"/>
  <c r="J86" i="41"/>
  <c r="J85" i="41"/>
  <c r="O85" i="41" s="1"/>
  <c r="P85" i="41" s="1"/>
  <c r="J84" i="41"/>
  <c r="J83" i="41"/>
  <c r="J82" i="41"/>
  <c r="J80" i="41"/>
  <c r="AA27" i="41"/>
  <c r="L90" i="41" s="1"/>
  <c r="AA29" i="41"/>
  <c r="AM29" i="41" s="1"/>
  <c r="AZ29" i="41" s="1"/>
  <c r="I81" i="41"/>
  <c r="AR30" i="41"/>
  <c r="AA31" i="41"/>
  <c r="AM31" i="41" s="1"/>
  <c r="AR32" i="41"/>
  <c r="AA33" i="41"/>
  <c r="AM33" i="41" s="1"/>
  <c r="AZ33" i="41" s="1"/>
  <c r="AR34" i="41"/>
  <c r="AA35" i="41"/>
  <c r="AM35" i="41" s="1"/>
  <c r="AR36" i="41"/>
  <c r="AA37" i="41"/>
  <c r="AM37" i="41" s="1"/>
  <c r="AR38" i="41"/>
  <c r="AA39" i="41"/>
  <c r="AM39" i="41" s="1"/>
  <c r="AR40" i="41"/>
  <c r="AA41" i="41"/>
  <c r="AM41" i="41" s="1"/>
  <c r="AZ41" i="41" s="1"/>
  <c r="AR42" i="41"/>
  <c r="AA43" i="41"/>
  <c r="AM43" i="41" s="1"/>
  <c r="AR44" i="41"/>
  <c r="AA45" i="41"/>
  <c r="AM45" i="41" s="1"/>
  <c r="AR46" i="41"/>
  <c r="AA47" i="41"/>
  <c r="AM47" i="41" s="1"/>
  <c r="AR48" i="41"/>
  <c r="AA49" i="41"/>
  <c r="AM49" i="41" s="1"/>
  <c r="AZ49" i="41" s="1"/>
  <c r="AR50" i="41"/>
  <c r="AA51" i="41"/>
  <c r="AM51" i="41" s="1"/>
  <c r="I103" i="41"/>
  <c r="AR52" i="41"/>
  <c r="AA53" i="41"/>
  <c r="AM53" i="41" s="1"/>
  <c r="I105" i="41"/>
  <c r="AR54" i="41"/>
  <c r="AA55" i="41"/>
  <c r="AM55" i="41" s="1"/>
  <c r="I107" i="41"/>
  <c r="AR56" i="41"/>
  <c r="AA57" i="41"/>
  <c r="AM57" i="41" s="1"/>
  <c r="I109" i="41"/>
  <c r="AR58" i="41"/>
  <c r="AA59" i="41"/>
  <c r="AM59" i="41" s="1"/>
  <c r="I111" i="41"/>
  <c r="AR60" i="41"/>
  <c r="AA61" i="41"/>
  <c r="AM61" i="41" s="1"/>
  <c r="I113" i="41"/>
  <c r="AR62" i="41"/>
  <c r="AA63" i="41"/>
  <c r="AM63" i="41" s="1"/>
  <c r="I115" i="41"/>
  <c r="AR64" i="41"/>
  <c r="AA65" i="41"/>
  <c r="AM65" i="41" s="1"/>
  <c r="I117" i="41"/>
  <c r="AR66" i="41"/>
  <c r="AA67" i="41"/>
  <c r="AM67" i="41" s="1"/>
  <c r="AZ67" i="41" s="1"/>
  <c r="I119" i="41"/>
  <c r="AR68" i="41"/>
  <c r="AA69" i="41"/>
  <c r="AM69" i="41" s="1"/>
  <c r="I121" i="41"/>
  <c r="AR70" i="41"/>
  <c r="AA71" i="41"/>
  <c r="AM71" i="41" s="1"/>
  <c r="I123" i="41"/>
  <c r="AR72" i="41"/>
  <c r="AA73" i="41"/>
  <c r="AM73" i="41" s="1"/>
  <c r="I125" i="41"/>
  <c r="AR74" i="41"/>
  <c r="AA75" i="41"/>
  <c r="AM75" i="41" s="1"/>
  <c r="I80" i="41"/>
  <c r="I82" i="41"/>
  <c r="K83" i="41"/>
  <c r="X83" i="41" s="1"/>
  <c r="I84" i="41"/>
  <c r="K85" i="41"/>
  <c r="X85" i="41" s="1"/>
  <c r="I86" i="41"/>
  <c r="K87" i="41"/>
  <c r="X87" i="41" s="1"/>
  <c r="I88" i="41"/>
  <c r="K89" i="41"/>
  <c r="X89" i="41" s="1"/>
  <c r="I90" i="41"/>
  <c r="K91" i="41"/>
  <c r="X91" i="41" s="1"/>
  <c r="I92" i="41"/>
  <c r="K93" i="41"/>
  <c r="X93" i="41" s="1"/>
  <c r="I94" i="41"/>
  <c r="K95" i="41"/>
  <c r="X95" i="41" s="1"/>
  <c r="I96" i="41"/>
  <c r="K97" i="41"/>
  <c r="X97" i="41" s="1"/>
  <c r="I98" i="41"/>
  <c r="K99" i="41"/>
  <c r="X99" i="41" s="1"/>
  <c r="I100" i="41"/>
  <c r="K101" i="41"/>
  <c r="X101" i="41" s="1"/>
  <c r="I102" i="41"/>
  <c r="N7" i="41"/>
  <c r="AR29" i="41"/>
  <c r="AR31" i="41"/>
  <c r="AR33" i="41"/>
  <c r="AR35" i="41"/>
  <c r="AR37" i="41"/>
  <c r="AR39" i="41"/>
  <c r="AR41" i="41"/>
  <c r="AR43" i="41"/>
  <c r="AR45" i="41"/>
  <c r="AR47" i="41"/>
  <c r="AR49" i="41"/>
  <c r="AR51" i="41"/>
  <c r="AR53" i="41"/>
  <c r="AR55" i="41"/>
  <c r="AR57" i="41"/>
  <c r="AR59" i="41"/>
  <c r="AR61" i="41"/>
  <c r="AR63" i="41"/>
  <c r="AR65" i="41"/>
  <c r="AR67" i="41"/>
  <c r="AR69" i="41"/>
  <c r="AR71" i="41"/>
  <c r="AR73" i="41"/>
  <c r="AR75" i="41"/>
  <c r="K104" i="41"/>
  <c r="X104" i="41" s="1"/>
  <c r="K106" i="41"/>
  <c r="X106" i="41" s="1"/>
  <c r="K108" i="41"/>
  <c r="X108" i="41" s="1"/>
  <c r="K110" i="41"/>
  <c r="X110" i="41" s="1"/>
  <c r="K112" i="41"/>
  <c r="X112" i="41" s="1"/>
  <c r="K114" i="41"/>
  <c r="X114" i="41" s="1"/>
  <c r="K116" i="41"/>
  <c r="X116" i="41" s="1"/>
  <c r="K118" i="41"/>
  <c r="X118" i="41" s="1"/>
  <c r="K120" i="41"/>
  <c r="X120" i="41" s="1"/>
  <c r="K122" i="41"/>
  <c r="X122" i="41" s="1"/>
  <c r="K124" i="41"/>
  <c r="X124" i="41" s="1"/>
  <c r="K126" i="41"/>
  <c r="X126" i="41" s="1"/>
  <c r="BB159" i="41"/>
  <c r="BF159" i="41" s="1"/>
  <c r="AY161" i="41"/>
  <c r="AY165" i="41"/>
  <c r="BB165" i="41" s="1"/>
  <c r="BF165" i="41" s="1"/>
  <c r="AY169" i="41"/>
  <c r="AY173" i="41"/>
  <c r="BB173" i="41" s="1"/>
  <c r="BF173" i="41" s="1"/>
  <c r="AY177" i="41"/>
  <c r="BB177" i="41" s="1"/>
  <c r="BF177" i="41" s="1"/>
  <c r="AY181" i="41"/>
  <c r="AF194" i="41"/>
  <c r="N7" i="3"/>
  <c r="AE208" i="3"/>
  <c r="AI208" i="3" s="1"/>
  <c r="AE222" i="3"/>
  <c r="AI222" i="3" s="1"/>
  <c r="AE223" i="3"/>
  <c r="AI223" i="3" s="1"/>
  <c r="AE199" i="3"/>
  <c r="AI199" i="3" s="1"/>
  <c r="AE224" i="3"/>
  <c r="AI224" i="3" s="1"/>
  <c r="AE225" i="3"/>
  <c r="AI225" i="3" s="1"/>
  <c r="AE200" i="3"/>
  <c r="AI200" i="3" s="1"/>
  <c r="AE201" i="3"/>
  <c r="AI201" i="3" s="1"/>
  <c r="AE203" i="3"/>
  <c r="AI203" i="3" s="1"/>
  <c r="AE216" i="3"/>
  <c r="AI216" i="3" s="1"/>
  <c r="AE218" i="3"/>
  <c r="AI218" i="3" s="1"/>
  <c r="AE231" i="3"/>
  <c r="AI231" i="3" s="1"/>
  <c r="AE233" i="3"/>
  <c r="AI233" i="3" s="1"/>
  <c r="AE235" i="3"/>
  <c r="AI235" i="3" s="1"/>
  <c r="AE236" i="3"/>
  <c r="AI236" i="3" s="1"/>
  <c r="AE237" i="3"/>
  <c r="AI237" i="3" s="1"/>
  <c r="AE238" i="3"/>
  <c r="AI238" i="3" s="1"/>
  <c r="AE196" i="3"/>
  <c r="AI196" i="3" s="1"/>
  <c r="AE197" i="3"/>
  <c r="AI197" i="3" s="1"/>
  <c r="AE204" i="3"/>
  <c r="AI204" i="3" s="1"/>
  <c r="AE205" i="3"/>
  <c r="AI205" i="3" s="1"/>
  <c r="AE211" i="3"/>
  <c r="AI211" i="3" s="1"/>
  <c r="AE212" i="3"/>
  <c r="AI212" i="3" s="1"/>
  <c r="AE219" i="3"/>
  <c r="AI219" i="3" s="1"/>
  <c r="AE220" i="3"/>
  <c r="AI220" i="3" s="1"/>
  <c r="AE228" i="3"/>
  <c r="AI228" i="3" s="1"/>
  <c r="AE229" i="3"/>
  <c r="AI229" i="3" s="1"/>
  <c r="AE232" i="3"/>
  <c r="AI232" i="3" s="1"/>
  <c r="AE234" i="3"/>
  <c r="AI234" i="3" s="1"/>
  <c r="AE192" i="3"/>
  <c r="AI192" i="3" s="1"/>
  <c r="AE193" i="3"/>
  <c r="AI193" i="3" s="1"/>
  <c r="AE194" i="3"/>
  <c r="AI194" i="3" s="1"/>
  <c r="AE198" i="3"/>
  <c r="AI198" i="3" s="1"/>
  <c r="AE202" i="3"/>
  <c r="AI202" i="3" s="1"/>
  <c r="AE209" i="3"/>
  <c r="AI209" i="3" s="1"/>
  <c r="AE213" i="3"/>
  <c r="AI213" i="3" s="1"/>
  <c r="AE217" i="3"/>
  <c r="AI217" i="3" s="1"/>
  <c r="AE221" i="3"/>
  <c r="AI221" i="3" s="1"/>
  <c r="AE226" i="3"/>
  <c r="AI226" i="3" s="1"/>
  <c r="AE230" i="3"/>
  <c r="AI230" i="3" s="1"/>
  <c r="AE195" i="3"/>
  <c r="AI195" i="3" s="1"/>
  <c r="AE206" i="3"/>
  <c r="AI206" i="3" s="1"/>
  <c r="AE207" i="3"/>
  <c r="AI207" i="3" s="1"/>
  <c r="AE210" i="3"/>
  <c r="AI210" i="3" s="1"/>
  <c r="AE214" i="3"/>
  <c r="AI214" i="3" s="1"/>
  <c r="AE215" i="3"/>
  <c r="AI215" i="3" s="1"/>
  <c r="AE227" i="3"/>
  <c r="AI227" i="3" s="1"/>
  <c r="S89" i="42" l="1"/>
  <c r="T89" i="42" s="1"/>
  <c r="S115" i="46"/>
  <c r="T115" i="46" s="1"/>
  <c r="S102" i="46"/>
  <c r="T102" i="46" s="1"/>
  <c r="R92" i="49"/>
  <c r="R80" i="49"/>
  <c r="Z92" i="49"/>
  <c r="AD92" i="49" s="1"/>
  <c r="E206" i="49" s="1"/>
  <c r="R125" i="46"/>
  <c r="AZ63" i="41"/>
  <c r="AL29" i="41"/>
  <c r="Z125" i="42"/>
  <c r="S103" i="45"/>
  <c r="T103" i="45" s="1"/>
  <c r="Z80" i="49"/>
  <c r="AD80" i="49" s="1"/>
  <c r="E194" i="49" s="1"/>
  <c r="S107" i="49"/>
  <c r="T107" i="49" s="1"/>
  <c r="S105" i="49"/>
  <c r="T105" i="49" s="1"/>
  <c r="Z91" i="45"/>
  <c r="AD91" i="45" s="1"/>
  <c r="E205" i="45" s="1"/>
  <c r="AC90" i="46"/>
  <c r="Q114" i="51"/>
  <c r="R88" i="42"/>
  <c r="Z86" i="43"/>
  <c r="R112" i="49"/>
  <c r="R94" i="49"/>
  <c r="Z104" i="42"/>
  <c r="Z104" i="43"/>
  <c r="AD104" i="43" s="1"/>
  <c r="E218" i="43" s="1"/>
  <c r="S121" i="46"/>
  <c r="T121" i="46" s="1"/>
  <c r="S93" i="49"/>
  <c r="T93" i="49" s="1"/>
  <c r="S82" i="49"/>
  <c r="T82" i="49" s="1"/>
  <c r="Z105" i="49"/>
  <c r="AB105" i="49" s="1"/>
  <c r="M160" i="49" s="1"/>
  <c r="AZ65" i="41"/>
  <c r="E136" i="41"/>
  <c r="X136" i="41" s="1"/>
  <c r="R109" i="45"/>
  <c r="S93" i="45"/>
  <c r="T93" i="45" s="1"/>
  <c r="S117" i="45"/>
  <c r="T117" i="45" s="1"/>
  <c r="Z90" i="45"/>
  <c r="AA90" i="45" s="1"/>
  <c r="E145" i="45" s="1"/>
  <c r="G145" i="45" s="1"/>
  <c r="Z109" i="45"/>
  <c r="AD109" i="45" s="1"/>
  <c r="E223" i="45" s="1"/>
  <c r="Z93" i="45"/>
  <c r="AD93" i="45" s="1"/>
  <c r="E207" i="45" s="1"/>
  <c r="AC111" i="46"/>
  <c r="AC112" i="46"/>
  <c r="R114" i="49"/>
  <c r="R86" i="49"/>
  <c r="R110" i="49"/>
  <c r="R91" i="49"/>
  <c r="Z108" i="49"/>
  <c r="AA108" i="49" s="1"/>
  <c r="E163" i="49" s="1"/>
  <c r="Z111" i="49"/>
  <c r="AD111" i="49" s="1"/>
  <c r="E225" i="49" s="1"/>
  <c r="AZ75" i="41"/>
  <c r="Z80" i="45"/>
  <c r="AD80" i="45" s="1"/>
  <c r="E194" i="45" s="1"/>
  <c r="F195" i="45" s="1"/>
  <c r="S90" i="45"/>
  <c r="T90" i="45" s="1"/>
  <c r="Z87" i="45"/>
  <c r="AD87" i="45" s="1"/>
  <c r="E201" i="45" s="1"/>
  <c r="Z80" i="47"/>
  <c r="AC80" i="47" s="1"/>
  <c r="AC91" i="50"/>
  <c r="S98" i="51"/>
  <c r="T98" i="51" s="1"/>
  <c r="R109" i="51"/>
  <c r="AC120" i="46"/>
  <c r="AA120" i="46"/>
  <c r="E175" i="46" s="1"/>
  <c r="G175" i="46" s="1"/>
  <c r="O89" i="41"/>
  <c r="P89" i="41" s="1"/>
  <c r="O97" i="41"/>
  <c r="P97" i="41" s="1"/>
  <c r="Z123" i="42"/>
  <c r="AA123" i="42" s="1"/>
  <c r="E178" i="42" s="1"/>
  <c r="R105" i="42"/>
  <c r="S97" i="42"/>
  <c r="T97" i="42" s="1"/>
  <c r="R102" i="42"/>
  <c r="R119" i="43"/>
  <c r="Z101" i="43"/>
  <c r="AD101" i="43" s="1"/>
  <c r="E215" i="43" s="1"/>
  <c r="G215" i="43" s="1"/>
  <c r="R102" i="45"/>
  <c r="AB121" i="46"/>
  <c r="M176" i="46" s="1"/>
  <c r="G195" i="49"/>
  <c r="AB91" i="50"/>
  <c r="M146" i="50" s="1"/>
  <c r="O146" i="50" s="1"/>
  <c r="R99" i="51"/>
  <c r="Z93" i="49"/>
  <c r="AC93" i="49" s="1"/>
  <c r="R97" i="51"/>
  <c r="S87" i="42"/>
  <c r="T87" i="42" s="1"/>
  <c r="R83" i="45"/>
  <c r="Z118" i="45"/>
  <c r="AC118" i="45" s="1"/>
  <c r="Z111" i="45"/>
  <c r="AD111" i="45" s="1"/>
  <c r="E225" i="45" s="1"/>
  <c r="G225" i="45" s="1"/>
  <c r="AD100" i="46"/>
  <c r="E214" i="46" s="1"/>
  <c r="G214" i="46" s="1"/>
  <c r="S90" i="49"/>
  <c r="T90" i="49" s="1"/>
  <c r="Z107" i="49"/>
  <c r="AD107" i="49" s="1"/>
  <c r="E221" i="49" s="1"/>
  <c r="Z124" i="49"/>
  <c r="AA124" i="49" s="1"/>
  <c r="E179" i="49" s="1"/>
  <c r="AA90" i="51"/>
  <c r="E145" i="51" s="1"/>
  <c r="G145" i="51" s="1"/>
  <c r="AZ71" i="41"/>
  <c r="S113" i="45"/>
  <c r="T113" i="45" s="1"/>
  <c r="R110" i="45"/>
  <c r="Z110" i="45"/>
  <c r="AD110" i="45" s="1"/>
  <c r="E224" i="45" s="1"/>
  <c r="AC86" i="46"/>
  <c r="AC115" i="46"/>
  <c r="AC105" i="46"/>
  <c r="R91" i="46"/>
  <c r="R101" i="49"/>
  <c r="AC125" i="46"/>
  <c r="AD120" i="46"/>
  <c r="E234" i="46" s="1"/>
  <c r="F235" i="46" s="1"/>
  <c r="R124" i="49"/>
  <c r="R99" i="49"/>
  <c r="Z86" i="49"/>
  <c r="AD86" i="49" s="1"/>
  <c r="E200" i="49" s="1"/>
  <c r="Z113" i="49"/>
  <c r="AD113" i="49" s="1"/>
  <c r="E227" i="49" s="1"/>
  <c r="R227" i="49" s="1"/>
  <c r="AB123" i="51"/>
  <c r="M178" i="51" s="1"/>
  <c r="O178" i="51" s="1"/>
  <c r="AC90" i="51"/>
  <c r="Z80" i="42"/>
  <c r="AZ69" i="41"/>
  <c r="AZ70" i="41"/>
  <c r="S116" i="42"/>
  <c r="T116" i="42" s="1"/>
  <c r="Z120" i="42"/>
  <c r="Z105" i="42"/>
  <c r="AD105" i="42" s="1"/>
  <c r="E219" i="42" s="1"/>
  <c r="G219" i="42" s="1"/>
  <c r="Z126" i="43"/>
  <c r="AA126" i="43" s="1"/>
  <c r="E181" i="43" s="1"/>
  <c r="X181" i="43" s="1"/>
  <c r="S81" i="45"/>
  <c r="T81" i="45" s="1"/>
  <c r="AA86" i="46"/>
  <c r="E141" i="46" s="1"/>
  <c r="AC95" i="46"/>
  <c r="AC121" i="46"/>
  <c r="AC91" i="46"/>
  <c r="AA110" i="46"/>
  <c r="E165" i="46" s="1"/>
  <c r="R125" i="49"/>
  <c r="S81" i="49"/>
  <c r="T81" i="49" s="1"/>
  <c r="R83" i="49"/>
  <c r="AB100" i="50"/>
  <c r="M155" i="50" s="1"/>
  <c r="AC123" i="51"/>
  <c r="AC86" i="51"/>
  <c r="S89" i="51"/>
  <c r="T89" i="51" s="1"/>
  <c r="S95" i="51"/>
  <c r="T95" i="51" s="1"/>
  <c r="AC112" i="51"/>
  <c r="AC95" i="51"/>
  <c r="AC103" i="51"/>
  <c r="AB107" i="51"/>
  <c r="M162" i="51" s="1"/>
  <c r="AK162" i="51" s="1"/>
  <c r="AC88" i="51"/>
  <c r="AA123" i="51"/>
  <c r="E178" i="51" s="1"/>
  <c r="X178" i="51" s="1"/>
  <c r="S81" i="51"/>
  <c r="T81" i="51" s="1"/>
  <c r="AB90" i="51"/>
  <c r="M145" i="51" s="1"/>
  <c r="AK145" i="51" s="1"/>
  <c r="AA112" i="51"/>
  <c r="E167" i="51" s="1"/>
  <c r="G167" i="51" s="1"/>
  <c r="S120" i="51"/>
  <c r="T120" i="51" s="1"/>
  <c r="R91" i="51"/>
  <c r="AB112" i="51"/>
  <c r="M167" i="51" s="1"/>
  <c r="O167" i="51" s="1"/>
  <c r="AG105" i="51"/>
  <c r="AA125" i="51"/>
  <c r="E180" i="51" s="1"/>
  <c r="G180" i="51" s="1"/>
  <c r="AC83" i="51"/>
  <c r="AF105" i="51"/>
  <c r="S105" i="51"/>
  <c r="T105" i="51" s="1"/>
  <c r="AC87" i="51"/>
  <c r="W105" i="51"/>
  <c r="Z105" i="51" s="1"/>
  <c r="AC105" i="51" s="1"/>
  <c r="AC93" i="51"/>
  <c r="AC115" i="51"/>
  <c r="R116" i="51"/>
  <c r="AA87" i="51"/>
  <c r="AB115" i="51"/>
  <c r="M170" i="51" s="1"/>
  <c r="O170" i="51" s="1"/>
  <c r="AB87" i="51"/>
  <c r="M142" i="51" s="1"/>
  <c r="AK142" i="51" s="1"/>
  <c r="AC101" i="51"/>
  <c r="AC85" i="51"/>
  <c r="AB97" i="51"/>
  <c r="M152" i="51" s="1"/>
  <c r="AK152" i="51" s="1"/>
  <c r="AA120" i="51"/>
  <c r="E175" i="51" s="1"/>
  <c r="G175" i="51" s="1"/>
  <c r="AD126" i="51"/>
  <c r="E240" i="51" s="1"/>
  <c r="Q240" i="51" s="1"/>
  <c r="AB101" i="51"/>
  <c r="M156" i="51" s="1"/>
  <c r="O156" i="51" s="1"/>
  <c r="AB86" i="51"/>
  <c r="M141" i="51" s="1"/>
  <c r="AK141" i="51" s="1"/>
  <c r="AA88" i="51"/>
  <c r="E143" i="51" s="1"/>
  <c r="X143" i="51" s="1"/>
  <c r="AC97" i="51"/>
  <c r="AB120" i="51"/>
  <c r="M175" i="51" s="1"/>
  <c r="AK175" i="51" s="1"/>
  <c r="AC114" i="51"/>
  <c r="AD88" i="51"/>
  <c r="E202" i="51" s="1"/>
  <c r="Q202" i="51" s="1"/>
  <c r="AA101" i="51"/>
  <c r="E156" i="51" s="1"/>
  <c r="G156" i="51" s="1"/>
  <c r="AA126" i="51"/>
  <c r="E181" i="51" s="1"/>
  <c r="AB94" i="51"/>
  <c r="M149" i="51" s="1"/>
  <c r="AB85" i="51"/>
  <c r="M140" i="51" s="1"/>
  <c r="O140" i="51" s="1"/>
  <c r="AC120" i="51"/>
  <c r="AA85" i="51"/>
  <c r="E140" i="51" s="1"/>
  <c r="AA93" i="51"/>
  <c r="E148" i="51" s="1"/>
  <c r="G148" i="51" s="1"/>
  <c r="AC110" i="51"/>
  <c r="R113" i="51"/>
  <c r="AB96" i="51"/>
  <c r="M151" i="51" s="1"/>
  <c r="AK151" i="51" s="1"/>
  <c r="AB93" i="51"/>
  <c r="M148" i="51" s="1"/>
  <c r="AK148" i="51" s="1"/>
  <c r="AA107" i="51"/>
  <c r="E162" i="51" s="1"/>
  <c r="X162" i="51" s="1"/>
  <c r="AB95" i="51"/>
  <c r="M150" i="51" s="1"/>
  <c r="AC96" i="51"/>
  <c r="Q122" i="51"/>
  <c r="Y122" i="51"/>
  <c r="Z122" i="51" s="1"/>
  <c r="AC122" i="51" s="1"/>
  <c r="Q200" i="51"/>
  <c r="G200" i="51"/>
  <c r="F200" i="51"/>
  <c r="G213" i="51"/>
  <c r="F213" i="51"/>
  <c r="Q213" i="51"/>
  <c r="Q211" i="51"/>
  <c r="G211" i="51"/>
  <c r="F211" i="51"/>
  <c r="AK138" i="51"/>
  <c r="O138" i="51"/>
  <c r="AK143" i="51"/>
  <c r="O143" i="51"/>
  <c r="Q217" i="51"/>
  <c r="G217" i="51"/>
  <c r="F217" i="51"/>
  <c r="G172" i="51"/>
  <c r="X172" i="51"/>
  <c r="Q216" i="51"/>
  <c r="G216" i="51"/>
  <c r="F216" i="51"/>
  <c r="Q212" i="51"/>
  <c r="F212" i="51"/>
  <c r="G212" i="51"/>
  <c r="Q228" i="51"/>
  <c r="G228" i="51"/>
  <c r="Q199" i="51"/>
  <c r="G199" i="51"/>
  <c r="Q204" i="51"/>
  <c r="G204" i="51"/>
  <c r="AA109" i="51"/>
  <c r="E164" i="51" s="1"/>
  <c r="AB102" i="51"/>
  <c r="M157" i="51" s="1"/>
  <c r="S114" i="51"/>
  <c r="T114" i="51" s="1"/>
  <c r="R114" i="51"/>
  <c r="AA114" i="51"/>
  <c r="E169" i="51" s="1"/>
  <c r="AC80" i="51"/>
  <c r="AB80" i="51"/>
  <c r="M135" i="51" s="1"/>
  <c r="N136" i="51" s="1"/>
  <c r="AD80" i="51"/>
  <c r="E194" i="51" s="1"/>
  <c r="F195" i="51" s="1"/>
  <c r="Z108" i="51"/>
  <c r="AD108" i="51" s="1"/>
  <c r="E222" i="51" s="1"/>
  <c r="AD117" i="51"/>
  <c r="E231" i="51" s="1"/>
  <c r="AX68" i="51"/>
  <c r="G178" i="51"/>
  <c r="AB117" i="51"/>
  <c r="M172" i="51" s="1"/>
  <c r="S103" i="51"/>
  <c r="T103" i="51" s="1"/>
  <c r="R103" i="51"/>
  <c r="Q196" i="51"/>
  <c r="G196" i="51"/>
  <c r="F196" i="51"/>
  <c r="AA115" i="51"/>
  <c r="E170" i="51" s="1"/>
  <c r="AD125" i="51"/>
  <c r="E239" i="51" s="1"/>
  <c r="F240" i="51" s="1"/>
  <c r="AB109" i="51"/>
  <c r="M164" i="51" s="1"/>
  <c r="Y119" i="51"/>
  <c r="Q119" i="51"/>
  <c r="Y124" i="51"/>
  <c r="Q124" i="51"/>
  <c r="Q195" i="51"/>
  <c r="G195" i="51"/>
  <c r="P121" i="51"/>
  <c r="AC98" i="51"/>
  <c r="AX60" i="51"/>
  <c r="AC117" i="51"/>
  <c r="Z113" i="51"/>
  <c r="AD113" i="51" s="1"/>
  <c r="E227" i="51" s="1"/>
  <c r="F228" i="51" s="1"/>
  <c r="Y111" i="51"/>
  <c r="Q111" i="51"/>
  <c r="X145" i="51"/>
  <c r="AB114" i="51"/>
  <c r="M169" i="51" s="1"/>
  <c r="Q223" i="51"/>
  <c r="G223" i="51"/>
  <c r="AX33" i="51"/>
  <c r="AA118" i="51"/>
  <c r="E173" i="51" s="1"/>
  <c r="AA102" i="51"/>
  <c r="E157" i="51" s="1"/>
  <c r="Q121" i="51"/>
  <c r="S121" i="51" s="1"/>
  <c r="T121" i="51" s="1"/>
  <c r="W121" i="51"/>
  <c r="AG121" i="51"/>
  <c r="AK167" i="51"/>
  <c r="Y92" i="51"/>
  <c r="Q92" i="51"/>
  <c r="G229" i="51"/>
  <c r="F229" i="51"/>
  <c r="Q229" i="51"/>
  <c r="AC109" i="51"/>
  <c r="G218" i="51"/>
  <c r="F218" i="51"/>
  <c r="Q218" i="51"/>
  <c r="G237" i="51"/>
  <c r="Q237" i="51"/>
  <c r="O162" i="51"/>
  <c r="Q224" i="51"/>
  <c r="G224" i="51"/>
  <c r="F224" i="51"/>
  <c r="AA82" i="51"/>
  <c r="E137" i="51" s="1"/>
  <c r="Y106" i="51"/>
  <c r="Q106" i="51"/>
  <c r="AX49" i="51"/>
  <c r="E201" i="51"/>
  <c r="AX36" i="51"/>
  <c r="G234" i="51"/>
  <c r="Q234" i="51"/>
  <c r="AB118" i="51"/>
  <c r="M173" i="51" s="1"/>
  <c r="AB125" i="51"/>
  <c r="M180" i="51" s="1"/>
  <c r="AA86" i="51"/>
  <c r="E141" i="51" s="1"/>
  <c r="S117" i="51"/>
  <c r="T117" i="51" s="1"/>
  <c r="R117" i="51"/>
  <c r="AX38" i="51"/>
  <c r="AB126" i="51"/>
  <c r="M181" i="51" s="1"/>
  <c r="AC99" i="51"/>
  <c r="AA104" i="51"/>
  <c r="E159" i="51" s="1"/>
  <c r="AA98" i="51"/>
  <c r="E153" i="51" s="1"/>
  <c r="AX57" i="51"/>
  <c r="S90" i="51"/>
  <c r="T90" i="51" s="1"/>
  <c r="R90" i="51"/>
  <c r="AC107" i="51"/>
  <c r="AA110" i="51"/>
  <c r="E165" i="51" s="1"/>
  <c r="AC94" i="51"/>
  <c r="AC82" i="51"/>
  <c r="S87" i="51"/>
  <c r="T87" i="51" s="1"/>
  <c r="R87" i="51"/>
  <c r="Z91" i="51"/>
  <c r="AD91" i="51" s="1"/>
  <c r="E205" i="51" s="1"/>
  <c r="AD118" i="51"/>
  <c r="E232" i="51" s="1"/>
  <c r="R89" i="51"/>
  <c r="E209" i="51"/>
  <c r="F210" i="51" s="1"/>
  <c r="AX44" i="51"/>
  <c r="S102" i="51"/>
  <c r="T102" i="51" s="1"/>
  <c r="R102" i="51"/>
  <c r="AX41" i="51"/>
  <c r="AA103" i="51"/>
  <c r="E158" i="51" s="1"/>
  <c r="AA99" i="51"/>
  <c r="E154" i="51" s="1"/>
  <c r="AA83" i="51"/>
  <c r="E138" i="51" s="1"/>
  <c r="AB104" i="51"/>
  <c r="M159" i="51" s="1"/>
  <c r="AB98" i="51"/>
  <c r="M153" i="51" s="1"/>
  <c r="G221" i="51"/>
  <c r="Q221" i="51"/>
  <c r="AB110" i="51"/>
  <c r="M165" i="51" s="1"/>
  <c r="Q208" i="51"/>
  <c r="G208" i="51"/>
  <c r="F208" i="51"/>
  <c r="AB82" i="51"/>
  <c r="M137" i="51" s="1"/>
  <c r="N138" i="51" s="1"/>
  <c r="O145" i="51"/>
  <c r="G210" i="51"/>
  <c r="Q210" i="51"/>
  <c r="AD83" i="51"/>
  <c r="E197" i="51" s="1"/>
  <c r="Y100" i="51"/>
  <c r="Q100" i="51"/>
  <c r="Q215" i="51"/>
  <c r="G215" i="51"/>
  <c r="O136" i="51"/>
  <c r="AK136" i="51"/>
  <c r="Z89" i="51"/>
  <c r="AD89" i="51" s="1"/>
  <c r="E203" i="51" s="1"/>
  <c r="AB103" i="51"/>
  <c r="M158" i="51" s="1"/>
  <c r="AC102" i="51"/>
  <c r="R108" i="51"/>
  <c r="AB99" i="51"/>
  <c r="M154" i="51" s="1"/>
  <c r="AA97" i="51"/>
  <c r="E152" i="51" s="1"/>
  <c r="AC104" i="51"/>
  <c r="Q207" i="51"/>
  <c r="G207" i="51"/>
  <c r="Y84" i="51"/>
  <c r="Q84" i="51"/>
  <c r="AA94" i="51"/>
  <c r="E149" i="51" s="1"/>
  <c r="AA95" i="51"/>
  <c r="E150" i="51" s="1"/>
  <c r="G226" i="51"/>
  <c r="Q226" i="51"/>
  <c r="Z116" i="51"/>
  <c r="AD116" i="51" s="1"/>
  <c r="E230" i="51" s="1"/>
  <c r="AA96" i="51"/>
  <c r="E151" i="51" s="1"/>
  <c r="S100" i="50"/>
  <c r="T100" i="50" s="1"/>
  <c r="AB126" i="46"/>
  <c r="M181" i="46" s="1"/>
  <c r="O181" i="46" s="1"/>
  <c r="AA90" i="46"/>
  <c r="E145" i="46" s="1"/>
  <c r="G145" i="46" s="1"/>
  <c r="AD106" i="46"/>
  <c r="E220" i="46" s="1"/>
  <c r="F220" i="46" s="1"/>
  <c r="AB92" i="46"/>
  <c r="M147" i="46" s="1"/>
  <c r="AC126" i="46"/>
  <c r="AB90" i="46"/>
  <c r="M145" i="46" s="1"/>
  <c r="O145" i="46" s="1"/>
  <c r="AA84" i="46"/>
  <c r="E139" i="46" s="1"/>
  <c r="AA91" i="46"/>
  <c r="E146" i="46" s="1"/>
  <c r="F147" i="46" s="1"/>
  <c r="Z123" i="46"/>
  <c r="AA123" i="46" s="1"/>
  <c r="E178" i="46" s="1"/>
  <c r="AC92" i="46"/>
  <c r="S114" i="48"/>
  <c r="T114" i="48" s="1"/>
  <c r="Z104" i="49"/>
  <c r="AD104" i="49" s="1"/>
  <c r="E218" i="49" s="1"/>
  <c r="R218" i="49" s="1"/>
  <c r="S92" i="50"/>
  <c r="T92" i="50" s="1"/>
  <c r="AA96" i="46"/>
  <c r="E151" i="46" s="1"/>
  <c r="AD92" i="46"/>
  <c r="E206" i="46" s="1"/>
  <c r="G206" i="46" s="1"/>
  <c r="S88" i="49"/>
  <c r="T88" i="49" s="1"/>
  <c r="AB96" i="46"/>
  <c r="M151" i="46" s="1"/>
  <c r="AB125" i="46"/>
  <c r="M180" i="46" s="1"/>
  <c r="O180" i="46" s="1"/>
  <c r="AC101" i="49"/>
  <c r="S116" i="50"/>
  <c r="T116" i="50" s="1"/>
  <c r="S105" i="50"/>
  <c r="T105" i="50" s="1"/>
  <c r="AA91" i="50"/>
  <c r="E146" i="50" s="1"/>
  <c r="AB111" i="50"/>
  <c r="M166" i="50" s="1"/>
  <c r="O166" i="50" s="1"/>
  <c r="AC100" i="50"/>
  <c r="AC97" i="50"/>
  <c r="AC85" i="50"/>
  <c r="AB85" i="50"/>
  <c r="M140" i="50" s="1"/>
  <c r="S118" i="50"/>
  <c r="T118" i="50" s="1"/>
  <c r="R118" i="50"/>
  <c r="AD84" i="50"/>
  <c r="E198" i="50" s="1"/>
  <c r="AB108" i="50"/>
  <c r="M163" i="50" s="1"/>
  <c r="O163" i="50" s="1"/>
  <c r="AB92" i="50"/>
  <c r="M147" i="50" s="1"/>
  <c r="N147" i="50" s="1"/>
  <c r="AA107" i="50"/>
  <c r="E162" i="50" s="1"/>
  <c r="AA108" i="50"/>
  <c r="E163" i="50" s="1"/>
  <c r="AB125" i="50"/>
  <c r="M180" i="50" s="1"/>
  <c r="AB121" i="50"/>
  <c r="M176" i="50" s="1"/>
  <c r="R94" i="50"/>
  <c r="AC108" i="50"/>
  <c r="AC92" i="50"/>
  <c r="R102" i="50"/>
  <c r="AA84" i="50"/>
  <c r="E139" i="50" s="1"/>
  <c r="AB99" i="50"/>
  <c r="M154" i="50" s="1"/>
  <c r="AC125" i="50"/>
  <c r="AA92" i="50"/>
  <c r="E147" i="50" s="1"/>
  <c r="AB84" i="50"/>
  <c r="M139" i="50" s="1"/>
  <c r="AC99" i="50"/>
  <c r="AB107" i="50"/>
  <c r="M162" i="50" s="1"/>
  <c r="O162" i="50" s="1"/>
  <c r="AA125" i="50"/>
  <c r="E180" i="50" s="1"/>
  <c r="AA99" i="50"/>
  <c r="E154" i="50" s="1"/>
  <c r="AC107" i="50"/>
  <c r="AB117" i="50"/>
  <c r="M172" i="50" s="1"/>
  <c r="AC115" i="50"/>
  <c r="AB89" i="50"/>
  <c r="M144" i="50" s="1"/>
  <c r="AB122" i="50"/>
  <c r="M177" i="50" s="1"/>
  <c r="AA124" i="50"/>
  <c r="E179" i="50" s="1"/>
  <c r="G179" i="50" s="1"/>
  <c r="AC89" i="50"/>
  <c r="AB115" i="50"/>
  <c r="M170" i="50" s="1"/>
  <c r="AC124" i="50"/>
  <c r="AA114" i="50"/>
  <c r="E169" i="50" s="1"/>
  <c r="AA120" i="50"/>
  <c r="E175" i="50" s="1"/>
  <c r="AC103" i="50"/>
  <c r="AB114" i="50"/>
  <c r="M169" i="50" s="1"/>
  <c r="AD114" i="50"/>
  <c r="E228" i="50" s="1"/>
  <c r="AB120" i="50"/>
  <c r="M175" i="50" s="1"/>
  <c r="AC104" i="50"/>
  <c r="AB82" i="50"/>
  <c r="M137" i="50" s="1"/>
  <c r="AC111" i="50"/>
  <c r="AA110" i="50"/>
  <c r="E165" i="50" s="1"/>
  <c r="AA97" i="50"/>
  <c r="E152" i="50" s="1"/>
  <c r="AC90" i="50"/>
  <c r="AB103" i="50"/>
  <c r="M158" i="50" s="1"/>
  <c r="O158" i="50" s="1"/>
  <c r="AC113" i="50"/>
  <c r="AC120" i="50"/>
  <c r="AC82" i="50"/>
  <c r="AC87" i="50"/>
  <c r="AB110" i="50"/>
  <c r="M165" i="50" s="1"/>
  <c r="AB97" i="50"/>
  <c r="M152" i="50" s="1"/>
  <c r="AC121" i="50"/>
  <c r="AC117" i="50"/>
  <c r="AB90" i="50"/>
  <c r="M145" i="50" s="1"/>
  <c r="AD106" i="50"/>
  <c r="E220" i="50" s="1"/>
  <c r="AA87" i="50"/>
  <c r="E142" i="50" s="1"/>
  <c r="AC110" i="50"/>
  <c r="AD85" i="50"/>
  <c r="E199" i="50" s="1"/>
  <c r="AB87" i="50"/>
  <c r="M142" i="50" s="1"/>
  <c r="AA89" i="50"/>
  <c r="E144" i="50" s="1"/>
  <c r="AA121" i="50"/>
  <c r="E176" i="50" s="1"/>
  <c r="AB124" i="50"/>
  <c r="M179" i="50" s="1"/>
  <c r="AD82" i="50"/>
  <c r="E196" i="50" s="1"/>
  <c r="G230" i="50"/>
  <c r="F230" i="50"/>
  <c r="G238" i="50"/>
  <c r="F238" i="50"/>
  <c r="AM156" i="50"/>
  <c r="AL156" i="50"/>
  <c r="O156" i="50"/>
  <c r="N156" i="50"/>
  <c r="G209" i="50"/>
  <c r="G223" i="50"/>
  <c r="F223" i="50"/>
  <c r="G137" i="50"/>
  <c r="F137" i="50"/>
  <c r="G224" i="50"/>
  <c r="F224" i="50"/>
  <c r="G229" i="50"/>
  <c r="G221" i="50"/>
  <c r="AM159" i="50"/>
  <c r="O159" i="50"/>
  <c r="AL159" i="50"/>
  <c r="G225" i="50"/>
  <c r="F225" i="50"/>
  <c r="G202" i="50"/>
  <c r="F202" i="50"/>
  <c r="G232" i="50"/>
  <c r="F232" i="50"/>
  <c r="G239" i="50"/>
  <c r="F239" i="50"/>
  <c r="G203" i="50"/>
  <c r="F203" i="50"/>
  <c r="AL181" i="50"/>
  <c r="AM181" i="50"/>
  <c r="O181" i="50"/>
  <c r="G200" i="50"/>
  <c r="G210" i="50"/>
  <c r="F210" i="50"/>
  <c r="F236" i="50"/>
  <c r="G236" i="50"/>
  <c r="G233" i="50"/>
  <c r="F233" i="50"/>
  <c r="G231" i="50"/>
  <c r="F231" i="50"/>
  <c r="G140" i="50"/>
  <c r="G237" i="50"/>
  <c r="F237" i="50"/>
  <c r="Z102" i="50"/>
  <c r="AD102" i="50" s="1"/>
  <c r="E216" i="50" s="1"/>
  <c r="G217" i="50"/>
  <c r="AL166" i="50"/>
  <c r="AM166" i="50"/>
  <c r="AA101" i="50"/>
  <c r="E156" i="50" s="1"/>
  <c r="AA118" i="50"/>
  <c r="E173" i="50" s="1"/>
  <c r="AM172" i="50"/>
  <c r="AL172" i="50"/>
  <c r="AA116" i="50"/>
  <c r="E171" i="50" s="1"/>
  <c r="AM163" i="50"/>
  <c r="AL163" i="50"/>
  <c r="AB118" i="50"/>
  <c r="M173" i="50" s="1"/>
  <c r="AB116" i="50"/>
  <c r="M171" i="50" s="1"/>
  <c r="AA109" i="50"/>
  <c r="E164" i="50" s="1"/>
  <c r="AA98" i="50"/>
  <c r="E153" i="50" s="1"/>
  <c r="AC101" i="50"/>
  <c r="G197" i="50"/>
  <c r="AC88" i="50"/>
  <c r="AM162" i="50"/>
  <c r="AL162" i="50"/>
  <c r="G227" i="50"/>
  <c r="F227" i="50"/>
  <c r="AC118" i="50"/>
  <c r="G235" i="50"/>
  <c r="F235" i="50"/>
  <c r="AA117" i="50"/>
  <c r="E172" i="50" s="1"/>
  <c r="AA100" i="50"/>
  <c r="E155" i="50" s="1"/>
  <c r="AA106" i="50"/>
  <c r="E161" i="50" s="1"/>
  <c r="AC116" i="50"/>
  <c r="AA115" i="50"/>
  <c r="E170" i="50" s="1"/>
  <c r="AB93" i="50"/>
  <c r="M148" i="50" s="1"/>
  <c r="AC126" i="50"/>
  <c r="AA103" i="50"/>
  <c r="E158" i="50" s="1"/>
  <c r="G226" i="50"/>
  <c r="F226" i="50"/>
  <c r="S85" i="50"/>
  <c r="T85" i="50" s="1"/>
  <c r="R85" i="50"/>
  <c r="AC96" i="50"/>
  <c r="AD104" i="50"/>
  <c r="E218" i="50" s="1"/>
  <c r="AD101" i="50"/>
  <c r="E215" i="50" s="1"/>
  <c r="AL147" i="50"/>
  <c r="AM147" i="50"/>
  <c r="AA119" i="50"/>
  <c r="E174" i="50" s="1"/>
  <c r="G207" i="50"/>
  <c r="F207" i="50"/>
  <c r="AA123" i="50"/>
  <c r="E178" i="50" s="1"/>
  <c r="AM175" i="50"/>
  <c r="AL175" i="50"/>
  <c r="S124" i="50"/>
  <c r="T124" i="50" s="1"/>
  <c r="R124" i="50"/>
  <c r="G214" i="50"/>
  <c r="F214" i="50"/>
  <c r="AA93" i="50"/>
  <c r="E148" i="50" s="1"/>
  <c r="G222" i="50"/>
  <c r="F222" i="50"/>
  <c r="AB109" i="50"/>
  <c r="M164" i="50" s="1"/>
  <c r="AA104" i="50"/>
  <c r="E159" i="50" s="1"/>
  <c r="AA111" i="50"/>
  <c r="E166" i="50" s="1"/>
  <c r="AC98" i="50"/>
  <c r="AC83" i="50"/>
  <c r="AA88" i="50"/>
  <c r="E143" i="50" s="1"/>
  <c r="G213" i="50"/>
  <c r="F213" i="50"/>
  <c r="G205" i="50"/>
  <c r="F205" i="50"/>
  <c r="AB106" i="50"/>
  <c r="M161" i="50" s="1"/>
  <c r="AC93" i="50"/>
  <c r="G219" i="50"/>
  <c r="AL179" i="50"/>
  <c r="AM179" i="50"/>
  <c r="AA112" i="50"/>
  <c r="E167" i="50" s="1"/>
  <c r="AA86" i="50"/>
  <c r="E141" i="50" s="1"/>
  <c r="AA96" i="50"/>
  <c r="E151" i="50" s="1"/>
  <c r="AD126" i="50"/>
  <c r="E240" i="50" s="1"/>
  <c r="AM145" i="50"/>
  <c r="AL145" i="50"/>
  <c r="AA126" i="50"/>
  <c r="E181" i="50" s="1"/>
  <c r="AL146" i="50"/>
  <c r="AM146" i="50"/>
  <c r="AC109" i="50"/>
  <c r="AB98" i="50"/>
  <c r="M153" i="50" s="1"/>
  <c r="S115" i="50"/>
  <c r="T115" i="50" s="1"/>
  <c r="R115" i="50"/>
  <c r="AA83" i="50"/>
  <c r="E138" i="50" s="1"/>
  <c r="AB88" i="50"/>
  <c r="M143" i="50" s="1"/>
  <c r="F211" i="50"/>
  <c r="G211" i="50"/>
  <c r="AA122" i="50"/>
  <c r="E177" i="50" s="1"/>
  <c r="AC95" i="50"/>
  <c r="S106" i="50"/>
  <c r="T106" i="50" s="1"/>
  <c r="R106" i="50"/>
  <c r="AA105" i="50"/>
  <c r="E160" i="50" s="1"/>
  <c r="AB112" i="50"/>
  <c r="M167" i="50" s="1"/>
  <c r="AC86" i="50"/>
  <c r="AB96" i="50"/>
  <c r="M151" i="50" s="1"/>
  <c r="AA113" i="50"/>
  <c r="E168" i="50" s="1"/>
  <c r="AC80" i="50"/>
  <c r="AB80" i="50"/>
  <c r="M135" i="50" s="1"/>
  <c r="N136" i="50" s="1"/>
  <c r="AD80" i="50"/>
  <c r="E194" i="50" s="1"/>
  <c r="F195" i="50" s="1"/>
  <c r="AM136" i="50"/>
  <c r="O136" i="50"/>
  <c r="AL136" i="50"/>
  <c r="G201" i="50"/>
  <c r="F201" i="50"/>
  <c r="AM137" i="50"/>
  <c r="AL137" i="50"/>
  <c r="S110" i="50"/>
  <c r="T110" i="50" s="1"/>
  <c r="R110" i="50"/>
  <c r="AB119" i="50"/>
  <c r="M174" i="50" s="1"/>
  <c r="AB83" i="50"/>
  <c r="M138" i="50" s="1"/>
  <c r="AM180" i="50"/>
  <c r="AL180" i="50"/>
  <c r="AM177" i="50"/>
  <c r="AL177" i="50"/>
  <c r="AM140" i="50"/>
  <c r="AL140" i="50"/>
  <c r="F204" i="50"/>
  <c r="G204" i="50"/>
  <c r="AA95" i="50"/>
  <c r="E150" i="50" s="1"/>
  <c r="AB105" i="50"/>
  <c r="M160" i="50" s="1"/>
  <c r="AB123" i="50"/>
  <c r="M178" i="50" s="1"/>
  <c r="AC112" i="50"/>
  <c r="G195" i="50"/>
  <c r="G206" i="50"/>
  <c r="F206" i="50"/>
  <c r="AB113" i="50"/>
  <c r="M168" i="50" s="1"/>
  <c r="S84" i="50"/>
  <c r="T84" i="50" s="1"/>
  <c r="R84" i="50"/>
  <c r="AM155" i="50"/>
  <c r="O155" i="50"/>
  <c r="AL155" i="50"/>
  <c r="AM154" i="50"/>
  <c r="AL154" i="50"/>
  <c r="AM170" i="50"/>
  <c r="AL170" i="50"/>
  <c r="F212" i="50"/>
  <c r="G212" i="50"/>
  <c r="AC119" i="50"/>
  <c r="AC122" i="50"/>
  <c r="AA90" i="50"/>
  <c r="E145" i="50" s="1"/>
  <c r="Z94" i="50"/>
  <c r="AD94" i="50" s="1"/>
  <c r="E208" i="50" s="1"/>
  <c r="AB95" i="50"/>
  <c r="M150" i="50" s="1"/>
  <c r="AC105" i="50"/>
  <c r="AC123" i="50"/>
  <c r="AB86" i="50"/>
  <c r="M141" i="50" s="1"/>
  <c r="AM169" i="50"/>
  <c r="AL169" i="50"/>
  <c r="G234" i="50"/>
  <c r="F234" i="50"/>
  <c r="R221" i="49"/>
  <c r="S221" i="49"/>
  <c r="S235" i="49"/>
  <c r="R235" i="49"/>
  <c r="S203" i="49"/>
  <c r="R203" i="49"/>
  <c r="R220" i="49"/>
  <c r="S220" i="49"/>
  <c r="R198" i="49"/>
  <c r="S198" i="49"/>
  <c r="R230" i="49"/>
  <c r="S230" i="49"/>
  <c r="Z126" i="49"/>
  <c r="AD126" i="49" s="1"/>
  <c r="E240" i="49" s="1"/>
  <c r="G240" i="49" s="1"/>
  <c r="Z95" i="49"/>
  <c r="S223" i="49"/>
  <c r="R223" i="49"/>
  <c r="R197" i="49"/>
  <c r="S197" i="49"/>
  <c r="R232" i="49"/>
  <c r="S232" i="49"/>
  <c r="S215" i="49"/>
  <c r="R215" i="49"/>
  <c r="R234" i="49"/>
  <c r="S234" i="49"/>
  <c r="R201" i="49"/>
  <c r="S201" i="49"/>
  <c r="Z123" i="49"/>
  <c r="AD123" i="49" s="1"/>
  <c r="E237" i="49" s="1"/>
  <c r="G237" i="49" s="1"/>
  <c r="R225" i="49"/>
  <c r="S225" i="49"/>
  <c r="R212" i="49"/>
  <c r="S212" i="49"/>
  <c r="R228" i="49"/>
  <c r="S228" i="49"/>
  <c r="Z85" i="49"/>
  <c r="AA85" i="49" s="1"/>
  <c r="E140" i="49" s="1"/>
  <c r="S211" i="49"/>
  <c r="R211" i="49"/>
  <c r="R196" i="49"/>
  <c r="S196" i="49"/>
  <c r="R200" i="49"/>
  <c r="S200" i="49"/>
  <c r="U195" i="49"/>
  <c r="Z195" i="49" s="1"/>
  <c r="AD5" i="14" s="1"/>
  <c r="R210" i="49"/>
  <c r="S210" i="49"/>
  <c r="R214" i="49"/>
  <c r="S214" i="49"/>
  <c r="R206" i="49"/>
  <c r="S206" i="49"/>
  <c r="R229" i="49"/>
  <c r="S229" i="49"/>
  <c r="R205" i="49"/>
  <c r="S205" i="49"/>
  <c r="R236" i="49"/>
  <c r="S236" i="49"/>
  <c r="AD110" i="49"/>
  <c r="E224" i="49" s="1"/>
  <c r="AC110" i="49"/>
  <c r="AD117" i="49"/>
  <c r="E231" i="49" s="1"/>
  <c r="AC117" i="49"/>
  <c r="AB94" i="49"/>
  <c r="M149" i="49" s="1"/>
  <c r="AL149" i="49" s="1"/>
  <c r="AC94" i="49"/>
  <c r="AC90" i="49"/>
  <c r="R113" i="49"/>
  <c r="AC91" i="49"/>
  <c r="AA93" i="49"/>
  <c r="E148" i="49" s="1"/>
  <c r="F149" i="49" s="1"/>
  <c r="AA118" i="49"/>
  <c r="E173" i="49" s="1"/>
  <c r="G173" i="49" s="1"/>
  <c r="AB106" i="49"/>
  <c r="M161" i="49" s="1"/>
  <c r="N161" i="49" s="1"/>
  <c r="AC87" i="49"/>
  <c r="AB118" i="49"/>
  <c r="M173" i="49" s="1"/>
  <c r="O173" i="49" s="1"/>
  <c r="AA122" i="49"/>
  <c r="E177" i="49" s="1"/>
  <c r="Y177" i="49" s="1"/>
  <c r="AA88" i="49"/>
  <c r="E143" i="49" s="1"/>
  <c r="G143" i="49" s="1"/>
  <c r="AC106" i="49"/>
  <c r="AC84" i="49"/>
  <c r="AB98" i="49"/>
  <c r="M153" i="49" s="1"/>
  <c r="N154" i="49" s="1"/>
  <c r="S87" i="49"/>
  <c r="T87" i="49" s="1"/>
  <c r="AC118" i="49"/>
  <c r="AL143" i="49"/>
  <c r="AM143" i="49"/>
  <c r="AM160" i="49"/>
  <c r="AL160" i="49"/>
  <c r="AA109" i="49"/>
  <c r="E164" i="49" s="1"/>
  <c r="Y164" i="49" s="1"/>
  <c r="S108" i="49"/>
  <c r="T108" i="49" s="1"/>
  <c r="AM136" i="49"/>
  <c r="AL136" i="49"/>
  <c r="AC92" i="49"/>
  <c r="AD108" i="49"/>
  <c r="E222" i="49" s="1"/>
  <c r="AA99" i="49"/>
  <c r="E154" i="49" s="1"/>
  <c r="S89" i="49"/>
  <c r="T89" i="49" s="1"/>
  <c r="AB108" i="49"/>
  <c r="M163" i="49" s="1"/>
  <c r="O163" i="49" s="1"/>
  <c r="AC115" i="49"/>
  <c r="R84" i="49"/>
  <c r="AA89" i="49"/>
  <c r="E144" i="49" s="1"/>
  <c r="Z144" i="49" s="1"/>
  <c r="AA119" i="49"/>
  <c r="E174" i="49" s="1"/>
  <c r="Y174" i="49" s="1"/>
  <c r="AL154" i="49"/>
  <c r="AM154" i="49"/>
  <c r="AC108" i="49"/>
  <c r="AA100" i="49"/>
  <c r="E155" i="49" s="1"/>
  <c r="G155" i="49" s="1"/>
  <c r="Y180" i="49"/>
  <c r="Z180" i="49"/>
  <c r="AB100" i="49"/>
  <c r="M155" i="49" s="1"/>
  <c r="Y145" i="49"/>
  <c r="Z145" i="49"/>
  <c r="AA101" i="49"/>
  <c r="E156" i="49" s="1"/>
  <c r="Y158" i="49"/>
  <c r="Z158" i="49"/>
  <c r="AB90" i="49"/>
  <c r="M145" i="49" s="1"/>
  <c r="AB116" i="49"/>
  <c r="M171" i="49" s="1"/>
  <c r="AB89" i="49"/>
  <c r="M144" i="49" s="1"/>
  <c r="N144" i="49" s="1"/>
  <c r="AB122" i="49"/>
  <c r="M177" i="49" s="1"/>
  <c r="O177" i="49" s="1"/>
  <c r="AC109" i="49"/>
  <c r="AC99" i="49"/>
  <c r="AB103" i="49"/>
  <c r="M158" i="49" s="1"/>
  <c r="S126" i="49"/>
  <c r="T126" i="49" s="1"/>
  <c r="AA92" i="49"/>
  <c r="E147" i="49" s="1"/>
  <c r="AD90" i="49"/>
  <c r="E204" i="49" s="1"/>
  <c r="AC97" i="49"/>
  <c r="AC89" i="49"/>
  <c r="AC122" i="49"/>
  <c r="AD102" i="49"/>
  <c r="E216" i="49" s="1"/>
  <c r="AB117" i="49"/>
  <c r="M172" i="49" s="1"/>
  <c r="AA102" i="49"/>
  <c r="E157" i="49" s="1"/>
  <c r="G157" i="49" s="1"/>
  <c r="AC103" i="49"/>
  <c r="Y163" i="49"/>
  <c r="Z163" i="49"/>
  <c r="AA87" i="49"/>
  <c r="E142" i="49" s="1"/>
  <c r="AB92" i="49"/>
  <c r="M147" i="49" s="1"/>
  <c r="O147" i="49" s="1"/>
  <c r="AC105" i="49"/>
  <c r="AD94" i="49"/>
  <c r="E208" i="49" s="1"/>
  <c r="AB82" i="49"/>
  <c r="M137" i="49" s="1"/>
  <c r="AC100" i="49"/>
  <c r="Y149" i="49"/>
  <c r="Z149" i="49"/>
  <c r="AD125" i="49"/>
  <c r="E239" i="49" s="1"/>
  <c r="AA98" i="49"/>
  <c r="E153" i="49" s="1"/>
  <c r="P234" i="49"/>
  <c r="G234" i="49"/>
  <c r="P223" i="49"/>
  <c r="G223" i="49"/>
  <c r="AK154" i="49"/>
  <c r="O154" i="49"/>
  <c r="AJ154" i="49"/>
  <c r="G163" i="49"/>
  <c r="P236" i="49"/>
  <c r="G236" i="49"/>
  <c r="F236" i="49"/>
  <c r="P225" i="49"/>
  <c r="G225" i="49"/>
  <c r="O160" i="49"/>
  <c r="AK160" i="49"/>
  <c r="AJ160" i="49"/>
  <c r="G149" i="49"/>
  <c r="O143" i="49"/>
  <c r="AK143" i="49"/>
  <c r="AJ143" i="49"/>
  <c r="P212" i="49"/>
  <c r="G212" i="49"/>
  <c r="F212" i="49"/>
  <c r="P238" i="49"/>
  <c r="G180" i="49"/>
  <c r="P240" i="49"/>
  <c r="P220" i="49"/>
  <c r="G220" i="49"/>
  <c r="G145" i="49"/>
  <c r="G230" i="49"/>
  <c r="F230" i="49"/>
  <c r="P230" i="49"/>
  <c r="P237" i="49"/>
  <c r="F237" i="49"/>
  <c r="G158" i="49"/>
  <c r="F206" i="49"/>
  <c r="P206" i="49"/>
  <c r="G206" i="49"/>
  <c r="AK163" i="49"/>
  <c r="AJ163" i="49"/>
  <c r="P228" i="49"/>
  <c r="G228" i="49"/>
  <c r="P211" i="49"/>
  <c r="F211" i="49"/>
  <c r="G211" i="49"/>
  <c r="AJ173" i="49"/>
  <c r="AK173" i="49"/>
  <c r="AA123" i="49"/>
  <c r="E178" i="49" s="1"/>
  <c r="AK144" i="49"/>
  <c r="AJ144" i="49"/>
  <c r="S109" i="49"/>
  <c r="T109" i="49" s="1"/>
  <c r="R109" i="49"/>
  <c r="AJ181" i="49"/>
  <c r="AK181" i="49"/>
  <c r="S122" i="49"/>
  <c r="T122" i="49" s="1"/>
  <c r="R122" i="49"/>
  <c r="G201" i="49"/>
  <c r="F201" i="49"/>
  <c r="P201" i="49"/>
  <c r="P197" i="49"/>
  <c r="G197" i="49"/>
  <c r="F197" i="49"/>
  <c r="AA114" i="49"/>
  <c r="E169" i="49" s="1"/>
  <c r="P196" i="49"/>
  <c r="G196" i="49"/>
  <c r="F196" i="49"/>
  <c r="AB119" i="49"/>
  <c r="M174" i="49" s="1"/>
  <c r="P221" i="49"/>
  <c r="G221" i="49"/>
  <c r="F221" i="49"/>
  <c r="P231" i="49"/>
  <c r="S119" i="49"/>
  <c r="T119" i="49" s="1"/>
  <c r="R119" i="49"/>
  <c r="P200" i="49"/>
  <c r="G200" i="49"/>
  <c r="P210" i="49"/>
  <c r="G210" i="49"/>
  <c r="AD88" i="49"/>
  <c r="E202" i="49" s="1"/>
  <c r="AA83" i="49"/>
  <c r="E138" i="49" s="1"/>
  <c r="AB114" i="49"/>
  <c r="M169" i="49" s="1"/>
  <c r="AA105" i="49"/>
  <c r="E160" i="49" s="1"/>
  <c r="AC80" i="49"/>
  <c r="AD119" i="49"/>
  <c r="E233" i="49" s="1"/>
  <c r="AK158" i="49"/>
  <c r="AJ158" i="49"/>
  <c r="AK150" i="49"/>
  <c r="AJ150" i="49"/>
  <c r="AC123" i="49"/>
  <c r="AJ177" i="49"/>
  <c r="AK177" i="49"/>
  <c r="AA107" i="49"/>
  <c r="E162" i="49" s="1"/>
  <c r="AA117" i="49"/>
  <c r="E172" i="49" s="1"/>
  <c r="AA111" i="49"/>
  <c r="E166" i="49" s="1"/>
  <c r="AA86" i="49"/>
  <c r="E141" i="49" s="1"/>
  <c r="AA106" i="49"/>
  <c r="E161" i="49" s="1"/>
  <c r="AC96" i="49"/>
  <c r="F198" i="49"/>
  <c r="P198" i="49"/>
  <c r="G198" i="49"/>
  <c r="P229" i="49"/>
  <c r="G229" i="49"/>
  <c r="F229" i="49"/>
  <c r="AB83" i="49"/>
  <c r="M138" i="49" s="1"/>
  <c r="AJ153" i="49"/>
  <c r="AK153" i="49"/>
  <c r="AA112" i="49"/>
  <c r="E167" i="49" s="1"/>
  <c r="AC114" i="49"/>
  <c r="AD103" i="49"/>
  <c r="E217" i="49" s="1"/>
  <c r="AK137" i="49"/>
  <c r="AA91" i="49"/>
  <c r="E146" i="49" s="1"/>
  <c r="AB125" i="49"/>
  <c r="M180" i="49" s="1"/>
  <c r="AB121" i="49"/>
  <c r="M176" i="49" s="1"/>
  <c r="P203" i="49"/>
  <c r="G203" i="49"/>
  <c r="AB107" i="49"/>
  <c r="M162" i="49" s="1"/>
  <c r="AA120" i="49"/>
  <c r="E175" i="49" s="1"/>
  <c r="AC88" i="49"/>
  <c r="AB102" i="49"/>
  <c r="M157" i="49" s="1"/>
  <c r="AB93" i="49"/>
  <c r="M148" i="49" s="1"/>
  <c r="AB111" i="49"/>
  <c r="M166" i="49" s="1"/>
  <c r="AB86" i="49"/>
  <c r="M141" i="49" s="1"/>
  <c r="AA96" i="49"/>
  <c r="E151" i="49" s="1"/>
  <c r="AA84" i="49"/>
  <c r="E139" i="49" s="1"/>
  <c r="AA115" i="49"/>
  <c r="E170" i="49" s="1"/>
  <c r="AC83" i="49"/>
  <c r="AB112" i="49"/>
  <c r="M167" i="49" s="1"/>
  <c r="AA110" i="49"/>
  <c r="E165" i="49" s="1"/>
  <c r="AD112" i="49"/>
  <c r="E226" i="49" s="1"/>
  <c r="AD93" i="49"/>
  <c r="E207" i="49" s="1"/>
  <c r="AB91" i="49"/>
  <c r="M146" i="49" s="1"/>
  <c r="AC125" i="49"/>
  <c r="AC121" i="49"/>
  <c r="AB101" i="49"/>
  <c r="M156" i="49" s="1"/>
  <c r="AC82" i="49"/>
  <c r="AC107" i="49"/>
  <c r="AB120" i="49"/>
  <c r="M175" i="49" s="1"/>
  <c r="AB109" i="49"/>
  <c r="M164" i="49" s="1"/>
  <c r="G214" i="49"/>
  <c r="P214" i="49"/>
  <c r="AC111" i="49"/>
  <c r="AC86" i="49"/>
  <c r="S103" i="49"/>
  <c r="T103" i="49" s="1"/>
  <c r="R103" i="49"/>
  <c r="AB96" i="49"/>
  <c r="M151" i="49" s="1"/>
  <c r="AB84" i="49"/>
  <c r="M139" i="49" s="1"/>
  <c r="AB115" i="49"/>
  <c r="M170" i="49" s="1"/>
  <c r="AC98" i="49"/>
  <c r="AA116" i="49"/>
  <c r="E171" i="49" s="1"/>
  <c r="AB110" i="49"/>
  <c r="M165" i="49" s="1"/>
  <c r="AD99" i="49"/>
  <c r="E213" i="49" s="1"/>
  <c r="P227" i="49"/>
  <c r="AA97" i="49"/>
  <c r="E152" i="49" s="1"/>
  <c r="S117" i="49"/>
  <c r="T117" i="49" s="1"/>
  <c r="R117" i="49"/>
  <c r="F235" i="49"/>
  <c r="G235" i="49"/>
  <c r="P235" i="49"/>
  <c r="AK136" i="49"/>
  <c r="AJ136" i="49"/>
  <c r="O136" i="49"/>
  <c r="AC120" i="49"/>
  <c r="AJ149" i="49"/>
  <c r="AK149" i="49"/>
  <c r="P218" i="49"/>
  <c r="P224" i="49"/>
  <c r="S104" i="49"/>
  <c r="T104" i="49" s="1"/>
  <c r="R104" i="49"/>
  <c r="G142" i="49"/>
  <c r="AJ161" i="49"/>
  <c r="AK161" i="49"/>
  <c r="AB97" i="49"/>
  <c r="M152" i="49" s="1"/>
  <c r="P205" i="49"/>
  <c r="G205" i="49"/>
  <c r="P232" i="49"/>
  <c r="G232" i="49"/>
  <c r="AA121" i="49"/>
  <c r="E176" i="49" s="1"/>
  <c r="P215" i="49"/>
  <c r="G215" i="49"/>
  <c r="F215" i="49"/>
  <c r="AA82" i="49"/>
  <c r="E137" i="49" s="1"/>
  <c r="P209" i="49"/>
  <c r="AD105" i="49"/>
  <c r="E219" i="49" s="1"/>
  <c r="AB87" i="49"/>
  <c r="M142" i="49" s="1"/>
  <c r="AC116" i="49"/>
  <c r="S106" i="49"/>
  <c r="T106" i="49" s="1"/>
  <c r="R106" i="49"/>
  <c r="S102" i="48"/>
  <c r="T102" i="48" s="1"/>
  <c r="S88" i="48"/>
  <c r="T88" i="48" s="1"/>
  <c r="AB112" i="48"/>
  <c r="AC84" i="48"/>
  <c r="AC124" i="48"/>
  <c r="AA103" i="48"/>
  <c r="AB124" i="48"/>
  <c r="AA85" i="48"/>
  <c r="AC112" i="48"/>
  <c r="S80" i="48"/>
  <c r="T80" i="48" s="1"/>
  <c r="AC113" i="48"/>
  <c r="AA120" i="48"/>
  <c r="AA113" i="48"/>
  <c r="AC120" i="48"/>
  <c r="AA107" i="48"/>
  <c r="AC116" i="48"/>
  <c r="AA122" i="48"/>
  <c r="AD90" i="48"/>
  <c r="AB111" i="48"/>
  <c r="AB116" i="48"/>
  <c r="AA105" i="48"/>
  <c r="AD112" i="48"/>
  <c r="E226" i="48" s="1"/>
  <c r="R226" i="48" s="1"/>
  <c r="AC106" i="48"/>
  <c r="AC87" i="48"/>
  <c r="AC93" i="48"/>
  <c r="AD82" i="48"/>
  <c r="AC101" i="48"/>
  <c r="AA93" i="48"/>
  <c r="AB103" i="48"/>
  <c r="AC80" i="48"/>
  <c r="AB80" i="48"/>
  <c r="AD80" i="48"/>
  <c r="E237" i="48"/>
  <c r="R237" i="48" s="1"/>
  <c r="AD98" i="48"/>
  <c r="E212" i="48" s="1"/>
  <c r="AB98" i="48"/>
  <c r="AB125" i="48"/>
  <c r="AD118" i="48"/>
  <c r="AD99" i="48"/>
  <c r="E213" i="48" s="1"/>
  <c r="AD89" i="48"/>
  <c r="E203" i="48" s="1"/>
  <c r="E231" i="48"/>
  <c r="R231" i="48" s="1"/>
  <c r="AD117" i="48"/>
  <c r="AB113" i="48"/>
  <c r="AA111" i="48"/>
  <c r="AC121" i="48"/>
  <c r="AC97" i="48"/>
  <c r="AA116" i="48"/>
  <c r="AA101" i="48"/>
  <c r="AC99" i="48"/>
  <c r="AB120" i="48"/>
  <c r="AL175" i="48" s="1"/>
  <c r="AC91" i="48"/>
  <c r="AB93" i="48"/>
  <c r="AB84" i="48"/>
  <c r="AC122" i="48"/>
  <c r="AD125" i="48"/>
  <c r="AD111" i="48"/>
  <c r="E210" i="48"/>
  <c r="R210" i="48" s="1"/>
  <c r="AD96" i="48"/>
  <c r="AD105" i="48"/>
  <c r="E219" i="48" s="1"/>
  <c r="AL148" i="48"/>
  <c r="AD95" i="48"/>
  <c r="E209" i="48" s="1"/>
  <c r="AC92" i="48"/>
  <c r="AA121" i="48"/>
  <c r="AD85" i="48"/>
  <c r="AA97" i="48"/>
  <c r="AC115" i="48"/>
  <c r="AB99" i="48"/>
  <c r="AL154" i="48" s="1"/>
  <c r="AA88" i="48"/>
  <c r="AB91" i="48"/>
  <c r="AC100" i="48"/>
  <c r="AC96" i="48"/>
  <c r="AD109" i="48"/>
  <c r="AD94" i="48"/>
  <c r="E208" i="48" s="1"/>
  <c r="AA125" i="48"/>
  <c r="Y180" i="48" s="1"/>
  <c r="AB180" i="48" s="1"/>
  <c r="E234" i="48"/>
  <c r="R234" i="48" s="1"/>
  <c r="E215" i="48"/>
  <c r="R215" i="48" s="1"/>
  <c r="AD101" i="48"/>
  <c r="E228" i="48"/>
  <c r="R228" i="48" s="1"/>
  <c r="AD114" i="48"/>
  <c r="Y166" i="48"/>
  <c r="AB166" i="48" s="1"/>
  <c r="AD100" i="48"/>
  <c r="AB92" i="48"/>
  <c r="AA90" i="48"/>
  <c r="AB121" i="48"/>
  <c r="AC109" i="48"/>
  <c r="AB97" i="48"/>
  <c r="AB115" i="48"/>
  <c r="AC94" i="48"/>
  <c r="AA99" i="48"/>
  <c r="AC88" i="48"/>
  <c r="AA91" i="48"/>
  <c r="AC114" i="48"/>
  <c r="AA104" i="48"/>
  <c r="AC110" i="48"/>
  <c r="AB96" i="48"/>
  <c r="AD106" i="48"/>
  <c r="E220" i="48" s="1"/>
  <c r="E205" i="48"/>
  <c r="R205" i="48" s="1"/>
  <c r="E211" i="48"/>
  <c r="R211" i="48" s="1"/>
  <c r="E214" i="48"/>
  <c r="R214" i="48" s="1"/>
  <c r="E216" i="48"/>
  <c r="R216" i="48" s="1"/>
  <c r="E217" i="48"/>
  <c r="R217" i="48" s="1"/>
  <c r="AD103" i="48"/>
  <c r="AC123" i="48"/>
  <c r="AA92" i="48"/>
  <c r="Y147" i="48" s="1"/>
  <c r="AB147" i="48" s="1"/>
  <c r="AC118" i="48"/>
  <c r="AA109" i="48"/>
  <c r="AC126" i="48"/>
  <c r="AB94" i="48"/>
  <c r="AA82" i="48"/>
  <c r="AB88" i="48"/>
  <c r="AC89" i="48"/>
  <c r="AB114" i="48"/>
  <c r="AA100" i="48"/>
  <c r="AB110" i="48"/>
  <c r="AL165" i="48" s="1"/>
  <c r="AC108" i="48"/>
  <c r="AB83" i="48"/>
  <c r="AD126" i="48"/>
  <c r="AD88" i="48"/>
  <c r="E201" i="48"/>
  <c r="R201" i="48" s="1"/>
  <c r="AD115" i="48"/>
  <c r="E229" i="48" s="1"/>
  <c r="R198" i="48"/>
  <c r="E238" i="48"/>
  <c r="R238" i="48" s="1"/>
  <c r="AD124" i="48"/>
  <c r="AD104" i="48"/>
  <c r="E218" i="48" s="1"/>
  <c r="R80" i="48"/>
  <c r="AB123" i="48"/>
  <c r="AL178" i="48" s="1"/>
  <c r="AB95" i="48"/>
  <c r="AB90" i="48"/>
  <c r="AB126" i="48"/>
  <c r="AB87" i="48"/>
  <c r="AA94" i="48"/>
  <c r="AC117" i="48"/>
  <c r="AA89" i="48"/>
  <c r="AB119" i="48"/>
  <c r="AL174" i="48" s="1"/>
  <c r="AB104" i="48"/>
  <c r="AC107" i="48"/>
  <c r="AA110" i="48"/>
  <c r="AB108" i="48"/>
  <c r="AA83" i="48"/>
  <c r="AD83" i="48"/>
  <c r="E197" i="48" s="1"/>
  <c r="AD119" i="48"/>
  <c r="E233" i="48" s="1"/>
  <c r="AD107" i="48"/>
  <c r="E221" i="48" s="1"/>
  <c r="R221" i="48" s="1"/>
  <c r="E223" i="48"/>
  <c r="R223" i="48" s="1"/>
  <c r="E232" i="48"/>
  <c r="R232" i="48" s="1"/>
  <c r="E236" i="48"/>
  <c r="R236" i="48" s="1"/>
  <c r="E227" i="48"/>
  <c r="R227" i="48" s="1"/>
  <c r="E196" i="48"/>
  <c r="R196" i="48" s="1"/>
  <c r="Z86" i="48"/>
  <c r="AA86" i="48" s="1"/>
  <c r="AA102" i="48"/>
  <c r="AB102" i="48"/>
  <c r="AC102" i="48"/>
  <c r="AA123" i="48"/>
  <c r="AA95" i="48"/>
  <c r="AA106" i="48"/>
  <c r="AA118" i="48"/>
  <c r="AC85" i="48"/>
  <c r="AA87" i="48"/>
  <c r="AB82" i="48"/>
  <c r="AA117" i="48"/>
  <c r="AB89" i="48"/>
  <c r="AA119" i="48"/>
  <c r="AA98" i="48"/>
  <c r="Y153" i="48" s="1"/>
  <c r="AB153" i="48" s="1"/>
  <c r="AC105" i="48"/>
  <c r="AA108" i="48"/>
  <c r="AD84" i="48"/>
  <c r="AD92" i="48"/>
  <c r="AD122" i="48"/>
  <c r="AD108" i="48"/>
  <c r="E222" i="48" s="1"/>
  <c r="S93" i="48"/>
  <c r="T93" i="48" s="1"/>
  <c r="R93" i="48"/>
  <c r="S122" i="48"/>
  <c r="T122" i="48" s="1"/>
  <c r="R122" i="48"/>
  <c r="S84" i="48"/>
  <c r="T84" i="48" s="1"/>
  <c r="R84" i="48"/>
  <c r="S96" i="48"/>
  <c r="T96" i="48" s="1"/>
  <c r="R96" i="48"/>
  <c r="R86" i="48"/>
  <c r="S97" i="48"/>
  <c r="T97" i="48" s="1"/>
  <c r="R97" i="48"/>
  <c r="S99" i="48"/>
  <c r="T99" i="48" s="1"/>
  <c r="R99" i="48"/>
  <c r="S126" i="48"/>
  <c r="T126" i="48" s="1"/>
  <c r="R126" i="48"/>
  <c r="S117" i="48"/>
  <c r="T117" i="48" s="1"/>
  <c r="R117" i="48"/>
  <c r="Y172" i="48"/>
  <c r="AB172" i="48" s="1"/>
  <c r="AL173" i="48"/>
  <c r="Y142" i="48"/>
  <c r="AB142" i="48" s="1"/>
  <c r="Y177" i="48"/>
  <c r="AB177" i="48" s="1"/>
  <c r="AL164" i="48"/>
  <c r="E239" i="48"/>
  <c r="R239" i="48" s="1"/>
  <c r="AL167" i="48"/>
  <c r="Y170" i="48"/>
  <c r="AB170" i="48" s="1"/>
  <c r="AL151" i="48"/>
  <c r="AL145" i="48"/>
  <c r="Y154" i="48"/>
  <c r="AB154" i="48" s="1"/>
  <c r="AL166" i="48"/>
  <c r="F140" i="48"/>
  <c r="AL170" i="48"/>
  <c r="AL180" i="48"/>
  <c r="AL153" i="48"/>
  <c r="Y148" i="48"/>
  <c r="AB148" i="48" s="1"/>
  <c r="AL163" i="48"/>
  <c r="E207" i="48"/>
  <c r="R207" i="48" s="1"/>
  <c r="E204" i="48"/>
  <c r="R204" i="48" s="1"/>
  <c r="Y159" i="48"/>
  <c r="AB159" i="48" s="1"/>
  <c r="F168" i="48"/>
  <c r="AL172" i="48"/>
  <c r="E206" i="48"/>
  <c r="R206" i="48" s="1"/>
  <c r="AK143" i="48"/>
  <c r="AJ143" i="48"/>
  <c r="P216" i="48"/>
  <c r="P219" i="48"/>
  <c r="P229" i="48"/>
  <c r="P234" i="48"/>
  <c r="Y140" i="48"/>
  <c r="AB140" i="48" s="1"/>
  <c r="G140" i="48"/>
  <c r="AK147" i="48"/>
  <c r="AJ147" i="48"/>
  <c r="P232" i="48"/>
  <c r="P238" i="48"/>
  <c r="P203" i="48"/>
  <c r="P227" i="48"/>
  <c r="P205" i="48"/>
  <c r="P201" i="48"/>
  <c r="P220" i="48"/>
  <c r="P198" i="48"/>
  <c r="P222" i="48"/>
  <c r="AJ164" i="48"/>
  <c r="AK164" i="48"/>
  <c r="P200" i="48"/>
  <c r="P226" i="48"/>
  <c r="AK167" i="48"/>
  <c r="AJ167" i="48"/>
  <c r="AJ172" i="48"/>
  <c r="AK172" i="48"/>
  <c r="AK153" i="48"/>
  <c r="AJ153" i="48"/>
  <c r="P213" i="48"/>
  <c r="P207" i="48"/>
  <c r="AK175" i="48"/>
  <c r="AJ175" i="48"/>
  <c r="P224" i="48"/>
  <c r="U224" i="48" s="1"/>
  <c r="Z224" i="48" s="1"/>
  <c r="AB34" i="14" s="1"/>
  <c r="G224" i="48"/>
  <c r="P211" i="48"/>
  <c r="S107" i="48"/>
  <c r="T107" i="48" s="1"/>
  <c r="AL141" i="48"/>
  <c r="N136" i="48"/>
  <c r="E194" i="48"/>
  <c r="F195" i="48" s="1"/>
  <c r="P214" i="48"/>
  <c r="AL177" i="48"/>
  <c r="AL157" i="48"/>
  <c r="AL159" i="48"/>
  <c r="AJ169" i="48"/>
  <c r="AK169" i="48"/>
  <c r="P209" i="48"/>
  <c r="P210" i="48"/>
  <c r="P218" i="48"/>
  <c r="G170" i="48"/>
  <c r="AL140" i="48"/>
  <c r="AJ160" i="48"/>
  <c r="O160" i="48"/>
  <c r="AK160" i="48"/>
  <c r="AL181" i="48"/>
  <c r="E199" i="48"/>
  <c r="P231" i="48"/>
  <c r="AL168" i="48"/>
  <c r="P197" i="48"/>
  <c r="AL137" i="48"/>
  <c r="AL161" i="48"/>
  <c r="F175" i="48"/>
  <c r="E202" i="48"/>
  <c r="G159" i="48"/>
  <c r="AK139" i="48"/>
  <c r="AJ139" i="48"/>
  <c r="E240" i="48"/>
  <c r="R240" i="48" s="1"/>
  <c r="P204" i="48"/>
  <c r="AL152" i="48"/>
  <c r="AL155" i="48"/>
  <c r="AL176" i="48"/>
  <c r="AL171" i="48"/>
  <c r="AL149" i="48"/>
  <c r="E230" i="48"/>
  <c r="R230" i="48" s="1"/>
  <c r="AK178" i="48"/>
  <c r="AJ178" i="48"/>
  <c r="P217" i="48"/>
  <c r="P215" i="48"/>
  <c r="AK136" i="48"/>
  <c r="AJ136" i="48"/>
  <c r="O136" i="48"/>
  <c r="P235" i="48"/>
  <c r="U235" i="48" s="1"/>
  <c r="Z235" i="48" s="1"/>
  <c r="AB45" i="14" s="1"/>
  <c r="G235" i="48"/>
  <c r="AK170" i="48"/>
  <c r="AJ170" i="48"/>
  <c r="Y160" i="48"/>
  <c r="AB160" i="48" s="1"/>
  <c r="P228" i="48"/>
  <c r="AL158" i="48"/>
  <c r="E225" i="48"/>
  <c r="R225" i="48" s="1"/>
  <c r="P196" i="48"/>
  <c r="AK148" i="48"/>
  <c r="AJ148" i="48"/>
  <c r="Y175" i="48"/>
  <c r="AB175" i="48" s="1"/>
  <c r="G175" i="48"/>
  <c r="S91" i="48"/>
  <c r="T91" i="48" s="1"/>
  <c r="P239" i="48"/>
  <c r="P223" i="48"/>
  <c r="P195" i="48"/>
  <c r="U195" i="48" s="1"/>
  <c r="Z195" i="48" s="1"/>
  <c r="AB5" i="14" s="1"/>
  <c r="G195" i="48"/>
  <c r="AK151" i="48"/>
  <c r="AJ151" i="48"/>
  <c r="AK145" i="48"/>
  <c r="AJ145" i="48"/>
  <c r="AK174" i="48"/>
  <c r="AJ174" i="48"/>
  <c r="P212" i="48"/>
  <c r="P221" i="48"/>
  <c r="P208" i="48"/>
  <c r="AK166" i="48"/>
  <c r="AJ166" i="48"/>
  <c r="P206" i="48"/>
  <c r="AL150" i="48"/>
  <c r="AJ173" i="48"/>
  <c r="AK173" i="48"/>
  <c r="AK180" i="48"/>
  <c r="AJ180" i="48"/>
  <c r="P237" i="48"/>
  <c r="AL156" i="48"/>
  <c r="P236" i="48"/>
  <c r="AK163" i="48"/>
  <c r="AJ163" i="48"/>
  <c r="P233" i="48"/>
  <c r="Y167" i="48"/>
  <c r="AB167" i="48" s="1"/>
  <c r="G167" i="48"/>
  <c r="AA89" i="46"/>
  <c r="E144" i="46" s="1"/>
  <c r="G144" i="46" s="1"/>
  <c r="AB89" i="46"/>
  <c r="M144" i="46" s="1"/>
  <c r="AA106" i="46"/>
  <c r="E161" i="46" s="1"/>
  <c r="AB93" i="46"/>
  <c r="M148" i="46" s="1"/>
  <c r="AB88" i="46"/>
  <c r="M143" i="46" s="1"/>
  <c r="AC85" i="46"/>
  <c r="AA115" i="46"/>
  <c r="E170" i="46" s="1"/>
  <c r="R94" i="46"/>
  <c r="AB120" i="46"/>
  <c r="M175" i="46" s="1"/>
  <c r="O175" i="46" s="1"/>
  <c r="AB110" i="46"/>
  <c r="M165" i="46" s="1"/>
  <c r="AC88" i="46"/>
  <c r="AD104" i="46"/>
  <c r="E218" i="46" s="1"/>
  <c r="F219" i="46" s="1"/>
  <c r="AA93" i="46"/>
  <c r="E148" i="46" s="1"/>
  <c r="G148" i="46" s="1"/>
  <c r="AB115" i="46"/>
  <c r="M170" i="46" s="1"/>
  <c r="AD107" i="46"/>
  <c r="E221" i="46" s="1"/>
  <c r="AD110" i="46"/>
  <c r="E224" i="46" s="1"/>
  <c r="G224" i="46" s="1"/>
  <c r="AA88" i="46"/>
  <c r="E143" i="46" s="1"/>
  <c r="G143" i="46" s="1"/>
  <c r="AA85" i="46"/>
  <c r="E140" i="46" s="1"/>
  <c r="AC104" i="46"/>
  <c r="R109" i="46"/>
  <c r="AB84" i="46"/>
  <c r="M139" i="46" s="1"/>
  <c r="O139" i="46" s="1"/>
  <c r="AA113" i="46"/>
  <c r="E168" i="46" s="1"/>
  <c r="AB124" i="46"/>
  <c r="M179" i="46" s="1"/>
  <c r="AA82" i="46"/>
  <c r="E137" i="46" s="1"/>
  <c r="AA100" i="46"/>
  <c r="E155" i="46" s="1"/>
  <c r="G155" i="46" s="1"/>
  <c r="AD124" i="46"/>
  <c r="E238" i="46" s="1"/>
  <c r="AB85" i="46"/>
  <c r="M140" i="46" s="1"/>
  <c r="AA104" i="46"/>
  <c r="E159" i="46" s="1"/>
  <c r="G159" i="46" s="1"/>
  <c r="AA125" i="46"/>
  <c r="E180" i="46" s="1"/>
  <c r="G180" i="46" s="1"/>
  <c r="AC84" i="46"/>
  <c r="AA124" i="46"/>
  <c r="E179" i="46" s="1"/>
  <c r="G179" i="46" s="1"/>
  <c r="AB82" i="46"/>
  <c r="M137" i="46" s="1"/>
  <c r="O137" i="46" s="1"/>
  <c r="AB100" i="46"/>
  <c r="M155" i="46" s="1"/>
  <c r="AB86" i="46"/>
  <c r="M141" i="46" s="1"/>
  <c r="AA95" i="46"/>
  <c r="E150" i="46" s="1"/>
  <c r="AA111" i="46"/>
  <c r="E166" i="46" s="1"/>
  <c r="G166" i="46" s="1"/>
  <c r="AB112" i="46"/>
  <c r="M167" i="46" s="1"/>
  <c r="O167" i="46" s="1"/>
  <c r="Q197" i="47"/>
  <c r="Q195" i="47"/>
  <c r="AK136" i="47"/>
  <c r="R123" i="47"/>
  <c r="Z99" i="47"/>
  <c r="AC99" i="47" s="1"/>
  <c r="S80" i="47"/>
  <c r="T80" i="47" s="1"/>
  <c r="R105" i="47"/>
  <c r="S113" i="47"/>
  <c r="T113" i="47" s="1"/>
  <c r="Z124" i="47"/>
  <c r="AC124" i="47" s="1"/>
  <c r="S85" i="47"/>
  <c r="T85" i="47" s="1"/>
  <c r="Z113" i="47"/>
  <c r="AD113" i="47" s="1"/>
  <c r="E227" i="47" s="1"/>
  <c r="R94" i="47"/>
  <c r="R92" i="47"/>
  <c r="AD116" i="47"/>
  <c r="E230" i="47" s="1"/>
  <c r="AB116" i="47"/>
  <c r="M171" i="47" s="1"/>
  <c r="Z91" i="47"/>
  <c r="AC91" i="47" s="1"/>
  <c r="AA83" i="47"/>
  <c r="E138" i="47" s="1"/>
  <c r="X138" i="47" s="1"/>
  <c r="Z101" i="47"/>
  <c r="AA101" i="47" s="1"/>
  <c r="E156" i="47" s="1"/>
  <c r="X156" i="47" s="1"/>
  <c r="R115" i="47"/>
  <c r="R111" i="47"/>
  <c r="Z98" i="47"/>
  <c r="AB98" i="47" s="1"/>
  <c r="M153" i="47" s="1"/>
  <c r="R125" i="47"/>
  <c r="R96" i="47"/>
  <c r="R90" i="47"/>
  <c r="R91" i="47"/>
  <c r="R126" i="47"/>
  <c r="R84" i="47"/>
  <c r="R106" i="47"/>
  <c r="R121" i="47"/>
  <c r="R81" i="47"/>
  <c r="R114" i="47"/>
  <c r="R112" i="47"/>
  <c r="AC116" i="47"/>
  <c r="S83" i="47"/>
  <c r="T83" i="47" s="1"/>
  <c r="R83" i="47"/>
  <c r="AA85" i="47"/>
  <c r="E140" i="47" s="1"/>
  <c r="X140" i="47" s="1"/>
  <c r="AB85" i="47"/>
  <c r="M140" i="47" s="1"/>
  <c r="AA116" i="47"/>
  <c r="E171" i="47" s="1"/>
  <c r="X171" i="47" s="1"/>
  <c r="G197" i="47"/>
  <c r="Z82" i="47"/>
  <c r="AD82" i="47" s="1"/>
  <c r="E196" i="47" s="1"/>
  <c r="R93" i="47"/>
  <c r="Z120" i="47"/>
  <c r="AD120" i="47" s="1"/>
  <c r="E234" i="47" s="1"/>
  <c r="R100" i="47"/>
  <c r="Z102" i="47"/>
  <c r="AC102" i="47" s="1"/>
  <c r="Z84" i="47"/>
  <c r="AD84" i="47" s="1"/>
  <c r="E198" i="47" s="1"/>
  <c r="R95" i="47"/>
  <c r="R109" i="47"/>
  <c r="Z108" i="47"/>
  <c r="AD108" i="47" s="1"/>
  <c r="E222" i="47" s="1"/>
  <c r="Z115" i="47"/>
  <c r="AD115" i="47" s="1"/>
  <c r="E229" i="47" s="1"/>
  <c r="S116" i="47"/>
  <c r="T116" i="47" s="1"/>
  <c r="R116" i="47"/>
  <c r="R97" i="47"/>
  <c r="Z119" i="47"/>
  <c r="AD119" i="47" s="1"/>
  <c r="E233" i="47" s="1"/>
  <c r="Z122" i="47"/>
  <c r="AD122" i="47" s="1"/>
  <c r="E236" i="47" s="1"/>
  <c r="Z93" i="47"/>
  <c r="AD93" i="47" s="1"/>
  <c r="E207" i="47" s="1"/>
  <c r="Z104" i="47"/>
  <c r="AD104" i="47" s="1"/>
  <c r="E218" i="47" s="1"/>
  <c r="Z109" i="47"/>
  <c r="AD109" i="47" s="1"/>
  <c r="E223" i="47" s="1"/>
  <c r="R102" i="47"/>
  <c r="Z106" i="47"/>
  <c r="AD106" i="47" s="1"/>
  <c r="E220" i="47" s="1"/>
  <c r="R118" i="47"/>
  <c r="Z90" i="47"/>
  <c r="AA90" i="47" s="1"/>
  <c r="E145" i="47" s="1"/>
  <c r="X145" i="47" s="1"/>
  <c r="Z94" i="47"/>
  <c r="AD94" i="47" s="1"/>
  <c r="E208" i="47" s="1"/>
  <c r="R87" i="47"/>
  <c r="R120" i="47"/>
  <c r="Z114" i="47"/>
  <c r="AB114" i="47" s="1"/>
  <c r="M169" i="47" s="1"/>
  <c r="S101" i="47"/>
  <c r="T101" i="47" s="1"/>
  <c r="R101" i="47"/>
  <c r="Z125" i="47"/>
  <c r="AD125" i="47" s="1"/>
  <c r="E239" i="47" s="1"/>
  <c r="Z95" i="47"/>
  <c r="AD95" i="47" s="1"/>
  <c r="E209" i="47" s="1"/>
  <c r="S122" i="47"/>
  <c r="T122" i="47" s="1"/>
  <c r="R122" i="47"/>
  <c r="R108" i="47"/>
  <c r="R86" i="47"/>
  <c r="Z117" i="47"/>
  <c r="AD117" i="47" s="1"/>
  <c r="E231" i="47" s="1"/>
  <c r="Z97" i="47"/>
  <c r="AD97" i="47" s="1"/>
  <c r="E211" i="47" s="1"/>
  <c r="Z105" i="47"/>
  <c r="AD105" i="47" s="1"/>
  <c r="E219" i="47" s="1"/>
  <c r="Z89" i="47"/>
  <c r="AD89" i="47" s="1"/>
  <c r="E203" i="47" s="1"/>
  <c r="Z103" i="47"/>
  <c r="AD103" i="47" s="1"/>
  <c r="E217" i="47" s="1"/>
  <c r="Z96" i="47"/>
  <c r="AD96" i="47" s="1"/>
  <c r="E210" i="47" s="1"/>
  <c r="Z88" i="47"/>
  <c r="AD88" i="47" s="1"/>
  <c r="E202" i="47" s="1"/>
  <c r="G195" i="47"/>
  <c r="O136" i="47"/>
  <c r="Z86" i="47"/>
  <c r="AD86" i="47" s="1"/>
  <c r="E200" i="47" s="1"/>
  <c r="AD85" i="47"/>
  <c r="E199" i="47" s="1"/>
  <c r="AD80" i="47"/>
  <c r="E194" i="47" s="1"/>
  <c r="F195" i="47" s="1"/>
  <c r="S98" i="47"/>
  <c r="T98" i="47" s="1"/>
  <c r="R98" i="47"/>
  <c r="R119" i="47"/>
  <c r="R82" i="47"/>
  <c r="AB83" i="47"/>
  <c r="M138" i="47" s="1"/>
  <c r="Z126" i="47"/>
  <c r="AD126" i="47" s="1"/>
  <c r="E240" i="47" s="1"/>
  <c r="R104" i="47"/>
  <c r="Z121" i="47"/>
  <c r="AD121" i="47" s="1"/>
  <c r="E235" i="47" s="1"/>
  <c r="Z107" i="47"/>
  <c r="AD107" i="47" s="1"/>
  <c r="E221" i="47" s="1"/>
  <c r="R117" i="47"/>
  <c r="Z110" i="47"/>
  <c r="AD110" i="47" s="1"/>
  <c r="E224" i="47" s="1"/>
  <c r="R89" i="47"/>
  <c r="S124" i="47"/>
  <c r="T124" i="47" s="1"/>
  <c r="R124" i="47"/>
  <c r="Z100" i="47"/>
  <c r="AB100" i="47" s="1"/>
  <c r="M155" i="47" s="1"/>
  <c r="R103" i="47"/>
  <c r="AC83" i="47"/>
  <c r="Z111" i="47"/>
  <c r="AD111" i="47" s="1"/>
  <c r="E225" i="47" s="1"/>
  <c r="Z123" i="47"/>
  <c r="AD123" i="47" s="1"/>
  <c r="E237" i="47" s="1"/>
  <c r="Z118" i="47"/>
  <c r="AD118" i="47" s="1"/>
  <c r="E232" i="47" s="1"/>
  <c r="Z92" i="47"/>
  <c r="AD92" i="47" s="1"/>
  <c r="E206" i="47" s="1"/>
  <c r="R110" i="47"/>
  <c r="Z87" i="47"/>
  <c r="AD87" i="47" s="1"/>
  <c r="E201" i="47" s="1"/>
  <c r="R107" i="47"/>
  <c r="Z112" i="47"/>
  <c r="AD112" i="47" s="1"/>
  <c r="E226" i="47" s="1"/>
  <c r="G239" i="46"/>
  <c r="O159" i="46"/>
  <c r="G231" i="46"/>
  <c r="G235" i="46"/>
  <c r="G197" i="46"/>
  <c r="F197" i="46"/>
  <c r="G147" i="46"/>
  <c r="G212" i="46"/>
  <c r="G226" i="46"/>
  <c r="F226" i="46"/>
  <c r="G220" i="46"/>
  <c r="G210" i="46"/>
  <c r="F210" i="46"/>
  <c r="G200" i="46"/>
  <c r="F200" i="46"/>
  <c r="G216" i="46"/>
  <c r="F216" i="46"/>
  <c r="O162" i="46"/>
  <c r="G215" i="46"/>
  <c r="F215" i="46"/>
  <c r="F206" i="46"/>
  <c r="O176" i="46"/>
  <c r="G141" i="46"/>
  <c r="AA97" i="46"/>
  <c r="E152" i="46" s="1"/>
  <c r="AB117" i="46"/>
  <c r="M172" i="46" s="1"/>
  <c r="G225" i="46"/>
  <c r="AA122" i="46"/>
  <c r="E177" i="46" s="1"/>
  <c r="AA102" i="46"/>
  <c r="E157" i="46" s="1"/>
  <c r="AC117" i="46"/>
  <c r="AB95" i="46"/>
  <c r="M150" i="46" s="1"/>
  <c r="O136" i="46"/>
  <c r="AB101" i="46"/>
  <c r="M156" i="46" s="1"/>
  <c r="AA121" i="46"/>
  <c r="E176" i="46" s="1"/>
  <c r="AA114" i="46"/>
  <c r="E169" i="46" s="1"/>
  <c r="AB111" i="46"/>
  <c r="M166" i="46" s="1"/>
  <c r="AA83" i="46"/>
  <c r="E138" i="46" s="1"/>
  <c r="AA112" i="46"/>
  <c r="E167" i="46" s="1"/>
  <c r="AA105" i="46"/>
  <c r="E160" i="46" s="1"/>
  <c r="F161" i="46" s="1"/>
  <c r="G227" i="46"/>
  <c r="F227" i="46"/>
  <c r="AD116" i="46"/>
  <c r="E230" i="46" s="1"/>
  <c r="AD89" i="46"/>
  <c r="E203" i="46" s="1"/>
  <c r="G217" i="46"/>
  <c r="F217" i="46"/>
  <c r="F146" i="46"/>
  <c r="S104" i="46"/>
  <c r="T104" i="46" s="1"/>
  <c r="R104" i="46"/>
  <c r="AD97" i="46"/>
  <c r="E211" i="46" s="1"/>
  <c r="R108" i="46"/>
  <c r="Z118" i="46"/>
  <c r="AD118" i="46" s="1"/>
  <c r="E232" i="46" s="1"/>
  <c r="G219" i="46"/>
  <c r="Z108" i="46"/>
  <c r="AD108" i="46" s="1"/>
  <c r="E222" i="46" s="1"/>
  <c r="G236" i="46"/>
  <c r="F236" i="46"/>
  <c r="AB102" i="46"/>
  <c r="M157" i="46" s="1"/>
  <c r="AC80" i="46"/>
  <c r="AB80" i="46"/>
  <c r="M135" i="46" s="1"/>
  <c r="N136" i="46" s="1"/>
  <c r="AD80" i="46"/>
  <c r="E194" i="46" s="1"/>
  <c r="G240" i="46"/>
  <c r="F240" i="46"/>
  <c r="AB114" i="46"/>
  <c r="M169" i="46" s="1"/>
  <c r="R118" i="46"/>
  <c r="AB83" i="46"/>
  <c r="M138" i="46" s="1"/>
  <c r="G198" i="46"/>
  <c r="F198" i="46"/>
  <c r="AB105" i="46"/>
  <c r="M160" i="46" s="1"/>
  <c r="G165" i="46"/>
  <c r="G204" i="46"/>
  <c r="F204" i="46"/>
  <c r="G228" i="46"/>
  <c r="F228" i="46"/>
  <c r="AA117" i="46"/>
  <c r="E172" i="46" s="1"/>
  <c r="AB103" i="46"/>
  <c r="M158" i="46" s="1"/>
  <c r="N159" i="46" s="1"/>
  <c r="G229" i="46"/>
  <c r="F229" i="46"/>
  <c r="G205" i="46"/>
  <c r="F205" i="46"/>
  <c r="AC101" i="46"/>
  <c r="AB122" i="46"/>
  <c r="M177" i="46" s="1"/>
  <c r="AC102" i="46"/>
  <c r="AA98" i="46"/>
  <c r="E153" i="46" s="1"/>
  <c r="AB87" i="46"/>
  <c r="M142" i="46" s="1"/>
  <c r="G196" i="46"/>
  <c r="F196" i="46"/>
  <c r="G199" i="46"/>
  <c r="F199" i="46"/>
  <c r="AA116" i="46"/>
  <c r="E171" i="46" s="1"/>
  <c r="Z99" i="46"/>
  <c r="AD99" i="46" s="1"/>
  <c r="E213" i="46" s="1"/>
  <c r="AA107" i="46"/>
  <c r="E162" i="46" s="1"/>
  <c r="AC114" i="46"/>
  <c r="Z94" i="46"/>
  <c r="AA126" i="46"/>
  <c r="E181" i="46" s="1"/>
  <c r="AC83" i="46"/>
  <c r="AB106" i="46"/>
  <c r="M161" i="46" s="1"/>
  <c r="N162" i="46" s="1"/>
  <c r="AB113" i="46"/>
  <c r="M168" i="46" s="1"/>
  <c r="AC93" i="46"/>
  <c r="AC82" i="46"/>
  <c r="Z109" i="46"/>
  <c r="AD109" i="46" s="1"/>
  <c r="E223" i="46" s="1"/>
  <c r="G209" i="46"/>
  <c r="Z119" i="46"/>
  <c r="AD119" i="46" s="1"/>
  <c r="E233" i="46" s="1"/>
  <c r="AC122" i="46"/>
  <c r="AB98" i="46"/>
  <c r="M153" i="46" s="1"/>
  <c r="AA87" i="46"/>
  <c r="E142" i="46" s="1"/>
  <c r="G170" i="46"/>
  <c r="AA103" i="46"/>
  <c r="E158" i="46" s="1"/>
  <c r="AB116" i="46"/>
  <c r="M171" i="46" s="1"/>
  <c r="AC107" i="46"/>
  <c r="G139" i="46"/>
  <c r="AB91" i="46"/>
  <c r="M146" i="46" s="1"/>
  <c r="AC113" i="46"/>
  <c r="G207" i="46"/>
  <c r="G201" i="46"/>
  <c r="F201" i="46"/>
  <c r="AA101" i="46"/>
  <c r="E156" i="46" s="1"/>
  <c r="AB97" i="46"/>
  <c r="M152" i="46" s="1"/>
  <c r="AC98" i="46"/>
  <c r="AC87" i="46"/>
  <c r="AC96" i="46"/>
  <c r="O140" i="46"/>
  <c r="AC103" i="46"/>
  <c r="G202" i="46"/>
  <c r="F202" i="46"/>
  <c r="Z94" i="45"/>
  <c r="AD94" i="45" s="1"/>
  <c r="E208" i="45" s="1"/>
  <c r="G208" i="45" s="1"/>
  <c r="R99" i="45"/>
  <c r="S115" i="45"/>
  <c r="T115" i="45" s="1"/>
  <c r="R126" i="45"/>
  <c r="S105" i="45"/>
  <c r="T105" i="45" s="1"/>
  <c r="S122" i="45"/>
  <c r="T122" i="45" s="1"/>
  <c r="S84" i="45"/>
  <c r="T84" i="45" s="1"/>
  <c r="S116" i="45"/>
  <c r="T116" i="45" s="1"/>
  <c r="S92" i="45"/>
  <c r="T92" i="45" s="1"/>
  <c r="S88" i="45"/>
  <c r="T88" i="45" s="1"/>
  <c r="R97" i="45"/>
  <c r="S86" i="45"/>
  <c r="T86" i="45" s="1"/>
  <c r="Z108" i="45"/>
  <c r="AD108" i="45" s="1"/>
  <c r="E222" i="45" s="1"/>
  <c r="Z106" i="45"/>
  <c r="AD106" i="45" s="1"/>
  <c r="E220" i="45" s="1"/>
  <c r="Z88" i="45"/>
  <c r="AA88" i="45" s="1"/>
  <c r="E143" i="45" s="1"/>
  <c r="R95" i="45"/>
  <c r="R98" i="45"/>
  <c r="Z92" i="45"/>
  <c r="AD92" i="45" s="1"/>
  <c r="E206" i="45" s="1"/>
  <c r="F207" i="45" s="1"/>
  <c r="Z96" i="45"/>
  <c r="AA96" i="45" s="1"/>
  <c r="E151" i="45" s="1"/>
  <c r="S120" i="45"/>
  <c r="T120" i="45" s="1"/>
  <c r="Z84" i="45"/>
  <c r="AD84" i="45" s="1"/>
  <c r="E198" i="45" s="1"/>
  <c r="G198" i="45" s="1"/>
  <c r="R108" i="45"/>
  <c r="R125" i="45"/>
  <c r="Z113" i="45"/>
  <c r="AC113" i="45" s="1"/>
  <c r="S112" i="45"/>
  <c r="T112" i="45" s="1"/>
  <c r="Z107" i="45"/>
  <c r="AD107" i="45" s="1"/>
  <c r="E221" i="45" s="1"/>
  <c r="G221" i="45" s="1"/>
  <c r="Z124" i="45"/>
  <c r="AD124" i="45" s="1"/>
  <c r="E238" i="45" s="1"/>
  <c r="G238" i="45" s="1"/>
  <c r="Z85" i="45"/>
  <c r="AD85" i="45" s="1"/>
  <c r="E199" i="45" s="1"/>
  <c r="Z86" i="45"/>
  <c r="AD86" i="45" s="1"/>
  <c r="E200" i="45" s="1"/>
  <c r="Z101" i="45"/>
  <c r="AA101" i="45" s="1"/>
  <c r="E156" i="45" s="1"/>
  <c r="Z126" i="45"/>
  <c r="AC126" i="45" s="1"/>
  <c r="S119" i="45"/>
  <c r="T119" i="45" s="1"/>
  <c r="Z112" i="45"/>
  <c r="AB112" i="45" s="1"/>
  <c r="M167" i="45" s="1"/>
  <c r="R100" i="45"/>
  <c r="R118" i="45"/>
  <c r="Z105" i="45"/>
  <c r="AD105" i="45" s="1"/>
  <c r="E219" i="45" s="1"/>
  <c r="S111" i="45"/>
  <c r="T111" i="45" s="1"/>
  <c r="S82" i="45"/>
  <c r="T82" i="45" s="1"/>
  <c r="Z104" i="45"/>
  <c r="AB104" i="45" s="1"/>
  <c r="M159" i="45" s="1"/>
  <c r="Z125" i="45"/>
  <c r="AD125" i="45" s="1"/>
  <c r="E239" i="45" s="1"/>
  <c r="Z103" i="45"/>
  <c r="AD103" i="45" s="1"/>
  <c r="E217" i="45" s="1"/>
  <c r="Z100" i="45"/>
  <c r="AD100" i="45" s="1"/>
  <c r="E214" i="45" s="1"/>
  <c r="Z98" i="45"/>
  <c r="AD98" i="45" s="1"/>
  <c r="E212" i="45" s="1"/>
  <c r="S114" i="45"/>
  <c r="T114" i="45" s="1"/>
  <c r="Z122" i="45"/>
  <c r="AD122" i="45" s="1"/>
  <c r="E236" i="45" s="1"/>
  <c r="Z83" i="45"/>
  <c r="AC83" i="45" s="1"/>
  <c r="Z117" i="45"/>
  <c r="AD117" i="45" s="1"/>
  <c r="E231" i="45" s="1"/>
  <c r="G231" i="45" s="1"/>
  <c r="S104" i="45"/>
  <c r="T104" i="45" s="1"/>
  <c r="R87" i="45"/>
  <c r="S107" i="45"/>
  <c r="T107" i="45" s="1"/>
  <c r="R85" i="45"/>
  <c r="R106" i="45"/>
  <c r="AB109" i="45"/>
  <c r="M164" i="45" s="1"/>
  <c r="AA109" i="45"/>
  <c r="E164" i="45" s="1"/>
  <c r="S94" i="45"/>
  <c r="T94" i="45" s="1"/>
  <c r="S89" i="45"/>
  <c r="T89" i="45" s="1"/>
  <c r="S121" i="45"/>
  <c r="T121" i="45" s="1"/>
  <c r="AA119" i="45"/>
  <c r="E174" i="45" s="1"/>
  <c r="AC119" i="45"/>
  <c r="AC116" i="45"/>
  <c r="AB111" i="45"/>
  <c r="M166" i="45" s="1"/>
  <c r="AB110" i="45"/>
  <c r="M165" i="45" s="1"/>
  <c r="O165" i="45" s="1"/>
  <c r="AB99" i="45"/>
  <c r="M154" i="45" s="1"/>
  <c r="AC115" i="45"/>
  <c r="AA95" i="45"/>
  <c r="E150" i="45" s="1"/>
  <c r="AB114" i="45"/>
  <c r="M169" i="45" s="1"/>
  <c r="AA110" i="45"/>
  <c r="E165" i="45" s="1"/>
  <c r="AA111" i="45"/>
  <c r="E166" i="45" s="1"/>
  <c r="AA93" i="45"/>
  <c r="E148" i="45" s="1"/>
  <c r="AC114" i="45"/>
  <c r="AC93" i="45"/>
  <c r="AA115" i="45"/>
  <c r="E170" i="45" s="1"/>
  <c r="AB102" i="45"/>
  <c r="M157" i="45" s="1"/>
  <c r="AB119" i="45"/>
  <c r="M174" i="45" s="1"/>
  <c r="AC95" i="45"/>
  <c r="AC90" i="45"/>
  <c r="AB115" i="45"/>
  <c r="M170" i="45" s="1"/>
  <c r="G230" i="45"/>
  <c r="F230" i="45"/>
  <c r="G205" i="45"/>
  <c r="AK150" i="45"/>
  <c r="O150" i="45"/>
  <c r="AK167" i="45"/>
  <c r="G235" i="45"/>
  <c r="G233" i="45"/>
  <c r="G228" i="45"/>
  <c r="G143" i="45"/>
  <c r="G203" i="45"/>
  <c r="G201" i="45"/>
  <c r="AK164" i="45"/>
  <c r="AK138" i="45"/>
  <c r="AD120" i="45"/>
  <c r="E234" i="45" s="1"/>
  <c r="AC124" i="45"/>
  <c r="AB89" i="45"/>
  <c r="M144" i="45" s="1"/>
  <c r="AB116" i="45"/>
  <c r="M171" i="45" s="1"/>
  <c r="S124" i="45"/>
  <c r="T124" i="45" s="1"/>
  <c r="R124" i="45"/>
  <c r="AA120" i="45"/>
  <c r="E175" i="45" s="1"/>
  <c r="AA91" i="45"/>
  <c r="E146" i="45" s="1"/>
  <c r="AC110" i="45"/>
  <c r="R123" i="45"/>
  <c r="AC109" i="45"/>
  <c r="AD118" i="45"/>
  <c r="E232" i="45" s="1"/>
  <c r="AD97" i="45"/>
  <c r="E211" i="45" s="1"/>
  <c r="AA89" i="45"/>
  <c r="E144" i="45" s="1"/>
  <c r="AB120" i="45"/>
  <c r="M175" i="45" s="1"/>
  <c r="AB91" i="45"/>
  <c r="M146" i="45" s="1"/>
  <c r="Z123" i="45"/>
  <c r="AD123" i="45" s="1"/>
  <c r="E237" i="45" s="1"/>
  <c r="G213" i="45"/>
  <c r="AA121" i="45"/>
  <c r="E176" i="45" s="1"/>
  <c r="AB96" i="45"/>
  <c r="M151" i="45" s="1"/>
  <c r="AD102" i="45"/>
  <c r="E216" i="45" s="1"/>
  <c r="G229" i="45"/>
  <c r="F229" i="45"/>
  <c r="AC91" i="45"/>
  <c r="AK159" i="45"/>
  <c r="AA116" i="45"/>
  <c r="E171" i="45" s="1"/>
  <c r="AA118" i="45"/>
  <c r="E173" i="45" s="1"/>
  <c r="AA97" i="45"/>
  <c r="E152" i="45" s="1"/>
  <c r="AA87" i="45"/>
  <c r="E142" i="45" s="1"/>
  <c r="AA102" i="45"/>
  <c r="E157" i="45" s="1"/>
  <c r="AK166" i="45"/>
  <c r="AA99" i="45"/>
  <c r="E154" i="45" s="1"/>
  <c r="G207" i="45"/>
  <c r="AC121" i="45"/>
  <c r="AC96" i="45"/>
  <c r="AD95" i="45"/>
  <c r="E209" i="45" s="1"/>
  <c r="AK143" i="45"/>
  <c r="AK140" i="45"/>
  <c r="AB80" i="45"/>
  <c r="M135" i="45" s="1"/>
  <c r="AB118" i="45"/>
  <c r="M173" i="45" s="1"/>
  <c r="AB97" i="45"/>
  <c r="M152" i="45" s="1"/>
  <c r="AB87" i="45"/>
  <c r="M142" i="45" s="1"/>
  <c r="AK147" i="45"/>
  <c r="G195" i="45"/>
  <c r="AA114" i="45"/>
  <c r="E169" i="45" s="1"/>
  <c r="AC87" i="45"/>
  <c r="AC99" i="45"/>
  <c r="AB93" i="45"/>
  <c r="M148" i="45" s="1"/>
  <c r="AB121" i="45"/>
  <c r="M176" i="45" s="1"/>
  <c r="AK141" i="45"/>
  <c r="AC89" i="45"/>
  <c r="AK153" i="45"/>
  <c r="S96" i="45"/>
  <c r="T96" i="45" s="1"/>
  <c r="R96" i="45"/>
  <c r="G224" i="45"/>
  <c r="F224" i="45"/>
  <c r="G206" i="45"/>
  <c r="G223" i="45"/>
  <c r="Z82" i="45"/>
  <c r="AD82" i="45" s="1"/>
  <c r="E196" i="45" s="1"/>
  <c r="Z95" i="42"/>
  <c r="AD95" i="42" s="1"/>
  <c r="E209" i="42" s="1"/>
  <c r="Z97" i="42"/>
  <c r="AA97" i="42" s="1"/>
  <c r="E152" i="42" s="1"/>
  <c r="Z88" i="42"/>
  <c r="AD88" i="42" s="1"/>
  <c r="E202" i="42" s="1"/>
  <c r="R111" i="42"/>
  <c r="R91" i="42"/>
  <c r="Z93" i="43"/>
  <c r="AD93" i="43" s="1"/>
  <c r="E207" i="43" s="1"/>
  <c r="G207" i="43" s="1"/>
  <c r="Z95" i="43"/>
  <c r="AD95" i="43" s="1"/>
  <c r="E209" i="43" s="1"/>
  <c r="F210" i="43" s="1"/>
  <c r="Z88" i="43"/>
  <c r="AC88" i="43" s="1"/>
  <c r="Z105" i="43"/>
  <c r="AD105" i="43" s="1"/>
  <c r="E219" i="43" s="1"/>
  <c r="F219" i="43" s="1"/>
  <c r="S87" i="43"/>
  <c r="T87" i="43" s="1"/>
  <c r="Z99" i="43"/>
  <c r="AD99" i="43" s="1"/>
  <c r="E213" i="43" s="1"/>
  <c r="Z92" i="43"/>
  <c r="AC92" i="43" s="1"/>
  <c r="S116" i="43"/>
  <c r="T116" i="43" s="1"/>
  <c r="Z108" i="43"/>
  <c r="AB108" i="43" s="1"/>
  <c r="M163" i="43" s="1"/>
  <c r="AK163" i="43" s="1"/>
  <c r="AO163" i="43" s="1"/>
  <c r="AX163" i="43" s="1"/>
  <c r="R81" i="43"/>
  <c r="Z107" i="43"/>
  <c r="AD107" i="43" s="1"/>
  <c r="E221" i="43" s="1"/>
  <c r="Z122" i="43"/>
  <c r="AD122" i="43" s="1"/>
  <c r="E236" i="43" s="1"/>
  <c r="F236" i="43" s="1"/>
  <c r="R118" i="43"/>
  <c r="R92" i="43"/>
  <c r="R122" i="43"/>
  <c r="Z100" i="43"/>
  <c r="AC100" i="43" s="1"/>
  <c r="Z114" i="43"/>
  <c r="AD114" i="43" s="1"/>
  <c r="E228" i="43" s="1"/>
  <c r="G228" i="43" s="1"/>
  <c r="R88" i="43"/>
  <c r="S113" i="43"/>
  <c r="T113" i="43" s="1"/>
  <c r="Z116" i="43"/>
  <c r="AC116" i="43" s="1"/>
  <c r="Z97" i="43"/>
  <c r="AB97" i="43" s="1"/>
  <c r="M152" i="43" s="1"/>
  <c r="R86" i="43"/>
  <c r="S117" i="43"/>
  <c r="T117" i="43" s="1"/>
  <c r="Z113" i="43"/>
  <c r="AC113" i="43" s="1"/>
  <c r="S82" i="43"/>
  <c r="T82" i="43" s="1"/>
  <c r="Z118" i="43"/>
  <c r="AD118" i="43" s="1"/>
  <c r="E232" i="43" s="1"/>
  <c r="U232" i="43" s="1"/>
  <c r="Z232" i="43" s="1"/>
  <c r="R85" i="43"/>
  <c r="S121" i="43"/>
  <c r="T121" i="43" s="1"/>
  <c r="Z112" i="43"/>
  <c r="AB112" i="43" s="1"/>
  <c r="M167" i="43" s="1"/>
  <c r="AK167" i="43" s="1"/>
  <c r="AO167" i="43" s="1"/>
  <c r="AX167" i="43" s="1"/>
  <c r="Z124" i="43"/>
  <c r="AD124" i="43" s="1"/>
  <c r="E238" i="43" s="1"/>
  <c r="F238" i="43" s="1"/>
  <c r="R90" i="43"/>
  <c r="S114" i="43"/>
  <c r="T114" i="43" s="1"/>
  <c r="Z110" i="43"/>
  <c r="AD110" i="43" s="1"/>
  <c r="E224" i="43" s="1"/>
  <c r="G224" i="43" s="1"/>
  <c r="R105" i="43"/>
  <c r="Z83" i="43"/>
  <c r="AC83" i="43" s="1"/>
  <c r="R99" i="43"/>
  <c r="S109" i="43"/>
  <c r="T109" i="43" s="1"/>
  <c r="Z82" i="43"/>
  <c r="AD82" i="43" s="1"/>
  <c r="E196" i="43" s="1"/>
  <c r="U196" i="43" s="1"/>
  <c r="Z196" i="43" s="1"/>
  <c r="Z106" i="43"/>
  <c r="AD106" i="43" s="1"/>
  <c r="E220" i="43" s="1"/>
  <c r="G220" i="43" s="1"/>
  <c r="S126" i="43"/>
  <c r="T126" i="43" s="1"/>
  <c r="R84" i="43"/>
  <c r="R107" i="43"/>
  <c r="Z109" i="43"/>
  <c r="AD109" i="43" s="1"/>
  <c r="E223" i="43" s="1"/>
  <c r="Z102" i="43"/>
  <c r="AD102" i="43" s="1"/>
  <c r="E216" i="43" s="1"/>
  <c r="F216" i="43" s="1"/>
  <c r="S111" i="43"/>
  <c r="T111" i="43" s="1"/>
  <c r="Z117" i="43"/>
  <c r="AD117" i="43" s="1"/>
  <c r="E231" i="43" s="1"/>
  <c r="R123" i="43"/>
  <c r="S124" i="43"/>
  <c r="T124" i="43" s="1"/>
  <c r="Z120" i="43"/>
  <c r="AD120" i="43" s="1"/>
  <c r="E234" i="43" s="1"/>
  <c r="G234" i="43" s="1"/>
  <c r="S83" i="43"/>
  <c r="T83" i="43" s="1"/>
  <c r="R108" i="43"/>
  <c r="Z103" i="43"/>
  <c r="AD103" i="43" s="1"/>
  <c r="E217" i="43" s="1"/>
  <c r="F218" i="43" s="1"/>
  <c r="S97" i="43"/>
  <c r="T97" i="43" s="1"/>
  <c r="R110" i="43"/>
  <c r="R106" i="43"/>
  <c r="Z125" i="43"/>
  <c r="AC125" i="43" s="1"/>
  <c r="AA104" i="43"/>
  <c r="E159" i="43" s="1"/>
  <c r="R80" i="43"/>
  <c r="AC104" i="43"/>
  <c r="S80" i="43"/>
  <c r="T80" i="43" s="1"/>
  <c r="R101" i="43"/>
  <c r="S96" i="43"/>
  <c r="T96" i="43" s="1"/>
  <c r="S103" i="43"/>
  <c r="T103" i="43" s="1"/>
  <c r="R102" i="43"/>
  <c r="Z91" i="43"/>
  <c r="AD91" i="43" s="1"/>
  <c r="E205" i="43" s="1"/>
  <c r="U205" i="43" s="1"/>
  <c r="Z205" i="43" s="1"/>
  <c r="Z87" i="43"/>
  <c r="AD87" i="43" s="1"/>
  <c r="E201" i="43" s="1"/>
  <c r="U201" i="43" s="1"/>
  <c r="Z201" i="43" s="1"/>
  <c r="AA94" i="43"/>
  <c r="E149" i="43" s="1"/>
  <c r="AD94" i="43"/>
  <c r="E208" i="43" s="1"/>
  <c r="G208" i="43" s="1"/>
  <c r="R94" i="43"/>
  <c r="AB99" i="43"/>
  <c r="M154" i="43" s="1"/>
  <c r="R91" i="43"/>
  <c r="AB94" i="43"/>
  <c r="M149" i="43" s="1"/>
  <c r="R98" i="43"/>
  <c r="AC94" i="43"/>
  <c r="R112" i="43"/>
  <c r="AD86" i="43"/>
  <c r="E200" i="43" s="1"/>
  <c r="U200" i="43" s="1"/>
  <c r="Z200" i="43" s="1"/>
  <c r="AC86" i="43"/>
  <c r="AB86" i="43"/>
  <c r="M141" i="43" s="1"/>
  <c r="R95" i="43"/>
  <c r="AB96" i="43"/>
  <c r="M151" i="43" s="1"/>
  <c r="AB90" i="43"/>
  <c r="M145" i="43" s="1"/>
  <c r="S120" i="43"/>
  <c r="T120" i="43" s="1"/>
  <c r="R120" i="43"/>
  <c r="AC96" i="43"/>
  <c r="AC90" i="43"/>
  <c r="S125" i="43"/>
  <c r="T125" i="43" s="1"/>
  <c r="AC115" i="43"/>
  <c r="S115" i="43"/>
  <c r="T115" i="43" s="1"/>
  <c r="R115" i="43"/>
  <c r="AA115" i="43"/>
  <c r="E170" i="43" s="1"/>
  <c r="AC121" i="43"/>
  <c r="AB115" i="43"/>
  <c r="M170" i="43" s="1"/>
  <c r="AB84" i="43"/>
  <c r="M139" i="43" s="1"/>
  <c r="AA96" i="43"/>
  <c r="E151" i="43" s="1"/>
  <c r="AC84" i="43"/>
  <c r="S93" i="43"/>
  <c r="T93" i="43" s="1"/>
  <c r="R93" i="43"/>
  <c r="W181" i="43"/>
  <c r="AB181" i="43" s="1"/>
  <c r="G181" i="43"/>
  <c r="U218" i="43"/>
  <c r="Z218" i="43" s="1"/>
  <c r="G218" i="43"/>
  <c r="U235" i="43"/>
  <c r="Z235" i="43" s="1"/>
  <c r="G235" i="43"/>
  <c r="U229" i="43"/>
  <c r="Z229" i="43" s="1"/>
  <c r="G229" i="43"/>
  <c r="U236" i="43"/>
  <c r="Z236" i="43" s="1"/>
  <c r="Z89" i="43"/>
  <c r="AD89" i="43" s="1"/>
  <c r="E203" i="43" s="1"/>
  <c r="F204" i="43" s="1"/>
  <c r="W160" i="43"/>
  <c r="U233" i="43"/>
  <c r="Z233" i="43" s="1"/>
  <c r="G233" i="43"/>
  <c r="W156" i="43"/>
  <c r="U219" i="43"/>
  <c r="Z219" i="43" s="1"/>
  <c r="AA123" i="43"/>
  <c r="E178" i="43" s="1"/>
  <c r="X178" i="43" s="1"/>
  <c r="AA121" i="43"/>
  <c r="E176" i="43" s="1"/>
  <c r="X176" i="43" s="1"/>
  <c r="R89" i="43"/>
  <c r="U228" i="43"/>
  <c r="Z228" i="43" s="1"/>
  <c r="U198" i="43"/>
  <c r="Z198" i="43" s="1"/>
  <c r="G198" i="43"/>
  <c r="AB104" i="43"/>
  <c r="M159" i="43" s="1"/>
  <c r="AK159" i="43" s="1"/>
  <c r="W167" i="43"/>
  <c r="AB123" i="43"/>
  <c r="M178" i="43" s="1"/>
  <c r="AK178" i="43" s="1"/>
  <c r="W162" i="43"/>
  <c r="W159" i="43"/>
  <c r="W170" i="43"/>
  <c r="AJ195" i="43"/>
  <c r="AF195" i="43"/>
  <c r="AA119" i="43"/>
  <c r="E174" i="43" s="1"/>
  <c r="X174" i="43" s="1"/>
  <c r="W154" i="43"/>
  <c r="AA90" i="43"/>
  <c r="E145" i="43" s="1"/>
  <c r="X145" i="43" s="1"/>
  <c r="O136" i="43"/>
  <c r="AO136" i="43"/>
  <c r="AC123" i="43"/>
  <c r="U210" i="43"/>
  <c r="Z210" i="43" s="1"/>
  <c r="G210" i="43"/>
  <c r="W138" i="43"/>
  <c r="U213" i="43"/>
  <c r="Z213" i="43" s="1"/>
  <c r="G213" i="43"/>
  <c r="AB126" i="43"/>
  <c r="M181" i="43" s="1"/>
  <c r="AK181" i="43" s="1"/>
  <c r="S100" i="43"/>
  <c r="T100" i="43" s="1"/>
  <c r="R100" i="43"/>
  <c r="AA86" i="43"/>
  <c r="E141" i="43" s="1"/>
  <c r="X141" i="43" s="1"/>
  <c r="W158" i="43"/>
  <c r="U209" i="43"/>
  <c r="Z209" i="43" s="1"/>
  <c r="G209" i="43"/>
  <c r="Z111" i="43"/>
  <c r="AD111" i="43" s="1"/>
  <c r="E225" i="43" s="1"/>
  <c r="AC126" i="43"/>
  <c r="W151" i="43"/>
  <c r="Z85" i="43"/>
  <c r="AD85" i="43" s="1"/>
  <c r="E199" i="43" s="1"/>
  <c r="W175" i="43"/>
  <c r="W172" i="43"/>
  <c r="W137" i="43"/>
  <c r="W179" i="43"/>
  <c r="U204" i="43"/>
  <c r="Z204" i="43" s="1"/>
  <c r="G204" i="43"/>
  <c r="W149" i="43"/>
  <c r="AB119" i="43"/>
  <c r="M174" i="43" s="1"/>
  <c r="AK174" i="43" s="1"/>
  <c r="AA84" i="43"/>
  <c r="E139" i="43" s="1"/>
  <c r="X139" i="43" s="1"/>
  <c r="AB80" i="43"/>
  <c r="M135" i="43" s="1"/>
  <c r="N136" i="43" s="1"/>
  <c r="AC80" i="43"/>
  <c r="AD80" i="43"/>
  <c r="E194" i="43" s="1"/>
  <c r="AD126" i="43"/>
  <c r="E240" i="43" s="1"/>
  <c r="U237" i="43"/>
  <c r="Z237" i="43" s="1"/>
  <c r="G237" i="43"/>
  <c r="U207" i="43"/>
  <c r="Z207" i="43" s="1"/>
  <c r="AB121" i="43"/>
  <c r="M176" i="43" s="1"/>
  <c r="AK176" i="43" s="1"/>
  <c r="W157" i="43"/>
  <c r="AC119" i="43"/>
  <c r="Z98" i="43"/>
  <c r="AD98" i="43" s="1"/>
  <c r="E212" i="43" s="1"/>
  <c r="W146" i="43"/>
  <c r="U215" i="43"/>
  <c r="Z215" i="43" s="1"/>
  <c r="Z124" i="42"/>
  <c r="AD124" i="42" s="1"/>
  <c r="E238" i="42" s="1"/>
  <c r="R121" i="42"/>
  <c r="S80" i="42"/>
  <c r="T80" i="42" s="1"/>
  <c r="AA126" i="42"/>
  <c r="E181" i="42" s="1"/>
  <c r="G181" i="42" s="1"/>
  <c r="Z113" i="42"/>
  <c r="AB113" i="42" s="1"/>
  <c r="M168" i="42" s="1"/>
  <c r="Z112" i="42"/>
  <c r="AA112" i="42" s="1"/>
  <c r="E167" i="42" s="1"/>
  <c r="R120" i="42"/>
  <c r="AA125" i="42"/>
  <c r="E180" i="42" s="1"/>
  <c r="AC125" i="42"/>
  <c r="AB125" i="42"/>
  <c r="M180" i="42" s="1"/>
  <c r="AD126" i="42"/>
  <c r="E240" i="42" s="1"/>
  <c r="G240" i="42" s="1"/>
  <c r="Z91" i="42"/>
  <c r="AC91" i="42" s="1"/>
  <c r="AA120" i="42"/>
  <c r="E175" i="42" s="1"/>
  <c r="G175" i="42" s="1"/>
  <c r="AC120" i="42"/>
  <c r="AB120" i="42"/>
  <c r="M175" i="42" s="1"/>
  <c r="AA98" i="42"/>
  <c r="E153" i="42" s="1"/>
  <c r="AB98" i="42"/>
  <c r="M153" i="42" s="1"/>
  <c r="O153" i="42" s="1"/>
  <c r="AC98" i="42"/>
  <c r="AB103" i="42"/>
  <c r="M158" i="42" s="1"/>
  <c r="AC103" i="42"/>
  <c r="AA88" i="42"/>
  <c r="E143" i="42" s="1"/>
  <c r="AC88" i="42"/>
  <c r="R99" i="42"/>
  <c r="AB126" i="42"/>
  <c r="M181" i="42" s="1"/>
  <c r="AB88" i="42"/>
  <c r="M143" i="42" s="1"/>
  <c r="R94" i="42"/>
  <c r="AC118" i="42"/>
  <c r="G195" i="42"/>
  <c r="G202" i="42"/>
  <c r="AB104" i="42"/>
  <c r="M159" i="42" s="1"/>
  <c r="AA104" i="42"/>
  <c r="E159" i="42" s="1"/>
  <c r="AC104" i="42"/>
  <c r="AB123" i="42"/>
  <c r="M178" i="42" s="1"/>
  <c r="G173" i="42"/>
  <c r="S124" i="42"/>
  <c r="T124" i="42" s="1"/>
  <c r="R124" i="42"/>
  <c r="S122" i="42"/>
  <c r="T122" i="42" s="1"/>
  <c r="R122" i="42"/>
  <c r="AB118" i="42"/>
  <c r="M173" i="42" s="1"/>
  <c r="R90" i="42"/>
  <c r="Z107" i="42"/>
  <c r="AD107" i="42" s="1"/>
  <c r="E221" i="42" s="1"/>
  <c r="Z90" i="42"/>
  <c r="AD90" i="42" s="1"/>
  <c r="E204" i="42" s="1"/>
  <c r="S112" i="42"/>
  <c r="T112" i="42" s="1"/>
  <c r="R112" i="42"/>
  <c r="Z100" i="42"/>
  <c r="AB100" i="42" s="1"/>
  <c r="M155" i="42" s="1"/>
  <c r="R107" i="42"/>
  <c r="Z109" i="42"/>
  <c r="AD109" i="42" s="1"/>
  <c r="E223" i="42" s="1"/>
  <c r="O136" i="42"/>
  <c r="AD120" i="42"/>
  <c r="E234" i="42" s="1"/>
  <c r="S119" i="42"/>
  <c r="T119" i="42" s="1"/>
  <c r="R119" i="42"/>
  <c r="S113" i="42"/>
  <c r="T113" i="42" s="1"/>
  <c r="R113" i="42"/>
  <c r="AD98" i="42"/>
  <c r="E212" i="42" s="1"/>
  <c r="R106" i="42"/>
  <c r="R108" i="42"/>
  <c r="Z84" i="42"/>
  <c r="AD84" i="42" s="1"/>
  <c r="E198" i="42" s="1"/>
  <c r="Z92" i="42"/>
  <c r="AD92" i="42" s="1"/>
  <c r="E206" i="42" s="1"/>
  <c r="R114" i="42"/>
  <c r="Z117" i="42"/>
  <c r="AD117" i="42" s="1"/>
  <c r="E231" i="42" s="1"/>
  <c r="AA103" i="42"/>
  <c r="E158" i="42" s="1"/>
  <c r="Z119" i="42"/>
  <c r="AD119" i="42" s="1"/>
  <c r="E233" i="42" s="1"/>
  <c r="Z106" i="42"/>
  <c r="AC106" i="42" s="1"/>
  <c r="AD104" i="42"/>
  <c r="E218" i="42" s="1"/>
  <c r="Z86" i="42"/>
  <c r="AA86" i="42" s="1"/>
  <c r="E141" i="42" s="1"/>
  <c r="Z87" i="42"/>
  <c r="R100" i="42"/>
  <c r="Z114" i="42"/>
  <c r="AD114" i="42" s="1"/>
  <c r="E228" i="42" s="1"/>
  <c r="R85" i="42"/>
  <c r="AB80" i="42"/>
  <c r="M135" i="42" s="1"/>
  <c r="AC80" i="42"/>
  <c r="AD80" i="42"/>
  <c r="E194" i="42" s="1"/>
  <c r="S95" i="42"/>
  <c r="T95" i="42" s="1"/>
  <c r="R95" i="42"/>
  <c r="S126" i="42"/>
  <c r="T126" i="42" s="1"/>
  <c r="R126" i="42"/>
  <c r="Z116" i="42"/>
  <c r="S109" i="42"/>
  <c r="T109" i="42" s="1"/>
  <c r="R109" i="42"/>
  <c r="R110" i="42"/>
  <c r="Z99" i="42"/>
  <c r="AC99" i="42" s="1"/>
  <c r="R82" i="42"/>
  <c r="R101" i="42"/>
  <c r="Z83" i="42"/>
  <c r="AD83" i="42" s="1"/>
  <c r="E197" i="42" s="1"/>
  <c r="Z85" i="42"/>
  <c r="AA85" i="42" s="1"/>
  <c r="E140" i="42" s="1"/>
  <c r="Z94" i="42"/>
  <c r="AD94" i="42" s="1"/>
  <c r="E208" i="42" s="1"/>
  <c r="Z108" i="42"/>
  <c r="AD108" i="42" s="1"/>
  <c r="E222" i="42" s="1"/>
  <c r="Z121" i="42"/>
  <c r="AD121" i="42" s="1"/>
  <c r="E235" i="42" s="1"/>
  <c r="Z110" i="42"/>
  <c r="AD110" i="42" s="1"/>
  <c r="E224" i="42" s="1"/>
  <c r="Z89" i="42"/>
  <c r="R92" i="42"/>
  <c r="Z102" i="42"/>
  <c r="AD102" i="42" s="1"/>
  <c r="E216" i="42" s="1"/>
  <c r="Z96" i="42"/>
  <c r="AD96" i="42" s="1"/>
  <c r="E210" i="42" s="1"/>
  <c r="R83" i="42"/>
  <c r="Z122" i="42"/>
  <c r="AD122" i="42" s="1"/>
  <c r="E236" i="42" s="1"/>
  <c r="Z111" i="42"/>
  <c r="AD111" i="42" s="1"/>
  <c r="E225" i="42" s="1"/>
  <c r="Z82" i="42"/>
  <c r="AC82" i="42" s="1"/>
  <c r="AD118" i="42"/>
  <c r="E232" i="42" s="1"/>
  <c r="AD125" i="42"/>
  <c r="E239" i="42" s="1"/>
  <c r="Z93" i="42"/>
  <c r="AD93" i="42" s="1"/>
  <c r="E207" i="42" s="1"/>
  <c r="AD103" i="42"/>
  <c r="E217" i="42" s="1"/>
  <c r="Z101" i="42"/>
  <c r="AD101" i="42" s="1"/>
  <c r="E215" i="42" s="1"/>
  <c r="Z115" i="42"/>
  <c r="AD115" i="42" s="1"/>
  <c r="E229" i="42" s="1"/>
  <c r="BB161" i="41"/>
  <c r="BF161" i="41" s="1"/>
  <c r="AZ73" i="41"/>
  <c r="AZ51" i="41"/>
  <c r="AZ47" i="41"/>
  <c r="AZ45" i="41"/>
  <c r="AZ43" i="41"/>
  <c r="AZ37" i="41"/>
  <c r="AZ35" i="41"/>
  <c r="AZ31" i="41"/>
  <c r="O106" i="41"/>
  <c r="P106" i="41" s="1"/>
  <c r="O108" i="41"/>
  <c r="BB181" i="41"/>
  <c r="BF181" i="41" s="1"/>
  <c r="BB169" i="41"/>
  <c r="BF169" i="41" s="1"/>
  <c r="AZ39" i="41"/>
  <c r="O83" i="41"/>
  <c r="P83" i="41" s="1"/>
  <c r="O87" i="41"/>
  <c r="P87" i="41" s="1"/>
  <c r="O91" i="41"/>
  <c r="P91" i="41" s="1"/>
  <c r="O95" i="41"/>
  <c r="P95" i="41" s="1"/>
  <c r="O99" i="41"/>
  <c r="P99" i="41" s="1"/>
  <c r="BB179" i="41"/>
  <c r="BF179" i="41" s="1"/>
  <c r="BB163" i="41"/>
  <c r="BF163" i="41" s="1"/>
  <c r="AD81" i="41"/>
  <c r="BB171" i="41"/>
  <c r="BF171" i="41" s="1"/>
  <c r="N4" i="41"/>
  <c r="N11" i="41" s="1"/>
  <c r="M106" i="41"/>
  <c r="O104" i="41"/>
  <c r="O110" i="41"/>
  <c r="P110" i="41" s="1"/>
  <c r="O112" i="41"/>
  <c r="P112" i="41" s="1"/>
  <c r="O4" i="41"/>
  <c r="O11" i="41" s="1"/>
  <c r="AG90" i="41"/>
  <c r="L126" i="41"/>
  <c r="AF126" i="41" s="1"/>
  <c r="L124" i="41"/>
  <c r="L122" i="41"/>
  <c r="AF122" i="41" s="1"/>
  <c r="L120" i="41"/>
  <c r="AF120" i="41" s="1"/>
  <c r="L118" i="41"/>
  <c r="AF118" i="41" s="1"/>
  <c r="L116" i="41"/>
  <c r="AF116" i="41" s="1"/>
  <c r="L114" i="41"/>
  <c r="AF114" i="41" s="1"/>
  <c r="L112" i="41"/>
  <c r="L110" i="41"/>
  <c r="L108" i="41"/>
  <c r="L106" i="41"/>
  <c r="L104" i="41"/>
  <c r="M110" i="41"/>
  <c r="M102" i="41"/>
  <c r="M100" i="41"/>
  <c r="M98" i="41"/>
  <c r="M96" i="41"/>
  <c r="M94" i="41"/>
  <c r="M92" i="41"/>
  <c r="M90" i="41"/>
  <c r="M88" i="41"/>
  <c r="M86" i="41"/>
  <c r="M84" i="41"/>
  <c r="M82" i="41"/>
  <c r="L81" i="41"/>
  <c r="AB81" i="41" s="1"/>
  <c r="M136" i="41" s="1"/>
  <c r="M95" i="41"/>
  <c r="M87" i="41"/>
  <c r="AX75" i="41"/>
  <c r="AX73" i="41"/>
  <c r="AX71" i="41"/>
  <c r="AX69" i="41"/>
  <c r="AX67" i="41"/>
  <c r="AX65" i="41"/>
  <c r="AX63" i="41"/>
  <c r="L102" i="41"/>
  <c r="AF102" i="41" s="1"/>
  <c r="AX49" i="41"/>
  <c r="L98" i="41"/>
  <c r="AF98" i="41" s="1"/>
  <c r="AX45" i="41"/>
  <c r="L94" i="41"/>
  <c r="AF94" i="41" s="1"/>
  <c r="AX41" i="41"/>
  <c r="AX37" i="41"/>
  <c r="O80" i="41"/>
  <c r="P80" i="41" s="1"/>
  <c r="O125" i="41"/>
  <c r="O123" i="41"/>
  <c r="P123" i="41" s="1"/>
  <c r="O121" i="41"/>
  <c r="O119" i="41"/>
  <c r="P119" i="41" s="1"/>
  <c r="O117" i="41"/>
  <c r="P117" i="41" s="1"/>
  <c r="O115" i="41"/>
  <c r="P115" i="41" s="1"/>
  <c r="O113" i="41"/>
  <c r="P113" i="41" s="1"/>
  <c r="O111" i="41"/>
  <c r="P111" i="41" s="1"/>
  <c r="O109" i="41"/>
  <c r="P109" i="41" s="1"/>
  <c r="O107" i="41"/>
  <c r="P107" i="41" s="1"/>
  <c r="O105" i="41"/>
  <c r="P105" i="41" s="1"/>
  <c r="O103" i="41"/>
  <c r="P103" i="41" s="1"/>
  <c r="O81" i="41"/>
  <c r="P81" i="41" s="1"/>
  <c r="B126" i="41"/>
  <c r="B125" i="41"/>
  <c r="B124" i="41"/>
  <c r="B123" i="41"/>
  <c r="B122" i="41"/>
  <c r="B121" i="41"/>
  <c r="B120" i="41"/>
  <c r="B119" i="41"/>
  <c r="B118" i="41"/>
  <c r="B117" i="41"/>
  <c r="B116" i="41"/>
  <c r="B115" i="41"/>
  <c r="B114" i="41"/>
  <c r="B113" i="41"/>
  <c r="B112" i="41"/>
  <c r="B111" i="41"/>
  <c r="B110" i="41"/>
  <c r="B109" i="41"/>
  <c r="B108" i="41"/>
  <c r="B107" i="41"/>
  <c r="B106" i="41"/>
  <c r="B105" i="41"/>
  <c r="B104" i="41"/>
  <c r="B103" i="41"/>
  <c r="B102" i="41"/>
  <c r="B101" i="41"/>
  <c r="B100" i="41"/>
  <c r="B99" i="41"/>
  <c r="B98" i="41"/>
  <c r="B97" i="41"/>
  <c r="B96" i="41"/>
  <c r="B95" i="41"/>
  <c r="B94" i="41"/>
  <c r="B93" i="41"/>
  <c r="B92" i="41"/>
  <c r="B91" i="41"/>
  <c r="B90" i="41"/>
  <c r="B89" i="41"/>
  <c r="B88" i="41"/>
  <c r="B87" i="41"/>
  <c r="B86" i="41"/>
  <c r="B85" i="41"/>
  <c r="B84" i="41"/>
  <c r="B83" i="41"/>
  <c r="B82" i="41"/>
  <c r="B81" i="41"/>
  <c r="D125" i="41"/>
  <c r="D123" i="41"/>
  <c r="D121" i="41"/>
  <c r="D119" i="41"/>
  <c r="D117" i="41"/>
  <c r="D115" i="41"/>
  <c r="D113" i="41"/>
  <c r="D111" i="41"/>
  <c r="D109" i="41"/>
  <c r="D107" i="41"/>
  <c r="D105" i="41"/>
  <c r="M125" i="41"/>
  <c r="M121" i="41"/>
  <c r="Y121" i="41" s="1"/>
  <c r="M117" i="41"/>
  <c r="M113" i="41"/>
  <c r="Y113" i="41" s="1"/>
  <c r="M109" i="41"/>
  <c r="M105" i="41"/>
  <c r="Y105" i="41" s="1"/>
  <c r="D103" i="41"/>
  <c r="D101" i="41"/>
  <c r="D99" i="41"/>
  <c r="D97" i="41"/>
  <c r="D95" i="41"/>
  <c r="D93" i="41"/>
  <c r="D91" i="41"/>
  <c r="D89" i="41"/>
  <c r="D87" i="41"/>
  <c r="D85" i="41"/>
  <c r="D83" i="41"/>
  <c r="M81" i="41"/>
  <c r="M126" i="41"/>
  <c r="M122" i="41"/>
  <c r="M118" i="41"/>
  <c r="M114" i="41"/>
  <c r="L80" i="41"/>
  <c r="L83" i="41"/>
  <c r="L85" i="41"/>
  <c r="L87" i="41"/>
  <c r="L89" i="41"/>
  <c r="L91" i="41"/>
  <c r="L93" i="41"/>
  <c r="L95" i="41"/>
  <c r="L97" i="41"/>
  <c r="L99" i="41"/>
  <c r="L101" i="41"/>
  <c r="L103" i="41"/>
  <c r="L105" i="41"/>
  <c r="L107" i="41"/>
  <c r="L109" i="41"/>
  <c r="L111" i="41"/>
  <c r="L113" i="41"/>
  <c r="L115" i="41"/>
  <c r="L117" i="41"/>
  <c r="L119" i="41"/>
  <c r="L121" i="41"/>
  <c r="L123" i="41"/>
  <c r="L125" i="41"/>
  <c r="D81" i="41"/>
  <c r="M85" i="41"/>
  <c r="M89" i="41"/>
  <c r="Y89" i="41" s="1"/>
  <c r="M93" i="41"/>
  <c r="M97" i="41"/>
  <c r="Y97" i="41" s="1"/>
  <c r="M101" i="41"/>
  <c r="M80" i="41"/>
  <c r="M104" i="41"/>
  <c r="M108" i="41"/>
  <c r="M112" i="41"/>
  <c r="D126" i="41"/>
  <c r="D124" i="41"/>
  <c r="D122" i="41"/>
  <c r="D120" i="41"/>
  <c r="D118" i="41"/>
  <c r="D116" i="41"/>
  <c r="D114" i="41"/>
  <c r="D112" i="41"/>
  <c r="D110" i="41"/>
  <c r="D108" i="41"/>
  <c r="D106" i="41"/>
  <c r="D104" i="41"/>
  <c r="M123" i="41"/>
  <c r="Y123" i="41" s="1"/>
  <c r="M119" i="41"/>
  <c r="Y119" i="41" s="1"/>
  <c r="M115" i="41"/>
  <c r="Y115" i="41" s="1"/>
  <c r="M111" i="41"/>
  <c r="Y111" i="41" s="1"/>
  <c r="M107" i="41"/>
  <c r="Y107" i="41" s="1"/>
  <c r="M103" i="41"/>
  <c r="Y103" i="41" s="1"/>
  <c r="D102" i="41"/>
  <c r="D100" i="41"/>
  <c r="D98" i="41"/>
  <c r="D96" i="41"/>
  <c r="D94" i="41"/>
  <c r="D92" i="41"/>
  <c r="D90" i="41"/>
  <c r="D88" i="41"/>
  <c r="D86" i="41"/>
  <c r="D84" i="41"/>
  <c r="D82" i="41"/>
  <c r="D80" i="41"/>
  <c r="E80" i="41" s="1"/>
  <c r="F80" i="41" s="1"/>
  <c r="M124" i="41"/>
  <c r="Y124" i="41" s="1"/>
  <c r="M120" i="41"/>
  <c r="Y120" i="41" s="1"/>
  <c r="M116" i="41"/>
  <c r="Y116" i="41" s="1"/>
  <c r="L82" i="41"/>
  <c r="AF82" i="41" s="1"/>
  <c r="L84" i="41"/>
  <c r="AF84" i="41" s="1"/>
  <c r="L86" i="41"/>
  <c r="AF86" i="41" s="1"/>
  <c r="P104" i="41"/>
  <c r="P108" i="41"/>
  <c r="O116" i="41"/>
  <c r="P116" i="41" s="1"/>
  <c r="O120" i="41"/>
  <c r="AF124" i="41"/>
  <c r="O124" i="41"/>
  <c r="P124" i="41" s="1"/>
  <c r="M99" i="41"/>
  <c r="Y99" i="41" s="1"/>
  <c r="M91" i="41"/>
  <c r="Y91" i="41" s="1"/>
  <c r="M83" i="41"/>
  <c r="Y83" i="41" s="1"/>
  <c r="AX51" i="41"/>
  <c r="L100" i="41"/>
  <c r="AF100" i="41" s="1"/>
  <c r="AX47" i="41"/>
  <c r="L96" i="41"/>
  <c r="AF96" i="41" s="1"/>
  <c r="AX43" i="41"/>
  <c r="L92" i="41"/>
  <c r="AF92" i="41" s="1"/>
  <c r="AX39" i="41"/>
  <c r="L88" i="41"/>
  <c r="AF88" i="41" s="1"/>
  <c r="AX35" i="41"/>
  <c r="AX33" i="41"/>
  <c r="AX31" i="41"/>
  <c r="F135" i="41"/>
  <c r="AU135" i="41"/>
  <c r="G135" i="41"/>
  <c r="O102" i="41"/>
  <c r="P102" i="41" s="1"/>
  <c r="O100" i="41"/>
  <c r="P100" i="41" s="1"/>
  <c r="O98" i="41"/>
  <c r="P98" i="41" s="1"/>
  <c r="O96" i="41"/>
  <c r="P96" i="41" s="1"/>
  <c r="O94" i="41"/>
  <c r="P94" i="41" s="1"/>
  <c r="O92" i="41"/>
  <c r="P92" i="41" s="1"/>
  <c r="AF90" i="41"/>
  <c r="O90" i="41"/>
  <c r="P90" i="41" s="1"/>
  <c r="O88" i="41"/>
  <c r="P88" i="41" s="1"/>
  <c r="O86" i="41"/>
  <c r="P86" i="41" s="1"/>
  <c r="O84" i="41"/>
  <c r="P84" i="41" s="1"/>
  <c r="O82" i="41"/>
  <c r="P82" i="41" s="1"/>
  <c r="AZ61" i="41"/>
  <c r="AZ59" i="41"/>
  <c r="AZ57" i="41"/>
  <c r="AZ55" i="41"/>
  <c r="AZ53" i="41"/>
  <c r="AX44" i="41"/>
  <c r="AX36" i="41"/>
  <c r="O114" i="41"/>
  <c r="P114" i="41" s="1"/>
  <c r="O118" i="41"/>
  <c r="O122" i="41"/>
  <c r="P122" i="41" s="1"/>
  <c r="O126" i="41"/>
  <c r="AX61" i="41"/>
  <c r="AX59" i="41"/>
  <c r="AX57" i="41"/>
  <c r="AX55" i="41"/>
  <c r="AX53" i="41"/>
  <c r="AX29" i="41"/>
  <c r="E195" i="41"/>
  <c r="AC81" i="41"/>
  <c r="AA93" i="43" l="1"/>
  <c r="E148" i="43" s="1"/>
  <c r="X148" i="43" s="1"/>
  <c r="O163" i="43"/>
  <c r="F225" i="45"/>
  <c r="F207" i="46"/>
  <c r="F139" i="46"/>
  <c r="AB80" i="47"/>
  <c r="M135" i="47" s="1"/>
  <c r="N136" i="47" s="1"/>
  <c r="AC124" i="49"/>
  <c r="AB80" i="49"/>
  <c r="M135" i="49" s="1"/>
  <c r="N136" i="49" s="1"/>
  <c r="AB123" i="49"/>
  <c r="M178" i="49" s="1"/>
  <c r="AD123" i="42"/>
  <c r="E237" i="42" s="1"/>
  <c r="AC123" i="42"/>
  <c r="AC111" i="45"/>
  <c r="AB98" i="45"/>
  <c r="M153" i="45" s="1"/>
  <c r="G234" i="46"/>
  <c r="N144" i="46"/>
  <c r="U217" i="48"/>
  <c r="Z217" i="48" s="1"/>
  <c r="AB27" i="14" s="1"/>
  <c r="AC113" i="49"/>
  <c r="AB113" i="49"/>
  <c r="M168" i="49" s="1"/>
  <c r="F228" i="49"/>
  <c r="AC97" i="42"/>
  <c r="N140" i="46"/>
  <c r="AD85" i="49"/>
  <c r="E199" i="49" s="1"/>
  <c r="AD123" i="46"/>
  <c r="E237" i="46" s="1"/>
  <c r="G237" i="46" s="1"/>
  <c r="AC123" i="46"/>
  <c r="N180" i="46"/>
  <c r="AK178" i="51"/>
  <c r="F148" i="46"/>
  <c r="AB126" i="49"/>
  <c r="M181" i="49" s="1"/>
  <c r="O181" i="49" s="1"/>
  <c r="AC80" i="45"/>
  <c r="AA92" i="45"/>
  <c r="E147" i="45" s="1"/>
  <c r="N148" i="46"/>
  <c r="AF195" i="49"/>
  <c r="N146" i="50"/>
  <c r="G136" i="41"/>
  <c r="F136" i="41"/>
  <c r="AB105" i="42"/>
  <c r="M160" i="42" s="1"/>
  <c r="O160" i="42" s="1"/>
  <c r="AA101" i="43"/>
  <c r="E156" i="43" s="1"/>
  <c r="AB107" i="45"/>
  <c r="M162" i="45" s="1"/>
  <c r="AC94" i="45"/>
  <c r="AD90" i="45"/>
  <c r="E204" i="45" s="1"/>
  <c r="G204" i="45" s="1"/>
  <c r="AD112" i="45"/>
  <c r="E226" i="45" s="1"/>
  <c r="AB90" i="45"/>
  <c r="M145" i="45" s="1"/>
  <c r="N139" i="46"/>
  <c r="O143" i="46"/>
  <c r="O148" i="46"/>
  <c r="F218" i="46"/>
  <c r="G227" i="49"/>
  <c r="AJ195" i="49"/>
  <c r="AA113" i="49"/>
  <c r="E168" i="49" s="1"/>
  <c r="S227" i="49"/>
  <c r="AC105" i="42"/>
  <c r="AC101" i="43"/>
  <c r="AC107" i="45"/>
  <c r="AA107" i="45"/>
  <c r="E162" i="45" s="1"/>
  <c r="AB92" i="45"/>
  <c r="M147" i="45" s="1"/>
  <c r="AD113" i="42"/>
  <c r="E227" i="42" s="1"/>
  <c r="F228" i="42" s="1"/>
  <c r="AA105" i="42"/>
  <c r="E160" i="42" s="1"/>
  <c r="G160" i="42" s="1"/>
  <c r="AB101" i="43"/>
  <c r="M156" i="43" s="1"/>
  <c r="F206" i="45"/>
  <c r="AC92" i="45"/>
  <c r="F214" i="46"/>
  <c r="G146" i="46"/>
  <c r="N167" i="46"/>
  <c r="G143" i="51"/>
  <c r="F141" i="46"/>
  <c r="G140" i="46"/>
  <c r="O144" i="46"/>
  <c r="Y106" i="41"/>
  <c r="AA95" i="42"/>
  <c r="E150" i="42" s="1"/>
  <c r="AC108" i="45"/>
  <c r="AB108" i="45"/>
  <c r="M163" i="45" s="1"/>
  <c r="AC86" i="45"/>
  <c r="F239" i="46"/>
  <c r="G238" i="46"/>
  <c r="G217" i="45"/>
  <c r="F199" i="45"/>
  <c r="F140" i="46"/>
  <c r="O141" i="46"/>
  <c r="AC95" i="42"/>
  <c r="AA92" i="43"/>
  <c r="E147" i="43" s="1"/>
  <c r="X147" i="43" s="1"/>
  <c r="AB94" i="45"/>
  <c r="M149" i="45" s="1"/>
  <c r="AA94" i="45"/>
  <c r="E149" i="45" s="1"/>
  <c r="AB95" i="49"/>
  <c r="M150" i="49" s="1"/>
  <c r="AM150" i="49" s="1"/>
  <c r="AC95" i="49"/>
  <c r="AA95" i="49"/>
  <c r="E150" i="49" s="1"/>
  <c r="Z150" i="49" s="1"/>
  <c r="O151" i="46"/>
  <c r="G178" i="46"/>
  <c r="G168" i="46"/>
  <c r="F168" i="46"/>
  <c r="O170" i="46"/>
  <c r="AB95" i="42"/>
  <c r="M150" i="42" s="1"/>
  <c r="O150" i="42" s="1"/>
  <c r="AB105" i="43"/>
  <c r="M160" i="43" s="1"/>
  <c r="AK160" i="43" s="1"/>
  <c r="AB92" i="43"/>
  <c r="M147" i="43" s="1"/>
  <c r="AK147" i="43" s="1"/>
  <c r="G196" i="43"/>
  <c r="AC99" i="43"/>
  <c r="AC107" i="43"/>
  <c r="AA122" i="45"/>
  <c r="E177" i="45" s="1"/>
  <c r="F208" i="45"/>
  <c r="O165" i="46"/>
  <c r="AD94" i="46"/>
  <c r="E208" i="46" s="1"/>
  <c r="AC94" i="46"/>
  <c r="F225" i="49"/>
  <c r="F224" i="49"/>
  <c r="G224" i="49"/>
  <c r="AD124" i="49"/>
  <c r="E238" i="49" s="1"/>
  <c r="AB124" i="49"/>
  <c r="M179" i="49" s="1"/>
  <c r="AL179" i="49" s="1"/>
  <c r="AC85" i="49"/>
  <c r="N170" i="46"/>
  <c r="N141" i="46"/>
  <c r="U206" i="49"/>
  <c r="Z206" i="49" s="1"/>
  <c r="AD16" i="14" s="1"/>
  <c r="F151" i="46"/>
  <c r="AB114" i="43"/>
  <c r="M169" i="43" s="1"/>
  <c r="AK169" i="43" s="1"/>
  <c r="AO169" i="43" s="1"/>
  <c r="AX169" i="43" s="1"/>
  <c r="G218" i="46"/>
  <c r="Q195" i="41"/>
  <c r="AC93" i="43"/>
  <c r="G199" i="45"/>
  <c r="AF81" i="41"/>
  <c r="AC124" i="42"/>
  <c r="AD97" i="42"/>
  <c r="E211" i="42" s="1"/>
  <c r="G211" i="42" s="1"/>
  <c r="AA108" i="43"/>
  <c r="E163" i="43" s="1"/>
  <c r="X163" i="43" s="1"/>
  <c r="AB93" i="43"/>
  <c r="M148" i="43" s="1"/>
  <c r="AK148" i="43" s="1"/>
  <c r="AD112" i="43"/>
  <c r="E226" i="43" s="1"/>
  <c r="G226" i="43" s="1"/>
  <c r="AA105" i="43"/>
  <c r="E160" i="43" s="1"/>
  <c r="X160" i="43" s="1"/>
  <c r="AB160" i="43" s="1"/>
  <c r="AC105" i="45"/>
  <c r="AD88" i="45"/>
  <c r="E202" i="45" s="1"/>
  <c r="G150" i="46"/>
  <c r="G161" i="46"/>
  <c r="AA108" i="46"/>
  <c r="E163" i="46" s="1"/>
  <c r="F166" i="46"/>
  <c r="N181" i="46"/>
  <c r="U232" i="49"/>
  <c r="Z232" i="49" s="1"/>
  <c r="F147" i="49"/>
  <c r="F142" i="49"/>
  <c r="U200" i="49"/>
  <c r="Z200" i="49" s="1"/>
  <c r="AD10" i="14" s="1"/>
  <c r="U230" i="49"/>
  <c r="Z230" i="49" s="1"/>
  <c r="AJ230" i="49" s="1"/>
  <c r="N173" i="49"/>
  <c r="X140" i="51"/>
  <c r="AB97" i="42"/>
  <c r="M152" i="42" s="1"/>
  <c r="G152" i="42"/>
  <c r="AC105" i="43"/>
  <c r="AC112" i="43"/>
  <c r="AD108" i="43"/>
  <c r="E222" i="43" s="1"/>
  <c r="F222" i="43" s="1"/>
  <c r="AC108" i="43"/>
  <c r="O167" i="43"/>
  <c r="AD96" i="45"/>
  <c r="E210" i="45" s="1"/>
  <c r="G151" i="45"/>
  <c r="AB124" i="45"/>
  <c r="M179" i="45" s="1"/>
  <c r="O179" i="45" s="1"/>
  <c r="AB108" i="46"/>
  <c r="M163" i="46" s="1"/>
  <c r="N151" i="46"/>
  <c r="F144" i="46"/>
  <c r="G217" i="48"/>
  <c r="U215" i="49"/>
  <c r="Z215" i="49" s="1"/>
  <c r="AD25" i="14" s="1"/>
  <c r="U235" i="49"/>
  <c r="Z235" i="49" s="1"/>
  <c r="AD45" i="14" s="1"/>
  <c r="AB85" i="49"/>
  <c r="M140" i="49" s="1"/>
  <c r="AL140" i="49" s="1"/>
  <c r="U203" i="49"/>
  <c r="Z203" i="49" s="1"/>
  <c r="AD13" i="14" s="1"/>
  <c r="U196" i="49"/>
  <c r="Z196" i="49" s="1"/>
  <c r="AD6" i="14" s="1"/>
  <c r="AC126" i="49"/>
  <c r="F157" i="49"/>
  <c r="AA126" i="49"/>
  <c r="E181" i="49" s="1"/>
  <c r="Z181" i="49" s="1"/>
  <c r="O170" i="50"/>
  <c r="AC116" i="51"/>
  <c r="E142" i="51"/>
  <c r="F142" i="51" s="1"/>
  <c r="O142" i="51"/>
  <c r="N170" i="51"/>
  <c r="AK170" i="51"/>
  <c r="X167" i="51"/>
  <c r="N143" i="51"/>
  <c r="O148" i="51"/>
  <c r="X148" i="51"/>
  <c r="G202" i="51"/>
  <c r="AA116" i="51"/>
  <c r="E171" i="51" s="1"/>
  <c r="F171" i="51" s="1"/>
  <c r="X175" i="51"/>
  <c r="AB116" i="51"/>
  <c r="M171" i="51" s="1"/>
  <c r="AK171" i="51" s="1"/>
  <c r="X180" i="51"/>
  <c r="F181" i="51"/>
  <c r="F202" i="51"/>
  <c r="AD105" i="51"/>
  <c r="E219" i="51" s="1"/>
  <c r="Q219" i="51" s="1"/>
  <c r="AK140" i="51"/>
  <c r="G162" i="51"/>
  <c r="O152" i="51"/>
  <c r="O150" i="51"/>
  <c r="N150" i="51"/>
  <c r="G140" i="51"/>
  <c r="AA105" i="51"/>
  <c r="E160" i="51" s="1"/>
  <c r="AK150" i="51"/>
  <c r="N152" i="51"/>
  <c r="AB105" i="51"/>
  <c r="M160" i="51" s="1"/>
  <c r="N160" i="51" s="1"/>
  <c r="O175" i="51"/>
  <c r="G181" i="51"/>
  <c r="AA113" i="51"/>
  <c r="E168" i="51" s="1"/>
  <c r="G168" i="51" s="1"/>
  <c r="N142" i="51"/>
  <c r="N141" i="51"/>
  <c r="AK156" i="51"/>
  <c r="AD122" i="51"/>
  <c r="E236" i="51" s="1"/>
  <c r="AA122" i="51"/>
  <c r="E177" i="51" s="1"/>
  <c r="AB122" i="51"/>
  <c r="M177" i="51" s="1"/>
  <c r="AB113" i="51"/>
  <c r="M168" i="51" s="1"/>
  <c r="O168" i="51" s="1"/>
  <c r="N149" i="51"/>
  <c r="O141" i="51"/>
  <c r="G240" i="51"/>
  <c r="S122" i="51"/>
  <c r="T122" i="51" s="1"/>
  <c r="R122" i="51"/>
  <c r="N151" i="51"/>
  <c r="X181" i="51"/>
  <c r="AC113" i="51"/>
  <c r="O149" i="51"/>
  <c r="O151" i="51"/>
  <c r="X156" i="51"/>
  <c r="AB91" i="51"/>
  <c r="M146" i="51" s="1"/>
  <c r="AK146" i="51" s="1"/>
  <c r="AK149" i="51"/>
  <c r="Q203" i="51"/>
  <c r="G203" i="51"/>
  <c r="F203" i="51"/>
  <c r="F204" i="51"/>
  <c r="Q222" i="51"/>
  <c r="G222" i="51"/>
  <c r="F222" i="51"/>
  <c r="X157" i="51"/>
  <c r="G157" i="51"/>
  <c r="F157" i="51"/>
  <c r="Q230" i="51"/>
  <c r="G230" i="51"/>
  <c r="F230" i="51"/>
  <c r="F150" i="51"/>
  <c r="X150" i="51"/>
  <c r="G150" i="51"/>
  <c r="Z100" i="51"/>
  <c r="O153" i="51"/>
  <c r="N153" i="51"/>
  <c r="AK153" i="51"/>
  <c r="X153" i="51"/>
  <c r="G153" i="51"/>
  <c r="F153" i="51"/>
  <c r="X173" i="51"/>
  <c r="G173" i="51"/>
  <c r="F173" i="51"/>
  <c r="Z119" i="51"/>
  <c r="AD119" i="51" s="1"/>
  <c r="E233" i="51" s="1"/>
  <c r="AA108" i="51"/>
  <c r="E163" i="51" s="1"/>
  <c r="F164" i="51" s="1"/>
  <c r="X149" i="51"/>
  <c r="F149" i="51"/>
  <c r="G149" i="51"/>
  <c r="X152" i="51"/>
  <c r="G152" i="51"/>
  <c r="F152" i="51"/>
  <c r="AK159" i="51"/>
  <c r="O159" i="51"/>
  <c r="N159" i="51"/>
  <c r="F158" i="51"/>
  <c r="X158" i="51"/>
  <c r="G158" i="51"/>
  <c r="Q232" i="51"/>
  <c r="G232" i="51"/>
  <c r="F232" i="51"/>
  <c r="G159" i="51"/>
  <c r="F159" i="51"/>
  <c r="X159" i="51"/>
  <c r="X141" i="51"/>
  <c r="G141" i="51"/>
  <c r="F141" i="51"/>
  <c r="S106" i="51"/>
  <c r="T106" i="51" s="1"/>
  <c r="R106" i="51"/>
  <c r="S92" i="51"/>
  <c r="T92" i="51" s="1"/>
  <c r="R92" i="51"/>
  <c r="O164" i="51"/>
  <c r="AK164" i="51"/>
  <c r="AB108" i="51"/>
  <c r="M163" i="51" s="1"/>
  <c r="N164" i="51" s="1"/>
  <c r="S84" i="51"/>
  <c r="T84" i="51" s="1"/>
  <c r="R84" i="51"/>
  <c r="O154" i="51"/>
  <c r="N154" i="51"/>
  <c r="AK154" i="51"/>
  <c r="O158" i="51"/>
  <c r="N158" i="51"/>
  <c r="AK158" i="51"/>
  <c r="F138" i="51"/>
  <c r="X138" i="51"/>
  <c r="G138" i="51"/>
  <c r="X165" i="51"/>
  <c r="G165" i="51"/>
  <c r="F165" i="51"/>
  <c r="Q201" i="51"/>
  <c r="G201" i="51"/>
  <c r="F201" i="51"/>
  <c r="Z106" i="51"/>
  <c r="AD106" i="51" s="1"/>
  <c r="E220" i="51" s="1"/>
  <c r="Z92" i="51"/>
  <c r="AD92" i="51" s="1"/>
  <c r="E206" i="51" s="1"/>
  <c r="F223" i="51"/>
  <c r="S111" i="51"/>
  <c r="T111" i="51" s="1"/>
  <c r="R111" i="51"/>
  <c r="Q239" i="51"/>
  <c r="G239" i="51"/>
  <c r="O172" i="51"/>
  <c r="AK172" i="51"/>
  <c r="G194" i="51"/>
  <c r="F194" i="51"/>
  <c r="S119" i="51"/>
  <c r="T119" i="51" s="1"/>
  <c r="R119" i="51"/>
  <c r="Z84" i="51"/>
  <c r="AD84" i="51" s="1"/>
  <c r="E198" i="51" s="1"/>
  <c r="O165" i="51"/>
  <c r="N165" i="51"/>
  <c r="AK165" i="51"/>
  <c r="Q209" i="51"/>
  <c r="G209" i="51"/>
  <c r="F209" i="51"/>
  <c r="AC91" i="51"/>
  <c r="O180" i="51"/>
  <c r="AK180" i="51"/>
  <c r="X137" i="51"/>
  <c r="G137" i="51"/>
  <c r="F137" i="51"/>
  <c r="Z111" i="51"/>
  <c r="F170" i="51"/>
  <c r="X170" i="51"/>
  <c r="G170" i="51"/>
  <c r="O135" i="51"/>
  <c r="N135" i="51"/>
  <c r="AA89" i="51"/>
  <c r="E144" i="51" s="1"/>
  <c r="F154" i="51"/>
  <c r="G154" i="51"/>
  <c r="X154" i="51"/>
  <c r="AA91" i="51"/>
  <c r="E146" i="51" s="1"/>
  <c r="O181" i="51"/>
  <c r="N181" i="51"/>
  <c r="AK181" i="51"/>
  <c r="O173" i="51"/>
  <c r="N173" i="51"/>
  <c r="AK173" i="51"/>
  <c r="Z121" i="51"/>
  <c r="AD121" i="51" s="1"/>
  <c r="E235" i="51" s="1"/>
  <c r="Q227" i="51"/>
  <c r="G227" i="51"/>
  <c r="F227" i="51"/>
  <c r="G151" i="51"/>
  <c r="X151" i="51"/>
  <c r="F151" i="51"/>
  <c r="S100" i="51"/>
  <c r="T100" i="51" s="1"/>
  <c r="R100" i="51"/>
  <c r="AB89" i="51"/>
  <c r="M144" i="51" s="1"/>
  <c r="G197" i="51"/>
  <c r="F197" i="51"/>
  <c r="Q197" i="51"/>
  <c r="G205" i="51"/>
  <c r="F205" i="51"/>
  <c r="Q205" i="51"/>
  <c r="O169" i="51"/>
  <c r="AK169" i="51"/>
  <c r="N169" i="51"/>
  <c r="S124" i="51"/>
  <c r="T124" i="51" s="1"/>
  <c r="R124" i="51"/>
  <c r="F231" i="51"/>
  <c r="Q231" i="51"/>
  <c r="G231" i="51"/>
  <c r="X169" i="51"/>
  <c r="G169" i="51"/>
  <c r="O157" i="51"/>
  <c r="AK157" i="51"/>
  <c r="N157" i="51"/>
  <c r="AC89" i="51"/>
  <c r="O137" i="51"/>
  <c r="N137" i="51"/>
  <c r="AK137" i="51"/>
  <c r="R121" i="51"/>
  <c r="Z124" i="51"/>
  <c r="AD124" i="51" s="1"/>
  <c r="E238" i="51" s="1"/>
  <c r="F239" i="51" s="1"/>
  <c r="AC108" i="51"/>
  <c r="G164" i="51"/>
  <c r="X164" i="51"/>
  <c r="AA94" i="46"/>
  <c r="E149" i="46" s="1"/>
  <c r="F149" i="46" s="1"/>
  <c r="G151" i="46"/>
  <c r="G156" i="49"/>
  <c r="G218" i="49"/>
  <c r="U227" i="49"/>
  <c r="Z227" i="49" s="1"/>
  <c r="AD37" i="14" s="1"/>
  <c r="U236" i="49"/>
  <c r="Z236" i="49" s="1"/>
  <c r="AD46" i="14" s="1"/>
  <c r="AD95" i="49"/>
  <c r="E209" i="49" s="1"/>
  <c r="S209" i="49" s="1"/>
  <c r="F156" i="49"/>
  <c r="F180" i="46"/>
  <c r="F164" i="49"/>
  <c r="Z164" i="49"/>
  <c r="AB164" i="49" s="1"/>
  <c r="O169" i="50"/>
  <c r="U221" i="49"/>
  <c r="Z221" i="49" s="1"/>
  <c r="AD31" i="14" s="1"/>
  <c r="N145" i="46"/>
  <c r="F221" i="46"/>
  <c r="F145" i="46"/>
  <c r="O155" i="46"/>
  <c r="O147" i="46"/>
  <c r="N176" i="46"/>
  <c r="AB104" i="49"/>
  <c r="M159" i="49" s="1"/>
  <c r="N160" i="49" s="1"/>
  <c r="G164" i="49"/>
  <c r="U197" i="49"/>
  <c r="Z197" i="49" s="1"/>
  <c r="AD7" i="14" s="1"/>
  <c r="U228" i="49"/>
  <c r="Z228" i="49" s="1"/>
  <c r="AD38" i="14" s="1"/>
  <c r="S218" i="49"/>
  <c r="U218" i="49" s="1"/>
  <c r="Z218" i="49" s="1"/>
  <c r="F179" i="46"/>
  <c r="G221" i="46"/>
  <c r="O179" i="46"/>
  <c r="U228" i="48"/>
  <c r="Z228" i="48" s="1"/>
  <c r="AB38" i="14" s="1"/>
  <c r="U201" i="48"/>
  <c r="Z201" i="48" s="1"/>
  <c r="AB11" i="14" s="1"/>
  <c r="U198" i="49"/>
  <c r="Z198" i="49" s="1"/>
  <c r="U201" i="49"/>
  <c r="Z201" i="49" s="1"/>
  <c r="AD11" i="14" s="1"/>
  <c r="AC104" i="49"/>
  <c r="Z173" i="49"/>
  <c r="G146" i="50"/>
  <c r="U226" i="48"/>
  <c r="Z226" i="48" s="1"/>
  <c r="AB36" i="14" s="1"/>
  <c r="AA104" i="49"/>
  <c r="E159" i="49" s="1"/>
  <c r="F160" i="49" s="1"/>
  <c r="AB123" i="46"/>
  <c r="M178" i="46" s="1"/>
  <c r="N178" i="46" s="1"/>
  <c r="F217" i="50"/>
  <c r="F197" i="50"/>
  <c r="F220" i="50"/>
  <c r="F228" i="50"/>
  <c r="G198" i="50"/>
  <c r="F219" i="50"/>
  <c r="F209" i="50"/>
  <c r="G139" i="50"/>
  <c r="F140" i="50"/>
  <c r="G154" i="50"/>
  <c r="F196" i="50"/>
  <c r="F221" i="50"/>
  <c r="G163" i="50"/>
  <c r="O145" i="50"/>
  <c r="O179" i="50"/>
  <c r="G196" i="50"/>
  <c r="F180" i="50"/>
  <c r="N155" i="50"/>
  <c r="G162" i="50"/>
  <c r="O175" i="50"/>
  <c r="G180" i="50"/>
  <c r="G228" i="50"/>
  <c r="F162" i="50"/>
  <c r="O147" i="50"/>
  <c r="N159" i="50"/>
  <c r="F229" i="50"/>
  <c r="F175" i="50"/>
  <c r="O154" i="50"/>
  <c r="O180" i="50"/>
  <c r="N137" i="50"/>
  <c r="O137" i="50"/>
  <c r="F163" i="50"/>
  <c r="N180" i="50"/>
  <c r="G169" i="50"/>
  <c r="O140" i="50"/>
  <c r="N181" i="50"/>
  <c r="AM152" i="50"/>
  <c r="F199" i="50"/>
  <c r="O165" i="50"/>
  <c r="AM176" i="50"/>
  <c r="N154" i="50"/>
  <c r="AL142" i="50"/>
  <c r="N142" i="50"/>
  <c r="N177" i="50"/>
  <c r="G144" i="50"/>
  <c r="O142" i="50"/>
  <c r="G142" i="50"/>
  <c r="O172" i="50"/>
  <c r="AA102" i="50"/>
  <c r="E157" i="50" s="1"/>
  <c r="AL144" i="50"/>
  <c r="N169" i="50"/>
  <c r="O177" i="50"/>
  <c r="N139" i="50"/>
  <c r="AM139" i="50"/>
  <c r="F198" i="50"/>
  <c r="N144" i="50"/>
  <c r="N170" i="50"/>
  <c r="O144" i="50"/>
  <c r="AM158" i="50"/>
  <c r="N163" i="50"/>
  <c r="AL152" i="50"/>
  <c r="F139" i="50"/>
  <c r="F176" i="50"/>
  <c r="F147" i="50"/>
  <c r="O152" i="50"/>
  <c r="AM144" i="50"/>
  <c r="F142" i="50"/>
  <c r="G147" i="50"/>
  <c r="F152" i="50"/>
  <c r="F169" i="50"/>
  <c r="N145" i="50"/>
  <c r="N176" i="50"/>
  <c r="O139" i="50"/>
  <c r="AL158" i="50"/>
  <c r="AA94" i="50"/>
  <c r="E149" i="50" s="1"/>
  <c r="AL165" i="50"/>
  <c r="G152" i="50"/>
  <c r="N152" i="50"/>
  <c r="AL176" i="50"/>
  <c r="AL139" i="50"/>
  <c r="AC94" i="50"/>
  <c r="N140" i="50"/>
  <c r="O176" i="50"/>
  <c r="F154" i="50"/>
  <c r="F179" i="50"/>
  <c r="G199" i="50"/>
  <c r="AM142" i="50"/>
  <c r="G165" i="50"/>
  <c r="F146" i="50"/>
  <c r="G176" i="50"/>
  <c r="G220" i="50"/>
  <c r="G175" i="50"/>
  <c r="F200" i="50"/>
  <c r="N166" i="50"/>
  <c r="AM165" i="50"/>
  <c r="AB94" i="50"/>
  <c r="M149" i="50" s="1"/>
  <c r="N165" i="50"/>
  <c r="F165" i="50"/>
  <c r="AM171" i="50"/>
  <c r="AL171" i="50"/>
  <c r="O171" i="50"/>
  <c r="N171" i="50"/>
  <c r="AM153" i="50"/>
  <c r="O153" i="50"/>
  <c r="AL153" i="50"/>
  <c r="N153" i="50"/>
  <c r="AM161" i="50"/>
  <c r="O161" i="50"/>
  <c r="N161" i="50"/>
  <c r="AL161" i="50"/>
  <c r="F161" i="50"/>
  <c r="G161" i="50"/>
  <c r="F171" i="50"/>
  <c r="G171" i="50"/>
  <c r="G216" i="50"/>
  <c r="F216" i="50"/>
  <c r="AM178" i="50"/>
  <c r="AL178" i="50"/>
  <c r="O178" i="50"/>
  <c r="N178" i="50"/>
  <c r="G167" i="50"/>
  <c r="F167" i="50"/>
  <c r="AM150" i="50"/>
  <c r="AL150" i="50"/>
  <c r="O150" i="50"/>
  <c r="AM168" i="50"/>
  <c r="O168" i="50"/>
  <c r="N168" i="50"/>
  <c r="AL168" i="50"/>
  <c r="N174" i="50"/>
  <c r="AM174" i="50"/>
  <c r="O174" i="50"/>
  <c r="AL174" i="50"/>
  <c r="AM167" i="50"/>
  <c r="O167" i="50"/>
  <c r="N167" i="50"/>
  <c r="AL167" i="50"/>
  <c r="G143" i="50"/>
  <c r="F143" i="50"/>
  <c r="G159" i="50"/>
  <c r="F159" i="50"/>
  <c r="G155" i="50"/>
  <c r="F155" i="50"/>
  <c r="F153" i="50"/>
  <c r="G153" i="50"/>
  <c r="N172" i="50"/>
  <c r="G156" i="50"/>
  <c r="F156" i="50"/>
  <c r="G168" i="50"/>
  <c r="F168" i="50"/>
  <c r="F177" i="50"/>
  <c r="G177" i="50"/>
  <c r="G208" i="50"/>
  <c r="F208" i="50"/>
  <c r="AL160" i="50"/>
  <c r="N160" i="50"/>
  <c r="O160" i="50"/>
  <c r="AM160" i="50"/>
  <c r="N179" i="50"/>
  <c r="AM164" i="50"/>
  <c r="AL164" i="50"/>
  <c r="O164" i="50"/>
  <c r="N164" i="50"/>
  <c r="N175" i="50"/>
  <c r="G174" i="50"/>
  <c r="F174" i="50"/>
  <c r="G215" i="50"/>
  <c r="F215" i="50"/>
  <c r="G172" i="50"/>
  <c r="F172" i="50"/>
  <c r="AB102" i="50"/>
  <c r="M157" i="50" s="1"/>
  <c r="G178" i="50"/>
  <c r="F178" i="50"/>
  <c r="AM151" i="50"/>
  <c r="AL151" i="50"/>
  <c r="O151" i="50"/>
  <c r="N151" i="50"/>
  <c r="G150" i="50"/>
  <c r="F194" i="50"/>
  <c r="G194" i="50"/>
  <c r="G160" i="50"/>
  <c r="F160" i="50"/>
  <c r="G240" i="50"/>
  <c r="F240" i="50"/>
  <c r="G148" i="50"/>
  <c r="F148" i="50"/>
  <c r="G218" i="50"/>
  <c r="F218" i="50"/>
  <c r="G158" i="50"/>
  <c r="AC102" i="50"/>
  <c r="F170" i="50"/>
  <c r="G170" i="50"/>
  <c r="AL173" i="50"/>
  <c r="O173" i="50"/>
  <c r="N173" i="50"/>
  <c r="AM173" i="50"/>
  <c r="AM141" i="50"/>
  <c r="O141" i="50"/>
  <c r="AL141" i="50"/>
  <c r="N141" i="50"/>
  <c r="G145" i="50"/>
  <c r="F145" i="50"/>
  <c r="F144" i="50"/>
  <c r="O135" i="50"/>
  <c r="N135" i="50"/>
  <c r="AL143" i="50"/>
  <c r="O143" i="50"/>
  <c r="N143" i="50"/>
  <c r="AM143" i="50"/>
  <c r="G151" i="50"/>
  <c r="F151" i="50"/>
  <c r="G166" i="50"/>
  <c r="F166" i="50"/>
  <c r="N162" i="50"/>
  <c r="G181" i="50"/>
  <c r="F181" i="50"/>
  <c r="AL138" i="50"/>
  <c r="O138" i="50"/>
  <c r="N138" i="50"/>
  <c r="AM138" i="50"/>
  <c r="G138" i="50"/>
  <c r="F138" i="50"/>
  <c r="G141" i="50"/>
  <c r="F141" i="50"/>
  <c r="AM148" i="50"/>
  <c r="AL148" i="50"/>
  <c r="O148" i="50"/>
  <c r="N148" i="50"/>
  <c r="G164" i="50"/>
  <c r="F164" i="50"/>
  <c r="G173" i="50"/>
  <c r="F173" i="50"/>
  <c r="Z140" i="49"/>
  <c r="G140" i="49"/>
  <c r="Y140" i="49"/>
  <c r="F227" i="49"/>
  <c r="R226" i="49"/>
  <c r="S226" i="49"/>
  <c r="P216" i="49"/>
  <c r="R216" i="49"/>
  <c r="S216" i="49"/>
  <c r="F222" i="49"/>
  <c r="R222" i="49"/>
  <c r="S222" i="49"/>
  <c r="P199" i="49"/>
  <c r="R199" i="49"/>
  <c r="S199" i="49"/>
  <c r="S219" i="49"/>
  <c r="R219" i="49"/>
  <c r="N147" i="49"/>
  <c r="G222" i="49"/>
  <c r="U212" i="49"/>
  <c r="Z212" i="49" s="1"/>
  <c r="AD22" i="14" s="1"/>
  <c r="Z148" i="49"/>
  <c r="S231" i="49"/>
  <c r="R231" i="49"/>
  <c r="U220" i="49"/>
  <c r="Z220" i="49" s="1"/>
  <c r="U234" i="49"/>
  <c r="Z234" i="49" s="1"/>
  <c r="AD44" i="14" s="1"/>
  <c r="R209" i="49"/>
  <c r="P239" i="49"/>
  <c r="R239" i="49"/>
  <c r="S239" i="49"/>
  <c r="Y148" i="49"/>
  <c r="R240" i="49"/>
  <c r="S240" i="49"/>
  <c r="G209" i="49"/>
  <c r="F232" i="49"/>
  <c r="F203" i="49"/>
  <c r="R202" i="49"/>
  <c r="S202" i="49"/>
  <c r="F231" i="49"/>
  <c r="Y144" i="49"/>
  <c r="AB144" i="49" s="1"/>
  <c r="F205" i="49"/>
  <c r="R204" i="49"/>
  <c r="S204" i="49"/>
  <c r="R224" i="49"/>
  <c r="S224" i="49"/>
  <c r="U214" i="49"/>
  <c r="Z214" i="49" s="1"/>
  <c r="AD24" i="14" s="1"/>
  <c r="R213" i="49"/>
  <c r="S213" i="49"/>
  <c r="F218" i="49"/>
  <c r="R217" i="49"/>
  <c r="S217" i="49"/>
  <c r="U229" i="49"/>
  <c r="Z229" i="49" s="1"/>
  <c r="AD39" i="14" s="1"/>
  <c r="G144" i="49"/>
  <c r="R233" i="49"/>
  <c r="S233" i="49"/>
  <c r="G231" i="49"/>
  <c r="U211" i="49"/>
  <c r="Z211" i="49" s="1"/>
  <c r="U225" i="49"/>
  <c r="Z225" i="49" s="1"/>
  <c r="F223" i="49"/>
  <c r="F148" i="49"/>
  <c r="Y181" i="49"/>
  <c r="R237" i="49"/>
  <c r="S237" i="49"/>
  <c r="G148" i="49"/>
  <c r="F145" i="49"/>
  <c r="U205" i="49"/>
  <c r="Z205" i="49" s="1"/>
  <c r="AD15" i="14" s="1"/>
  <c r="S207" i="49"/>
  <c r="R207" i="49"/>
  <c r="U210" i="49"/>
  <c r="Z210" i="49" s="1"/>
  <c r="AD20" i="14" s="1"/>
  <c r="U223" i="49"/>
  <c r="Z223" i="49" s="1"/>
  <c r="AD33" i="14" s="1"/>
  <c r="R208" i="49"/>
  <c r="S208" i="49"/>
  <c r="F155" i="49"/>
  <c r="Z154" i="49"/>
  <c r="O144" i="49"/>
  <c r="Y173" i="49"/>
  <c r="Y154" i="49"/>
  <c r="AM149" i="49"/>
  <c r="AO149" i="49" s="1"/>
  <c r="AX149" i="49" s="1"/>
  <c r="O153" i="49"/>
  <c r="AB163" i="49"/>
  <c r="O149" i="49"/>
  <c r="F174" i="49"/>
  <c r="O161" i="49"/>
  <c r="G174" i="49"/>
  <c r="G154" i="49"/>
  <c r="F154" i="49"/>
  <c r="Z143" i="49"/>
  <c r="P222" i="49"/>
  <c r="AL157" i="49"/>
  <c r="AM157" i="49"/>
  <c r="AL142" i="49"/>
  <c r="AM142" i="49"/>
  <c r="N153" i="49"/>
  <c r="AM152" i="49"/>
  <c r="AL152" i="49"/>
  <c r="F150" i="49"/>
  <c r="F204" i="49"/>
  <c r="AL174" i="49"/>
  <c r="AM174" i="49"/>
  <c r="AO143" i="49"/>
  <c r="AX143" i="49" s="1"/>
  <c r="Y150" i="49"/>
  <c r="AB150" i="49" s="1"/>
  <c r="N137" i="49"/>
  <c r="AL137" i="49"/>
  <c r="AM137" i="49"/>
  <c r="O171" i="49"/>
  <c r="AL171" i="49"/>
  <c r="AM171" i="49"/>
  <c r="Z177" i="49"/>
  <c r="AB177" i="49" s="1"/>
  <c r="O155" i="49"/>
  <c r="AL155" i="49"/>
  <c r="AM155" i="49"/>
  <c r="AL163" i="49"/>
  <c r="AM163" i="49"/>
  <c r="AL173" i="49"/>
  <c r="AM173" i="49"/>
  <c r="AL175" i="49"/>
  <c r="AM175" i="49"/>
  <c r="Y143" i="49"/>
  <c r="G147" i="49"/>
  <c r="G150" i="49"/>
  <c r="AL165" i="49"/>
  <c r="AM165" i="49"/>
  <c r="AL162" i="49"/>
  <c r="AM162" i="49"/>
  <c r="G204" i="49"/>
  <c r="F143" i="49"/>
  <c r="G177" i="49"/>
  <c r="O172" i="49"/>
  <c r="AL172" i="49"/>
  <c r="AM172" i="49"/>
  <c r="O158" i="49"/>
  <c r="AL158" i="49"/>
  <c r="AM158" i="49"/>
  <c r="AJ145" i="49"/>
  <c r="AL145" i="49"/>
  <c r="AM145" i="49"/>
  <c r="AM164" i="49"/>
  <c r="AL164" i="49"/>
  <c r="AM168" i="49"/>
  <c r="AL168" i="49"/>
  <c r="AM156" i="49"/>
  <c r="AL156" i="49"/>
  <c r="AL141" i="49"/>
  <c r="AM141" i="49"/>
  <c r="F144" i="49"/>
  <c r="P204" i="49"/>
  <c r="AL178" i="49"/>
  <c r="AM178" i="49"/>
  <c r="AL161" i="49"/>
  <c r="AM161" i="49"/>
  <c r="AL138" i="49"/>
  <c r="AM138" i="49"/>
  <c r="AM179" i="49"/>
  <c r="AK147" i="49"/>
  <c r="AL147" i="49"/>
  <c r="AM147" i="49"/>
  <c r="AL153" i="49"/>
  <c r="AM153" i="49"/>
  <c r="AL170" i="49"/>
  <c r="AM170" i="49"/>
  <c r="AL166" i="49"/>
  <c r="AM166" i="49"/>
  <c r="N177" i="49"/>
  <c r="AM176" i="49"/>
  <c r="AL176" i="49"/>
  <c r="AL169" i="49"/>
  <c r="AM169" i="49"/>
  <c r="AL177" i="49"/>
  <c r="AM177" i="49"/>
  <c r="Z174" i="49"/>
  <c r="AB174" i="49" s="1"/>
  <c r="AL151" i="49"/>
  <c r="AM151" i="49"/>
  <c r="AL139" i="49"/>
  <c r="AM139" i="49"/>
  <c r="AL146" i="49"/>
  <c r="AM146" i="49"/>
  <c r="AL167" i="49"/>
  <c r="AM167" i="49"/>
  <c r="AM148" i="49"/>
  <c r="AL148" i="49"/>
  <c r="AL180" i="49"/>
  <c r="AM180" i="49"/>
  <c r="AO160" i="49"/>
  <c r="AX160" i="49" s="1"/>
  <c r="AM144" i="49"/>
  <c r="AL144" i="49"/>
  <c r="AJ155" i="49"/>
  <c r="Y175" i="49"/>
  <c r="Z175" i="49"/>
  <c r="Y172" i="49"/>
  <c r="Z172" i="49"/>
  <c r="F158" i="49"/>
  <c r="Y156" i="49"/>
  <c r="Z156" i="49"/>
  <c r="AK155" i="49"/>
  <c r="AK145" i="49"/>
  <c r="Y151" i="49"/>
  <c r="Z151" i="49"/>
  <c r="P208" i="49"/>
  <c r="AJ137" i="49"/>
  <c r="Y141" i="49"/>
  <c r="Z141" i="49"/>
  <c r="F163" i="49"/>
  <c r="Y162" i="49"/>
  <c r="Z162" i="49"/>
  <c r="Y160" i="49"/>
  <c r="Z160" i="49"/>
  <c r="F200" i="49"/>
  <c r="F216" i="49"/>
  <c r="Y179" i="49"/>
  <c r="Z179" i="49"/>
  <c r="AB158" i="49"/>
  <c r="Y155" i="49"/>
  <c r="Z155" i="49"/>
  <c r="Y139" i="49"/>
  <c r="Z139" i="49"/>
  <c r="Y161" i="49"/>
  <c r="Z161" i="49"/>
  <c r="F173" i="49"/>
  <c r="AB180" i="49"/>
  <c r="N155" i="49"/>
  <c r="AJ171" i="49"/>
  <c r="N145" i="49"/>
  <c r="Y171" i="49"/>
  <c r="Z171" i="49"/>
  <c r="F208" i="49"/>
  <c r="AJ172" i="49"/>
  <c r="G216" i="49"/>
  <c r="F199" i="49"/>
  <c r="Y169" i="49"/>
  <c r="Z169" i="49"/>
  <c r="AB149" i="49"/>
  <c r="Y142" i="49"/>
  <c r="Z142" i="49"/>
  <c r="G208" i="49"/>
  <c r="O137" i="49"/>
  <c r="AK171" i="49"/>
  <c r="O145" i="49"/>
  <c r="AK172" i="49"/>
  <c r="Y166" i="49"/>
  <c r="Z166" i="49"/>
  <c r="G153" i="49"/>
  <c r="G199" i="49"/>
  <c r="Y168" i="49"/>
  <c r="Z168" i="49"/>
  <c r="F239" i="49"/>
  <c r="AB145" i="49"/>
  <c r="Y153" i="49"/>
  <c r="Z153" i="49"/>
  <c r="Y146" i="49"/>
  <c r="Z146" i="49"/>
  <c r="F177" i="49"/>
  <c r="Y176" i="49"/>
  <c r="Z176" i="49"/>
  <c r="Y137" i="49"/>
  <c r="Z137" i="49"/>
  <c r="N171" i="49"/>
  <c r="F153" i="49"/>
  <c r="Y152" i="49"/>
  <c r="Z152" i="49"/>
  <c r="Y165" i="49"/>
  <c r="Z165" i="49"/>
  <c r="N172" i="49"/>
  <c r="Y167" i="49"/>
  <c r="Z167" i="49"/>
  <c r="Y138" i="49"/>
  <c r="Z138" i="49"/>
  <c r="AJ147" i="49"/>
  <c r="G239" i="49"/>
  <c r="Y178" i="49"/>
  <c r="Z178" i="49"/>
  <c r="F240" i="49"/>
  <c r="Y157" i="49"/>
  <c r="Z157" i="49"/>
  <c r="Y170" i="49"/>
  <c r="Z170" i="49"/>
  <c r="AO136" i="49"/>
  <c r="AX136" i="49" s="1"/>
  <c r="Y147" i="49"/>
  <c r="Z147" i="49"/>
  <c r="P213" i="49"/>
  <c r="G213" i="49"/>
  <c r="F213" i="49"/>
  <c r="N175" i="49"/>
  <c r="O175" i="49"/>
  <c r="AK175" i="49"/>
  <c r="AJ175" i="49"/>
  <c r="AJ157" i="49"/>
  <c r="N157" i="49"/>
  <c r="AK157" i="49"/>
  <c r="O157" i="49"/>
  <c r="O180" i="49"/>
  <c r="N180" i="49"/>
  <c r="AK180" i="49"/>
  <c r="AJ180" i="49"/>
  <c r="G166" i="49"/>
  <c r="F166" i="49"/>
  <c r="G160" i="49"/>
  <c r="G167" i="49"/>
  <c r="F167" i="49"/>
  <c r="N142" i="49"/>
  <c r="AK142" i="49"/>
  <c r="AJ142" i="49"/>
  <c r="O142" i="49"/>
  <c r="AJ165" i="49"/>
  <c r="N165" i="49"/>
  <c r="O165" i="49"/>
  <c r="AK165" i="49"/>
  <c r="G170" i="49"/>
  <c r="F170" i="49"/>
  <c r="G146" i="49"/>
  <c r="F146" i="49"/>
  <c r="AJ198" i="49"/>
  <c r="P233" i="49"/>
  <c r="G233" i="49"/>
  <c r="F233" i="49"/>
  <c r="AJ169" i="49"/>
  <c r="O169" i="49"/>
  <c r="N169" i="49"/>
  <c r="AK169" i="49"/>
  <c r="AF206" i="49"/>
  <c r="O176" i="49"/>
  <c r="N176" i="49"/>
  <c r="AK176" i="49"/>
  <c r="AJ176" i="49"/>
  <c r="F219" i="49"/>
  <c r="G219" i="49"/>
  <c r="P219" i="49"/>
  <c r="G171" i="49"/>
  <c r="F171" i="49"/>
  <c r="G139" i="49"/>
  <c r="F139" i="49"/>
  <c r="G175" i="49"/>
  <c r="F175" i="49"/>
  <c r="F194" i="49"/>
  <c r="G194" i="49"/>
  <c r="F195" i="49"/>
  <c r="AF221" i="49"/>
  <c r="AF235" i="49"/>
  <c r="AJ235" i="49"/>
  <c r="G137" i="49"/>
  <c r="F137" i="49"/>
  <c r="AK156" i="49"/>
  <c r="AJ156" i="49"/>
  <c r="O156" i="49"/>
  <c r="N156" i="49"/>
  <c r="G151" i="49"/>
  <c r="F151" i="49"/>
  <c r="N162" i="49"/>
  <c r="AK162" i="49"/>
  <c r="AJ162" i="49"/>
  <c r="O162" i="49"/>
  <c r="AJ200" i="49"/>
  <c r="N174" i="49"/>
  <c r="AJ174" i="49"/>
  <c r="O174" i="49"/>
  <c r="AK174" i="49"/>
  <c r="G169" i="49"/>
  <c r="F169" i="49"/>
  <c r="G179" i="49"/>
  <c r="F179" i="49"/>
  <c r="F180" i="49"/>
  <c r="O148" i="49"/>
  <c r="N148" i="49"/>
  <c r="AK148" i="49"/>
  <c r="AJ148" i="49"/>
  <c r="O179" i="49"/>
  <c r="N179" i="49"/>
  <c r="AK179" i="49"/>
  <c r="AJ179" i="49"/>
  <c r="N149" i="49"/>
  <c r="G152" i="49"/>
  <c r="F152" i="49"/>
  <c r="N170" i="49"/>
  <c r="AK170" i="49"/>
  <c r="AJ170" i="49"/>
  <c r="O170" i="49"/>
  <c r="P207" i="49"/>
  <c r="G207" i="49"/>
  <c r="F207" i="49"/>
  <c r="AJ141" i="49"/>
  <c r="AK141" i="49"/>
  <c r="N141" i="49"/>
  <c r="O141" i="49"/>
  <c r="N138" i="49"/>
  <c r="AJ138" i="49"/>
  <c r="O138" i="49"/>
  <c r="AK138" i="49"/>
  <c r="G161" i="49"/>
  <c r="F161" i="49"/>
  <c r="G138" i="49"/>
  <c r="F138" i="49"/>
  <c r="G168" i="49"/>
  <c r="F168" i="49"/>
  <c r="N163" i="49"/>
  <c r="F234" i="49"/>
  <c r="AK164" i="49"/>
  <c r="AJ164" i="49"/>
  <c r="O164" i="49"/>
  <c r="N164" i="49"/>
  <c r="AF220" i="49"/>
  <c r="O168" i="49"/>
  <c r="N168" i="49"/>
  <c r="AJ168" i="49"/>
  <c r="AK168" i="49"/>
  <c r="N139" i="49"/>
  <c r="O139" i="49"/>
  <c r="AK139" i="49"/>
  <c r="AJ139" i="49"/>
  <c r="F214" i="49"/>
  <c r="P226" i="49"/>
  <c r="G226" i="49"/>
  <c r="F226" i="49"/>
  <c r="AK140" i="49"/>
  <c r="AJ140" i="49"/>
  <c r="O140" i="49"/>
  <c r="P217" i="49"/>
  <c r="G217" i="49"/>
  <c r="F217" i="49"/>
  <c r="G141" i="49"/>
  <c r="F141" i="49"/>
  <c r="G172" i="49"/>
  <c r="F172" i="49"/>
  <c r="P202" i="49"/>
  <c r="G202" i="49"/>
  <c r="F202" i="49"/>
  <c r="F220" i="49"/>
  <c r="N143" i="49"/>
  <c r="AO154" i="49"/>
  <c r="G176" i="49"/>
  <c r="F176" i="49"/>
  <c r="O167" i="49"/>
  <c r="N167" i="49"/>
  <c r="AK167" i="49"/>
  <c r="AJ167" i="49"/>
  <c r="AK159" i="49"/>
  <c r="AJ159" i="49"/>
  <c r="AF215" i="49"/>
  <c r="N152" i="49"/>
  <c r="AK152" i="49"/>
  <c r="AJ152" i="49"/>
  <c r="O152" i="49"/>
  <c r="O151" i="49"/>
  <c r="AK151" i="49"/>
  <c r="AJ151" i="49"/>
  <c r="N146" i="49"/>
  <c r="AK146" i="49"/>
  <c r="AJ146" i="49"/>
  <c r="O146" i="49"/>
  <c r="G165" i="49"/>
  <c r="F165" i="49"/>
  <c r="N166" i="49"/>
  <c r="AK166" i="49"/>
  <c r="AJ166" i="49"/>
  <c r="O166" i="49"/>
  <c r="F140" i="49"/>
  <c r="G162" i="49"/>
  <c r="F162" i="49"/>
  <c r="N158" i="49"/>
  <c r="N178" i="49"/>
  <c r="AK178" i="49"/>
  <c r="AJ178" i="49"/>
  <c r="O178" i="49"/>
  <c r="G178" i="49"/>
  <c r="F178" i="49"/>
  <c r="G228" i="48"/>
  <c r="U223" i="48"/>
  <c r="Z223" i="48" s="1"/>
  <c r="AB33" i="14" s="1"/>
  <c r="G223" i="48"/>
  <c r="F224" i="48"/>
  <c r="G206" i="48"/>
  <c r="G207" i="48"/>
  <c r="G226" i="48"/>
  <c r="G201" i="48"/>
  <c r="G237" i="48"/>
  <c r="U206" i="48"/>
  <c r="Z206" i="48" s="1"/>
  <c r="G210" i="48"/>
  <c r="U227" i="48"/>
  <c r="Z227" i="48" s="1"/>
  <c r="F228" i="48"/>
  <c r="F238" i="48"/>
  <c r="G238" i="48"/>
  <c r="U238" i="48"/>
  <c r="Z238" i="48" s="1"/>
  <c r="U215" i="48"/>
  <c r="Z215" i="48" s="1"/>
  <c r="G215" i="48"/>
  <c r="F216" i="48"/>
  <c r="F217" i="48"/>
  <c r="G216" i="48"/>
  <c r="F227" i="48"/>
  <c r="U216" i="48"/>
  <c r="Z216" i="48" s="1"/>
  <c r="AB86" i="48"/>
  <c r="G196" i="48"/>
  <c r="U196" i="48"/>
  <c r="Z196" i="48" s="1"/>
  <c r="O151" i="48"/>
  <c r="F196" i="48"/>
  <c r="AO136" i="48"/>
  <c r="AX136" i="48" s="1"/>
  <c r="G227" i="48"/>
  <c r="G172" i="48"/>
  <c r="U237" i="48"/>
  <c r="Z237" i="48" s="1"/>
  <c r="U210" i="48"/>
  <c r="Z210" i="48" s="1"/>
  <c r="G205" i="48"/>
  <c r="G236" i="48"/>
  <c r="G204" i="48"/>
  <c r="U231" i="48"/>
  <c r="Z231" i="48" s="1"/>
  <c r="U205" i="48"/>
  <c r="Z205" i="48" s="1"/>
  <c r="F232" i="48"/>
  <c r="F172" i="48"/>
  <c r="U236" i="48"/>
  <c r="Z236" i="48" s="1"/>
  <c r="G231" i="48"/>
  <c r="G232" i="48"/>
  <c r="F160" i="48"/>
  <c r="F167" i="48"/>
  <c r="F236" i="48"/>
  <c r="G139" i="48"/>
  <c r="U232" i="48"/>
  <c r="Z232" i="48" s="1"/>
  <c r="G166" i="48"/>
  <c r="Y139" i="48"/>
  <c r="AB139" i="48" s="1"/>
  <c r="O175" i="48"/>
  <c r="F237" i="48"/>
  <c r="F206" i="48"/>
  <c r="F166" i="48"/>
  <c r="R233" i="48"/>
  <c r="U233" i="48" s="1"/>
  <c r="Z233" i="48" s="1"/>
  <c r="AB43" i="14" s="1"/>
  <c r="G233" i="48"/>
  <c r="F233" i="48"/>
  <c r="G145" i="48"/>
  <c r="Y145" i="48"/>
  <c r="AB145" i="48" s="1"/>
  <c r="R219" i="48"/>
  <c r="U219" i="48" s="1"/>
  <c r="Z219" i="48" s="1"/>
  <c r="AB29" i="14" s="1"/>
  <c r="G219" i="48"/>
  <c r="F219" i="48"/>
  <c r="R222" i="48"/>
  <c r="U222" i="48" s="1"/>
  <c r="Z222" i="48" s="1"/>
  <c r="AB32" i="14" s="1"/>
  <c r="G222" i="48"/>
  <c r="F222" i="48"/>
  <c r="F223" i="48"/>
  <c r="Y164" i="48"/>
  <c r="AB164" i="48" s="1"/>
  <c r="G164" i="48"/>
  <c r="AL147" i="48"/>
  <c r="AO147" i="48" s="1"/>
  <c r="AX147" i="48" s="1"/>
  <c r="O147" i="48"/>
  <c r="R212" i="48"/>
  <c r="U212" i="48" s="1"/>
  <c r="Z212" i="48" s="1"/>
  <c r="AB22" i="14" s="1"/>
  <c r="F212" i="48"/>
  <c r="G212" i="48"/>
  <c r="R209" i="48"/>
  <c r="U209" i="48" s="1"/>
  <c r="Z209" i="48" s="1"/>
  <c r="F209" i="48"/>
  <c r="F210" i="48"/>
  <c r="G209" i="48"/>
  <c r="R197" i="48"/>
  <c r="U197" i="48" s="1"/>
  <c r="Z197" i="48" s="1"/>
  <c r="AB7" i="14" s="1"/>
  <c r="F197" i="48"/>
  <c r="G197" i="48"/>
  <c r="R208" i="48"/>
  <c r="U208" i="48" s="1"/>
  <c r="Z208" i="48" s="1"/>
  <c r="G208" i="48"/>
  <c r="R229" i="48"/>
  <c r="U229" i="48" s="1"/>
  <c r="Z229" i="48" s="1"/>
  <c r="F229" i="48"/>
  <c r="G229" i="48"/>
  <c r="AL169" i="48"/>
  <c r="AO169" i="48" s="1"/>
  <c r="AX169" i="48" s="1"/>
  <c r="O169" i="48"/>
  <c r="R220" i="48"/>
  <c r="U220" i="48" s="1"/>
  <c r="Z220" i="48" s="1"/>
  <c r="AB30" i="14" s="1"/>
  <c r="F220" i="48"/>
  <c r="G220" i="48"/>
  <c r="AL139" i="48"/>
  <c r="AO139" i="48" s="1"/>
  <c r="AX139" i="48" s="1"/>
  <c r="O139" i="48"/>
  <c r="R203" i="48"/>
  <c r="U203" i="48" s="1"/>
  <c r="Z203" i="48" s="1"/>
  <c r="AB13" i="14" s="1"/>
  <c r="G203" i="48"/>
  <c r="G173" i="48"/>
  <c r="Y173" i="48"/>
  <c r="AB173" i="48" s="1"/>
  <c r="R218" i="48"/>
  <c r="U218" i="48" s="1"/>
  <c r="Z218" i="48" s="1"/>
  <c r="AB28" i="14" s="1"/>
  <c r="G218" i="48"/>
  <c r="F218" i="48"/>
  <c r="AL143" i="48"/>
  <c r="AO143" i="48" s="1"/>
  <c r="AX143" i="48" s="1"/>
  <c r="O143" i="48"/>
  <c r="R213" i="48"/>
  <c r="U213" i="48" s="1"/>
  <c r="Z213" i="48" s="1"/>
  <c r="AB23" i="14" s="1"/>
  <c r="G213" i="48"/>
  <c r="F213" i="48"/>
  <c r="G160" i="48"/>
  <c r="G221" i="48"/>
  <c r="F214" i="48"/>
  <c r="F211" i="48"/>
  <c r="G198" i="48"/>
  <c r="AD86" i="48"/>
  <c r="E200" i="48" s="1"/>
  <c r="F198" i="48"/>
  <c r="U221" i="48"/>
  <c r="Z221" i="48" s="1"/>
  <c r="G214" i="48"/>
  <c r="G211" i="48"/>
  <c r="U198" i="48"/>
  <c r="Z198" i="48" s="1"/>
  <c r="F221" i="48"/>
  <c r="U214" i="48"/>
  <c r="Z214" i="48" s="1"/>
  <c r="U211" i="48"/>
  <c r="Z211" i="48" s="1"/>
  <c r="F234" i="48"/>
  <c r="U239" i="48"/>
  <c r="Z239" i="48" s="1"/>
  <c r="G234" i="48"/>
  <c r="F239" i="48"/>
  <c r="N148" i="48"/>
  <c r="F235" i="48"/>
  <c r="U234" i="48"/>
  <c r="Z234" i="48" s="1"/>
  <c r="G239" i="48"/>
  <c r="O148" i="48"/>
  <c r="F215" i="48"/>
  <c r="N167" i="48"/>
  <c r="AC86" i="48"/>
  <c r="F177" i="48"/>
  <c r="Y138" i="48"/>
  <c r="AB138" i="48" s="1"/>
  <c r="G177" i="48"/>
  <c r="G142" i="48"/>
  <c r="G147" i="48"/>
  <c r="N174" i="48"/>
  <c r="O167" i="48"/>
  <c r="G153" i="48"/>
  <c r="F148" i="48"/>
  <c r="O178" i="48"/>
  <c r="O153" i="48"/>
  <c r="G148" i="48"/>
  <c r="O173" i="48"/>
  <c r="O166" i="48"/>
  <c r="F173" i="48"/>
  <c r="F164" i="48"/>
  <c r="Y168" i="48"/>
  <c r="AB168" i="48" s="1"/>
  <c r="AO163" i="48"/>
  <c r="AX163" i="48" s="1"/>
  <c r="F180" i="48"/>
  <c r="G180" i="48"/>
  <c r="U204" i="48"/>
  <c r="Z204" i="48" s="1"/>
  <c r="F204" i="48"/>
  <c r="F154" i="48"/>
  <c r="O164" i="48"/>
  <c r="O172" i="48"/>
  <c r="N173" i="48"/>
  <c r="G154" i="48"/>
  <c r="N175" i="48"/>
  <c r="F170" i="48"/>
  <c r="AO164" i="48"/>
  <c r="AX164" i="48" s="1"/>
  <c r="F205" i="48"/>
  <c r="F208" i="48"/>
  <c r="O174" i="48"/>
  <c r="F203" i="48"/>
  <c r="R202" i="48"/>
  <c r="U207" i="48"/>
  <c r="Z207" i="48" s="1"/>
  <c r="R199" i="48"/>
  <c r="F207" i="48"/>
  <c r="O163" i="48"/>
  <c r="F169" i="48"/>
  <c r="N180" i="48"/>
  <c r="AL179" i="48"/>
  <c r="N166" i="48"/>
  <c r="G169" i="48"/>
  <c r="N160" i="48"/>
  <c r="N139" i="48"/>
  <c r="AL138" i="48"/>
  <c r="O180" i="48"/>
  <c r="O145" i="48"/>
  <c r="Y169" i="48"/>
  <c r="AB169" i="48" s="1"/>
  <c r="N163" i="48"/>
  <c r="AL162" i="48"/>
  <c r="O170" i="48"/>
  <c r="AO172" i="48"/>
  <c r="AX172" i="48" s="1"/>
  <c r="G168" i="48"/>
  <c r="AO151" i="48"/>
  <c r="AX151" i="48" s="1"/>
  <c r="AO170" i="48"/>
  <c r="AX170" i="48" s="1"/>
  <c r="AO167" i="48"/>
  <c r="AX167" i="48" s="1"/>
  <c r="N164" i="48"/>
  <c r="AO174" i="48"/>
  <c r="AX174" i="48" s="1"/>
  <c r="N151" i="48"/>
  <c r="N170" i="48"/>
  <c r="N147" i="48"/>
  <c r="AL146" i="48"/>
  <c r="N143" i="48"/>
  <c r="AL142" i="48"/>
  <c r="AU136" i="48"/>
  <c r="BA136" i="48" s="1"/>
  <c r="AO153" i="48"/>
  <c r="AX153" i="48" s="1"/>
  <c r="P230" i="48"/>
  <c r="U230" i="48" s="1"/>
  <c r="Z230" i="48" s="1"/>
  <c r="AB40" i="14" s="1"/>
  <c r="G230" i="48"/>
  <c r="F230" i="48"/>
  <c r="Y162" i="48"/>
  <c r="AB162" i="48" s="1"/>
  <c r="G162" i="48"/>
  <c r="F162" i="48"/>
  <c r="G152" i="48"/>
  <c r="Y152" i="48"/>
  <c r="AB152" i="48" s="1"/>
  <c r="F152" i="48"/>
  <c r="F153" i="48"/>
  <c r="Y156" i="48"/>
  <c r="AB156" i="48" s="1"/>
  <c r="G156" i="48"/>
  <c r="F156" i="48"/>
  <c r="AJ168" i="48"/>
  <c r="O168" i="48"/>
  <c r="N168" i="48"/>
  <c r="AK168" i="48"/>
  <c r="N177" i="48"/>
  <c r="AK177" i="48"/>
  <c r="AJ177" i="48"/>
  <c r="O177" i="48"/>
  <c r="Y141" i="48"/>
  <c r="AB141" i="48" s="1"/>
  <c r="G141" i="48"/>
  <c r="F141" i="48"/>
  <c r="Y158" i="48"/>
  <c r="AB158" i="48" s="1"/>
  <c r="F158" i="48"/>
  <c r="G158" i="48"/>
  <c r="O155" i="48"/>
  <c r="N155" i="48"/>
  <c r="AJ155" i="48"/>
  <c r="AK155" i="48"/>
  <c r="Y179" i="48"/>
  <c r="AB179" i="48" s="1"/>
  <c r="G179" i="48"/>
  <c r="F179" i="48"/>
  <c r="Y161" i="48"/>
  <c r="AB161" i="48" s="1"/>
  <c r="G161" i="48"/>
  <c r="F161" i="48"/>
  <c r="AF201" i="48"/>
  <c r="AJ156" i="48"/>
  <c r="O156" i="48"/>
  <c r="N156" i="48"/>
  <c r="AK156" i="48"/>
  <c r="Y178" i="48"/>
  <c r="AB178" i="48" s="1"/>
  <c r="F178" i="48"/>
  <c r="G178" i="48"/>
  <c r="N161" i="48"/>
  <c r="AJ161" i="48"/>
  <c r="O161" i="48"/>
  <c r="AK161" i="48"/>
  <c r="N157" i="48"/>
  <c r="AJ157" i="48"/>
  <c r="AK157" i="48"/>
  <c r="O157" i="48"/>
  <c r="P225" i="48"/>
  <c r="U225" i="48" s="1"/>
  <c r="Z225" i="48" s="1"/>
  <c r="AB35" i="14" s="1"/>
  <c r="G225" i="48"/>
  <c r="F225" i="48"/>
  <c r="Y146" i="48"/>
  <c r="AB146" i="48" s="1"/>
  <c r="F146" i="48"/>
  <c r="G146" i="48"/>
  <c r="O144" i="48"/>
  <c r="N144" i="48"/>
  <c r="AK144" i="48"/>
  <c r="AJ144" i="48"/>
  <c r="AJ176" i="48"/>
  <c r="N176" i="48"/>
  <c r="AK176" i="48"/>
  <c r="O176" i="48"/>
  <c r="O137" i="48"/>
  <c r="N137" i="48"/>
  <c r="AK137" i="48"/>
  <c r="AJ137" i="48"/>
  <c r="O141" i="48"/>
  <c r="N141" i="48"/>
  <c r="AK141" i="48"/>
  <c r="AJ141" i="48"/>
  <c r="AO180" i="48"/>
  <c r="AX180" i="48" s="1"/>
  <c r="AJ150" i="48"/>
  <c r="AK150" i="48"/>
  <c r="O150" i="48"/>
  <c r="N150" i="48"/>
  <c r="AO166" i="48"/>
  <c r="AX166" i="48" s="1"/>
  <c r="O146" i="48"/>
  <c r="N146" i="48"/>
  <c r="AK146" i="48"/>
  <c r="AJ146" i="48"/>
  <c r="O171" i="48"/>
  <c r="N171" i="48"/>
  <c r="AK171" i="48"/>
  <c r="AJ171" i="48"/>
  <c r="Y171" i="48"/>
  <c r="AB171" i="48" s="1"/>
  <c r="G171" i="48"/>
  <c r="F171" i="48"/>
  <c r="N169" i="48"/>
  <c r="F147" i="48"/>
  <c r="O140" i="48"/>
  <c r="N140" i="48"/>
  <c r="AK140" i="48"/>
  <c r="AJ140" i="48"/>
  <c r="AJ195" i="48"/>
  <c r="AF195" i="48"/>
  <c r="AO145" i="48"/>
  <c r="AX145" i="48" s="1"/>
  <c r="N165" i="48"/>
  <c r="AJ165" i="48"/>
  <c r="O165" i="48"/>
  <c r="AK165" i="48"/>
  <c r="Y163" i="48"/>
  <c r="AB163" i="48" s="1"/>
  <c r="G163" i="48"/>
  <c r="F163" i="48"/>
  <c r="Y144" i="48"/>
  <c r="AB144" i="48" s="1"/>
  <c r="G144" i="48"/>
  <c r="F144" i="48"/>
  <c r="AO178" i="48"/>
  <c r="AX178" i="48" s="1"/>
  <c r="AJ152" i="48"/>
  <c r="AK152" i="48"/>
  <c r="O152" i="48"/>
  <c r="N152" i="48"/>
  <c r="P202" i="48"/>
  <c r="G202" i="48"/>
  <c r="F202" i="48"/>
  <c r="Y165" i="48"/>
  <c r="AB165" i="48" s="1"/>
  <c r="G165" i="48"/>
  <c r="F165" i="48"/>
  <c r="F231" i="48"/>
  <c r="N153" i="48"/>
  <c r="AJ142" i="48"/>
  <c r="O142" i="48"/>
  <c r="N142" i="48"/>
  <c r="AK142" i="48"/>
  <c r="N162" i="48"/>
  <c r="AK162" i="48"/>
  <c r="AJ162" i="48"/>
  <c r="O162" i="48"/>
  <c r="AO173" i="48"/>
  <c r="AX173" i="48" s="1"/>
  <c r="O138" i="48"/>
  <c r="N138" i="48"/>
  <c r="AK138" i="48"/>
  <c r="AJ138" i="48"/>
  <c r="N154" i="48"/>
  <c r="AK154" i="48"/>
  <c r="AJ154" i="48"/>
  <c r="O154" i="48"/>
  <c r="Y149" i="48"/>
  <c r="AB149" i="48" s="1"/>
  <c r="G149" i="48"/>
  <c r="F149" i="48"/>
  <c r="AO160" i="48"/>
  <c r="AX160" i="48" s="1"/>
  <c r="O159" i="48"/>
  <c r="N159" i="48"/>
  <c r="AK159" i="48"/>
  <c r="AJ159" i="48"/>
  <c r="G194" i="48"/>
  <c r="F194" i="48"/>
  <c r="AJ224" i="48"/>
  <c r="AF224" i="48"/>
  <c r="F226" i="48"/>
  <c r="F145" i="48"/>
  <c r="AK179" i="48"/>
  <c r="AJ179" i="48"/>
  <c r="O179" i="48"/>
  <c r="N179" i="48"/>
  <c r="G199" i="48"/>
  <c r="F199" i="48"/>
  <c r="P199" i="48"/>
  <c r="O149" i="48"/>
  <c r="N149" i="48"/>
  <c r="AK149" i="48"/>
  <c r="AJ149" i="48"/>
  <c r="Y155" i="48"/>
  <c r="AB155" i="48" s="1"/>
  <c r="G155" i="48"/>
  <c r="F155" i="48"/>
  <c r="Y181" i="48"/>
  <c r="AB181" i="48" s="1"/>
  <c r="G181" i="48"/>
  <c r="F181" i="48"/>
  <c r="N158" i="48"/>
  <c r="O158" i="48"/>
  <c r="AK158" i="48"/>
  <c r="AJ158" i="48"/>
  <c r="P240" i="48"/>
  <c r="U240" i="48" s="1"/>
  <c r="Z240" i="48" s="1"/>
  <c r="AB50" i="14" s="1"/>
  <c r="G240" i="48"/>
  <c r="F240" i="48"/>
  <c r="O181" i="48"/>
  <c r="N181" i="48"/>
  <c r="AK181" i="48"/>
  <c r="AJ181" i="48"/>
  <c r="Y157" i="48"/>
  <c r="AB157" i="48" s="1"/>
  <c r="F157" i="48"/>
  <c r="G157" i="48"/>
  <c r="N145" i="48"/>
  <c r="Y150" i="48"/>
  <c r="AB150" i="48" s="1"/>
  <c r="G150" i="48"/>
  <c r="F150" i="48"/>
  <c r="AO148" i="48"/>
  <c r="AX148" i="48" s="1"/>
  <c r="F142" i="48"/>
  <c r="Y151" i="48"/>
  <c r="AB151" i="48" s="1"/>
  <c r="G151" i="48"/>
  <c r="F151" i="48"/>
  <c r="Y143" i="48"/>
  <c r="AB143" i="48" s="1"/>
  <c r="G143" i="48"/>
  <c r="F143" i="48"/>
  <c r="AJ235" i="48"/>
  <c r="AF235" i="48"/>
  <c r="N178" i="48"/>
  <c r="F159" i="48"/>
  <c r="Y174" i="48"/>
  <c r="AB174" i="48" s="1"/>
  <c r="G174" i="48"/>
  <c r="F174" i="48"/>
  <c r="G176" i="48"/>
  <c r="Y176" i="48"/>
  <c r="AB176" i="48" s="1"/>
  <c r="F176" i="48"/>
  <c r="Y137" i="48"/>
  <c r="AB137" i="48" s="1"/>
  <c r="G137" i="48"/>
  <c r="F137" i="48"/>
  <c r="O135" i="48"/>
  <c r="N135" i="48"/>
  <c r="AO175" i="48"/>
  <c r="AX175" i="48" s="1"/>
  <c r="N172" i="48"/>
  <c r="AA99" i="46"/>
  <c r="E154" i="46" s="1"/>
  <c r="G154" i="46" s="1"/>
  <c r="AC99" i="46"/>
  <c r="F225" i="46"/>
  <c r="AB99" i="46"/>
  <c r="M154" i="46" s="1"/>
  <c r="N155" i="46" s="1"/>
  <c r="AB94" i="46"/>
  <c r="M149" i="46" s="1"/>
  <c r="O149" i="46" s="1"/>
  <c r="N137" i="46"/>
  <c r="F137" i="46"/>
  <c r="F224" i="46"/>
  <c r="G137" i="46"/>
  <c r="Q237" i="47"/>
  <c r="Q235" i="47"/>
  <c r="Q223" i="47"/>
  <c r="Q229" i="47"/>
  <c r="Q224" i="47"/>
  <c r="Q219" i="47"/>
  <c r="Q211" i="47"/>
  <c r="Q201" i="47"/>
  <c r="Q202" i="47"/>
  <c r="Q218" i="47"/>
  <c r="Q222" i="47"/>
  <c r="Q196" i="47"/>
  <c r="Q239" i="47"/>
  <c r="Q220" i="47"/>
  <c r="Q226" i="47"/>
  <c r="Q234" i="47"/>
  <c r="Q240" i="47"/>
  <c r="Q210" i="47"/>
  <c r="Q207" i="47"/>
  <c r="Q225" i="47"/>
  <c r="Q221" i="47"/>
  <c r="Q206" i="47"/>
  <c r="Q199" i="47"/>
  <c r="Q217" i="47"/>
  <c r="Q208" i="47"/>
  <c r="Q236" i="47"/>
  <c r="Q231" i="47"/>
  <c r="Q232" i="47"/>
  <c r="Q200" i="47"/>
  <c r="Q203" i="47"/>
  <c r="Q209" i="47"/>
  <c r="Q233" i="47"/>
  <c r="Q198" i="47"/>
  <c r="Q230" i="47"/>
  <c r="AD99" i="47"/>
  <c r="E213" i="47" s="1"/>
  <c r="AA99" i="47"/>
  <c r="E154" i="47" s="1"/>
  <c r="X154" i="47" s="1"/>
  <c r="Q227" i="47"/>
  <c r="AB99" i="47"/>
  <c r="M154" i="47" s="1"/>
  <c r="AK171" i="47"/>
  <c r="AK169" i="47"/>
  <c r="AK155" i="47"/>
  <c r="AK140" i="47"/>
  <c r="AK153" i="47"/>
  <c r="AK138" i="47"/>
  <c r="AA124" i="47"/>
  <c r="E179" i="47" s="1"/>
  <c r="G179" i="47" s="1"/>
  <c r="AC113" i="47"/>
  <c r="AA113" i="47"/>
  <c r="E168" i="47" s="1"/>
  <c r="X168" i="47" s="1"/>
  <c r="AB124" i="47"/>
  <c r="M179" i="47" s="1"/>
  <c r="AK179" i="47" s="1"/>
  <c r="AD124" i="47"/>
  <c r="E238" i="47" s="1"/>
  <c r="G227" i="47"/>
  <c r="AB96" i="47"/>
  <c r="M151" i="47" s="1"/>
  <c r="AB113" i="47"/>
  <c r="M168" i="47" s="1"/>
  <c r="G230" i="47"/>
  <c r="AC96" i="47"/>
  <c r="AD91" i="47"/>
  <c r="E205" i="47" s="1"/>
  <c r="F197" i="47"/>
  <c r="F230" i="47"/>
  <c r="AA96" i="47"/>
  <c r="E151" i="47" s="1"/>
  <c r="X151" i="47" s="1"/>
  <c r="AC98" i="47"/>
  <c r="AA91" i="47"/>
  <c r="E146" i="47" s="1"/>
  <c r="AB91" i="47"/>
  <c r="M146" i="47" s="1"/>
  <c r="AA105" i="47"/>
  <c r="E160" i="47" s="1"/>
  <c r="X160" i="47" s="1"/>
  <c r="AC101" i="47"/>
  <c r="AB101" i="47"/>
  <c r="M156" i="47" s="1"/>
  <c r="O171" i="47"/>
  <c r="AB105" i="47"/>
  <c r="M160" i="47" s="1"/>
  <c r="AD101" i="47"/>
  <c r="E215" i="47" s="1"/>
  <c r="AA97" i="47"/>
  <c r="E152" i="47" s="1"/>
  <c r="AB90" i="47"/>
  <c r="M145" i="47" s="1"/>
  <c r="O140" i="47"/>
  <c r="G138" i="47"/>
  <c r="AA94" i="47"/>
  <c r="E149" i="47" s="1"/>
  <c r="X149" i="47" s="1"/>
  <c r="AD102" i="47"/>
  <c r="E216" i="47" s="1"/>
  <c r="G156" i="47"/>
  <c r="AA110" i="47"/>
  <c r="E165" i="47" s="1"/>
  <c r="X165" i="47" s="1"/>
  <c r="AB97" i="47"/>
  <c r="M152" i="47" s="1"/>
  <c r="AC97" i="47"/>
  <c r="AC105" i="47"/>
  <c r="AC125" i="47"/>
  <c r="AA115" i="47"/>
  <c r="E170" i="47" s="1"/>
  <c r="X170" i="47" s="1"/>
  <c r="AD98" i="47"/>
  <c r="E212" i="47" s="1"/>
  <c r="G171" i="47"/>
  <c r="AA125" i="47"/>
  <c r="E180" i="47" s="1"/>
  <c r="X180" i="47" s="1"/>
  <c r="AA102" i="47"/>
  <c r="E157" i="47" s="1"/>
  <c r="X157" i="47" s="1"/>
  <c r="AB102" i="47"/>
  <c r="M157" i="47" s="1"/>
  <c r="AA98" i="47"/>
  <c r="E153" i="47" s="1"/>
  <c r="X153" i="47" s="1"/>
  <c r="AD100" i="47"/>
  <c r="E214" i="47" s="1"/>
  <c r="AB94" i="47"/>
  <c r="M149" i="47" s="1"/>
  <c r="AA109" i="47"/>
  <c r="E164" i="47" s="1"/>
  <c r="X164" i="47" s="1"/>
  <c r="AA87" i="47"/>
  <c r="E142" i="47" s="1"/>
  <c r="X142" i="47" s="1"/>
  <c r="AC114" i="47"/>
  <c r="AC87" i="47"/>
  <c r="AC106" i="47"/>
  <c r="AB87" i="47"/>
  <c r="M142" i="47" s="1"/>
  <c r="AK142" i="47" s="1"/>
  <c r="AB126" i="47"/>
  <c r="M181" i="47" s="1"/>
  <c r="AK181" i="47" s="1"/>
  <c r="AD114" i="47"/>
  <c r="E228" i="47" s="1"/>
  <c r="AC121" i="47"/>
  <c r="AB111" i="47"/>
  <c r="M166" i="47" s="1"/>
  <c r="AC104" i="47"/>
  <c r="AB119" i="47"/>
  <c r="M174" i="47" s="1"/>
  <c r="O174" i="47" s="1"/>
  <c r="G140" i="47"/>
  <c r="AC111" i="47"/>
  <c r="AC119" i="47"/>
  <c r="AA118" i="47"/>
  <c r="E173" i="47" s="1"/>
  <c r="X173" i="47" s="1"/>
  <c r="AC126" i="47"/>
  <c r="AB93" i="47"/>
  <c r="M148" i="47" s="1"/>
  <c r="O148" i="47" s="1"/>
  <c r="AB115" i="47"/>
  <c r="M170" i="47" s="1"/>
  <c r="AK170" i="47" s="1"/>
  <c r="AA111" i="47"/>
  <c r="E166" i="47" s="1"/>
  <c r="X166" i="47" s="1"/>
  <c r="AB118" i="47"/>
  <c r="M173" i="47" s="1"/>
  <c r="AC88" i="47"/>
  <c r="AC117" i="47"/>
  <c r="AB125" i="47"/>
  <c r="M180" i="47" s="1"/>
  <c r="AA119" i="47"/>
  <c r="E174" i="47" s="1"/>
  <c r="X174" i="47" s="1"/>
  <c r="AC118" i="47"/>
  <c r="AA107" i="47"/>
  <c r="E162" i="47" s="1"/>
  <c r="X162" i="47" s="1"/>
  <c r="AC90" i="47"/>
  <c r="G145" i="47"/>
  <c r="O155" i="47"/>
  <c r="G201" i="47"/>
  <c r="F201" i="47"/>
  <c r="G219" i="47"/>
  <c r="F219" i="47"/>
  <c r="O169" i="47"/>
  <c r="G200" i="47"/>
  <c r="F200" i="47"/>
  <c r="G203" i="47"/>
  <c r="F203" i="47"/>
  <c r="G235" i="47"/>
  <c r="F235" i="47"/>
  <c r="G198" i="47"/>
  <c r="F198" i="47"/>
  <c r="AA103" i="47"/>
  <c r="E158" i="47" s="1"/>
  <c r="X158" i="47" s="1"/>
  <c r="AC84" i="47"/>
  <c r="AA112" i="47"/>
  <c r="E167" i="47" s="1"/>
  <c r="X167" i="47" s="1"/>
  <c r="AB123" i="47"/>
  <c r="M178" i="47" s="1"/>
  <c r="AA123" i="47"/>
  <c r="E178" i="47" s="1"/>
  <c r="X178" i="47" s="1"/>
  <c r="AC123" i="47"/>
  <c r="G224" i="47"/>
  <c r="F224" i="47"/>
  <c r="G221" i="47"/>
  <c r="F221" i="47"/>
  <c r="G202" i="47"/>
  <c r="F202" i="47"/>
  <c r="AB103" i="47"/>
  <c r="M158" i="47" s="1"/>
  <c r="G218" i="47"/>
  <c r="F218" i="47"/>
  <c r="G236" i="47"/>
  <c r="F236" i="47"/>
  <c r="AA84" i="47"/>
  <c r="E139" i="47" s="1"/>
  <c r="X139" i="47" s="1"/>
  <c r="AA120" i="47"/>
  <c r="E175" i="47" s="1"/>
  <c r="X175" i="47" s="1"/>
  <c r="AA82" i="47"/>
  <c r="E137" i="47" s="1"/>
  <c r="X137" i="47" s="1"/>
  <c r="G206" i="47"/>
  <c r="G232" i="47"/>
  <c r="F232" i="47"/>
  <c r="G237" i="47"/>
  <c r="F237" i="47"/>
  <c r="G222" i="47"/>
  <c r="F222" i="47"/>
  <c r="G217" i="47"/>
  <c r="G231" i="47"/>
  <c r="F231" i="47"/>
  <c r="AB95" i="47"/>
  <c r="M150" i="47" s="1"/>
  <c r="AK150" i="47" s="1"/>
  <c r="G220" i="47"/>
  <c r="F220" i="47"/>
  <c r="AA108" i="47"/>
  <c r="E163" i="47" s="1"/>
  <c r="X163" i="47" s="1"/>
  <c r="G226" i="47"/>
  <c r="F226" i="47"/>
  <c r="AC95" i="47"/>
  <c r="AA106" i="47"/>
  <c r="E161" i="47" s="1"/>
  <c r="X161" i="47" s="1"/>
  <c r="AB108" i="47"/>
  <c r="M163" i="47" s="1"/>
  <c r="AC112" i="47"/>
  <c r="AC92" i="47"/>
  <c r="AA92" i="47"/>
  <c r="E147" i="47" s="1"/>
  <c r="X147" i="47" s="1"/>
  <c r="AB92" i="47"/>
  <c r="M147" i="47" s="1"/>
  <c r="AK147" i="47" s="1"/>
  <c r="AC100" i="47"/>
  <c r="AB110" i="47"/>
  <c r="M165" i="47" s="1"/>
  <c r="AK165" i="47" s="1"/>
  <c r="AB107" i="47"/>
  <c r="M162" i="47" s="1"/>
  <c r="G240" i="47"/>
  <c r="F240" i="47"/>
  <c r="F199" i="47"/>
  <c r="G199" i="47"/>
  <c r="AA88" i="47"/>
  <c r="E143" i="47" s="1"/>
  <c r="X143" i="47" s="1"/>
  <c r="AC103" i="47"/>
  <c r="AA104" i="47"/>
  <c r="E159" i="47" s="1"/>
  <c r="X159" i="47" s="1"/>
  <c r="AA122" i="47"/>
  <c r="E177" i="47" s="1"/>
  <c r="X177" i="47" s="1"/>
  <c r="F227" i="47"/>
  <c r="AB84" i="47"/>
  <c r="M139" i="47" s="1"/>
  <c r="AC120" i="47"/>
  <c r="AB82" i="47"/>
  <c r="M137" i="47" s="1"/>
  <c r="G209" i="47"/>
  <c r="F209" i="47"/>
  <c r="AB112" i="47"/>
  <c r="M167" i="47" s="1"/>
  <c r="G225" i="47"/>
  <c r="F225" i="47"/>
  <c r="AA100" i="47"/>
  <c r="E155" i="47" s="1"/>
  <c r="X155" i="47" s="1"/>
  <c r="AC110" i="47"/>
  <c r="AC107" i="47"/>
  <c r="AA126" i="47"/>
  <c r="E181" i="47" s="1"/>
  <c r="X181" i="47" s="1"/>
  <c r="AA86" i="47"/>
  <c r="E141" i="47" s="1"/>
  <c r="X141" i="47" s="1"/>
  <c r="AB88" i="47"/>
  <c r="M143" i="47" s="1"/>
  <c r="AD90" i="47"/>
  <c r="E204" i="47" s="1"/>
  <c r="AA89" i="47"/>
  <c r="E144" i="47" s="1"/>
  <c r="X144" i="47" s="1"/>
  <c r="G211" i="47"/>
  <c r="F211" i="47"/>
  <c r="G239" i="47"/>
  <c r="AA114" i="47"/>
  <c r="E169" i="47" s="1"/>
  <c r="X169" i="47" s="1"/>
  <c r="AB104" i="47"/>
  <c r="M159" i="47" s="1"/>
  <c r="AB122" i="47"/>
  <c r="M177" i="47" s="1"/>
  <c r="AC115" i="47"/>
  <c r="AB120" i="47"/>
  <c r="M175" i="47" s="1"/>
  <c r="AC82" i="47"/>
  <c r="O138" i="47"/>
  <c r="G223" i="47"/>
  <c r="F223" i="47"/>
  <c r="G196" i="47"/>
  <c r="F196" i="47"/>
  <c r="AA121" i="47"/>
  <c r="E176" i="47" s="1"/>
  <c r="X176" i="47" s="1"/>
  <c r="G194" i="47"/>
  <c r="F194" i="47"/>
  <c r="AB86" i="47"/>
  <c r="M141" i="47" s="1"/>
  <c r="G210" i="47"/>
  <c r="F210" i="47"/>
  <c r="AB89" i="47"/>
  <c r="M144" i="47" s="1"/>
  <c r="AA117" i="47"/>
  <c r="E172" i="47" s="1"/>
  <c r="X172" i="47" s="1"/>
  <c r="AC94" i="47"/>
  <c r="AB109" i="47"/>
  <c r="M164" i="47" s="1"/>
  <c r="AC93" i="47"/>
  <c r="AC122" i="47"/>
  <c r="G229" i="47"/>
  <c r="G207" i="47"/>
  <c r="F207" i="47"/>
  <c r="G234" i="47"/>
  <c r="F234" i="47"/>
  <c r="AB121" i="47"/>
  <c r="M176" i="47" s="1"/>
  <c r="O135" i="47"/>
  <c r="N135" i="47"/>
  <c r="AC86" i="47"/>
  <c r="AC89" i="47"/>
  <c r="AB117" i="47"/>
  <c r="M172" i="47" s="1"/>
  <c r="AA95" i="47"/>
  <c r="E150" i="47" s="1"/>
  <c r="X150" i="47" s="1"/>
  <c r="G208" i="47"/>
  <c r="F208" i="47"/>
  <c r="AB106" i="47"/>
  <c r="M161" i="47" s="1"/>
  <c r="AC109" i="47"/>
  <c r="AA93" i="47"/>
  <c r="E148" i="47" s="1"/>
  <c r="X148" i="47" s="1"/>
  <c r="G233" i="47"/>
  <c r="F233" i="47"/>
  <c r="AC108" i="47"/>
  <c r="O153" i="47"/>
  <c r="O172" i="46"/>
  <c r="N172" i="46"/>
  <c r="F237" i="46"/>
  <c r="AC119" i="46"/>
  <c r="O138" i="46"/>
  <c r="N138" i="46"/>
  <c r="G163" i="46"/>
  <c r="F163" i="46"/>
  <c r="AA118" i="46"/>
  <c r="E173" i="46" s="1"/>
  <c r="G211" i="46"/>
  <c r="F211" i="46"/>
  <c r="G176" i="46"/>
  <c r="F176" i="46"/>
  <c r="G177" i="46"/>
  <c r="F177" i="46"/>
  <c r="F157" i="46"/>
  <c r="G157" i="46"/>
  <c r="G233" i="46"/>
  <c r="F233" i="46"/>
  <c r="G149" i="46"/>
  <c r="O142" i="46"/>
  <c r="N142" i="46"/>
  <c r="O160" i="46"/>
  <c r="N160" i="46"/>
  <c r="O157" i="46"/>
  <c r="N157" i="46"/>
  <c r="O163" i="46"/>
  <c r="N163" i="46"/>
  <c r="AB118" i="46"/>
  <c r="M173" i="46" s="1"/>
  <c r="O156" i="46"/>
  <c r="N156" i="46"/>
  <c r="N143" i="46"/>
  <c r="G152" i="46"/>
  <c r="F152" i="46"/>
  <c r="G181" i="46"/>
  <c r="F181" i="46"/>
  <c r="O152" i="46"/>
  <c r="N152" i="46"/>
  <c r="O171" i="46"/>
  <c r="N171" i="46"/>
  <c r="F142" i="46"/>
  <c r="G142" i="46"/>
  <c r="AA119" i="46"/>
  <c r="E174" i="46" s="1"/>
  <c r="F223" i="46"/>
  <c r="G223" i="46"/>
  <c r="G171" i="46"/>
  <c r="F171" i="46"/>
  <c r="G153" i="46"/>
  <c r="F153" i="46"/>
  <c r="O169" i="46"/>
  <c r="N169" i="46"/>
  <c r="AC108" i="46"/>
  <c r="AC118" i="46"/>
  <c r="G203" i="46"/>
  <c r="F203" i="46"/>
  <c r="F138" i="46"/>
  <c r="G138" i="46"/>
  <c r="F212" i="46"/>
  <c r="G232" i="46"/>
  <c r="F232" i="46"/>
  <c r="G156" i="46"/>
  <c r="F156" i="46"/>
  <c r="G158" i="46"/>
  <c r="F158" i="46"/>
  <c r="O153" i="46"/>
  <c r="N153" i="46"/>
  <c r="AB119" i="46"/>
  <c r="M174" i="46" s="1"/>
  <c r="AA109" i="46"/>
  <c r="E164" i="46" s="1"/>
  <c r="G208" i="46"/>
  <c r="F208" i="46"/>
  <c r="G222" i="46"/>
  <c r="F222" i="46"/>
  <c r="G230" i="46"/>
  <c r="F230" i="46"/>
  <c r="F169" i="46"/>
  <c r="G169" i="46"/>
  <c r="F209" i="46"/>
  <c r="AB109" i="46"/>
  <c r="M164" i="46" s="1"/>
  <c r="O168" i="46"/>
  <c r="N168" i="46"/>
  <c r="O177" i="46"/>
  <c r="N177" i="46"/>
  <c r="O158" i="46"/>
  <c r="N158" i="46"/>
  <c r="F159" i="46"/>
  <c r="F143" i="46"/>
  <c r="N146" i="46"/>
  <c r="O146" i="46"/>
  <c r="F170" i="46"/>
  <c r="F238" i="46"/>
  <c r="AC109" i="46"/>
  <c r="O161" i="46"/>
  <c r="N161" i="46"/>
  <c r="G162" i="46"/>
  <c r="F162" i="46"/>
  <c r="G172" i="46"/>
  <c r="F172" i="46"/>
  <c r="G160" i="46"/>
  <c r="F160" i="46"/>
  <c r="O150" i="46"/>
  <c r="N147" i="46"/>
  <c r="F178" i="46"/>
  <c r="O135" i="46"/>
  <c r="N135" i="46"/>
  <c r="G213" i="46"/>
  <c r="F213" i="46"/>
  <c r="F194" i="46"/>
  <c r="G194" i="46"/>
  <c r="F195" i="46"/>
  <c r="F234" i="46"/>
  <c r="G167" i="46"/>
  <c r="F167" i="46"/>
  <c r="O166" i="46"/>
  <c r="N166" i="46"/>
  <c r="F231" i="46"/>
  <c r="AC88" i="45"/>
  <c r="G164" i="45"/>
  <c r="F238" i="45"/>
  <c r="AA112" i="45"/>
  <c r="E167" i="45" s="1"/>
  <c r="F167" i="45" s="1"/>
  <c r="F231" i="45"/>
  <c r="AB113" i="45"/>
  <c r="M168" i="45" s="1"/>
  <c r="AA113" i="45"/>
  <c r="E168" i="45" s="1"/>
  <c r="F169" i="45" s="1"/>
  <c r="G220" i="45"/>
  <c r="AC103" i="45"/>
  <c r="AB103" i="45"/>
  <c r="M158" i="45" s="1"/>
  <c r="N159" i="45" s="1"/>
  <c r="F217" i="45"/>
  <c r="AC112" i="45"/>
  <c r="AD113" i="45"/>
  <c r="E227" i="45" s="1"/>
  <c r="F236" i="45"/>
  <c r="G200" i="45"/>
  <c r="G222" i="45"/>
  <c r="G239" i="45"/>
  <c r="AA103" i="45"/>
  <c r="E158" i="45" s="1"/>
  <c r="G158" i="45" s="1"/>
  <c r="F226" i="45"/>
  <c r="AA117" i="45"/>
  <c r="E172" i="45" s="1"/>
  <c r="AC117" i="45"/>
  <c r="G219" i="45"/>
  <c r="F165" i="45"/>
  <c r="G212" i="45"/>
  <c r="O164" i="45"/>
  <c r="G214" i="45"/>
  <c r="G174" i="45"/>
  <c r="AB106" i="45"/>
  <c r="M161" i="45" s="1"/>
  <c r="AB101" i="45"/>
  <c r="M156" i="45" s="1"/>
  <c r="AA105" i="45"/>
  <c r="E160" i="45" s="1"/>
  <c r="AB122" i="45"/>
  <c r="M177" i="45" s="1"/>
  <c r="F223" i="45"/>
  <c r="AC85" i="45"/>
  <c r="AA84" i="45"/>
  <c r="E139" i="45" s="1"/>
  <c r="F222" i="45"/>
  <c r="AC84" i="45"/>
  <c r="AA106" i="45"/>
  <c r="E161" i="45" s="1"/>
  <c r="F201" i="45"/>
  <c r="F221" i="45"/>
  <c r="AC106" i="45"/>
  <c r="AB88" i="45"/>
  <c r="M143" i="45" s="1"/>
  <c r="O143" i="45" s="1"/>
  <c r="AA124" i="45"/>
  <c r="E179" i="45" s="1"/>
  <c r="AC122" i="45"/>
  <c r="AA85" i="45"/>
  <c r="E140" i="45" s="1"/>
  <c r="AB105" i="45"/>
  <c r="M160" i="45" s="1"/>
  <c r="F220" i="45"/>
  <c r="AB85" i="45"/>
  <c r="M140" i="45" s="1"/>
  <c r="O140" i="45" s="1"/>
  <c r="AA108" i="45"/>
  <c r="E163" i="45" s="1"/>
  <c r="F200" i="45"/>
  <c r="G236" i="45"/>
  <c r="AD104" i="45"/>
  <c r="E218" i="45" s="1"/>
  <c r="AA83" i="45"/>
  <c r="E138" i="45" s="1"/>
  <c r="AB83" i="45"/>
  <c r="M138" i="45" s="1"/>
  <c r="AB84" i="45"/>
  <c r="M139" i="45" s="1"/>
  <c r="O139" i="45" s="1"/>
  <c r="AC101" i="45"/>
  <c r="G156" i="45"/>
  <c r="AB86" i="45"/>
  <c r="M141" i="45" s="1"/>
  <c r="O141" i="45" s="1"/>
  <c r="AA86" i="45"/>
  <c r="E141" i="45" s="1"/>
  <c r="G141" i="45" s="1"/>
  <c r="AC104" i="45"/>
  <c r="O159" i="45"/>
  <c r="AC125" i="45"/>
  <c r="AA126" i="45"/>
  <c r="E181" i="45" s="1"/>
  <c r="AA125" i="45"/>
  <c r="E180" i="45" s="1"/>
  <c r="F239" i="45"/>
  <c r="AD83" i="45"/>
  <c r="E197" i="45" s="1"/>
  <c r="AB126" i="45"/>
  <c r="M181" i="45" s="1"/>
  <c r="F166" i="45"/>
  <c r="AA104" i="45"/>
  <c r="E159" i="45" s="1"/>
  <c r="AD101" i="45"/>
  <c r="E215" i="45" s="1"/>
  <c r="F228" i="45"/>
  <c r="O147" i="45"/>
  <c r="AB125" i="45"/>
  <c r="M180" i="45" s="1"/>
  <c r="AD126" i="45"/>
  <c r="E240" i="45" s="1"/>
  <c r="F227" i="45"/>
  <c r="AC100" i="45"/>
  <c r="AC98" i="45"/>
  <c r="O153" i="45"/>
  <c r="O166" i="45"/>
  <c r="F213" i="45"/>
  <c r="AA98" i="45"/>
  <c r="E153" i="45" s="1"/>
  <c r="G165" i="45"/>
  <c r="AA100" i="45"/>
  <c r="E155" i="45" s="1"/>
  <c r="F156" i="45" s="1"/>
  <c r="F214" i="45"/>
  <c r="AB117" i="45"/>
  <c r="M172" i="45" s="1"/>
  <c r="G226" i="45"/>
  <c r="AB100" i="45"/>
  <c r="M155" i="45" s="1"/>
  <c r="N155" i="45" s="1"/>
  <c r="N150" i="45"/>
  <c r="AK145" i="45"/>
  <c r="O157" i="45"/>
  <c r="N164" i="45"/>
  <c r="AK155" i="45"/>
  <c r="N153" i="45"/>
  <c r="N147" i="45"/>
  <c r="AK139" i="45"/>
  <c r="AK174" i="45"/>
  <c r="AK154" i="45"/>
  <c r="AK165" i="45"/>
  <c r="AK170" i="45"/>
  <c r="N167" i="45"/>
  <c r="O167" i="45"/>
  <c r="O170" i="45"/>
  <c r="F150" i="45"/>
  <c r="G148" i="45"/>
  <c r="F151" i="45"/>
  <c r="G150" i="45"/>
  <c r="AK157" i="45"/>
  <c r="G166" i="45"/>
  <c r="F174" i="45"/>
  <c r="G170" i="45"/>
  <c r="F143" i="45"/>
  <c r="N145" i="45"/>
  <c r="O145" i="45"/>
  <c r="AA123" i="45"/>
  <c r="E178" i="45" s="1"/>
  <c r="F178" i="45" s="1"/>
  <c r="F170" i="45"/>
  <c r="N166" i="45"/>
  <c r="AC123" i="45"/>
  <c r="N165" i="45"/>
  <c r="F148" i="45"/>
  <c r="G147" i="45"/>
  <c r="N154" i="45"/>
  <c r="O154" i="45"/>
  <c r="O174" i="45"/>
  <c r="N174" i="45"/>
  <c r="O169" i="45"/>
  <c r="N170" i="45"/>
  <c r="AK169" i="45"/>
  <c r="AK172" i="45"/>
  <c r="AK179" i="45"/>
  <c r="G196" i="45"/>
  <c r="F196" i="45"/>
  <c r="F144" i="45"/>
  <c r="G144" i="45"/>
  <c r="G162" i="45"/>
  <c r="G157" i="45"/>
  <c r="F157" i="45"/>
  <c r="G175" i="45"/>
  <c r="F175" i="45"/>
  <c r="AK142" i="45"/>
  <c r="O142" i="45"/>
  <c r="G209" i="45"/>
  <c r="F209" i="45"/>
  <c r="AK160" i="45"/>
  <c r="G211" i="45"/>
  <c r="F211" i="45"/>
  <c r="G234" i="45"/>
  <c r="F234" i="45"/>
  <c r="N162" i="45"/>
  <c r="AK162" i="45"/>
  <c r="O162" i="45"/>
  <c r="G169" i="45"/>
  <c r="G216" i="45"/>
  <c r="AK156" i="45"/>
  <c r="G171" i="45"/>
  <c r="F171" i="45"/>
  <c r="AK158" i="45"/>
  <c r="N158" i="45"/>
  <c r="AK163" i="45"/>
  <c r="O163" i="45"/>
  <c r="G210" i="45"/>
  <c r="F210" i="45"/>
  <c r="O151" i="45"/>
  <c r="N151" i="45"/>
  <c r="AK151" i="45"/>
  <c r="O175" i="45"/>
  <c r="N175" i="45"/>
  <c r="AK175" i="45"/>
  <c r="G232" i="45"/>
  <c r="F232" i="45"/>
  <c r="F212" i="45"/>
  <c r="F235" i="45"/>
  <c r="AA82" i="45"/>
  <c r="E137" i="45" s="1"/>
  <c r="AC82" i="45"/>
  <c r="AB82" i="45"/>
  <c r="M137" i="45" s="1"/>
  <c r="G177" i="45"/>
  <c r="F177" i="45"/>
  <c r="AK177" i="45"/>
  <c r="AK181" i="45"/>
  <c r="O152" i="45"/>
  <c r="N152" i="45"/>
  <c r="AK152" i="45"/>
  <c r="G142" i="45"/>
  <c r="G176" i="45"/>
  <c r="F176" i="45"/>
  <c r="AB123" i="45"/>
  <c r="M178" i="45" s="1"/>
  <c r="G146" i="45"/>
  <c r="F146" i="45"/>
  <c r="AK171" i="45"/>
  <c r="O171" i="45"/>
  <c r="N171" i="45"/>
  <c r="G149" i="45"/>
  <c r="F149" i="45"/>
  <c r="O173" i="45"/>
  <c r="AK173" i="45"/>
  <c r="AK180" i="45"/>
  <c r="N176" i="45"/>
  <c r="AK176" i="45"/>
  <c r="O176" i="45"/>
  <c r="G194" i="45"/>
  <c r="F194" i="45"/>
  <c r="F152" i="45"/>
  <c r="G152" i="45"/>
  <c r="G140" i="45"/>
  <c r="O146" i="45"/>
  <c r="N146" i="45"/>
  <c r="AK146" i="45"/>
  <c r="AK168" i="45"/>
  <c r="G202" i="45"/>
  <c r="F202" i="45"/>
  <c r="O149" i="45"/>
  <c r="N149" i="45"/>
  <c r="AK149" i="45"/>
  <c r="F164" i="45"/>
  <c r="F203" i="45"/>
  <c r="F233" i="45"/>
  <c r="F145" i="45"/>
  <c r="O161" i="45"/>
  <c r="AK161" i="45"/>
  <c r="G173" i="45"/>
  <c r="G154" i="45"/>
  <c r="O148" i="45"/>
  <c r="N148" i="45"/>
  <c r="AK148" i="45"/>
  <c r="O135" i="45"/>
  <c r="N135" i="45"/>
  <c r="N136" i="45"/>
  <c r="G237" i="45"/>
  <c r="F237" i="45"/>
  <c r="O144" i="45"/>
  <c r="AK144" i="45"/>
  <c r="F147" i="45"/>
  <c r="G200" i="43"/>
  <c r="AA107" i="43"/>
  <c r="E162" i="43" s="1"/>
  <c r="X162" i="43" s="1"/>
  <c r="AB162" i="43" s="1"/>
  <c r="AC118" i="43"/>
  <c r="AB118" i="43"/>
  <c r="M173" i="43" s="1"/>
  <c r="N174" i="43" s="1"/>
  <c r="AD112" i="42"/>
  <c r="E226" i="42" s="1"/>
  <c r="G226" i="42" s="1"/>
  <c r="AB91" i="42"/>
  <c r="M146" i="42" s="1"/>
  <c r="G167" i="42"/>
  <c r="AB107" i="43"/>
  <c r="M162" i="43" s="1"/>
  <c r="AK162" i="43" s="1"/>
  <c r="AO162" i="43" s="1"/>
  <c r="AX162" i="43" s="1"/>
  <c r="AA99" i="43"/>
  <c r="E154" i="43" s="1"/>
  <c r="X154" i="43" s="1"/>
  <c r="AB154" i="43" s="1"/>
  <c r="AA99" i="42"/>
  <c r="E154" i="42" s="1"/>
  <c r="G154" i="42" s="1"/>
  <c r="AB124" i="42"/>
  <c r="M179" i="42" s="1"/>
  <c r="AC109" i="42"/>
  <c r="AC95" i="43"/>
  <c r="AD88" i="43"/>
  <c r="E202" i="43" s="1"/>
  <c r="F202" i="43" s="1"/>
  <c r="AB95" i="43"/>
  <c r="M150" i="43" s="1"/>
  <c r="AK150" i="43" s="1"/>
  <c r="AO150" i="43" s="1"/>
  <c r="AX150" i="43" s="1"/>
  <c r="AB88" i="43"/>
  <c r="M143" i="43" s="1"/>
  <c r="AK143" i="43" s="1"/>
  <c r="AA95" i="43"/>
  <c r="E150" i="43" s="1"/>
  <c r="X150" i="43" s="1"/>
  <c r="G150" i="42"/>
  <c r="AB112" i="42"/>
  <c r="M167" i="42" s="1"/>
  <c r="N168" i="42" s="1"/>
  <c r="G238" i="42"/>
  <c r="AA88" i="43"/>
  <c r="E143" i="43" s="1"/>
  <c r="X143" i="43" s="1"/>
  <c r="AC112" i="42"/>
  <c r="AC83" i="42"/>
  <c r="AA124" i="42"/>
  <c r="E179" i="42" s="1"/>
  <c r="F180" i="42" s="1"/>
  <c r="F237" i="43"/>
  <c r="AD92" i="43"/>
  <c r="E206" i="43" s="1"/>
  <c r="F207" i="43" s="1"/>
  <c r="G219" i="43"/>
  <c r="G236" i="43"/>
  <c r="O139" i="43"/>
  <c r="AK139" i="43"/>
  <c r="AO139" i="43" s="1"/>
  <c r="AX139" i="43" s="1"/>
  <c r="O170" i="43"/>
  <c r="AK170" i="43"/>
  <c r="AO170" i="43" s="1"/>
  <c r="AX170" i="43" s="1"/>
  <c r="O156" i="43"/>
  <c r="AK156" i="43"/>
  <c r="AO156" i="43" s="1"/>
  <c r="AX156" i="43" s="1"/>
  <c r="O152" i="43"/>
  <c r="AK152" i="43"/>
  <c r="AO152" i="43" s="1"/>
  <c r="AX152" i="43" s="1"/>
  <c r="U226" i="43"/>
  <c r="Z226" i="43" s="1"/>
  <c r="AJ226" i="43" s="1"/>
  <c r="AA97" i="43"/>
  <c r="E152" i="43" s="1"/>
  <c r="X152" i="43" s="1"/>
  <c r="O154" i="43"/>
  <c r="AK154" i="43"/>
  <c r="AO154" i="43" s="1"/>
  <c r="AX154" i="43" s="1"/>
  <c r="AC122" i="43"/>
  <c r="AB83" i="43"/>
  <c r="M138" i="43" s="1"/>
  <c r="AK138" i="43" s="1"/>
  <c r="AO138" i="43" s="1"/>
  <c r="AX138" i="43" s="1"/>
  <c r="O145" i="43"/>
  <c r="AK145" i="43"/>
  <c r="AO145" i="43" s="1"/>
  <c r="AX145" i="43" s="1"/>
  <c r="AD97" i="43"/>
  <c r="E211" i="43" s="1"/>
  <c r="F212" i="43" s="1"/>
  <c r="N163" i="43"/>
  <c r="N152" i="43"/>
  <c r="AK151" i="43"/>
  <c r="AO151" i="43" s="1"/>
  <c r="AX151" i="43" s="1"/>
  <c r="O141" i="43"/>
  <c r="AK141" i="43"/>
  <c r="AO141" i="43" s="1"/>
  <c r="AX141" i="43" s="1"/>
  <c r="AA122" i="43"/>
  <c r="E177" i="43" s="1"/>
  <c r="X177" i="43" s="1"/>
  <c r="AB122" i="43"/>
  <c r="M177" i="43" s="1"/>
  <c r="AK177" i="43" s="1"/>
  <c r="AO177" i="43" s="1"/>
  <c r="AX177" i="43" s="1"/>
  <c r="O149" i="43"/>
  <c r="AK149" i="43"/>
  <c r="AO149" i="43" s="1"/>
  <c r="AX149" i="43" s="1"/>
  <c r="AC82" i="43"/>
  <c r="F229" i="43"/>
  <c r="AD100" i="43"/>
  <c r="E214" i="43" s="1"/>
  <c r="F215" i="43" s="1"/>
  <c r="G156" i="43"/>
  <c r="X156" i="43"/>
  <c r="AB156" i="43" s="1"/>
  <c r="G149" i="43"/>
  <c r="X149" i="43"/>
  <c r="AB149" i="43" s="1"/>
  <c r="G159" i="43"/>
  <c r="X159" i="43"/>
  <c r="AB159" i="43" s="1"/>
  <c r="G151" i="43"/>
  <c r="X151" i="43"/>
  <c r="AB151" i="43" s="1"/>
  <c r="AD125" i="43"/>
  <c r="E239" i="43" s="1"/>
  <c r="F239" i="43" s="1"/>
  <c r="AA114" i="43"/>
  <c r="E169" i="43" s="1"/>
  <c r="G170" i="43"/>
  <c r="X170" i="43"/>
  <c r="AB170" i="43" s="1"/>
  <c r="AC124" i="43"/>
  <c r="AB100" i="43"/>
  <c r="M155" i="43" s="1"/>
  <c r="AK155" i="43" s="1"/>
  <c r="AO155" i="43" s="1"/>
  <c r="AX155" i="43" s="1"/>
  <c r="AA83" i="43"/>
  <c r="E138" i="43" s="1"/>
  <c r="F139" i="43" s="1"/>
  <c r="AA116" i="43"/>
  <c r="E171" i="43" s="1"/>
  <c r="F171" i="43" s="1"/>
  <c r="AA118" i="43"/>
  <c r="E173" i="43" s="1"/>
  <c r="X173" i="43" s="1"/>
  <c r="AD83" i="43"/>
  <c r="E197" i="43" s="1"/>
  <c r="F197" i="43" s="1"/>
  <c r="AB116" i="43"/>
  <c r="M171" i="43" s="1"/>
  <c r="AA100" i="43"/>
  <c r="E155" i="43" s="1"/>
  <c r="F156" i="43" s="1"/>
  <c r="AC114" i="43"/>
  <c r="U224" i="43"/>
  <c r="Z224" i="43" s="1"/>
  <c r="AF224" i="43" s="1"/>
  <c r="F209" i="43"/>
  <c r="G238" i="43"/>
  <c r="F208" i="43"/>
  <c r="U238" i="43"/>
  <c r="Z238" i="43" s="1"/>
  <c r="AF238" i="43" s="1"/>
  <c r="AB124" i="43"/>
  <c r="M179" i="43" s="1"/>
  <c r="N179" i="43" s="1"/>
  <c r="AA113" i="43"/>
  <c r="E168" i="43" s="1"/>
  <c r="AA124" i="43"/>
  <c r="E179" i="43" s="1"/>
  <c r="F221" i="43"/>
  <c r="AC97" i="43"/>
  <c r="AD116" i="43"/>
  <c r="E230" i="43" s="1"/>
  <c r="F231" i="43" s="1"/>
  <c r="G221" i="43"/>
  <c r="F149" i="43"/>
  <c r="F234" i="43"/>
  <c r="F233" i="43"/>
  <c r="F235" i="43"/>
  <c r="F232" i="43"/>
  <c r="U234" i="43"/>
  <c r="Z234" i="43" s="1"/>
  <c r="AF234" i="43" s="1"/>
  <c r="AB125" i="43"/>
  <c r="M180" i="43" s="1"/>
  <c r="O180" i="43" s="1"/>
  <c r="U221" i="43"/>
  <c r="Z221" i="43" s="1"/>
  <c r="AJ221" i="43" s="1"/>
  <c r="AB110" i="43"/>
  <c r="M165" i="43" s="1"/>
  <c r="AK165" i="43" s="1"/>
  <c r="AO165" i="43" s="1"/>
  <c r="AX165" i="43" s="1"/>
  <c r="AC120" i="43"/>
  <c r="AA106" i="43"/>
  <c r="E161" i="43" s="1"/>
  <c r="AA110" i="43"/>
  <c r="E165" i="43" s="1"/>
  <c r="AC110" i="43"/>
  <c r="AB113" i="43"/>
  <c r="M168" i="43" s="1"/>
  <c r="AK168" i="43" s="1"/>
  <c r="AO168" i="43" s="1"/>
  <c r="AX168" i="43" s="1"/>
  <c r="AB120" i="43"/>
  <c r="M175" i="43" s="1"/>
  <c r="N175" i="43" s="1"/>
  <c r="G232" i="43"/>
  <c r="AA120" i="43"/>
  <c r="E175" i="43" s="1"/>
  <c r="AA112" i="43"/>
  <c r="E167" i="43" s="1"/>
  <c r="X167" i="43" s="1"/>
  <c r="AB167" i="43" s="1"/>
  <c r="AU167" i="43" s="1"/>
  <c r="AD113" i="43"/>
  <c r="E227" i="43" s="1"/>
  <c r="U227" i="43" s="1"/>
  <c r="Z227" i="43" s="1"/>
  <c r="AJ227" i="43" s="1"/>
  <c r="F224" i="43"/>
  <c r="AA125" i="43"/>
  <c r="E180" i="43" s="1"/>
  <c r="X180" i="43" s="1"/>
  <c r="AB87" i="43"/>
  <c r="M142" i="43" s="1"/>
  <c r="AK142" i="43" s="1"/>
  <c r="AO142" i="43" s="1"/>
  <c r="AX142" i="43" s="1"/>
  <c r="U220" i="43"/>
  <c r="Z220" i="43" s="1"/>
  <c r="AJ220" i="43" s="1"/>
  <c r="G231" i="43"/>
  <c r="F220" i="43"/>
  <c r="F196" i="43"/>
  <c r="U231" i="43"/>
  <c r="Z231" i="43" s="1"/>
  <c r="AJ231" i="43" s="1"/>
  <c r="AC106" i="43"/>
  <c r="AB82" i="43"/>
  <c r="M137" i="43" s="1"/>
  <c r="AB117" i="43"/>
  <c r="M172" i="43" s="1"/>
  <c r="AK172" i="43" s="1"/>
  <c r="AO172" i="43" s="1"/>
  <c r="AX172" i="43" s="1"/>
  <c r="AC117" i="43"/>
  <c r="AA117" i="43"/>
  <c r="E172" i="43" s="1"/>
  <c r="AB106" i="43"/>
  <c r="M161" i="43" s="1"/>
  <c r="AA82" i="43"/>
  <c r="E137" i="43" s="1"/>
  <c r="F217" i="43"/>
  <c r="G216" i="43"/>
  <c r="U216" i="43"/>
  <c r="Z216" i="43" s="1"/>
  <c r="AJ216" i="43" s="1"/>
  <c r="AB103" i="43"/>
  <c r="M158" i="43" s="1"/>
  <c r="G217" i="43"/>
  <c r="AA103" i="43"/>
  <c r="E158" i="43" s="1"/>
  <c r="U217" i="43"/>
  <c r="Z217" i="43" s="1"/>
  <c r="AF217" i="43" s="1"/>
  <c r="AC102" i="43"/>
  <c r="AB102" i="43"/>
  <c r="M157" i="43" s="1"/>
  <c r="F226" i="43"/>
  <c r="AA102" i="43"/>
  <c r="E157" i="43" s="1"/>
  <c r="O151" i="43"/>
  <c r="AC103" i="43"/>
  <c r="G223" i="43"/>
  <c r="U223" i="43"/>
  <c r="Z223" i="43" s="1"/>
  <c r="AJ223" i="43" s="1"/>
  <c r="AC109" i="43"/>
  <c r="AB109" i="43"/>
  <c r="M164" i="43" s="1"/>
  <c r="AK164" i="43" s="1"/>
  <c r="AO164" i="43" s="1"/>
  <c r="AX164" i="43" s="1"/>
  <c r="U208" i="43"/>
  <c r="Z208" i="43" s="1"/>
  <c r="AJ208" i="43" s="1"/>
  <c r="AA109" i="43"/>
  <c r="E164" i="43" s="1"/>
  <c r="F205" i="43"/>
  <c r="AA85" i="43"/>
  <c r="E140" i="43" s="1"/>
  <c r="AC91" i="43"/>
  <c r="N170" i="43"/>
  <c r="G205" i="43"/>
  <c r="AB85" i="43"/>
  <c r="M140" i="43" s="1"/>
  <c r="AC85" i="43"/>
  <c r="O169" i="43"/>
  <c r="AA98" i="43"/>
  <c r="E153" i="43" s="1"/>
  <c r="AC98" i="43"/>
  <c r="G201" i="43"/>
  <c r="AA91" i="43"/>
  <c r="E146" i="43" s="1"/>
  <c r="F200" i="43"/>
  <c r="AB91" i="43"/>
  <c r="M146" i="43" s="1"/>
  <c r="F201" i="43"/>
  <c r="AC87" i="43"/>
  <c r="AA87" i="43"/>
  <c r="E142" i="43" s="1"/>
  <c r="AC89" i="43"/>
  <c r="W153" i="43"/>
  <c r="W140" i="43"/>
  <c r="G194" i="43"/>
  <c r="F194" i="43"/>
  <c r="F195" i="43"/>
  <c r="U211" i="43"/>
  <c r="Z211" i="43" s="1"/>
  <c r="U206" i="43"/>
  <c r="Z206" i="43" s="1"/>
  <c r="AX136" i="43"/>
  <c r="AU136" i="43"/>
  <c r="O5" i="14" s="1"/>
  <c r="W147" i="43"/>
  <c r="AB147" i="43" s="1"/>
  <c r="G147" i="43"/>
  <c r="W142" i="43"/>
  <c r="AJ201" i="43"/>
  <c r="AF201" i="43"/>
  <c r="O174" i="43"/>
  <c r="AO174" i="43"/>
  <c r="AX174" i="43" s="1"/>
  <c r="U212" i="43"/>
  <c r="Z212" i="43" s="1"/>
  <c r="G212" i="43"/>
  <c r="O160" i="43"/>
  <c r="AO160" i="43"/>
  <c r="AX160" i="43" s="1"/>
  <c r="N160" i="43"/>
  <c r="U225" i="43"/>
  <c r="Z225" i="43" s="1"/>
  <c r="G225" i="43"/>
  <c r="F225" i="43"/>
  <c r="W169" i="43"/>
  <c r="AJ210" i="43"/>
  <c r="AF210" i="43"/>
  <c r="U202" i="43"/>
  <c r="Z202" i="43" s="1"/>
  <c r="W178" i="43"/>
  <c r="AB178" i="43" s="1"/>
  <c r="G178" i="43"/>
  <c r="AJ196" i="43"/>
  <c r="AF196" i="43"/>
  <c r="U222" i="43"/>
  <c r="Z222" i="43" s="1"/>
  <c r="G222" i="43"/>
  <c r="AJ205" i="43"/>
  <c r="AF205" i="43"/>
  <c r="O135" i="43"/>
  <c r="N135" i="43"/>
  <c r="AA111" i="43"/>
  <c r="E166" i="43" s="1"/>
  <c r="X166" i="43" s="1"/>
  <c r="AJ209" i="43"/>
  <c r="AF209" i="43"/>
  <c r="O143" i="43"/>
  <c r="AO143" i="43"/>
  <c r="AX143" i="43" s="1"/>
  <c r="AO181" i="43"/>
  <c r="AX181" i="43" s="1"/>
  <c r="O181" i="43"/>
  <c r="W150" i="43"/>
  <c r="W180" i="43"/>
  <c r="O159" i="43"/>
  <c r="AO159" i="43"/>
  <c r="AX159" i="43" s="1"/>
  <c r="O176" i="43"/>
  <c r="AO176" i="43"/>
  <c r="AX176" i="43" s="1"/>
  <c r="N176" i="43"/>
  <c r="W148" i="43"/>
  <c r="AB148" i="43" s="1"/>
  <c r="G148" i="43"/>
  <c r="F148" i="43"/>
  <c r="AB98" i="43"/>
  <c r="M153" i="43" s="1"/>
  <c r="AK153" i="43" s="1"/>
  <c r="AJ215" i="43"/>
  <c r="AF215" i="43"/>
  <c r="AJ207" i="43"/>
  <c r="AF207" i="43"/>
  <c r="AJ204" i="43"/>
  <c r="AF204" i="43"/>
  <c r="AF232" i="43"/>
  <c r="AJ232" i="43"/>
  <c r="AB111" i="43"/>
  <c r="M166" i="43" s="1"/>
  <c r="AK166" i="43" s="1"/>
  <c r="F213" i="43"/>
  <c r="W143" i="43"/>
  <c r="W145" i="43"/>
  <c r="AB145" i="43" s="1"/>
  <c r="G145" i="43"/>
  <c r="W174" i="43"/>
  <c r="AB174" i="43" s="1"/>
  <c r="G174" i="43"/>
  <c r="AJ229" i="43"/>
  <c r="AF229" i="43"/>
  <c r="W164" i="43"/>
  <c r="W155" i="43"/>
  <c r="AC111" i="43"/>
  <c r="W165" i="43"/>
  <c r="W171" i="43"/>
  <c r="U197" i="43"/>
  <c r="Z197" i="43" s="1"/>
  <c r="O148" i="43"/>
  <c r="N148" i="43"/>
  <c r="AO148" i="43"/>
  <c r="AX148" i="43" s="1"/>
  <c r="AJ198" i="43"/>
  <c r="AF198" i="43"/>
  <c r="AJ219" i="43"/>
  <c r="AF219" i="43"/>
  <c r="U203" i="43"/>
  <c r="Z203" i="43" s="1"/>
  <c r="G203" i="43"/>
  <c r="AJ235" i="43"/>
  <c r="AF235" i="43"/>
  <c r="W173" i="43"/>
  <c r="O162" i="43"/>
  <c r="W161" i="43"/>
  <c r="AJ213" i="43"/>
  <c r="AF213" i="43"/>
  <c r="AO147" i="43"/>
  <c r="AX147" i="43" s="1"/>
  <c r="O147" i="43"/>
  <c r="W176" i="43"/>
  <c r="AB176" i="43" s="1"/>
  <c r="G176" i="43"/>
  <c r="AJ233" i="43"/>
  <c r="AF233" i="43"/>
  <c r="AA89" i="43"/>
  <c r="E144" i="43" s="1"/>
  <c r="X144" i="43" s="1"/>
  <c r="U240" i="43"/>
  <c r="Z240" i="43" s="1"/>
  <c r="G240" i="43"/>
  <c r="W163" i="43"/>
  <c r="AB163" i="43" s="1"/>
  <c r="AU163" i="43" s="1"/>
  <c r="G163" i="43"/>
  <c r="AF228" i="43"/>
  <c r="AJ228" i="43"/>
  <c r="AF236" i="43"/>
  <c r="AJ236" i="43"/>
  <c r="AJ237" i="43"/>
  <c r="AF237" i="43"/>
  <c r="W139" i="43"/>
  <c r="AB139" i="43" s="1"/>
  <c r="G139" i="43"/>
  <c r="U199" i="43"/>
  <c r="Z199" i="43" s="1"/>
  <c r="G199" i="43"/>
  <c r="F199" i="43"/>
  <c r="W141" i="43"/>
  <c r="AB141" i="43" s="1"/>
  <c r="G141" i="43"/>
  <c r="W152" i="43"/>
  <c r="AB152" i="43" s="1"/>
  <c r="W177" i="43"/>
  <c r="N149" i="43"/>
  <c r="AJ200" i="43"/>
  <c r="AF200" i="43"/>
  <c r="O178" i="43"/>
  <c r="AO178" i="43"/>
  <c r="AX178" i="43" s="1"/>
  <c r="AB89" i="43"/>
  <c r="M144" i="43" s="1"/>
  <c r="AK144" i="43" s="1"/>
  <c r="AF218" i="43"/>
  <c r="AJ218" i="43"/>
  <c r="AD91" i="42"/>
  <c r="E205" i="42" s="1"/>
  <c r="F205" i="42" s="1"/>
  <c r="AA113" i="42"/>
  <c r="E168" i="42" s="1"/>
  <c r="F168" i="42" s="1"/>
  <c r="AC113" i="42"/>
  <c r="F153" i="42"/>
  <c r="O175" i="42"/>
  <c r="F240" i="42"/>
  <c r="AA92" i="42"/>
  <c r="E147" i="42" s="1"/>
  <c r="AA108" i="42"/>
  <c r="E163" i="42" s="1"/>
  <c r="F238" i="42"/>
  <c r="AB108" i="42"/>
  <c r="M163" i="42" s="1"/>
  <c r="O163" i="42" s="1"/>
  <c r="AA119" i="42"/>
  <c r="E174" i="42" s="1"/>
  <c r="F175" i="42" s="1"/>
  <c r="O158" i="42"/>
  <c r="F219" i="42"/>
  <c r="AC108" i="42"/>
  <c r="F181" i="42"/>
  <c r="G180" i="42"/>
  <c r="AC96" i="42"/>
  <c r="O180" i="42"/>
  <c r="AD86" i="42"/>
  <c r="E200" i="42" s="1"/>
  <c r="G200" i="42" s="1"/>
  <c r="F160" i="42"/>
  <c r="AD99" i="42"/>
  <c r="E213" i="42" s="1"/>
  <c r="AB86" i="42"/>
  <c r="M141" i="42" s="1"/>
  <c r="N160" i="42"/>
  <c r="F209" i="42"/>
  <c r="AC86" i="42"/>
  <c r="AB92" i="42"/>
  <c r="M147" i="42" s="1"/>
  <c r="O147" i="42" s="1"/>
  <c r="AB109" i="42"/>
  <c r="M164" i="42" s="1"/>
  <c r="G209" i="42"/>
  <c r="N153" i="42"/>
  <c r="AA91" i="42"/>
  <c r="E146" i="42" s="1"/>
  <c r="AA101" i="42"/>
  <c r="E156" i="42" s="1"/>
  <c r="O143" i="42"/>
  <c r="AB101" i="42"/>
  <c r="M156" i="42" s="1"/>
  <c r="O181" i="42"/>
  <c r="G227" i="42"/>
  <c r="AC101" i="42"/>
  <c r="AC122" i="42"/>
  <c r="AA83" i="42"/>
  <c r="E138" i="42" s="1"/>
  <c r="G138" i="42" s="1"/>
  <c r="N181" i="42"/>
  <c r="AC100" i="42"/>
  <c r="O168" i="42"/>
  <c r="AB96" i="42"/>
  <c r="M151" i="42" s="1"/>
  <c r="AB117" i="42"/>
  <c r="M172" i="42" s="1"/>
  <c r="G143" i="42"/>
  <c r="AC117" i="42"/>
  <c r="AD85" i="42"/>
  <c r="E199" i="42" s="1"/>
  <c r="AA117" i="42"/>
  <c r="E172" i="42" s="1"/>
  <c r="AD100" i="42"/>
  <c r="E214" i="42" s="1"/>
  <c r="AC107" i="42"/>
  <c r="AB85" i="42"/>
  <c r="M140" i="42" s="1"/>
  <c r="O140" i="42" s="1"/>
  <c r="AB99" i="42"/>
  <c r="M154" i="42" s="1"/>
  <c r="O154" i="42" s="1"/>
  <c r="AD106" i="42"/>
  <c r="E220" i="42" s="1"/>
  <c r="AC92" i="42"/>
  <c r="AA96" i="42"/>
  <c r="E151" i="42" s="1"/>
  <c r="AC85" i="42"/>
  <c r="G153" i="42"/>
  <c r="G198" i="42"/>
  <c r="F198" i="42"/>
  <c r="O155" i="42"/>
  <c r="G140" i="42"/>
  <c r="G229" i="42"/>
  <c r="F229" i="42"/>
  <c r="F216" i="42"/>
  <c r="G216" i="42"/>
  <c r="F225" i="42"/>
  <c r="G225" i="42"/>
  <c r="G197" i="42"/>
  <c r="G163" i="42"/>
  <c r="G228" i="42"/>
  <c r="N179" i="42"/>
  <c r="G236" i="42"/>
  <c r="F236" i="42"/>
  <c r="G194" i="42"/>
  <c r="F194" i="42"/>
  <c r="AA114" i="42"/>
  <c r="E169" i="42" s="1"/>
  <c r="G235" i="42"/>
  <c r="F235" i="42"/>
  <c r="AA110" i="42"/>
  <c r="E165" i="42" s="1"/>
  <c r="AC114" i="42"/>
  <c r="AA82" i="42"/>
  <c r="E137" i="42" s="1"/>
  <c r="AB110" i="42"/>
  <c r="M165" i="42" s="1"/>
  <c r="G207" i="42"/>
  <c r="F207" i="42"/>
  <c r="AB83" i="42"/>
  <c r="M138" i="42" s="1"/>
  <c r="AB116" i="42"/>
  <c r="M171" i="42" s="1"/>
  <c r="AA116" i="42"/>
  <c r="E171" i="42" s="1"/>
  <c r="AC116" i="42"/>
  <c r="O135" i="42"/>
  <c r="N135" i="42"/>
  <c r="AC119" i="42"/>
  <c r="AD82" i="42"/>
  <c r="E196" i="42" s="1"/>
  <c r="G212" i="42"/>
  <c r="AA100" i="42"/>
  <c r="E155" i="42" s="1"/>
  <c r="AC90" i="42"/>
  <c r="AD116" i="42"/>
  <c r="E230" i="42" s="1"/>
  <c r="G239" i="42"/>
  <c r="F239" i="42"/>
  <c r="G224" i="42"/>
  <c r="F224" i="42"/>
  <c r="AC110" i="42"/>
  <c r="G237" i="42"/>
  <c r="F237" i="42"/>
  <c r="F233" i="42"/>
  <c r="G233" i="42"/>
  <c r="O167" i="42"/>
  <c r="AA115" i="42"/>
  <c r="E170" i="42" s="1"/>
  <c r="AB115" i="42"/>
  <c r="M170" i="42" s="1"/>
  <c r="AC115" i="42"/>
  <c r="AA102" i="42"/>
  <c r="E157" i="42" s="1"/>
  <c r="F158" i="42" s="1"/>
  <c r="AC102" i="42"/>
  <c r="AB102" i="42"/>
  <c r="M157" i="42" s="1"/>
  <c r="AA89" i="42"/>
  <c r="E144" i="42" s="1"/>
  <c r="AC89" i="42"/>
  <c r="AB89" i="42"/>
  <c r="M144" i="42" s="1"/>
  <c r="G204" i="42"/>
  <c r="N159" i="42"/>
  <c r="O159" i="42"/>
  <c r="G232" i="42"/>
  <c r="F232" i="42"/>
  <c r="F218" i="42"/>
  <c r="G218" i="42"/>
  <c r="AB90" i="42"/>
  <c r="M145" i="42" s="1"/>
  <c r="G215" i="42"/>
  <c r="AB82" i="42"/>
  <c r="M137" i="42" s="1"/>
  <c r="G205" i="42"/>
  <c r="F217" i="42"/>
  <c r="G217" i="42"/>
  <c r="AA121" i="42"/>
  <c r="E176" i="42" s="1"/>
  <c r="AC121" i="42"/>
  <c r="AB121" i="42"/>
  <c r="M176" i="42" s="1"/>
  <c r="AA94" i="42"/>
  <c r="E149" i="42" s="1"/>
  <c r="AA106" i="42"/>
  <c r="E161" i="42" s="1"/>
  <c r="AB119" i="42"/>
  <c r="M174" i="42" s="1"/>
  <c r="G221" i="42"/>
  <c r="O173" i="42"/>
  <c r="G178" i="42"/>
  <c r="F195" i="42"/>
  <c r="AB84" i="42"/>
  <c r="M139" i="42" s="1"/>
  <c r="AA84" i="42"/>
  <c r="E139" i="42" s="1"/>
  <c r="AC84" i="42"/>
  <c r="AB122" i="42"/>
  <c r="M177" i="42" s="1"/>
  <c r="AB87" i="42"/>
  <c r="M142" i="42" s="1"/>
  <c r="AC87" i="42"/>
  <c r="AA87" i="42"/>
  <c r="E142" i="42" s="1"/>
  <c r="AB111" i="42"/>
  <c r="M166" i="42" s="1"/>
  <c r="AA111" i="42"/>
  <c r="E166" i="42" s="1"/>
  <c r="AC111" i="42"/>
  <c r="F210" i="42"/>
  <c r="G210" i="42"/>
  <c r="AB94" i="42"/>
  <c r="M149" i="42" s="1"/>
  <c r="O152" i="42"/>
  <c r="AB106" i="42"/>
  <c r="M161" i="42" s="1"/>
  <c r="G158" i="42"/>
  <c r="G234" i="42"/>
  <c r="F234" i="42"/>
  <c r="N136" i="42"/>
  <c r="G223" i="42"/>
  <c r="F223" i="42"/>
  <c r="AA107" i="42"/>
  <c r="E162" i="42" s="1"/>
  <c r="AD87" i="42"/>
  <c r="E201" i="42" s="1"/>
  <c r="O178" i="42"/>
  <c r="G179" i="42"/>
  <c r="F179" i="42"/>
  <c r="AA90" i="42"/>
  <c r="E145" i="42" s="1"/>
  <c r="F208" i="42"/>
  <c r="G208" i="42"/>
  <c r="AA93" i="42"/>
  <c r="E148" i="42" s="1"/>
  <c r="AC93" i="42"/>
  <c r="AB93" i="42"/>
  <c r="M148" i="42" s="1"/>
  <c r="AA122" i="42"/>
  <c r="E177" i="42" s="1"/>
  <c r="G222" i="42"/>
  <c r="F222" i="42"/>
  <c r="AC94" i="42"/>
  <c r="AB114" i="42"/>
  <c r="M169" i="42" s="1"/>
  <c r="G141" i="42"/>
  <c r="F141" i="42"/>
  <c r="G231" i="42"/>
  <c r="G206" i="42"/>
  <c r="F206" i="42"/>
  <c r="AA109" i="42"/>
  <c r="E164" i="42" s="1"/>
  <c r="AB107" i="42"/>
  <c r="M162" i="42" s="1"/>
  <c r="AD89" i="42"/>
  <c r="E203" i="42" s="1"/>
  <c r="G159" i="42"/>
  <c r="F159" i="42"/>
  <c r="AK136" i="41"/>
  <c r="Y101" i="41"/>
  <c r="Y93" i="41"/>
  <c r="Y85" i="41"/>
  <c r="Y109" i="41"/>
  <c r="Y117" i="41"/>
  <c r="Y125" i="41"/>
  <c r="O136" i="41"/>
  <c r="G195" i="41"/>
  <c r="W92" i="41"/>
  <c r="Q92" i="41"/>
  <c r="S92" i="41" s="1"/>
  <c r="T92" i="41" s="1"/>
  <c r="AG92" i="41"/>
  <c r="W100" i="41"/>
  <c r="Q100" i="41"/>
  <c r="S100" i="41" s="1"/>
  <c r="T100" i="41" s="1"/>
  <c r="AG100" i="41"/>
  <c r="W84" i="41"/>
  <c r="Q84" i="41"/>
  <c r="S84" i="41" s="1"/>
  <c r="T84" i="41" s="1"/>
  <c r="AG84" i="41"/>
  <c r="Y108" i="41"/>
  <c r="W123" i="41"/>
  <c r="Q123" i="41"/>
  <c r="S123" i="41" s="1"/>
  <c r="T123" i="41" s="1"/>
  <c r="AG123" i="41"/>
  <c r="W119" i="41"/>
  <c r="Q119" i="41"/>
  <c r="S119" i="41" s="1"/>
  <c r="T119" i="41" s="1"/>
  <c r="AG119" i="41"/>
  <c r="W115" i="41"/>
  <c r="Q115" i="41"/>
  <c r="S115" i="41" s="1"/>
  <c r="T115" i="41" s="1"/>
  <c r="AG115" i="41"/>
  <c r="W111" i="41"/>
  <c r="Q111" i="41"/>
  <c r="S111" i="41" s="1"/>
  <c r="T111" i="41" s="1"/>
  <c r="AG111" i="41"/>
  <c r="W107" i="41"/>
  <c r="Q107" i="41"/>
  <c r="S107" i="41" s="1"/>
  <c r="AG107" i="41"/>
  <c r="W103" i="41"/>
  <c r="Q103" i="41"/>
  <c r="S103" i="41" s="1"/>
  <c r="T103" i="41" s="1"/>
  <c r="AG103" i="41"/>
  <c r="W99" i="41"/>
  <c r="Q99" i="41"/>
  <c r="S99" i="41" s="1"/>
  <c r="T99" i="41" s="1"/>
  <c r="AG99" i="41"/>
  <c r="AF99" i="41"/>
  <c r="W95" i="41"/>
  <c r="Q95" i="41"/>
  <c r="S95" i="41" s="1"/>
  <c r="T95" i="41" s="1"/>
  <c r="AG95" i="41"/>
  <c r="AF95" i="41"/>
  <c r="W91" i="41"/>
  <c r="Q91" i="41"/>
  <c r="S91" i="41" s="1"/>
  <c r="T91" i="41" s="1"/>
  <c r="AG91" i="41"/>
  <c r="AF91" i="41"/>
  <c r="W87" i="41"/>
  <c r="Q87" i="41"/>
  <c r="S87" i="41" s="1"/>
  <c r="T87" i="41" s="1"/>
  <c r="AG87" i="41"/>
  <c r="AF87" i="41"/>
  <c r="W83" i="41"/>
  <c r="Q83" i="41"/>
  <c r="S83" i="41" s="1"/>
  <c r="T83" i="41" s="1"/>
  <c r="AG83" i="41"/>
  <c r="AF83" i="41"/>
  <c r="Y114" i="41"/>
  <c r="Y122" i="41"/>
  <c r="E82" i="41"/>
  <c r="F82" i="41" s="1"/>
  <c r="E84" i="41"/>
  <c r="F84" i="41" s="1"/>
  <c r="E86" i="41"/>
  <c r="F86" i="41" s="1"/>
  <c r="E88" i="41"/>
  <c r="F88" i="41" s="1"/>
  <c r="E90" i="41"/>
  <c r="F90" i="41" s="1"/>
  <c r="E92" i="41"/>
  <c r="F92" i="41" s="1"/>
  <c r="E94" i="41"/>
  <c r="F94" i="41" s="1"/>
  <c r="E96" i="41"/>
  <c r="F96" i="41" s="1"/>
  <c r="E98" i="41"/>
  <c r="F98" i="41" s="1"/>
  <c r="E100" i="41"/>
  <c r="F100" i="41" s="1"/>
  <c r="E102" i="41"/>
  <c r="F102" i="41" s="1"/>
  <c r="E104" i="41"/>
  <c r="F104" i="41" s="1"/>
  <c r="E106" i="41"/>
  <c r="F106" i="41" s="1"/>
  <c r="E108" i="41"/>
  <c r="F108" i="41" s="1"/>
  <c r="E110" i="41"/>
  <c r="F110" i="41" s="1"/>
  <c r="E112" i="41"/>
  <c r="F112" i="41" s="1"/>
  <c r="E114" i="41"/>
  <c r="F114" i="41" s="1"/>
  <c r="E116" i="41"/>
  <c r="F116" i="41" s="1"/>
  <c r="E118" i="41"/>
  <c r="F118" i="41" s="1"/>
  <c r="E120" i="41"/>
  <c r="F120" i="41" s="1"/>
  <c r="E122" i="41"/>
  <c r="F122" i="41" s="1"/>
  <c r="E124" i="41"/>
  <c r="F124" i="41" s="1"/>
  <c r="E126" i="41"/>
  <c r="F126" i="41" s="1"/>
  <c r="AF103" i="41"/>
  <c r="AF107" i="41"/>
  <c r="AF111" i="41"/>
  <c r="AF115" i="41"/>
  <c r="AF119" i="41"/>
  <c r="AF123" i="41"/>
  <c r="W94" i="41"/>
  <c r="Q94" i="41"/>
  <c r="S94" i="41" s="1"/>
  <c r="T94" i="41" s="1"/>
  <c r="AG94" i="41"/>
  <c r="W102" i="41"/>
  <c r="Q102" i="41"/>
  <c r="S102" i="41" s="1"/>
  <c r="T102" i="41" s="1"/>
  <c r="AG102" i="41"/>
  <c r="Y87" i="41"/>
  <c r="Y95" i="41"/>
  <c r="Y82" i="41"/>
  <c r="Y86" i="41"/>
  <c r="Y90" i="41"/>
  <c r="Y94" i="41"/>
  <c r="Y98" i="41"/>
  <c r="Y102" i="41"/>
  <c r="W104" i="41"/>
  <c r="Q104" i="41"/>
  <c r="S104" i="41" s="1"/>
  <c r="T104" i="41" s="1"/>
  <c r="AG104" i="41"/>
  <c r="AF104" i="41"/>
  <c r="W108" i="41"/>
  <c r="Q108" i="41"/>
  <c r="S108" i="41" s="1"/>
  <c r="T108" i="41" s="1"/>
  <c r="AG108" i="41"/>
  <c r="AF108" i="41"/>
  <c r="W112" i="41"/>
  <c r="Q112" i="41"/>
  <c r="S112" i="41" s="1"/>
  <c r="T112" i="41" s="1"/>
  <c r="AG112" i="41"/>
  <c r="AF112" i="41"/>
  <c r="W116" i="41"/>
  <c r="Q116" i="41"/>
  <c r="S116" i="41" s="1"/>
  <c r="AG116" i="41"/>
  <c r="R116" i="41"/>
  <c r="W120" i="41"/>
  <c r="Q120" i="41"/>
  <c r="S120" i="41" s="1"/>
  <c r="T120" i="41" s="1"/>
  <c r="AG120" i="41"/>
  <c r="W124" i="41"/>
  <c r="Q124" i="41"/>
  <c r="S124" i="41" s="1"/>
  <c r="T124" i="41" s="1"/>
  <c r="AG124" i="41"/>
  <c r="Q90" i="41"/>
  <c r="P126" i="41"/>
  <c r="P118" i="41"/>
  <c r="W88" i="41"/>
  <c r="Q88" i="41"/>
  <c r="S88" i="41" s="1"/>
  <c r="T88" i="41" s="1"/>
  <c r="AG88" i="41"/>
  <c r="W96" i="41"/>
  <c r="Q96" i="41"/>
  <c r="S96" i="41" s="1"/>
  <c r="T96" i="41" s="1"/>
  <c r="AG96" i="41"/>
  <c r="P120" i="41"/>
  <c r="T116" i="41"/>
  <c r="W86" i="41"/>
  <c r="Q86" i="41"/>
  <c r="S86" i="41" s="1"/>
  <c r="T86" i="41" s="1"/>
  <c r="AG86" i="41"/>
  <c r="W82" i="41"/>
  <c r="Q82" i="41"/>
  <c r="S82" i="41" s="1"/>
  <c r="T82" i="41" s="1"/>
  <c r="AG82" i="41"/>
  <c r="Y112" i="41"/>
  <c r="Y104" i="41"/>
  <c r="W125" i="41"/>
  <c r="Q125" i="41"/>
  <c r="AG125" i="41"/>
  <c r="W121" i="41"/>
  <c r="Q121" i="41"/>
  <c r="S121" i="41" s="1"/>
  <c r="T121" i="41" s="1"/>
  <c r="AG121" i="41"/>
  <c r="W117" i="41"/>
  <c r="Q117" i="41"/>
  <c r="S117" i="41" s="1"/>
  <c r="T117" i="41" s="1"/>
  <c r="AG117" i="41"/>
  <c r="W113" i="41"/>
  <c r="Q113" i="41"/>
  <c r="S113" i="41" s="1"/>
  <c r="T113" i="41" s="1"/>
  <c r="AG113" i="41"/>
  <c r="W109" i="41"/>
  <c r="Q109" i="41"/>
  <c r="S109" i="41" s="1"/>
  <c r="T109" i="41" s="1"/>
  <c r="AG109" i="41"/>
  <c r="W105" i="41"/>
  <c r="Q105" i="41"/>
  <c r="S105" i="41" s="1"/>
  <c r="T105" i="41" s="1"/>
  <c r="AG105" i="41"/>
  <c r="W101" i="41"/>
  <c r="Q101" i="41"/>
  <c r="S101" i="41" s="1"/>
  <c r="T101" i="41" s="1"/>
  <c r="AG101" i="41"/>
  <c r="AF101" i="41"/>
  <c r="W97" i="41"/>
  <c r="Q97" i="41"/>
  <c r="S97" i="41" s="1"/>
  <c r="T97" i="41" s="1"/>
  <c r="AG97" i="41"/>
  <c r="AF97" i="41"/>
  <c r="W93" i="41"/>
  <c r="Q93" i="41"/>
  <c r="S93" i="41" s="1"/>
  <c r="T93" i="41" s="1"/>
  <c r="AG93" i="41"/>
  <c r="AF93" i="41"/>
  <c r="W89" i="41"/>
  <c r="Q89" i="41"/>
  <c r="AG89" i="41"/>
  <c r="AF89" i="41"/>
  <c r="W85" i="41"/>
  <c r="Q85" i="41"/>
  <c r="S85" i="41" s="1"/>
  <c r="T85" i="41" s="1"/>
  <c r="AG85" i="41"/>
  <c r="AF85" i="41"/>
  <c r="AG80" i="41"/>
  <c r="Q80" i="41"/>
  <c r="R80" i="41" s="1"/>
  <c r="Y118" i="41"/>
  <c r="Y126" i="41"/>
  <c r="E81" i="41"/>
  <c r="F81" i="41" s="1"/>
  <c r="E83" i="41"/>
  <c r="F83" i="41" s="1"/>
  <c r="E85" i="41"/>
  <c r="F85" i="41" s="1"/>
  <c r="E87" i="41"/>
  <c r="F87" i="41" s="1"/>
  <c r="E89" i="41"/>
  <c r="F89" i="41" s="1"/>
  <c r="E91" i="41"/>
  <c r="F91" i="41" s="1"/>
  <c r="E93" i="41"/>
  <c r="F93" i="41" s="1"/>
  <c r="E95" i="41"/>
  <c r="F95" i="41" s="1"/>
  <c r="E97" i="41"/>
  <c r="F97" i="41" s="1"/>
  <c r="E99" i="41"/>
  <c r="F99" i="41" s="1"/>
  <c r="E101" i="41"/>
  <c r="F101" i="41" s="1"/>
  <c r="E103" i="41"/>
  <c r="F103" i="41" s="1"/>
  <c r="E105" i="41"/>
  <c r="F105" i="41" s="1"/>
  <c r="E107" i="41"/>
  <c r="F107" i="41" s="1"/>
  <c r="E109" i="41"/>
  <c r="F109" i="41" s="1"/>
  <c r="E111" i="41"/>
  <c r="F111" i="41" s="1"/>
  <c r="E113" i="41"/>
  <c r="F113" i="41" s="1"/>
  <c r="E115" i="41"/>
  <c r="F115" i="41" s="1"/>
  <c r="E117" i="41"/>
  <c r="F117" i="41" s="1"/>
  <c r="E119" i="41"/>
  <c r="F119" i="41" s="1"/>
  <c r="E121" i="41"/>
  <c r="F121" i="41" s="1"/>
  <c r="E123" i="41"/>
  <c r="F123" i="41" s="1"/>
  <c r="E125" i="41"/>
  <c r="F125" i="41" s="1"/>
  <c r="AF105" i="41"/>
  <c r="T107" i="41"/>
  <c r="AF109" i="41"/>
  <c r="AF113" i="41"/>
  <c r="AF117" i="41"/>
  <c r="P121" i="41"/>
  <c r="AF121" i="41"/>
  <c r="P125" i="41"/>
  <c r="AF125" i="41"/>
  <c r="AF80" i="41"/>
  <c r="W98" i="41"/>
  <c r="Q98" i="41"/>
  <c r="S98" i="41" s="1"/>
  <c r="T98" i="41" s="1"/>
  <c r="AG98" i="41"/>
  <c r="Q81" i="41"/>
  <c r="S81" i="41" s="1"/>
  <c r="T81" i="41" s="1"/>
  <c r="AG81" i="41"/>
  <c r="Y84" i="41"/>
  <c r="Y88" i="41"/>
  <c r="Y92" i="41"/>
  <c r="Y96" i="41"/>
  <c r="Y100" i="41"/>
  <c r="Y110" i="41"/>
  <c r="W106" i="41"/>
  <c r="Q106" i="41"/>
  <c r="S106" i="41" s="1"/>
  <c r="T106" i="41" s="1"/>
  <c r="AG106" i="41"/>
  <c r="AF106" i="41"/>
  <c r="W110" i="41"/>
  <c r="Q110" i="41"/>
  <c r="S110" i="41" s="1"/>
  <c r="T110" i="41" s="1"/>
  <c r="AG110" i="41"/>
  <c r="AF110" i="41"/>
  <c r="W114" i="41"/>
  <c r="Q114" i="41"/>
  <c r="S114" i="41" s="1"/>
  <c r="T114" i="41" s="1"/>
  <c r="AG114" i="41"/>
  <c r="W118" i="41"/>
  <c r="Q118" i="41"/>
  <c r="S118" i="41" s="1"/>
  <c r="T118" i="41" s="1"/>
  <c r="AG118" i="41"/>
  <c r="W122" i="41"/>
  <c r="Q122" i="41"/>
  <c r="S122" i="41" s="1"/>
  <c r="T122" i="41" s="1"/>
  <c r="AG122" i="41"/>
  <c r="W126" i="41"/>
  <c r="Q126" i="41"/>
  <c r="S126" i="41" s="1"/>
  <c r="T126" i="41" s="1"/>
  <c r="AG126" i="41"/>
  <c r="W90" i="41"/>
  <c r="AJ215" i="49" l="1"/>
  <c r="AJ217" i="48"/>
  <c r="AU136" i="49"/>
  <c r="AC5" i="14" s="1"/>
  <c r="AF196" i="49"/>
  <c r="AJ196" i="49"/>
  <c r="N135" i="49"/>
  <c r="AM181" i="49"/>
  <c r="N163" i="45"/>
  <c r="F154" i="42"/>
  <c r="N147" i="42"/>
  <c r="G173" i="43"/>
  <c r="F203" i="43"/>
  <c r="AF220" i="43"/>
  <c r="N139" i="43"/>
  <c r="F160" i="43"/>
  <c r="O158" i="45"/>
  <c r="U202" i="49"/>
  <c r="Z202" i="49" s="1"/>
  <c r="AD12" i="14" s="1"/>
  <c r="O135" i="49"/>
  <c r="AL181" i="49"/>
  <c r="F209" i="49"/>
  <c r="F210" i="49"/>
  <c r="F212" i="42"/>
  <c r="G160" i="43"/>
  <c r="G155" i="45"/>
  <c r="F205" i="45"/>
  <c r="AF217" i="48"/>
  <c r="N181" i="49"/>
  <c r="U231" i="49"/>
  <c r="Z231" i="49" s="1"/>
  <c r="AD41" i="14" s="1"/>
  <c r="G206" i="43"/>
  <c r="G167" i="45"/>
  <c r="AJ234" i="49"/>
  <c r="AJ227" i="49"/>
  <c r="U207" i="49"/>
  <c r="Z207" i="49" s="1"/>
  <c r="AD17" i="14" s="1"/>
  <c r="AJ221" i="49"/>
  <c r="AF229" i="49"/>
  <c r="F138" i="42"/>
  <c r="O142" i="43"/>
  <c r="F223" i="43"/>
  <c r="N144" i="45"/>
  <c r="O159" i="49"/>
  <c r="N140" i="49"/>
  <c r="AF200" i="49"/>
  <c r="AJ206" i="49"/>
  <c r="AJ229" i="49"/>
  <c r="AM140" i="49"/>
  <c r="AB173" i="49"/>
  <c r="AU173" i="49" s="1"/>
  <c r="AC42" i="14" s="1"/>
  <c r="AO181" i="49"/>
  <c r="AX181" i="49" s="1"/>
  <c r="F227" i="42"/>
  <c r="F204" i="45"/>
  <c r="F168" i="45"/>
  <c r="AJ223" i="48"/>
  <c r="AF203" i="49"/>
  <c r="AM159" i="49"/>
  <c r="AO159" i="49" s="1"/>
  <c r="AX159" i="49" s="1"/>
  <c r="AK160" i="51"/>
  <c r="F211" i="42"/>
  <c r="R82" i="41"/>
  <c r="R86" i="41"/>
  <c r="R91" i="41"/>
  <c r="AB150" i="43"/>
  <c r="AU150" i="43" s="1"/>
  <c r="AF223" i="48"/>
  <c r="AJ203" i="49"/>
  <c r="G159" i="49"/>
  <c r="AL159" i="49"/>
  <c r="O160" i="51"/>
  <c r="F206" i="43"/>
  <c r="R95" i="41"/>
  <c r="AF221" i="43"/>
  <c r="N177" i="43"/>
  <c r="N159" i="49"/>
  <c r="AO173" i="49"/>
  <c r="AB154" i="49"/>
  <c r="AU154" i="49" s="1"/>
  <c r="AC23" i="14" s="1"/>
  <c r="U240" i="49"/>
  <c r="Z240" i="49" s="1"/>
  <c r="AF240" i="49" s="1"/>
  <c r="G160" i="45"/>
  <c r="AD30" i="14"/>
  <c r="AJ220" i="49"/>
  <c r="F160" i="51"/>
  <c r="X160" i="51"/>
  <c r="G160" i="51"/>
  <c r="X169" i="43"/>
  <c r="G169" i="43"/>
  <c r="N149" i="46"/>
  <c r="N150" i="46"/>
  <c r="AJ238" i="43"/>
  <c r="F173" i="45"/>
  <c r="O138" i="45"/>
  <c r="R93" i="41"/>
  <c r="S125" i="41"/>
  <c r="T125" i="41" s="1"/>
  <c r="R125" i="41"/>
  <c r="R112" i="41"/>
  <c r="F198" i="43"/>
  <c r="G197" i="43"/>
  <c r="AK180" i="43"/>
  <c r="AO180" i="43" s="1"/>
  <c r="AX180" i="43" s="1"/>
  <c r="N181" i="43"/>
  <c r="X171" i="43"/>
  <c r="AB171" i="43" s="1"/>
  <c r="AU171" i="43" s="1"/>
  <c r="G171" i="43"/>
  <c r="F226" i="42"/>
  <c r="AD8" i="14"/>
  <c r="AF198" i="49"/>
  <c r="AD40" i="14"/>
  <c r="AF230" i="49"/>
  <c r="AD42" i="14"/>
  <c r="AJ232" i="49"/>
  <c r="AF232" i="49"/>
  <c r="O150" i="49"/>
  <c r="N150" i="49"/>
  <c r="N151" i="49"/>
  <c r="AL150" i="49"/>
  <c r="R106" i="41"/>
  <c r="R98" i="41"/>
  <c r="S89" i="41"/>
  <c r="T89" i="41" s="1"/>
  <c r="R89" i="41"/>
  <c r="N156" i="43"/>
  <c r="O165" i="43"/>
  <c r="AK171" i="43"/>
  <c r="AO171" i="43" s="1"/>
  <c r="AX171" i="43" s="1"/>
  <c r="O171" i="43"/>
  <c r="N180" i="42"/>
  <c r="O173" i="43"/>
  <c r="AK173" i="43"/>
  <c r="AO173" i="43" s="1"/>
  <c r="AX173" i="43" s="1"/>
  <c r="N160" i="45"/>
  <c r="F150" i="46"/>
  <c r="U209" i="49"/>
  <c r="Z209" i="49" s="1"/>
  <c r="AB148" i="49"/>
  <c r="S238" i="49"/>
  <c r="F238" i="49"/>
  <c r="G238" i="49"/>
  <c r="R238" i="49"/>
  <c r="R126" i="41"/>
  <c r="R122" i="41"/>
  <c r="R114" i="41"/>
  <c r="R102" i="41"/>
  <c r="R103" i="41"/>
  <c r="R111" i="41"/>
  <c r="R119" i="41"/>
  <c r="F151" i="43"/>
  <c r="G143" i="43"/>
  <c r="G154" i="43"/>
  <c r="O177" i="45"/>
  <c r="F158" i="45"/>
  <c r="U226" i="49"/>
  <c r="Z226" i="49" s="1"/>
  <c r="AD36" i="14" s="1"/>
  <c r="AF205" i="49"/>
  <c r="AJ201" i="49"/>
  <c r="AB140" i="49"/>
  <c r="R118" i="41"/>
  <c r="R97" i="41"/>
  <c r="R104" i="41"/>
  <c r="R94" i="41"/>
  <c r="R83" i="41"/>
  <c r="R99" i="41"/>
  <c r="R107" i="41"/>
  <c r="R115" i="41"/>
  <c r="R123" i="41"/>
  <c r="AF226" i="43"/>
  <c r="F150" i="43"/>
  <c r="G162" i="43"/>
  <c r="F154" i="46"/>
  <c r="R110" i="41"/>
  <c r="R85" i="41"/>
  <c r="R101" i="41"/>
  <c r="R105" i="41"/>
  <c r="R109" i="41"/>
  <c r="R113" i="41"/>
  <c r="R117" i="41"/>
  <c r="R121" i="41"/>
  <c r="R96" i="41"/>
  <c r="R88" i="41"/>
  <c r="R124" i="41"/>
  <c r="R120" i="41"/>
  <c r="R87" i="41"/>
  <c r="R84" i="41"/>
  <c r="R100" i="41"/>
  <c r="R92" i="41"/>
  <c r="F163" i="43"/>
  <c r="N142" i="43"/>
  <c r="N171" i="43"/>
  <c r="N180" i="43"/>
  <c r="AB143" i="43"/>
  <c r="AU143" i="43" s="1"/>
  <c r="G150" i="43"/>
  <c r="F155" i="45"/>
  <c r="G161" i="45"/>
  <c r="N139" i="45"/>
  <c r="F155" i="46"/>
  <c r="AJ201" i="48"/>
  <c r="AF234" i="49"/>
  <c r="AJ205" i="49"/>
  <c r="AF201" i="49"/>
  <c r="AO153" i="49"/>
  <c r="U224" i="49"/>
  <c r="Z224" i="49" s="1"/>
  <c r="AD34" i="14" s="1"/>
  <c r="X168" i="51"/>
  <c r="F181" i="49"/>
  <c r="G181" i="49"/>
  <c r="R108" i="41"/>
  <c r="G168" i="42"/>
  <c r="O179" i="42"/>
  <c r="AU141" i="43"/>
  <c r="BE141" i="43" s="1"/>
  <c r="AB173" i="43"/>
  <c r="AU173" i="43" s="1"/>
  <c r="BE173" i="43" s="1"/>
  <c r="F174" i="43"/>
  <c r="N143" i="43"/>
  <c r="AF216" i="43"/>
  <c r="AU151" i="43"/>
  <c r="BA151" i="43" s="1"/>
  <c r="O168" i="45"/>
  <c r="N180" i="45"/>
  <c r="N177" i="45"/>
  <c r="AO144" i="49"/>
  <c r="AU144" i="49" s="1"/>
  <c r="AO177" i="49"/>
  <c r="AX177" i="49" s="1"/>
  <c r="AB143" i="49"/>
  <c r="G171" i="51"/>
  <c r="F172" i="51"/>
  <c r="X142" i="51"/>
  <c r="F143" i="51"/>
  <c r="X171" i="51"/>
  <c r="G142" i="51"/>
  <c r="AK168" i="51"/>
  <c r="N172" i="51"/>
  <c r="N168" i="51"/>
  <c r="N171" i="51"/>
  <c r="O171" i="51"/>
  <c r="F219" i="51"/>
  <c r="G219" i="51"/>
  <c r="N146" i="51"/>
  <c r="O146" i="51"/>
  <c r="F169" i="51"/>
  <c r="F168" i="51"/>
  <c r="Q236" i="51"/>
  <c r="F237" i="51"/>
  <c r="G236" i="51"/>
  <c r="O177" i="51"/>
  <c r="N178" i="51"/>
  <c r="AK177" i="51"/>
  <c r="X177" i="51"/>
  <c r="F178" i="51"/>
  <c r="G177" i="51"/>
  <c r="Q220" i="51"/>
  <c r="G220" i="51"/>
  <c r="F220" i="51"/>
  <c r="F221" i="51"/>
  <c r="AA121" i="51"/>
  <c r="E176" i="51" s="1"/>
  <c r="AB111" i="51"/>
  <c r="M166" i="51" s="1"/>
  <c r="AA111" i="51"/>
  <c r="E166" i="51" s="1"/>
  <c r="AC111" i="51"/>
  <c r="AC100" i="51"/>
  <c r="AB100" i="51"/>
  <c r="M155" i="51" s="1"/>
  <c r="AA100" i="51"/>
  <c r="E155" i="51" s="1"/>
  <c r="AC124" i="51"/>
  <c r="AA124" i="51"/>
  <c r="E179" i="51" s="1"/>
  <c r="AB124" i="51"/>
  <c r="M179" i="51" s="1"/>
  <c r="AB121" i="51"/>
  <c r="M176" i="51" s="1"/>
  <c r="AD111" i="51"/>
  <c r="E225" i="51" s="1"/>
  <c r="Q206" i="51"/>
  <c r="G206" i="51"/>
  <c r="F206" i="51"/>
  <c r="F207" i="51"/>
  <c r="Q233" i="51"/>
  <c r="G233" i="51"/>
  <c r="F233" i="51"/>
  <c r="F234" i="51"/>
  <c r="Q235" i="51"/>
  <c r="G235" i="51"/>
  <c r="F235" i="51"/>
  <c r="F236" i="51"/>
  <c r="AC106" i="51"/>
  <c r="AA106" i="51"/>
  <c r="E161" i="51" s="1"/>
  <c r="AB106" i="51"/>
  <c r="M161" i="51" s="1"/>
  <c r="Q238" i="51"/>
  <c r="G238" i="51"/>
  <c r="F238" i="51"/>
  <c r="AC121" i="51"/>
  <c r="G144" i="51"/>
  <c r="X144" i="51"/>
  <c r="F144" i="51"/>
  <c r="F145" i="51"/>
  <c r="AC84" i="51"/>
  <c r="AA84" i="51"/>
  <c r="E139" i="51" s="1"/>
  <c r="AB84" i="51"/>
  <c r="M139" i="51" s="1"/>
  <c r="AK163" i="51"/>
  <c r="N163" i="51"/>
  <c r="O163" i="51"/>
  <c r="O144" i="51"/>
  <c r="N144" i="51"/>
  <c r="AK144" i="51"/>
  <c r="N145" i="51"/>
  <c r="F146" i="51"/>
  <c r="X146" i="51"/>
  <c r="G146" i="51"/>
  <c r="Q198" i="51"/>
  <c r="G198" i="51"/>
  <c r="F198" i="51"/>
  <c r="F199" i="51"/>
  <c r="G163" i="51"/>
  <c r="F163" i="51"/>
  <c r="X163" i="51"/>
  <c r="AD100" i="51"/>
  <c r="E214" i="51" s="1"/>
  <c r="AA92" i="51"/>
  <c r="E147" i="51" s="1"/>
  <c r="AB92" i="51"/>
  <c r="M147" i="51" s="1"/>
  <c r="AC92" i="51"/>
  <c r="AC119" i="51"/>
  <c r="AB119" i="51"/>
  <c r="M174" i="51" s="1"/>
  <c r="AA119" i="51"/>
  <c r="E174" i="51" s="1"/>
  <c r="AJ240" i="49"/>
  <c r="AF224" i="49"/>
  <c r="AD28" i="14"/>
  <c r="AF218" i="49"/>
  <c r="AJ218" i="49"/>
  <c r="AJ207" i="48"/>
  <c r="AB17" i="14"/>
  <c r="AJ234" i="48"/>
  <c r="AB44" i="14"/>
  <c r="U233" i="49"/>
  <c r="Z233" i="49" s="1"/>
  <c r="AD43" i="14" s="1"/>
  <c r="AF227" i="48"/>
  <c r="AB37" i="14"/>
  <c r="AF197" i="49"/>
  <c r="AF236" i="49"/>
  <c r="AJ228" i="49"/>
  <c r="AO180" i="49"/>
  <c r="AU180" i="49" s="1"/>
  <c r="AC49" i="14" s="1"/>
  <c r="Z159" i="49"/>
  <c r="AF204" i="48"/>
  <c r="AB14" i="14"/>
  <c r="AF216" i="48"/>
  <c r="AB26" i="14"/>
  <c r="U213" i="49"/>
  <c r="Z213" i="49" s="1"/>
  <c r="AD23" i="14" s="1"/>
  <c r="U237" i="49"/>
  <c r="Z237" i="49" s="1"/>
  <c r="AD47" i="14" s="1"/>
  <c r="AF214" i="48"/>
  <c r="AB24" i="14"/>
  <c r="AF231" i="48"/>
  <c r="AB41" i="14"/>
  <c r="AF228" i="49"/>
  <c r="AF198" i="48"/>
  <c r="AB8" i="14"/>
  <c r="AJ229" i="48"/>
  <c r="AB39" i="14"/>
  <c r="AJ214" i="49"/>
  <c r="AJ197" i="49"/>
  <c r="AJ236" i="49"/>
  <c r="Y159" i="49"/>
  <c r="AJ211" i="48"/>
  <c r="AB21" i="14"/>
  <c r="AF205" i="48"/>
  <c r="AB15" i="14"/>
  <c r="AF227" i="49"/>
  <c r="AF226" i="48"/>
  <c r="AJ228" i="48"/>
  <c r="AJ209" i="48"/>
  <c r="AB19" i="14"/>
  <c r="AF196" i="48"/>
  <c r="AB6" i="14"/>
  <c r="AJ206" i="48"/>
  <c r="AB16" i="14"/>
  <c r="AF214" i="49"/>
  <c r="AF223" i="49"/>
  <c r="AF212" i="49"/>
  <c r="AF210" i="49"/>
  <c r="AJ225" i="49"/>
  <c r="AD35" i="14"/>
  <c r="AB181" i="49"/>
  <c r="AU181" i="49" s="1"/>
  <c r="AC50" i="14" s="1"/>
  <c r="U239" i="49"/>
  <c r="Z239" i="49" s="1"/>
  <c r="AF239" i="49" s="1"/>
  <c r="G151" i="47"/>
  <c r="N155" i="47"/>
  <c r="AJ226" i="48"/>
  <c r="AF228" i="48"/>
  <c r="AJ208" i="48"/>
  <c r="AB18" i="14"/>
  <c r="AJ236" i="48"/>
  <c r="AB46" i="14"/>
  <c r="AJ210" i="48"/>
  <c r="AB20" i="14"/>
  <c r="AF215" i="48"/>
  <c r="AB25" i="14"/>
  <c r="AO140" i="49"/>
  <c r="AX140" i="49" s="1"/>
  <c r="AJ223" i="49"/>
  <c r="AJ212" i="49"/>
  <c r="AJ210" i="49"/>
  <c r="AU143" i="49"/>
  <c r="AC12" i="14" s="1"/>
  <c r="U222" i="49"/>
  <c r="Z222" i="49" s="1"/>
  <c r="AJ222" i="49" s="1"/>
  <c r="AJ211" i="49"/>
  <c r="AD21" i="14"/>
  <c r="AJ205" i="48"/>
  <c r="AF239" i="48"/>
  <c r="AB49" i="14"/>
  <c r="AJ221" i="48"/>
  <c r="AB31" i="14"/>
  <c r="AJ232" i="48"/>
  <c r="AB42" i="14"/>
  <c r="AJ237" i="48"/>
  <c r="AB47" i="14"/>
  <c r="AJ238" i="48"/>
  <c r="AB48" i="14"/>
  <c r="F159" i="49"/>
  <c r="AO158" i="49"/>
  <c r="AX158" i="49" s="1"/>
  <c r="O178" i="46"/>
  <c r="N179" i="46"/>
  <c r="F150" i="50"/>
  <c r="G149" i="50"/>
  <c r="F158" i="50"/>
  <c r="G157" i="50"/>
  <c r="F157" i="50"/>
  <c r="AM149" i="50"/>
  <c r="F149" i="50"/>
  <c r="N149" i="50"/>
  <c r="AL149" i="50"/>
  <c r="O149" i="50"/>
  <c r="N150" i="50"/>
  <c r="AL157" i="50"/>
  <c r="O157" i="50"/>
  <c r="N157" i="50"/>
  <c r="AM157" i="50"/>
  <c r="N158" i="50"/>
  <c r="AF231" i="49"/>
  <c r="AJ231" i="49"/>
  <c r="U216" i="49"/>
  <c r="Z216" i="49" s="1"/>
  <c r="AD26" i="14" s="1"/>
  <c r="U199" i="49"/>
  <c r="Z199" i="49" s="1"/>
  <c r="AD9" i="14" s="1"/>
  <c r="U219" i="49"/>
  <c r="Z219" i="49" s="1"/>
  <c r="AF225" i="49"/>
  <c r="U204" i="49"/>
  <c r="Z204" i="49" s="1"/>
  <c r="AD14" i="14" s="1"/>
  <c r="AO152" i="49"/>
  <c r="AX152" i="49" s="1"/>
  <c r="AF211" i="49"/>
  <c r="U217" i="49"/>
  <c r="Z217" i="49" s="1"/>
  <c r="U208" i="49"/>
  <c r="Z208" i="49" s="1"/>
  <c r="AB162" i="49"/>
  <c r="AO145" i="49"/>
  <c r="AU145" i="49" s="1"/>
  <c r="AC14" i="14" s="1"/>
  <c r="AB166" i="49"/>
  <c r="AO161" i="49"/>
  <c r="AX161" i="49" s="1"/>
  <c r="AO163" i="49"/>
  <c r="AX163" i="49" s="1"/>
  <c r="AB170" i="49"/>
  <c r="AB152" i="49"/>
  <c r="AO150" i="49"/>
  <c r="AU150" i="49" s="1"/>
  <c r="AC19" i="14" s="1"/>
  <c r="AX144" i="49"/>
  <c r="AB147" i="49"/>
  <c r="AO156" i="49"/>
  <c r="AX156" i="49" s="1"/>
  <c r="AO137" i="49"/>
  <c r="AX137" i="49" s="1"/>
  <c r="AB171" i="49"/>
  <c r="AO175" i="49"/>
  <c r="AX175" i="49" s="1"/>
  <c r="AB141" i="49"/>
  <c r="AU149" i="49"/>
  <c r="AB156" i="49"/>
  <c r="AO147" i="49"/>
  <c r="AX147" i="49" s="1"/>
  <c r="AB157" i="49"/>
  <c r="AB169" i="49"/>
  <c r="AO168" i="49"/>
  <c r="AX168" i="49" s="1"/>
  <c r="AO174" i="49"/>
  <c r="AX174" i="49" s="1"/>
  <c r="AB137" i="49"/>
  <c r="AB153" i="49"/>
  <c r="AU153" i="49" s="1"/>
  <c r="AO171" i="49"/>
  <c r="AX171" i="49" s="1"/>
  <c r="AB178" i="49"/>
  <c r="AB155" i="49"/>
  <c r="AB160" i="49"/>
  <c r="AU160" i="49" s="1"/>
  <c r="AB172" i="49"/>
  <c r="AB168" i="49"/>
  <c r="AO141" i="49"/>
  <c r="AX141" i="49" s="1"/>
  <c r="AO169" i="49"/>
  <c r="AX169" i="49" s="1"/>
  <c r="AB165" i="49"/>
  <c r="AB176" i="49"/>
  <c r="AB151" i="49"/>
  <c r="AO167" i="49"/>
  <c r="AX167" i="49" s="1"/>
  <c r="AO142" i="49"/>
  <c r="AX142" i="49" s="1"/>
  <c r="AO172" i="49"/>
  <c r="AX172" i="49" s="1"/>
  <c r="AB175" i="49"/>
  <c r="AB167" i="49"/>
  <c r="AB142" i="49"/>
  <c r="AO155" i="49"/>
  <c r="AX155" i="49" s="1"/>
  <c r="AB139" i="49"/>
  <c r="AO148" i="49"/>
  <c r="AU148" i="49" s="1"/>
  <c r="AC17" i="14" s="1"/>
  <c r="AB138" i="49"/>
  <c r="AB146" i="49"/>
  <c r="AB161" i="49"/>
  <c r="AB179" i="49"/>
  <c r="AF207" i="49"/>
  <c r="AX148" i="49"/>
  <c r="AO146" i="49"/>
  <c r="AO176" i="49"/>
  <c r="AO157" i="49"/>
  <c r="AX153" i="49"/>
  <c r="AX180" i="49"/>
  <c r="AO178" i="49"/>
  <c r="AO166" i="49"/>
  <c r="AX173" i="49"/>
  <c r="AO165" i="49"/>
  <c r="AO151" i="49"/>
  <c r="AX154" i="49"/>
  <c r="AO139" i="49"/>
  <c r="AO164" i="49"/>
  <c r="AO138" i="49"/>
  <c r="AO170" i="49"/>
  <c r="AO179" i="49"/>
  <c r="AO162" i="49"/>
  <c r="AJ231" i="48"/>
  <c r="AJ215" i="48"/>
  <c r="AF210" i="48"/>
  <c r="AF236" i="48"/>
  <c r="AJ227" i="48"/>
  <c r="AF206" i="48"/>
  <c r="AJ216" i="48"/>
  <c r="AF238" i="48"/>
  <c r="AJ204" i="48"/>
  <c r="AJ198" i="48"/>
  <c r="AJ196" i="48"/>
  <c r="AF208" i="48"/>
  <c r="AF237" i="48"/>
  <c r="AF234" i="48"/>
  <c r="AF221" i="48"/>
  <c r="AF211" i="48"/>
  <c r="AJ220" i="48"/>
  <c r="AF220" i="48"/>
  <c r="AF209" i="48"/>
  <c r="AF232" i="48"/>
  <c r="AJ222" i="48"/>
  <c r="AF222" i="48"/>
  <c r="AF212" i="48"/>
  <c r="AJ212" i="48"/>
  <c r="AF218" i="48"/>
  <c r="AJ218" i="48"/>
  <c r="AJ203" i="48"/>
  <c r="AF203" i="48"/>
  <c r="AJ219" i="48"/>
  <c r="AF219" i="48"/>
  <c r="AF213" i="48"/>
  <c r="AJ213" i="48"/>
  <c r="AF197" i="48"/>
  <c r="AJ197" i="48"/>
  <c r="R200" i="48"/>
  <c r="U200" i="48" s="1"/>
  <c r="Z200" i="48" s="1"/>
  <c r="AB10" i="14" s="1"/>
  <c r="F201" i="48"/>
  <c r="G200" i="48"/>
  <c r="F200" i="48"/>
  <c r="AF233" i="48"/>
  <c r="AJ233" i="48"/>
  <c r="AF229" i="48"/>
  <c r="G138" i="48"/>
  <c r="AU143" i="48"/>
  <c r="BA143" i="48" s="1"/>
  <c r="AJ214" i="48"/>
  <c r="AJ239" i="48"/>
  <c r="F138" i="48"/>
  <c r="AU166" i="48"/>
  <c r="BA166" i="48" s="1"/>
  <c r="AU163" i="48"/>
  <c r="BA163" i="48" s="1"/>
  <c r="BE136" i="48"/>
  <c r="F139" i="48"/>
  <c r="AO181" i="48"/>
  <c r="AX181" i="48" s="1"/>
  <c r="AO140" i="48"/>
  <c r="AX140" i="48" s="1"/>
  <c r="AO146" i="48"/>
  <c r="AX146" i="48" s="1"/>
  <c r="AO159" i="48"/>
  <c r="AX159" i="48" s="1"/>
  <c r="U202" i="48"/>
  <c r="Z202" i="48" s="1"/>
  <c r="AO171" i="48"/>
  <c r="AX171" i="48" s="1"/>
  <c r="AU180" i="48"/>
  <c r="BA180" i="48" s="1"/>
  <c r="AU169" i="48"/>
  <c r="BA169" i="48" s="1"/>
  <c r="AO158" i="48"/>
  <c r="AX158" i="48" s="1"/>
  <c r="AU174" i="48"/>
  <c r="BA174" i="48" s="1"/>
  <c r="U199" i="48"/>
  <c r="Z199" i="48" s="1"/>
  <c r="AO138" i="48"/>
  <c r="AX138" i="48" s="1"/>
  <c r="AU164" i="48"/>
  <c r="BA164" i="48" s="1"/>
  <c r="AO149" i="48"/>
  <c r="AX149" i="48" s="1"/>
  <c r="AU172" i="48"/>
  <c r="BA172" i="48" s="1"/>
  <c r="AF207" i="48"/>
  <c r="AO142" i="48"/>
  <c r="AX142" i="48" s="1"/>
  <c r="AU148" i="48"/>
  <c r="BA148" i="48" s="1"/>
  <c r="AU160" i="48"/>
  <c r="BA160" i="48" s="1"/>
  <c r="AU151" i="48"/>
  <c r="BA151" i="48" s="1"/>
  <c r="AU173" i="48"/>
  <c r="BA173" i="48" s="1"/>
  <c r="AO141" i="48"/>
  <c r="AX141" i="48" s="1"/>
  <c r="AO144" i="48"/>
  <c r="AX144" i="48" s="1"/>
  <c r="AO150" i="48"/>
  <c r="AX150" i="48" s="1"/>
  <c r="AO155" i="48"/>
  <c r="AX155" i="48" s="1"/>
  <c r="AU153" i="48"/>
  <c r="AO179" i="48"/>
  <c r="AX179" i="48" s="1"/>
  <c r="AU178" i="48"/>
  <c r="BA178" i="48" s="1"/>
  <c r="AU167" i="48"/>
  <c r="BA167" i="48" s="1"/>
  <c r="AO162" i="48"/>
  <c r="AX162" i="48" s="1"/>
  <c r="AU170" i="48"/>
  <c r="BA170" i="48" s="1"/>
  <c r="AU175" i="48"/>
  <c r="BA175" i="48" s="1"/>
  <c r="AO152" i="48"/>
  <c r="AX152" i="48" s="1"/>
  <c r="AJ225" i="48"/>
  <c r="AF225" i="48"/>
  <c r="AO168" i="48"/>
  <c r="AU139" i="48"/>
  <c r="BA139" i="48" s="1"/>
  <c r="AJ240" i="48"/>
  <c r="AF240" i="48"/>
  <c r="AO157" i="48"/>
  <c r="AX157" i="48" s="1"/>
  <c r="AO154" i="48"/>
  <c r="AU147" i="48"/>
  <c r="BA147" i="48" s="1"/>
  <c r="AO165" i="48"/>
  <c r="AX165" i="48" s="1"/>
  <c r="AO176" i="48"/>
  <c r="AX176" i="48" s="1"/>
  <c r="AO161" i="48"/>
  <c r="AX161" i="48" s="1"/>
  <c r="AO156" i="48"/>
  <c r="AX156" i="48" s="1"/>
  <c r="AO177" i="48"/>
  <c r="AO137" i="48"/>
  <c r="AX137" i="48" s="1"/>
  <c r="AU145" i="48"/>
  <c r="BA145" i="48" s="1"/>
  <c r="AJ230" i="48"/>
  <c r="AF230" i="48"/>
  <c r="N154" i="46"/>
  <c r="O154" i="46"/>
  <c r="G168" i="47"/>
  <c r="G213" i="47"/>
  <c r="G154" i="47"/>
  <c r="Q204" i="47"/>
  <c r="Q213" i="47"/>
  <c r="N154" i="47"/>
  <c r="Q212" i="47"/>
  <c r="O154" i="47"/>
  <c r="Q228" i="47"/>
  <c r="Q214" i="47"/>
  <c r="Q238" i="47"/>
  <c r="O179" i="47"/>
  <c r="Q205" i="47"/>
  <c r="Q216" i="47"/>
  <c r="Q215" i="47"/>
  <c r="AK154" i="47"/>
  <c r="F239" i="47"/>
  <c r="AK177" i="47"/>
  <c r="AK162" i="47"/>
  <c r="AK158" i="47"/>
  <c r="AK160" i="47"/>
  <c r="AK151" i="47"/>
  <c r="AK144" i="47"/>
  <c r="AK163" i="47"/>
  <c r="AK159" i="47"/>
  <c r="AK173" i="47"/>
  <c r="AK157" i="47"/>
  <c r="AK145" i="47"/>
  <c r="AK175" i="47"/>
  <c r="AK172" i="47"/>
  <c r="AK167" i="47"/>
  <c r="AK161" i="47"/>
  <c r="AK141" i="47"/>
  <c r="AK137" i="47"/>
  <c r="AK174" i="47"/>
  <c r="AK152" i="47"/>
  <c r="AK156" i="47"/>
  <c r="AK168" i="47"/>
  <c r="O146" i="47"/>
  <c r="AK146" i="47"/>
  <c r="N180" i="47"/>
  <c r="AK180" i="47"/>
  <c r="AK164" i="47"/>
  <c r="AK149" i="47"/>
  <c r="AK176" i="47"/>
  <c r="AK143" i="47"/>
  <c r="AK139" i="47"/>
  <c r="AK178" i="47"/>
  <c r="AK148" i="47"/>
  <c r="AK166" i="47"/>
  <c r="O160" i="47"/>
  <c r="F152" i="47"/>
  <c r="G238" i="47"/>
  <c r="G215" i="47"/>
  <c r="G152" i="47"/>
  <c r="X152" i="47"/>
  <c r="G146" i="47"/>
  <c r="X146" i="47"/>
  <c r="X179" i="47"/>
  <c r="O151" i="47"/>
  <c r="F238" i="47"/>
  <c r="F146" i="47"/>
  <c r="G216" i="47"/>
  <c r="F217" i="47"/>
  <c r="G205" i="47"/>
  <c r="N169" i="47"/>
  <c r="F214" i="47"/>
  <c r="O168" i="47"/>
  <c r="F206" i="47"/>
  <c r="F216" i="47"/>
  <c r="F229" i="47"/>
  <c r="O149" i="47"/>
  <c r="N152" i="47"/>
  <c r="O152" i="47"/>
  <c r="N156" i="47"/>
  <c r="O156" i="47"/>
  <c r="G165" i="47"/>
  <c r="G170" i="47"/>
  <c r="F154" i="47"/>
  <c r="G160" i="47"/>
  <c r="G228" i="47"/>
  <c r="F205" i="47"/>
  <c r="N157" i="47"/>
  <c r="G153" i="47"/>
  <c r="G212" i="47"/>
  <c r="O157" i="47"/>
  <c r="F171" i="47"/>
  <c r="G149" i="47"/>
  <c r="N181" i="47"/>
  <c r="F153" i="47"/>
  <c r="O145" i="47"/>
  <c r="N146" i="47"/>
  <c r="N149" i="47"/>
  <c r="G164" i="47"/>
  <c r="N148" i="47"/>
  <c r="F180" i="47"/>
  <c r="O181" i="47"/>
  <c r="O166" i="47"/>
  <c r="N151" i="47"/>
  <c r="G142" i="47"/>
  <c r="N153" i="47"/>
  <c r="N166" i="47"/>
  <c r="O180" i="47"/>
  <c r="O142" i="47"/>
  <c r="F212" i="47"/>
  <c r="F213" i="47"/>
  <c r="N171" i="47"/>
  <c r="F166" i="47"/>
  <c r="N170" i="47"/>
  <c r="G214" i="47"/>
  <c r="G166" i="47"/>
  <c r="O170" i="47"/>
  <c r="F215" i="47"/>
  <c r="F157" i="47"/>
  <c r="N174" i="47"/>
  <c r="G180" i="47"/>
  <c r="G157" i="47"/>
  <c r="F164" i="47"/>
  <c r="F165" i="47"/>
  <c r="G174" i="47"/>
  <c r="G162" i="47"/>
  <c r="N173" i="47"/>
  <c r="F228" i="47"/>
  <c r="O173" i="47"/>
  <c r="G173" i="47"/>
  <c r="F160" i="47"/>
  <c r="F151" i="47"/>
  <c r="F174" i="47"/>
  <c r="F170" i="47"/>
  <c r="F145" i="47"/>
  <c r="G177" i="47"/>
  <c r="F177" i="47"/>
  <c r="G161" i="47"/>
  <c r="F161" i="47"/>
  <c r="F159" i="47"/>
  <c r="G159" i="47"/>
  <c r="O150" i="47"/>
  <c r="N150" i="47"/>
  <c r="F175" i="47"/>
  <c r="G175" i="47"/>
  <c r="N143" i="47"/>
  <c r="O143" i="47"/>
  <c r="O159" i="47"/>
  <c r="N159" i="47"/>
  <c r="O137" i="47"/>
  <c r="N137" i="47"/>
  <c r="F150" i="47"/>
  <c r="G150" i="47"/>
  <c r="F162" i="47"/>
  <c r="G172" i="47"/>
  <c r="F172" i="47"/>
  <c r="G141" i="47"/>
  <c r="F141" i="47"/>
  <c r="O167" i="47"/>
  <c r="N167" i="47"/>
  <c r="N168" i="47"/>
  <c r="O139" i="47"/>
  <c r="N139" i="47"/>
  <c r="N140" i="47"/>
  <c r="G163" i="47"/>
  <c r="F163" i="47"/>
  <c r="G139" i="47"/>
  <c r="F139" i="47"/>
  <c r="F140" i="47"/>
  <c r="O141" i="47"/>
  <c r="N141" i="47"/>
  <c r="N160" i="47"/>
  <c r="O172" i="47"/>
  <c r="N172" i="47"/>
  <c r="N176" i="47"/>
  <c r="O176" i="47"/>
  <c r="N142" i="47"/>
  <c r="O144" i="47"/>
  <c r="N144" i="47"/>
  <c r="F181" i="47"/>
  <c r="G181" i="47"/>
  <c r="F173" i="47"/>
  <c r="N162" i="47"/>
  <c r="O162" i="47"/>
  <c r="G178" i="47"/>
  <c r="F178" i="47"/>
  <c r="F179" i="47"/>
  <c r="O177" i="47"/>
  <c r="N177" i="47"/>
  <c r="G137" i="47"/>
  <c r="F137" i="47"/>
  <c r="F138" i="47"/>
  <c r="G148" i="47"/>
  <c r="F148" i="47"/>
  <c r="G143" i="47"/>
  <c r="F143" i="47"/>
  <c r="N165" i="47"/>
  <c r="O165" i="47"/>
  <c r="O163" i="47"/>
  <c r="N163" i="47"/>
  <c r="O178" i="47"/>
  <c r="N178" i="47"/>
  <c r="N179" i="47"/>
  <c r="F149" i="47"/>
  <c r="F147" i="47"/>
  <c r="G147" i="47"/>
  <c r="O158" i="47"/>
  <c r="N158" i="47"/>
  <c r="O164" i="47"/>
  <c r="N164" i="47"/>
  <c r="G176" i="47"/>
  <c r="F176" i="47"/>
  <c r="O175" i="47"/>
  <c r="N175" i="47"/>
  <c r="G169" i="47"/>
  <c r="F169" i="47"/>
  <c r="G144" i="47"/>
  <c r="F144" i="47"/>
  <c r="N145" i="47"/>
  <c r="F167" i="47"/>
  <c r="G167" i="47"/>
  <c r="F168" i="47"/>
  <c r="G158" i="47"/>
  <c r="F158" i="47"/>
  <c r="N161" i="47"/>
  <c r="O161" i="47"/>
  <c r="N138" i="47"/>
  <c r="G204" i="47"/>
  <c r="F204" i="47"/>
  <c r="G155" i="47"/>
  <c r="F155" i="47"/>
  <c r="F156" i="47"/>
  <c r="O147" i="47"/>
  <c r="N147" i="47"/>
  <c r="F142" i="47"/>
  <c r="G164" i="46"/>
  <c r="F164" i="46"/>
  <c r="F165" i="46"/>
  <c r="F173" i="46"/>
  <c r="G173" i="46"/>
  <c r="O164" i="46"/>
  <c r="N164" i="46"/>
  <c r="N165" i="46"/>
  <c r="O174" i="46"/>
  <c r="N174" i="46"/>
  <c r="N175" i="46"/>
  <c r="G174" i="46"/>
  <c r="F174" i="46"/>
  <c r="F175" i="46"/>
  <c r="N173" i="46"/>
  <c r="O173" i="46"/>
  <c r="F172" i="45"/>
  <c r="N168" i="45"/>
  <c r="N169" i="45"/>
  <c r="O155" i="45"/>
  <c r="G172" i="45"/>
  <c r="O160" i="45"/>
  <c r="N157" i="45"/>
  <c r="G240" i="45"/>
  <c r="G218" i="45"/>
  <c r="N181" i="45"/>
  <c r="F162" i="45"/>
  <c r="O181" i="45"/>
  <c r="N156" i="45"/>
  <c r="F219" i="45"/>
  <c r="N161" i="45"/>
  <c r="O156" i="45"/>
  <c r="F216" i="45"/>
  <c r="G168" i="45"/>
  <c r="F197" i="45"/>
  <c r="F161" i="45"/>
  <c r="G227" i="45"/>
  <c r="F140" i="45"/>
  <c r="G180" i="45"/>
  <c r="N143" i="45"/>
  <c r="G139" i="45"/>
  <c r="F159" i="45"/>
  <c r="F180" i="45"/>
  <c r="G181" i="45"/>
  <c r="F139" i="45"/>
  <c r="F240" i="45"/>
  <c r="F163" i="45"/>
  <c r="N172" i="45"/>
  <c r="N140" i="45"/>
  <c r="G138" i="45"/>
  <c r="G179" i="45"/>
  <c r="O180" i="45"/>
  <c r="G163" i="45"/>
  <c r="F141" i="45"/>
  <c r="F218" i="45"/>
  <c r="N141" i="45"/>
  <c r="N142" i="45"/>
  <c r="F160" i="45"/>
  <c r="F142" i="45"/>
  <c r="G159" i="45"/>
  <c r="O172" i="45"/>
  <c r="N173" i="45"/>
  <c r="G215" i="45"/>
  <c r="F215" i="45"/>
  <c r="F154" i="45"/>
  <c r="F153" i="45"/>
  <c r="F198" i="45"/>
  <c r="G197" i="45"/>
  <c r="F181" i="45"/>
  <c r="G153" i="45"/>
  <c r="G178" i="45"/>
  <c r="F179" i="45"/>
  <c r="AK137" i="45"/>
  <c r="O137" i="45"/>
  <c r="N137" i="45"/>
  <c r="N138" i="45"/>
  <c r="G137" i="45"/>
  <c r="F137" i="45"/>
  <c r="F138" i="45"/>
  <c r="O178" i="45"/>
  <c r="AK178" i="45"/>
  <c r="N178" i="45"/>
  <c r="N179" i="45"/>
  <c r="BA163" i="43"/>
  <c r="O32" i="14"/>
  <c r="O164" i="43"/>
  <c r="G202" i="43"/>
  <c r="G211" i="43"/>
  <c r="N151" i="43"/>
  <c r="BA167" i="43"/>
  <c r="O36" i="14"/>
  <c r="F147" i="42"/>
  <c r="N178" i="43"/>
  <c r="F177" i="43"/>
  <c r="F211" i="43"/>
  <c r="N164" i="42"/>
  <c r="G177" i="43"/>
  <c r="O164" i="42"/>
  <c r="N150" i="43"/>
  <c r="AB177" i="43"/>
  <c r="F173" i="42"/>
  <c r="G156" i="42"/>
  <c r="O150" i="43"/>
  <c r="F152" i="43"/>
  <c r="AU145" i="43"/>
  <c r="BE145" i="43" s="1"/>
  <c r="O177" i="43"/>
  <c r="F156" i="42"/>
  <c r="O146" i="42"/>
  <c r="G152" i="43"/>
  <c r="AU139" i="43"/>
  <c r="BE139" i="43" s="1"/>
  <c r="F178" i="43"/>
  <c r="O155" i="43"/>
  <c r="AU170" i="43"/>
  <c r="N155" i="43"/>
  <c r="AU154" i="43"/>
  <c r="BE154" i="43" s="1"/>
  <c r="AU156" i="43"/>
  <c r="BE156" i="43" s="1"/>
  <c r="O157" i="43"/>
  <c r="AK157" i="43"/>
  <c r="AO157" i="43" s="1"/>
  <c r="AX157" i="43" s="1"/>
  <c r="O138" i="43"/>
  <c r="N169" i="43"/>
  <c r="O161" i="43"/>
  <c r="AK161" i="43"/>
  <c r="AO161" i="43" s="1"/>
  <c r="AX161" i="43" s="1"/>
  <c r="U230" i="43"/>
  <c r="Z230" i="43" s="1"/>
  <c r="O179" i="43"/>
  <c r="AK179" i="43"/>
  <c r="AO179" i="43" s="1"/>
  <c r="AX179" i="43" s="1"/>
  <c r="AU152" i="43"/>
  <c r="N138" i="43"/>
  <c r="AK137" i="43"/>
  <c r="AO137" i="43" s="1"/>
  <c r="AX137" i="43" s="1"/>
  <c r="N147" i="43"/>
  <c r="AK146" i="43"/>
  <c r="AO146" i="43" s="1"/>
  <c r="AX146" i="43" s="1"/>
  <c r="O140" i="43"/>
  <c r="AK140" i="43"/>
  <c r="AO140" i="43" s="1"/>
  <c r="AX140" i="43" s="1"/>
  <c r="O158" i="43"/>
  <c r="AK158" i="43"/>
  <c r="AO158" i="43" s="1"/>
  <c r="AX158" i="43" s="1"/>
  <c r="O175" i="43"/>
  <c r="AK175" i="43"/>
  <c r="AO175" i="43" s="1"/>
  <c r="AX175" i="43" s="1"/>
  <c r="G180" i="43"/>
  <c r="AU149" i="43"/>
  <c r="BE149" i="43" s="1"/>
  <c r="G153" i="43"/>
  <c r="X153" i="43"/>
  <c r="AB153" i="43" s="1"/>
  <c r="G239" i="43"/>
  <c r="F214" i="43"/>
  <c r="F164" i="43"/>
  <c r="X164" i="43"/>
  <c r="AB164" i="43" s="1"/>
  <c r="AU164" i="43" s="1"/>
  <c r="G158" i="43"/>
  <c r="X158" i="43"/>
  <c r="AB158" i="43" s="1"/>
  <c r="F138" i="43"/>
  <c r="X137" i="43"/>
  <c r="AB137" i="43" s="1"/>
  <c r="G168" i="43"/>
  <c r="X168" i="43"/>
  <c r="AB168" i="43" s="1"/>
  <c r="AU168" i="43" s="1"/>
  <c r="F155" i="43"/>
  <c r="X155" i="43"/>
  <c r="AB155" i="43" s="1"/>
  <c r="AU155" i="43" s="1"/>
  <c r="AB169" i="43"/>
  <c r="AU169" i="43" s="1"/>
  <c r="F143" i="43"/>
  <c r="X142" i="43"/>
  <c r="AB142" i="43" s="1"/>
  <c r="AU142" i="43" s="1"/>
  <c r="G179" i="43"/>
  <c r="X179" i="43"/>
  <c r="AB179" i="43" s="1"/>
  <c r="AU179" i="43" s="1"/>
  <c r="F240" i="43"/>
  <c r="U239" i="43"/>
  <c r="Z239" i="43" s="1"/>
  <c r="AJ239" i="43" s="1"/>
  <c r="F170" i="43"/>
  <c r="N137" i="43"/>
  <c r="F181" i="43"/>
  <c r="G175" i="43"/>
  <c r="X175" i="43"/>
  <c r="AB175" i="43" s="1"/>
  <c r="AB180" i="43"/>
  <c r="G140" i="43"/>
  <c r="X140" i="43"/>
  <c r="AB140" i="43" s="1"/>
  <c r="O137" i="43"/>
  <c r="U214" i="43"/>
  <c r="Z214" i="43" s="1"/>
  <c r="AJ214" i="43" s="1"/>
  <c r="G157" i="43"/>
  <c r="X157" i="43"/>
  <c r="AB157" i="43" s="1"/>
  <c r="G172" i="43"/>
  <c r="X172" i="43"/>
  <c r="AB172" i="43" s="1"/>
  <c r="AU172" i="43" s="1"/>
  <c r="O41" i="14" s="1"/>
  <c r="G165" i="43"/>
  <c r="X165" i="43"/>
  <c r="AB165" i="43" s="1"/>
  <c r="AU165" i="43" s="1"/>
  <c r="G138" i="43"/>
  <c r="X138" i="43"/>
  <c r="AB138" i="43" s="1"/>
  <c r="AU138" i="43" s="1"/>
  <c r="G214" i="43"/>
  <c r="F162" i="43"/>
  <c r="X161" i="43"/>
  <c r="AB161" i="43" s="1"/>
  <c r="G146" i="43"/>
  <c r="X146" i="43"/>
  <c r="AB146" i="43" s="1"/>
  <c r="AU146" i="43" s="1"/>
  <c r="F168" i="43"/>
  <c r="AJ217" i="43"/>
  <c r="G155" i="43"/>
  <c r="N165" i="43"/>
  <c r="AJ224" i="43"/>
  <c r="F180" i="43"/>
  <c r="N172" i="43"/>
  <c r="F169" i="43"/>
  <c r="G230" i="43"/>
  <c r="N162" i="43"/>
  <c r="N141" i="43"/>
  <c r="F179" i="43"/>
  <c r="N164" i="43"/>
  <c r="F230" i="43"/>
  <c r="F176" i="43"/>
  <c r="F154" i="43"/>
  <c r="F161" i="43"/>
  <c r="G227" i="43"/>
  <c r="G161" i="43"/>
  <c r="N161" i="43"/>
  <c r="F227" i="43"/>
  <c r="G167" i="43"/>
  <c r="F228" i="43"/>
  <c r="AF227" i="43"/>
  <c r="AF223" i="43"/>
  <c r="N159" i="43"/>
  <c r="AJ234" i="43"/>
  <c r="O168" i="43"/>
  <c r="N168" i="43"/>
  <c r="AF231" i="43"/>
  <c r="F172" i="43"/>
  <c r="F175" i="43"/>
  <c r="F173" i="43"/>
  <c r="G137" i="43"/>
  <c r="F137" i="43"/>
  <c r="F159" i="43"/>
  <c r="F157" i="43"/>
  <c r="F140" i="43"/>
  <c r="F141" i="43"/>
  <c r="AU160" i="43"/>
  <c r="O172" i="43"/>
  <c r="N173" i="43"/>
  <c r="G164" i="43"/>
  <c r="F165" i="43"/>
  <c r="N140" i="43"/>
  <c r="N158" i="43"/>
  <c r="BE167" i="43"/>
  <c r="N157" i="43"/>
  <c r="F158" i="43"/>
  <c r="F142" i="43"/>
  <c r="AF208" i="43"/>
  <c r="F146" i="43"/>
  <c r="F147" i="43"/>
  <c r="F153" i="43"/>
  <c r="AU176" i="43"/>
  <c r="O146" i="43"/>
  <c r="N146" i="43"/>
  <c r="AU174" i="43"/>
  <c r="AU159" i="43"/>
  <c r="G142" i="43"/>
  <c r="AU177" i="43"/>
  <c r="AU181" i="43"/>
  <c r="AO144" i="43"/>
  <c r="AX144" i="43" s="1"/>
  <c r="O144" i="43"/>
  <c r="N144" i="43"/>
  <c r="N145" i="43"/>
  <c r="AJ212" i="43"/>
  <c r="AF212" i="43"/>
  <c r="AJ199" i="43"/>
  <c r="AF199" i="43"/>
  <c r="AU148" i="43"/>
  <c r="W166" i="43"/>
  <c r="AB166" i="43" s="1"/>
  <c r="G166" i="43"/>
  <c r="F166" i="43"/>
  <c r="F167" i="43"/>
  <c r="BE163" i="43"/>
  <c r="AU147" i="43"/>
  <c r="O166" i="43"/>
  <c r="N166" i="43"/>
  <c r="AO166" i="43"/>
  <c r="AX166" i="43" s="1"/>
  <c r="N167" i="43"/>
  <c r="AO153" i="43"/>
  <c r="AX153" i="43" s="1"/>
  <c r="O153" i="43"/>
  <c r="N153" i="43"/>
  <c r="N154" i="43"/>
  <c r="AF222" i="43"/>
  <c r="AJ222" i="43"/>
  <c r="AJ225" i="43"/>
  <c r="AF225" i="43"/>
  <c r="AJ206" i="43"/>
  <c r="AF206" i="43"/>
  <c r="W144" i="43"/>
  <c r="AB144" i="43" s="1"/>
  <c r="G144" i="43"/>
  <c r="F144" i="43"/>
  <c r="AJ203" i="43"/>
  <c r="AF203" i="43"/>
  <c r="F145" i="43"/>
  <c r="AU178" i="43"/>
  <c r="BA136" i="43"/>
  <c r="AJ211" i="43"/>
  <c r="AF211" i="43"/>
  <c r="AF202" i="43"/>
  <c r="AJ202" i="43"/>
  <c r="BE136" i="43"/>
  <c r="AF240" i="43"/>
  <c r="AJ240" i="43"/>
  <c r="AJ197" i="43"/>
  <c r="AF197" i="43"/>
  <c r="AU162" i="43"/>
  <c r="N156" i="42"/>
  <c r="F151" i="42"/>
  <c r="F200" i="42"/>
  <c r="G147" i="42"/>
  <c r="F213" i="42"/>
  <c r="O172" i="42"/>
  <c r="F214" i="42"/>
  <c r="G174" i="42"/>
  <c r="F174" i="42"/>
  <c r="F231" i="42"/>
  <c r="G220" i="42"/>
  <c r="G199" i="42"/>
  <c r="N173" i="42"/>
  <c r="F204" i="42"/>
  <c r="N141" i="42"/>
  <c r="N140" i="42"/>
  <c r="O151" i="42"/>
  <c r="N178" i="42"/>
  <c r="N155" i="42"/>
  <c r="N151" i="42"/>
  <c r="N152" i="42"/>
  <c r="O156" i="42"/>
  <c r="O141" i="42"/>
  <c r="G213" i="42"/>
  <c r="G146" i="42"/>
  <c r="N154" i="42"/>
  <c r="F199" i="42"/>
  <c r="F178" i="42"/>
  <c r="F221" i="42"/>
  <c r="F152" i="42"/>
  <c r="G214" i="42"/>
  <c r="F220" i="42"/>
  <c r="F215" i="42"/>
  <c r="F163" i="42"/>
  <c r="G172" i="42"/>
  <c r="G151" i="42"/>
  <c r="F172" i="42"/>
  <c r="N149" i="42"/>
  <c r="O149" i="42"/>
  <c r="G203" i="42"/>
  <c r="F203" i="42"/>
  <c r="G165" i="42"/>
  <c r="F165" i="42"/>
  <c r="O162" i="42"/>
  <c r="N162" i="42"/>
  <c r="N161" i="42"/>
  <c r="O161" i="42"/>
  <c r="G166" i="42"/>
  <c r="F166" i="42"/>
  <c r="F167" i="42"/>
  <c r="G139" i="42"/>
  <c r="F139" i="42"/>
  <c r="F149" i="42"/>
  <c r="G149" i="42"/>
  <c r="F150" i="42"/>
  <c r="G171" i="42"/>
  <c r="F171" i="42"/>
  <c r="N165" i="42"/>
  <c r="O165" i="42"/>
  <c r="G201" i="42"/>
  <c r="F201" i="42"/>
  <c r="F202" i="42"/>
  <c r="O166" i="42"/>
  <c r="N166" i="42"/>
  <c r="O139" i="42"/>
  <c r="N139" i="42"/>
  <c r="N163" i="42"/>
  <c r="O176" i="42"/>
  <c r="N176" i="42"/>
  <c r="N145" i="42"/>
  <c r="O145" i="42"/>
  <c r="G157" i="42"/>
  <c r="F157" i="42"/>
  <c r="N167" i="42"/>
  <c r="N171" i="42"/>
  <c r="O171" i="42"/>
  <c r="G137" i="42"/>
  <c r="F137" i="42"/>
  <c r="F145" i="42"/>
  <c r="G145" i="42"/>
  <c r="F146" i="42"/>
  <c r="G177" i="42"/>
  <c r="F177" i="42"/>
  <c r="G164" i="42"/>
  <c r="F164" i="42"/>
  <c r="O148" i="42"/>
  <c r="N148" i="42"/>
  <c r="G162" i="42"/>
  <c r="F162" i="42"/>
  <c r="N172" i="42"/>
  <c r="G144" i="42"/>
  <c r="F144" i="42"/>
  <c r="N157" i="42"/>
  <c r="O157" i="42"/>
  <c r="N158" i="42"/>
  <c r="F142" i="42"/>
  <c r="G142" i="42"/>
  <c r="F143" i="42"/>
  <c r="O174" i="42"/>
  <c r="N174" i="42"/>
  <c r="N175" i="42"/>
  <c r="G176" i="42"/>
  <c r="F176" i="42"/>
  <c r="N170" i="42"/>
  <c r="O170" i="42"/>
  <c r="G230" i="42"/>
  <c r="F230" i="42"/>
  <c r="F196" i="42"/>
  <c r="G196" i="42"/>
  <c r="N138" i="42"/>
  <c r="O138" i="42"/>
  <c r="F140" i="42"/>
  <c r="N169" i="42"/>
  <c r="O169" i="42"/>
  <c r="N150" i="42"/>
  <c r="G148" i="42"/>
  <c r="F148" i="42"/>
  <c r="G161" i="42"/>
  <c r="F161" i="42"/>
  <c r="O137" i="42"/>
  <c r="N137" i="42"/>
  <c r="O144" i="42"/>
  <c r="N144" i="42"/>
  <c r="G170" i="42"/>
  <c r="F170" i="42"/>
  <c r="F197" i="42"/>
  <c r="N177" i="42"/>
  <c r="O177" i="42"/>
  <c r="O142" i="42"/>
  <c r="N142" i="42"/>
  <c r="N143" i="42"/>
  <c r="F155" i="42"/>
  <c r="G155" i="42"/>
  <c r="G169" i="42"/>
  <c r="F169" i="42"/>
  <c r="N146" i="42"/>
  <c r="R81" i="41"/>
  <c r="Z110" i="41"/>
  <c r="AC110" i="41" s="1"/>
  <c r="Z90" i="41"/>
  <c r="AA90" i="41" s="1"/>
  <c r="E145" i="41" s="1"/>
  <c r="Z126" i="41"/>
  <c r="AC126" i="41" s="1"/>
  <c r="Z122" i="41"/>
  <c r="AA122" i="41" s="1"/>
  <c r="E177" i="41" s="1"/>
  <c r="Z118" i="41"/>
  <c r="AC118" i="41" s="1"/>
  <c r="Z114" i="41"/>
  <c r="Z106" i="41"/>
  <c r="AD106" i="41" s="1"/>
  <c r="E220" i="41" s="1"/>
  <c r="AD126" i="41"/>
  <c r="E240" i="41" s="1"/>
  <c r="Z89" i="41"/>
  <c r="AD89" i="41" s="1"/>
  <c r="E203" i="41" s="1"/>
  <c r="Z97" i="41"/>
  <c r="AD97" i="41" s="1"/>
  <c r="E211" i="41" s="1"/>
  <c r="Z96" i="41"/>
  <c r="AA96" i="41" s="1"/>
  <c r="E151" i="41" s="1"/>
  <c r="Z88" i="41"/>
  <c r="AA88" i="41" s="1"/>
  <c r="E143" i="41" s="1"/>
  <c r="S90" i="41"/>
  <c r="T90" i="41" s="1"/>
  <c r="R90" i="41"/>
  <c r="Z124" i="41"/>
  <c r="AD124" i="41" s="1"/>
  <c r="E238" i="41" s="1"/>
  <c r="Z120" i="41"/>
  <c r="AD120" i="41" s="1"/>
  <c r="E234" i="41" s="1"/>
  <c r="Z116" i="41"/>
  <c r="AD116" i="41" s="1"/>
  <c r="E230" i="41" s="1"/>
  <c r="Z108" i="41"/>
  <c r="AA108" i="41" s="1"/>
  <c r="E163" i="41" s="1"/>
  <c r="Z87" i="41"/>
  <c r="Z95" i="41"/>
  <c r="Z84" i="41"/>
  <c r="AD84" i="41" s="1"/>
  <c r="E198" i="41" s="1"/>
  <c r="Z98" i="41"/>
  <c r="AA98" i="41" s="1"/>
  <c r="E153" i="41" s="1"/>
  <c r="S80" i="41"/>
  <c r="T80" i="41" s="1"/>
  <c r="Z80" i="41"/>
  <c r="Z85" i="41"/>
  <c r="AD85" i="41" s="1"/>
  <c r="E199" i="41" s="1"/>
  <c r="Z93" i="41"/>
  <c r="AD93" i="41" s="1"/>
  <c r="E207" i="41" s="1"/>
  <c r="Z101" i="41"/>
  <c r="AD101" i="41" s="1"/>
  <c r="E215" i="41" s="1"/>
  <c r="Z105" i="41"/>
  <c r="AD105" i="41" s="1"/>
  <c r="E219" i="41" s="1"/>
  <c r="Z109" i="41"/>
  <c r="AD109" i="41" s="1"/>
  <c r="E223" i="41" s="1"/>
  <c r="Z113" i="41"/>
  <c r="AD113" i="41" s="1"/>
  <c r="E227" i="41" s="1"/>
  <c r="Z117" i="41"/>
  <c r="AD117" i="41" s="1"/>
  <c r="E231" i="41" s="1"/>
  <c r="Z121" i="41"/>
  <c r="AD121" i="41" s="1"/>
  <c r="E235" i="41" s="1"/>
  <c r="Z125" i="41"/>
  <c r="AD125" i="41" s="1"/>
  <c r="E239" i="41" s="1"/>
  <c r="Z82" i="41"/>
  <c r="AA82" i="41" s="1"/>
  <c r="E137" i="41" s="1"/>
  <c r="Z86" i="41"/>
  <c r="AA86" i="41" s="1"/>
  <c r="E141" i="41" s="1"/>
  <c r="Z112" i="41"/>
  <c r="AD112" i="41" s="1"/>
  <c r="E226" i="41" s="1"/>
  <c r="Z104" i="41"/>
  <c r="AD104" i="41" s="1"/>
  <c r="E218" i="41" s="1"/>
  <c r="Z102" i="41"/>
  <c r="AA102" i="41" s="1"/>
  <c r="E157" i="41" s="1"/>
  <c r="Z94" i="41"/>
  <c r="AD94" i="41" s="1"/>
  <c r="E208" i="41" s="1"/>
  <c r="AD122" i="41"/>
  <c r="E236" i="41" s="1"/>
  <c r="Z83" i="41"/>
  <c r="AD83" i="41" s="1"/>
  <c r="E197" i="41" s="1"/>
  <c r="Z91" i="41"/>
  <c r="AD91" i="41" s="1"/>
  <c r="E205" i="41" s="1"/>
  <c r="Z99" i="41"/>
  <c r="AD99" i="41" s="1"/>
  <c r="E213" i="41" s="1"/>
  <c r="Z103" i="41"/>
  <c r="AD103" i="41" s="1"/>
  <c r="E217" i="41" s="1"/>
  <c r="Z107" i="41"/>
  <c r="AD107" i="41" s="1"/>
  <c r="E221" i="41" s="1"/>
  <c r="Z111" i="41"/>
  <c r="AD111" i="41" s="1"/>
  <c r="E225" i="41" s="1"/>
  <c r="Z115" i="41"/>
  <c r="AD115" i="41" s="1"/>
  <c r="E229" i="41" s="1"/>
  <c r="Z119" i="41"/>
  <c r="AD119" i="41" s="1"/>
  <c r="E233" i="41" s="1"/>
  <c r="Z123" i="41"/>
  <c r="AD123" i="41" s="1"/>
  <c r="E237" i="41" s="1"/>
  <c r="Z100" i="41"/>
  <c r="AA100" i="41" s="1"/>
  <c r="E155" i="41" s="1"/>
  <c r="Z92" i="41"/>
  <c r="AD92" i="41" s="1"/>
  <c r="E206" i="41" s="1"/>
  <c r="O20" i="14" l="1"/>
  <c r="BE136" i="49"/>
  <c r="AJ224" i="49"/>
  <c r="BE151" i="43"/>
  <c r="AJ226" i="49"/>
  <c r="AJ202" i="49"/>
  <c r="AU157" i="43"/>
  <c r="BA157" i="43" s="1"/>
  <c r="AF226" i="49"/>
  <c r="BA136" i="49"/>
  <c r="AJ207" i="49"/>
  <c r="AF202" i="49"/>
  <c r="AU140" i="49"/>
  <c r="AC9" i="14" s="1"/>
  <c r="AJ213" i="49"/>
  <c r="AU152" i="49"/>
  <c r="AC21" i="14" s="1"/>
  <c r="U238" i="49"/>
  <c r="Z238" i="49" s="1"/>
  <c r="AD48" i="14" s="1"/>
  <c r="AU177" i="49"/>
  <c r="AC46" i="14" s="1"/>
  <c r="AD50" i="14"/>
  <c r="AD90" i="41"/>
  <c r="E204" i="41" s="1"/>
  <c r="AD118" i="41"/>
  <c r="E232" i="41" s="1"/>
  <c r="Q232" i="41" s="1"/>
  <c r="AU180" i="43"/>
  <c r="BA180" i="43" s="1"/>
  <c r="AC114" i="41"/>
  <c r="AB114" i="41"/>
  <c r="M169" i="41" s="1"/>
  <c r="AK169" i="41" s="1"/>
  <c r="AD114" i="41"/>
  <c r="E228" i="41" s="1"/>
  <c r="F228" i="41" s="1"/>
  <c r="AD95" i="41"/>
  <c r="E209" i="41" s="1"/>
  <c r="AB95" i="41"/>
  <c r="M150" i="41" s="1"/>
  <c r="O150" i="41" s="1"/>
  <c r="AA114" i="41"/>
  <c r="E169" i="41" s="1"/>
  <c r="X169" i="41" s="1"/>
  <c r="AC87" i="41"/>
  <c r="AD87" i="41"/>
  <c r="E201" i="41" s="1"/>
  <c r="AC122" i="41"/>
  <c r="AB122" i="41"/>
  <c r="M177" i="41" s="1"/>
  <c r="BE144" i="49"/>
  <c r="BA141" i="43"/>
  <c r="AF239" i="43"/>
  <c r="O10" i="14"/>
  <c r="AU158" i="49"/>
  <c r="AC27" i="14" s="1"/>
  <c r="AD19" i="14"/>
  <c r="AJ209" i="49"/>
  <c r="AF209" i="49"/>
  <c r="Q233" i="41"/>
  <c r="Q204" i="41"/>
  <c r="Q207" i="41"/>
  <c r="Q213" i="41"/>
  <c r="Q199" i="41"/>
  <c r="AF237" i="49"/>
  <c r="Q217" i="41"/>
  <c r="Q238" i="41"/>
  <c r="Q240" i="41"/>
  <c r="Q206" i="41"/>
  <c r="Q208" i="41"/>
  <c r="Q239" i="41"/>
  <c r="Q225" i="41"/>
  <c r="Q205" i="41"/>
  <c r="Q226" i="41"/>
  <c r="Q235" i="41"/>
  <c r="Q219" i="41"/>
  <c r="AD96" i="41"/>
  <c r="E210" i="41" s="1"/>
  <c r="AA95" i="41"/>
  <c r="E150" i="41" s="1"/>
  <c r="F151" i="41" s="1"/>
  <c r="Q230" i="41"/>
  <c r="Q211" i="41"/>
  <c r="AF233" i="49"/>
  <c r="AJ237" i="49"/>
  <c r="Q236" i="41"/>
  <c r="Q227" i="41"/>
  <c r="Q229" i="41"/>
  <c r="Q218" i="41"/>
  <c r="Q223" i="41"/>
  <c r="Q220" i="41"/>
  <c r="Q237" i="41"/>
  <c r="Q221" i="41"/>
  <c r="Q197" i="41"/>
  <c r="Q231" i="41"/>
  <c r="Q215" i="41"/>
  <c r="Q198" i="41"/>
  <c r="Q234" i="41"/>
  <c r="Q203" i="41"/>
  <c r="AJ233" i="49"/>
  <c r="AF213" i="49"/>
  <c r="BE143" i="49"/>
  <c r="BA143" i="49"/>
  <c r="AB159" i="49"/>
  <c r="AU159" i="49" s="1"/>
  <c r="AC28" i="14" s="1"/>
  <c r="G139" i="51"/>
  <c r="F139" i="51"/>
  <c r="X139" i="51"/>
  <c r="F140" i="51"/>
  <c r="G155" i="51"/>
  <c r="F155" i="51"/>
  <c r="X155" i="51"/>
  <c r="F156" i="51"/>
  <c r="X161" i="51"/>
  <c r="G161" i="51"/>
  <c r="F161" i="51"/>
  <c r="F162" i="51"/>
  <c r="AK155" i="51"/>
  <c r="N155" i="51"/>
  <c r="O155" i="51"/>
  <c r="N156" i="51"/>
  <c r="AK139" i="51"/>
  <c r="O139" i="51"/>
  <c r="N139" i="51"/>
  <c r="N140" i="51"/>
  <c r="Q214" i="51"/>
  <c r="G214" i="51"/>
  <c r="F214" i="51"/>
  <c r="F215" i="51"/>
  <c r="AK147" i="51"/>
  <c r="N147" i="51"/>
  <c r="O147" i="51"/>
  <c r="N148" i="51"/>
  <c r="Q225" i="51"/>
  <c r="G225" i="51"/>
  <c r="F225" i="51"/>
  <c r="F226" i="51"/>
  <c r="AK179" i="51"/>
  <c r="O179" i="51"/>
  <c r="N179" i="51"/>
  <c r="N180" i="51"/>
  <c r="G176" i="51"/>
  <c r="F176" i="51"/>
  <c r="X176" i="51"/>
  <c r="F177" i="51"/>
  <c r="F174" i="51"/>
  <c r="X174" i="51"/>
  <c r="G174" i="51"/>
  <c r="F175" i="51"/>
  <c r="G147" i="51"/>
  <c r="F147" i="51"/>
  <c r="X147" i="51"/>
  <c r="F148" i="51"/>
  <c r="G179" i="51"/>
  <c r="F179" i="51"/>
  <c r="X179" i="51"/>
  <c r="F180" i="51"/>
  <c r="F166" i="51"/>
  <c r="X166" i="51"/>
  <c r="G166" i="51"/>
  <c r="F167" i="51"/>
  <c r="O161" i="51"/>
  <c r="AK161" i="51"/>
  <c r="N161" i="51"/>
  <c r="N162" i="51"/>
  <c r="O174" i="51"/>
  <c r="N174" i="51"/>
  <c r="AK174" i="51"/>
  <c r="N175" i="51"/>
  <c r="O166" i="51"/>
  <c r="N166" i="51"/>
  <c r="AK166" i="51"/>
  <c r="N167" i="51"/>
  <c r="AK176" i="51"/>
  <c r="O176" i="51"/>
  <c r="N176" i="51"/>
  <c r="N177" i="51"/>
  <c r="AJ219" i="49"/>
  <c r="AD29" i="14"/>
  <c r="BE181" i="49"/>
  <c r="AU161" i="49"/>
  <c r="BA161" i="49" s="1"/>
  <c r="AJ208" i="49"/>
  <c r="AD18" i="14"/>
  <c r="BA160" i="49"/>
  <c r="AC29" i="14"/>
  <c r="AF202" i="48"/>
  <c r="AB12" i="14"/>
  <c r="AF219" i="49"/>
  <c r="BA153" i="49"/>
  <c r="AC22" i="14"/>
  <c r="BA149" i="49"/>
  <c r="AC18" i="14"/>
  <c r="BA181" i="49"/>
  <c r="AJ217" i="49"/>
  <c r="AD27" i="14"/>
  <c r="AJ239" i="49"/>
  <c r="AD49" i="14"/>
  <c r="AU156" i="49"/>
  <c r="AC25" i="14" s="1"/>
  <c r="BA144" i="49"/>
  <c r="AC13" i="14"/>
  <c r="AF222" i="49"/>
  <c r="AD32" i="14"/>
  <c r="AF199" i="48"/>
  <c r="AB9" i="14"/>
  <c r="AX150" i="49"/>
  <c r="BA150" i="49" s="1"/>
  <c r="AF216" i="49"/>
  <c r="AJ216" i="49"/>
  <c r="AJ199" i="49"/>
  <c r="AF199" i="49"/>
  <c r="N8" i="49"/>
  <c r="AX145" i="49"/>
  <c r="BA145" i="49" s="1"/>
  <c r="BE173" i="49"/>
  <c r="O8" i="49"/>
  <c r="AU167" i="49"/>
  <c r="AF208" i="49"/>
  <c r="AF217" i="49"/>
  <c r="AU175" i="49"/>
  <c r="BE175" i="49" s="1"/>
  <c r="AF204" i="49"/>
  <c r="AJ204" i="49"/>
  <c r="AU137" i="49"/>
  <c r="AU141" i="49"/>
  <c r="AU163" i="49"/>
  <c r="AU169" i="49"/>
  <c r="BE149" i="49"/>
  <c r="AU142" i="49"/>
  <c r="AU172" i="49"/>
  <c r="AU147" i="49"/>
  <c r="AC16" i="14" s="1"/>
  <c r="BE148" i="49"/>
  <c r="AU174" i="49"/>
  <c r="AU155" i="49"/>
  <c r="AU168" i="49"/>
  <c r="BE160" i="49"/>
  <c r="BE154" i="49"/>
  <c r="BA173" i="49"/>
  <c r="BE180" i="49"/>
  <c r="BA140" i="49"/>
  <c r="AU171" i="49"/>
  <c r="AX164" i="49"/>
  <c r="AU164" i="49"/>
  <c r="AC33" i="14" s="1"/>
  <c r="AX165" i="49"/>
  <c r="AU165" i="49"/>
  <c r="AC34" i="14" s="1"/>
  <c r="AX170" i="49"/>
  <c r="AU170" i="49"/>
  <c r="AX139" i="49"/>
  <c r="AU139" i="49"/>
  <c r="AC8" i="14" s="1"/>
  <c r="AX176" i="49"/>
  <c r="AU176" i="49"/>
  <c r="AC45" i="14" s="1"/>
  <c r="AX157" i="49"/>
  <c r="AU157" i="49"/>
  <c r="AC26" i="14" s="1"/>
  <c r="BA154" i="49"/>
  <c r="BA180" i="49"/>
  <c r="AX178" i="49"/>
  <c r="AU178" i="49"/>
  <c r="AX162" i="49"/>
  <c r="AU162" i="49"/>
  <c r="AC31" i="14" s="1"/>
  <c r="AX138" i="49"/>
  <c r="AU138" i="49"/>
  <c r="AC7" i="14" s="1"/>
  <c r="AX151" i="49"/>
  <c r="AU151" i="49"/>
  <c r="AX146" i="49"/>
  <c r="AU146" i="49"/>
  <c r="AC15" i="14" s="1"/>
  <c r="AX179" i="49"/>
  <c r="AU179" i="49"/>
  <c r="AC48" i="14" s="1"/>
  <c r="AX166" i="49"/>
  <c r="AU166" i="49"/>
  <c r="BE153" i="49"/>
  <c r="BA148" i="49"/>
  <c r="BE173" i="48"/>
  <c r="AJ202" i="48"/>
  <c r="BE163" i="48"/>
  <c r="AU181" i="48"/>
  <c r="BE181" i="48" s="1"/>
  <c r="BE143" i="48"/>
  <c r="BE166" i="48"/>
  <c r="N8" i="48"/>
  <c r="AJ200" i="48"/>
  <c r="AF200" i="48"/>
  <c r="AU150" i="48"/>
  <c r="BA150" i="48" s="1"/>
  <c r="AU140" i="48"/>
  <c r="BA140" i="48" s="1"/>
  <c r="AU146" i="48"/>
  <c r="BA146" i="48" s="1"/>
  <c r="BE169" i="48"/>
  <c r="AU158" i="48"/>
  <c r="BA158" i="48" s="1"/>
  <c r="BE178" i="48"/>
  <c r="AU141" i="48"/>
  <c r="BE141" i="48" s="1"/>
  <c r="AU159" i="48"/>
  <c r="BA159" i="48" s="1"/>
  <c r="AU149" i="48"/>
  <c r="BA149" i="48" s="1"/>
  <c r="BE180" i="48"/>
  <c r="AU171" i="48"/>
  <c r="BA171" i="48" s="1"/>
  <c r="BE172" i="48"/>
  <c r="AU176" i="48"/>
  <c r="BA176" i="48" s="1"/>
  <c r="AU155" i="48"/>
  <c r="BA155" i="48" s="1"/>
  <c r="O8" i="48"/>
  <c r="AU138" i="48"/>
  <c r="BA138" i="48" s="1"/>
  <c r="AJ199" i="48"/>
  <c r="BE160" i="48"/>
  <c r="BE174" i="48"/>
  <c r="BE164" i="48"/>
  <c r="BE147" i="48"/>
  <c r="BE139" i="48"/>
  <c r="AU137" i="48"/>
  <c r="BA137" i="48" s="1"/>
  <c r="AU144" i="48"/>
  <c r="BE148" i="48"/>
  <c r="AU142" i="48"/>
  <c r="BA142" i="48" s="1"/>
  <c r="BE151" i="48"/>
  <c r="AU179" i="48"/>
  <c r="BA179" i="48" s="1"/>
  <c r="BE145" i="48"/>
  <c r="BA153" i="48"/>
  <c r="BE153" i="48"/>
  <c r="BE170" i="48"/>
  <c r="AU152" i="48"/>
  <c r="BA152" i="48" s="1"/>
  <c r="AU162" i="48"/>
  <c r="BE167" i="48"/>
  <c r="AX177" i="48"/>
  <c r="AU177" i="48"/>
  <c r="AU157" i="48"/>
  <c r="BA157" i="48" s="1"/>
  <c r="AX168" i="48"/>
  <c r="AU168" i="48"/>
  <c r="BE175" i="48"/>
  <c r="AU161" i="48"/>
  <c r="BA161" i="48" s="1"/>
  <c r="AU156" i="48"/>
  <c r="BA156" i="48" s="1"/>
  <c r="AX154" i="48"/>
  <c r="AU154" i="48"/>
  <c r="AU165" i="48"/>
  <c r="BA165" i="48" s="1"/>
  <c r="BA155" i="43"/>
  <c r="O24" i="14"/>
  <c r="BA170" i="43"/>
  <c r="O39" i="14"/>
  <c r="BA159" i="43"/>
  <c r="O28" i="14"/>
  <c r="BA143" i="43"/>
  <c r="O12" i="14"/>
  <c r="BA179" i="43"/>
  <c r="O48" i="14"/>
  <c r="BA152" i="43"/>
  <c r="O21" i="14"/>
  <c r="BA146" i="43"/>
  <c r="O15" i="14"/>
  <c r="BA168" i="43"/>
  <c r="O37" i="14"/>
  <c r="BA162" i="43"/>
  <c r="O31" i="14"/>
  <c r="BA174" i="43"/>
  <c r="O43" i="14"/>
  <c r="AU175" i="43"/>
  <c r="BE175" i="43" s="1"/>
  <c r="BE179" i="43"/>
  <c r="BA160" i="43"/>
  <c r="O29" i="14"/>
  <c r="BA147" i="43"/>
  <c r="O16" i="14"/>
  <c r="BA142" i="43"/>
  <c r="O11" i="14"/>
  <c r="BA145" i="43"/>
  <c r="O14" i="14"/>
  <c r="BA138" i="43"/>
  <c r="O7" i="14"/>
  <c r="BA156" i="43"/>
  <c r="O25" i="14"/>
  <c r="BA139" i="43"/>
  <c r="O8" i="14"/>
  <c r="BA171" i="43"/>
  <c r="O40" i="14"/>
  <c r="BA150" i="43"/>
  <c r="O19" i="14"/>
  <c r="BA181" i="43"/>
  <c r="O50" i="14"/>
  <c r="BA176" i="43"/>
  <c r="O45" i="14"/>
  <c r="BA169" i="43"/>
  <c r="O38" i="14"/>
  <c r="BA149" i="43"/>
  <c r="O18" i="14"/>
  <c r="BA154" i="43"/>
  <c r="O23" i="14"/>
  <c r="BA177" i="43"/>
  <c r="O46" i="14"/>
  <c r="BA173" i="43"/>
  <c r="O42" i="14"/>
  <c r="BA178" i="43"/>
  <c r="O47" i="14"/>
  <c r="AU137" i="43"/>
  <c r="BA148" i="43"/>
  <c r="O17" i="14"/>
  <c r="BE170" i="43"/>
  <c r="BA165" i="43"/>
  <c r="O34" i="14"/>
  <c r="BA164" i="43"/>
  <c r="O33" i="14"/>
  <c r="AU140" i="43"/>
  <c r="BE140" i="43" s="1"/>
  <c r="BE146" i="43"/>
  <c r="BE152" i="43"/>
  <c r="AU158" i="43"/>
  <c r="BE158" i="43" s="1"/>
  <c r="AF214" i="43"/>
  <c r="BE168" i="43"/>
  <c r="AJ230" i="43"/>
  <c r="AF230" i="43"/>
  <c r="BE169" i="43"/>
  <c r="AU161" i="43"/>
  <c r="O8" i="43"/>
  <c r="N8" i="43"/>
  <c r="BE157" i="43"/>
  <c r="BA172" i="43"/>
  <c r="BE172" i="43"/>
  <c r="BE138" i="43"/>
  <c r="BE181" i="43"/>
  <c r="BE160" i="43"/>
  <c r="BE143" i="43"/>
  <c r="BE147" i="43"/>
  <c r="BE176" i="43"/>
  <c r="BE165" i="43"/>
  <c r="BE174" i="43"/>
  <c r="BE177" i="43"/>
  <c r="BE159" i="43"/>
  <c r="BE155" i="43"/>
  <c r="BE171" i="43"/>
  <c r="BE164" i="43"/>
  <c r="BE150" i="43"/>
  <c r="AU166" i="43"/>
  <c r="AU144" i="43"/>
  <c r="O13" i="14" s="1"/>
  <c r="AU153" i="43"/>
  <c r="BE162" i="43"/>
  <c r="BE178" i="43"/>
  <c r="BE142" i="43"/>
  <c r="BE148" i="43"/>
  <c r="X137" i="41"/>
  <c r="X141" i="41"/>
  <c r="AB101" i="41"/>
  <c r="M156" i="41" s="1"/>
  <c r="O156" i="41" s="1"/>
  <c r="AA101" i="41"/>
  <c r="E156" i="41" s="1"/>
  <c r="F156" i="41" s="1"/>
  <c r="AB85" i="41"/>
  <c r="M140" i="41" s="1"/>
  <c r="AA85" i="41"/>
  <c r="E140" i="41" s="1"/>
  <c r="G140" i="41" s="1"/>
  <c r="X153" i="41"/>
  <c r="X163" i="41"/>
  <c r="X151" i="41"/>
  <c r="AK177" i="41"/>
  <c r="X177" i="41"/>
  <c r="X145" i="41"/>
  <c r="X155" i="41"/>
  <c r="X157" i="41"/>
  <c r="X150" i="41"/>
  <c r="X143" i="41"/>
  <c r="AB96" i="41"/>
  <c r="M151" i="41" s="1"/>
  <c r="AB99" i="41"/>
  <c r="M154" i="41" s="1"/>
  <c r="O154" i="41" s="1"/>
  <c r="AA99" i="41"/>
  <c r="E154" i="41" s="1"/>
  <c r="F155" i="41" s="1"/>
  <c r="AB83" i="41"/>
  <c r="M138" i="41" s="1"/>
  <c r="O138" i="41" s="1"/>
  <c r="AA83" i="41"/>
  <c r="E138" i="41" s="1"/>
  <c r="G138" i="41" s="1"/>
  <c r="AB102" i="41"/>
  <c r="M157" i="41" s="1"/>
  <c r="O157" i="41" s="1"/>
  <c r="AD82" i="41"/>
  <c r="E196" i="41" s="1"/>
  <c r="F196" i="41" s="1"/>
  <c r="AB82" i="41"/>
  <c r="M137" i="41" s="1"/>
  <c r="O137" i="41" s="1"/>
  <c r="AB84" i="41"/>
  <c r="M139" i="41" s="1"/>
  <c r="AB97" i="41"/>
  <c r="M152" i="41" s="1"/>
  <c r="AA97" i="41"/>
  <c r="E152" i="41" s="1"/>
  <c r="F153" i="41" s="1"/>
  <c r="AC94" i="41"/>
  <c r="AC86" i="41"/>
  <c r="AA111" i="41"/>
  <c r="E166" i="41" s="1"/>
  <c r="AB91" i="41"/>
  <c r="M146" i="41" s="1"/>
  <c r="O146" i="41" s="1"/>
  <c r="AA91" i="41"/>
  <c r="E146" i="41" s="1"/>
  <c r="F146" i="41" s="1"/>
  <c r="AB94" i="41"/>
  <c r="M149" i="41" s="1"/>
  <c r="N149" i="41" s="1"/>
  <c r="AC102" i="41"/>
  <c r="AD98" i="41"/>
  <c r="E212" i="41" s="1"/>
  <c r="F212" i="41" s="1"/>
  <c r="AB86" i="41"/>
  <c r="M141" i="41" s="1"/>
  <c r="AC82" i="41"/>
  <c r="AB93" i="41"/>
  <c r="M148" i="41" s="1"/>
  <c r="O148" i="41" s="1"/>
  <c r="AA93" i="41"/>
  <c r="E148" i="41" s="1"/>
  <c r="G148" i="41" s="1"/>
  <c r="AB98" i="41"/>
  <c r="M153" i="41" s="1"/>
  <c r="O153" i="41" s="1"/>
  <c r="AD88" i="41"/>
  <c r="E202" i="41" s="1"/>
  <c r="AC84" i="41"/>
  <c r="AB87" i="41"/>
  <c r="M142" i="41" s="1"/>
  <c r="O142" i="41" s="1"/>
  <c r="AA87" i="41"/>
  <c r="E142" i="41" s="1"/>
  <c r="F142" i="41" s="1"/>
  <c r="AD86" i="41"/>
  <c r="E200" i="41" s="1"/>
  <c r="G200" i="41" s="1"/>
  <c r="AB88" i="41"/>
  <c r="M143" i="41" s="1"/>
  <c r="O143" i="41" s="1"/>
  <c r="AC96" i="41"/>
  <c r="AB89" i="41"/>
  <c r="M144" i="41" s="1"/>
  <c r="O144" i="41" s="1"/>
  <c r="AA89" i="41"/>
  <c r="E144" i="41" s="1"/>
  <c r="F145" i="41" s="1"/>
  <c r="AB106" i="41"/>
  <c r="M161" i="41" s="1"/>
  <c r="O161" i="41" s="1"/>
  <c r="AA106" i="41"/>
  <c r="E161" i="41" s="1"/>
  <c r="G161" i="41" s="1"/>
  <c r="AB118" i="41"/>
  <c r="M173" i="41" s="1"/>
  <c r="AA118" i="41"/>
  <c r="E173" i="41" s="1"/>
  <c r="G173" i="41" s="1"/>
  <c r="AB126" i="41"/>
  <c r="M181" i="41" s="1"/>
  <c r="AA126" i="41"/>
  <c r="E181" i="41" s="1"/>
  <c r="G181" i="41" s="1"/>
  <c r="AD110" i="41"/>
  <c r="E224" i="41" s="1"/>
  <c r="AC98" i="41"/>
  <c r="AD102" i="41"/>
  <c r="E216" i="41" s="1"/>
  <c r="F216" i="41" s="1"/>
  <c r="AC88" i="41"/>
  <c r="G208" i="41"/>
  <c r="F208" i="41"/>
  <c r="G206" i="41"/>
  <c r="F206" i="41"/>
  <c r="G157" i="41"/>
  <c r="F226" i="41"/>
  <c r="G226" i="41"/>
  <c r="F137" i="41"/>
  <c r="G137" i="41"/>
  <c r="G198" i="41"/>
  <c r="F198" i="41"/>
  <c r="G209" i="41"/>
  <c r="G163" i="41"/>
  <c r="G151" i="41"/>
  <c r="G155" i="41"/>
  <c r="G218" i="41"/>
  <c r="F218" i="41"/>
  <c r="G141" i="41"/>
  <c r="G153" i="41"/>
  <c r="F143" i="41"/>
  <c r="G143" i="41"/>
  <c r="G145" i="41"/>
  <c r="F237" i="41"/>
  <c r="G237" i="41"/>
  <c r="G233" i="41"/>
  <c r="AA119" i="41"/>
  <c r="E174" i="41" s="1"/>
  <c r="AA115" i="41"/>
  <c r="E170" i="41" s="1"/>
  <c r="G225" i="41"/>
  <c r="G221" i="41"/>
  <c r="F221" i="41"/>
  <c r="AA107" i="41"/>
  <c r="E162" i="41" s="1"/>
  <c r="AA103" i="41"/>
  <c r="E158" i="41" s="1"/>
  <c r="F138" i="41"/>
  <c r="F236" i="41"/>
  <c r="G236" i="41"/>
  <c r="AC104" i="41"/>
  <c r="AC112" i="41"/>
  <c r="F235" i="41"/>
  <c r="G235" i="41"/>
  <c r="AA121" i="41"/>
  <c r="E176" i="41" s="1"/>
  <c r="F177" i="41" s="1"/>
  <c r="F227" i="41"/>
  <c r="G227" i="41"/>
  <c r="AA113" i="41"/>
  <c r="E168" i="41" s="1"/>
  <c r="F169" i="41" s="1"/>
  <c r="G219" i="41"/>
  <c r="F219" i="41"/>
  <c r="AA105" i="41"/>
  <c r="E160" i="41" s="1"/>
  <c r="AB80" i="41"/>
  <c r="M135" i="41" s="1"/>
  <c r="AC80" i="41"/>
  <c r="AD80" i="41"/>
  <c r="E194" i="41" s="1"/>
  <c r="G210" i="41"/>
  <c r="AC108" i="41"/>
  <c r="AC116" i="41"/>
  <c r="AB92" i="41"/>
  <c r="M147" i="41" s="1"/>
  <c r="AC92" i="41"/>
  <c r="AB100" i="41"/>
  <c r="M155" i="41" s="1"/>
  <c r="AC100" i="41"/>
  <c r="AB123" i="41"/>
  <c r="M178" i="41" s="1"/>
  <c r="AC123" i="41"/>
  <c r="AB119" i="41"/>
  <c r="M174" i="41" s="1"/>
  <c r="AC119" i="41"/>
  <c r="AB115" i="41"/>
  <c r="M170" i="41" s="1"/>
  <c r="AC115" i="41"/>
  <c r="AB111" i="41"/>
  <c r="M166" i="41" s="1"/>
  <c r="AC111" i="41"/>
  <c r="AB107" i="41"/>
  <c r="M162" i="41" s="1"/>
  <c r="AC107" i="41"/>
  <c r="AB103" i="41"/>
  <c r="M158" i="41" s="1"/>
  <c r="AC103" i="41"/>
  <c r="G213" i="41"/>
  <c r="AC99" i="41"/>
  <c r="G205" i="41"/>
  <c r="F205" i="41"/>
  <c r="AC91" i="41"/>
  <c r="G197" i="41"/>
  <c r="AC83" i="41"/>
  <c r="AA94" i="41"/>
  <c r="E149" i="41" s="1"/>
  <c r="G204" i="41"/>
  <c r="F204" i="41"/>
  <c r="AB104" i="41"/>
  <c r="M159" i="41" s="1"/>
  <c r="AA104" i="41"/>
  <c r="E159" i="41" s="1"/>
  <c r="AB112" i="41"/>
  <c r="M167" i="41" s="1"/>
  <c r="AA112" i="41"/>
  <c r="E167" i="41" s="1"/>
  <c r="AB125" i="41"/>
  <c r="M180" i="41" s="1"/>
  <c r="AC125" i="41"/>
  <c r="AB121" i="41"/>
  <c r="M176" i="41" s="1"/>
  <c r="N177" i="41" s="1"/>
  <c r="AC121" i="41"/>
  <c r="AB117" i="41"/>
  <c r="M172" i="41" s="1"/>
  <c r="AC117" i="41"/>
  <c r="AB113" i="41"/>
  <c r="M168" i="41" s="1"/>
  <c r="N169" i="41" s="1"/>
  <c r="AC113" i="41"/>
  <c r="AB109" i="41"/>
  <c r="M164" i="41" s="1"/>
  <c r="AC109" i="41"/>
  <c r="AB105" i="41"/>
  <c r="M160" i="41" s="1"/>
  <c r="AC105" i="41"/>
  <c r="G215" i="41"/>
  <c r="AC101" i="41"/>
  <c r="G207" i="41"/>
  <c r="F207" i="41"/>
  <c r="AC93" i="41"/>
  <c r="G199" i="41"/>
  <c r="F199" i="41"/>
  <c r="AC85" i="41"/>
  <c r="G202" i="41"/>
  <c r="AA84" i="41"/>
  <c r="E139" i="41" s="1"/>
  <c r="AD108" i="41"/>
  <c r="E222" i="41" s="1"/>
  <c r="F223" i="41" s="1"/>
  <c r="AC95" i="41"/>
  <c r="AB108" i="41"/>
  <c r="M163" i="41" s="1"/>
  <c r="AB116" i="41"/>
  <c r="M171" i="41" s="1"/>
  <c r="AA116" i="41"/>
  <c r="E171" i="41" s="1"/>
  <c r="AB120" i="41"/>
  <c r="M175" i="41" s="1"/>
  <c r="AA120" i="41"/>
  <c r="E175" i="41" s="1"/>
  <c r="AB124" i="41"/>
  <c r="M179" i="41" s="1"/>
  <c r="AA124" i="41"/>
  <c r="E179" i="41" s="1"/>
  <c r="G211" i="41"/>
  <c r="F211" i="41"/>
  <c r="AC97" i="41"/>
  <c r="G203" i="41"/>
  <c r="F203" i="41"/>
  <c r="AC89" i="41"/>
  <c r="AD100" i="41"/>
  <c r="E214" i="41" s="1"/>
  <c r="G220" i="41"/>
  <c r="F220" i="41"/>
  <c r="AC106" i="41"/>
  <c r="AB90" i="41"/>
  <c r="M145" i="41" s="1"/>
  <c r="N146" i="41" s="1"/>
  <c r="AC90" i="41"/>
  <c r="AB110" i="41"/>
  <c r="M165" i="41" s="1"/>
  <c r="AA110" i="41"/>
  <c r="E165" i="41" s="1"/>
  <c r="AA92" i="41"/>
  <c r="E147" i="41" s="1"/>
  <c r="AA123" i="41"/>
  <c r="E178" i="41" s="1"/>
  <c r="G229" i="41"/>
  <c r="G166" i="41"/>
  <c r="G217" i="41"/>
  <c r="O149" i="41"/>
  <c r="F239" i="41"/>
  <c r="G239" i="41"/>
  <c r="AA125" i="41"/>
  <c r="E180" i="41" s="1"/>
  <c r="F231" i="41"/>
  <c r="G231" i="41"/>
  <c r="AA117" i="41"/>
  <c r="E172" i="41" s="1"/>
  <c r="F173" i="41" s="1"/>
  <c r="G223" i="41"/>
  <c r="AA109" i="41"/>
  <c r="E164" i="41" s="1"/>
  <c r="O140" i="41"/>
  <c r="O139" i="41"/>
  <c r="F230" i="41"/>
  <c r="G230" i="41"/>
  <c r="F234" i="41"/>
  <c r="G234" i="41"/>
  <c r="AC120" i="41"/>
  <c r="F238" i="41"/>
  <c r="G238" i="41"/>
  <c r="AC124" i="41"/>
  <c r="O151" i="41"/>
  <c r="N151" i="41"/>
  <c r="O152" i="41"/>
  <c r="G144" i="41"/>
  <c r="F240" i="41"/>
  <c r="G240" i="41"/>
  <c r="O169" i="41"/>
  <c r="G169" i="41"/>
  <c r="O173" i="41"/>
  <c r="O177" i="41"/>
  <c r="G177" i="41"/>
  <c r="BE177" i="49" l="1"/>
  <c r="BA177" i="49"/>
  <c r="O26" i="14"/>
  <c r="O49" i="14"/>
  <c r="BE180" i="43"/>
  <c r="BE140" i="49"/>
  <c r="N152" i="41"/>
  <c r="AK150" i="41"/>
  <c r="N150" i="41"/>
  <c r="G150" i="41"/>
  <c r="F152" i="41"/>
  <c r="F181" i="41"/>
  <c r="N140" i="41"/>
  <c r="BE159" i="49"/>
  <c r="AF238" i="49"/>
  <c r="F200" i="41"/>
  <c r="G232" i="41"/>
  <c r="N141" i="41"/>
  <c r="BE152" i="49"/>
  <c r="BA152" i="49"/>
  <c r="BA159" i="49"/>
  <c r="BE158" i="49"/>
  <c r="AJ238" i="49"/>
  <c r="G216" i="41"/>
  <c r="F144" i="41"/>
  <c r="F161" i="41"/>
  <c r="BA158" i="49"/>
  <c r="O141" i="41"/>
  <c r="G142" i="41"/>
  <c r="F232" i="41"/>
  <c r="G228" i="41"/>
  <c r="F229" i="41"/>
  <c r="N137" i="41"/>
  <c r="G146" i="41"/>
  <c r="N181" i="41"/>
  <c r="N143" i="41"/>
  <c r="N148" i="41"/>
  <c r="Q228" i="41"/>
  <c r="N153" i="41"/>
  <c r="F233" i="41"/>
  <c r="Q209" i="41"/>
  <c r="F166" i="41"/>
  <c r="G201" i="41"/>
  <c r="N157" i="41"/>
  <c r="F141" i="41"/>
  <c r="F210" i="41"/>
  <c r="N173" i="41"/>
  <c r="O181" i="41"/>
  <c r="F217" i="41"/>
  <c r="F202" i="41"/>
  <c r="N161" i="41"/>
  <c r="F209" i="41"/>
  <c r="Q201" i="41"/>
  <c r="Q224" i="41"/>
  <c r="N142" i="41"/>
  <c r="Q212" i="41"/>
  <c r="Q196" i="41"/>
  <c r="N144" i="41"/>
  <c r="F224" i="41"/>
  <c r="N139" i="41"/>
  <c r="N138" i="41"/>
  <c r="N154" i="41"/>
  <c r="Q214" i="41"/>
  <c r="F197" i="41"/>
  <c r="N156" i="41"/>
  <c r="G156" i="41"/>
  <c r="G154" i="41"/>
  <c r="F225" i="41"/>
  <c r="F157" i="41"/>
  <c r="Q216" i="41"/>
  <c r="Q210" i="41"/>
  <c r="G224" i="41"/>
  <c r="G152" i="41"/>
  <c r="G196" i="41"/>
  <c r="Q222" i="41"/>
  <c r="F213" i="41"/>
  <c r="F154" i="41"/>
  <c r="Q200" i="41"/>
  <c r="Q202" i="41"/>
  <c r="BE141" i="49"/>
  <c r="AC10" i="14"/>
  <c r="BA171" i="49"/>
  <c r="AC40" i="14"/>
  <c r="BA170" i="49"/>
  <c r="AC39" i="14"/>
  <c r="BA174" i="49"/>
  <c r="AC43" i="14"/>
  <c r="BA142" i="49"/>
  <c r="AC11" i="14"/>
  <c r="BE161" i="49"/>
  <c r="AC30" i="14"/>
  <c r="BA141" i="49"/>
  <c r="BA156" i="49"/>
  <c r="BE167" i="49"/>
  <c r="AC36" i="14"/>
  <c r="BE156" i="49"/>
  <c r="BE150" i="49"/>
  <c r="BA175" i="49"/>
  <c r="AC44" i="14"/>
  <c r="BA155" i="49"/>
  <c r="AC24" i="14"/>
  <c r="BA181" i="48"/>
  <c r="BA178" i="49"/>
  <c r="AC47" i="14"/>
  <c r="BA169" i="49"/>
  <c r="AC38" i="14"/>
  <c r="BA172" i="49"/>
  <c r="AC41" i="14"/>
  <c r="BA168" i="49"/>
  <c r="AC37" i="14"/>
  <c r="BA137" i="49"/>
  <c r="AC6" i="14"/>
  <c r="BA166" i="49"/>
  <c r="AC35" i="14"/>
  <c r="BA151" i="49"/>
  <c r="AC20" i="14"/>
  <c r="BA167" i="49"/>
  <c r="BA163" i="49"/>
  <c r="AC32" i="14"/>
  <c r="BE145" i="49"/>
  <c r="BA176" i="49"/>
  <c r="BE163" i="49"/>
  <c r="BE169" i="49"/>
  <c r="BA164" i="49"/>
  <c r="BE137" i="49"/>
  <c r="BE172" i="49"/>
  <c r="BE174" i="49"/>
  <c r="BA179" i="49"/>
  <c r="BE142" i="49"/>
  <c r="BA162" i="49"/>
  <c r="BA147" i="49"/>
  <c r="BE147" i="49"/>
  <c r="BE171" i="49"/>
  <c r="BE168" i="49"/>
  <c r="BE165" i="49"/>
  <c r="BE139" i="49"/>
  <c r="BE157" i="49"/>
  <c r="BA146" i="49"/>
  <c r="BE164" i="49"/>
  <c r="BE155" i="49"/>
  <c r="BE170" i="49"/>
  <c r="BA138" i="49"/>
  <c r="O5" i="49"/>
  <c r="O12" i="49" s="1"/>
  <c r="BE179" i="49"/>
  <c r="BE138" i="49"/>
  <c r="BA139" i="49"/>
  <c r="BA165" i="49"/>
  <c r="BE178" i="49"/>
  <c r="BE151" i="49"/>
  <c r="BE176" i="49"/>
  <c r="BE162" i="49"/>
  <c r="N5" i="49"/>
  <c r="N12" i="49" s="1"/>
  <c r="BE166" i="49"/>
  <c r="BE146" i="49"/>
  <c r="BA157" i="49"/>
  <c r="BA168" i="48"/>
  <c r="BE158" i="48"/>
  <c r="BE176" i="48"/>
  <c r="BE146" i="48"/>
  <c r="BE150" i="48"/>
  <c r="BE171" i="48"/>
  <c r="BE140" i="48"/>
  <c r="BA177" i="48"/>
  <c r="BA141" i="48"/>
  <c r="BE137" i="48"/>
  <c r="BE138" i="48"/>
  <c r="BE155" i="48"/>
  <c r="BE159" i="48"/>
  <c r="BE149" i="48"/>
  <c r="BE142" i="48"/>
  <c r="BE161" i="48"/>
  <c r="BE179" i="48"/>
  <c r="BA144" i="48"/>
  <c r="BE144" i="48"/>
  <c r="BE154" i="48"/>
  <c r="BE152" i="48"/>
  <c r="BA162" i="48"/>
  <c r="BE162" i="48"/>
  <c r="BE177" i="48"/>
  <c r="BE157" i="48"/>
  <c r="BE168" i="48"/>
  <c r="O5" i="48"/>
  <c r="O12" i="48" s="1"/>
  <c r="N5" i="48"/>
  <c r="N12" i="48" s="1"/>
  <c r="BA154" i="48"/>
  <c r="BE156" i="48"/>
  <c r="BE165" i="48"/>
  <c r="BE161" i="43"/>
  <c r="O30" i="14"/>
  <c r="BA166" i="43"/>
  <c r="O35" i="14"/>
  <c r="BA137" i="43"/>
  <c r="O6" i="14"/>
  <c r="BE137" i="43"/>
  <c r="BA161" i="43"/>
  <c r="BA140" i="43"/>
  <c r="O9" i="14"/>
  <c r="BA158" i="43"/>
  <c r="O27" i="14"/>
  <c r="BA175" i="43"/>
  <c r="O44" i="14"/>
  <c r="BA153" i="43"/>
  <c r="O22" i="14"/>
  <c r="BE166" i="43"/>
  <c r="BA144" i="43"/>
  <c r="O5" i="43"/>
  <c r="O12" i="43" s="1"/>
  <c r="N5" i="43"/>
  <c r="N12" i="43" s="1"/>
  <c r="BE144" i="43"/>
  <c r="BE153" i="43"/>
  <c r="X164" i="41"/>
  <c r="X180" i="41"/>
  <c r="X147" i="41"/>
  <c r="AK165" i="41"/>
  <c r="X175" i="41"/>
  <c r="X159" i="41"/>
  <c r="X149" i="41"/>
  <c r="AK158" i="41"/>
  <c r="AK166" i="41"/>
  <c r="AK178" i="41"/>
  <c r="X178" i="41"/>
  <c r="X165" i="41"/>
  <c r="AK179" i="41"/>
  <c r="AK175" i="41"/>
  <c r="AK171" i="41"/>
  <c r="X139" i="41"/>
  <c r="AK160" i="41"/>
  <c r="AK164" i="41"/>
  <c r="AK168" i="41"/>
  <c r="AK172" i="41"/>
  <c r="AK176" i="41"/>
  <c r="AK180" i="41"/>
  <c r="AK167" i="41"/>
  <c r="AK159" i="41"/>
  <c r="F201" i="41"/>
  <c r="G212" i="41"/>
  <c r="X158" i="41"/>
  <c r="X170" i="41"/>
  <c r="AK181" i="41"/>
  <c r="AK173" i="41"/>
  <c r="AK161" i="41"/>
  <c r="AK144" i="41"/>
  <c r="AK143" i="41"/>
  <c r="X142" i="41"/>
  <c r="AK153" i="41"/>
  <c r="AK148" i="41"/>
  <c r="AK141" i="41"/>
  <c r="X146" i="41"/>
  <c r="X166" i="41"/>
  <c r="AK152" i="41"/>
  <c r="AK137" i="41"/>
  <c r="AK157" i="41"/>
  <c r="AK138" i="41"/>
  <c r="AK154" i="41"/>
  <c r="X140" i="41"/>
  <c r="X156" i="41"/>
  <c r="X172" i="41"/>
  <c r="AK145" i="41"/>
  <c r="X179" i="41"/>
  <c r="X171" i="41"/>
  <c r="AK163" i="41"/>
  <c r="X167" i="41"/>
  <c r="AK162" i="41"/>
  <c r="AK170" i="41"/>
  <c r="AK174" i="41"/>
  <c r="AK155" i="41"/>
  <c r="AK147" i="41"/>
  <c r="X160" i="41"/>
  <c r="X168" i="41"/>
  <c r="X176" i="41"/>
  <c r="X162" i="41"/>
  <c r="X174" i="41"/>
  <c r="X181" i="41"/>
  <c r="X173" i="41"/>
  <c r="X161" i="41"/>
  <c r="X144" i="41"/>
  <c r="AK142" i="41"/>
  <c r="X148" i="41"/>
  <c r="AK149" i="41"/>
  <c r="AK146" i="41"/>
  <c r="X152" i="41"/>
  <c r="AK139" i="41"/>
  <c r="X138" i="41"/>
  <c r="X154" i="41"/>
  <c r="AK151" i="41"/>
  <c r="AK140" i="41"/>
  <c r="AK156" i="41"/>
  <c r="G164" i="41"/>
  <c r="F164" i="41"/>
  <c r="G172" i="41"/>
  <c r="F172" i="41"/>
  <c r="G180" i="41"/>
  <c r="F180" i="41"/>
  <c r="F147" i="41"/>
  <c r="G147" i="41"/>
  <c r="N165" i="41"/>
  <c r="O165" i="41"/>
  <c r="O145" i="41"/>
  <c r="N145" i="41"/>
  <c r="G179" i="41"/>
  <c r="F179" i="41"/>
  <c r="G175" i="41"/>
  <c r="F175" i="41"/>
  <c r="G171" i="41"/>
  <c r="F171" i="41"/>
  <c r="N163" i="41"/>
  <c r="O163" i="41"/>
  <c r="G222" i="41"/>
  <c r="F222" i="41"/>
  <c r="N160" i="41"/>
  <c r="O160" i="41"/>
  <c r="N164" i="41"/>
  <c r="O164" i="41"/>
  <c r="N168" i="41"/>
  <c r="O168" i="41"/>
  <c r="N172" i="41"/>
  <c r="O172" i="41"/>
  <c r="N176" i="41"/>
  <c r="O176" i="41"/>
  <c r="N180" i="41"/>
  <c r="O180" i="41"/>
  <c r="N167" i="41"/>
  <c r="O167" i="41"/>
  <c r="N159" i="41"/>
  <c r="O159" i="41"/>
  <c r="F194" i="41"/>
  <c r="G194" i="41"/>
  <c r="F195" i="41"/>
  <c r="O135" i="41"/>
  <c r="N135" i="41"/>
  <c r="N136" i="41"/>
  <c r="F148" i="41"/>
  <c r="G160" i="41"/>
  <c r="F160" i="41"/>
  <c r="G168" i="41"/>
  <c r="F168" i="41"/>
  <c r="G176" i="41"/>
  <c r="F176" i="41"/>
  <c r="G162" i="41"/>
  <c r="F162" i="41"/>
  <c r="G174" i="41"/>
  <c r="F174" i="41"/>
  <c r="F163" i="41"/>
  <c r="G178" i="41"/>
  <c r="F178" i="41"/>
  <c r="G165" i="41"/>
  <c r="F165" i="41"/>
  <c r="G214" i="41"/>
  <c r="F214" i="41"/>
  <c r="N179" i="41"/>
  <c r="O179" i="41"/>
  <c r="N175" i="41"/>
  <c r="O175" i="41"/>
  <c r="N171" i="41"/>
  <c r="O171" i="41"/>
  <c r="F139" i="41"/>
  <c r="G139" i="41"/>
  <c r="F215" i="41"/>
  <c r="G167" i="41"/>
  <c r="F167" i="41"/>
  <c r="G159" i="41"/>
  <c r="F159" i="41"/>
  <c r="F149" i="41"/>
  <c r="G149" i="41"/>
  <c r="O158" i="41"/>
  <c r="N158" i="41"/>
  <c r="N162" i="41"/>
  <c r="O162" i="41"/>
  <c r="N166" i="41"/>
  <c r="O166" i="41"/>
  <c r="N170" i="41"/>
  <c r="O170" i="41"/>
  <c r="N174" i="41"/>
  <c r="O174" i="41"/>
  <c r="N178" i="41"/>
  <c r="O178" i="41"/>
  <c r="O155" i="41"/>
  <c r="N155" i="41"/>
  <c r="O147" i="41"/>
  <c r="N147" i="41"/>
  <c r="F150" i="41"/>
  <c r="F140" i="41"/>
  <c r="F158" i="41"/>
  <c r="G158" i="41"/>
  <c r="G170" i="41"/>
  <c r="F170" i="41"/>
  <c r="AX135" i="41" l="1"/>
  <c r="BA135" i="41" s="1"/>
  <c r="BE135" i="41" l="1"/>
  <c r="BB28" i="3" l="1"/>
  <c r="BC28" i="3"/>
  <c r="BD28" i="3"/>
  <c r="BE28" i="3"/>
  <c r="BF28" i="3"/>
  <c r="BB29" i="3"/>
  <c r="BC29" i="3"/>
  <c r="BD29" i="3"/>
  <c r="BE29" i="3"/>
  <c r="BF29" i="3"/>
  <c r="BB30" i="3"/>
  <c r="BC30" i="3"/>
  <c r="BD30" i="3"/>
  <c r="BE30" i="3"/>
  <c r="BF30" i="3"/>
  <c r="BB31" i="3"/>
  <c r="BC31" i="3"/>
  <c r="BD31" i="3"/>
  <c r="BE31" i="3"/>
  <c r="BF31" i="3"/>
  <c r="BB32" i="3"/>
  <c r="BC32" i="3"/>
  <c r="BD32" i="3"/>
  <c r="BE32" i="3"/>
  <c r="BF32" i="3"/>
  <c r="BB33" i="3"/>
  <c r="BC33" i="3"/>
  <c r="BD33" i="3"/>
  <c r="BE33" i="3"/>
  <c r="BF33" i="3"/>
  <c r="BB34" i="3"/>
  <c r="BC34" i="3"/>
  <c r="BD34" i="3"/>
  <c r="BE34" i="3"/>
  <c r="BF34" i="3"/>
  <c r="BB35" i="3"/>
  <c r="BC35" i="3"/>
  <c r="BD35" i="3"/>
  <c r="BE35" i="3"/>
  <c r="BF35" i="3"/>
  <c r="BB36" i="3"/>
  <c r="BC36" i="3"/>
  <c r="BD36" i="3"/>
  <c r="BE36" i="3"/>
  <c r="BF36" i="3"/>
  <c r="BB37" i="3"/>
  <c r="BC37" i="3"/>
  <c r="BD37" i="3"/>
  <c r="BE37" i="3"/>
  <c r="BF37" i="3"/>
  <c r="BB38" i="3"/>
  <c r="BC38" i="3"/>
  <c r="BD38" i="3"/>
  <c r="BE38" i="3"/>
  <c r="BF38" i="3"/>
  <c r="BB39" i="3"/>
  <c r="BC39" i="3"/>
  <c r="BD39" i="3"/>
  <c r="BE39" i="3"/>
  <c r="BF39" i="3"/>
  <c r="BB40" i="3"/>
  <c r="BC40" i="3"/>
  <c r="BD40" i="3"/>
  <c r="BE40" i="3"/>
  <c r="BF40" i="3"/>
  <c r="BB41" i="3"/>
  <c r="BC41" i="3"/>
  <c r="BD41" i="3"/>
  <c r="BE41" i="3"/>
  <c r="BF41" i="3"/>
  <c r="BB42" i="3"/>
  <c r="BC42" i="3"/>
  <c r="BD42" i="3"/>
  <c r="BE42" i="3"/>
  <c r="BF42" i="3"/>
  <c r="BB43" i="3"/>
  <c r="BC43" i="3"/>
  <c r="BD43" i="3"/>
  <c r="BE43" i="3"/>
  <c r="BF43" i="3"/>
  <c r="BB44" i="3"/>
  <c r="BC44" i="3"/>
  <c r="BD44" i="3"/>
  <c r="BE44" i="3"/>
  <c r="BF44" i="3"/>
  <c r="BB45" i="3"/>
  <c r="BC45" i="3"/>
  <c r="BD45" i="3"/>
  <c r="BE45" i="3"/>
  <c r="BF45" i="3"/>
  <c r="BB46" i="3"/>
  <c r="BC46" i="3"/>
  <c r="BD46" i="3"/>
  <c r="BE46" i="3"/>
  <c r="BF46" i="3"/>
  <c r="BB47" i="3"/>
  <c r="BC47" i="3"/>
  <c r="BD47" i="3"/>
  <c r="BE47" i="3"/>
  <c r="BF47" i="3"/>
  <c r="BB48" i="3"/>
  <c r="BC48" i="3"/>
  <c r="BD48" i="3"/>
  <c r="BE48" i="3"/>
  <c r="BF48" i="3"/>
  <c r="BB49" i="3"/>
  <c r="BC49" i="3"/>
  <c r="BD49" i="3"/>
  <c r="BE49" i="3"/>
  <c r="BF49" i="3"/>
  <c r="BB50" i="3"/>
  <c r="BC50" i="3"/>
  <c r="BD50" i="3"/>
  <c r="BE50" i="3"/>
  <c r="BF50" i="3"/>
  <c r="BB51" i="3"/>
  <c r="BC51" i="3"/>
  <c r="BD51" i="3"/>
  <c r="BE51" i="3"/>
  <c r="BF51" i="3"/>
  <c r="BB52" i="3"/>
  <c r="BC52" i="3"/>
  <c r="BD52" i="3"/>
  <c r="BE52" i="3"/>
  <c r="BF52" i="3"/>
  <c r="BB53" i="3"/>
  <c r="BC53" i="3"/>
  <c r="BD53" i="3"/>
  <c r="BE53" i="3"/>
  <c r="BF53" i="3"/>
  <c r="BB54" i="3"/>
  <c r="BC54" i="3"/>
  <c r="BD54" i="3"/>
  <c r="BE54" i="3"/>
  <c r="BF54" i="3"/>
  <c r="BB55" i="3"/>
  <c r="BC55" i="3"/>
  <c r="BD55" i="3"/>
  <c r="BE55" i="3"/>
  <c r="BF55" i="3"/>
  <c r="BB56" i="3"/>
  <c r="BC56" i="3"/>
  <c r="BD56" i="3"/>
  <c r="BE56" i="3"/>
  <c r="BF56" i="3"/>
  <c r="BB57" i="3"/>
  <c r="BC57" i="3"/>
  <c r="BD57" i="3"/>
  <c r="BE57" i="3"/>
  <c r="BF57" i="3"/>
  <c r="BB58" i="3"/>
  <c r="BC58" i="3"/>
  <c r="BD58" i="3"/>
  <c r="BE58" i="3"/>
  <c r="BF58" i="3"/>
  <c r="BB59" i="3"/>
  <c r="BC59" i="3"/>
  <c r="BD59" i="3"/>
  <c r="BE59" i="3"/>
  <c r="BF59" i="3"/>
  <c r="BB60" i="3"/>
  <c r="BC60" i="3"/>
  <c r="BD60" i="3"/>
  <c r="BE60" i="3"/>
  <c r="BF60" i="3"/>
  <c r="BB61" i="3"/>
  <c r="BC61" i="3"/>
  <c r="BD61" i="3"/>
  <c r="BE61" i="3"/>
  <c r="BF61" i="3"/>
  <c r="BB62" i="3"/>
  <c r="BC62" i="3"/>
  <c r="BD62" i="3"/>
  <c r="BE62" i="3"/>
  <c r="BF62" i="3"/>
  <c r="BB63" i="3"/>
  <c r="BC63" i="3"/>
  <c r="BD63" i="3"/>
  <c r="BE63" i="3"/>
  <c r="BF63" i="3"/>
  <c r="BB64" i="3"/>
  <c r="BC64" i="3"/>
  <c r="BD64" i="3"/>
  <c r="BE64" i="3"/>
  <c r="BF64" i="3"/>
  <c r="BB65" i="3"/>
  <c r="BC65" i="3"/>
  <c r="BD65" i="3"/>
  <c r="BE65" i="3"/>
  <c r="BF65" i="3"/>
  <c r="BB66" i="3"/>
  <c r="BC66" i="3"/>
  <c r="BD66" i="3"/>
  <c r="BE66" i="3"/>
  <c r="BF66" i="3"/>
  <c r="BB67" i="3"/>
  <c r="BC67" i="3"/>
  <c r="BD67" i="3"/>
  <c r="BE67" i="3"/>
  <c r="BF67" i="3"/>
  <c r="BB68" i="3"/>
  <c r="BC68" i="3"/>
  <c r="BD68" i="3"/>
  <c r="BE68" i="3"/>
  <c r="BF68" i="3"/>
  <c r="BB69" i="3"/>
  <c r="BC69" i="3"/>
  <c r="BD69" i="3"/>
  <c r="BE69" i="3"/>
  <c r="BF69" i="3"/>
  <c r="BB70" i="3"/>
  <c r="BC70" i="3"/>
  <c r="BD70" i="3"/>
  <c r="BE70" i="3"/>
  <c r="BF70" i="3"/>
  <c r="BB71" i="3"/>
  <c r="BC71" i="3"/>
  <c r="BD71" i="3"/>
  <c r="BE71" i="3"/>
  <c r="BF71" i="3"/>
  <c r="BB72" i="3"/>
  <c r="BC72" i="3"/>
  <c r="BD72" i="3"/>
  <c r="BE72" i="3"/>
  <c r="BF72" i="3"/>
  <c r="BB73" i="3"/>
  <c r="BC73" i="3"/>
  <c r="BD73" i="3"/>
  <c r="BE73" i="3"/>
  <c r="BF73" i="3"/>
  <c r="BB27" i="3"/>
  <c r="BC27" i="3"/>
  <c r="BD27" i="3"/>
  <c r="BE27" i="3"/>
  <c r="BF27" i="3"/>
  <c r="AW28" i="3"/>
  <c r="AW29" i="3"/>
  <c r="AW30" i="3"/>
  <c r="AW31" i="3"/>
  <c r="AW32" i="3"/>
  <c r="AW33" i="3"/>
  <c r="AW34" i="3"/>
  <c r="AW35" i="3"/>
  <c r="AW36" i="3"/>
  <c r="AW37" i="3"/>
  <c r="AW38" i="3"/>
  <c r="AW39" i="3"/>
  <c r="AW40" i="3"/>
  <c r="AW41" i="3"/>
  <c r="AW42" i="3"/>
  <c r="AW43" i="3"/>
  <c r="AW44" i="3"/>
  <c r="AW45" i="3"/>
  <c r="AW46" i="3"/>
  <c r="AW47" i="3"/>
  <c r="AW48" i="3"/>
  <c r="AW49" i="3"/>
  <c r="AW50" i="3"/>
  <c r="AW51" i="3"/>
  <c r="AW52" i="3"/>
  <c r="AW53" i="3"/>
  <c r="AW54" i="3"/>
  <c r="AW55" i="3"/>
  <c r="AW56" i="3"/>
  <c r="AW57" i="3"/>
  <c r="AW58" i="3"/>
  <c r="AW59" i="3"/>
  <c r="AW60" i="3"/>
  <c r="AW61" i="3"/>
  <c r="AW62" i="3"/>
  <c r="AW63" i="3"/>
  <c r="AW64" i="3"/>
  <c r="AW65" i="3"/>
  <c r="AW66" i="3"/>
  <c r="AW67" i="3"/>
  <c r="AW68" i="3"/>
  <c r="AW69" i="3"/>
  <c r="AW70" i="3"/>
  <c r="AW71" i="3"/>
  <c r="AW72" i="3"/>
  <c r="AW73" i="3"/>
  <c r="AW27" i="3"/>
  <c r="B78" i="3"/>
  <c r="P25" i="3"/>
  <c r="AB25" i="3" s="1"/>
  <c r="Q25" i="3"/>
  <c r="AC25" i="3" s="1"/>
  <c r="R25" i="3"/>
  <c r="AD25" i="3" s="1"/>
  <c r="S25" i="3"/>
  <c r="AE25" i="3" s="1"/>
  <c r="O25" i="3"/>
  <c r="AA25" i="3" s="1"/>
  <c r="AY27" i="3" l="1"/>
  <c r="AY73" i="3"/>
  <c r="AY72" i="3"/>
  <c r="AY71" i="3"/>
  <c r="AY70" i="3"/>
  <c r="AY69" i="3"/>
  <c r="AY68" i="3"/>
  <c r="AY67" i="3"/>
  <c r="AY66" i="3"/>
  <c r="AY65" i="3"/>
  <c r="AY64" i="3"/>
  <c r="AY63" i="3"/>
  <c r="AY62" i="3"/>
  <c r="AY61" i="3"/>
  <c r="AY60" i="3"/>
  <c r="AY59" i="3"/>
  <c r="AY58" i="3"/>
  <c r="AY57" i="3"/>
  <c r="AY56" i="3"/>
  <c r="AY55" i="3"/>
  <c r="AY54" i="3"/>
  <c r="AY53" i="3"/>
  <c r="AY52" i="3"/>
  <c r="AY51" i="3"/>
  <c r="AY50" i="3"/>
  <c r="AY49" i="3"/>
  <c r="AY48" i="3"/>
  <c r="AY47" i="3"/>
  <c r="AY46" i="3"/>
  <c r="AY45" i="3"/>
  <c r="AY44" i="3"/>
  <c r="AY43" i="3"/>
  <c r="AY42" i="3"/>
  <c r="AY41" i="3"/>
  <c r="AY40" i="3"/>
  <c r="AY39" i="3"/>
  <c r="AY38" i="3"/>
  <c r="AY37" i="3"/>
  <c r="AY36" i="3"/>
  <c r="AY35" i="3"/>
  <c r="AY34" i="3"/>
  <c r="AY33" i="3"/>
  <c r="AY32" i="3"/>
  <c r="AY31" i="3"/>
  <c r="AY30" i="3"/>
  <c r="AY29" i="3"/>
  <c r="AY28" i="3"/>
  <c r="AN179" i="3" l="1"/>
  <c r="AW179" i="3" s="1"/>
  <c r="AN178" i="3"/>
  <c r="AW178" i="3" s="1"/>
  <c r="AN177" i="3"/>
  <c r="AW177" i="3" s="1"/>
  <c r="AN176" i="3"/>
  <c r="AW176" i="3" s="1"/>
  <c r="AN175" i="3"/>
  <c r="AW175" i="3" s="1"/>
  <c r="AN174" i="3"/>
  <c r="AW174" i="3" s="1"/>
  <c r="AN173" i="3"/>
  <c r="AW173" i="3" s="1"/>
  <c r="AN172" i="3"/>
  <c r="AW172" i="3" s="1"/>
  <c r="AN171" i="3"/>
  <c r="AW171" i="3" s="1"/>
  <c r="AN170" i="3"/>
  <c r="AW170" i="3" s="1"/>
  <c r="AN169" i="3"/>
  <c r="AW169" i="3" s="1"/>
  <c r="AN168" i="3"/>
  <c r="AW168" i="3" s="1"/>
  <c r="AN167" i="3"/>
  <c r="AW167" i="3" s="1"/>
  <c r="AN166" i="3"/>
  <c r="AW166" i="3" s="1"/>
  <c r="AN165" i="3"/>
  <c r="AW165" i="3" s="1"/>
  <c r="AN164" i="3"/>
  <c r="AW164" i="3" s="1"/>
  <c r="AN163" i="3"/>
  <c r="AW163" i="3" s="1"/>
  <c r="AN162" i="3"/>
  <c r="AW162" i="3" s="1"/>
  <c r="AN161" i="3"/>
  <c r="AW161" i="3" s="1"/>
  <c r="AN160" i="3"/>
  <c r="AW160" i="3" s="1"/>
  <c r="AN159" i="3"/>
  <c r="AW159" i="3" s="1"/>
  <c r="AN158" i="3"/>
  <c r="AW158" i="3" s="1"/>
  <c r="AN157" i="3"/>
  <c r="AW157" i="3" s="1"/>
  <c r="AN156" i="3"/>
  <c r="AW156" i="3" s="1"/>
  <c r="AN155" i="3"/>
  <c r="AW155" i="3" s="1"/>
  <c r="AN154" i="3"/>
  <c r="AW154" i="3" s="1"/>
  <c r="AN153" i="3"/>
  <c r="AW153" i="3" s="1"/>
  <c r="AN152" i="3"/>
  <c r="AW152" i="3" s="1"/>
  <c r="AN151" i="3"/>
  <c r="AW151" i="3" s="1"/>
  <c r="AN150" i="3"/>
  <c r="AW150" i="3" s="1"/>
  <c r="AN149" i="3"/>
  <c r="AW149" i="3" s="1"/>
  <c r="AN148" i="3"/>
  <c r="AW148" i="3" s="1"/>
  <c r="AN147" i="3"/>
  <c r="AW147" i="3" s="1"/>
  <c r="AN146" i="3"/>
  <c r="AW146" i="3" s="1"/>
  <c r="AN145" i="3"/>
  <c r="AW145" i="3" s="1"/>
  <c r="AN144" i="3"/>
  <c r="AW144" i="3" s="1"/>
  <c r="AN143" i="3"/>
  <c r="AW143" i="3" s="1"/>
  <c r="AN142" i="3"/>
  <c r="AW142" i="3" s="1"/>
  <c r="AN141" i="3"/>
  <c r="AW141" i="3" s="1"/>
  <c r="AN140" i="3"/>
  <c r="AW140" i="3" s="1"/>
  <c r="AN139" i="3"/>
  <c r="AW139" i="3" s="1"/>
  <c r="AN138" i="3"/>
  <c r="AW138" i="3" s="1"/>
  <c r="AN137" i="3"/>
  <c r="AW137" i="3" s="1"/>
  <c r="AN136" i="3"/>
  <c r="AW136" i="3" s="1"/>
  <c r="AN135" i="3"/>
  <c r="AW135" i="3" s="1"/>
  <c r="AN134" i="3"/>
  <c r="AW134" i="3" s="1"/>
  <c r="AN133" i="3"/>
  <c r="AW133" i="3" s="1"/>
  <c r="Q28" i="3" l="1"/>
  <c r="Q29" i="3"/>
  <c r="Q30" i="3"/>
  <c r="Q31" i="3"/>
  <c r="Q32" i="3"/>
  <c r="Q33" i="3"/>
  <c r="Q34" i="3"/>
  <c r="Q35" i="3"/>
  <c r="Q36" i="3"/>
  <c r="Q37" i="3"/>
  <c r="Q38" i="3"/>
  <c r="Q39" i="3"/>
  <c r="Q40" i="3"/>
  <c r="Q41" i="3"/>
  <c r="Q42" i="3"/>
  <c r="Q43" i="3"/>
  <c r="Q44" i="3"/>
  <c r="Q45" i="3"/>
  <c r="Q46" i="3"/>
  <c r="Q47" i="3"/>
  <c r="Q48" i="3"/>
  <c r="Q49" i="3"/>
  <c r="Q50" i="3"/>
  <c r="Q51" i="3"/>
  <c r="Q52" i="3"/>
  <c r="Q53" i="3"/>
  <c r="Q54" i="3"/>
  <c r="Q55" i="3"/>
  <c r="Q56" i="3"/>
  <c r="Q57" i="3"/>
  <c r="Q58" i="3"/>
  <c r="Q59" i="3"/>
  <c r="Q60" i="3"/>
  <c r="Q61" i="3"/>
  <c r="Q62" i="3"/>
  <c r="Q63" i="3"/>
  <c r="Q64" i="3"/>
  <c r="Q65" i="3"/>
  <c r="Q66" i="3"/>
  <c r="Q67" i="3"/>
  <c r="Q68" i="3"/>
  <c r="Q69" i="3"/>
  <c r="Q70" i="3"/>
  <c r="Q71" i="3"/>
  <c r="Q72" i="3"/>
  <c r="Q73" i="3"/>
  <c r="Q27" i="3"/>
  <c r="P27" i="3"/>
  <c r="AB27" i="3" s="1"/>
  <c r="R27" i="3"/>
  <c r="S27" i="3"/>
  <c r="T27" i="3"/>
  <c r="U27" i="3"/>
  <c r="V27" i="3"/>
  <c r="W27" i="3"/>
  <c r="P28" i="3"/>
  <c r="R28" i="3"/>
  <c r="S28" i="3"/>
  <c r="T28" i="3"/>
  <c r="U28" i="3"/>
  <c r="V28" i="3"/>
  <c r="W28" i="3"/>
  <c r="P29" i="3"/>
  <c r="R29" i="3"/>
  <c r="S29" i="3"/>
  <c r="T29" i="3"/>
  <c r="U29" i="3"/>
  <c r="V29" i="3"/>
  <c r="W29" i="3"/>
  <c r="P30" i="3"/>
  <c r="R30" i="3"/>
  <c r="S30" i="3"/>
  <c r="T30" i="3"/>
  <c r="U30" i="3"/>
  <c r="V30" i="3"/>
  <c r="W30" i="3"/>
  <c r="P31" i="3"/>
  <c r="R31" i="3"/>
  <c r="S31" i="3"/>
  <c r="T31" i="3"/>
  <c r="U31" i="3"/>
  <c r="V31" i="3"/>
  <c r="W31" i="3"/>
  <c r="P32" i="3"/>
  <c r="R32" i="3"/>
  <c r="S32" i="3"/>
  <c r="T32" i="3"/>
  <c r="U32" i="3"/>
  <c r="V32" i="3"/>
  <c r="W32" i="3"/>
  <c r="P33" i="3"/>
  <c r="R33" i="3"/>
  <c r="S33" i="3"/>
  <c r="T33" i="3"/>
  <c r="U33" i="3"/>
  <c r="V33" i="3"/>
  <c r="W33" i="3"/>
  <c r="P34" i="3"/>
  <c r="R34" i="3"/>
  <c r="S34" i="3"/>
  <c r="T34" i="3"/>
  <c r="U34" i="3"/>
  <c r="V34" i="3"/>
  <c r="W34" i="3"/>
  <c r="P35" i="3"/>
  <c r="R35" i="3"/>
  <c r="S35" i="3"/>
  <c r="T35" i="3"/>
  <c r="U35" i="3"/>
  <c r="V35" i="3"/>
  <c r="W35" i="3"/>
  <c r="P36" i="3"/>
  <c r="R36" i="3"/>
  <c r="S36" i="3"/>
  <c r="T36" i="3"/>
  <c r="U36" i="3"/>
  <c r="V36" i="3"/>
  <c r="W36" i="3"/>
  <c r="P37" i="3"/>
  <c r="R37" i="3"/>
  <c r="S37" i="3"/>
  <c r="T37" i="3"/>
  <c r="U37" i="3"/>
  <c r="V37" i="3"/>
  <c r="W37" i="3"/>
  <c r="P38" i="3"/>
  <c r="R38" i="3"/>
  <c r="S38" i="3"/>
  <c r="T38" i="3"/>
  <c r="U38" i="3"/>
  <c r="V38" i="3"/>
  <c r="W38" i="3"/>
  <c r="P39" i="3"/>
  <c r="R39" i="3"/>
  <c r="S39" i="3"/>
  <c r="T39" i="3"/>
  <c r="U39" i="3"/>
  <c r="V39" i="3"/>
  <c r="W39" i="3"/>
  <c r="P40" i="3"/>
  <c r="R40" i="3"/>
  <c r="S40" i="3"/>
  <c r="T40" i="3"/>
  <c r="U40" i="3"/>
  <c r="V40" i="3"/>
  <c r="W40" i="3"/>
  <c r="P41" i="3"/>
  <c r="R41" i="3"/>
  <c r="S41" i="3"/>
  <c r="T41" i="3"/>
  <c r="U41" i="3"/>
  <c r="V41" i="3"/>
  <c r="W41" i="3"/>
  <c r="P42" i="3"/>
  <c r="R42" i="3"/>
  <c r="S42" i="3"/>
  <c r="T42" i="3"/>
  <c r="U42" i="3"/>
  <c r="V42" i="3"/>
  <c r="W42" i="3"/>
  <c r="P43" i="3"/>
  <c r="R43" i="3"/>
  <c r="S43" i="3"/>
  <c r="T43" i="3"/>
  <c r="U43" i="3"/>
  <c r="V43" i="3"/>
  <c r="W43" i="3"/>
  <c r="P44" i="3"/>
  <c r="R44" i="3"/>
  <c r="S44" i="3"/>
  <c r="T44" i="3"/>
  <c r="U44" i="3"/>
  <c r="V44" i="3"/>
  <c r="W44" i="3"/>
  <c r="P45" i="3"/>
  <c r="R45" i="3"/>
  <c r="S45" i="3"/>
  <c r="T45" i="3"/>
  <c r="U45" i="3"/>
  <c r="V45" i="3"/>
  <c r="W45" i="3"/>
  <c r="P46" i="3"/>
  <c r="R46" i="3"/>
  <c r="S46" i="3"/>
  <c r="T46" i="3"/>
  <c r="U46" i="3"/>
  <c r="V46" i="3"/>
  <c r="W46" i="3"/>
  <c r="P47" i="3"/>
  <c r="R47" i="3"/>
  <c r="S47" i="3"/>
  <c r="T47" i="3"/>
  <c r="U47" i="3"/>
  <c r="V47" i="3"/>
  <c r="W47" i="3"/>
  <c r="P48" i="3"/>
  <c r="R48" i="3"/>
  <c r="S48" i="3"/>
  <c r="T48" i="3"/>
  <c r="U48" i="3"/>
  <c r="V48" i="3"/>
  <c r="W48" i="3"/>
  <c r="P49" i="3"/>
  <c r="R49" i="3"/>
  <c r="S49" i="3"/>
  <c r="T49" i="3"/>
  <c r="U49" i="3"/>
  <c r="V49" i="3"/>
  <c r="W49" i="3"/>
  <c r="P50" i="3"/>
  <c r="R50" i="3"/>
  <c r="S50" i="3"/>
  <c r="T50" i="3"/>
  <c r="U50" i="3"/>
  <c r="V50" i="3"/>
  <c r="W50" i="3"/>
  <c r="P51" i="3"/>
  <c r="R51" i="3"/>
  <c r="S51" i="3"/>
  <c r="T51" i="3"/>
  <c r="U51" i="3"/>
  <c r="V51" i="3"/>
  <c r="W51" i="3"/>
  <c r="P52" i="3"/>
  <c r="R52" i="3"/>
  <c r="S52" i="3"/>
  <c r="T52" i="3"/>
  <c r="U52" i="3"/>
  <c r="V52" i="3"/>
  <c r="W52" i="3"/>
  <c r="P53" i="3"/>
  <c r="R53" i="3"/>
  <c r="S53" i="3"/>
  <c r="T53" i="3"/>
  <c r="U53" i="3"/>
  <c r="V53" i="3"/>
  <c r="W53" i="3"/>
  <c r="P54" i="3"/>
  <c r="R54" i="3"/>
  <c r="S54" i="3"/>
  <c r="T54" i="3"/>
  <c r="U54" i="3"/>
  <c r="V54" i="3"/>
  <c r="W54" i="3"/>
  <c r="P55" i="3"/>
  <c r="R55" i="3"/>
  <c r="S55" i="3"/>
  <c r="T55" i="3"/>
  <c r="U55" i="3"/>
  <c r="V55" i="3"/>
  <c r="W55" i="3"/>
  <c r="P56" i="3"/>
  <c r="R56" i="3"/>
  <c r="S56" i="3"/>
  <c r="T56" i="3"/>
  <c r="U56" i="3"/>
  <c r="V56" i="3"/>
  <c r="W56" i="3"/>
  <c r="P57" i="3"/>
  <c r="R57" i="3"/>
  <c r="S57" i="3"/>
  <c r="T57" i="3"/>
  <c r="U57" i="3"/>
  <c r="V57" i="3"/>
  <c r="W57" i="3"/>
  <c r="P58" i="3"/>
  <c r="R58" i="3"/>
  <c r="S58" i="3"/>
  <c r="T58" i="3"/>
  <c r="U58" i="3"/>
  <c r="V58" i="3"/>
  <c r="W58" i="3"/>
  <c r="P59" i="3"/>
  <c r="R59" i="3"/>
  <c r="S59" i="3"/>
  <c r="T59" i="3"/>
  <c r="U59" i="3"/>
  <c r="V59" i="3"/>
  <c r="W59" i="3"/>
  <c r="P60" i="3"/>
  <c r="R60" i="3"/>
  <c r="S60" i="3"/>
  <c r="T60" i="3"/>
  <c r="U60" i="3"/>
  <c r="V60" i="3"/>
  <c r="W60" i="3"/>
  <c r="P61" i="3"/>
  <c r="R61" i="3"/>
  <c r="S61" i="3"/>
  <c r="T61" i="3"/>
  <c r="U61" i="3"/>
  <c r="V61" i="3"/>
  <c r="W61" i="3"/>
  <c r="P62" i="3"/>
  <c r="R62" i="3"/>
  <c r="S62" i="3"/>
  <c r="T62" i="3"/>
  <c r="U62" i="3"/>
  <c r="V62" i="3"/>
  <c r="W62" i="3"/>
  <c r="P63" i="3"/>
  <c r="R63" i="3"/>
  <c r="S63" i="3"/>
  <c r="T63" i="3"/>
  <c r="U63" i="3"/>
  <c r="V63" i="3"/>
  <c r="W63" i="3"/>
  <c r="P64" i="3"/>
  <c r="R64" i="3"/>
  <c r="S64" i="3"/>
  <c r="T64" i="3"/>
  <c r="U64" i="3"/>
  <c r="V64" i="3"/>
  <c r="W64" i="3"/>
  <c r="P65" i="3"/>
  <c r="R65" i="3"/>
  <c r="S65" i="3"/>
  <c r="T65" i="3"/>
  <c r="U65" i="3"/>
  <c r="V65" i="3"/>
  <c r="W65" i="3"/>
  <c r="P66" i="3"/>
  <c r="R66" i="3"/>
  <c r="S66" i="3"/>
  <c r="T66" i="3"/>
  <c r="U66" i="3"/>
  <c r="V66" i="3"/>
  <c r="W66" i="3"/>
  <c r="P67" i="3"/>
  <c r="R67" i="3"/>
  <c r="S67" i="3"/>
  <c r="T67" i="3"/>
  <c r="U67" i="3"/>
  <c r="V67" i="3"/>
  <c r="W67" i="3"/>
  <c r="P68" i="3"/>
  <c r="R68" i="3"/>
  <c r="S68" i="3"/>
  <c r="T68" i="3"/>
  <c r="U68" i="3"/>
  <c r="V68" i="3"/>
  <c r="W68" i="3"/>
  <c r="P69" i="3"/>
  <c r="R69" i="3"/>
  <c r="S69" i="3"/>
  <c r="T69" i="3"/>
  <c r="U69" i="3"/>
  <c r="V69" i="3"/>
  <c r="W69" i="3"/>
  <c r="P70" i="3"/>
  <c r="AB70" i="3" s="1"/>
  <c r="R70" i="3"/>
  <c r="S70" i="3"/>
  <c r="T70" i="3"/>
  <c r="U70" i="3"/>
  <c r="V70" i="3"/>
  <c r="W70" i="3"/>
  <c r="P71" i="3"/>
  <c r="R71" i="3"/>
  <c r="S71" i="3"/>
  <c r="T71" i="3"/>
  <c r="U71" i="3"/>
  <c r="V71" i="3"/>
  <c r="W71" i="3"/>
  <c r="P72" i="3"/>
  <c r="R72" i="3"/>
  <c r="S72" i="3"/>
  <c r="T72" i="3"/>
  <c r="U72" i="3"/>
  <c r="V72" i="3"/>
  <c r="W72" i="3"/>
  <c r="P73" i="3"/>
  <c r="R73" i="3"/>
  <c r="S73" i="3"/>
  <c r="T73" i="3"/>
  <c r="U73" i="3"/>
  <c r="V73" i="3"/>
  <c r="W73" i="3"/>
  <c r="O28" i="3"/>
  <c r="O29" i="3"/>
  <c r="AA29" i="3" s="1"/>
  <c r="O30" i="3"/>
  <c r="O31" i="3"/>
  <c r="O32" i="3"/>
  <c r="AA32" i="3" s="1"/>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27" i="3"/>
  <c r="J79" i="3" l="1"/>
  <c r="I82" i="3"/>
  <c r="J116" i="3"/>
  <c r="J110" i="3"/>
  <c r="J108" i="3"/>
  <c r="J104" i="3"/>
  <c r="AE73" i="3"/>
  <c r="AQ73" i="3" s="1"/>
  <c r="AB73" i="3"/>
  <c r="AN73" i="3" s="1"/>
  <c r="AD72" i="3"/>
  <c r="AP72" i="3" s="1"/>
  <c r="AE71" i="3"/>
  <c r="AQ71" i="3" s="1"/>
  <c r="AB71" i="3"/>
  <c r="AN71" i="3" s="1"/>
  <c r="AD70" i="3"/>
  <c r="AP70" i="3" s="1"/>
  <c r="AE69" i="3"/>
  <c r="AQ69" i="3" s="1"/>
  <c r="AB69" i="3"/>
  <c r="AN69" i="3" s="1"/>
  <c r="AD68" i="3"/>
  <c r="AP68" i="3" s="1"/>
  <c r="AE67" i="3"/>
  <c r="AQ67" i="3" s="1"/>
  <c r="AB67" i="3"/>
  <c r="AN67" i="3" s="1"/>
  <c r="AD66" i="3"/>
  <c r="AP66" i="3" s="1"/>
  <c r="AE65" i="3"/>
  <c r="AQ65" i="3" s="1"/>
  <c r="AB65" i="3"/>
  <c r="AN65" i="3" s="1"/>
  <c r="AD64" i="3"/>
  <c r="AP64" i="3" s="1"/>
  <c r="AE63" i="3"/>
  <c r="AQ63" i="3" s="1"/>
  <c r="AB63" i="3"/>
  <c r="AN63" i="3" s="1"/>
  <c r="AD62" i="3"/>
  <c r="AP62" i="3" s="1"/>
  <c r="AE61" i="3"/>
  <c r="AQ61" i="3" s="1"/>
  <c r="AB61" i="3"/>
  <c r="AN61" i="3" s="1"/>
  <c r="AD60" i="3"/>
  <c r="AP60" i="3" s="1"/>
  <c r="AE59" i="3"/>
  <c r="AQ59" i="3" s="1"/>
  <c r="AB59" i="3"/>
  <c r="AN59" i="3" s="1"/>
  <c r="AD58" i="3"/>
  <c r="AP58" i="3" s="1"/>
  <c r="AE57" i="3"/>
  <c r="AQ57" i="3" s="1"/>
  <c r="AB57" i="3"/>
  <c r="AN57" i="3" s="1"/>
  <c r="AD56" i="3"/>
  <c r="AP56" i="3" s="1"/>
  <c r="AE55" i="3"/>
  <c r="AQ55" i="3" s="1"/>
  <c r="AB55" i="3"/>
  <c r="AN55" i="3" s="1"/>
  <c r="AD54" i="3"/>
  <c r="AP54" i="3" s="1"/>
  <c r="AE53" i="3"/>
  <c r="AQ53" i="3" s="1"/>
  <c r="AB53" i="3"/>
  <c r="AN53" i="3" s="1"/>
  <c r="AD52" i="3"/>
  <c r="AP52" i="3" s="1"/>
  <c r="AE51" i="3"/>
  <c r="AQ51" i="3" s="1"/>
  <c r="AB51" i="3"/>
  <c r="AN51" i="3" s="1"/>
  <c r="AD50" i="3"/>
  <c r="AP50" i="3" s="1"/>
  <c r="AE49" i="3"/>
  <c r="AQ49" i="3" s="1"/>
  <c r="AB49" i="3"/>
  <c r="AN49" i="3" s="1"/>
  <c r="AD48" i="3"/>
  <c r="AP48" i="3" s="1"/>
  <c r="AE47" i="3"/>
  <c r="AQ47" i="3" s="1"/>
  <c r="AB47" i="3"/>
  <c r="AN47" i="3" s="1"/>
  <c r="AD46" i="3"/>
  <c r="AP46" i="3" s="1"/>
  <c r="AE45" i="3"/>
  <c r="AQ45" i="3" s="1"/>
  <c r="AB45" i="3"/>
  <c r="AN45" i="3" s="1"/>
  <c r="AD44" i="3"/>
  <c r="AP44" i="3" s="1"/>
  <c r="AE43" i="3"/>
  <c r="AQ43" i="3" s="1"/>
  <c r="AB43" i="3"/>
  <c r="AN43" i="3" s="1"/>
  <c r="AD42" i="3"/>
  <c r="AP42" i="3" s="1"/>
  <c r="AE41" i="3"/>
  <c r="AQ41" i="3" s="1"/>
  <c r="AB41" i="3"/>
  <c r="AN41" i="3" s="1"/>
  <c r="AD40" i="3"/>
  <c r="AP40" i="3" s="1"/>
  <c r="AE39" i="3"/>
  <c r="AQ39" i="3" s="1"/>
  <c r="AB39" i="3"/>
  <c r="AN39" i="3" s="1"/>
  <c r="AD38" i="3"/>
  <c r="AP38" i="3" s="1"/>
  <c r="AE37" i="3"/>
  <c r="AQ37" i="3" s="1"/>
  <c r="AB37" i="3"/>
  <c r="AN37" i="3" s="1"/>
  <c r="AD36" i="3"/>
  <c r="AP36" i="3" s="1"/>
  <c r="AE35" i="3"/>
  <c r="AQ35" i="3" s="1"/>
  <c r="AB35" i="3"/>
  <c r="AN35" i="3" s="1"/>
  <c r="AD34" i="3"/>
  <c r="AP34" i="3" s="1"/>
  <c r="AE33" i="3"/>
  <c r="AQ33" i="3" s="1"/>
  <c r="AB33" i="3"/>
  <c r="AN33" i="3" s="1"/>
  <c r="AD32" i="3"/>
  <c r="AP32" i="3" s="1"/>
  <c r="AE31" i="3"/>
  <c r="AQ31" i="3" s="1"/>
  <c r="AB31" i="3"/>
  <c r="AN31" i="3" s="1"/>
  <c r="AD30" i="3"/>
  <c r="AP30" i="3" s="1"/>
  <c r="AE29" i="3"/>
  <c r="AQ29" i="3" s="1"/>
  <c r="AB29" i="3"/>
  <c r="AN29" i="3" s="1"/>
  <c r="AD28" i="3"/>
  <c r="AP28" i="3" s="1"/>
  <c r="AE27" i="3"/>
  <c r="AQ27" i="3" s="1"/>
  <c r="AN27" i="3"/>
  <c r="AC73" i="3"/>
  <c r="AO73" i="3" s="1"/>
  <c r="AC71" i="3"/>
  <c r="AO71" i="3" s="1"/>
  <c r="AC69" i="3"/>
  <c r="AO69" i="3" s="1"/>
  <c r="AC65" i="3"/>
  <c r="AO65" i="3" s="1"/>
  <c r="AC63" i="3"/>
  <c r="AO63" i="3" s="1"/>
  <c r="AC61" i="3"/>
  <c r="AO61" i="3" s="1"/>
  <c r="AC57" i="3"/>
  <c r="AO57" i="3" s="1"/>
  <c r="AC55" i="3"/>
  <c r="AO55" i="3" s="1"/>
  <c r="AC53" i="3"/>
  <c r="AO53" i="3" s="1"/>
  <c r="AC51" i="3"/>
  <c r="AO51" i="3" s="1"/>
  <c r="AC49" i="3"/>
  <c r="AO49" i="3" s="1"/>
  <c r="AC47" i="3"/>
  <c r="AO47" i="3" s="1"/>
  <c r="AC45" i="3"/>
  <c r="AO45" i="3" s="1"/>
  <c r="AC41" i="3"/>
  <c r="AO41" i="3" s="1"/>
  <c r="AC39" i="3"/>
  <c r="AO39" i="3" s="1"/>
  <c r="AC37" i="3"/>
  <c r="AO37" i="3" s="1"/>
  <c r="AC33" i="3"/>
  <c r="AO33" i="3" s="1"/>
  <c r="AC31" i="3"/>
  <c r="AO31" i="3" s="1"/>
  <c r="AC29" i="3"/>
  <c r="AO29" i="3" s="1"/>
  <c r="J119" i="3"/>
  <c r="J115" i="3"/>
  <c r="J85" i="3"/>
  <c r="AD73" i="3"/>
  <c r="AP73" i="3" s="1"/>
  <c r="AE72" i="3"/>
  <c r="AQ72" i="3" s="1"/>
  <c r="AB72" i="3"/>
  <c r="AN72" i="3" s="1"/>
  <c r="AD71" i="3"/>
  <c r="AP71" i="3" s="1"/>
  <c r="AN70" i="3"/>
  <c r="AD69" i="3"/>
  <c r="AP69" i="3" s="1"/>
  <c r="AE68" i="3"/>
  <c r="AQ68" i="3" s="1"/>
  <c r="AD67" i="3"/>
  <c r="AP67" i="3" s="1"/>
  <c r="AE66" i="3"/>
  <c r="AQ66" i="3" s="1"/>
  <c r="AB66" i="3"/>
  <c r="AN66" i="3" s="1"/>
  <c r="AD65" i="3"/>
  <c r="AP65" i="3" s="1"/>
  <c r="AE64" i="3"/>
  <c r="AQ64" i="3" s="1"/>
  <c r="AB64" i="3"/>
  <c r="AN64" i="3" s="1"/>
  <c r="AD63" i="3"/>
  <c r="AP63" i="3" s="1"/>
  <c r="AE62" i="3"/>
  <c r="AQ62" i="3" s="1"/>
  <c r="AD61" i="3"/>
  <c r="AP61" i="3" s="1"/>
  <c r="AE60" i="3"/>
  <c r="AQ60" i="3" s="1"/>
  <c r="AB60" i="3"/>
  <c r="AN60" i="3" s="1"/>
  <c r="AD59" i="3"/>
  <c r="AP59" i="3" s="1"/>
  <c r="AE58" i="3"/>
  <c r="AQ58" i="3" s="1"/>
  <c r="AB58" i="3"/>
  <c r="AN58" i="3" s="1"/>
  <c r="AD57" i="3"/>
  <c r="AP57" i="3" s="1"/>
  <c r="AE56" i="3"/>
  <c r="AQ56" i="3" s="1"/>
  <c r="AB56" i="3"/>
  <c r="AN56" i="3" s="1"/>
  <c r="AD55" i="3"/>
  <c r="AP55" i="3" s="1"/>
  <c r="AE54" i="3"/>
  <c r="AQ54" i="3" s="1"/>
  <c r="AB54" i="3"/>
  <c r="AN54" i="3" s="1"/>
  <c r="AD53" i="3"/>
  <c r="AP53" i="3" s="1"/>
  <c r="AE52" i="3"/>
  <c r="AQ52" i="3" s="1"/>
  <c r="AB52" i="3"/>
  <c r="AN52" i="3" s="1"/>
  <c r="AD51" i="3"/>
  <c r="AP51" i="3" s="1"/>
  <c r="AE50" i="3"/>
  <c r="AQ50" i="3" s="1"/>
  <c r="AB50" i="3"/>
  <c r="AN50" i="3" s="1"/>
  <c r="AD49" i="3"/>
  <c r="AP49" i="3" s="1"/>
  <c r="AE48" i="3"/>
  <c r="AQ48" i="3" s="1"/>
  <c r="AB48" i="3"/>
  <c r="AN48" i="3" s="1"/>
  <c r="AD47" i="3"/>
  <c r="AP47" i="3" s="1"/>
  <c r="AE46" i="3"/>
  <c r="AQ46" i="3" s="1"/>
  <c r="AB46" i="3"/>
  <c r="AN46" i="3" s="1"/>
  <c r="AD45" i="3"/>
  <c r="AP45" i="3" s="1"/>
  <c r="AE44" i="3"/>
  <c r="AQ44" i="3" s="1"/>
  <c r="AB44" i="3"/>
  <c r="AN44" i="3" s="1"/>
  <c r="AD43" i="3"/>
  <c r="AP43" i="3" s="1"/>
  <c r="AE42" i="3"/>
  <c r="AQ42" i="3" s="1"/>
  <c r="AB42" i="3"/>
  <c r="AN42" i="3" s="1"/>
  <c r="AD41" i="3"/>
  <c r="AP41" i="3" s="1"/>
  <c r="AE40" i="3"/>
  <c r="AQ40" i="3" s="1"/>
  <c r="AB40" i="3"/>
  <c r="AN40" i="3" s="1"/>
  <c r="AD39" i="3"/>
  <c r="AP39" i="3" s="1"/>
  <c r="AE38" i="3"/>
  <c r="AQ38" i="3" s="1"/>
  <c r="AB38" i="3"/>
  <c r="AN38" i="3" s="1"/>
  <c r="AE36" i="3"/>
  <c r="AQ36" i="3" s="1"/>
  <c r="AD35" i="3"/>
  <c r="AP35" i="3" s="1"/>
  <c r="AE34" i="3"/>
  <c r="AQ34" i="3" s="1"/>
  <c r="AB34" i="3"/>
  <c r="AN34" i="3" s="1"/>
  <c r="AD33" i="3"/>
  <c r="AP33" i="3" s="1"/>
  <c r="AE32" i="3"/>
  <c r="AQ32" i="3" s="1"/>
  <c r="AB32" i="3"/>
  <c r="AN32" i="3" s="1"/>
  <c r="AD31" i="3"/>
  <c r="AP31" i="3" s="1"/>
  <c r="AB30" i="3"/>
  <c r="AN30" i="3" s="1"/>
  <c r="AD29" i="3"/>
  <c r="AP29" i="3" s="1"/>
  <c r="AE28" i="3"/>
  <c r="AQ28" i="3" s="1"/>
  <c r="AD27" i="3"/>
  <c r="AP27" i="3" s="1"/>
  <c r="AC27" i="3"/>
  <c r="AO27" i="3" s="1"/>
  <c r="AC72" i="3"/>
  <c r="AO72" i="3" s="1"/>
  <c r="AC70" i="3"/>
  <c r="AO70" i="3" s="1"/>
  <c r="AC68" i="3"/>
  <c r="AO68" i="3" s="1"/>
  <c r="AC66" i="3"/>
  <c r="AO66" i="3" s="1"/>
  <c r="AC64" i="3"/>
  <c r="AO64" i="3" s="1"/>
  <c r="AC62" i="3"/>
  <c r="AO62" i="3" s="1"/>
  <c r="AC60" i="3"/>
  <c r="AO60" i="3" s="1"/>
  <c r="AC58" i="3"/>
  <c r="AO58" i="3" s="1"/>
  <c r="AC56" i="3"/>
  <c r="AO56" i="3" s="1"/>
  <c r="AC54" i="3"/>
  <c r="AO54" i="3" s="1"/>
  <c r="AC52" i="3"/>
  <c r="AO52" i="3" s="1"/>
  <c r="AC50" i="3"/>
  <c r="AO50" i="3" s="1"/>
  <c r="AC48" i="3"/>
  <c r="AO48" i="3" s="1"/>
  <c r="AC46" i="3"/>
  <c r="AO46" i="3" s="1"/>
  <c r="AC44" i="3"/>
  <c r="AO44" i="3" s="1"/>
  <c r="AC42" i="3"/>
  <c r="AO42" i="3" s="1"/>
  <c r="AC40" i="3"/>
  <c r="AO40" i="3" s="1"/>
  <c r="AC38" i="3"/>
  <c r="AO38" i="3" s="1"/>
  <c r="AC36" i="3"/>
  <c r="AO36" i="3" s="1"/>
  <c r="AC34" i="3"/>
  <c r="AO34" i="3" s="1"/>
  <c r="AC32" i="3"/>
  <c r="AO32" i="3" s="1"/>
  <c r="AC30" i="3"/>
  <c r="AO30" i="3" s="1"/>
  <c r="J78" i="3"/>
  <c r="I120" i="3"/>
  <c r="AA72" i="3"/>
  <c r="AM72" i="3" s="1"/>
  <c r="J123" i="3"/>
  <c r="AA70" i="3"/>
  <c r="AM70" i="3" s="1"/>
  <c r="J121" i="3"/>
  <c r="AA66" i="3"/>
  <c r="AM66" i="3" s="1"/>
  <c r="J117" i="3"/>
  <c r="AA62" i="3"/>
  <c r="AM62" i="3" s="1"/>
  <c r="J113" i="3"/>
  <c r="AA60" i="3"/>
  <c r="AM60" i="3" s="1"/>
  <c r="J111" i="3"/>
  <c r="AA58" i="3"/>
  <c r="AM58" i="3" s="1"/>
  <c r="J109" i="3"/>
  <c r="AA56" i="3"/>
  <c r="AM56" i="3" s="1"/>
  <c r="J107" i="3"/>
  <c r="AA54" i="3"/>
  <c r="AM54" i="3" s="1"/>
  <c r="J105" i="3"/>
  <c r="AA52" i="3"/>
  <c r="AM52" i="3" s="1"/>
  <c r="J103" i="3"/>
  <c r="AA50" i="3"/>
  <c r="AM50" i="3" s="1"/>
  <c r="J101" i="3"/>
  <c r="AA48" i="3"/>
  <c r="AM48" i="3" s="1"/>
  <c r="J99" i="3"/>
  <c r="AA46" i="3"/>
  <c r="AM46" i="3" s="1"/>
  <c r="J97" i="3"/>
  <c r="AA44" i="3"/>
  <c r="AM44" i="3" s="1"/>
  <c r="J95" i="3"/>
  <c r="AA42" i="3"/>
  <c r="AM42" i="3" s="1"/>
  <c r="J93" i="3"/>
  <c r="AA40" i="3"/>
  <c r="AM40" i="3" s="1"/>
  <c r="J91" i="3"/>
  <c r="AA38" i="3"/>
  <c r="AM38" i="3" s="1"/>
  <c r="J89" i="3"/>
  <c r="AA36" i="3"/>
  <c r="AM36" i="3" s="1"/>
  <c r="J87" i="3"/>
  <c r="AM32" i="3"/>
  <c r="J83" i="3"/>
  <c r="AA30" i="3"/>
  <c r="AM30" i="3" s="1"/>
  <c r="J81" i="3"/>
  <c r="AA28" i="3"/>
  <c r="AM28" i="3" s="1"/>
  <c r="AA73" i="3"/>
  <c r="AM73" i="3" s="1"/>
  <c r="J124" i="3"/>
  <c r="AA71" i="3"/>
  <c r="AM71" i="3" s="1"/>
  <c r="J122" i="3"/>
  <c r="AA69" i="3"/>
  <c r="AM69" i="3" s="1"/>
  <c r="J120" i="3"/>
  <c r="AA67" i="3"/>
  <c r="AM67" i="3" s="1"/>
  <c r="J118" i="3"/>
  <c r="AA63" i="3"/>
  <c r="AM63" i="3" s="1"/>
  <c r="J114" i="3"/>
  <c r="AA61" i="3"/>
  <c r="AM61" i="3" s="1"/>
  <c r="J112" i="3"/>
  <c r="AA55" i="3"/>
  <c r="AM55" i="3" s="1"/>
  <c r="J106" i="3"/>
  <c r="AA51" i="3"/>
  <c r="AM51" i="3" s="1"/>
  <c r="J102" i="3"/>
  <c r="AA49" i="3"/>
  <c r="AM49" i="3" s="1"/>
  <c r="J100" i="3"/>
  <c r="AA47" i="3"/>
  <c r="AM47" i="3" s="1"/>
  <c r="J98" i="3"/>
  <c r="AA45" i="3"/>
  <c r="AM45" i="3" s="1"/>
  <c r="J96" i="3"/>
  <c r="AA43" i="3"/>
  <c r="AM43" i="3" s="1"/>
  <c r="J94" i="3"/>
  <c r="AA41" i="3"/>
  <c r="AM41" i="3" s="1"/>
  <c r="J92" i="3"/>
  <c r="AA39" i="3"/>
  <c r="AM39" i="3" s="1"/>
  <c r="J90" i="3"/>
  <c r="AA37" i="3"/>
  <c r="AM37" i="3" s="1"/>
  <c r="J88" i="3"/>
  <c r="AA35" i="3"/>
  <c r="AM35" i="3" s="1"/>
  <c r="J86" i="3"/>
  <c r="AA33" i="3"/>
  <c r="AM33" i="3" s="1"/>
  <c r="J84" i="3"/>
  <c r="AA31" i="3"/>
  <c r="AM31" i="3" s="1"/>
  <c r="J82" i="3"/>
  <c r="AM29" i="3"/>
  <c r="J80" i="3"/>
  <c r="I124" i="3"/>
  <c r="I122" i="3"/>
  <c r="I118" i="3"/>
  <c r="I116" i="3"/>
  <c r="I114" i="3"/>
  <c r="I112" i="3"/>
  <c r="I110" i="3"/>
  <c r="I108" i="3"/>
  <c r="I106" i="3"/>
  <c r="I104" i="3"/>
  <c r="I102" i="3"/>
  <c r="I100" i="3"/>
  <c r="I98" i="3"/>
  <c r="I96" i="3"/>
  <c r="I94" i="3"/>
  <c r="I92" i="3"/>
  <c r="I90" i="3"/>
  <c r="I88" i="3"/>
  <c r="I86" i="3"/>
  <c r="I84" i="3"/>
  <c r="I80" i="3"/>
  <c r="I78" i="3"/>
  <c r="I123" i="3"/>
  <c r="I121" i="3"/>
  <c r="I119" i="3"/>
  <c r="I117" i="3"/>
  <c r="I115" i="3"/>
  <c r="I113" i="3"/>
  <c r="I111" i="3"/>
  <c r="I109" i="3"/>
  <c r="I107" i="3"/>
  <c r="I105" i="3"/>
  <c r="I103" i="3"/>
  <c r="I101" i="3"/>
  <c r="I99" i="3"/>
  <c r="I97" i="3"/>
  <c r="I95" i="3"/>
  <c r="I93" i="3"/>
  <c r="I91" i="3"/>
  <c r="I89" i="3"/>
  <c r="I87" i="3"/>
  <c r="I85" i="3"/>
  <c r="I83" i="3"/>
  <c r="I81" i="3"/>
  <c r="I79" i="3"/>
  <c r="N64" i="3"/>
  <c r="AC28" i="3"/>
  <c r="AO28" i="3" s="1"/>
  <c r="N71" i="3"/>
  <c r="N63" i="3"/>
  <c r="N73" i="3"/>
  <c r="N65" i="3"/>
  <c r="AA65" i="3"/>
  <c r="AM65" i="3" s="1"/>
  <c r="N66" i="3"/>
  <c r="N58" i="3"/>
  <c r="N50" i="3"/>
  <c r="AA27" i="3"/>
  <c r="AM27" i="3" s="1"/>
  <c r="AE70" i="3"/>
  <c r="AQ70" i="3" s="1"/>
  <c r="N28" i="3"/>
  <c r="AB28" i="3"/>
  <c r="AN28" i="3" s="1"/>
  <c r="AC59" i="3"/>
  <c r="AO59" i="3" s="1"/>
  <c r="N69" i="3"/>
  <c r="N61" i="3"/>
  <c r="N53" i="3"/>
  <c r="N42" i="3"/>
  <c r="AB68" i="3"/>
  <c r="AN68" i="3" s="1"/>
  <c r="AD37" i="3"/>
  <c r="AP37" i="3" s="1"/>
  <c r="AE30" i="3"/>
  <c r="AQ30" i="3" s="1"/>
  <c r="AC67" i="3"/>
  <c r="AO67" i="3" s="1"/>
  <c r="AC43" i="3"/>
  <c r="AO43" i="3" s="1"/>
  <c r="N68" i="3"/>
  <c r="AA34" i="3"/>
  <c r="AM34" i="3" s="1"/>
  <c r="N34" i="3"/>
  <c r="AB36" i="3"/>
  <c r="AN36" i="3" s="1"/>
  <c r="N36" i="3"/>
  <c r="AC35" i="3"/>
  <c r="AO35" i="3" s="1"/>
  <c r="N35" i="3"/>
  <c r="N27" i="3"/>
  <c r="Z27" i="3" s="1"/>
  <c r="E133" i="3" s="1"/>
  <c r="N29" i="3"/>
  <c r="N67" i="3"/>
  <c r="N59" i="3"/>
  <c r="N55" i="3"/>
  <c r="N47" i="3"/>
  <c r="N39" i="3"/>
  <c r="AB62" i="3"/>
  <c r="AN62" i="3" s="1"/>
  <c r="N49" i="3"/>
  <c r="N72" i="3"/>
  <c r="N48" i="3"/>
  <c r="N33" i="3"/>
  <c r="N70" i="3"/>
  <c r="N62" i="3"/>
  <c r="N54" i="3"/>
  <c r="N46" i="3"/>
  <c r="N38" i="3"/>
  <c r="AA68" i="3"/>
  <c r="AM68" i="3" s="1"/>
  <c r="AA64" i="3"/>
  <c r="AM64" i="3" s="1"/>
  <c r="AA53" i="3"/>
  <c r="AM53" i="3" s="1"/>
  <c r="N32" i="3"/>
  <c r="N45" i="3"/>
  <c r="N37" i="3"/>
  <c r="AA59" i="3"/>
  <c r="AM59" i="3" s="1"/>
  <c r="N41" i="3"/>
  <c r="N56" i="3"/>
  <c r="N31" i="3"/>
  <c r="N60" i="3"/>
  <c r="N52" i="3"/>
  <c r="N44" i="3"/>
  <c r="N57" i="3"/>
  <c r="N40" i="3"/>
  <c r="AA57" i="3"/>
  <c r="AM57" i="3" s="1"/>
  <c r="N30" i="3"/>
  <c r="N51" i="3"/>
  <c r="N43" i="3"/>
  <c r="AL27" i="3" l="1"/>
  <c r="O79" i="3"/>
  <c r="O84" i="3"/>
  <c r="P84" i="3" s="1"/>
  <c r="O88" i="3"/>
  <c r="O92" i="3"/>
  <c r="O96" i="3"/>
  <c r="O100" i="3"/>
  <c r="P100" i="3" s="1"/>
  <c r="O108" i="3"/>
  <c r="O112" i="3"/>
  <c r="O116" i="3"/>
  <c r="O122" i="3"/>
  <c r="O83" i="3"/>
  <c r="O87" i="3"/>
  <c r="O91" i="3"/>
  <c r="O95" i="3"/>
  <c r="O99" i="3"/>
  <c r="O103" i="3"/>
  <c r="O107" i="3"/>
  <c r="O111" i="3"/>
  <c r="O119" i="3"/>
  <c r="O123" i="3"/>
  <c r="O110" i="3"/>
  <c r="AZ27" i="3"/>
  <c r="AZ30" i="3"/>
  <c r="O85" i="3"/>
  <c r="AZ28" i="3"/>
  <c r="AZ59" i="3"/>
  <c r="AZ53" i="3"/>
  <c r="AZ68" i="3"/>
  <c r="AZ65" i="3"/>
  <c r="AZ29" i="3"/>
  <c r="AZ31" i="3"/>
  <c r="AZ33" i="3"/>
  <c r="AZ35" i="3"/>
  <c r="AZ39" i="3"/>
  <c r="AZ41" i="3"/>
  <c r="AZ43" i="3"/>
  <c r="AZ45" i="3"/>
  <c r="AZ47" i="3"/>
  <c r="AZ49" i="3"/>
  <c r="AZ51" i="3"/>
  <c r="AZ55" i="3"/>
  <c r="AZ61" i="3"/>
  <c r="AZ63" i="3"/>
  <c r="AZ69" i="3"/>
  <c r="AZ71" i="3"/>
  <c r="AZ73" i="3"/>
  <c r="AZ32" i="3"/>
  <c r="AZ36" i="3"/>
  <c r="AZ38" i="3"/>
  <c r="AZ40" i="3"/>
  <c r="AZ42" i="3"/>
  <c r="AZ44" i="3"/>
  <c r="AZ46" i="3"/>
  <c r="AZ48" i="3"/>
  <c r="AZ50" i="3"/>
  <c r="AZ52" i="3"/>
  <c r="AZ54" i="3"/>
  <c r="AZ56" i="3"/>
  <c r="AZ58" i="3"/>
  <c r="AZ60" i="3"/>
  <c r="AZ66" i="3"/>
  <c r="AZ70" i="3"/>
  <c r="AZ72" i="3"/>
  <c r="AZ37" i="3"/>
  <c r="AZ67" i="3"/>
  <c r="AZ62" i="3"/>
  <c r="AZ57" i="3"/>
  <c r="AZ64" i="3"/>
  <c r="AZ34" i="3"/>
  <c r="O115" i="3"/>
  <c r="O104" i="3"/>
  <c r="O80" i="3"/>
  <c r="O81" i="3"/>
  <c r="O89" i="3"/>
  <c r="O93" i="3"/>
  <c r="O97" i="3"/>
  <c r="O101" i="3"/>
  <c r="O105" i="3"/>
  <c r="O109" i="3"/>
  <c r="O113" i="3"/>
  <c r="O117" i="3"/>
  <c r="O121" i="3"/>
  <c r="O82" i="3"/>
  <c r="O86" i="3"/>
  <c r="O90" i="3"/>
  <c r="O94" i="3"/>
  <c r="P94" i="3" s="1"/>
  <c r="O98" i="3"/>
  <c r="O102" i="3"/>
  <c r="O106" i="3"/>
  <c r="O114" i="3"/>
  <c r="O118" i="3"/>
  <c r="O124" i="3"/>
  <c r="M79" i="3"/>
  <c r="O78" i="3"/>
  <c r="O120" i="3"/>
  <c r="P92" i="3"/>
  <c r="P111" i="3"/>
  <c r="AX27" i="3" l="1"/>
  <c r="P120" i="3"/>
  <c r="P118" i="3"/>
  <c r="P106" i="3"/>
  <c r="P98" i="3"/>
  <c r="P90" i="3"/>
  <c r="P82" i="3"/>
  <c r="P117" i="3"/>
  <c r="P109" i="3"/>
  <c r="P101" i="3"/>
  <c r="P93" i="3"/>
  <c r="P81" i="3"/>
  <c r="P104" i="3"/>
  <c r="P110" i="3"/>
  <c r="P107" i="3"/>
  <c r="P99" i="3"/>
  <c r="P91" i="3"/>
  <c r="P83" i="3"/>
  <c r="P108" i="3"/>
  <c r="P96" i="3"/>
  <c r="P88" i="3"/>
  <c r="P79" i="3"/>
  <c r="P78" i="3"/>
  <c r="P124" i="3"/>
  <c r="P114" i="3"/>
  <c r="P86" i="3"/>
  <c r="P121" i="3"/>
  <c r="P113" i="3"/>
  <c r="P105" i="3"/>
  <c r="P97" i="3"/>
  <c r="P89" i="3"/>
  <c r="P80" i="3"/>
  <c r="P115" i="3"/>
  <c r="P103" i="3"/>
  <c r="P95" i="3"/>
  <c r="P87" i="3"/>
  <c r="P122" i="3"/>
  <c r="P112" i="3"/>
  <c r="P85" i="3"/>
  <c r="P102" i="3"/>
  <c r="P123" i="3"/>
  <c r="P119" i="3"/>
  <c r="P116" i="3"/>
  <c r="O16" i="23" l="1"/>
  <c r="O16" i="22"/>
  <c r="P183" i="38"/>
  <c r="O183" i="38"/>
  <c r="N183" i="38"/>
  <c r="P182" i="38"/>
  <c r="O182" i="38"/>
  <c r="N182" i="38"/>
  <c r="P181" i="38"/>
  <c r="O181" i="38"/>
  <c r="N181" i="38"/>
  <c r="P180" i="38"/>
  <c r="O180" i="38"/>
  <c r="N180" i="38"/>
  <c r="Q180" i="38" s="1"/>
  <c r="R180" i="38" s="1"/>
  <c r="P179" i="38"/>
  <c r="O179" i="38"/>
  <c r="N179" i="38"/>
  <c r="P178" i="38"/>
  <c r="O178" i="38"/>
  <c r="N178" i="38"/>
  <c r="P177" i="38"/>
  <c r="O177" i="38"/>
  <c r="N177" i="38"/>
  <c r="P176" i="38"/>
  <c r="O176" i="38"/>
  <c r="N176" i="38"/>
  <c r="P175" i="38"/>
  <c r="O175" i="38"/>
  <c r="N175" i="38"/>
  <c r="P174" i="38"/>
  <c r="O174" i="38"/>
  <c r="N174" i="38"/>
  <c r="P173" i="38"/>
  <c r="O173" i="38"/>
  <c r="N173" i="38"/>
  <c r="P172" i="38"/>
  <c r="O172" i="38"/>
  <c r="N172" i="38"/>
  <c r="Q172" i="38" s="1"/>
  <c r="R172" i="38" s="1"/>
  <c r="P171" i="38"/>
  <c r="O171" i="38"/>
  <c r="N171" i="38"/>
  <c r="P170" i="38"/>
  <c r="O170" i="38"/>
  <c r="N170" i="38"/>
  <c r="P169" i="38"/>
  <c r="O169" i="38"/>
  <c r="N169" i="38"/>
  <c r="P168" i="38"/>
  <c r="O168" i="38"/>
  <c r="N168" i="38"/>
  <c r="P167" i="38"/>
  <c r="O167" i="38"/>
  <c r="N167" i="38"/>
  <c r="P166" i="38"/>
  <c r="O166" i="38"/>
  <c r="N166" i="38"/>
  <c r="P165" i="38"/>
  <c r="O165" i="38"/>
  <c r="N165" i="38"/>
  <c r="P164" i="38"/>
  <c r="O164" i="38"/>
  <c r="N164" i="38"/>
  <c r="Q164" i="38" s="1"/>
  <c r="R164" i="38" s="1"/>
  <c r="P163" i="38"/>
  <c r="O163" i="38"/>
  <c r="N163" i="38"/>
  <c r="P162" i="38"/>
  <c r="O162" i="38"/>
  <c r="N162" i="38"/>
  <c r="P161" i="38"/>
  <c r="O161" i="38"/>
  <c r="N161" i="38"/>
  <c r="P160" i="38"/>
  <c r="O160" i="38"/>
  <c r="N160" i="38"/>
  <c r="P159" i="38"/>
  <c r="O159" i="38"/>
  <c r="N159" i="38"/>
  <c r="P158" i="38"/>
  <c r="O158" i="38"/>
  <c r="N158" i="38"/>
  <c r="P157" i="38"/>
  <c r="O157" i="38"/>
  <c r="N157" i="38"/>
  <c r="P156" i="38"/>
  <c r="O156" i="38"/>
  <c r="N156" i="38"/>
  <c r="P155" i="38"/>
  <c r="O155" i="38"/>
  <c r="N155" i="38"/>
  <c r="P154" i="38"/>
  <c r="O154" i="38"/>
  <c r="N154" i="38"/>
  <c r="P153" i="38"/>
  <c r="O153" i="38"/>
  <c r="N153" i="38"/>
  <c r="P152" i="38"/>
  <c r="O152" i="38"/>
  <c r="N152" i="38"/>
  <c r="P151" i="38"/>
  <c r="O151" i="38"/>
  <c r="N151" i="38"/>
  <c r="P150" i="38"/>
  <c r="O150" i="38"/>
  <c r="N150" i="38"/>
  <c r="P149" i="38"/>
  <c r="O149" i="38"/>
  <c r="N149" i="38"/>
  <c r="P148" i="38"/>
  <c r="O148" i="38"/>
  <c r="N148" i="38"/>
  <c r="Q148" i="38" s="1"/>
  <c r="R148" i="38" s="1"/>
  <c r="P147" i="38"/>
  <c r="O147" i="38"/>
  <c r="N147" i="38"/>
  <c r="P146" i="38"/>
  <c r="O146" i="38"/>
  <c r="N146" i="38"/>
  <c r="P145" i="38"/>
  <c r="O145" i="38"/>
  <c r="N145" i="38"/>
  <c r="P144" i="38"/>
  <c r="O144" i="38"/>
  <c r="N144" i="38"/>
  <c r="P143" i="38"/>
  <c r="O143" i="38"/>
  <c r="N143" i="38"/>
  <c r="P142" i="38"/>
  <c r="O142" i="38"/>
  <c r="N142" i="38"/>
  <c r="P141" i="38"/>
  <c r="O141" i="38"/>
  <c r="N141" i="38"/>
  <c r="P140" i="38"/>
  <c r="O140" i="38"/>
  <c r="N140" i="38"/>
  <c r="Q140" i="38" s="1"/>
  <c r="R140" i="38" s="1"/>
  <c r="P139" i="38"/>
  <c r="O139" i="38"/>
  <c r="N139" i="38"/>
  <c r="P138" i="38"/>
  <c r="O138" i="38"/>
  <c r="N138" i="38"/>
  <c r="P137" i="38"/>
  <c r="O137" i="38"/>
  <c r="N137" i="38"/>
  <c r="R136" i="38"/>
  <c r="Q136" i="38"/>
  <c r="P136" i="38"/>
  <c r="N136" i="38"/>
  <c r="K131" i="38"/>
  <c r="J131" i="38"/>
  <c r="I131" i="38"/>
  <c r="H131" i="38"/>
  <c r="O131" i="38" s="1"/>
  <c r="G131" i="38"/>
  <c r="F131" i="38"/>
  <c r="E131" i="38"/>
  <c r="D131" i="38"/>
  <c r="C131" i="38"/>
  <c r="K130" i="38"/>
  <c r="J130" i="38"/>
  <c r="I130" i="38"/>
  <c r="H130" i="38"/>
  <c r="O130" i="38" s="1"/>
  <c r="G130" i="38"/>
  <c r="F130" i="38"/>
  <c r="E130" i="38"/>
  <c r="D130" i="38"/>
  <c r="C130" i="38"/>
  <c r="K129" i="38"/>
  <c r="J129" i="38"/>
  <c r="I129" i="38"/>
  <c r="H129" i="38"/>
  <c r="G129" i="38"/>
  <c r="F129" i="38"/>
  <c r="E129" i="38"/>
  <c r="D129" i="38"/>
  <c r="C129" i="38"/>
  <c r="K128" i="38"/>
  <c r="J128" i="38"/>
  <c r="I128" i="38"/>
  <c r="H128" i="38"/>
  <c r="G128" i="38"/>
  <c r="F128" i="38"/>
  <c r="E128" i="38"/>
  <c r="D128" i="38"/>
  <c r="C128" i="38"/>
  <c r="K127" i="38"/>
  <c r="J127" i="38"/>
  <c r="I127" i="38"/>
  <c r="H127" i="38"/>
  <c r="O127" i="38" s="1"/>
  <c r="G127" i="38"/>
  <c r="F127" i="38"/>
  <c r="E127" i="38"/>
  <c r="D127" i="38"/>
  <c r="C127" i="38"/>
  <c r="K126" i="38"/>
  <c r="J126" i="38"/>
  <c r="I126" i="38"/>
  <c r="H126" i="38"/>
  <c r="G126" i="38"/>
  <c r="F126" i="38"/>
  <c r="E126" i="38"/>
  <c r="D126" i="38"/>
  <c r="C126" i="38"/>
  <c r="K125" i="38"/>
  <c r="J125" i="38"/>
  <c r="I125" i="38"/>
  <c r="H125" i="38"/>
  <c r="O125" i="38" s="1"/>
  <c r="G125" i="38"/>
  <c r="F125" i="38"/>
  <c r="E125" i="38"/>
  <c r="D125" i="38"/>
  <c r="C125" i="38"/>
  <c r="K124" i="38"/>
  <c r="J124" i="38"/>
  <c r="I124" i="38"/>
  <c r="H124" i="38"/>
  <c r="O124" i="38" s="1"/>
  <c r="G124" i="38"/>
  <c r="F124" i="38"/>
  <c r="E124" i="38"/>
  <c r="D124" i="38"/>
  <c r="C124" i="38"/>
  <c r="K123" i="38"/>
  <c r="J123" i="38"/>
  <c r="I123" i="38"/>
  <c r="H123" i="38"/>
  <c r="O123" i="38" s="1"/>
  <c r="G123" i="38"/>
  <c r="F123" i="38"/>
  <c r="E123" i="38"/>
  <c r="D123" i="38"/>
  <c r="C123" i="38"/>
  <c r="K122" i="38"/>
  <c r="J122" i="38"/>
  <c r="I122" i="38"/>
  <c r="H122" i="38"/>
  <c r="O122" i="38" s="1"/>
  <c r="V122" i="38" s="1"/>
  <c r="G122" i="38"/>
  <c r="F122" i="38"/>
  <c r="E122" i="38"/>
  <c r="D122" i="38"/>
  <c r="C122" i="38"/>
  <c r="K121" i="38"/>
  <c r="J121" i="38"/>
  <c r="I121" i="38"/>
  <c r="H121" i="38"/>
  <c r="G121" i="38"/>
  <c r="F121" i="38"/>
  <c r="E121" i="38"/>
  <c r="D121" i="38"/>
  <c r="C121" i="38"/>
  <c r="K120" i="38"/>
  <c r="J120" i="38"/>
  <c r="I120" i="38"/>
  <c r="H120" i="38"/>
  <c r="G120" i="38"/>
  <c r="F120" i="38"/>
  <c r="E120" i="38"/>
  <c r="D120" i="38"/>
  <c r="C120" i="38"/>
  <c r="K119" i="38"/>
  <c r="J119" i="38"/>
  <c r="I119" i="38"/>
  <c r="H119" i="38"/>
  <c r="O119" i="38" s="1"/>
  <c r="V119" i="38" s="1"/>
  <c r="G119" i="38"/>
  <c r="F119" i="38"/>
  <c r="E119" i="38"/>
  <c r="D119" i="38"/>
  <c r="C119" i="38"/>
  <c r="K118" i="38"/>
  <c r="J118" i="38"/>
  <c r="I118" i="38"/>
  <c r="H118" i="38"/>
  <c r="O118" i="38" s="1"/>
  <c r="G118" i="38"/>
  <c r="F118" i="38"/>
  <c r="E118" i="38"/>
  <c r="D118" i="38"/>
  <c r="C118" i="38"/>
  <c r="K117" i="38"/>
  <c r="J117" i="38"/>
  <c r="I117" i="38"/>
  <c r="H117" i="38"/>
  <c r="O117" i="38" s="1"/>
  <c r="V117" i="38" s="1"/>
  <c r="G117" i="38"/>
  <c r="F117" i="38"/>
  <c r="E117" i="38"/>
  <c r="D117" i="38"/>
  <c r="C117" i="38"/>
  <c r="K116" i="38"/>
  <c r="J116" i="38"/>
  <c r="I116" i="38"/>
  <c r="H116" i="38"/>
  <c r="G116" i="38"/>
  <c r="F116" i="38"/>
  <c r="E116" i="38"/>
  <c r="D116" i="38"/>
  <c r="C116" i="38"/>
  <c r="K115" i="38"/>
  <c r="J115" i="38"/>
  <c r="I115" i="38"/>
  <c r="H115" i="38"/>
  <c r="O115" i="38" s="1"/>
  <c r="G115" i="38"/>
  <c r="F115" i="38"/>
  <c r="E115" i="38"/>
  <c r="D115" i="38"/>
  <c r="C115" i="38"/>
  <c r="K114" i="38"/>
  <c r="J114" i="38"/>
  <c r="I114" i="38"/>
  <c r="H114" i="38"/>
  <c r="O114" i="38" s="1"/>
  <c r="G114" i="38"/>
  <c r="F114" i="38"/>
  <c r="E114" i="38"/>
  <c r="D114" i="38"/>
  <c r="P114" i="38" s="1"/>
  <c r="W114" i="38" s="1"/>
  <c r="C114" i="38"/>
  <c r="K113" i="38"/>
  <c r="J113" i="38"/>
  <c r="I113" i="38"/>
  <c r="H113" i="38"/>
  <c r="G113" i="38"/>
  <c r="F113" i="38"/>
  <c r="E113" i="38"/>
  <c r="D113" i="38"/>
  <c r="C113" i="38"/>
  <c r="K112" i="38"/>
  <c r="J112" i="38"/>
  <c r="I112" i="38"/>
  <c r="H112" i="38"/>
  <c r="O112" i="38" s="1"/>
  <c r="V112" i="38" s="1"/>
  <c r="G112" i="38"/>
  <c r="F112" i="38"/>
  <c r="E112" i="38"/>
  <c r="D112" i="38"/>
  <c r="C112" i="38"/>
  <c r="K111" i="38"/>
  <c r="J111" i="38"/>
  <c r="I111" i="38"/>
  <c r="H111" i="38"/>
  <c r="G111" i="38"/>
  <c r="F111" i="38"/>
  <c r="E111" i="38"/>
  <c r="D111" i="38"/>
  <c r="C111" i="38"/>
  <c r="K110" i="38"/>
  <c r="J110" i="38"/>
  <c r="I110" i="38"/>
  <c r="H110" i="38"/>
  <c r="G110" i="38"/>
  <c r="F110" i="38"/>
  <c r="E110" i="38"/>
  <c r="D110" i="38"/>
  <c r="C110" i="38"/>
  <c r="K109" i="38"/>
  <c r="J109" i="38"/>
  <c r="I109" i="38"/>
  <c r="H109" i="38"/>
  <c r="O109" i="38" s="1"/>
  <c r="G109" i="38"/>
  <c r="F109" i="38"/>
  <c r="E109" i="38"/>
  <c r="D109" i="38"/>
  <c r="C109" i="38"/>
  <c r="K108" i="38"/>
  <c r="J108" i="38"/>
  <c r="I108" i="38"/>
  <c r="H108" i="38"/>
  <c r="O108" i="38" s="1"/>
  <c r="G108" i="38"/>
  <c r="F108" i="38"/>
  <c r="N108" i="38" s="1"/>
  <c r="E108" i="38"/>
  <c r="D108" i="38"/>
  <c r="C108" i="38"/>
  <c r="K107" i="38"/>
  <c r="J107" i="38"/>
  <c r="I107" i="38"/>
  <c r="H107" i="38"/>
  <c r="O107" i="38" s="1"/>
  <c r="G107" i="38"/>
  <c r="F107" i="38"/>
  <c r="E107" i="38"/>
  <c r="D107" i="38"/>
  <c r="C107" i="38"/>
  <c r="K106" i="38"/>
  <c r="J106" i="38"/>
  <c r="I106" i="38"/>
  <c r="H106" i="38"/>
  <c r="O106" i="38" s="1"/>
  <c r="G106" i="38"/>
  <c r="F106" i="38"/>
  <c r="E106" i="38"/>
  <c r="D106" i="38"/>
  <c r="C106" i="38"/>
  <c r="K105" i="38"/>
  <c r="J105" i="38"/>
  <c r="I105" i="38"/>
  <c r="H105" i="38"/>
  <c r="G105" i="38"/>
  <c r="F105" i="38"/>
  <c r="E105" i="38"/>
  <c r="D105" i="38"/>
  <c r="C105" i="38"/>
  <c r="K104" i="38"/>
  <c r="J104" i="38"/>
  <c r="I104" i="38"/>
  <c r="H104" i="38"/>
  <c r="G104" i="38"/>
  <c r="F104" i="38"/>
  <c r="E104" i="38"/>
  <c r="D104" i="38"/>
  <c r="C104" i="38"/>
  <c r="K103" i="38"/>
  <c r="J103" i="38"/>
  <c r="I103" i="38"/>
  <c r="H103" i="38"/>
  <c r="O103" i="38" s="1"/>
  <c r="G103" i="38"/>
  <c r="F103" i="38"/>
  <c r="E103" i="38"/>
  <c r="D103" i="38"/>
  <c r="C103" i="38"/>
  <c r="K102" i="38"/>
  <c r="J102" i="38"/>
  <c r="I102" i="38"/>
  <c r="H102" i="38"/>
  <c r="G102" i="38"/>
  <c r="F102" i="38"/>
  <c r="E102" i="38"/>
  <c r="D102" i="38"/>
  <c r="C102" i="38"/>
  <c r="K101" i="38"/>
  <c r="J101" i="38"/>
  <c r="I101" i="38"/>
  <c r="H101" i="38"/>
  <c r="O101" i="38" s="1"/>
  <c r="G101" i="38"/>
  <c r="F101" i="38"/>
  <c r="E101" i="38"/>
  <c r="N101" i="38" s="1"/>
  <c r="D101" i="38"/>
  <c r="C101" i="38"/>
  <c r="K100" i="38"/>
  <c r="J100" i="38"/>
  <c r="I100" i="38"/>
  <c r="H100" i="38"/>
  <c r="G100" i="38"/>
  <c r="F100" i="38"/>
  <c r="E100" i="38"/>
  <c r="D100" i="38"/>
  <c r="C100" i="38"/>
  <c r="K99" i="38"/>
  <c r="J99" i="38"/>
  <c r="I99" i="38"/>
  <c r="H99" i="38"/>
  <c r="G99" i="38"/>
  <c r="F99" i="38"/>
  <c r="E99" i="38"/>
  <c r="D99" i="38"/>
  <c r="C99" i="38"/>
  <c r="K98" i="38"/>
  <c r="J98" i="38"/>
  <c r="I98" i="38"/>
  <c r="H98" i="38"/>
  <c r="O98" i="38" s="1"/>
  <c r="V98" i="38" s="1"/>
  <c r="G98" i="38"/>
  <c r="F98" i="38"/>
  <c r="E98" i="38"/>
  <c r="D98" i="38"/>
  <c r="C98" i="38"/>
  <c r="K97" i="38"/>
  <c r="J97" i="38"/>
  <c r="I97" i="38"/>
  <c r="H97" i="38"/>
  <c r="G97" i="38"/>
  <c r="F97" i="38"/>
  <c r="E97" i="38"/>
  <c r="D97" i="38"/>
  <c r="C97" i="38"/>
  <c r="K96" i="38"/>
  <c r="J96" i="38"/>
  <c r="I96" i="38"/>
  <c r="H96" i="38"/>
  <c r="O96" i="38" s="1"/>
  <c r="G96" i="38"/>
  <c r="F96" i="38"/>
  <c r="E96" i="38"/>
  <c r="D96" i="38"/>
  <c r="C96" i="38"/>
  <c r="K95" i="38"/>
  <c r="J95" i="38"/>
  <c r="I95" i="38"/>
  <c r="H95" i="38"/>
  <c r="O95" i="38" s="1"/>
  <c r="G95" i="38"/>
  <c r="F95" i="38"/>
  <c r="E95" i="38"/>
  <c r="D95" i="38"/>
  <c r="C95" i="38"/>
  <c r="K94" i="38"/>
  <c r="J94" i="38"/>
  <c r="I94" i="38"/>
  <c r="H94" i="38"/>
  <c r="O94" i="38" s="1"/>
  <c r="V94" i="38" s="1"/>
  <c r="G94" i="38"/>
  <c r="F94" i="38"/>
  <c r="E94" i="38"/>
  <c r="D94" i="38"/>
  <c r="C94" i="38"/>
  <c r="K93" i="38"/>
  <c r="J93" i="38"/>
  <c r="I93" i="38"/>
  <c r="H93" i="38"/>
  <c r="O93" i="38" s="1"/>
  <c r="G93" i="38"/>
  <c r="F93" i="38"/>
  <c r="E93" i="38"/>
  <c r="D93" i="38"/>
  <c r="C93" i="38"/>
  <c r="K92" i="38"/>
  <c r="J92" i="38"/>
  <c r="I92" i="38"/>
  <c r="H92" i="38"/>
  <c r="G92" i="38"/>
  <c r="F92" i="38"/>
  <c r="E92" i="38"/>
  <c r="D92" i="38"/>
  <c r="C92" i="38"/>
  <c r="K91" i="38"/>
  <c r="J91" i="38"/>
  <c r="I91" i="38"/>
  <c r="H91" i="38"/>
  <c r="O91" i="38" s="1"/>
  <c r="G91" i="38"/>
  <c r="F91" i="38"/>
  <c r="E91" i="38"/>
  <c r="D91" i="38"/>
  <c r="C91" i="38"/>
  <c r="K90" i="38"/>
  <c r="J90" i="38"/>
  <c r="I90" i="38"/>
  <c r="H90" i="38"/>
  <c r="O90" i="38" s="1"/>
  <c r="V90" i="38" s="1"/>
  <c r="G90" i="38"/>
  <c r="F90" i="38"/>
  <c r="E90" i="38"/>
  <c r="D90" i="38"/>
  <c r="P90" i="38" s="1"/>
  <c r="W90" i="38" s="1"/>
  <c r="C90" i="38"/>
  <c r="K89" i="38"/>
  <c r="J89" i="38"/>
  <c r="I89" i="38"/>
  <c r="H89" i="38"/>
  <c r="G89" i="38"/>
  <c r="F89" i="38"/>
  <c r="E89" i="38"/>
  <c r="D89" i="38"/>
  <c r="C89" i="38"/>
  <c r="K88" i="38"/>
  <c r="J88" i="38"/>
  <c r="I88" i="38"/>
  <c r="H88" i="38"/>
  <c r="G88" i="38"/>
  <c r="F88" i="38"/>
  <c r="E88" i="38"/>
  <c r="D88" i="38"/>
  <c r="C88" i="38"/>
  <c r="K87" i="38"/>
  <c r="J87" i="38"/>
  <c r="I87" i="38"/>
  <c r="H87" i="38"/>
  <c r="O87" i="38" s="1"/>
  <c r="G87" i="38"/>
  <c r="F87" i="38"/>
  <c r="E87" i="38"/>
  <c r="D87" i="38"/>
  <c r="C87" i="38"/>
  <c r="K86" i="38"/>
  <c r="J86" i="38"/>
  <c r="I86" i="38"/>
  <c r="H86" i="38"/>
  <c r="O86" i="38" s="1"/>
  <c r="G86" i="38"/>
  <c r="F86" i="38"/>
  <c r="E86" i="38"/>
  <c r="D86" i="38"/>
  <c r="C86" i="38"/>
  <c r="K85" i="38"/>
  <c r="J85" i="38"/>
  <c r="I85" i="38"/>
  <c r="H85" i="38"/>
  <c r="G85" i="38"/>
  <c r="F85" i="38"/>
  <c r="E85" i="38"/>
  <c r="D85" i="38"/>
  <c r="C85" i="38"/>
  <c r="Y84" i="38"/>
  <c r="W84" i="38"/>
  <c r="U84" i="38"/>
  <c r="Y72" i="38"/>
  <c r="U72" i="38"/>
  <c r="T72" i="38"/>
  <c r="Y71" i="38"/>
  <c r="U71" i="38"/>
  <c r="T71" i="38"/>
  <c r="Y70" i="38"/>
  <c r="U70" i="38"/>
  <c r="T70" i="38"/>
  <c r="Y69" i="38"/>
  <c r="U69" i="38"/>
  <c r="T69" i="38"/>
  <c r="Y68" i="38"/>
  <c r="U68" i="38"/>
  <c r="T68" i="38"/>
  <c r="Y67" i="38"/>
  <c r="U67" i="38"/>
  <c r="T67" i="38"/>
  <c r="Y66" i="38"/>
  <c r="U66" i="38"/>
  <c r="T66" i="38"/>
  <c r="Y65" i="38"/>
  <c r="U65" i="38"/>
  <c r="T65" i="38"/>
  <c r="Y64" i="38"/>
  <c r="U64" i="38"/>
  <c r="T64" i="38"/>
  <c r="Y63" i="38"/>
  <c r="U63" i="38"/>
  <c r="T63" i="38"/>
  <c r="Y62" i="38"/>
  <c r="U62" i="38"/>
  <c r="Y61" i="38"/>
  <c r="U61" i="38"/>
  <c r="Y60" i="38"/>
  <c r="U60" i="38"/>
  <c r="Y59" i="38"/>
  <c r="U59" i="38"/>
  <c r="Y58" i="38"/>
  <c r="U58" i="38"/>
  <c r="Y57" i="38"/>
  <c r="U57" i="38"/>
  <c r="Y56" i="38"/>
  <c r="U56" i="38"/>
  <c r="Y55" i="38"/>
  <c r="U55" i="38"/>
  <c r="Y54" i="38"/>
  <c r="U54" i="38"/>
  <c r="Y53" i="38"/>
  <c r="U53" i="38"/>
  <c r="Y52" i="38"/>
  <c r="U52" i="38"/>
  <c r="Y51" i="38"/>
  <c r="U51" i="38"/>
  <c r="Y50" i="38"/>
  <c r="U50" i="38"/>
  <c r="Y49" i="38"/>
  <c r="U49" i="38"/>
  <c r="Y48" i="38"/>
  <c r="U48" i="38"/>
  <c r="Y47" i="38"/>
  <c r="U47" i="38"/>
  <c r="Y46" i="38"/>
  <c r="U46" i="38"/>
  <c r="Y45" i="38"/>
  <c r="U45" i="38"/>
  <c r="Y44" i="38"/>
  <c r="U44" i="38"/>
  <c r="Y43" i="38"/>
  <c r="U43" i="38"/>
  <c r="Y42" i="38"/>
  <c r="U42" i="38"/>
  <c r="Y41" i="38"/>
  <c r="U41" i="38"/>
  <c r="Y40" i="38"/>
  <c r="U40" i="38"/>
  <c r="Y39" i="38"/>
  <c r="U39" i="38"/>
  <c r="Y38" i="38"/>
  <c r="U38" i="38"/>
  <c r="Y37" i="38"/>
  <c r="U37" i="38"/>
  <c r="Y36" i="38"/>
  <c r="U36" i="38"/>
  <c r="Y35" i="38"/>
  <c r="U35" i="38"/>
  <c r="Y34" i="38"/>
  <c r="U34" i="38"/>
  <c r="Y33" i="38"/>
  <c r="U33" i="38"/>
  <c r="Y32" i="38"/>
  <c r="U32" i="38"/>
  <c r="Y31" i="38"/>
  <c r="U31" i="38"/>
  <c r="T31" i="38"/>
  <c r="Y30" i="38"/>
  <c r="U30" i="38"/>
  <c r="T30" i="38"/>
  <c r="Y29" i="38"/>
  <c r="U29" i="38"/>
  <c r="T29" i="38"/>
  <c r="Y28" i="38"/>
  <c r="U28" i="38"/>
  <c r="T28" i="38"/>
  <c r="Y27" i="38"/>
  <c r="U27" i="38"/>
  <c r="T27" i="38"/>
  <c r="Y26" i="38"/>
  <c r="U26" i="38"/>
  <c r="T26" i="38"/>
  <c r="U23" i="38"/>
  <c r="N5" i="38"/>
  <c r="N2" i="38"/>
  <c r="I2" i="38"/>
  <c r="A1" i="38"/>
  <c r="P128" i="38" l="1"/>
  <c r="W128" i="38" s="1"/>
  <c r="P93" i="38"/>
  <c r="W93" i="38" s="1"/>
  <c r="N106" i="38"/>
  <c r="U106" i="38" s="1"/>
  <c r="P122" i="38"/>
  <c r="W122" i="38" s="1"/>
  <c r="Q150" i="38"/>
  <c r="R150" i="38" s="1"/>
  <c r="Q156" i="38"/>
  <c r="R156" i="38" s="1"/>
  <c r="Q158" i="38"/>
  <c r="R158" i="38" s="1"/>
  <c r="Q174" i="38"/>
  <c r="R174" i="38" s="1"/>
  <c r="V87" i="38"/>
  <c r="P91" i="38"/>
  <c r="W91" i="38" s="1"/>
  <c r="V91" i="38"/>
  <c r="V93" i="38"/>
  <c r="V95" i="38"/>
  <c r="V101" i="38"/>
  <c r="V103" i="38"/>
  <c r="V107" i="38"/>
  <c r="V115" i="38"/>
  <c r="V123" i="38"/>
  <c r="V125" i="38"/>
  <c r="V127" i="38"/>
  <c r="P131" i="38"/>
  <c r="W131" i="38" s="1"/>
  <c r="V131" i="38"/>
  <c r="P86" i="38"/>
  <c r="N127" i="38"/>
  <c r="U127" i="38" s="1"/>
  <c r="N87" i="38"/>
  <c r="U87" i="38" s="1"/>
  <c r="N122" i="38"/>
  <c r="P123" i="38"/>
  <c r="W123" i="38" s="1"/>
  <c r="P118" i="38"/>
  <c r="W118" i="38" s="1"/>
  <c r="N124" i="38"/>
  <c r="U124" i="38" s="1"/>
  <c r="P126" i="38"/>
  <c r="W126" i="38" s="1"/>
  <c r="N90" i="38"/>
  <c r="Q90" i="38" s="1"/>
  <c r="R90" i="38" s="1"/>
  <c r="N119" i="38"/>
  <c r="U119" i="38" s="1"/>
  <c r="X119" i="38" s="1"/>
  <c r="Y119" i="38" s="1"/>
  <c r="P109" i="38"/>
  <c r="W109" i="38" s="1"/>
  <c r="N115" i="38"/>
  <c r="U115" i="38" s="1"/>
  <c r="P120" i="38"/>
  <c r="W120" i="38" s="1"/>
  <c r="P130" i="38"/>
  <c r="W130" i="38" s="1"/>
  <c r="AG85" i="38"/>
  <c r="N112" i="38"/>
  <c r="V118" i="38"/>
  <c r="Q137" i="38"/>
  <c r="R137" i="38" s="1"/>
  <c r="Q151" i="38"/>
  <c r="R151" i="38" s="1"/>
  <c r="Q159" i="38"/>
  <c r="R159" i="38" s="1"/>
  <c r="Q183" i="38"/>
  <c r="R183" i="38" s="1"/>
  <c r="N93" i="38"/>
  <c r="U93" i="38" s="1"/>
  <c r="N107" i="38"/>
  <c r="U107" i="38" s="1"/>
  <c r="P119" i="38"/>
  <c r="W119" i="38" s="1"/>
  <c r="P89" i="38"/>
  <c r="W89" i="38" s="1"/>
  <c r="P94" i="38"/>
  <c r="W94" i="38" s="1"/>
  <c r="P98" i="38"/>
  <c r="W98" i="38" s="1"/>
  <c r="P101" i="38"/>
  <c r="W101" i="38" s="1"/>
  <c r="P103" i="38"/>
  <c r="W103" i="38" s="1"/>
  <c r="P113" i="38"/>
  <c r="W113" i="38" s="1"/>
  <c r="N95" i="38"/>
  <c r="U95" i="38" s="1"/>
  <c r="P97" i="38"/>
  <c r="W97" i="38" s="1"/>
  <c r="P102" i="38"/>
  <c r="W102" i="38" s="1"/>
  <c r="P106" i="38"/>
  <c r="W106" i="38" s="1"/>
  <c r="P108" i="38"/>
  <c r="W108" i="38" s="1"/>
  <c r="P127" i="38"/>
  <c r="W127" i="38" s="1"/>
  <c r="Q161" i="38"/>
  <c r="R161" i="38" s="1"/>
  <c r="N86" i="38"/>
  <c r="Q86" i="38" s="1"/>
  <c r="N102" i="38"/>
  <c r="N125" i="38"/>
  <c r="U125" i="38" s="1"/>
  <c r="Q143" i="38"/>
  <c r="R143" i="38" s="1"/>
  <c r="Q167" i="38"/>
  <c r="P85" i="38"/>
  <c r="P87" i="38"/>
  <c r="W87" i="38" s="1"/>
  <c r="V96" i="38"/>
  <c r="N98" i="38"/>
  <c r="U98" i="38" s="1"/>
  <c r="P104" i="38"/>
  <c r="W104" i="38" s="1"/>
  <c r="P111" i="38"/>
  <c r="W111" i="38" s="1"/>
  <c r="V124" i="38"/>
  <c r="Q145" i="38"/>
  <c r="R145" i="38" s="1"/>
  <c r="Q169" i="38"/>
  <c r="R169" i="38" s="1"/>
  <c r="V109" i="38"/>
  <c r="P110" i="38"/>
  <c r="W110" i="38" s="1"/>
  <c r="R167" i="38"/>
  <c r="Q175" i="38"/>
  <c r="R175" i="38" s="1"/>
  <c r="P96" i="38"/>
  <c r="W96" i="38" s="1"/>
  <c r="P100" i="38"/>
  <c r="W100" i="38" s="1"/>
  <c r="O102" i="38"/>
  <c r="V102" i="38" s="1"/>
  <c r="P105" i="38"/>
  <c r="W105" i="38" s="1"/>
  <c r="N109" i="38"/>
  <c r="N117" i="38"/>
  <c r="P124" i="38"/>
  <c r="W124" i="38" s="1"/>
  <c r="N130" i="38"/>
  <c r="U130" i="38" s="1"/>
  <c r="Q153" i="38"/>
  <c r="R153" i="38" s="1"/>
  <c r="V106" i="38"/>
  <c r="Q177" i="38"/>
  <c r="R177" i="38" s="1"/>
  <c r="V130" i="38"/>
  <c r="P117" i="38"/>
  <c r="W117" i="38" s="1"/>
  <c r="O88" i="38"/>
  <c r="V88" i="38" s="1"/>
  <c r="N88" i="38"/>
  <c r="Q154" i="38"/>
  <c r="R154" i="38" s="1"/>
  <c r="U90" i="38"/>
  <c r="U101" i="38"/>
  <c r="P115" i="38"/>
  <c r="W115" i="38" s="1"/>
  <c r="O85" i="38"/>
  <c r="V85" i="38" s="1"/>
  <c r="X85" i="38" s="1"/>
  <c r="N85" i="38"/>
  <c r="O105" i="38"/>
  <c r="V105" i="38" s="1"/>
  <c r="N105" i="38"/>
  <c r="O99" i="38"/>
  <c r="V99" i="38" s="1"/>
  <c r="N99" i="38"/>
  <c r="O100" i="38"/>
  <c r="V100" i="38" s="1"/>
  <c r="N100" i="38"/>
  <c r="P112" i="38"/>
  <c r="W112" i="38" s="1"/>
  <c r="Q146" i="38"/>
  <c r="R146" i="38" s="1"/>
  <c r="Q170" i="38"/>
  <c r="R170" i="38" s="1"/>
  <c r="P107" i="38"/>
  <c r="W107" i="38" s="1"/>
  <c r="O97" i="38"/>
  <c r="V97" i="38" s="1"/>
  <c r="N97" i="38"/>
  <c r="Q144" i="38"/>
  <c r="R144" i="38" s="1"/>
  <c r="Q168" i="38"/>
  <c r="R168" i="38" s="1"/>
  <c r="O104" i="38"/>
  <c r="V104" i="38" s="1"/>
  <c r="N104" i="38"/>
  <c r="O111" i="38"/>
  <c r="V111" i="38" s="1"/>
  <c r="N111" i="38"/>
  <c r="O126" i="38"/>
  <c r="V126" i="38" s="1"/>
  <c r="N126" i="38"/>
  <c r="Q182" i="38"/>
  <c r="R182" i="38" s="1"/>
  <c r="Q142" i="38"/>
  <c r="R142" i="38" s="1"/>
  <c r="Q152" i="38"/>
  <c r="R152" i="38" s="1"/>
  <c r="Q178" i="38"/>
  <c r="R178" i="38" s="1"/>
  <c r="O92" i="38"/>
  <c r="V92" i="38" s="1"/>
  <c r="N92" i="38"/>
  <c r="N103" i="38"/>
  <c r="P88" i="38"/>
  <c r="W88" i="38" s="1"/>
  <c r="O113" i="38"/>
  <c r="V113" i="38" s="1"/>
  <c r="N113" i="38"/>
  <c r="O116" i="38"/>
  <c r="V116" i="38" s="1"/>
  <c r="N116" i="38"/>
  <c r="O120" i="38"/>
  <c r="V120" i="38" s="1"/>
  <c r="N120" i="38"/>
  <c r="Q138" i="38"/>
  <c r="R138" i="38" s="1"/>
  <c r="Q166" i="38"/>
  <c r="R166" i="38" s="1"/>
  <c r="Q176" i="38"/>
  <c r="R176" i="38" s="1"/>
  <c r="N91" i="38"/>
  <c r="N96" i="38"/>
  <c r="P99" i="38"/>
  <c r="W99" i="38" s="1"/>
  <c r="V108" i="38"/>
  <c r="V114" i="38"/>
  <c r="P125" i="38"/>
  <c r="W125" i="38" s="1"/>
  <c r="O128" i="38"/>
  <c r="V128" i="38" s="1"/>
  <c r="N128" i="38"/>
  <c r="Q162" i="38"/>
  <c r="R162" i="38" s="1"/>
  <c r="P92" i="38"/>
  <c r="W92" i="38" s="1"/>
  <c r="N114" i="38"/>
  <c r="Q160" i="38"/>
  <c r="R160" i="38" s="1"/>
  <c r="U108" i="38"/>
  <c r="N110" i="38"/>
  <c r="O129" i="38"/>
  <c r="V129" i="38" s="1"/>
  <c r="N129" i="38"/>
  <c r="V86" i="38"/>
  <c r="X86" i="38" s="1"/>
  <c r="O89" i="38"/>
  <c r="V89" i="38" s="1"/>
  <c r="N89" i="38"/>
  <c r="P95" i="38"/>
  <c r="W95" i="38" s="1"/>
  <c r="P116" i="38"/>
  <c r="W116" i="38" s="1"/>
  <c r="O121" i="38"/>
  <c r="V121" i="38" s="1"/>
  <c r="N121" i="38"/>
  <c r="N131" i="38"/>
  <c r="N118" i="38"/>
  <c r="N123" i="38"/>
  <c r="Q141" i="38"/>
  <c r="R141" i="38" s="1"/>
  <c r="Q149" i="38"/>
  <c r="R149" i="38" s="1"/>
  <c r="Q157" i="38"/>
  <c r="R157" i="38" s="1"/>
  <c r="Q165" i="38"/>
  <c r="R165" i="38" s="1"/>
  <c r="Q173" i="38"/>
  <c r="R173" i="38" s="1"/>
  <c r="Q181" i="38"/>
  <c r="R181" i="38" s="1"/>
  <c r="P129" i="38"/>
  <c r="W129" i="38" s="1"/>
  <c r="Q139" i="38"/>
  <c r="R139" i="38" s="1"/>
  <c r="N94" i="38"/>
  <c r="O110" i="38"/>
  <c r="V110" i="38" s="1"/>
  <c r="P121" i="38"/>
  <c r="W121" i="38" s="1"/>
  <c r="Q147" i="38"/>
  <c r="R147" i="38" s="1"/>
  <c r="Q155" i="38"/>
  <c r="R155" i="38" s="1"/>
  <c r="Q163" i="38"/>
  <c r="R163" i="38" s="1"/>
  <c r="Q171" i="38"/>
  <c r="R171" i="38" s="1"/>
  <c r="Q179" i="38"/>
  <c r="R179" i="38" s="1"/>
  <c r="Q119" i="38" l="1"/>
  <c r="R119" i="38" s="1"/>
  <c r="Q122" i="38"/>
  <c r="R122" i="38" s="1"/>
  <c r="Q109" i="38"/>
  <c r="R109" i="38" s="1"/>
  <c r="X87" i="38"/>
  <c r="Y87" i="38" s="1"/>
  <c r="U122" i="38"/>
  <c r="Q108" i="38"/>
  <c r="R108" i="38" s="1"/>
  <c r="X127" i="38"/>
  <c r="Y127" i="38" s="1"/>
  <c r="U109" i="38"/>
  <c r="X109" i="38" s="1"/>
  <c r="Y109" i="38" s="1"/>
  <c r="Q115" i="38"/>
  <c r="R115" i="38" s="1"/>
  <c r="Q130" i="38"/>
  <c r="R130" i="38" s="1"/>
  <c r="Q112" i="38"/>
  <c r="R112" i="38" s="1"/>
  <c r="U112" i="38"/>
  <c r="X112" i="38" s="1"/>
  <c r="Y112" i="38" s="1"/>
  <c r="Q93" i="38"/>
  <c r="R93" i="38" s="1"/>
  <c r="Q102" i="38"/>
  <c r="R102" i="38" s="1"/>
  <c r="Q106" i="38"/>
  <c r="R106" i="38" s="1"/>
  <c r="R86" i="38"/>
  <c r="Q98" i="38"/>
  <c r="R98" i="38" s="1"/>
  <c r="Q87" i="38"/>
  <c r="R87" i="38" s="1"/>
  <c r="Q124" i="38"/>
  <c r="R124" i="38" s="1"/>
  <c r="Q127" i="38"/>
  <c r="R127" i="38" s="1"/>
  <c r="U102" i="38"/>
  <c r="X102" i="38" s="1"/>
  <c r="Y102" i="38" s="1"/>
  <c r="Q117" i="38"/>
  <c r="R117" i="38" s="1"/>
  <c r="U117" i="38"/>
  <c r="Q101" i="38"/>
  <c r="R101" i="38" s="1"/>
  <c r="U110" i="38"/>
  <c r="Q110" i="38"/>
  <c r="R110" i="38" s="1"/>
  <c r="X117" i="38"/>
  <c r="Y117" i="38" s="1"/>
  <c r="U99" i="38"/>
  <c r="Q99" i="38"/>
  <c r="R99" i="38" s="1"/>
  <c r="U105" i="38"/>
  <c r="Q105" i="38"/>
  <c r="R105" i="38" s="1"/>
  <c r="X106" i="38"/>
  <c r="Y106" i="38" s="1"/>
  <c r="U96" i="38"/>
  <c r="Q96" i="38"/>
  <c r="R96" i="38" s="1"/>
  <c r="U120" i="38"/>
  <c r="Q120" i="38"/>
  <c r="R120" i="38" s="1"/>
  <c r="Q111" i="38"/>
  <c r="R111" i="38" s="1"/>
  <c r="U111" i="38"/>
  <c r="U94" i="38"/>
  <c r="Q94" i="38"/>
  <c r="R94" i="38" s="1"/>
  <c r="Q129" i="38"/>
  <c r="R129" i="38" s="1"/>
  <c r="U129" i="38"/>
  <c r="X108" i="38"/>
  <c r="Y108" i="38" s="1"/>
  <c r="Q91" i="38"/>
  <c r="R91" i="38" s="1"/>
  <c r="U91" i="38"/>
  <c r="X107" i="38"/>
  <c r="Y107" i="38" s="1"/>
  <c r="Q114" i="38"/>
  <c r="R114" i="38" s="1"/>
  <c r="U114" i="38"/>
  <c r="U104" i="38"/>
  <c r="Q104" i="38"/>
  <c r="R104" i="38" s="1"/>
  <c r="Q85" i="38"/>
  <c r="R85" i="38" s="1"/>
  <c r="Q107" i="38"/>
  <c r="R107" i="38" s="1"/>
  <c r="U88" i="38"/>
  <c r="Q88" i="38"/>
  <c r="R88" i="38" s="1"/>
  <c r="U131" i="38"/>
  <c r="Q131" i="38"/>
  <c r="R131" i="38" s="1"/>
  <c r="X98" i="38"/>
  <c r="Y98" i="38" s="1"/>
  <c r="Q116" i="38"/>
  <c r="R116" i="38" s="1"/>
  <c r="U116" i="38"/>
  <c r="X122" i="38"/>
  <c r="Y122" i="38" s="1"/>
  <c r="Q97" i="38"/>
  <c r="R97" i="38" s="1"/>
  <c r="U97" i="38"/>
  <c r="U100" i="38"/>
  <c r="Q100" i="38"/>
  <c r="R100" i="38" s="1"/>
  <c r="X101" i="38"/>
  <c r="Y101" i="38" s="1"/>
  <c r="U123" i="38"/>
  <c r="Q123" i="38"/>
  <c r="R123" i="38" s="1"/>
  <c r="Q125" i="38"/>
  <c r="R125" i="38" s="1"/>
  <c r="X130" i="38"/>
  <c r="Y130" i="38" s="1"/>
  <c r="Q103" i="38"/>
  <c r="R103" i="38" s="1"/>
  <c r="U103" i="38"/>
  <c r="X115" i="38"/>
  <c r="Y115" i="38" s="1"/>
  <c r="X95" i="38"/>
  <c r="Y95" i="38" s="1"/>
  <c r="U118" i="38"/>
  <c r="Q118" i="38"/>
  <c r="R118" i="38" s="1"/>
  <c r="U89" i="38"/>
  <c r="Q89" i="38"/>
  <c r="R89" i="38" s="1"/>
  <c r="U128" i="38"/>
  <c r="Q128" i="38"/>
  <c r="R128" i="38" s="1"/>
  <c r="Q113" i="38"/>
  <c r="R113" i="38" s="1"/>
  <c r="U113" i="38"/>
  <c r="U92" i="38"/>
  <c r="Q92" i="38"/>
  <c r="R92" i="38" s="1"/>
  <c r="X93" i="38"/>
  <c r="Y93" i="38" s="1"/>
  <c r="Q121" i="38"/>
  <c r="R121" i="38" s="1"/>
  <c r="U121" i="38"/>
  <c r="X125" i="38"/>
  <c r="Y125" i="38" s="1"/>
  <c r="X124" i="38"/>
  <c r="Y124" i="38" s="1"/>
  <c r="U126" i="38"/>
  <c r="Q126" i="38"/>
  <c r="R126" i="38" s="1"/>
  <c r="X90" i="38"/>
  <c r="Y90" i="38" s="1"/>
  <c r="Q95" i="38"/>
  <c r="R95" i="38" s="1"/>
  <c r="X97" i="38" l="1"/>
  <c r="Y97" i="38" s="1"/>
  <c r="X94" i="38"/>
  <c r="Y94" i="38" s="1"/>
  <c r="X118" i="38"/>
  <c r="Y118" i="38" s="1"/>
  <c r="X123" i="38"/>
  <c r="Y123" i="38" s="1"/>
  <c r="X120" i="38"/>
  <c r="Y120" i="38" s="1"/>
  <c r="X105" i="38"/>
  <c r="Y105" i="38" s="1"/>
  <c r="X128" i="38"/>
  <c r="Y128" i="38" s="1"/>
  <c r="X103" i="38"/>
  <c r="Y103" i="38" s="1"/>
  <c r="X129" i="38"/>
  <c r="Y129" i="38" s="1"/>
  <c r="X110" i="38"/>
  <c r="Y110" i="38" s="1"/>
  <c r="X131" i="38"/>
  <c r="Y131" i="38" s="1"/>
  <c r="X92" i="38"/>
  <c r="Y92" i="38" s="1"/>
  <c r="X116" i="38"/>
  <c r="Y116" i="38" s="1"/>
  <c r="X96" i="38"/>
  <c r="Y96" i="38" s="1"/>
  <c r="X99" i="38"/>
  <c r="Y99" i="38" s="1"/>
  <c r="X121" i="38"/>
  <c r="Y121" i="38" s="1"/>
  <c r="X113" i="38"/>
  <c r="Y113" i="38" s="1"/>
  <c r="X89" i="38"/>
  <c r="Y89" i="38" s="1"/>
  <c r="X104" i="38"/>
  <c r="Y104" i="38" s="1"/>
  <c r="X111" i="38"/>
  <c r="Y111" i="38" s="1"/>
  <c r="X126" i="38"/>
  <c r="Y126" i="38" s="1"/>
  <c r="X100" i="38"/>
  <c r="Y100" i="38" s="1"/>
  <c r="X88" i="38"/>
  <c r="Y88" i="38" s="1"/>
  <c r="X114" i="38"/>
  <c r="Y114" i="38" s="1"/>
  <c r="X91" i="38"/>
  <c r="Y91" i="38" s="1"/>
  <c r="E183" i="37" l="1"/>
  <c r="O183" i="37" s="1"/>
  <c r="D183" i="37"/>
  <c r="C183" i="37"/>
  <c r="E182" i="37"/>
  <c r="O182" i="37" s="1"/>
  <c r="D182" i="37"/>
  <c r="C182" i="37"/>
  <c r="E181" i="37"/>
  <c r="O181" i="37" s="1"/>
  <c r="D181" i="37"/>
  <c r="C181" i="37"/>
  <c r="E180" i="37"/>
  <c r="O180" i="37" s="1"/>
  <c r="D180" i="37"/>
  <c r="C180" i="37"/>
  <c r="E179" i="37"/>
  <c r="O179" i="37" s="1"/>
  <c r="D179" i="37"/>
  <c r="N179" i="37" s="1"/>
  <c r="C179" i="37"/>
  <c r="P179" i="37" s="1"/>
  <c r="E178" i="37"/>
  <c r="O178" i="37" s="1"/>
  <c r="D178" i="37"/>
  <c r="C178" i="37"/>
  <c r="E177" i="37"/>
  <c r="O177" i="37" s="1"/>
  <c r="D177" i="37"/>
  <c r="N177" i="37" s="1"/>
  <c r="C177" i="37"/>
  <c r="E176" i="37"/>
  <c r="O176" i="37" s="1"/>
  <c r="D176" i="37"/>
  <c r="C176" i="37"/>
  <c r="P176" i="37" s="1"/>
  <c r="E175" i="37"/>
  <c r="O175" i="37" s="1"/>
  <c r="D175" i="37"/>
  <c r="C175" i="37"/>
  <c r="E174" i="37"/>
  <c r="O174" i="37" s="1"/>
  <c r="D174" i="37"/>
  <c r="N174" i="37" s="1"/>
  <c r="C174" i="37"/>
  <c r="E173" i="37"/>
  <c r="O173" i="37" s="1"/>
  <c r="D173" i="37"/>
  <c r="C173" i="37"/>
  <c r="E172" i="37"/>
  <c r="O172" i="37" s="1"/>
  <c r="D172" i="37"/>
  <c r="C172" i="37"/>
  <c r="E171" i="37"/>
  <c r="O171" i="37" s="1"/>
  <c r="D171" i="37"/>
  <c r="N171" i="37" s="1"/>
  <c r="C171" i="37"/>
  <c r="P171" i="37" s="1"/>
  <c r="E170" i="37"/>
  <c r="O170" i="37" s="1"/>
  <c r="D170" i="37"/>
  <c r="C170" i="37"/>
  <c r="E169" i="37"/>
  <c r="O169" i="37" s="1"/>
  <c r="D169" i="37"/>
  <c r="N169" i="37" s="1"/>
  <c r="C169" i="37"/>
  <c r="E168" i="37"/>
  <c r="O168" i="37" s="1"/>
  <c r="D168" i="37"/>
  <c r="C168" i="37"/>
  <c r="E167" i="37"/>
  <c r="O167" i="37" s="1"/>
  <c r="D167" i="37"/>
  <c r="C167" i="37"/>
  <c r="E166" i="37"/>
  <c r="O166" i="37" s="1"/>
  <c r="D166" i="37"/>
  <c r="N166" i="37" s="1"/>
  <c r="C166" i="37"/>
  <c r="P166" i="37" s="1"/>
  <c r="E165" i="37"/>
  <c r="O165" i="37" s="1"/>
  <c r="D165" i="37"/>
  <c r="C165" i="37"/>
  <c r="E164" i="37"/>
  <c r="O164" i="37" s="1"/>
  <c r="D164" i="37"/>
  <c r="C164" i="37"/>
  <c r="E163" i="37"/>
  <c r="O163" i="37" s="1"/>
  <c r="D163" i="37"/>
  <c r="N163" i="37" s="1"/>
  <c r="C163" i="37"/>
  <c r="P163" i="37" s="1"/>
  <c r="E162" i="37"/>
  <c r="O162" i="37" s="1"/>
  <c r="D162" i="37"/>
  <c r="C162" i="37"/>
  <c r="E161" i="37"/>
  <c r="O161" i="37" s="1"/>
  <c r="D161" i="37"/>
  <c r="N161" i="37" s="1"/>
  <c r="C161" i="37"/>
  <c r="P161" i="37" s="1"/>
  <c r="E160" i="37"/>
  <c r="O160" i="37" s="1"/>
  <c r="D160" i="37"/>
  <c r="C160" i="37"/>
  <c r="E159" i="37"/>
  <c r="O159" i="37" s="1"/>
  <c r="D159" i="37"/>
  <c r="N159" i="37" s="1"/>
  <c r="C159" i="37"/>
  <c r="P159" i="37" s="1"/>
  <c r="E158" i="37"/>
  <c r="O158" i="37" s="1"/>
  <c r="D158" i="37"/>
  <c r="C158" i="37"/>
  <c r="E157" i="37"/>
  <c r="O157" i="37" s="1"/>
  <c r="D157" i="37"/>
  <c r="N157" i="37" s="1"/>
  <c r="C157" i="37"/>
  <c r="P157" i="37" s="1"/>
  <c r="E156" i="37"/>
  <c r="O156" i="37" s="1"/>
  <c r="D156" i="37"/>
  <c r="N156" i="37" s="1"/>
  <c r="C156" i="37"/>
  <c r="P156" i="37" s="1"/>
  <c r="E155" i="37"/>
  <c r="O155" i="37" s="1"/>
  <c r="D155" i="37"/>
  <c r="N155" i="37" s="1"/>
  <c r="C155" i="37"/>
  <c r="P155" i="37" s="1"/>
  <c r="E154" i="37"/>
  <c r="O154" i="37" s="1"/>
  <c r="D154" i="37"/>
  <c r="N154" i="37" s="1"/>
  <c r="C154" i="37"/>
  <c r="E153" i="37"/>
  <c r="O153" i="37" s="1"/>
  <c r="D153" i="37"/>
  <c r="N153" i="37" s="1"/>
  <c r="C153" i="37"/>
  <c r="P153" i="37" s="1"/>
  <c r="E152" i="37"/>
  <c r="O152" i="37" s="1"/>
  <c r="D152" i="37"/>
  <c r="C152" i="37"/>
  <c r="E151" i="37"/>
  <c r="O151" i="37" s="1"/>
  <c r="D151" i="37"/>
  <c r="N151" i="37" s="1"/>
  <c r="C151" i="37"/>
  <c r="P151" i="37" s="1"/>
  <c r="E150" i="37"/>
  <c r="O150" i="37" s="1"/>
  <c r="D150" i="37"/>
  <c r="C150" i="37"/>
  <c r="E149" i="37"/>
  <c r="O149" i="37" s="1"/>
  <c r="D149" i="37"/>
  <c r="N149" i="37" s="1"/>
  <c r="C149" i="37"/>
  <c r="P149" i="37" s="1"/>
  <c r="E148" i="37"/>
  <c r="O148" i="37" s="1"/>
  <c r="D148" i="37"/>
  <c r="N148" i="37" s="1"/>
  <c r="C148" i="37"/>
  <c r="P148" i="37" s="1"/>
  <c r="E147" i="37"/>
  <c r="O147" i="37" s="1"/>
  <c r="D147" i="37"/>
  <c r="N147" i="37" s="1"/>
  <c r="C147" i="37"/>
  <c r="P147" i="37" s="1"/>
  <c r="E146" i="37"/>
  <c r="O146" i="37" s="1"/>
  <c r="D146" i="37"/>
  <c r="N146" i="37" s="1"/>
  <c r="C146" i="37"/>
  <c r="E145" i="37"/>
  <c r="O145" i="37" s="1"/>
  <c r="D145" i="37"/>
  <c r="N145" i="37" s="1"/>
  <c r="C145" i="37"/>
  <c r="P145" i="37" s="1"/>
  <c r="E144" i="37"/>
  <c r="O144" i="37" s="1"/>
  <c r="D144" i="37"/>
  <c r="C144" i="37"/>
  <c r="E143" i="37"/>
  <c r="O143" i="37" s="1"/>
  <c r="D143" i="37"/>
  <c r="N143" i="37" s="1"/>
  <c r="C143" i="37"/>
  <c r="P143" i="37" s="1"/>
  <c r="E142" i="37"/>
  <c r="O142" i="37" s="1"/>
  <c r="D142" i="37"/>
  <c r="C142" i="37"/>
  <c r="E141" i="37"/>
  <c r="O141" i="37" s="1"/>
  <c r="D141" i="37"/>
  <c r="N141" i="37" s="1"/>
  <c r="C141" i="37"/>
  <c r="P141" i="37" s="1"/>
  <c r="E140" i="37"/>
  <c r="O140" i="37" s="1"/>
  <c r="D140" i="37"/>
  <c r="N140" i="37" s="1"/>
  <c r="C140" i="37"/>
  <c r="P140" i="37" s="1"/>
  <c r="E139" i="37"/>
  <c r="O139" i="37" s="1"/>
  <c r="D139" i="37"/>
  <c r="N139" i="37" s="1"/>
  <c r="C139" i="37"/>
  <c r="P139" i="37" s="1"/>
  <c r="E138" i="37"/>
  <c r="O138" i="37" s="1"/>
  <c r="D138" i="37"/>
  <c r="C138" i="37"/>
  <c r="P138" i="37" s="1"/>
  <c r="E137" i="37"/>
  <c r="O137" i="37" s="1"/>
  <c r="D137" i="37"/>
  <c r="N137" i="37" s="1"/>
  <c r="C137" i="37"/>
  <c r="P137" i="37" s="1"/>
  <c r="Q136" i="37"/>
  <c r="E136" i="37"/>
  <c r="O136" i="37" s="1"/>
  <c r="D136" i="37"/>
  <c r="N136" i="37" s="1"/>
  <c r="C136" i="37"/>
  <c r="P136" i="37" s="1"/>
  <c r="K131" i="37"/>
  <c r="J131" i="37"/>
  <c r="I131" i="37"/>
  <c r="H131" i="37"/>
  <c r="G131" i="37"/>
  <c r="F131" i="37"/>
  <c r="K130" i="37"/>
  <c r="J130" i="37"/>
  <c r="I130" i="37"/>
  <c r="H130" i="37"/>
  <c r="G130" i="37"/>
  <c r="F130" i="37"/>
  <c r="E130" i="37"/>
  <c r="O130" i="37" s="1"/>
  <c r="V130" i="37" s="1"/>
  <c r="K129" i="37"/>
  <c r="J129" i="37"/>
  <c r="I129" i="37"/>
  <c r="H129" i="37"/>
  <c r="G129" i="37"/>
  <c r="F129" i="37"/>
  <c r="E129" i="37"/>
  <c r="O129" i="37" s="1"/>
  <c r="V129" i="37" s="1"/>
  <c r="K128" i="37"/>
  <c r="J128" i="37"/>
  <c r="I128" i="37"/>
  <c r="H128" i="37"/>
  <c r="G128" i="37"/>
  <c r="F128" i="37"/>
  <c r="K127" i="37"/>
  <c r="J127" i="37"/>
  <c r="I127" i="37"/>
  <c r="H127" i="37"/>
  <c r="G127" i="37"/>
  <c r="F127" i="37"/>
  <c r="E127" i="37"/>
  <c r="O127" i="37" s="1"/>
  <c r="V127" i="37" s="1"/>
  <c r="D127" i="37"/>
  <c r="N127" i="37" s="1"/>
  <c r="K126" i="37"/>
  <c r="J126" i="37"/>
  <c r="I126" i="37"/>
  <c r="H126" i="37"/>
  <c r="G126" i="37"/>
  <c r="F126" i="37"/>
  <c r="K125" i="37"/>
  <c r="J125" i="37"/>
  <c r="I125" i="37"/>
  <c r="H125" i="37"/>
  <c r="G125" i="37"/>
  <c r="F125" i="37"/>
  <c r="E125" i="37"/>
  <c r="O125" i="37" s="1"/>
  <c r="V125" i="37" s="1"/>
  <c r="D125" i="37"/>
  <c r="N125" i="37" s="1"/>
  <c r="K124" i="37"/>
  <c r="J124" i="37"/>
  <c r="I124" i="37"/>
  <c r="H124" i="37"/>
  <c r="G124" i="37"/>
  <c r="F124" i="37"/>
  <c r="E124" i="37"/>
  <c r="O124" i="37" s="1"/>
  <c r="V124" i="37" s="1"/>
  <c r="K123" i="37"/>
  <c r="J123" i="37"/>
  <c r="I123" i="37"/>
  <c r="H123" i="37"/>
  <c r="G123" i="37"/>
  <c r="F123" i="37"/>
  <c r="K122" i="37"/>
  <c r="J122" i="37"/>
  <c r="I122" i="37"/>
  <c r="H122" i="37"/>
  <c r="G122" i="37"/>
  <c r="F122" i="37"/>
  <c r="E122" i="37"/>
  <c r="O122" i="37" s="1"/>
  <c r="V122" i="37" s="1"/>
  <c r="D122" i="37"/>
  <c r="N122" i="37" s="1"/>
  <c r="K121" i="37"/>
  <c r="J121" i="37"/>
  <c r="I121" i="37"/>
  <c r="H121" i="37"/>
  <c r="G121" i="37"/>
  <c r="F121" i="37"/>
  <c r="K120" i="37"/>
  <c r="J120" i="37"/>
  <c r="I120" i="37"/>
  <c r="H120" i="37"/>
  <c r="G120" i="37"/>
  <c r="F120" i="37"/>
  <c r="K119" i="37"/>
  <c r="J119" i="37"/>
  <c r="I119" i="37"/>
  <c r="H119" i="37"/>
  <c r="G119" i="37"/>
  <c r="F119" i="37"/>
  <c r="E119" i="37"/>
  <c r="O119" i="37" s="1"/>
  <c r="V119" i="37" s="1"/>
  <c r="K118" i="37"/>
  <c r="J118" i="37"/>
  <c r="I118" i="37"/>
  <c r="H118" i="37"/>
  <c r="G118" i="37"/>
  <c r="F118" i="37"/>
  <c r="K117" i="37"/>
  <c r="J117" i="37"/>
  <c r="I117" i="37"/>
  <c r="H117" i="37"/>
  <c r="G117" i="37"/>
  <c r="F117" i="37"/>
  <c r="E117" i="37"/>
  <c r="O117" i="37" s="1"/>
  <c r="V117" i="37" s="1"/>
  <c r="D117" i="37"/>
  <c r="N117" i="37" s="1"/>
  <c r="K116" i="37"/>
  <c r="J116" i="37"/>
  <c r="I116" i="37"/>
  <c r="H116" i="37"/>
  <c r="G116" i="37"/>
  <c r="F116" i="37"/>
  <c r="K115" i="37"/>
  <c r="J115" i="37"/>
  <c r="I115" i="37"/>
  <c r="H115" i="37"/>
  <c r="G115" i="37"/>
  <c r="F115" i="37"/>
  <c r="K114" i="37"/>
  <c r="J114" i="37"/>
  <c r="I114" i="37"/>
  <c r="H114" i="37"/>
  <c r="G114" i="37"/>
  <c r="F114" i="37"/>
  <c r="E114" i="37"/>
  <c r="O114" i="37" s="1"/>
  <c r="V114" i="37" s="1"/>
  <c r="K113" i="37"/>
  <c r="J113" i="37"/>
  <c r="I113" i="37"/>
  <c r="H113" i="37"/>
  <c r="G113" i="37"/>
  <c r="F113" i="37"/>
  <c r="K112" i="37"/>
  <c r="J112" i="37"/>
  <c r="I112" i="37"/>
  <c r="H112" i="37"/>
  <c r="G112" i="37"/>
  <c r="F112" i="37"/>
  <c r="K111" i="37"/>
  <c r="J111" i="37"/>
  <c r="I111" i="37"/>
  <c r="H111" i="37"/>
  <c r="G111" i="37"/>
  <c r="F111" i="37"/>
  <c r="K110" i="37"/>
  <c r="J110" i="37"/>
  <c r="I110" i="37"/>
  <c r="H110" i="37"/>
  <c r="G110" i="37"/>
  <c r="F110" i="37"/>
  <c r="K109" i="37"/>
  <c r="J109" i="37"/>
  <c r="I109" i="37"/>
  <c r="H109" i="37"/>
  <c r="G109" i="37"/>
  <c r="F109" i="37"/>
  <c r="E109" i="37"/>
  <c r="O109" i="37" s="1"/>
  <c r="V109" i="37" s="1"/>
  <c r="D109" i="37"/>
  <c r="N109" i="37" s="1"/>
  <c r="C109" i="37"/>
  <c r="P109" i="37" s="1"/>
  <c r="W109" i="37" s="1"/>
  <c r="K108" i="37"/>
  <c r="J108" i="37"/>
  <c r="I108" i="37"/>
  <c r="H108" i="37"/>
  <c r="G108" i="37"/>
  <c r="F108" i="37"/>
  <c r="K107" i="37"/>
  <c r="J107" i="37"/>
  <c r="I107" i="37"/>
  <c r="H107" i="37"/>
  <c r="G107" i="37"/>
  <c r="F107" i="37"/>
  <c r="C107" i="37"/>
  <c r="K106" i="37"/>
  <c r="J106" i="37"/>
  <c r="I106" i="37"/>
  <c r="H106" i="37"/>
  <c r="G106" i="37"/>
  <c r="F106" i="37"/>
  <c r="K105" i="37"/>
  <c r="J105" i="37"/>
  <c r="I105" i="37"/>
  <c r="H105" i="37"/>
  <c r="G105" i="37"/>
  <c r="F105" i="37"/>
  <c r="E105" i="37"/>
  <c r="O105" i="37" s="1"/>
  <c r="V105" i="37" s="1"/>
  <c r="C105" i="37"/>
  <c r="P105" i="37" s="1"/>
  <c r="W105" i="37" s="1"/>
  <c r="K104" i="37"/>
  <c r="J104" i="37"/>
  <c r="I104" i="37"/>
  <c r="H104" i="37"/>
  <c r="G104" i="37"/>
  <c r="F104" i="37"/>
  <c r="C104" i="37"/>
  <c r="P104" i="37" s="1"/>
  <c r="W104" i="37" s="1"/>
  <c r="K103" i="37"/>
  <c r="J103" i="37"/>
  <c r="I103" i="37"/>
  <c r="H103" i="37"/>
  <c r="G103" i="37"/>
  <c r="F103" i="37"/>
  <c r="K102" i="37"/>
  <c r="J102" i="37"/>
  <c r="I102" i="37"/>
  <c r="H102" i="37"/>
  <c r="G102" i="37"/>
  <c r="F102" i="37"/>
  <c r="K101" i="37"/>
  <c r="J101" i="37"/>
  <c r="I101" i="37"/>
  <c r="H101" i="37"/>
  <c r="G101" i="37"/>
  <c r="F101" i="37"/>
  <c r="E101" i="37"/>
  <c r="O101" i="37" s="1"/>
  <c r="V101" i="37" s="1"/>
  <c r="D101" i="37"/>
  <c r="N101" i="37" s="1"/>
  <c r="K100" i="37"/>
  <c r="J100" i="37"/>
  <c r="I100" i="37"/>
  <c r="H100" i="37"/>
  <c r="G100" i="37"/>
  <c r="F100" i="37"/>
  <c r="K99" i="37"/>
  <c r="J99" i="37"/>
  <c r="I99" i="37"/>
  <c r="H99" i="37"/>
  <c r="G99" i="37"/>
  <c r="F99" i="37"/>
  <c r="C99" i="37"/>
  <c r="K98" i="37"/>
  <c r="J98" i="37"/>
  <c r="I98" i="37"/>
  <c r="H98" i="37"/>
  <c r="G98" i="37"/>
  <c r="F98" i="37"/>
  <c r="E98" i="37"/>
  <c r="O98" i="37" s="1"/>
  <c r="V98" i="37" s="1"/>
  <c r="K97" i="37"/>
  <c r="J97" i="37"/>
  <c r="I97" i="37"/>
  <c r="H97" i="37"/>
  <c r="G97" i="37"/>
  <c r="F97" i="37"/>
  <c r="K96" i="37"/>
  <c r="J96" i="37"/>
  <c r="I96" i="37"/>
  <c r="H96" i="37"/>
  <c r="G96" i="37"/>
  <c r="F96" i="37"/>
  <c r="D96" i="37"/>
  <c r="N96" i="37" s="1"/>
  <c r="C96" i="37"/>
  <c r="P96" i="37" s="1"/>
  <c r="W96" i="37" s="1"/>
  <c r="K95" i="37"/>
  <c r="J95" i="37"/>
  <c r="I95" i="37"/>
  <c r="H95" i="37"/>
  <c r="G95" i="37"/>
  <c r="F95" i="37"/>
  <c r="K94" i="37"/>
  <c r="J94" i="37"/>
  <c r="I94" i="37"/>
  <c r="H94" i="37"/>
  <c r="G94" i="37"/>
  <c r="F94" i="37"/>
  <c r="D94" i="37"/>
  <c r="N94" i="37" s="1"/>
  <c r="K93" i="37"/>
  <c r="J93" i="37"/>
  <c r="I93" i="37"/>
  <c r="H93" i="37"/>
  <c r="G93" i="37"/>
  <c r="F93" i="37"/>
  <c r="E93" i="37"/>
  <c r="O93" i="37" s="1"/>
  <c r="V93" i="37" s="1"/>
  <c r="D93" i="37"/>
  <c r="N93" i="37" s="1"/>
  <c r="U93" i="37" s="1"/>
  <c r="C93" i="37"/>
  <c r="P93" i="37" s="1"/>
  <c r="W93" i="37" s="1"/>
  <c r="K92" i="37"/>
  <c r="J92" i="37"/>
  <c r="I92" i="37"/>
  <c r="H92" i="37"/>
  <c r="G92" i="37"/>
  <c r="F92" i="37"/>
  <c r="K91" i="37"/>
  <c r="J91" i="37"/>
  <c r="I91" i="37"/>
  <c r="H91" i="37"/>
  <c r="G91" i="37"/>
  <c r="F91" i="37"/>
  <c r="C91" i="37"/>
  <c r="K90" i="37"/>
  <c r="J90" i="37"/>
  <c r="I90" i="37"/>
  <c r="H90" i="37"/>
  <c r="G90" i="37"/>
  <c r="F90" i="37"/>
  <c r="E90" i="37"/>
  <c r="O90" i="37" s="1"/>
  <c r="V90" i="37" s="1"/>
  <c r="K89" i="37"/>
  <c r="J89" i="37"/>
  <c r="I89" i="37"/>
  <c r="H89" i="37"/>
  <c r="G89" i="37"/>
  <c r="F89" i="37"/>
  <c r="K88" i="37"/>
  <c r="J88" i="37"/>
  <c r="I88" i="37"/>
  <c r="H88" i="37"/>
  <c r="G88" i="37"/>
  <c r="F88" i="37"/>
  <c r="C88" i="37"/>
  <c r="P88" i="37" s="1"/>
  <c r="W88" i="37" s="1"/>
  <c r="K87" i="37"/>
  <c r="J87" i="37"/>
  <c r="I87" i="37"/>
  <c r="H87" i="37"/>
  <c r="G87" i="37"/>
  <c r="F87" i="37"/>
  <c r="E87" i="37"/>
  <c r="O87" i="37" s="1"/>
  <c r="V87" i="37" s="1"/>
  <c r="K86" i="37"/>
  <c r="J86" i="37"/>
  <c r="I86" i="37"/>
  <c r="H86" i="37"/>
  <c r="G86" i="37"/>
  <c r="F86" i="37"/>
  <c r="V85" i="37"/>
  <c r="X85" i="37" s="1"/>
  <c r="K85" i="37"/>
  <c r="J85" i="37"/>
  <c r="I85" i="37"/>
  <c r="H85" i="37"/>
  <c r="G85" i="37"/>
  <c r="F85" i="37"/>
  <c r="E85" i="37"/>
  <c r="O85" i="37" s="1"/>
  <c r="D85" i="37"/>
  <c r="N85" i="37" s="1"/>
  <c r="Y72" i="37"/>
  <c r="U72" i="37"/>
  <c r="T72" i="37"/>
  <c r="O72" i="37"/>
  <c r="Y71" i="37"/>
  <c r="U71" i="37"/>
  <c r="T71" i="37"/>
  <c r="O71" i="37"/>
  <c r="Y70" i="37"/>
  <c r="U70" i="37"/>
  <c r="T70" i="37"/>
  <c r="O70" i="37"/>
  <c r="Y69" i="37"/>
  <c r="U69" i="37"/>
  <c r="T69" i="37"/>
  <c r="O69" i="37"/>
  <c r="Y68" i="37"/>
  <c r="U68" i="37"/>
  <c r="T68" i="37"/>
  <c r="O68" i="37"/>
  <c r="Y67" i="37"/>
  <c r="U67" i="37"/>
  <c r="T67" i="37"/>
  <c r="O67" i="37"/>
  <c r="Y66" i="37"/>
  <c r="U66" i="37"/>
  <c r="T66" i="37"/>
  <c r="O66" i="37"/>
  <c r="Y65" i="37"/>
  <c r="U65" i="37"/>
  <c r="T65" i="37"/>
  <c r="O65" i="37"/>
  <c r="Y64" i="37"/>
  <c r="U64" i="37"/>
  <c r="T64" i="37"/>
  <c r="O64" i="37"/>
  <c r="Y63" i="37"/>
  <c r="U63" i="37"/>
  <c r="T63" i="37"/>
  <c r="O63" i="37"/>
  <c r="Y62" i="37"/>
  <c r="U62" i="37"/>
  <c r="O62" i="37"/>
  <c r="Y61" i="37"/>
  <c r="U61" i="37"/>
  <c r="O61" i="37"/>
  <c r="Y60" i="37"/>
  <c r="U60" i="37"/>
  <c r="O60" i="37"/>
  <c r="Y59" i="37"/>
  <c r="U59" i="37"/>
  <c r="O59" i="37"/>
  <c r="Y58" i="37"/>
  <c r="U58" i="37"/>
  <c r="O58" i="37"/>
  <c r="Y57" i="37"/>
  <c r="U57" i="37"/>
  <c r="O57" i="37"/>
  <c r="Y56" i="37"/>
  <c r="U56" i="37"/>
  <c r="O56" i="37"/>
  <c r="Y55" i="37"/>
  <c r="U55" i="37"/>
  <c r="O55" i="37"/>
  <c r="Y54" i="37"/>
  <c r="U54" i="37"/>
  <c r="O54" i="37"/>
  <c r="Y53" i="37"/>
  <c r="U53" i="37"/>
  <c r="O53" i="37"/>
  <c r="Y52" i="37"/>
  <c r="U52" i="37"/>
  <c r="O52" i="37"/>
  <c r="Y51" i="37"/>
  <c r="U51" i="37"/>
  <c r="O51" i="37"/>
  <c r="Y50" i="37"/>
  <c r="U50" i="37"/>
  <c r="O50" i="37"/>
  <c r="Y49" i="37"/>
  <c r="U49" i="37"/>
  <c r="O49" i="37"/>
  <c r="Y48" i="37"/>
  <c r="U48" i="37"/>
  <c r="O48" i="37"/>
  <c r="Y47" i="37"/>
  <c r="U47" i="37"/>
  <c r="O47" i="37"/>
  <c r="Y46" i="37"/>
  <c r="U46" i="37"/>
  <c r="O46" i="37"/>
  <c r="Y45" i="37"/>
  <c r="U45" i="37"/>
  <c r="O45" i="37"/>
  <c r="Y44" i="37"/>
  <c r="U44" i="37"/>
  <c r="O44" i="37"/>
  <c r="Y43" i="37"/>
  <c r="U43" i="37"/>
  <c r="O43" i="37"/>
  <c r="Y42" i="37"/>
  <c r="U42" i="37"/>
  <c r="O42" i="37"/>
  <c r="Y41" i="37"/>
  <c r="U41" i="37"/>
  <c r="O41" i="37"/>
  <c r="Y40" i="37"/>
  <c r="U40" i="37"/>
  <c r="O40" i="37"/>
  <c r="Y39" i="37"/>
  <c r="U39" i="37"/>
  <c r="O39" i="37"/>
  <c r="Y38" i="37"/>
  <c r="U38" i="37"/>
  <c r="O38" i="37"/>
  <c r="Y37" i="37"/>
  <c r="U37" i="37"/>
  <c r="O37" i="37"/>
  <c r="Y36" i="37"/>
  <c r="U36" i="37"/>
  <c r="O36" i="37"/>
  <c r="Y35" i="37"/>
  <c r="U35" i="37"/>
  <c r="O35" i="37"/>
  <c r="Y34" i="37"/>
  <c r="U34" i="37"/>
  <c r="O34" i="37"/>
  <c r="Y33" i="37"/>
  <c r="U33" i="37"/>
  <c r="O33" i="37"/>
  <c r="Y32" i="37"/>
  <c r="U32" i="37"/>
  <c r="O32" i="37"/>
  <c r="Y31" i="37"/>
  <c r="U31" i="37"/>
  <c r="T31" i="37"/>
  <c r="O31" i="37"/>
  <c r="Y30" i="37"/>
  <c r="U30" i="37"/>
  <c r="T30" i="37"/>
  <c r="O30" i="37"/>
  <c r="Y29" i="37"/>
  <c r="U29" i="37"/>
  <c r="T29" i="37"/>
  <c r="O29" i="37"/>
  <c r="Y28" i="37"/>
  <c r="U28" i="37"/>
  <c r="T28" i="37"/>
  <c r="O28" i="37"/>
  <c r="Y27" i="37"/>
  <c r="U27" i="37"/>
  <c r="T27" i="37"/>
  <c r="O27" i="37"/>
  <c r="Y26" i="37"/>
  <c r="U26" i="37"/>
  <c r="T26" i="37"/>
  <c r="O26" i="37"/>
  <c r="U23" i="37"/>
  <c r="P18" i="37"/>
  <c r="N5" i="37"/>
  <c r="N2" i="37"/>
  <c r="I2" i="37"/>
  <c r="A1" i="37"/>
  <c r="P18" i="24"/>
  <c r="D105" i="37" l="1"/>
  <c r="N105" i="37" s="1"/>
  <c r="D89" i="37"/>
  <c r="N89" i="37" s="1"/>
  <c r="C95" i="37"/>
  <c r="P95" i="37" s="1"/>
  <c r="W95" i="37" s="1"/>
  <c r="C111" i="37"/>
  <c r="P111" i="37" s="1"/>
  <c r="W111" i="37" s="1"/>
  <c r="D95" i="37"/>
  <c r="N95" i="37" s="1"/>
  <c r="U95" i="37" s="1"/>
  <c r="D111" i="37"/>
  <c r="N111" i="37" s="1"/>
  <c r="U111" i="37" s="1"/>
  <c r="D114" i="37"/>
  <c r="N114" i="37" s="1"/>
  <c r="E116" i="37"/>
  <c r="O116" i="37" s="1"/>
  <c r="V116" i="37" s="1"/>
  <c r="C114" i="37"/>
  <c r="P114" i="37" s="1"/>
  <c r="W114" i="37" s="1"/>
  <c r="E95" i="37"/>
  <c r="O95" i="37" s="1"/>
  <c r="V95" i="37" s="1"/>
  <c r="E111" i="37"/>
  <c r="O111" i="37" s="1"/>
  <c r="V111" i="37" s="1"/>
  <c r="E94" i="37"/>
  <c r="O94" i="37" s="1"/>
  <c r="V94" i="37" s="1"/>
  <c r="E97" i="37"/>
  <c r="O97" i="37" s="1"/>
  <c r="V97" i="37" s="1"/>
  <c r="E100" i="37"/>
  <c r="O100" i="37" s="1"/>
  <c r="V100" i="37" s="1"/>
  <c r="C101" i="37"/>
  <c r="P101" i="37" s="1"/>
  <c r="W101" i="37" s="1"/>
  <c r="E118" i="37"/>
  <c r="O118" i="37" s="1"/>
  <c r="V118" i="37" s="1"/>
  <c r="C119" i="37"/>
  <c r="P119" i="37" s="1"/>
  <c r="W119" i="37" s="1"/>
  <c r="E110" i="37"/>
  <c r="O110" i="37" s="1"/>
  <c r="V110" i="37" s="1"/>
  <c r="C85" i="37"/>
  <c r="P85" i="37" s="1"/>
  <c r="Q85" i="37" s="1"/>
  <c r="R85" i="37" s="1"/>
  <c r="E103" i="37"/>
  <c r="O103" i="37" s="1"/>
  <c r="V103" i="37" s="1"/>
  <c r="D119" i="37"/>
  <c r="N119" i="37" s="1"/>
  <c r="U119" i="37" s="1"/>
  <c r="E121" i="37"/>
  <c r="O121" i="37" s="1"/>
  <c r="V121" i="37" s="1"/>
  <c r="E89" i="37"/>
  <c r="E104" i="37"/>
  <c r="O104" i="37" s="1"/>
  <c r="V104" i="37" s="1"/>
  <c r="E99" i="37"/>
  <c r="O99" i="37" s="1"/>
  <c r="V99" i="37" s="1"/>
  <c r="D91" i="37"/>
  <c r="N91" i="37" s="1"/>
  <c r="U91" i="37" s="1"/>
  <c r="E112" i="37"/>
  <c r="O112" i="37" s="1"/>
  <c r="V112" i="37" s="1"/>
  <c r="E113" i="37"/>
  <c r="O113" i="37" s="1"/>
  <c r="V113" i="37" s="1"/>
  <c r="D87" i="37"/>
  <c r="N87" i="37" s="1"/>
  <c r="E91" i="37"/>
  <c r="O91" i="37" s="1"/>
  <c r="V91" i="37" s="1"/>
  <c r="E92" i="37"/>
  <c r="O92" i="37" s="1"/>
  <c r="V92" i="37" s="1"/>
  <c r="D102" i="37"/>
  <c r="N102" i="37" s="1"/>
  <c r="U102" i="37" s="1"/>
  <c r="E106" i="37"/>
  <c r="O106" i="37" s="1"/>
  <c r="V106" i="37" s="1"/>
  <c r="E123" i="37"/>
  <c r="O123" i="37" s="1"/>
  <c r="V123" i="37" s="1"/>
  <c r="C124" i="37"/>
  <c r="P124" i="37" s="1"/>
  <c r="W124" i="37" s="1"/>
  <c r="D99" i="37"/>
  <c r="N99" i="37" s="1"/>
  <c r="U99" i="37" s="1"/>
  <c r="E120" i="37"/>
  <c r="O120" i="37" s="1"/>
  <c r="V120" i="37" s="1"/>
  <c r="E131" i="37"/>
  <c r="O131" i="37" s="1"/>
  <c r="V131" i="37" s="1"/>
  <c r="C87" i="37"/>
  <c r="P87" i="37" s="1"/>
  <c r="W87" i="37" s="1"/>
  <c r="E84" i="37"/>
  <c r="O84" i="37" s="1"/>
  <c r="V84" i="37" s="1"/>
  <c r="E96" i="37"/>
  <c r="O96" i="37" s="1"/>
  <c r="V96" i="37" s="1"/>
  <c r="E128" i="37"/>
  <c r="O128" i="37" s="1"/>
  <c r="V128" i="37" s="1"/>
  <c r="E86" i="37"/>
  <c r="O86" i="37" s="1"/>
  <c r="V86" i="37" s="1"/>
  <c r="X86" i="37" s="1"/>
  <c r="C97" i="37"/>
  <c r="P97" i="37" s="1"/>
  <c r="W97" i="37" s="1"/>
  <c r="E102" i="37"/>
  <c r="O102" i="37" s="1"/>
  <c r="V102" i="37" s="1"/>
  <c r="C103" i="37"/>
  <c r="P103" i="37" s="1"/>
  <c r="W103" i="37" s="1"/>
  <c r="D107" i="37"/>
  <c r="N107" i="37" s="1"/>
  <c r="U107" i="37" s="1"/>
  <c r="E115" i="37"/>
  <c r="O115" i="37" s="1"/>
  <c r="V115" i="37" s="1"/>
  <c r="E88" i="37"/>
  <c r="O88" i="37" s="1"/>
  <c r="V88" i="37" s="1"/>
  <c r="C89" i="37"/>
  <c r="P89" i="37" s="1"/>
  <c r="W89" i="37" s="1"/>
  <c r="D97" i="37"/>
  <c r="N97" i="37" s="1"/>
  <c r="U97" i="37" s="1"/>
  <c r="D103" i="37"/>
  <c r="N103" i="37" s="1"/>
  <c r="U103" i="37" s="1"/>
  <c r="E107" i="37"/>
  <c r="O107" i="37" s="1"/>
  <c r="V107" i="37" s="1"/>
  <c r="E108" i="37"/>
  <c r="O108" i="37" s="1"/>
  <c r="V108" i="37" s="1"/>
  <c r="E126" i="37"/>
  <c r="O126" i="37" s="1"/>
  <c r="V126" i="37" s="1"/>
  <c r="C127" i="37"/>
  <c r="P127" i="37" s="1"/>
  <c r="W127" i="37" s="1"/>
  <c r="U122" i="37"/>
  <c r="U96" i="37"/>
  <c r="U94" i="37"/>
  <c r="U127" i="37"/>
  <c r="Q109" i="37"/>
  <c r="R109" i="37" s="1"/>
  <c r="Q156" i="37"/>
  <c r="R156" i="37" s="1"/>
  <c r="P170" i="37"/>
  <c r="C118" i="37"/>
  <c r="P118" i="37" s="1"/>
  <c r="N138" i="37"/>
  <c r="D86" i="37"/>
  <c r="N86" i="37" s="1"/>
  <c r="P152" i="37"/>
  <c r="C100" i="37"/>
  <c r="D118" i="37"/>
  <c r="N118" i="37" s="1"/>
  <c r="N170" i="37"/>
  <c r="P150" i="37"/>
  <c r="C98" i="37"/>
  <c r="P98" i="37" s="1"/>
  <c r="N152" i="37"/>
  <c r="D100" i="37"/>
  <c r="N100" i="37" s="1"/>
  <c r="N168" i="37"/>
  <c r="D116" i="37"/>
  <c r="N116" i="37" s="1"/>
  <c r="P182" i="37"/>
  <c r="C130" i="37"/>
  <c r="P130" i="37" s="1"/>
  <c r="P168" i="37"/>
  <c r="C116" i="37"/>
  <c r="P116" i="37" s="1"/>
  <c r="C86" i="37"/>
  <c r="U89" i="37"/>
  <c r="U105" i="37"/>
  <c r="U125" i="37"/>
  <c r="N150" i="37"/>
  <c r="D98" i="37"/>
  <c r="N98" i="37" s="1"/>
  <c r="P164" i="37"/>
  <c r="C112" i="37"/>
  <c r="Q166" i="37"/>
  <c r="R166" i="37" s="1"/>
  <c r="P180" i="37"/>
  <c r="C128" i="37"/>
  <c r="N182" i="37"/>
  <c r="D130" i="37"/>
  <c r="N130" i="37" s="1"/>
  <c r="P99" i="37"/>
  <c r="W99" i="37" s="1"/>
  <c r="P91" i="37"/>
  <c r="W91" i="37" s="1"/>
  <c r="U101" i="37"/>
  <c r="P107" i="37"/>
  <c r="W107" i="37" s="1"/>
  <c r="P146" i="37"/>
  <c r="Q146" i="37" s="1"/>
  <c r="R146" i="37" s="1"/>
  <c r="C94" i="37"/>
  <c r="Q148" i="37"/>
  <c r="R148" i="37" s="1"/>
  <c r="P162" i="37"/>
  <c r="C110" i="37"/>
  <c r="P110" i="37" s="1"/>
  <c r="D112" i="37"/>
  <c r="N112" i="37" s="1"/>
  <c r="N164" i="37"/>
  <c r="P178" i="37"/>
  <c r="C126" i="37"/>
  <c r="P126" i="37" s="1"/>
  <c r="W126" i="37" s="1"/>
  <c r="D128" i="37"/>
  <c r="N128" i="37" s="1"/>
  <c r="N180" i="37"/>
  <c r="X93" i="37"/>
  <c r="Y93" i="37" s="1"/>
  <c r="D88" i="37"/>
  <c r="N88" i="37" s="1"/>
  <c r="D104" i="37"/>
  <c r="N104" i="37" s="1"/>
  <c r="Q105" i="37"/>
  <c r="R105" i="37" s="1"/>
  <c r="P144" i="37"/>
  <c r="C92" i="37"/>
  <c r="P160" i="37"/>
  <c r="C108" i="37"/>
  <c r="D110" i="37"/>
  <c r="N110" i="37" s="1"/>
  <c r="N162" i="37"/>
  <c r="D126" i="37"/>
  <c r="N126" i="37" s="1"/>
  <c r="N178" i="37"/>
  <c r="U109" i="37"/>
  <c r="P154" i="37"/>
  <c r="Q154" i="37" s="1"/>
  <c r="R154" i="37" s="1"/>
  <c r="C102" i="37"/>
  <c r="Q97" i="37"/>
  <c r="R97" i="37" s="1"/>
  <c r="C84" i="37"/>
  <c r="P84" i="37" s="1"/>
  <c r="W84" i="37" s="1"/>
  <c r="P142" i="37"/>
  <c r="C90" i="37"/>
  <c r="P90" i="37" s="1"/>
  <c r="N144" i="37"/>
  <c r="D92" i="37"/>
  <c r="N92" i="37" s="1"/>
  <c r="P158" i="37"/>
  <c r="C106" i="37"/>
  <c r="P106" i="37" s="1"/>
  <c r="N160" i="37"/>
  <c r="D108" i="37"/>
  <c r="N108" i="37" s="1"/>
  <c r="P174" i="37"/>
  <c r="Q174" i="37" s="1"/>
  <c r="R174" i="37" s="1"/>
  <c r="C122" i="37"/>
  <c r="P122" i="37" s="1"/>
  <c r="N176" i="37"/>
  <c r="D124" i="37"/>
  <c r="N124" i="37" s="1"/>
  <c r="Q93" i="37"/>
  <c r="R93" i="37" s="1"/>
  <c r="U117" i="37"/>
  <c r="Q140" i="37"/>
  <c r="R140" i="37" s="1"/>
  <c r="D120" i="37"/>
  <c r="N120" i="37" s="1"/>
  <c r="N172" i="37"/>
  <c r="D84" i="37"/>
  <c r="N84" i="37" s="1"/>
  <c r="N142" i="37"/>
  <c r="D90" i="37"/>
  <c r="N90" i="37" s="1"/>
  <c r="N158" i="37"/>
  <c r="D106" i="37"/>
  <c r="N106" i="37" s="1"/>
  <c r="P172" i="37"/>
  <c r="C120" i="37"/>
  <c r="P165" i="37"/>
  <c r="C113" i="37"/>
  <c r="P113" i="37" s="1"/>
  <c r="P167" i="37"/>
  <c r="C115" i="37"/>
  <c r="C117" i="37"/>
  <c r="P169" i="37"/>
  <c r="Q169" i="37" s="1"/>
  <c r="R169" i="37" s="1"/>
  <c r="P173" i="37"/>
  <c r="C121" i="37"/>
  <c r="P121" i="37" s="1"/>
  <c r="P175" i="37"/>
  <c r="C123" i="37"/>
  <c r="C125" i="37"/>
  <c r="P177" i="37"/>
  <c r="Q177" i="37" s="1"/>
  <c r="R177" i="37" s="1"/>
  <c r="P181" i="37"/>
  <c r="C129" i="37"/>
  <c r="P129" i="37" s="1"/>
  <c r="P183" i="37"/>
  <c r="C131" i="37"/>
  <c r="AG85" i="37"/>
  <c r="Q137" i="37"/>
  <c r="R137" i="37" s="1"/>
  <c r="Q139" i="37"/>
  <c r="R139" i="37" s="1"/>
  <c r="Q141" i="37"/>
  <c r="R141" i="37" s="1"/>
  <c r="Q143" i="37"/>
  <c r="R143" i="37" s="1"/>
  <c r="Q145" i="37"/>
  <c r="R145" i="37" s="1"/>
  <c r="Q147" i="37"/>
  <c r="R147" i="37" s="1"/>
  <c r="Q149" i="37"/>
  <c r="R149" i="37" s="1"/>
  <c r="Q151" i="37"/>
  <c r="R151" i="37" s="1"/>
  <c r="Q153" i="37"/>
  <c r="R153" i="37" s="1"/>
  <c r="Q155" i="37"/>
  <c r="R155" i="37" s="1"/>
  <c r="Q157" i="37"/>
  <c r="R157" i="37" s="1"/>
  <c r="Q159" i="37"/>
  <c r="R159" i="37" s="1"/>
  <c r="Q161" i="37"/>
  <c r="R161" i="37" s="1"/>
  <c r="Q163" i="37"/>
  <c r="R163" i="37" s="1"/>
  <c r="N165" i="37"/>
  <c r="D113" i="37"/>
  <c r="N113" i="37" s="1"/>
  <c r="D115" i="37"/>
  <c r="N115" i="37" s="1"/>
  <c r="N167" i="37"/>
  <c r="Q171" i="37"/>
  <c r="R171" i="37" s="1"/>
  <c r="N173" i="37"/>
  <c r="D121" i="37"/>
  <c r="N121" i="37" s="1"/>
  <c r="D123" i="37"/>
  <c r="N123" i="37" s="1"/>
  <c r="N175" i="37"/>
  <c r="Q179" i="37"/>
  <c r="R179" i="37" s="1"/>
  <c r="N181" i="37"/>
  <c r="D129" i="37"/>
  <c r="N129" i="37" s="1"/>
  <c r="D131" i="37"/>
  <c r="N131" i="37" s="1"/>
  <c r="N183" i="37"/>
  <c r="X95" i="37" l="1"/>
  <c r="Y95" i="37" s="1"/>
  <c r="W129" i="37"/>
  <c r="Q114" i="37"/>
  <c r="R114" i="37" s="1"/>
  <c r="Q95" i="37"/>
  <c r="R95" i="37" s="1"/>
  <c r="U114" i="37"/>
  <c r="X114" i="37" s="1"/>
  <c r="Y114" i="37" s="1"/>
  <c r="Q87" i="37"/>
  <c r="R87" i="37" s="1"/>
  <c r="Q127" i="37"/>
  <c r="R127" i="37" s="1"/>
  <c r="Q96" i="37"/>
  <c r="R96" i="37" s="1"/>
  <c r="Q101" i="37"/>
  <c r="R101" i="37" s="1"/>
  <c r="W130" i="37"/>
  <c r="W118" i="37"/>
  <c r="Q119" i="37"/>
  <c r="R119" i="37" s="1"/>
  <c r="Q111" i="37"/>
  <c r="R111" i="37" s="1"/>
  <c r="O89" i="37"/>
  <c r="V89" i="37" s="1"/>
  <c r="X89" i="37" s="1"/>
  <c r="Y89" i="37" s="1"/>
  <c r="U87" i="37"/>
  <c r="X87" i="37" s="1"/>
  <c r="Y87" i="37" s="1"/>
  <c r="Q103" i="37"/>
  <c r="R103" i="37" s="1"/>
  <c r="W121" i="37"/>
  <c r="W122" i="37"/>
  <c r="X122" i="37" s="1"/>
  <c r="Y122" i="37" s="1"/>
  <c r="W90" i="37"/>
  <c r="Q121" i="37"/>
  <c r="R121" i="37" s="1"/>
  <c r="U121" i="37"/>
  <c r="X99" i="37"/>
  <c r="Y99" i="37" s="1"/>
  <c r="U131" i="37"/>
  <c r="Q180" i="37"/>
  <c r="R180" i="37" s="1"/>
  <c r="Q170" i="37"/>
  <c r="R170" i="37" s="1"/>
  <c r="U108" i="37"/>
  <c r="U128" i="37"/>
  <c r="P112" i="37"/>
  <c r="W112" i="37" s="1"/>
  <c r="U118" i="37"/>
  <c r="Q118" i="37"/>
  <c r="R118" i="37" s="1"/>
  <c r="Q181" i="37"/>
  <c r="R181" i="37" s="1"/>
  <c r="Q106" i="37"/>
  <c r="R106" i="37" s="1"/>
  <c r="U106" i="37"/>
  <c r="U84" i="37"/>
  <c r="R84" i="37"/>
  <c r="Q160" i="37"/>
  <c r="R160" i="37" s="1"/>
  <c r="U126" i="37"/>
  <c r="Q126" i="37"/>
  <c r="R126" i="37" s="1"/>
  <c r="P94" i="37"/>
  <c r="Q116" i="37"/>
  <c r="R116" i="37" s="1"/>
  <c r="U116" i="37"/>
  <c r="X107" i="37"/>
  <c r="Y107" i="37" s="1"/>
  <c r="X96" i="37"/>
  <c r="Y96" i="37" s="1"/>
  <c r="Q183" i="37"/>
  <c r="R183" i="37"/>
  <c r="Q107" i="37"/>
  <c r="R107" i="37" s="1"/>
  <c r="Q129" i="37"/>
  <c r="R129" i="37" s="1"/>
  <c r="U129" i="37"/>
  <c r="Q178" i="37"/>
  <c r="R178" i="37" s="1"/>
  <c r="X101" i="37"/>
  <c r="Y101" i="37" s="1"/>
  <c r="X105" i="37"/>
  <c r="Y105" i="37" s="1"/>
  <c r="Q167" i="37"/>
  <c r="R167" i="37" s="1"/>
  <c r="P117" i="37"/>
  <c r="Q158" i="37"/>
  <c r="R158" i="37" s="1"/>
  <c r="Q172" i="37"/>
  <c r="R172" i="37" s="1"/>
  <c r="W106" i="37"/>
  <c r="X111" i="37"/>
  <c r="Y111" i="37" s="1"/>
  <c r="Q162" i="37"/>
  <c r="R162" i="37" s="1"/>
  <c r="U130" i="37"/>
  <c r="Q130" i="37"/>
  <c r="R130" i="37" s="1"/>
  <c r="Q98" i="37"/>
  <c r="R98" i="37" s="1"/>
  <c r="U98" i="37"/>
  <c r="Q168" i="37"/>
  <c r="R168" i="37" s="1"/>
  <c r="Q173" i="37"/>
  <c r="R173" i="37" s="1"/>
  <c r="P131" i="37"/>
  <c r="W131" i="37" s="1"/>
  <c r="X97" i="37"/>
  <c r="Y97" i="37" s="1"/>
  <c r="X103" i="37"/>
  <c r="Y103" i="37" s="1"/>
  <c r="P92" i="37"/>
  <c r="W92" i="37" s="1"/>
  <c r="X127" i="37"/>
  <c r="Y127" i="37" s="1"/>
  <c r="U115" i="37"/>
  <c r="P115" i="37"/>
  <c r="W115" i="37" s="1"/>
  <c r="Q90" i="37"/>
  <c r="R90" i="37" s="1"/>
  <c r="U90" i="37"/>
  <c r="U120" i="37"/>
  <c r="P102" i="37"/>
  <c r="Q110" i="37"/>
  <c r="R110" i="37" s="1"/>
  <c r="U110" i="37"/>
  <c r="U104" i="37"/>
  <c r="Q104" i="37"/>
  <c r="R104" i="37" s="1"/>
  <c r="Q164" i="37"/>
  <c r="R164" i="37" s="1"/>
  <c r="Q182" i="37"/>
  <c r="R182" i="37" s="1"/>
  <c r="Q150" i="37"/>
  <c r="R150" i="37" s="1"/>
  <c r="U100" i="37"/>
  <c r="P100" i="37"/>
  <c r="W100" i="37" s="1"/>
  <c r="Q91" i="37"/>
  <c r="R91" i="37" s="1"/>
  <c r="P86" i="37"/>
  <c r="Q86" i="37" s="1"/>
  <c r="R86" i="37" s="1"/>
  <c r="Q138" i="37"/>
  <c r="R138" i="37"/>
  <c r="P120" i="37"/>
  <c r="W120" i="37" s="1"/>
  <c r="Q175" i="37"/>
  <c r="R175" i="37" s="1"/>
  <c r="Q113" i="37"/>
  <c r="R113" i="37" s="1"/>
  <c r="U113" i="37"/>
  <c r="P125" i="37"/>
  <c r="Q142" i="37"/>
  <c r="R142" i="37" s="1"/>
  <c r="Q124" i="37"/>
  <c r="R124" i="37" s="1"/>
  <c r="U124" i="37"/>
  <c r="U92" i="37"/>
  <c r="P108" i="37"/>
  <c r="W108" i="37" s="1"/>
  <c r="U112" i="37"/>
  <c r="P128" i="37"/>
  <c r="W128" i="37" s="1"/>
  <c r="W116" i="37"/>
  <c r="Q152" i="37"/>
  <c r="R152" i="37" s="1"/>
  <c r="Q99" i="37"/>
  <c r="R99" i="37" s="1"/>
  <c r="Q122" i="37"/>
  <c r="R122" i="37" s="1"/>
  <c r="U123" i="37"/>
  <c r="Q165" i="37"/>
  <c r="R165" i="37" s="1"/>
  <c r="P123" i="37"/>
  <c r="W123" i="37" s="1"/>
  <c r="W113" i="37"/>
  <c r="Q176" i="37"/>
  <c r="R176" i="37" s="1"/>
  <c r="Q144" i="37"/>
  <c r="R144" i="37" s="1"/>
  <c r="X109" i="37"/>
  <c r="Y109" i="37" s="1"/>
  <c r="U88" i="37"/>
  <c r="Q88" i="37"/>
  <c r="R88" i="37" s="1"/>
  <c r="W110" i="37"/>
  <c r="W98" i="37"/>
  <c r="X91" i="37"/>
  <c r="Y91" i="37" s="1"/>
  <c r="X119" i="37"/>
  <c r="Y119" i="37" s="1"/>
  <c r="Q92" i="37" l="1"/>
  <c r="R92" i="37" s="1"/>
  <c r="Q89" i="37"/>
  <c r="R89" i="37" s="1"/>
  <c r="Q123" i="37"/>
  <c r="R123" i="37" s="1"/>
  <c r="Q120" i="37"/>
  <c r="R120" i="37" s="1"/>
  <c r="Q100" i="37"/>
  <c r="R100" i="37" s="1"/>
  <c r="X92" i="37"/>
  <c r="Y92" i="37" s="1"/>
  <c r="X104" i="37"/>
  <c r="Y104" i="37" s="1"/>
  <c r="X120" i="37"/>
  <c r="Y120" i="37" s="1"/>
  <c r="X115" i="37"/>
  <c r="Y115" i="37" s="1"/>
  <c r="X98" i="37"/>
  <c r="Y98" i="37" s="1"/>
  <c r="X126" i="37"/>
  <c r="Y126" i="37" s="1"/>
  <c r="W94" i="37"/>
  <c r="X94" i="37" s="1"/>
  <c r="Y94" i="37" s="1"/>
  <c r="Q94" i="37"/>
  <c r="R94" i="37" s="1"/>
  <c r="X131" i="37"/>
  <c r="Y131" i="37" s="1"/>
  <c r="X106" i="37"/>
  <c r="Y106" i="37" s="1"/>
  <c r="X88" i="37"/>
  <c r="Y88" i="37" s="1"/>
  <c r="X124" i="37"/>
  <c r="Y124" i="37" s="1"/>
  <c r="X110" i="37"/>
  <c r="Y110" i="37" s="1"/>
  <c r="X116" i="37"/>
  <c r="Y116" i="37" s="1"/>
  <c r="Q128" i="37"/>
  <c r="R128" i="37" s="1"/>
  <c r="X90" i="37"/>
  <c r="Y90" i="37" s="1"/>
  <c r="X129" i="37"/>
  <c r="Y129" i="37" s="1"/>
  <c r="X108" i="37"/>
  <c r="Y108" i="37" s="1"/>
  <c r="X123" i="37"/>
  <c r="Y123" i="37" s="1"/>
  <c r="W117" i="37"/>
  <c r="X117" i="37" s="1"/>
  <c r="Y117" i="37" s="1"/>
  <c r="Q117" i="37"/>
  <c r="R117" i="37" s="1"/>
  <c r="X112" i="37"/>
  <c r="Y112" i="37" s="1"/>
  <c r="X128" i="37"/>
  <c r="Y128" i="37" s="1"/>
  <c r="Q131" i="37"/>
  <c r="R131" i="37" s="1"/>
  <c r="X121" i="37"/>
  <c r="Y121" i="37" s="1"/>
  <c r="R136" i="37"/>
  <c r="Y84" i="37"/>
  <c r="X100" i="37"/>
  <c r="Y100" i="37" s="1"/>
  <c r="X118" i="37"/>
  <c r="Y118" i="37" s="1"/>
  <c r="W125" i="37"/>
  <c r="X125" i="37" s="1"/>
  <c r="Y125" i="37" s="1"/>
  <c r="Q125" i="37"/>
  <c r="R125" i="37" s="1"/>
  <c r="Q115" i="37"/>
  <c r="R115" i="37" s="1"/>
  <c r="Q112" i="37"/>
  <c r="R112" i="37" s="1"/>
  <c r="X113" i="37"/>
  <c r="Y113" i="37" s="1"/>
  <c r="W102" i="37"/>
  <c r="X102" i="37" s="1"/>
  <c r="Y102" i="37" s="1"/>
  <c r="Q102" i="37"/>
  <c r="R102" i="37" s="1"/>
  <c r="X130" i="37"/>
  <c r="Y130" i="37" s="1"/>
  <c r="Q108" i="37"/>
  <c r="R108" i="37" s="1"/>
  <c r="E138" i="24" l="1"/>
  <c r="O138" i="24" s="1"/>
  <c r="E139" i="24"/>
  <c r="O139" i="24" s="1"/>
  <c r="E140" i="24"/>
  <c r="O140" i="24" s="1"/>
  <c r="E141" i="24"/>
  <c r="O141" i="24" s="1"/>
  <c r="E142" i="24"/>
  <c r="O142" i="24" s="1"/>
  <c r="E143" i="24"/>
  <c r="O143" i="24" s="1"/>
  <c r="E144" i="24"/>
  <c r="O144" i="24" s="1"/>
  <c r="E145" i="24"/>
  <c r="O145" i="24" s="1"/>
  <c r="E146" i="24"/>
  <c r="O146" i="24" s="1"/>
  <c r="E147" i="24"/>
  <c r="O147" i="24" s="1"/>
  <c r="E148" i="24"/>
  <c r="O148" i="24" s="1"/>
  <c r="E149" i="24"/>
  <c r="O149" i="24" s="1"/>
  <c r="E150" i="24"/>
  <c r="O150" i="24" s="1"/>
  <c r="E151" i="24"/>
  <c r="O151" i="24" s="1"/>
  <c r="E152" i="24"/>
  <c r="O152" i="24" s="1"/>
  <c r="E153" i="24"/>
  <c r="O153" i="24" s="1"/>
  <c r="E154" i="24"/>
  <c r="O154" i="24" s="1"/>
  <c r="E155" i="24"/>
  <c r="O155" i="24" s="1"/>
  <c r="E156" i="24"/>
  <c r="O156" i="24" s="1"/>
  <c r="E157" i="24"/>
  <c r="O157" i="24" s="1"/>
  <c r="E158" i="24"/>
  <c r="O158" i="24" s="1"/>
  <c r="E159" i="24"/>
  <c r="O159" i="24" s="1"/>
  <c r="E160" i="24"/>
  <c r="O160" i="24" s="1"/>
  <c r="E161" i="24"/>
  <c r="O161" i="24" s="1"/>
  <c r="E162" i="24"/>
  <c r="O162" i="24" s="1"/>
  <c r="E163" i="24"/>
  <c r="O163" i="24" s="1"/>
  <c r="E164" i="24"/>
  <c r="O164" i="24" s="1"/>
  <c r="E165" i="24"/>
  <c r="O165" i="24" s="1"/>
  <c r="E166" i="24"/>
  <c r="O166" i="24" s="1"/>
  <c r="E167" i="24"/>
  <c r="O167" i="24" s="1"/>
  <c r="E168" i="24"/>
  <c r="O168" i="24" s="1"/>
  <c r="E169" i="24"/>
  <c r="O169" i="24" s="1"/>
  <c r="E170" i="24"/>
  <c r="O170" i="24" s="1"/>
  <c r="E171" i="24"/>
  <c r="O171" i="24" s="1"/>
  <c r="E172" i="24"/>
  <c r="O172" i="24" s="1"/>
  <c r="E173" i="24"/>
  <c r="O173" i="24" s="1"/>
  <c r="E174" i="24"/>
  <c r="O174" i="24" s="1"/>
  <c r="E175" i="24"/>
  <c r="O175" i="24" s="1"/>
  <c r="E176" i="24"/>
  <c r="O176" i="24" s="1"/>
  <c r="E177" i="24"/>
  <c r="O177" i="24" s="1"/>
  <c r="E178" i="24"/>
  <c r="O178" i="24" s="1"/>
  <c r="E179" i="24"/>
  <c r="O179" i="24" s="1"/>
  <c r="E180" i="24"/>
  <c r="O180" i="24" s="1"/>
  <c r="E181" i="24"/>
  <c r="O181" i="24" s="1"/>
  <c r="E182" i="24"/>
  <c r="O182" i="24" s="1"/>
  <c r="E183" i="24"/>
  <c r="O183" i="24" s="1"/>
  <c r="E137" i="24"/>
  <c r="O137" i="24" s="1"/>
  <c r="E136" i="24"/>
  <c r="E84" i="24" s="1"/>
  <c r="O84" i="24" s="1"/>
  <c r="V84" i="24" s="1"/>
  <c r="D136" i="24"/>
  <c r="C136" i="24"/>
  <c r="C84" i="24" s="1"/>
  <c r="O136" i="24" l="1"/>
  <c r="E183" i="34"/>
  <c r="O183" i="34" s="1"/>
  <c r="D183" i="34"/>
  <c r="C183" i="34"/>
  <c r="E182" i="34"/>
  <c r="O182" i="34" s="1"/>
  <c r="D182" i="34"/>
  <c r="N182" i="34" s="1"/>
  <c r="C182" i="34"/>
  <c r="E181" i="34"/>
  <c r="D181" i="34"/>
  <c r="N181" i="34" s="1"/>
  <c r="C181" i="34"/>
  <c r="P181" i="34" s="1"/>
  <c r="E180" i="34"/>
  <c r="O180" i="34" s="1"/>
  <c r="D180" i="34"/>
  <c r="N180" i="34" s="1"/>
  <c r="C180" i="34"/>
  <c r="E179" i="34"/>
  <c r="O179" i="34" s="1"/>
  <c r="D179" i="34"/>
  <c r="N179" i="34" s="1"/>
  <c r="C179" i="34"/>
  <c r="P179" i="34" s="1"/>
  <c r="E178" i="34"/>
  <c r="D178" i="34"/>
  <c r="C178" i="34"/>
  <c r="P178" i="34" s="1"/>
  <c r="E177" i="34"/>
  <c r="O177" i="34" s="1"/>
  <c r="D177" i="34"/>
  <c r="N177" i="34" s="1"/>
  <c r="C177" i="34"/>
  <c r="P177" i="34" s="1"/>
  <c r="E176" i="34"/>
  <c r="O176" i="34" s="1"/>
  <c r="D176" i="34"/>
  <c r="N176" i="34" s="1"/>
  <c r="C176" i="34"/>
  <c r="E175" i="34"/>
  <c r="O175" i="34" s="1"/>
  <c r="D175" i="34"/>
  <c r="C175" i="34"/>
  <c r="E174" i="34"/>
  <c r="D174" i="34"/>
  <c r="C174" i="34"/>
  <c r="P174" i="34" s="1"/>
  <c r="E173" i="34"/>
  <c r="D173" i="34"/>
  <c r="N173" i="34" s="1"/>
  <c r="C173" i="34"/>
  <c r="P173" i="34" s="1"/>
  <c r="E172" i="34"/>
  <c r="O172" i="34" s="1"/>
  <c r="D172" i="34"/>
  <c r="N172" i="34" s="1"/>
  <c r="C172" i="34"/>
  <c r="E171" i="34"/>
  <c r="O171" i="34" s="1"/>
  <c r="D171" i="34"/>
  <c r="C171" i="34"/>
  <c r="E170" i="34"/>
  <c r="D170" i="34"/>
  <c r="C170" i="34"/>
  <c r="P170" i="34" s="1"/>
  <c r="E169" i="34"/>
  <c r="D169" i="34"/>
  <c r="N169" i="34" s="1"/>
  <c r="C169" i="34"/>
  <c r="P169" i="34" s="1"/>
  <c r="E168" i="34"/>
  <c r="O168" i="34" s="1"/>
  <c r="D168" i="34"/>
  <c r="N168" i="34" s="1"/>
  <c r="C168" i="34"/>
  <c r="P168" i="34" s="1"/>
  <c r="E167" i="34"/>
  <c r="O167" i="34" s="1"/>
  <c r="D167" i="34"/>
  <c r="C167" i="34"/>
  <c r="P167" i="34" s="1"/>
  <c r="E166" i="34"/>
  <c r="D166" i="34"/>
  <c r="C166" i="34"/>
  <c r="P166" i="34" s="1"/>
  <c r="E165" i="34"/>
  <c r="O165" i="34" s="1"/>
  <c r="D165" i="34"/>
  <c r="N165" i="34" s="1"/>
  <c r="C165" i="34"/>
  <c r="P165" i="34" s="1"/>
  <c r="E164" i="34"/>
  <c r="O164" i="34" s="1"/>
  <c r="D164" i="34"/>
  <c r="N164" i="34" s="1"/>
  <c r="C164" i="34"/>
  <c r="P164" i="34" s="1"/>
  <c r="E163" i="34"/>
  <c r="O163" i="34" s="1"/>
  <c r="D163" i="34"/>
  <c r="C163" i="34"/>
  <c r="E162" i="34"/>
  <c r="O162" i="34" s="1"/>
  <c r="D162" i="34"/>
  <c r="N162" i="34" s="1"/>
  <c r="C162" i="34"/>
  <c r="P162" i="34" s="1"/>
  <c r="E161" i="34"/>
  <c r="D161" i="34"/>
  <c r="N161" i="34" s="1"/>
  <c r="C161" i="34"/>
  <c r="P161" i="34" s="1"/>
  <c r="E160" i="34"/>
  <c r="O160" i="34" s="1"/>
  <c r="D160" i="34"/>
  <c r="N160" i="34" s="1"/>
  <c r="C160" i="34"/>
  <c r="E159" i="34"/>
  <c r="O159" i="34" s="1"/>
  <c r="D159" i="34"/>
  <c r="N159" i="34" s="1"/>
  <c r="C159" i="34"/>
  <c r="P159" i="34" s="1"/>
  <c r="E158" i="34"/>
  <c r="D158" i="34"/>
  <c r="C158" i="34"/>
  <c r="P158" i="34" s="1"/>
  <c r="E157" i="34"/>
  <c r="O157" i="34" s="1"/>
  <c r="D157" i="34"/>
  <c r="N157" i="34" s="1"/>
  <c r="C157" i="34"/>
  <c r="P157" i="34" s="1"/>
  <c r="E156" i="34"/>
  <c r="O156" i="34" s="1"/>
  <c r="D156" i="34"/>
  <c r="N156" i="34" s="1"/>
  <c r="C156" i="34"/>
  <c r="P156" i="34" s="1"/>
  <c r="E155" i="34"/>
  <c r="O155" i="34" s="1"/>
  <c r="D155" i="34"/>
  <c r="C155" i="34"/>
  <c r="E154" i="34"/>
  <c r="O154" i="34" s="1"/>
  <c r="D154" i="34"/>
  <c r="N154" i="34" s="1"/>
  <c r="C154" i="34"/>
  <c r="P154" i="34" s="1"/>
  <c r="E153" i="34"/>
  <c r="D153" i="34"/>
  <c r="N153" i="34" s="1"/>
  <c r="C153" i="34"/>
  <c r="P153" i="34" s="1"/>
  <c r="E152" i="34"/>
  <c r="O152" i="34" s="1"/>
  <c r="D152" i="34"/>
  <c r="N152" i="34" s="1"/>
  <c r="C152" i="34"/>
  <c r="E151" i="34"/>
  <c r="O151" i="34" s="1"/>
  <c r="D151" i="34"/>
  <c r="N151" i="34" s="1"/>
  <c r="C151" i="34"/>
  <c r="P151" i="34" s="1"/>
  <c r="E150" i="34"/>
  <c r="D150" i="34"/>
  <c r="C150" i="34"/>
  <c r="P150" i="34" s="1"/>
  <c r="E149" i="34"/>
  <c r="O149" i="34" s="1"/>
  <c r="D149" i="34"/>
  <c r="N149" i="34" s="1"/>
  <c r="C149" i="34"/>
  <c r="P149" i="34" s="1"/>
  <c r="E148" i="34"/>
  <c r="O148" i="34" s="1"/>
  <c r="D148" i="34"/>
  <c r="N148" i="34" s="1"/>
  <c r="C148" i="34"/>
  <c r="P148" i="34" s="1"/>
  <c r="E147" i="34"/>
  <c r="O147" i="34" s="1"/>
  <c r="D147" i="34"/>
  <c r="C147" i="34"/>
  <c r="E146" i="34"/>
  <c r="O146" i="34" s="1"/>
  <c r="D146" i="34"/>
  <c r="N146" i="34" s="1"/>
  <c r="C146" i="34"/>
  <c r="P146" i="34" s="1"/>
  <c r="E145" i="34"/>
  <c r="D145" i="34"/>
  <c r="N145" i="34" s="1"/>
  <c r="C145" i="34"/>
  <c r="P145" i="34" s="1"/>
  <c r="E144" i="34"/>
  <c r="O144" i="34" s="1"/>
  <c r="D144" i="34"/>
  <c r="C144" i="34"/>
  <c r="E143" i="34"/>
  <c r="O143" i="34" s="1"/>
  <c r="D143" i="34"/>
  <c r="N143" i="34" s="1"/>
  <c r="C143" i="34"/>
  <c r="P143" i="34" s="1"/>
  <c r="E142" i="34"/>
  <c r="O142" i="34" s="1"/>
  <c r="D142" i="34"/>
  <c r="N142" i="34" s="1"/>
  <c r="C142" i="34"/>
  <c r="P142" i="34" s="1"/>
  <c r="E141" i="34"/>
  <c r="O141" i="34" s="1"/>
  <c r="D141" i="34"/>
  <c r="N141" i="34" s="1"/>
  <c r="C141" i="34"/>
  <c r="P141" i="34" s="1"/>
  <c r="E140" i="34"/>
  <c r="O140" i="34" s="1"/>
  <c r="D140" i="34"/>
  <c r="N140" i="34" s="1"/>
  <c r="C140" i="34"/>
  <c r="E139" i="34"/>
  <c r="O139" i="34" s="1"/>
  <c r="D139" i="34"/>
  <c r="N139" i="34" s="1"/>
  <c r="C139" i="34"/>
  <c r="P139" i="34" s="1"/>
  <c r="E138" i="34"/>
  <c r="O138" i="34" s="1"/>
  <c r="D138" i="34"/>
  <c r="N138" i="34" s="1"/>
  <c r="C138" i="34"/>
  <c r="P138" i="34" s="1"/>
  <c r="E137" i="34"/>
  <c r="D137" i="34"/>
  <c r="N137" i="34" s="1"/>
  <c r="C137" i="34"/>
  <c r="P137" i="34" s="1"/>
  <c r="Q136" i="34"/>
  <c r="E136" i="34"/>
  <c r="O136" i="34" s="1"/>
  <c r="D136" i="34"/>
  <c r="N136" i="34" s="1"/>
  <c r="C136" i="34"/>
  <c r="P136" i="34" s="1"/>
  <c r="K131" i="34"/>
  <c r="J131" i="34"/>
  <c r="I131" i="34"/>
  <c r="H131" i="34"/>
  <c r="G131" i="34"/>
  <c r="F131" i="34"/>
  <c r="E131" i="34"/>
  <c r="O131" i="34" s="1"/>
  <c r="V131" i="34" s="1"/>
  <c r="K130" i="34"/>
  <c r="J130" i="34"/>
  <c r="I130" i="34"/>
  <c r="H130" i="34"/>
  <c r="G130" i="34"/>
  <c r="F130" i="34"/>
  <c r="E130" i="34"/>
  <c r="O130" i="34" s="1"/>
  <c r="V130" i="34" s="1"/>
  <c r="K129" i="34"/>
  <c r="J129" i="34"/>
  <c r="I129" i="34"/>
  <c r="H129" i="34"/>
  <c r="G129" i="34"/>
  <c r="F129" i="34"/>
  <c r="D129" i="34"/>
  <c r="N129" i="34" s="1"/>
  <c r="U129" i="34" s="1"/>
  <c r="C129" i="34"/>
  <c r="P129" i="34" s="1"/>
  <c r="W129" i="34" s="1"/>
  <c r="K128" i="34"/>
  <c r="J128" i="34"/>
  <c r="I128" i="34"/>
  <c r="H128" i="34"/>
  <c r="G128" i="34"/>
  <c r="F128" i="34"/>
  <c r="E128" i="34"/>
  <c r="O128" i="34" s="1"/>
  <c r="V128" i="34" s="1"/>
  <c r="D128" i="34"/>
  <c r="N128" i="34" s="1"/>
  <c r="K127" i="34"/>
  <c r="J127" i="34"/>
  <c r="I127" i="34"/>
  <c r="H127" i="34"/>
  <c r="G127" i="34"/>
  <c r="F127" i="34"/>
  <c r="K126" i="34"/>
  <c r="J126" i="34"/>
  <c r="I126" i="34"/>
  <c r="H126" i="34"/>
  <c r="G126" i="34"/>
  <c r="F126" i="34"/>
  <c r="C126" i="34"/>
  <c r="P126" i="34" s="1"/>
  <c r="W126" i="34" s="1"/>
  <c r="K125" i="34"/>
  <c r="J125" i="34"/>
  <c r="I125" i="34"/>
  <c r="H125" i="34"/>
  <c r="G125" i="34"/>
  <c r="F125" i="34"/>
  <c r="E125" i="34"/>
  <c r="O125" i="34" s="1"/>
  <c r="V125" i="34" s="1"/>
  <c r="D125" i="34"/>
  <c r="N125" i="34" s="1"/>
  <c r="K124" i="34"/>
  <c r="J124" i="34"/>
  <c r="I124" i="34"/>
  <c r="H124" i="34"/>
  <c r="G124" i="34"/>
  <c r="F124" i="34"/>
  <c r="E124" i="34"/>
  <c r="O124" i="34" s="1"/>
  <c r="V124" i="34" s="1"/>
  <c r="K123" i="34"/>
  <c r="J123" i="34"/>
  <c r="I123" i="34"/>
  <c r="H123" i="34"/>
  <c r="G123" i="34"/>
  <c r="F123" i="34"/>
  <c r="E123" i="34"/>
  <c r="O123" i="34" s="1"/>
  <c r="V123" i="34" s="1"/>
  <c r="K122" i="34"/>
  <c r="J122" i="34"/>
  <c r="I122" i="34"/>
  <c r="H122" i="34"/>
  <c r="G122" i="34"/>
  <c r="F122" i="34"/>
  <c r="K121" i="34"/>
  <c r="J121" i="34"/>
  <c r="I121" i="34"/>
  <c r="H121" i="34"/>
  <c r="G121" i="34"/>
  <c r="F121" i="34"/>
  <c r="D121" i="34"/>
  <c r="N121" i="34" s="1"/>
  <c r="C121" i="34"/>
  <c r="P121" i="34" s="1"/>
  <c r="W121" i="34" s="1"/>
  <c r="K120" i="34"/>
  <c r="J120" i="34"/>
  <c r="I120" i="34"/>
  <c r="H120" i="34"/>
  <c r="G120" i="34"/>
  <c r="F120" i="34"/>
  <c r="E120" i="34"/>
  <c r="O120" i="34" s="1"/>
  <c r="V120" i="34" s="1"/>
  <c r="D120" i="34"/>
  <c r="N120" i="34" s="1"/>
  <c r="K119" i="34"/>
  <c r="J119" i="34"/>
  <c r="I119" i="34"/>
  <c r="H119" i="34"/>
  <c r="G119" i="34"/>
  <c r="F119" i="34"/>
  <c r="K118" i="34"/>
  <c r="J118" i="34"/>
  <c r="I118" i="34"/>
  <c r="H118" i="34"/>
  <c r="G118" i="34"/>
  <c r="F118" i="34"/>
  <c r="C118" i="34"/>
  <c r="P118" i="34" s="1"/>
  <c r="W118" i="34" s="1"/>
  <c r="K117" i="34"/>
  <c r="J117" i="34"/>
  <c r="I117" i="34"/>
  <c r="H117" i="34"/>
  <c r="G117" i="34"/>
  <c r="F117" i="34"/>
  <c r="D117" i="34"/>
  <c r="K116" i="34"/>
  <c r="J116" i="34"/>
  <c r="I116" i="34"/>
  <c r="H116" i="34"/>
  <c r="G116" i="34"/>
  <c r="F116" i="34"/>
  <c r="C116" i="34"/>
  <c r="P116" i="34" s="1"/>
  <c r="W116" i="34" s="1"/>
  <c r="K115" i="34"/>
  <c r="J115" i="34"/>
  <c r="I115" i="34"/>
  <c r="H115" i="34"/>
  <c r="G115" i="34"/>
  <c r="F115" i="34"/>
  <c r="E115" i="34"/>
  <c r="O115" i="34" s="1"/>
  <c r="V115" i="34" s="1"/>
  <c r="C115" i="34"/>
  <c r="P115" i="34" s="1"/>
  <c r="W115" i="34" s="1"/>
  <c r="K114" i="34"/>
  <c r="J114" i="34"/>
  <c r="I114" i="34"/>
  <c r="H114" i="34"/>
  <c r="G114" i="34"/>
  <c r="F114" i="34"/>
  <c r="K113" i="34"/>
  <c r="J113" i="34"/>
  <c r="I113" i="34"/>
  <c r="H113" i="34"/>
  <c r="G113" i="34"/>
  <c r="F113" i="34"/>
  <c r="D113" i="34"/>
  <c r="N113" i="34" s="1"/>
  <c r="C113" i="34"/>
  <c r="P113" i="34" s="1"/>
  <c r="W113" i="34" s="1"/>
  <c r="K112" i="34"/>
  <c r="J112" i="34"/>
  <c r="I112" i="34"/>
  <c r="H112" i="34"/>
  <c r="G112" i="34"/>
  <c r="F112" i="34"/>
  <c r="E112" i="34"/>
  <c r="O112" i="34" s="1"/>
  <c r="V112" i="34" s="1"/>
  <c r="K111" i="34"/>
  <c r="J111" i="34"/>
  <c r="I111" i="34"/>
  <c r="H111" i="34"/>
  <c r="G111" i="34"/>
  <c r="F111" i="34"/>
  <c r="E111" i="34"/>
  <c r="O111" i="34" s="1"/>
  <c r="V111" i="34" s="1"/>
  <c r="K110" i="34"/>
  <c r="J110" i="34"/>
  <c r="I110" i="34"/>
  <c r="H110" i="34"/>
  <c r="G110" i="34"/>
  <c r="F110" i="34"/>
  <c r="E110" i="34"/>
  <c r="O110" i="34" s="1"/>
  <c r="V110" i="34" s="1"/>
  <c r="D110" i="34"/>
  <c r="N110" i="34" s="1"/>
  <c r="C110" i="34"/>
  <c r="P110" i="34" s="1"/>
  <c r="W110" i="34" s="1"/>
  <c r="K109" i="34"/>
  <c r="J109" i="34"/>
  <c r="I109" i="34"/>
  <c r="H109" i="34"/>
  <c r="G109" i="34"/>
  <c r="F109" i="34"/>
  <c r="K108" i="34"/>
  <c r="J108" i="34"/>
  <c r="I108" i="34"/>
  <c r="H108" i="34"/>
  <c r="G108" i="34"/>
  <c r="F108" i="34"/>
  <c r="K107" i="34"/>
  <c r="J107" i="34"/>
  <c r="I107" i="34"/>
  <c r="H107" i="34"/>
  <c r="G107" i="34"/>
  <c r="F107" i="34"/>
  <c r="E107" i="34"/>
  <c r="O107" i="34" s="1"/>
  <c r="V107" i="34" s="1"/>
  <c r="K106" i="34"/>
  <c r="J106" i="34"/>
  <c r="I106" i="34"/>
  <c r="H106" i="34"/>
  <c r="G106" i="34"/>
  <c r="F106" i="34"/>
  <c r="K105" i="34"/>
  <c r="J105" i="34"/>
  <c r="I105" i="34"/>
  <c r="H105" i="34"/>
  <c r="G105" i="34"/>
  <c r="F105" i="34"/>
  <c r="D105" i="34"/>
  <c r="N105" i="34" s="1"/>
  <c r="K104" i="34"/>
  <c r="J104" i="34"/>
  <c r="I104" i="34"/>
  <c r="H104" i="34"/>
  <c r="G104" i="34"/>
  <c r="F104" i="34"/>
  <c r="E104" i="34"/>
  <c r="O104" i="34" s="1"/>
  <c r="V104" i="34" s="1"/>
  <c r="D104" i="34"/>
  <c r="N104" i="34" s="1"/>
  <c r="C104" i="34"/>
  <c r="P104" i="34" s="1"/>
  <c r="W104" i="34" s="1"/>
  <c r="K103" i="34"/>
  <c r="J103" i="34"/>
  <c r="I103" i="34"/>
  <c r="H103" i="34"/>
  <c r="G103" i="34"/>
  <c r="F103" i="34"/>
  <c r="K102" i="34"/>
  <c r="J102" i="34"/>
  <c r="I102" i="34"/>
  <c r="H102" i="34"/>
  <c r="G102" i="34"/>
  <c r="F102" i="34"/>
  <c r="C102" i="34"/>
  <c r="P102" i="34" s="1"/>
  <c r="W102" i="34" s="1"/>
  <c r="K101" i="34"/>
  <c r="J101" i="34"/>
  <c r="I101" i="34"/>
  <c r="H101" i="34"/>
  <c r="G101" i="34"/>
  <c r="F101" i="34"/>
  <c r="D101" i="34"/>
  <c r="N101" i="34" s="1"/>
  <c r="K100" i="34"/>
  <c r="J100" i="34"/>
  <c r="I100" i="34"/>
  <c r="H100" i="34"/>
  <c r="G100" i="34"/>
  <c r="F100" i="34"/>
  <c r="D100" i="34"/>
  <c r="N100" i="34" s="1"/>
  <c r="U100" i="34" s="1"/>
  <c r="K99" i="34"/>
  <c r="J99" i="34"/>
  <c r="I99" i="34"/>
  <c r="H99" i="34"/>
  <c r="G99" i="34"/>
  <c r="F99" i="34"/>
  <c r="D99" i="34"/>
  <c r="N99" i="34" s="1"/>
  <c r="C99" i="34"/>
  <c r="K98" i="34"/>
  <c r="J98" i="34"/>
  <c r="I98" i="34"/>
  <c r="H98" i="34"/>
  <c r="G98" i="34"/>
  <c r="F98" i="34"/>
  <c r="K97" i="34"/>
  <c r="J97" i="34"/>
  <c r="I97" i="34"/>
  <c r="H97" i="34"/>
  <c r="G97" i="34"/>
  <c r="F97" i="34"/>
  <c r="E97" i="34"/>
  <c r="O97" i="34" s="1"/>
  <c r="V97" i="34" s="1"/>
  <c r="K96" i="34"/>
  <c r="J96" i="34"/>
  <c r="I96" i="34"/>
  <c r="H96" i="34"/>
  <c r="G96" i="34"/>
  <c r="F96" i="34"/>
  <c r="E96" i="34"/>
  <c r="O96" i="34" s="1"/>
  <c r="V96" i="34" s="1"/>
  <c r="D96" i="34"/>
  <c r="N96" i="34" s="1"/>
  <c r="C96" i="34"/>
  <c r="P96" i="34" s="1"/>
  <c r="W96" i="34" s="1"/>
  <c r="K95" i="34"/>
  <c r="J95" i="34"/>
  <c r="I95" i="34"/>
  <c r="H95" i="34"/>
  <c r="G95" i="34"/>
  <c r="F95" i="34"/>
  <c r="K94" i="34"/>
  <c r="J94" i="34"/>
  <c r="I94" i="34"/>
  <c r="H94" i="34"/>
  <c r="G94" i="34"/>
  <c r="F94" i="34"/>
  <c r="E94" i="34"/>
  <c r="O94" i="34" s="1"/>
  <c r="V94" i="34" s="1"/>
  <c r="D94" i="34"/>
  <c r="C94" i="34"/>
  <c r="P94" i="34" s="1"/>
  <c r="W94" i="34" s="1"/>
  <c r="K93" i="34"/>
  <c r="J93" i="34"/>
  <c r="I93" i="34"/>
  <c r="H93" i="34"/>
  <c r="G93" i="34"/>
  <c r="F93" i="34"/>
  <c r="D93" i="34"/>
  <c r="N93" i="34" s="1"/>
  <c r="U93" i="34" s="1"/>
  <c r="K92" i="34"/>
  <c r="J92" i="34"/>
  <c r="I92" i="34"/>
  <c r="H92" i="34"/>
  <c r="G92" i="34"/>
  <c r="F92" i="34"/>
  <c r="K91" i="34"/>
  <c r="J91" i="34"/>
  <c r="I91" i="34"/>
  <c r="H91" i="34"/>
  <c r="G91" i="34"/>
  <c r="F91" i="34"/>
  <c r="E91" i="34"/>
  <c r="O91" i="34" s="1"/>
  <c r="V91" i="34" s="1"/>
  <c r="D91" i="34"/>
  <c r="N91" i="34" s="1"/>
  <c r="C91" i="34"/>
  <c r="K90" i="34"/>
  <c r="J90" i="34"/>
  <c r="I90" i="34"/>
  <c r="H90" i="34"/>
  <c r="G90" i="34"/>
  <c r="F90" i="34"/>
  <c r="E90" i="34"/>
  <c r="O90" i="34" s="1"/>
  <c r="V90" i="34" s="1"/>
  <c r="K89" i="34"/>
  <c r="J89" i="34"/>
  <c r="I89" i="34"/>
  <c r="H89" i="34"/>
  <c r="G89" i="34"/>
  <c r="F89" i="34"/>
  <c r="E89" i="34"/>
  <c r="O89" i="34" s="1"/>
  <c r="V89" i="34" s="1"/>
  <c r="D89" i="34"/>
  <c r="N89" i="34" s="1"/>
  <c r="C89" i="34"/>
  <c r="P89" i="34" s="1"/>
  <c r="W89" i="34" s="1"/>
  <c r="K88" i="34"/>
  <c r="J88" i="34"/>
  <c r="I88" i="34"/>
  <c r="H88" i="34"/>
  <c r="G88" i="34"/>
  <c r="F88" i="34"/>
  <c r="E88" i="34"/>
  <c r="O88" i="34" s="1"/>
  <c r="V88" i="34" s="1"/>
  <c r="K87" i="34"/>
  <c r="J87" i="34"/>
  <c r="I87" i="34"/>
  <c r="H87" i="34"/>
  <c r="G87" i="34"/>
  <c r="F87" i="34"/>
  <c r="D87" i="34"/>
  <c r="N87" i="34" s="1"/>
  <c r="C87" i="34"/>
  <c r="P87" i="34" s="1"/>
  <c r="W87" i="34" s="1"/>
  <c r="K86" i="34"/>
  <c r="J86" i="34"/>
  <c r="I86" i="34"/>
  <c r="H86" i="34"/>
  <c r="G86" i="34"/>
  <c r="F86" i="34"/>
  <c r="E86" i="34"/>
  <c r="O86" i="34" s="1"/>
  <c r="V86" i="34" s="1"/>
  <c r="X86" i="34" s="1"/>
  <c r="D86" i="34"/>
  <c r="N86" i="34" s="1"/>
  <c r="C86" i="34"/>
  <c r="P86" i="34" s="1"/>
  <c r="K85" i="34"/>
  <c r="J85" i="34"/>
  <c r="I85" i="34"/>
  <c r="H85" i="34"/>
  <c r="G85" i="34"/>
  <c r="F85" i="34"/>
  <c r="P84" i="34"/>
  <c r="W84" i="34" s="1"/>
  <c r="E84" i="34"/>
  <c r="O84" i="34" s="1"/>
  <c r="Y72" i="34"/>
  <c r="U72" i="34"/>
  <c r="T72" i="34"/>
  <c r="O72" i="34"/>
  <c r="Y71" i="34"/>
  <c r="U71" i="34"/>
  <c r="T71" i="34"/>
  <c r="O71" i="34"/>
  <c r="Y70" i="34"/>
  <c r="U70" i="34"/>
  <c r="T70" i="34"/>
  <c r="O70" i="34"/>
  <c r="Y69" i="34"/>
  <c r="U69" i="34"/>
  <c r="T69" i="34"/>
  <c r="O69" i="34"/>
  <c r="Y68" i="34"/>
  <c r="U68" i="34"/>
  <c r="T68" i="34"/>
  <c r="O68" i="34"/>
  <c r="Y67" i="34"/>
  <c r="U67" i="34"/>
  <c r="T67" i="34"/>
  <c r="O67" i="34"/>
  <c r="Y66" i="34"/>
  <c r="U66" i="34"/>
  <c r="T66" i="34"/>
  <c r="O66" i="34"/>
  <c r="Y65" i="34"/>
  <c r="U65" i="34"/>
  <c r="T65" i="34"/>
  <c r="O65" i="34"/>
  <c r="Y64" i="34"/>
  <c r="U64" i="34"/>
  <c r="T64" i="34"/>
  <c r="O64" i="34"/>
  <c r="Y63" i="34"/>
  <c r="U63" i="34"/>
  <c r="T63" i="34"/>
  <c r="O63" i="34"/>
  <c r="Y62" i="34"/>
  <c r="U62" i="34"/>
  <c r="O62" i="34"/>
  <c r="Y61" i="34"/>
  <c r="U61" i="34"/>
  <c r="O61" i="34"/>
  <c r="Y60" i="34"/>
  <c r="U60" i="34"/>
  <c r="O60" i="34"/>
  <c r="Y59" i="34"/>
  <c r="U59" i="34"/>
  <c r="O59" i="34"/>
  <c r="Y58" i="34"/>
  <c r="U58" i="34"/>
  <c r="O58" i="34"/>
  <c r="Y57" i="34"/>
  <c r="U57" i="34"/>
  <c r="O57" i="34"/>
  <c r="Y56" i="34"/>
  <c r="U56" i="34"/>
  <c r="O56" i="34"/>
  <c r="Y55" i="34"/>
  <c r="U55" i="34"/>
  <c r="O55" i="34"/>
  <c r="Y54" i="34"/>
  <c r="U54" i="34"/>
  <c r="O54" i="34"/>
  <c r="Y53" i="34"/>
  <c r="U53" i="34"/>
  <c r="O53" i="34"/>
  <c r="Y52" i="34"/>
  <c r="U52" i="34"/>
  <c r="O52" i="34"/>
  <c r="Y51" i="34"/>
  <c r="U51" i="34"/>
  <c r="O51" i="34"/>
  <c r="Y50" i="34"/>
  <c r="U50" i="34"/>
  <c r="O50" i="34"/>
  <c r="Y49" i="34"/>
  <c r="U49" i="34"/>
  <c r="O49" i="34"/>
  <c r="Y48" i="34"/>
  <c r="U48" i="34"/>
  <c r="O48" i="34"/>
  <c r="Y47" i="34"/>
  <c r="U47" i="34"/>
  <c r="O47" i="34"/>
  <c r="Y46" i="34"/>
  <c r="U46" i="34"/>
  <c r="O46" i="34"/>
  <c r="Y45" i="34"/>
  <c r="U45" i="34"/>
  <c r="O45" i="34"/>
  <c r="Y44" i="34"/>
  <c r="U44" i="34"/>
  <c r="O44" i="34"/>
  <c r="Y43" i="34"/>
  <c r="U43" i="34"/>
  <c r="O43" i="34"/>
  <c r="Y42" i="34"/>
  <c r="U42" i="34"/>
  <c r="O42" i="34"/>
  <c r="Y41" i="34"/>
  <c r="U41" i="34"/>
  <c r="O41" i="34"/>
  <c r="Y40" i="34"/>
  <c r="U40" i="34"/>
  <c r="O40" i="34"/>
  <c r="Y39" i="34"/>
  <c r="U39" i="34"/>
  <c r="O39" i="34"/>
  <c r="Y38" i="34"/>
  <c r="U38" i="34"/>
  <c r="O38" i="34"/>
  <c r="Y37" i="34"/>
  <c r="U37" i="34"/>
  <c r="O37" i="34"/>
  <c r="Y36" i="34"/>
  <c r="U36" i="34"/>
  <c r="O36" i="34"/>
  <c r="Y35" i="34"/>
  <c r="U35" i="34"/>
  <c r="O35" i="34"/>
  <c r="Y34" i="34"/>
  <c r="U34" i="34"/>
  <c r="O34" i="34"/>
  <c r="Y33" i="34"/>
  <c r="U33" i="34"/>
  <c r="O33" i="34"/>
  <c r="Y32" i="34"/>
  <c r="U32" i="34"/>
  <c r="O32" i="34"/>
  <c r="Y31" i="34"/>
  <c r="U31" i="34"/>
  <c r="T31" i="34"/>
  <c r="O31" i="34"/>
  <c r="Y30" i="34"/>
  <c r="U30" i="34"/>
  <c r="T30" i="34"/>
  <c r="O30" i="34"/>
  <c r="Y29" i="34"/>
  <c r="U29" i="34"/>
  <c r="T29" i="34"/>
  <c r="O29" i="34"/>
  <c r="Y28" i="34"/>
  <c r="U28" i="34"/>
  <c r="T28" i="34"/>
  <c r="O28" i="34"/>
  <c r="Y27" i="34"/>
  <c r="U27" i="34"/>
  <c r="T27" i="34"/>
  <c r="O27" i="34"/>
  <c r="Y26" i="34"/>
  <c r="U26" i="34"/>
  <c r="T26" i="34"/>
  <c r="O26" i="34"/>
  <c r="U23" i="34"/>
  <c r="N5" i="34"/>
  <c r="N2" i="34"/>
  <c r="I2" i="34"/>
  <c r="A1" i="34"/>
  <c r="E136" i="27"/>
  <c r="O136" i="27" s="1"/>
  <c r="D136" i="27"/>
  <c r="C136" i="27"/>
  <c r="C138" i="27"/>
  <c r="D138" i="27"/>
  <c r="E138" i="27"/>
  <c r="O138" i="27" s="1"/>
  <c r="C139" i="27"/>
  <c r="D139" i="27"/>
  <c r="E139" i="27"/>
  <c r="O139" i="27" s="1"/>
  <c r="C140" i="27"/>
  <c r="D140" i="27"/>
  <c r="E140" i="27"/>
  <c r="O140" i="27" s="1"/>
  <c r="C141" i="27"/>
  <c r="D141" i="27"/>
  <c r="E141" i="27"/>
  <c r="O141" i="27" s="1"/>
  <c r="C142" i="27"/>
  <c r="D142" i="27"/>
  <c r="E142" i="27"/>
  <c r="O142" i="27" s="1"/>
  <c r="C143" i="27"/>
  <c r="D143" i="27"/>
  <c r="E143" i="27"/>
  <c r="O143" i="27" s="1"/>
  <c r="C144" i="27"/>
  <c r="D144" i="27"/>
  <c r="E144" i="27"/>
  <c r="O144" i="27" s="1"/>
  <c r="C145" i="27"/>
  <c r="D145" i="27"/>
  <c r="E145" i="27"/>
  <c r="O145" i="27" s="1"/>
  <c r="C146" i="27"/>
  <c r="D146" i="27"/>
  <c r="E146" i="27"/>
  <c r="O146" i="27" s="1"/>
  <c r="C147" i="27"/>
  <c r="D147" i="27"/>
  <c r="E147" i="27"/>
  <c r="O147" i="27" s="1"/>
  <c r="C148" i="27"/>
  <c r="D148" i="27"/>
  <c r="E148" i="27"/>
  <c r="O148" i="27" s="1"/>
  <c r="C149" i="27"/>
  <c r="D149" i="27"/>
  <c r="E149" i="27"/>
  <c r="O149" i="27" s="1"/>
  <c r="C150" i="27"/>
  <c r="D150" i="27"/>
  <c r="E150" i="27"/>
  <c r="O150" i="27" s="1"/>
  <c r="C151" i="27"/>
  <c r="D151" i="27"/>
  <c r="E151" i="27"/>
  <c r="O151" i="27" s="1"/>
  <c r="C152" i="27"/>
  <c r="D152" i="27"/>
  <c r="E152" i="27"/>
  <c r="O152" i="27" s="1"/>
  <c r="C153" i="27"/>
  <c r="D153" i="27"/>
  <c r="E153" i="27"/>
  <c r="O153" i="27" s="1"/>
  <c r="C154" i="27"/>
  <c r="D154" i="27"/>
  <c r="E154" i="27"/>
  <c r="O154" i="27" s="1"/>
  <c r="C155" i="27"/>
  <c r="D155" i="27"/>
  <c r="E155" i="27"/>
  <c r="O155" i="27" s="1"/>
  <c r="C156" i="27"/>
  <c r="D156" i="27"/>
  <c r="E156" i="27"/>
  <c r="O156" i="27" s="1"/>
  <c r="C157" i="27"/>
  <c r="D157" i="27"/>
  <c r="E157" i="27"/>
  <c r="O157" i="27" s="1"/>
  <c r="C158" i="27"/>
  <c r="D158" i="27"/>
  <c r="E158" i="27"/>
  <c r="O158" i="27" s="1"/>
  <c r="C159" i="27"/>
  <c r="D159" i="27"/>
  <c r="E159" i="27"/>
  <c r="O159" i="27" s="1"/>
  <c r="C160" i="27"/>
  <c r="D160" i="27"/>
  <c r="E160" i="27"/>
  <c r="O160" i="27" s="1"/>
  <c r="C161" i="27"/>
  <c r="D161" i="27"/>
  <c r="E161" i="27"/>
  <c r="O161" i="27" s="1"/>
  <c r="C162" i="27"/>
  <c r="D162" i="27"/>
  <c r="E162" i="27"/>
  <c r="O162" i="27" s="1"/>
  <c r="C163" i="27"/>
  <c r="D163" i="27"/>
  <c r="E163" i="27"/>
  <c r="O163" i="27" s="1"/>
  <c r="C164" i="27"/>
  <c r="D164" i="27"/>
  <c r="E164" i="27"/>
  <c r="O164" i="27" s="1"/>
  <c r="C165" i="27"/>
  <c r="D165" i="27"/>
  <c r="E165" i="27"/>
  <c r="O165" i="27" s="1"/>
  <c r="C166" i="27"/>
  <c r="D166" i="27"/>
  <c r="E166" i="27"/>
  <c r="O166" i="27" s="1"/>
  <c r="C167" i="27"/>
  <c r="D167" i="27"/>
  <c r="E167" i="27"/>
  <c r="O167" i="27" s="1"/>
  <c r="C168" i="27"/>
  <c r="D168" i="27"/>
  <c r="E168" i="27"/>
  <c r="O168" i="27" s="1"/>
  <c r="C169" i="27"/>
  <c r="D169" i="27"/>
  <c r="E169" i="27"/>
  <c r="O169" i="27" s="1"/>
  <c r="C170" i="27"/>
  <c r="D170" i="27"/>
  <c r="E170" i="27"/>
  <c r="O170" i="27" s="1"/>
  <c r="C171" i="27"/>
  <c r="D171" i="27"/>
  <c r="E171" i="27"/>
  <c r="O171" i="27" s="1"/>
  <c r="C172" i="27"/>
  <c r="D172" i="27"/>
  <c r="E172" i="27"/>
  <c r="O172" i="27" s="1"/>
  <c r="C173" i="27"/>
  <c r="D173" i="27"/>
  <c r="E173" i="27"/>
  <c r="O173" i="27" s="1"/>
  <c r="C174" i="27"/>
  <c r="D174" i="27"/>
  <c r="E174" i="27"/>
  <c r="O174" i="27" s="1"/>
  <c r="C175" i="27"/>
  <c r="D175" i="27"/>
  <c r="E175" i="27"/>
  <c r="O175" i="27" s="1"/>
  <c r="C176" i="27"/>
  <c r="D176" i="27"/>
  <c r="E176" i="27"/>
  <c r="O176" i="27" s="1"/>
  <c r="C177" i="27"/>
  <c r="D177" i="27"/>
  <c r="E177" i="27"/>
  <c r="O177" i="27" s="1"/>
  <c r="C178" i="27"/>
  <c r="D178" i="27"/>
  <c r="E178" i="27"/>
  <c r="O178" i="27" s="1"/>
  <c r="C179" i="27"/>
  <c r="D179" i="27"/>
  <c r="E179" i="27"/>
  <c r="O179" i="27" s="1"/>
  <c r="C180" i="27"/>
  <c r="D180" i="27"/>
  <c r="E180" i="27"/>
  <c r="O180" i="27" s="1"/>
  <c r="C181" i="27"/>
  <c r="D181" i="27"/>
  <c r="E181" i="27"/>
  <c r="O181" i="27" s="1"/>
  <c r="C182" i="27"/>
  <c r="D182" i="27"/>
  <c r="E182" i="27"/>
  <c r="O182" i="27" s="1"/>
  <c r="C183" i="27"/>
  <c r="D183" i="27"/>
  <c r="E183" i="27"/>
  <c r="O183" i="27" s="1"/>
  <c r="C137" i="27"/>
  <c r="C125" i="34" l="1"/>
  <c r="P125" i="34" s="1"/>
  <c r="W125" i="34" s="1"/>
  <c r="Q156" i="34"/>
  <c r="R156" i="34" s="1"/>
  <c r="E127" i="34"/>
  <c r="O127" i="34" s="1"/>
  <c r="V127" i="34" s="1"/>
  <c r="Q162" i="34"/>
  <c r="C101" i="34"/>
  <c r="P101" i="34" s="1"/>
  <c r="W101" i="34" s="1"/>
  <c r="C109" i="34"/>
  <c r="P109" i="34" s="1"/>
  <c r="W109" i="34" s="1"/>
  <c r="E87" i="34"/>
  <c r="O87" i="34" s="1"/>
  <c r="V87" i="34" s="1"/>
  <c r="E113" i="34"/>
  <c r="O113" i="34" s="1"/>
  <c r="V113" i="34" s="1"/>
  <c r="E95" i="34"/>
  <c r="O95" i="34" s="1"/>
  <c r="V95" i="34" s="1"/>
  <c r="Q146" i="34"/>
  <c r="D90" i="34"/>
  <c r="N90" i="34" s="1"/>
  <c r="U90" i="34" s="1"/>
  <c r="E105" i="34"/>
  <c r="O105" i="34" s="1"/>
  <c r="V105" i="34" s="1"/>
  <c r="C106" i="34"/>
  <c r="P106" i="34" s="1"/>
  <c r="W106" i="34" s="1"/>
  <c r="E108" i="34"/>
  <c r="O108" i="34" s="1"/>
  <c r="V108" i="34" s="1"/>
  <c r="D116" i="34"/>
  <c r="N116" i="34" s="1"/>
  <c r="U116" i="34" s="1"/>
  <c r="E100" i="34"/>
  <c r="O100" i="34" s="1"/>
  <c r="V100" i="34" s="1"/>
  <c r="C93" i="34"/>
  <c r="P93" i="34" s="1"/>
  <c r="W93" i="34" s="1"/>
  <c r="C98" i="34"/>
  <c r="P98" i="34" s="1"/>
  <c r="W98" i="34" s="1"/>
  <c r="D124" i="34"/>
  <c r="N124" i="34" s="1"/>
  <c r="C85" i="34"/>
  <c r="P85" i="34" s="1"/>
  <c r="C97" i="34"/>
  <c r="P97" i="34" s="1"/>
  <c r="W97" i="34" s="1"/>
  <c r="C114" i="34"/>
  <c r="P114" i="34" s="1"/>
  <c r="W114" i="34" s="1"/>
  <c r="Q177" i="34"/>
  <c r="R177" i="34" s="1"/>
  <c r="E99" i="34"/>
  <c r="O99" i="34" s="1"/>
  <c r="V99" i="34" s="1"/>
  <c r="D85" i="34"/>
  <c r="N85" i="34" s="1"/>
  <c r="U89" i="34"/>
  <c r="X89" i="34" s="1"/>
  <c r="Y89" i="34" s="1"/>
  <c r="D97" i="34"/>
  <c r="N97" i="34" s="1"/>
  <c r="C107" i="34"/>
  <c r="P107" i="34" s="1"/>
  <c r="W107" i="34" s="1"/>
  <c r="C112" i="34"/>
  <c r="P112" i="34" s="1"/>
  <c r="W112" i="34" s="1"/>
  <c r="Q164" i="34"/>
  <c r="R164" i="34" s="1"/>
  <c r="Q159" i="34"/>
  <c r="R159" i="34" s="1"/>
  <c r="D107" i="34"/>
  <c r="N107" i="34" s="1"/>
  <c r="U107" i="34" s="1"/>
  <c r="D112" i="34"/>
  <c r="N112" i="34" s="1"/>
  <c r="U112" i="34" s="1"/>
  <c r="C122" i="34"/>
  <c r="P122" i="34" s="1"/>
  <c r="W122" i="34" s="1"/>
  <c r="D102" i="34"/>
  <c r="N102" i="34" s="1"/>
  <c r="U102" i="34" s="1"/>
  <c r="C127" i="34"/>
  <c r="P127" i="34" s="1"/>
  <c r="W127" i="34" s="1"/>
  <c r="C90" i="34"/>
  <c r="P90" i="34" s="1"/>
  <c r="W90" i="34" s="1"/>
  <c r="E102" i="34"/>
  <c r="O102" i="34" s="1"/>
  <c r="V102" i="34" s="1"/>
  <c r="D109" i="34"/>
  <c r="N109" i="34" s="1"/>
  <c r="U109" i="34" s="1"/>
  <c r="E116" i="34"/>
  <c r="O116" i="34" s="1"/>
  <c r="V116" i="34" s="1"/>
  <c r="C117" i="34"/>
  <c r="P117" i="34" s="1"/>
  <c r="W117" i="34" s="1"/>
  <c r="D127" i="34"/>
  <c r="N127" i="34" s="1"/>
  <c r="U127" i="34" s="1"/>
  <c r="Q148" i="34"/>
  <c r="R148" i="34" s="1"/>
  <c r="Q151" i="34"/>
  <c r="R151" i="34" s="1"/>
  <c r="Q154" i="34"/>
  <c r="R154" i="34" s="1"/>
  <c r="U104" i="34"/>
  <c r="Q104" i="34"/>
  <c r="R104" i="34" s="1"/>
  <c r="U125" i="34"/>
  <c r="Q125" i="34"/>
  <c r="R125" i="34" s="1"/>
  <c r="D92" i="34"/>
  <c r="N92" i="34" s="1"/>
  <c r="N144" i="34"/>
  <c r="U87" i="34"/>
  <c r="U101" i="34"/>
  <c r="P140" i="34"/>
  <c r="Q140" i="34" s="1"/>
  <c r="R140" i="34" s="1"/>
  <c r="C88" i="34"/>
  <c r="P88" i="34" s="1"/>
  <c r="Q142" i="34"/>
  <c r="R142" i="34" s="1"/>
  <c r="Q86" i="34"/>
  <c r="R86" i="34" s="1"/>
  <c r="U120" i="34"/>
  <c r="P91" i="34"/>
  <c r="W91" i="34" s="1"/>
  <c r="O169" i="34"/>
  <c r="Q169" i="34" s="1"/>
  <c r="R169" i="34" s="1"/>
  <c r="E117" i="34"/>
  <c r="O117" i="34" s="1"/>
  <c r="U91" i="34"/>
  <c r="U110" i="34"/>
  <c r="Q110" i="34"/>
  <c r="R110" i="34" s="1"/>
  <c r="U96" i="34"/>
  <c r="Q96" i="34"/>
  <c r="R96" i="34" s="1"/>
  <c r="U99" i="34"/>
  <c r="U124" i="34"/>
  <c r="O153" i="34"/>
  <c r="Q153" i="34" s="1"/>
  <c r="R153" i="34" s="1"/>
  <c r="E101" i="34"/>
  <c r="O101" i="34" s="1"/>
  <c r="Q101" i="34" s="1"/>
  <c r="R101" i="34" s="1"/>
  <c r="D88" i="34"/>
  <c r="N88" i="34" s="1"/>
  <c r="N147" i="34"/>
  <c r="D95" i="34"/>
  <c r="N95" i="34" s="1"/>
  <c r="O158" i="34"/>
  <c r="E106" i="34"/>
  <c r="O106" i="34" s="1"/>
  <c r="V106" i="34" s="1"/>
  <c r="N163" i="34"/>
  <c r="D111" i="34"/>
  <c r="N111" i="34" s="1"/>
  <c r="O174" i="34"/>
  <c r="E122" i="34"/>
  <c r="O122" i="34" s="1"/>
  <c r="P99" i="34"/>
  <c r="W99" i="34" s="1"/>
  <c r="U105" i="34"/>
  <c r="U128" i="34"/>
  <c r="Q138" i="34"/>
  <c r="R138" i="34" s="1"/>
  <c r="P152" i="34"/>
  <c r="Q152" i="34" s="1"/>
  <c r="R152" i="34" s="1"/>
  <c r="C100" i="34"/>
  <c r="P147" i="34"/>
  <c r="C95" i="34"/>
  <c r="P95" i="34" s="1"/>
  <c r="P163" i="34"/>
  <c r="C111" i="34"/>
  <c r="P111" i="34" s="1"/>
  <c r="O145" i="34"/>
  <c r="Q145" i="34" s="1"/>
  <c r="R145" i="34" s="1"/>
  <c r="E93" i="34"/>
  <c r="O93" i="34" s="1"/>
  <c r="O161" i="34"/>
  <c r="Q161" i="34" s="1"/>
  <c r="R161" i="34" s="1"/>
  <c r="E109" i="34"/>
  <c r="O109" i="34" s="1"/>
  <c r="P182" i="34"/>
  <c r="Q182" i="34" s="1"/>
  <c r="R182" i="34" s="1"/>
  <c r="C130" i="34"/>
  <c r="P130" i="34" s="1"/>
  <c r="N158" i="34"/>
  <c r="D106" i="34"/>
  <c r="N106" i="34" s="1"/>
  <c r="Q89" i="34"/>
  <c r="R89" i="34" s="1"/>
  <c r="Q93" i="34"/>
  <c r="R93" i="34" s="1"/>
  <c r="U113" i="34"/>
  <c r="Q143" i="34"/>
  <c r="R143" i="34" s="1"/>
  <c r="N150" i="34"/>
  <c r="D98" i="34"/>
  <c r="N98" i="34" s="1"/>
  <c r="P155" i="34"/>
  <c r="C103" i="34"/>
  <c r="P103" i="34" s="1"/>
  <c r="N166" i="34"/>
  <c r="D114" i="34"/>
  <c r="N114" i="34" s="1"/>
  <c r="P171" i="34"/>
  <c r="C119" i="34"/>
  <c r="P119" i="34" s="1"/>
  <c r="P180" i="34"/>
  <c r="Q180" i="34" s="1"/>
  <c r="R180" i="34" s="1"/>
  <c r="C128" i="34"/>
  <c r="N94" i="34"/>
  <c r="U121" i="34"/>
  <c r="O137" i="34"/>
  <c r="Q137" i="34" s="1"/>
  <c r="R137" i="34" s="1"/>
  <c r="E85" i="34"/>
  <c r="O85" i="34" s="1"/>
  <c r="Q139" i="34"/>
  <c r="R139" i="34" s="1"/>
  <c r="Q141" i="34"/>
  <c r="R141" i="34" s="1"/>
  <c r="O150" i="34"/>
  <c r="E98" i="34"/>
  <c r="O98" i="34" s="1"/>
  <c r="N155" i="34"/>
  <c r="D103" i="34"/>
  <c r="N103" i="34" s="1"/>
  <c r="O166" i="34"/>
  <c r="E114" i="34"/>
  <c r="O114" i="34" s="1"/>
  <c r="N171" i="34"/>
  <c r="D119" i="34"/>
  <c r="N119" i="34" s="1"/>
  <c r="N174" i="34"/>
  <c r="D122" i="34"/>
  <c r="N122" i="34" s="1"/>
  <c r="D84" i="34"/>
  <c r="N84" i="34" s="1"/>
  <c r="P144" i="34"/>
  <c r="C92" i="34"/>
  <c r="R146" i="34"/>
  <c r="P160" i="34"/>
  <c r="Q160" i="34" s="1"/>
  <c r="R160" i="34" s="1"/>
  <c r="C108" i="34"/>
  <c r="R162" i="34"/>
  <c r="P176" i="34"/>
  <c r="Q176" i="34" s="1"/>
  <c r="R176" i="34" s="1"/>
  <c r="C124" i="34"/>
  <c r="P124" i="34" s="1"/>
  <c r="D126" i="34"/>
  <c r="N126" i="34" s="1"/>
  <c r="N178" i="34"/>
  <c r="E126" i="34"/>
  <c r="O126" i="34" s="1"/>
  <c r="O178" i="34"/>
  <c r="N117" i="34"/>
  <c r="Q168" i="34"/>
  <c r="R168" i="34" s="1"/>
  <c r="D118" i="34"/>
  <c r="N170" i="34"/>
  <c r="O173" i="34"/>
  <c r="Q173" i="34" s="1"/>
  <c r="R173" i="34" s="1"/>
  <c r="E121" i="34"/>
  <c r="O121" i="34" s="1"/>
  <c r="P175" i="34"/>
  <c r="C123" i="34"/>
  <c r="P123" i="34" s="1"/>
  <c r="Q149" i="34"/>
  <c r="R149" i="34" s="1"/>
  <c r="Q157" i="34"/>
  <c r="R157" i="34" s="1"/>
  <c r="Q165" i="34"/>
  <c r="R165" i="34" s="1"/>
  <c r="D115" i="34"/>
  <c r="N115" i="34" s="1"/>
  <c r="N167" i="34"/>
  <c r="E118" i="34"/>
  <c r="O118" i="34" s="1"/>
  <c r="O170" i="34"/>
  <c r="P172" i="34"/>
  <c r="Q172" i="34" s="1"/>
  <c r="R172" i="34" s="1"/>
  <c r="C120" i="34"/>
  <c r="D123" i="34"/>
  <c r="N123" i="34" s="1"/>
  <c r="N175" i="34"/>
  <c r="P183" i="34"/>
  <c r="C131" i="34"/>
  <c r="P131" i="34" s="1"/>
  <c r="E103" i="34"/>
  <c r="O103" i="34" s="1"/>
  <c r="V103" i="34" s="1"/>
  <c r="C105" i="34"/>
  <c r="D108" i="34"/>
  <c r="N108" i="34" s="1"/>
  <c r="Q179" i="34"/>
  <c r="R179" i="34" s="1"/>
  <c r="D131" i="34"/>
  <c r="N131" i="34" s="1"/>
  <c r="N183" i="34"/>
  <c r="E92" i="34"/>
  <c r="O92" i="34" s="1"/>
  <c r="V92" i="34" s="1"/>
  <c r="E119" i="34"/>
  <c r="O119" i="34" s="1"/>
  <c r="V119" i="34" s="1"/>
  <c r="D130" i="34"/>
  <c r="N130" i="34" s="1"/>
  <c r="O181" i="34"/>
  <c r="Q181" i="34" s="1"/>
  <c r="R181" i="34" s="1"/>
  <c r="E129" i="34"/>
  <c r="O129" i="34" s="1"/>
  <c r="Q129" i="34" s="1"/>
  <c r="R129" i="34" s="1"/>
  <c r="E84" i="27"/>
  <c r="O84" i="27" s="1"/>
  <c r="E137" i="27"/>
  <c r="O137" i="27" s="1"/>
  <c r="D137" i="27"/>
  <c r="D85" i="27" s="1"/>
  <c r="V121" i="34" l="1"/>
  <c r="Q113" i="34"/>
  <c r="R113" i="34" s="1"/>
  <c r="Q87" i="34"/>
  <c r="R87" i="34" s="1"/>
  <c r="V118" i="34"/>
  <c r="V109" i="34"/>
  <c r="X109" i="34" s="1"/>
  <c r="Y109" i="34" s="1"/>
  <c r="Q116" i="34"/>
  <c r="R116" i="34" s="1"/>
  <c r="Q90" i="34"/>
  <c r="R90" i="34" s="1"/>
  <c r="Q102" i="34"/>
  <c r="R102" i="34" s="1"/>
  <c r="W88" i="34"/>
  <c r="Q97" i="34"/>
  <c r="R97" i="34" s="1"/>
  <c r="Q85" i="34"/>
  <c r="R85" i="34" s="1"/>
  <c r="V98" i="34"/>
  <c r="U97" i="34"/>
  <c r="X97" i="34" s="1"/>
  <c r="Y97" i="34" s="1"/>
  <c r="Q112" i="34"/>
  <c r="R112" i="34" s="1"/>
  <c r="V129" i="34"/>
  <c r="X129" i="34" s="1"/>
  <c r="Y129" i="34" s="1"/>
  <c r="Q107" i="34"/>
  <c r="R107" i="34" s="1"/>
  <c r="W124" i="34"/>
  <c r="X124" i="34" s="1"/>
  <c r="Y124" i="34" s="1"/>
  <c r="Q127" i="34"/>
  <c r="R127" i="34" s="1"/>
  <c r="W95" i="34"/>
  <c r="Q167" i="34"/>
  <c r="R167" i="34" s="1"/>
  <c r="R84" i="34"/>
  <c r="U84" i="34"/>
  <c r="U108" i="34"/>
  <c r="Q175" i="34"/>
  <c r="R175" i="34" s="1"/>
  <c r="U115" i="34"/>
  <c r="Q115" i="34"/>
  <c r="R115" i="34" s="1"/>
  <c r="Q119" i="34"/>
  <c r="R119" i="34" s="1"/>
  <c r="U119" i="34"/>
  <c r="Q121" i="34"/>
  <c r="R121" i="34" s="1"/>
  <c r="P128" i="34"/>
  <c r="Q98" i="34"/>
  <c r="R98" i="34" s="1"/>
  <c r="U98" i="34"/>
  <c r="X99" i="34"/>
  <c r="Y99" i="34" s="1"/>
  <c r="X96" i="34"/>
  <c r="Y96" i="34" s="1"/>
  <c r="Q91" i="34"/>
  <c r="R91" i="34" s="1"/>
  <c r="Q144" i="34"/>
  <c r="R144" i="34" s="1"/>
  <c r="X104" i="34"/>
  <c r="Y104" i="34" s="1"/>
  <c r="X125" i="34"/>
  <c r="Y125" i="34" s="1"/>
  <c r="P105" i="34"/>
  <c r="Q123" i="34"/>
  <c r="R123" i="34" s="1"/>
  <c r="U123" i="34"/>
  <c r="U117" i="34"/>
  <c r="Q117" i="34"/>
  <c r="R117" i="34" s="1"/>
  <c r="Q171" i="34"/>
  <c r="R171" i="34" s="1"/>
  <c r="Q150" i="34"/>
  <c r="R150" i="34" s="1"/>
  <c r="U88" i="34"/>
  <c r="Q88" i="34"/>
  <c r="R88" i="34" s="1"/>
  <c r="Q124" i="34"/>
  <c r="R124" i="34" s="1"/>
  <c r="U92" i="34"/>
  <c r="Q183" i="34"/>
  <c r="R183" i="34" s="1"/>
  <c r="Q170" i="34"/>
  <c r="R170" i="34" s="1"/>
  <c r="U122" i="34"/>
  <c r="Q122" i="34"/>
  <c r="R122" i="34" s="1"/>
  <c r="V114" i="34"/>
  <c r="X121" i="34"/>
  <c r="Y121" i="34" s="1"/>
  <c r="W119" i="34"/>
  <c r="X113" i="34"/>
  <c r="Y113" i="34" s="1"/>
  <c r="V122" i="34"/>
  <c r="Q95" i="34"/>
  <c r="R95" i="34" s="1"/>
  <c r="U95" i="34"/>
  <c r="V101" i="34"/>
  <c r="X101" i="34" s="1"/>
  <c r="Y101" i="34" s="1"/>
  <c r="X116" i="34"/>
  <c r="Y116" i="34" s="1"/>
  <c r="X91" i="34"/>
  <c r="Y91" i="34" s="1"/>
  <c r="V117" i="34"/>
  <c r="X112" i="34"/>
  <c r="Y112" i="34" s="1"/>
  <c r="U130" i="34"/>
  <c r="Q130" i="34"/>
  <c r="R130" i="34" s="1"/>
  <c r="U131" i="34"/>
  <c r="Q131" i="34"/>
  <c r="R131" i="34" s="1"/>
  <c r="P120" i="34"/>
  <c r="N118" i="34"/>
  <c r="P108" i="34"/>
  <c r="W108" i="34" s="1"/>
  <c r="Q174" i="34"/>
  <c r="R174" i="34" s="1"/>
  <c r="Q147" i="34"/>
  <c r="R147" i="34" s="1"/>
  <c r="V126" i="34"/>
  <c r="Q114" i="34"/>
  <c r="R114" i="34" s="1"/>
  <c r="U114" i="34"/>
  <c r="Q106" i="34"/>
  <c r="R106" i="34" s="1"/>
  <c r="U106" i="34"/>
  <c r="V93" i="34"/>
  <c r="X93" i="34" s="1"/>
  <c r="Y93" i="34" s="1"/>
  <c r="P100" i="34"/>
  <c r="X127" i="34"/>
  <c r="Y127" i="34" s="1"/>
  <c r="X87" i="34"/>
  <c r="Y87" i="34" s="1"/>
  <c r="Q109" i="34"/>
  <c r="R109" i="34" s="1"/>
  <c r="X90" i="34"/>
  <c r="Y90" i="34" s="1"/>
  <c r="Q178" i="34"/>
  <c r="R178" i="34" s="1"/>
  <c r="Q103" i="34"/>
  <c r="R103" i="34" s="1"/>
  <c r="U103" i="34"/>
  <c r="V85" i="34"/>
  <c r="X85" i="34" s="1"/>
  <c r="Q166" i="34"/>
  <c r="R166" i="34" s="1"/>
  <c r="Q158" i="34"/>
  <c r="R158" i="34" s="1"/>
  <c r="U111" i="34"/>
  <c r="Q111" i="34"/>
  <c r="R111" i="34" s="1"/>
  <c r="X107" i="34"/>
  <c r="Y107" i="34" s="1"/>
  <c r="X102" i="34"/>
  <c r="Y102" i="34" s="1"/>
  <c r="AG85" i="34"/>
  <c r="W131" i="34"/>
  <c r="W123" i="34"/>
  <c r="U126" i="34"/>
  <c r="Q126" i="34"/>
  <c r="R126" i="34" s="1"/>
  <c r="P92" i="34"/>
  <c r="W92" i="34" s="1"/>
  <c r="Q155" i="34"/>
  <c r="R155" i="34" s="1"/>
  <c r="U94" i="34"/>
  <c r="Q94" i="34"/>
  <c r="R94" i="34" s="1"/>
  <c r="W103" i="34"/>
  <c r="W130" i="34"/>
  <c r="W111" i="34"/>
  <c r="Q163" i="34"/>
  <c r="R163" i="34" s="1"/>
  <c r="Q99" i="34"/>
  <c r="R99" i="34" s="1"/>
  <c r="X110" i="34"/>
  <c r="Y110" i="34" s="1"/>
  <c r="X111" i="34" l="1"/>
  <c r="Y111" i="34" s="1"/>
  <c r="X103" i="34"/>
  <c r="Y103" i="34" s="1"/>
  <c r="W100" i="34"/>
  <c r="X100" i="34" s="1"/>
  <c r="Y100" i="34" s="1"/>
  <c r="Q100" i="34"/>
  <c r="R100" i="34" s="1"/>
  <c r="X115" i="34"/>
  <c r="Y115" i="34" s="1"/>
  <c r="X94" i="34"/>
  <c r="Y94" i="34" s="1"/>
  <c r="X126" i="34"/>
  <c r="Y126" i="34" s="1"/>
  <c r="Q118" i="34"/>
  <c r="R118" i="34" s="1"/>
  <c r="U118" i="34"/>
  <c r="X130" i="34"/>
  <c r="Y130" i="34" s="1"/>
  <c r="X117" i="34"/>
  <c r="Y117" i="34" s="1"/>
  <c r="W128" i="34"/>
  <c r="X128" i="34" s="1"/>
  <c r="Y128" i="34" s="1"/>
  <c r="Q128" i="34"/>
  <c r="R128" i="34" s="1"/>
  <c r="R136" i="34"/>
  <c r="Y84" i="34"/>
  <c r="W120" i="34"/>
  <c r="X120" i="34" s="1"/>
  <c r="Y120" i="34" s="1"/>
  <c r="Q120" i="34"/>
  <c r="R120" i="34" s="1"/>
  <c r="X88" i="34"/>
  <c r="Y88" i="34" s="1"/>
  <c r="X123" i="34"/>
  <c r="Y123" i="34" s="1"/>
  <c r="X106" i="34"/>
  <c r="Y106" i="34" s="1"/>
  <c r="X119" i="34"/>
  <c r="Y119" i="34" s="1"/>
  <c r="Q108" i="34"/>
  <c r="R108" i="34" s="1"/>
  <c r="X122" i="34"/>
  <c r="Y122" i="34" s="1"/>
  <c r="Q92" i="34"/>
  <c r="R92" i="34" s="1"/>
  <c r="X114" i="34"/>
  <c r="Y114" i="34" s="1"/>
  <c r="X131" i="34"/>
  <c r="Y131" i="34" s="1"/>
  <c r="X95" i="34"/>
  <c r="Y95" i="34" s="1"/>
  <c r="X92" i="34"/>
  <c r="Y92" i="34" s="1"/>
  <c r="W105" i="34"/>
  <c r="X105" i="34" s="1"/>
  <c r="Y105" i="34" s="1"/>
  <c r="Q105" i="34"/>
  <c r="R105" i="34" s="1"/>
  <c r="X98" i="34"/>
  <c r="Y98" i="34" s="1"/>
  <c r="X108" i="34"/>
  <c r="Y108" i="34" s="1"/>
  <c r="X118" i="34" l="1"/>
  <c r="Y118" i="34" s="1"/>
  <c r="B62" i="6" l="1"/>
  <c r="C62" i="6"/>
  <c r="D62" i="6"/>
  <c r="E62" i="6"/>
  <c r="F62" i="6"/>
  <c r="G62" i="6"/>
  <c r="B63" i="6"/>
  <c r="C63" i="6"/>
  <c r="D63" i="6"/>
  <c r="E63" i="6"/>
  <c r="F63" i="6"/>
  <c r="G63" i="6"/>
  <c r="B64" i="6"/>
  <c r="C64" i="6"/>
  <c r="D64" i="6"/>
  <c r="E64" i="6"/>
  <c r="F64" i="6"/>
  <c r="G64" i="6"/>
  <c r="B65" i="6"/>
  <c r="C65" i="6"/>
  <c r="D65" i="6"/>
  <c r="E65" i="6"/>
  <c r="F65" i="6"/>
  <c r="G65" i="6"/>
  <c r="B66" i="6"/>
  <c r="C66" i="6"/>
  <c r="D66" i="6"/>
  <c r="E66" i="6"/>
  <c r="F66" i="6"/>
  <c r="G66" i="6"/>
  <c r="B67" i="6"/>
  <c r="C67" i="6"/>
  <c r="D67" i="6"/>
  <c r="E67" i="6"/>
  <c r="F67" i="6"/>
  <c r="G67" i="6"/>
  <c r="B68" i="6"/>
  <c r="C68" i="6"/>
  <c r="D68" i="6"/>
  <c r="E68" i="6"/>
  <c r="F68" i="6"/>
  <c r="G68" i="6"/>
  <c r="B69" i="6"/>
  <c r="C69" i="6"/>
  <c r="D69" i="6"/>
  <c r="J69" i="6" s="1"/>
  <c r="AH12" i="14" s="1"/>
  <c r="E69" i="6"/>
  <c r="F69" i="6"/>
  <c r="G69" i="6"/>
  <c r="B70" i="6"/>
  <c r="C70" i="6"/>
  <c r="D70" i="6"/>
  <c r="E70" i="6"/>
  <c r="F70" i="6"/>
  <c r="I70" i="6" s="1"/>
  <c r="AG13" i="14" s="1"/>
  <c r="G70" i="6"/>
  <c r="B71" i="6"/>
  <c r="C71" i="6"/>
  <c r="D71" i="6"/>
  <c r="E71" i="6"/>
  <c r="F71" i="6"/>
  <c r="G71" i="6"/>
  <c r="B72" i="6"/>
  <c r="C72" i="6"/>
  <c r="D72" i="6"/>
  <c r="E72" i="6"/>
  <c r="F72" i="6"/>
  <c r="G72" i="6"/>
  <c r="B73" i="6"/>
  <c r="C73" i="6"/>
  <c r="D73" i="6"/>
  <c r="E73" i="6"/>
  <c r="F73" i="6"/>
  <c r="G73" i="6"/>
  <c r="B74" i="6"/>
  <c r="C74" i="6"/>
  <c r="D74" i="6"/>
  <c r="E74" i="6"/>
  <c r="F74" i="6"/>
  <c r="G74" i="6"/>
  <c r="B75" i="6"/>
  <c r="C75" i="6"/>
  <c r="D75" i="6"/>
  <c r="E75" i="6"/>
  <c r="F75" i="6"/>
  <c r="G75" i="6"/>
  <c r="B76" i="6"/>
  <c r="C76" i="6"/>
  <c r="D76" i="6"/>
  <c r="E76" i="6"/>
  <c r="F76" i="6"/>
  <c r="G76" i="6"/>
  <c r="B77" i="6"/>
  <c r="C77" i="6"/>
  <c r="D77" i="6"/>
  <c r="J77" i="6" s="1"/>
  <c r="AH20" i="14" s="1"/>
  <c r="E77" i="6"/>
  <c r="F77" i="6"/>
  <c r="G77" i="6"/>
  <c r="B78" i="6"/>
  <c r="C78" i="6"/>
  <c r="D78" i="6"/>
  <c r="E78" i="6"/>
  <c r="F78" i="6"/>
  <c r="I78" i="6" s="1"/>
  <c r="AG21" i="14" s="1"/>
  <c r="G78" i="6"/>
  <c r="B79" i="6"/>
  <c r="C79" i="6"/>
  <c r="D79" i="6"/>
  <c r="E79" i="6"/>
  <c r="F79" i="6"/>
  <c r="G79" i="6"/>
  <c r="B80" i="6"/>
  <c r="C80" i="6"/>
  <c r="D80" i="6"/>
  <c r="E80" i="6"/>
  <c r="F80" i="6"/>
  <c r="G80" i="6"/>
  <c r="B81" i="6"/>
  <c r="C81" i="6"/>
  <c r="D81" i="6"/>
  <c r="E81" i="6"/>
  <c r="F81" i="6"/>
  <c r="G81" i="6"/>
  <c r="B82" i="6"/>
  <c r="C82" i="6"/>
  <c r="D82" i="6"/>
  <c r="E82" i="6"/>
  <c r="F82" i="6"/>
  <c r="G82" i="6"/>
  <c r="B83" i="6"/>
  <c r="C83" i="6"/>
  <c r="D83" i="6"/>
  <c r="E83" i="6"/>
  <c r="F83" i="6"/>
  <c r="G83" i="6"/>
  <c r="B84" i="6"/>
  <c r="C84" i="6"/>
  <c r="D84" i="6"/>
  <c r="E84" i="6"/>
  <c r="F84" i="6"/>
  <c r="G84" i="6"/>
  <c r="B85" i="6"/>
  <c r="C85" i="6"/>
  <c r="D85" i="6"/>
  <c r="J85" i="6" s="1"/>
  <c r="AH28" i="14" s="1"/>
  <c r="E85" i="6"/>
  <c r="F85" i="6"/>
  <c r="G85" i="6"/>
  <c r="B86" i="6"/>
  <c r="C86" i="6"/>
  <c r="D86" i="6"/>
  <c r="E86" i="6"/>
  <c r="F86" i="6"/>
  <c r="G86" i="6"/>
  <c r="B87" i="6"/>
  <c r="C87" i="6"/>
  <c r="D87" i="6"/>
  <c r="E87" i="6"/>
  <c r="F87" i="6"/>
  <c r="G87" i="6"/>
  <c r="B88" i="6"/>
  <c r="C88" i="6"/>
  <c r="D88" i="6"/>
  <c r="E88" i="6"/>
  <c r="F88" i="6"/>
  <c r="G88" i="6"/>
  <c r="B89" i="6"/>
  <c r="C89" i="6"/>
  <c r="D89" i="6"/>
  <c r="E89" i="6"/>
  <c r="F89" i="6"/>
  <c r="G89" i="6"/>
  <c r="B90" i="6"/>
  <c r="C90" i="6"/>
  <c r="D90" i="6"/>
  <c r="E90" i="6"/>
  <c r="F90" i="6"/>
  <c r="G90" i="6"/>
  <c r="B91" i="6"/>
  <c r="C91" i="6"/>
  <c r="D91" i="6"/>
  <c r="E91" i="6"/>
  <c r="F91" i="6"/>
  <c r="G91" i="6"/>
  <c r="B92" i="6"/>
  <c r="C92" i="6"/>
  <c r="D92" i="6"/>
  <c r="E92" i="6"/>
  <c r="F92" i="6"/>
  <c r="G92" i="6"/>
  <c r="B93" i="6"/>
  <c r="C93" i="6"/>
  <c r="D93" i="6"/>
  <c r="E93" i="6"/>
  <c r="F93" i="6"/>
  <c r="G93" i="6"/>
  <c r="B94" i="6"/>
  <c r="C94" i="6"/>
  <c r="D94" i="6"/>
  <c r="E94" i="6"/>
  <c r="F94" i="6"/>
  <c r="G94" i="6"/>
  <c r="B95" i="6"/>
  <c r="C95" i="6"/>
  <c r="D95" i="6"/>
  <c r="E95" i="6"/>
  <c r="F95" i="6"/>
  <c r="G95" i="6"/>
  <c r="B96" i="6"/>
  <c r="C96" i="6"/>
  <c r="D96" i="6"/>
  <c r="E96" i="6"/>
  <c r="F96" i="6"/>
  <c r="G96" i="6"/>
  <c r="B97" i="6"/>
  <c r="C97" i="6"/>
  <c r="D97" i="6"/>
  <c r="E97" i="6"/>
  <c r="F97" i="6"/>
  <c r="G97" i="6"/>
  <c r="B98" i="6"/>
  <c r="C98" i="6"/>
  <c r="D98" i="6"/>
  <c r="E98" i="6"/>
  <c r="F98" i="6"/>
  <c r="G98" i="6"/>
  <c r="B99" i="6"/>
  <c r="C99" i="6"/>
  <c r="D99" i="6"/>
  <c r="E99" i="6"/>
  <c r="F99" i="6"/>
  <c r="G99" i="6"/>
  <c r="B100" i="6"/>
  <c r="C100" i="6"/>
  <c r="D100" i="6"/>
  <c r="E100" i="6"/>
  <c r="F100" i="6"/>
  <c r="G100" i="6"/>
  <c r="B101" i="6"/>
  <c r="C101" i="6"/>
  <c r="D101" i="6"/>
  <c r="J101" i="6" s="1"/>
  <c r="AH44" i="14" s="1"/>
  <c r="E101" i="6"/>
  <c r="F101" i="6"/>
  <c r="G101" i="6"/>
  <c r="B102" i="6"/>
  <c r="C102" i="6"/>
  <c r="D102" i="6"/>
  <c r="E102" i="6"/>
  <c r="F102" i="6"/>
  <c r="I102" i="6" s="1"/>
  <c r="AG45" i="14" s="1"/>
  <c r="G102" i="6"/>
  <c r="B103" i="6"/>
  <c r="C103" i="6"/>
  <c r="D103" i="6"/>
  <c r="E103" i="6"/>
  <c r="F103" i="6"/>
  <c r="G103" i="6"/>
  <c r="B104" i="6"/>
  <c r="C104" i="6"/>
  <c r="D104" i="6"/>
  <c r="E104" i="6"/>
  <c r="F104" i="6"/>
  <c r="G104" i="6"/>
  <c r="B105" i="6"/>
  <c r="C105" i="6"/>
  <c r="D105" i="6"/>
  <c r="E105" i="6"/>
  <c r="F105" i="6"/>
  <c r="G105" i="6"/>
  <c r="B106" i="6"/>
  <c r="C106" i="6"/>
  <c r="D106" i="6"/>
  <c r="E106" i="6"/>
  <c r="F106" i="6"/>
  <c r="G106" i="6"/>
  <c r="B107" i="6"/>
  <c r="C107" i="6"/>
  <c r="D107" i="6"/>
  <c r="E107" i="6"/>
  <c r="F107" i="6"/>
  <c r="G107" i="6"/>
  <c r="C61" i="6"/>
  <c r="D61" i="6"/>
  <c r="E61" i="6"/>
  <c r="F61" i="6"/>
  <c r="G61" i="6"/>
  <c r="B61" i="6"/>
  <c r="I61" i="6" l="1"/>
  <c r="AG4" i="14" s="1"/>
  <c r="I107" i="6"/>
  <c r="AG50" i="14" s="1"/>
  <c r="J104" i="6"/>
  <c r="AH47" i="14" s="1"/>
  <c r="I103" i="6"/>
  <c r="AG46" i="14" s="1"/>
  <c r="I101" i="6"/>
  <c r="AG44" i="14" s="1"/>
  <c r="I99" i="6"/>
  <c r="AG42" i="14" s="1"/>
  <c r="I95" i="6"/>
  <c r="AG38" i="14" s="1"/>
  <c r="I94" i="6"/>
  <c r="AG37" i="14" s="1"/>
  <c r="I93" i="6"/>
  <c r="AG36" i="14" s="1"/>
  <c r="I91" i="6"/>
  <c r="AG34" i="14" s="1"/>
  <c r="I85" i="6"/>
  <c r="AG28" i="14" s="1"/>
  <c r="I77" i="6"/>
  <c r="AG20" i="14" s="1"/>
  <c r="I73" i="6"/>
  <c r="AG16" i="14" s="1"/>
  <c r="I69" i="6"/>
  <c r="AG12" i="14" s="1"/>
  <c r="I65" i="6"/>
  <c r="AG8" i="14" s="1"/>
  <c r="I62" i="6"/>
  <c r="AG5" i="14" s="1"/>
  <c r="J93" i="6"/>
  <c r="AH36" i="14" s="1"/>
  <c r="I86" i="6"/>
  <c r="AG29" i="14" s="1"/>
  <c r="I87" i="6"/>
  <c r="AG30" i="14" s="1"/>
  <c r="I83" i="6"/>
  <c r="AG26" i="14" s="1"/>
  <c r="I79" i="6"/>
  <c r="AG22" i="14" s="1"/>
  <c r="I75" i="6"/>
  <c r="AG18" i="14" s="1"/>
  <c r="I71" i="6"/>
  <c r="AG14" i="14" s="1"/>
  <c r="I67" i="6"/>
  <c r="AG10" i="14" s="1"/>
  <c r="I63" i="6"/>
  <c r="AG6" i="14" s="1"/>
  <c r="J96" i="6"/>
  <c r="AH39" i="14" s="1"/>
  <c r="J88" i="6"/>
  <c r="AH31" i="14" s="1"/>
  <c r="J80" i="6"/>
  <c r="AH23" i="14" s="1"/>
  <c r="J72" i="6"/>
  <c r="AH15" i="14" s="1"/>
  <c r="J64" i="6"/>
  <c r="AH7" i="14" s="1"/>
  <c r="J61" i="6"/>
  <c r="AH4" i="14" s="1"/>
  <c r="J107" i="6"/>
  <c r="AH50" i="14" s="1"/>
  <c r="J103" i="6"/>
  <c r="AH46" i="14" s="1"/>
  <c r="J99" i="6"/>
  <c r="AH42" i="14" s="1"/>
  <c r="J95" i="6"/>
  <c r="AH38" i="14" s="1"/>
  <c r="J91" i="6"/>
  <c r="AH34" i="14" s="1"/>
  <c r="J87" i="6"/>
  <c r="AH30" i="14" s="1"/>
  <c r="I84" i="6"/>
  <c r="AG27" i="14" s="1"/>
  <c r="J79" i="6"/>
  <c r="AH22" i="14" s="1"/>
  <c r="J75" i="6"/>
  <c r="AH18" i="14" s="1"/>
  <c r="I72" i="6"/>
  <c r="AG15" i="14" s="1"/>
  <c r="J71" i="6"/>
  <c r="AH14" i="14" s="1"/>
  <c r="I68" i="6"/>
  <c r="AG11" i="14" s="1"/>
  <c r="J67" i="6"/>
  <c r="AH10" i="14" s="1"/>
  <c r="J63" i="6"/>
  <c r="AH6" i="14" s="1"/>
  <c r="I105" i="6"/>
  <c r="AG48" i="14" s="1"/>
  <c r="I97" i="6"/>
  <c r="AG40" i="14" s="1"/>
  <c r="I89" i="6"/>
  <c r="AG32" i="14" s="1"/>
  <c r="I81" i="6"/>
  <c r="AG24" i="14" s="1"/>
  <c r="I106" i="6"/>
  <c r="AG49" i="14" s="1"/>
  <c r="J105" i="6"/>
  <c r="AH48" i="14" s="1"/>
  <c r="I98" i="6"/>
  <c r="AG41" i="14" s="1"/>
  <c r="J97" i="6"/>
  <c r="AH40" i="14" s="1"/>
  <c r="I90" i="6"/>
  <c r="AG33" i="14" s="1"/>
  <c r="J89" i="6"/>
  <c r="AH32" i="14" s="1"/>
  <c r="I82" i="6"/>
  <c r="AG25" i="14" s="1"/>
  <c r="J81" i="6"/>
  <c r="AH24" i="14" s="1"/>
  <c r="I74" i="6"/>
  <c r="AG17" i="14" s="1"/>
  <c r="J73" i="6"/>
  <c r="AH16" i="14" s="1"/>
  <c r="I66" i="6"/>
  <c r="AG9" i="14" s="1"/>
  <c r="J65" i="6"/>
  <c r="AH8" i="14" s="1"/>
  <c r="J102" i="6"/>
  <c r="AH45" i="14" s="1"/>
  <c r="J94" i="6"/>
  <c r="AH37" i="14" s="1"/>
  <c r="J92" i="6"/>
  <c r="AH35" i="14" s="1"/>
  <c r="J90" i="6"/>
  <c r="AH33" i="14" s="1"/>
  <c r="J86" i="6"/>
  <c r="AH29" i="14" s="1"/>
  <c r="J84" i="6"/>
  <c r="AH27" i="14" s="1"/>
  <c r="J82" i="6"/>
  <c r="AH25" i="14" s="1"/>
  <c r="J78" i="6"/>
  <c r="AH21" i="14" s="1"/>
  <c r="J76" i="6"/>
  <c r="AH19" i="14" s="1"/>
  <c r="J74" i="6"/>
  <c r="AH17" i="14" s="1"/>
  <c r="J70" i="6"/>
  <c r="AH13" i="14" s="1"/>
  <c r="J68" i="6"/>
  <c r="AH11" i="14" s="1"/>
  <c r="J66" i="6"/>
  <c r="AH9" i="14" s="1"/>
  <c r="J62" i="6"/>
  <c r="AH5" i="14" s="1"/>
  <c r="J98" i="6"/>
  <c r="AH41" i="14" s="1"/>
  <c r="J106" i="6"/>
  <c r="AH49" i="14" s="1"/>
  <c r="J100" i="6"/>
  <c r="AH43" i="14" s="1"/>
  <c r="I104" i="6"/>
  <c r="AG47" i="14" s="1"/>
  <c r="I100" i="6"/>
  <c r="AG43" i="14" s="1"/>
  <c r="I96" i="6"/>
  <c r="AG39" i="14" s="1"/>
  <c r="I92" i="6"/>
  <c r="AG35" i="14" s="1"/>
  <c r="I88" i="6"/>
  <c r="AG31" i="14" s="1"/>
  <c r="J83" i="6"/>
  <c r="AH26" i="14" s="1"/>
  <c r="I80" i="6"/>
  <c r="AG23" i="14" s="1"/>
  <c r="I76" i="6"/>
  <c r="AG19" i="14" s="1"/>
  <c r="I64" i="6"/>
  <c r="AG7" i="14" s="1"/>
  <c r="AH53" i="14" l="1"/>
  <c r="AH54" i="14"/>
  <c r="AG53" i="14"/>
  <c r="AG54" i="14" l="1"/>
  <c r="P183" i="33"/>
  <c r="O183" i="33"/>
  <c r="N183" i="33"/>
  <c r="Q183" i="33" s="1"/>
  <c r="R183" i="33" s="1"/>
  <c r="P182" i="33"/>
  <c r="O182" i="33"/>
  <c r="N182" i="33"/>
  <c r="P181" i="33"/>
  <c r="O181" i="33"/>
  <c r="N181" i="33"/>
  <c r="P180" i="33"/>
  <c r="O180" i="33"/>
  <c r="N180" i="33"/>
  <c r="P179" i="33"/>
  <c r="O179" i="33"/>
  <c r="N179" i="33"/>
  <c r="P178" i="33"/>
  <c r="O178" i="33"/>
  <c r="N178" i="33"/>
  <c r="P177" i="33"/>
  <c r="O177" i="33"/>
  <c r="N177" i="33"/>
  <c r="P176" i="33"/>
  <c r="O176" i="33"/>
  <c r="N176" i="33"/>
  <c r="P175" i="33"/>
  <c r="O175" i="33"/>
  <c r="N175" i="33"/>
  <c r="P174" i="33"/>
  <c r="O174" i="33"/>
  <c r="N174" i="33"/>
  <c r="P173" i="33"/>
  <c r="O173" i="33"/>
  <c r="N173" i="33"/>
  <c r="P172" i="33"/>
  <c r="O172" i="33"/>
  <c r="N172" i="33"/>
  <c r="Q172" i="33" s="1"/>
  <c r="R172" i="33" s="1"/>
  <c r="P171" i="33"/>
  <c r="O171" i="33"/>
  <c r="N171" i="33"/>
  <c r="P170" i="33"/>
  <c r="O170" i="33"/>
  <c r="N170" i="33"/>
  <c r="P169" i="33"/>
  <c r="O169" i="33"/>
  <c r="N169" i="33"/>
  <c r="P168" i="33"/>
  <c r="O168" i="33"/>
  <c r="N168" i="33"/>
  <c r="P167" i="33"/>
  <c r="O167" i="33"/>
  <c r="N167" i="33"/>
  <c r="P166" i="33"/>
  <c r="O166" i="33"/>
  <c r="N166" i="33"/>
  <c r="P165" i="33"/>
  <c r="O165" i="33"/>
  <c r="N165" i="33"/>
  <c r="P164" i="33"/>
  <c r="O164" i="33"/>
  <c r="N164" i="33"/>
  <c r="P163" i="33"/>
  <c r="O163" i="33"/>
  <c r="N163" i="33"/>
  <c r="P162" i="33"/>
  <c r="O162" i="33"/>
  <c r="N162" i="33"/>
  <c r="P161" i="33"/>
  <c r="O161" i="33"/>
  <c r="N161" i="33"/>
  <c r="P160" i="33"/>
  <c r="O160" i="33"/>
  <c r="N160" i="33"/>
  <c r="P159" i="33"/>
  <c r="O159" i="33"/>
  <c r="N159" i="33"/>
  <c r="P158" i="33"/>
  <c r="O158" i="33"/>
  <c r="N158" i="33"/>
  <c r="P157" i="33"/>
  <c r="O157" i="33"/>
  <c r="N157" i="33"/>
  <c r="P156" i="33"/>
  <c r="O156" i="33"/>
  <c r="N156" i="33"/>
  <c r="P155" i="33"/>
  <c r="O155" i="33"/>
  <c r="N155" i="33"/>
  <c r="P154" i="33"/>
  <c r="O154" i="33"/>
  <c r="N154" i="33"/>
  <c r="P153" i="33"/>
  <c r="O153" i="33"/>
  <c r="N153" i="33"/>
  <c r="P152" i="33"/>
  <c r="O152" i="33"/>
  <c r="N152" i="33"/>
  <c r="P151" i="33"/>
  <c r="O151" i="33"/>
  <c r="N151" i="33"/>
  <c r="P150" i="33"/>
  <c r="O150" i="33"/>
  <c r="N150" i="33"/>
  <c r="P149" i="33"/>
  <c r="O149" i="33"/>
  <c r="N149" i="33"/>
  <c r="P148" i="33"/>
  <c r="O148" i="33"/>
  <c r="N148" i="33"/>
  <c r="P147" i="33"/>
  <c r="O147" i="33"/>
  <c r="N147" i="33"/>
  <c r="P146" i="33"/>
  <c r="O146" i="33"/>
  <c r="N146" i="33"/>
  <c r="P145" i="33"/>
  <c r="O145" i="33"/>
  <c r="N145" i="33"/>
  <c r="P144" i="33"/>
  <c r="O144" i="33"/>
  <c r="N144" i="33"/>
  <c r="P143" i="33"/>
  <c r="O143" i="33"/>
  <c r="N143" i="33"/>
  <c r="P142" i="33"/>
  <c r="O142" i="33"/>
  <c r="N142" i="33"/>
  <c r="P141" i="33"/>
  <c r="O141" i="33"/>
  <c r="N141" i="33"/>
  <c r="P140" i="33"/>
  <c r="O140" i="33"/>
  <c r="N140" i="33"/>
  <c r="P139" i="33"/>
  <c r="O139" i="33"/>
  <c r="N139" i="33"/>
  <c r="P138" i="33"/>
  <c r="O138" i="33"/>
  <c r="N138" i="33"/>
  <c r="P137" i="33"/>
  <c r="O137" i="33"/>
  <c r="N137" i="33"/>
  <c r="R136" i="33"/>
  <c r="Q136" i="33"/>
  <c r="P136" i="33"/>
  <c r="N136" i="33"/>
  <c r="K131" i="33"/>
  <c r="J131" i="33"/>
  <c r="I131" i="33"/>
  <c r="H131" i="33"/>
  <c r="G131" i="33"/>
  <c r="F131" i="33"/>
  <c r="E131" i="33"/>
  <c r="D131" i="33"/>
  <c r="C131" i="33"/>
  <c r="K130" i="33"/>
  <c r="J130" i="33"/>
  <c r="I130" i="33"/>
  <c r="H130" i="33"/>
  <c r="O130" i="33" s="1"/>
  <c r="V130" i="33" s="1"/>
  <c r="G130" i="33"/>
  <c r="F130" i="33"/>
  <c r="E130" i="33"/>
  <c r="D130" i="33"/>
  <c r="C130" i="33"/>
  <c r="K129" i="33"/>
  <c r="J129" i="33"/>
  <c r="I129" i="33"/>
  <c r="H129" i="33"/>
  <c r="G129" i="33"/>
  <c r="F129" i="33"/>
  <c r="E129" i="33"/>
  <c r="D129" i="33"/>
  <c r="C129" i="33"/>
  <c r="K128" i="33"/>
  <c r="J128" i="33"/>
  <c r="I128" i="33"/>
  <c r="H128" i="33"/>
  <c r="O128" i="33" s="1"/>
  <c r="G128" i="33"/>
  <c r="F128" i="33"/>
  <c r="E128" i="33"/>
  <c r="D128" i="33"/>
  <c r="C128" i="33"/>
  <c r="K127" i="33"/>
  <c r="J127" i="33"/>
  <c r="I127" i="33"/>
  <c r="H127" i="33"/>
  <c r="O127" i="33" s="1"/>
  <c r="V127" i="33" s="1"/>
  <c r="G127" i="33"/>
  <c r="F127" i="33"/>
  <c r="E127" i="33"/>
  <c r="D127" i="33"/>
  <c r="C127" i="33"/>
  <c r="K126" i="33"/>
  <c r="J126" i="33"/>
  <c r="I126" i="33"/>
  <c r="H126" i="33"/>
  <c r="O126" i="33" s="1"/>
  <c r="V126" i="33" s="1"/>
  <c r="G126" i="33"/>
  <c r="F126" i="33"/>
  <c r="E126" i="33"/>
  <c r="D126" i="33"/>
  <c r="C126" i="33"/>
  <c r="K125" i="33"/>
  <c r="J125" i="33"/>
  <c r="I125" i="33"/>
  <c r="H125" i="33"/>
  <c r="O125" i="33" s="1"/>
  <c r="V125" i="33" s="1"/>
  <c r="G125" i="33"/>
  <c r="F125" i="33"/>
  <c r="E125" i="33"/>
  <c r="D125" i="33"/>
  <c r="C125" i="33"/>
  <c r="K124" i="33"/>
  <c r="J124" i="33"/>
  <c r="I124" i="33"/>
  <c r="H124" i="33"/>
  <c r="G124" i="33"/>
  <c r="F124" i="33"/>
  <c r="E124" i="33"/>
  <c r="D124" i="33"/>
  <c r="C124" i="33"/>
  <c r="K123" i="33"/>
  <c r="J123" i="33"/>
  <c r="I123" i="33"/>
  <c r="H123" i="33"/>
  <c r="O123" i="33" s="1"/>
  <c r="V123" i="33" s="1"/>
  <c r="G123" i="33"/>
  <c r="F123" i="33"/>
  <c r="E123" i="33"/>
  <c r="D123" i="33"/>
  <c r="C123" i="33"/>
  <c r="K122" i="33"/>
  <c r="J122" i="33"/>
  <c r="I122" i="33"/>
  <c r="H122" i="33"/>
  <c r="G122" i="33"/>
  <c r="F122" i="33"/>
  <c r="E122" i="33"/>
  <c r="D122" i="33"/>
  <c r="C122" i="33"/>
  <c r="K121" i="33"/>
  <c r="J121" i="33"/>
  <c r="I121" i="33"/>
  <c r="H121" i="33"/>
  <c r="G121" i="33"/>
  <c r="F121" i="33"/>
  <c r="E121" i="33"/>
  <c r="D121" i="33"/>
  <c r="C121" i="33"/>
  <c r="K120" i="33"/>
  <c r="J120" i="33"/>
  <c r="I120" i="33"/>
  <c r="H120" i="33"/>
  <c r="O120" i="33" s="1"/>
  <c r="V120" i="33" s="1"/>
  <c r="G120" i="33"/>
  <c r="F120" i="33"/>
  <c r="E120" i="33"/>
  <c r="D120" i="33"/>
  <c r="C120" i="33"/>
  <c r="K119" i="33"/>
  <c r="J119" i="33"/>
  <c r="I119" i="33"/>
  <c r="H119" i="33"/>
  <c r="O119" i="33" s="1"/>
  <c r="V119" i="33" s="1"/>
  <c r="G119" i="33"/>
  <c r="F119" i="33"/>
  <c r="E119" i="33"/>
  <c r="D119" i="33"/>
  <c r="C119" i="33"/>
  <c r="K118" i="33"/>
  <c r="J118" i="33"/>
  <c r="I118" i="33"/>
  <c r="H118" i="33"/>
  <c r="O118" i="33" s="1"/>
  <c r="V118" i="33" s="1"/>
  <c r="G118" i="33"/>
  <c r="F118" i="33"/>
  <c r="E118" i="33"/>
  <c r="D118" i="33"/>
  <c r="C118" i="33"/>
  <c r="K117" i="33"/>
  <c r="J117" i="33"/>
  <c r="I117" i="33"/>
  <c r="H117" i="33"/>
  <c r="O117" i="33" s="1"/>
  <c r="V117" i="33" s="1"/>
  <c r="G117" i="33"/>
  <c r="F117" i="33"/>
  <c r="E117" i="33"/>
  <c r="D117" i="33"/>
  <c r="C117" i="33"/>
  <c r="K116" i="33"/>
  <c r="J116" i="33"/>
  <c r="I116" i="33"/>
  <c r="H116" i="33"/>
  <c r="G116" i="33"/>
  <c r="F116" i="33"/>
  <c r="E116" i="33"/>
  <c r="D116" i="33"/>
  <c r="C116" i="33"/>
  <c r="K115" i="33"/>
  <c r="J115" i="33"/>
  <c r="I115" i="33"/>
  <c r="H115" i="33"/>
  <c r="O115" i="33" s="1"/>
  <c r="V115" i="33" s="1"/>
  <c r="G115" i="33"/>
  <c r="F115" i="33"/>
  <c r="E115" i="33"/>
  <c r="D115" i="33"/>
  <c r="C115" i="33"/>
  <c r="K114" i="33"/>
  <c r="J114" i="33"/>
  <c r="I114" i="33"/>
  <c r="H114" i="33"/>
  <c r="O114" i="33" s="1"/>
  <c r="V114" i="33" s="1"/>
  <c r="G114" i="33"/>
  <c r="F114" i="33"/>
  <c r="E114" i="33"/>
  <c r="D114" i="33"/>
  <c r="C114" i="33"/>
  <c r="K113" i="33"/>
  <c r="J113" i="33"/>
  <c r="I113" i="33"/>
  <c r="H113" i="33"/>
  <c r="G113" i="33"/>
  <c r="F113" i="33"/>
  <c r="E113" i="33"/>
  <c r="D113" i="33"/>
  <c r="C113" i="33"/>
  <c r="K112" i="33"/>
  <c r="J112" i="33"/>
  <c r="I112" i="33"/>
  <c r="H112" i="33"/>
  <c r="O112" i="33" s="1"/>
  <c r="V112" i="33" s="1"/>
  <c r="G112" i="33"/>
  <c r="F112" i="33"/>
  <c r="E112" i="33"/>
  <c r="D112" i="33"/>
  <c r="C112" i="33"/>
  <c r="K111" i="33"/>
  <c r="J111" i="33"/>
  <c r="I111" i="33"/>
  <c r="H111" i="33"/>
  <c r="O111" i="33" s="1"/>
  <c r="V111" i="33" s="1"/>
  <c r="G111" i="33"/>
  <c r="F111" i="33"/>
  <c r="E111" i="33"/>
  <c r="D111" i="33"/>
  <c r="C111" i="33"/>
  <c r="K110" i="33"/>
  <c r="J110" i="33"/>
  <c r="I110" i="33"/>
  <c r="H110" i="33"/>
  <c r="O110" i="33" s="1"/>
  <c r="V110" i="33" s="1"/>
  <c r="G110" i="33"/>
  <c r="F110" i="33"/>
  <c r="E110" i="33"/>
  <c r="D110" i="33"/>
  <c r="C110" i="33"/>
  <c r="K109" i="33"/>
  <c r="J109" i="33"/>
  <c r="I109" i="33"/>
  <c r="H109" i="33"/>
  <c r="O109" i="33" s="1"/>
  <c r="V109" i="33" s="1"/>
  <c r="G109" i="33"/>
  <c r="F109" i="33"/>
  <c r="E109" i="33"/>
  <c r="D109" i="33"/>
  <c r="C109" i="33"/>
  <c r="K108" i="33"/>
  <c r="J108" i="33"/>
  <c r="I108" i="33"/>
  <c r="H108" i="33"/>
  <c r="G108" i="33"/>
  <c r="F108" i="33"/>
  <c r="E108" i="33"/>
  <c r="D108" i="33"/>
  <c r="C108" i="33"/>
  <c r="K107" i="33"/>
  <c r="J107" i="33"/>
  <c r="I107" i="33"/>
  <c r="H107" i="33"/>
  <c r="O107" i="33" s="1"/>
  <c r="V107" i="33" s="1"/>
  <c r="G107" i="33"/>
  <c r="F107" i="33"/>
  <c r="E107" i="33"/>
  <c r="D107" i="33"/>
  <c r="C107" i="33"/>
  <c r="K106" i="33"/>
  <c r="J106" i="33"/>
  <c r="I106" i="33"/>
  <c r="H106" i="33"/>
  <c r="O106" i="33" s="1"/>
  <c r="V106" i="33" s="1"/>
  <c r="G106" i="33"/>
  <c r="F106" i="33"/>
  <c r="E106" i="33"/>
  <c r="D106" i="33"/>
  <c r="C106" i="33"/>
  <c r="K105" i="33"/>
  <c r="J105" i="33"/>
  <c r="I105" i="33"/>
  <c r="H105" i="33"/>
  <c r="G105" i="33"/>
  <c r="F105" i="33"/>
  <c r="E105" i="33"/>
  <c r="D105" i="33"/>
  <c r="C105" i="33"/>
  <c r="K104" i="33"/>
  <c r="J104" i="33"/>
  <c r="I104" i="33"/>
  <c r="H104" i="33"/>
  <c r="O104" i="33" s="1"/>
  <c r="G104" i="33"/>
  <c r="F104" i="33"/>
  <c r="E104" i="33"/>
  <c r="D104" i="33"/>
  <c r="C104" i="33"/>
  <c r="K103" i="33"/>
  <c r="J103" i="33"/>
  <c r="I103" i="33"/>
  <c r="H103" i="33"/>
  <c r="O103" i="33" s="1"/>
  <c r="V103" i="33" s="1"/>
  <c r="G103" i="33"/>
  <c r="F103" i="33"/>
  <c r="E103" i="33"/>
  <c r="D103" i="33"/>
  <c r="C103" i="33"/>
  <c r="K102" i="33"/>
  <c r="J102" i="33"/>
  <c r="I102" i="33"/>
  <c r="H102" i="33"/>
  <c r="O102" i="33" s="1"/>
  <c r="V102" i="33" s="1"/>
  <c r="G102" i="33"/>
  <c r="F102" i="33"/>
  <c r="E102" i="33"/>
  <c r="D102" i="33"/>
  <c r="C102" i="33"/>
  <c r="K101" i="33"/>
  <c r="J101" i="33"/>
  <c r="I101" i="33"/>
  <c r="H101" i="33"/>
  <c r="O101" i="33" s="1"/>
  <c r="V101" i="33" s="1"/>
  <c r="G101" i="33"/>
  <c r="F101" i="33"/>
  <c r="E101" i="33"/>
  <c r="D101" i="33"/>
  <c r="C101" i="33"/>
  <c r="K100" i="33"/>
  <c r="J100" i="33"/>
  <c r="I100" i="33"/>
  <c r="H100" i="33"/>
  <c r="G100" i="33"/>
  <c r="F100" i="33"/>
  <c r="E100" i="33"/>
  <c r="D100" i="33"/>
  <c r="C100" i="33"/>
  <c r="K99" i="33"/>
  <c r="J99" i="33"/>
  <c r="I99" i="33"/>
  <c r="H99" i="33"/>
  <c r="O99" i="33" s="1"/>
  <c r="V99" i="33" s="1"/>
  <c r="G99" i="33"/>
  <c r="F99" i="33"/>
  <c r="E99" i="33"/>
  <c r="D99" i="33"/>
  <c r="C99" i="33"/>
  <c r="K98" i="33"/>
  <c r="J98" i="33"/>
  <c r="I98" i="33"/>
  <c r="H98" i="33"/>
  <c r="O98" i="33" s="1"/>
  <c r="G98" i="33"/>
  <c r="F98" i="33"/>
  <c r="E98" i="33"/>
  <c r="D98" i="33"/>
  <c r="C98" i="33"/>
  <c r="K97" i="33"/>
  <c r="J97" i="33"/>
  <c r="I97" i="33"/>
  <c r="H97" i="33"/>
  <c r="G97" i="33"/>
  <c r="F97" i="33"/>
  <c r="E97" i="33"/>
  <c r="D97" i="33"/>
  <c r="C97" i="33"/>
  <c r="K96" i="33"/>
  <c r="J96" i="33"/>
  <c r="I96" i="33"/>
  <c r="H96" i="33"/>
  <c r="O96" i="33" s="1"/>
  <c r="V96" i="33" s="1"/>
  <c r="G96" i="33"/>
  <c r="F96" i="33"/>
  <c r="E96" i="33"/>
  <c r="D96" i="33"/>
  <c r="C96" i="33"/>
  <c r="K95" i="33"/>
  <c r="J95" i="33"/>
  <c r="I95" i="33"/>
  <c r="H95" i="33"/>
  <c r="O95" i="33" s="1"/>
  <c r="V95" i="33" s="1"/>
  <c r="G95" i="33"/>
  <c r="F95" i="33"/>
  <c r="E95" i="33"/>
  <c r="D95" i="33"/>
  <c r="C95" i="33"/>
  <c r="K94" i="33"/>
  <c r="J94" i="33"/>
  <c r="I94" i="33"/>
  <c r="H94" i="33"/>
  <c r="O94" i="33" s="1"/>
  <c r="V94" i="33" s="1"/>
  <c r="G94" i="33"/>
  <c r="F94" i="33"/>
  <c r="E94" i="33"/>
  <c r="D94" i="33"/>
  <c r="C94" i="33"/>
  <c r="K93" i="33"/>
  <c r="J93" i="33"/>
  <c r="I93" i="33"/>
  <c r="H93" i="33"/>
  <c r="O93" i="33" s="1"/>
  <c r="V93" i="33" s="1"/>
  <c r="G93" i="33"/>
  <c r="F93" i="33"/>
  <c r="E93" i="33"/>
  <c r="D93" i="33"/>
  <c r="C93" i="33"/>
  <c r="K92" i="33"/>
  <c r="J92" i="33"/>
  <c r="I92" i="33"/>
  <c r="H92" i="33"/>
  <c r="O92" i="33" s="1"/>
  <c r="V92" i="33" s="1"/>
  <c r="G92" i="33"/>
  <c r="F92" i="33"/>
  <c r="E92" i="33"/>
  <c r="D92" i="33"/>
  <c r="C92" i="33"/>
  <c r="K91" i="33"/>
  <c r="J91" i="33"/>
  <c r="I91" i="33"/>
  <c r="H91" i="33"/>
  <c r="O91" i="33" s="1"/>
  <c r="V91" i="33" s="1"/>
  <c r="G91" i="33"/>
  <c r="F91" i="33"/>
  <c r="E91" i="33"/>
  <c r="D91" i="33"/>
  <c r="C91" i="33"/>
  <c r="K90" i="33"/>
  <c r="J90" i="33"/>
  <c r="I90" i="33"/>
  <c r="H90" i="33"/>
  <c r="O90" i="33" s="1"/>
  <c r="V90" i="33" s="1"/>
  <c r="G90" i="33"/>
  <c r="F90" i="33"/>
  <c r="E90" i="33"/>
  <c r="D90" i="33"/>
  <c r="C90" i="33"/>
  <c r="K89" i="33"/>
  <c r="J89" i="33"/>
  <c r="I89" i="33"/>
  <c r="H89" i="33"/>
  <c r="G89" i="33"/>
  <c r="F89" i="33"/>
  <c r="E89" i="33"/>
  <c r="D89" i="33"/>
  <c r="C89" i="33"/>
  <c r="K88" i="33"/>
  <c r="J88" i="33"/>
  <c r="I88" i="33"/>
  <c r="H88" i="33"/>
  <c r="O88" i="33" s="1"/>
  <c r="V88" i="33" s="1"/>
  <c r="G88" i="33"/>
  <c r="F88" i="33"/>
  <c r="E88" i="33"/>
  <c r="D88" i="33"/>
  <c r="C88" i="33"/>
  <c r="K87" i="33"/>
  <c r="J87" i="33"/>
  <c r="I87" i="33"/>
  <c r="H87" i="33"/>
  <c r="O87" i="33" s="1"/>
  <c r="V87" i="33" s="1"/>
  <c r="G87" i="33"/>
  <c r="F87" i="33"/>
  <c r="E87" i="33"/>
  <c r="D87" i="33"/>
  <c r="C87" i="33"/>
  <c r="K86" i="33"/>
  <c r="J86" i="33"/>
  <c r="I86" i="33"/>
  <c r="H86" i="33"/>
  <c r="O86" i="33" s="1"/>
  <c r="V86" i="33" s="1"/>
  <c r="X86" i="33" s="1"/>
  <c r="G86" i="33"/>
  <c r="F86" i="33"/>
  <c r="E86" i="33"/>
  <c r="D86" i="33"/>
  <c r="C86" i="33"/>
  <c r="K85" i="33"/>
  <c r="J85" i="33"/>
  <c r="I85" i="33"/>
  <c r="H85" i="33"/>
  <c r="O85" i="33" s="1"/>
  <c r="V85" i="33" s="1"/>
  <c r="X85" i="33" s="1"/>
  <c r="G85" i="33"/>
  <c r="F85" i="33"/>
  <c r="E85" i="33"/>
  <c r="D85" i="33"/>
  <c r="C85" i="33"/>
  <c r="Y84" i="33"/>
  <c r="W84" i="33"/>
  <c r="U84" i="33"/>
  <c r="Y72" i="33"/>
  <c r="U72" i="33"/>
  <c r="T72" i="33"/>
  <c r="P72" i="33"/>
  <c r="Y71" i="33"/>
  <c r="U71" i="33"/>
  <c r="T71" i="33"/>
  <c r="P71" i="33"/>
  <c r="Y70" i="33"/>
  <c r="U70" i="33"/>
  <c r="T70" i="33"/>
  <c r="P70" i="33"/>
  <c r="Y69" i="33"/>
  <c r="U69" i="33"/>
  <c r="T69" i="33"/>
  <c r="P69" i="33"/>
  <c r="Y68" i="33"/>
  <c r="U68" i="33"/>
  <c r="T68" i="33"/>
  <c r="P68" i="33"/>
  <c r="Y67" i="33"/>
  <c r="U67" i="33"/>
  <c r="T67" i="33"/>
  <c r="P67" i="33"/>
  <c r="Y66" i="33"/>
  <c r="U66" i="33"/>
  <c r="T66" i="33"/>
  <c r="P66" i="33"/>
  <c r="Y65" i="33"/>
  <c r="U65" i="33"/>
  <c r="T65" i="33"/>
  <c r="P65" i="33"/>
  <c r="Y64" i="33"/>
  <c r="U64" i="33"/>
  <c r="T64" i="33"/>
  <c r="P64" i="33"/>
  <c r="Y63" i="33"/>
  <c r="U63" i="33"/>
  <c r="T63" i="33"/>
  <c r="P63" i="33"/>
  <c r="Y62" i="33"/>
  <c r="U62" i="33"/>
  <c r="P62" i="33"/>
  <c r="Y61" i="33"/>
  <c r="U61" i="33"/>
  <c r="P61" i="33"/>
  <c r="Y60" i="33"/>
  <c r="U60" i="33"/>
  <c r="P60" i="33"/>
  <c r="Y59" i="33"/>
  <c r="U59" i="33"/>
  <c r="P59" i="33"/>
  <c r="Y58" i="33"/>
  <c r="U58" i="33"/>
  <c r="P58" i="33"/>
  <c r="Y57" i="33"/>
  <c r="U57" i="33"/>
  <c r="P57" i="33"/>
  <c r="Y56" i="33"/>
  <c r="U56" i="33"/>
  <c r="P56" i="33"/>
  <c r="Y55" i="33"/>
  <c r="U55" i="33"/>
  <c r="P55" i="33"/>
  <c r="Y54" i="33"/>
  <c r="U54" i="33"/>
  <c r="P54" i="33"/>
  <c r="Y53" i="33"/>
  <c r="U53" i="33"/>
  <c r="P53" i="33"/>
  <c r="Y52" i="33"/>
  <c r="U52" i="33"/>
  <c r="P52" i="33"/>
  <c r="Y51" i="33"/>
  <c r="U51" i="33"/>
  <c r="P51" i="33"/>
  <c r="Y50" i="33"/>
  <c r="U50" i="33"/>
  <c r="P50" i="33"/>
  <c r="Y49" i="33"/>
  <c r="U49" i="33"/>
  <c r="P49" i="33"/>
  <c r="Y48" i="33"/>
  <c r="U48" i="33"/>
  <c r="P48" i="33"/>
  <c r="Y47" i="33"/>
  <c r="U47" i="33"/>
  <c r="P47" i="33"/>
  <c r="Y46" i="33"/>
  <c r="U46" i="33"/>
  <c r="P46" i="33"/>
  <c r="Y45" i="33"/>
  <c r="U45" i="33"/>
  <c r="P45" i="33"/>
  <c r="Y44" i="33"/>
  <c r="U44" i="33"/>
  <c r="P44" i="33"/>
  <c r="Y43" i="33"/>
  <c r="U43" i="33"/>
  <c r="P43" i="33"/>
  <c r="Y42" i="33"/>
  <c r="U42" i="33"/>
  <c r="P42" i="33"/>
  <c r="Y41" i="33"/>
  <c r="U41" i="33"/>
  <c r="P41" i="33"/>
  <c r="Y40" i="33"/>
  <c r="U40" i="33"/>
  <c r="P40" i="33"/>
  <c r="Y39" i="33"/>
  <c r="U39" i="33"/>
  <c r="P39" i="33"/>
  <c r="Y38" i="33"/>
  <c r="U38" i="33"/>
  <c r="P38" i="33"/>
  <c r="Y37" i="33"/>
  <c r="U37" i="33"/>
  <c r="P37" i="33"/>
  <c r="Y36" i="33"/>
  <c r="U36" i="33"/>
  <c r="P36" i="33"/>
  <c r="Y35" i="33"/>
  <c r="U35" i="33"/>
  <c r="P35" i="33"/>
  <c r="Y34" i="33"/>
  <c r="U34" i="33"/>
  <c r="P34" i="33"/>
  <c r="Y33" i="33"/>
  <c r="U33" i="33"/>
  <c r="P33" i="33"/>
  <c r="Y32" i="33"/>
  <c r="U32" i="33"/>
  <c r="P32" i="33"/>
  <c r="Y31" i="33"/>
  <c r="U31" i="33"/>
  <c r="T31" i="33"/>
  <c r="P31" i="33"/>
  <c r="Y30" i="33"/>
  <c r="U30" i="33"/>
  <c r="T30" i="33"/>
  <c r="P30" i="33"/>
  <c r="Y29" i="33"/>
  <c r="U29" i="33"/>
  <c r="T29" i="33"/>
  <c r="P29" i="33"/>
  <c r="Y28" i="33"/>
  <c r="U28" i="33"/>
  <c r="T28" i="33"/>
  <c r="P28" i="33"/>
  <c r="Y27" i="33"/>
  <c r="U27" i="33"/>
  <c r="T27" i="33"/>
  <c r="P27" i="33"/>
  <c r="Y26" i="33"/>
  <c r="U26" i="33"/>
  <c r="T26" i="33"/>
  <c r="P26" i="33"/>
  <c r="U23" i="33"/>
  <c r="N5" i="33"/>
  <c r="N2" i="33"/>
  <c r="I2" i="33"/>
  <c r="A1" i="33"/>
  <c r="P183" i="32"/>
  <c r="O183" i="32"/>
  <c r="N183" i="32"/>
  <c r="P182" i="32"/>
  <c r="O182" i="32"/>
  <c r="N182" i="32"/>
  <c r="P181" i="32"/>
  <c r="O181" i="32"/>
  <c r="N181" i="32"/>
  <c r="P180" i="32"/>
  <c r="O180" i="32"/>
  <c r="N180" i="32"/>
  <c r="P179" i="32"/>
  <c r="O179" i="32"/>
  <c r="N179" i="32"/>
  <c r="P178" i="32"/>
  <c r="O178" i="32"/>
  <c r="N178" i="32"/>
  <c r="P177" i="32"/>
  <c r="O177" i="32"/>
  <c r="N177" i="32"/>
  <c r="P176" i="32"/>
  <c r="O176" i="32"/>
  <c r="N176" i="32"/>
  <c r="P175" i="32"/>
  <c r="O175" i="32"/>
  <c r="N175" i="32"/>
  <c r="P174" i="32"/>
  <c r="O174" i="32"/>
  <c r="N174" i="32"/>
  <c r="P173" i="32"/>
  <c r="O173" i="32"/>
  <c r="N173" i="32"/>
  <c r="P172" i="32"/>
  <c r="O172" i="32"/>
  <c r="N172" i="32"/>
  <c r="P171" i="32"/>
  <c r="O171" i="32"/>
  <c r="N171" i="32"/>
  <c r="P170" i="32"/>
  <c r="O170" i="32"/>
  <c r="N170" i="32"/>
  <c r="P169" i="32"/>
  <c r="O169" i="32"/>
  <c r="N169" i="32"/>
  <c r="P168" i="32"/>
  <c r="O168" i="32"/>
  <c r="N168" i="32"/>
  <c r="P167" i="32"/>
  <c r="O167" i="32"/>
  <c r="N167" i="32"/>
  <c r="P166" i="32"/>
  <c r="O166" i="32"/>
  <c r="N166" i="32"/>
  <c r="P165" i="32"/>
  <c r="O165" i="32"/>
  <c r="N165" i="32"/>
  <c r="P164" i="32"/>
  <c r="O164" i="32"/>
  <c r="N164" i="32"/>
  <c r="P163" i="32"/>
  <c r="O163" i="32"/>
  <c r="N163" i="32"/>
  <c r="P162" i="32"/>
  <c r="O162" i="32"/>
  <c r="N162" i="32"/>
  <c r="P161" i="32"/>
  <c r="O161" i="32"/>
  <c r="N161" i="32"/>
  <c r="P160" i="32"/>
  <c r="O160" i="32"/>
  <c r="N160" i="32"/>
  <c r="P159" i="32"/>
  <c r="O159" i="32"/>
  <c r="N159" i="32"/>
  <c r="P158" i="32"/>
  <c r="O158" i="32"/>
  <c r="N158" i="32"/>
  <c r="P157" i="32"/>
  <c r="O157" i="32"/>
  <c r="N157" i="32"/>
  <c r="P156" i="32"/>
  <c r="O156" i="32"/>
  <c r="N156" i="32"/>
  <c r="P155" i="32"/>
  <c r="O155" i="32"/>
  <c r="N155" i="32"/>
  <c r="P154" i="32"/>
  <c r="O154" i="32"/>
  <c r="N154" i="32"/>
  <c r="P153" i="32"/>
  <c r="O153" i="32"/>
  <c r="N153" i="32"/>
  <c r="P152" i="32"/>
  <c r="O152" i="32"/>
  <c r="N152" i="32"/>
  <c r="P151" i="32"/>
  <c r="O151" i="32"/>
  <c r="N151" i="32"/>
  <c r="P150" i="32"/>
  <c r="O150" i="32"/>
  <c r="N150" i="32"/>
  <c r="P149" i="32"/>
  <c r="O149" i="32"/>
  <c r="N149" i="32"/>
  <c r="P148" i="32"/>
  <c r="O148" i="32"/>
  <c r="N148" i="32"/>
  <c r="P147" i="32"/>
  <c r="O147" i="32"/>
  <c r="N147" i="32"/>
  <c r="P146" i="32"/>
  <c r="O146" i="32"/>
  <c r="N146" i="32"/>
  <c r="P145" i="32"/>
  <c r="O145" i="32"/>
  <c r="N145" i="32"/>
  <c r="P144" i="32"/>
  <c r="O144" i="32"/>
  <c r="N144" i="32"/>
  <c r="P143" i="32"/>
  <c r="O143" i="32"/>
  <c r="N143" i="32"/>
  <c r="P142" i="32"/>
  <c r="O142" i="32"/>
  <c r="N142" i="32"/>
  <c r="P141" i="32"/>
  <c r="O141" i="32"/>
  <c r="N141" i="32"/>
  <c r="P140" i="32"/>
  <c r="O140" i="32"/>
  <c r="N140" i="32"/>
  <c r="P139" i="32"/>
  <c r="O139" i="32"/>
  <c r="N139" i="32"/>
  <c r="P138" i="32"/>
  <c r="O138" i="32"/>
  <c r="N138" i="32"/>
  <c r="P137" i="32"/>
  <c r="O137" i="32"/>
  <c r="N137" i="32"/>
  <c r="R136" i="32"/>
  <c r="Q136" i="32"/>
  <c r="P136" i="32"/>
  <c r="N136" i="32"/>
  <c r="K131" i="32"/>
  <c r="J131" i="32"/>
  <c r="I131" i="32"/>
  <c r="H131" i="32"/>
  <c r="O131" i="32" s="1"/>
  <c r="G131" i="32"/>
  <c r="F131" i="32"/>
  <c r="E131" i="32"/>
  <c r="D131" i="32"/>
  <c r="C131" i="32"/>
  <c r="K130" i="32"/>
  <c r="J130" i="32"/>
  <c r="I130" i="32"/>
  <c r="H130" i="32"/>
  <c r="O130" i="32" s="1"/>
  <c r="G130" i="32"/>
  <c r="F130" i="32"/>
  <c r="E130" i="32"/>
  <c r="D130" i="32"/>
  <c r="C130" i="32"/>
  <c r="K129" i="32"/>
  <c r="J129" i="32"/>
  <c r="I129" i="32"/>
  <c r="H129" i="32"/>
  <c r="G129" i="32"/>
  <c r="F129" i="32"/>
  <c r="E129" i="32"/>
  <c r="D129" i="32"/>
  <c r="C129" i="32"/>
  <c r="K128" i="32"/>
  <c r="J128" i="32"/>
  <c r="I128" i="32"/>
  <c r="H128" i="32"/>
  <c r="G128" i="32"/>
  <c r="F128" i="32"/>
  <c r="E128" i="32"/>
  <c r="D128" i="32"/>
  <c r="C128" i="32"/>
  <c r="K127" i="32"/>
  <c r="J127" i="32"/>
  <c r="I127" i="32"/>
  <c r="H127" i="32"/>
  <c r="O127" i="32" s="1"/>
  <c r="V127" i="32" s="1"/>
  <c r="G127" i="32"/>
  <c r="F127" i="32"/>
  <c r="E127" i="32"/>
  <c r="D127" i="32"/>
  <c r="C127" i="32"/>
  <c r="K126" i="32"/>
  <c r="J126" i="32"/>
  <c r="I126" i="32"/>
  <c r="H126" i="32"/>
  <c r="O126" i="32" s="1"/>
  <c r="G126" i="32"/>
  <c r="F126" i="32"/>
  <c r="E126" i="32"/>
  <c r="D126" i="32"/>
  <c r="C126" i="32"/>
  <c r="K125" i="32"/>
  <c r="J125" i="32"/>
  <c r="I125" i="32"/>
  <c r="H125" i="32"/>
  <c r="O125" i="32" s="1"/>
  <c r="G125" i="32"/>
  <c r="F125" i="32"/>
  <c r="E125" i="32"/>
  <c r="D125" i="32"/>
  <c r="C125" i="32"/>
  <c r="K124" i="32"/>
  <c r="J124" i="32"/>
  <c r="I124" i="32"/>
  <c r="H124" i="32"/>
  <c r="O124" i="32" s="1"/>
  <c r="G124" i="32"/>
  <c r="F124" i="32"/>
  <c r="E124" i="32"/>
  <c r="D124" i="32"/>
  <c r="C124" i="32"/>
  <c r="K123" i="32"/>
  <c r="J123" i="32"/>
  <c r="I123" i="32"/>
  <c r="H123" i="32"/>
  <c r="O123" i="32" s="1"/>
  <c r="G123" i="32"/>
  <c r="F123" i="32"/>
  <c r="E123" i="32"/>
  <c r="D123" i="32"/>
  <c r="C123" i="32"/>
  <c r="K122" i="32"/>
  <c r="J122" i="32"/>
  <c r="I122" i="32"/>
  <c r="H122" i="32"/>
  <c r="O122" i="32" s="1"/>
  <c r="G122" i="32"/>
  <c r="F122" i="32"/>
  <c r="E122" i="32"/>
  <c r="D122" i="32"/>
  <c r="C122" i="32"/>
  <c r="K121" i="32"/>
  <c r="J121" i="32"/>
  <c r="I121" i="32"/>
  <c r="H121" i="32"/>
  <c r="G121" i="32"/>
  <c r="F121" i="32"/>
  <c r="E121" i="32"/>
  <c r="D121" i="32"/>
  <c r="C121" i="32"/>
  <c r="K120" i="32"/>
  <c r="J120" i="32"/>
  <c r="I120" i="32"/>
  <c r="H120" i="32"/>
  <c r="O120" i="32" s="1"/>
  <c r="V120" i="32" s="1"/>
  <c r="G120" i="32"/>
  <c r="F120" i="32"/>
  <c r="E120" i="32"/>
  <c r="D120" i="32"/>
  <c r="C120" i="32"/>
  <c r="K119" i="32"/>
  <c r="J119" i="32"/>
  <c r="I119" i="32"/>
  <c r="H119" i="32"/>
  <c r="O119" i="32" s="1"/>
  <c r="G119" i="32"/>
  <c r="F119" i="32"/>
  <c r="E119" i="32"/>
  <c r="D119" i="32"/>
  <c r="C119" i="32"/>
  <c r="K118" i="32"/>
  <c r="J118" i="32"/>
  <c r="I118" i="32"/>
  <c r="H118" i="32"/>
  <c r="G118" i="32"/>
  <c r="F118" i="32"/>
  <c r="E118" i="32"/>
  <c r="D118" i="32"/>
  <c r="C118" i="32"/>
  <c r="K117" i="32"/>
  <c r="J117" i="32"/>
  <c r="I117" i="32"/>
  <c r="H117" i="32"/>
  <c r="O117" i="32" s="1"/>
  <c r="V117" i="32" s="1"/>
  <c r="G117" i="32"/>
  <c r="F117" i="32"/>
  <c r="E117" i="32"/>
  <c r="D117" i="32"/>
  <c r="C117" i="32"/>
  <c r="K116" i="32"/>
  <c r="J116" i="32"/>
  <c r="I116" i="32"/>
  <c r="H116" i="32"/>
  <c r="O116" i="32" s="1"/>
  <c r="G116" i="32"/>
  <c r="F116" i="32"/>
  <c r="E116" i="32"/>
  <c r="D116" i="32"/>
  <c r="C116" i="32"/>
  <c r="K115" i="32"/>
  <c r="J115" i="32"/>
  <c r="I115" i="32"/>
  <c r="H115" i="32"/>
  <c r="G115" i="32"/>
  <c r="F115" i="32"/>
  <c r="E115" i="32"/>
  <c r="D115" i="32"/>
  <c r="C115" i="32"/>
  <c r="K114" i="32"/>
  <c r="J114" i="32"/>
  <c r="I114" i="32"/>
  <c r="H114" i="32"/>
  <c r="O114" i="32" s="1"/>
  <c r="G114" i="32"/>
  <c r="F114" i="32"/>
  <c r="E114" i="32"/>
  <c r="D114" i="32"/>
  <c r="C114" i="32"/>
  <c r="K113" i="32"/>
  <c r="J113" i="32"/>
  <c r="I113" i="32"/>
  <c r="H113" i="32"/>
  <c r="G113" i="32"/>
  <c r="F113" i="32"/>
  <c r="E113" i="32"/>
  <c r="D113" i="32"/>
  <c r="C113" i="32"/>
  <c r="K112" i="32"/>
  <c r="J112" i="32"/>
  <c r="I112" i="32"/>
  <c r="H112" i="32"/>
  <c r="O112" i="32" s="1"/>
  <c r="G112" i="32"/>
  <c r="F112" i="32"/>
  <c r="E112" i="32"/>
  <c r="D112" i="32"/>
  <c r="C112" i="32"/>
  <c r="K111" i="32"/>
  <c r="J111" i="32"/>
  <c r="I111" i="32"/>
  <c r="H111" i="32"/>
  <c r="O111" i="32" s="1"/>
  <c r="G111" i="32"/>
  <c r="F111" i="32"/>
  <c r="E111" i="32"/>
  <c r="D111" i="32"/>
  <c r="C111" i="32"/>
  <c r="K110" i="32"/>
  <c r="J110" i="32"/>
  <c r="I110" i="32"/>
  <c r="H110" i="32"/>
  <c r="G110" i="32"/>
  <c r="F110" i="32"/>
  <c r="E110" i="32"/>
  <c r="D110" i="32"/>
  <c r="C110" i="32"/>
  <c r="K109" i="32"/>
  <c r="J109" i="32"/>
  <c r="I109" i="32"/>
  <c r="H109" i="32"/>
  <c r="O109" i="32" s="1"/>
  <c r="V109" i="32" s="1"/>
  <c r="G109" i="32"/>
  <c r="F109" i="32"/>
  <c r="E109" i="32"/>
  <c r="D109" i="32"/>
  <c r="C109" i="32"/>
  <c r="K108" i="32"/>
  <c r="J108" i="32"/>
  <c r="I108" i="32"/>
  <c r="H108" i="32"/>
  <c r="O108" i="32" s="1"/>
  <c r="V108" i="32" s="1"/>
  <c r="G108" i="32"/>
  <c r="F108" i="32"/>
  <c r="E108" i="32"/>
  <c r="D108" i="32"/>
  <c r="C108" i="32"/>
  <c r="K107" i="32"/>
  <c r="J107" i="32"/>
  <c r="I107" i="32"/>
  <c r="H107" i="32"/>
  <c r="G107" i="32"/>
  <c r="F107" i="32"/>
  <c r="E107" i="32"/>
  <c r="D107" i="32"/>
  <c r="C107" i="32"/>
  <c r="K106" i="32"/>
  <c r="J106" i="32"/>
  <c r="I106" i="32"/>
  <c r="H106" i="32"/>
  <c r="O106" i="32" s="1"/>
  <c r="G106" i="32"/>
  <c r="F106" i="32"/>
  <c r="E106" i="32"/>
  <c r="D106" i="32"/>
  <c r="C106" i="32"/>
  <c r="K105" i="32"/>
  <c r="J105" i="32"/>
  <c r="I105" i="32"/>
  <c r="H105" i="32"/>
  <c r="G105" i="32"/>
  <c r="F105" i="32"/>
  <c r="E105" i="32"/>
  <c r="D105" i="32"/>
  <c r="C105" i="32"/>
  <c r="K104" i="32"/>
  <c r="J104" i="32"/>
  <c r="I104" i="32"/>
  <c r="H104" i="32"/>
  <c r="O104" i="32" s="1"/>
  <c r="G104" i="32"/>
  <c r="F104" i="32"/>
  <c r="E104" i="32"/>
  <c r="D104" i="32"/>
  <c r="C104" i="32"/>
  <c r="K103" i="32"/>
  <c r="J103" i="32"/>
  <c r="I103" i="32"/>
  <c r="H103" i="32"/>
  <c r="O103" i="32" s="1"/>
  <c r="V103" i="32" s="1"/>
  <c r="G103" i="32"/>
  <c r="F103" i="32"/>
  <c r="E103" i="32"/>
  <c r="D103" i="32"/>
  <c r="C103" i="32"/>
  <c r="K102" i="32"/>
  <c r="J102" i="32"/>
  <c r="I102" i="32"/>
  <c r="H102" i="32"/>
  <c r="G102" i="32"/>
  <c r="F102" i="32"/>
  <c r="E102" i="32"/>
  <c r="D102" i="32"/>
  <c r="C102" i="32"/>
  <c r="K101" i="32"/>
  <c r="J101" i="32"/>
  <c r="I101" i="32"/>
  <c r="H101" i="32"/>
  <c r="O101" i="32" s="1"/>
  <c r="G101" i="32"/>
  <c r="F101" i="32"/>
  <c r="E101" i="32"/>
  <c r="D101" i="32"/>
  <c r="C101" i="32"/>
  <c r="K100" i="32"/>
  <c r="J100" i="32"/>
  <c r="I100" i="32"/>
  <c r="H100" i="32"/>
  <c r="O100" i="32" s="1"/>
  <c r="V100" i="32" s="1"/>
  <c r="G100" i="32"/>
  <c r="F100" i="32"/>
  <c r="E100" i="32"/>
  <c r="D100" i="32"/>
  <c r="C100" i="32"/>
  <c r="K99" i="32"/>
  <c r="J99" i="32"/>
  <c r="I99" i="32"/>
  <c r="H99" i="32"/>
  <c r="G99" i="32"/>
  <c r="F99" i="32"/>
  <c r="E99" i="32"/>
  <c r="D99" i="32"/>
  <c r="C99" i="32"/>
  <c r="K98" i="32"/>
  <c r="J98" i="32"/>
  <c r="I98" i="32"/>
  <c r="H98" i="32"/>
  <c r="O98" i="32" s="1"/>
  <c r="V98" i="32" s="1"/>
  <c r="G98" i="32"/>
  <c r="F98" i="32"/>
  <c r="E98" i="32"/>
  <c r="D98" i="32"/>
  <c r="C98" i="32"/>
  <c r="K97" i="32"/>
  <c r="J97" i="32"/>
  <c r="I97" i="32"/>
  <c r="H97" i="32"/>
  <c r="G97" i="32"/>
  <c r="F97" i="32"/>
  <c r="E97" i="32"/>
  <c r="D97" i="32"/>
  <c r="C97" i="32"/>
  <c r="K96" i="32"/>
  <c r="J96" i="32"/>
  <c r="I96" i="32"/>
  <c r="H96" i="32"/>
  <c r="O96" i="32" s="1"/>
  <c r="G96" i="32"/>
  <c r="F96" i="32"/>
  <c r="E96" i="32"/>
  <c r="D96" i="32"/>
  <c r="C96" i="32"/>
  <c r="K95" i="32"/>
  <c r="J95" i="32"/>
  <c r="I95" i="32"/>
  <c r="H95" i="32"/>
  <c r="O95" i="32" s="1"/>
  <c r="G95" i="32"/>
  <c r="F95" i="32"/>
  <c r="E95" i="32"/>
  <c r="D95" i="32"/>
  <c r="C95" i="32"/>
  <c r="K94" i="32"/>
  <c r="J94" i="32"/>
  <c r="I94" i="32"/>
  <c r="H94" i="32"/>
  <c r="G94" i="32"/>
  <c r="F94" i="32"/>
  <c r="E94" i="32"/>
  <c r="D94" i="32"/>
  <c r="C94" i="32"/>
  <c r="K93" i="32"/>
  <c r="J93" i="32"/>
  <c r="I93" i="32"/>
  <c r="H93" i="32"/>
  <c r="O93" i="32" s="1"/>
  <c r="G93" i="32"/>
  <c r="F93" i="32"/>
  <c r="E93" i="32"/>
  <c r="D93" i="32"/>
  <c r="C93" i="32"/>
  <c r="K92" i="32"/>
  <c r="J92" i="32"/>
  <c r="I92" i="32"/>
  <c r="H92" i="32"/>
  <c r="O92" i="32" s="1"/>
  <c r="G92" i="32"/>
  <c r="F92" i="32"/>
  <c r="E92" i="32"/>
  <c r="D92" i="32"/>
  <c r="C92" i="32"/>
  <c r="K91" i="32"/>
  <c r="J91" i="32"/>
  <c r="I91" i="32"/>
  <c r="H91" i="32"/>
  <c r="G91" i="32"/>
  <c r="F91" i="32"/>
  <c r="E91" i="32"/>
  <c r="D91" i="32"/>
  <c r="C91" i="32"/>
  <c r="K90" i="32"/>
  <c r="J90" i="32"/>
  <c r="I90" i="32"/>
  <c r="H90" i="32"/>
  <c r="O90" i="32" s="1"/>
  <c r="V90" i="32" s="1"/>
  <c r="G90" i="32"/>
  <c r="F90" i="32"/>
  <c r="E90" i="32"/>
  <c r="D90" i="32"/>
  <c r="C90" i="32"/>
  <c r="K89" i="32"/>
  <c r="J89" i="32"/>
  <c r="I89" i="32"/>
  <c r="H89" i="32"/>
  <c r="G89" i="32"/>
  <c r="F89" i="32"/>
  <c r="E89" i="32"/>
  <c r="D89" i="32"/>
  <c r="C89" i="32"/>
  <c r="K88" i="32"/>
  <c r="J88" i="32"/>
  <c r="I88" i="32"/>
  <c r="H88" i="32"/>
  <c r="G88" i="32"/>
  <c r="F88" i="32"/>
  <c r="E88" i="32"/>
  <c r="D88" i="32"/>
  <c r="C88" i="32"/>
  <c r="K87" i="32"/>
  <c r="J87" i="32"/>
  <c r="I87" i="32"/>
  <c r="H87" i="32"/>
  <c r="O87" i="32" s="1"/>
  <c r="V87" i="32" s="1"/>
  <c r="G87" i="32"/>
  <c r="F87" i="32"/>
  <c r="E87" i="32"/>
  <c r="D87" i="32"/>
  <c r="C87" i="32"/>
  <c r="K86" i="32"/>
  <c r="J86" i="32"/>
  <c r="I86" i="32"/>
  <c r="H86" i="32"/>
  <c r="O86" i="32" s="1"/>
  <c r="G86" i="32"/>
  <c r="F86" i="32"/>
  <c r="E86" i="32"/>
  <c r="D86" i="32"/>
  <c r="C86" i="32"/>
  <c r="K85" i="32"/>
  <c r="J85" i="32"/>
  <c r="I85" i="32"/>
  <c r="H85" i="32"/>
  <c r="O85" i="32" s="1"/>
  <c r="G85" i="32"/>
  <c r="F85" i="32"/>
  <c r="E85" i="32"/>
  <c r="D85" i="32"/>
  <c r="C85" i="32"/>
  <c r="Y84" i="32"/>
  <c r="W84" i="32"/>
  <c r="U84" i="32"/>
  <c r="Y72" i="32"/>
  <c r="U72" i="32"/>
  <c r="T72" i="32"/>
  <c r="P72" i="32"/>
  <c r="Y71" i="32"/>
  <c r="U71" i="32"/>
  <c r="T71" i="32"/>
  <c r="P71" i="32"/>
  <c r="Y70" i="32"/>
  <c r="U70" i="32"/>
  <c r="T70" i="32"/>
  <c r="P70" i="32"/>
  <c r="Y69" i="32"/>
  <c r="U69" i="32"/>
  <c r="T69" i="32"/>
  <c r="P69" i="32"/>
  <c r="Y68" i="32"/>
  <c r="U68" i="32"/>
  <c r="T68" i="32"/>
  <c r="P68" i="32"/>
  <c r="Y67" i="32"/>
  <c r="U67" i="32"/>
  <c r="T67" i="32"/>
  <c r="P67" i="32"/>
  <c r="Y66" i="32"/>
  <c r="U66" i="32"/>
  <c r="T66" i="32"/>
  <c r="P66" i="32"/>
  <c r="Y65" i="32"/>
  <c r="U65" i="32"/>
  <c r="T65" i="32"/>
  <c r="P65" i="32"/>
  <c r="Y64" i="32"/>
  <c r="U64" i="32"/>
  <c r="T64" i="32"/>
  <c r="P64" i="32"/>
  <c r="Y63" i="32"/>
  <c r="U63" i="32"/>
  <c r="T63" i="32"/>
  <c r="P63" i="32"/>
  <c r="Y62" i="32"/>
  <c r="U62" i="32"/>
  <c r="P62" i="32"/>
  <c r="Y61" i="32"/>
  <c r="U61" i="32"/>
  <c r="P61" i="32"/>
  <c r="Y60" i="32"/>
  <c r="U60" i="32"/>
  <c r="P60" i="32"/>
  <c r="Y59" i="32"/>
  <c r="U59" i="32"/>
  <c r="P59" i="32"/>
  <c r="Y58" i="32"/>
  <c r="U58" i="32"/>
  <c r="P58" i="32"/>
  <c r="Y57" i="32"/>
  <c r="U57" i="32"/>
  <c r="P57" i="32"/>
  <c r="Y56" i="32"/>
  <c r="U56" i="32"/>
  <c r="P56" i="32"/>
  <c r="Y55" i="32"/>
  <c r="U55" i="32"/>
  <c r="P55" i="32"/>
  <c r="Y54" i="32"/>
  <c r="U54" i="32"/>
  <c r="P54" i="32"/>
  <c r="Y53" i="32"/>
  <c r="U53" i="32"/>
  <c r="P53" i="32"/>
  <c r="Y52" i="32"/>
  <c r="U52" i="32"/>
  <c r="P52" i="32"/>
  <c r="Y51" i="32"/>
  <c r="U51" i="32"/>
  <c r="P51" i="32"/>
  <c r="Y50" i="32"/>
  <c r="U50" i="32"/>
  <c r="P50" i="32"/>
  <c r="Y49" i="32"/>
  <c r="U49" i="32"/>
  <c r="P49" i="32"/>
  <c r="Y48" i="32"/>
  <c r="U48" i="32"/>
  <c r="P48" i="32"/>
  <c r="Y47" i="32"/>
  <c r="U47" i="32"/>
  <c r="P47" i="32"/>
  <c r="Y46" i="32"/>
  <c r="U46" i="32"/>
  <c r="P46" i="32"/>
  <c r="Y45" i="32"/>
  <c r="U45" i="32"/>
  <c r="P45" i="32"/>
  <c r="Y44" i="32"/>
  <c r="U44" i="32"/>
  <c r="P44" i="32"/>
  <c r="Y43" i="32"/>
  <c r="U43" i="32"/>
  <c r="P43" i="32"/>
  <c r="Y42" i="32"/>
  <c r="U42" i="32"/>
  <c r="P42" i="32"/>
  <c r="Y41" i="32"/>
  <c r="U41" i="32"/>
  <c r="P41" i="32"/>
  <c r="Y40" i="32"/>
  <c r="U40" i="32"/>
  <c r="P40" i="32"/>
  <c r="Y39" i="32"/>
  <c r="U39" i="32"/>
  <c r="P39" i="32"/>
  <c r="Y38" i="32"/>
  <c r="U38" i="32"/>
  <c r="P38" i="32"/>
  <c r="Y37" i="32"/>
  <c r="U37" i="32"/>
  <c r="P37" i="32"/>
  <c r="Y36" i="32"/>
  <c r="U36" i="32"/>
  <c r="P36" i="32"/>
  <c r="Y35" i="32"/>
  <c r="U35" i="32"/>
  <c r="P35" i="32"/>
  <c r="Y34" i="32"/>
  <c r="U34" i="32"/>
  <c r="P34" i="32"/>
  <c r="Y33" i="32"/>
  <c r="U33" i="32"/>
  <c r="P33" i="32"/>
  <c r="Y32" i="32"/>
  <c r="U32" i="32"/>
  <c r="P32" i="32"/>
  <c r="Y31" i="32"/>
  <c r="U31" i="32"/>
  <c r="T31" i="32"/>
  <c r="P31" i="32"/>
  <c r="Y30" i="32"/>
  <c r="U30" i="32"/>
  <c r="T30" i="32"/>
  <c r="P30" i="32"/>
  <c r="Y29" i="32"/>
  <c r="U29" i="32"/>
  <c r="T29" i="32"/>
  <c r="P29" i="32"/>
  <c r="Y28" i="32"/>
  <c r="U28" i="32"/>
  <c r="T28" i="32"/>
  <c r="P28" i="32"/>
  <c r="Y27" i="32"/>
  <c r="U27" i="32"/>
  <c r="T27" i="32"/>
  <c r="P27" i="32"/>
  <c r="Y26" i="32"/>
  <c r="U26" i="32"/>
  <c r="T26" i="32"/>
  <c r="P26" i="32"/>
  <c r="U23" i="32"/>
  <c r="N5" i="32"/>
  <c r="N2" i="32"/>
  <c r="I2" i="32"/>
  <c r="A1" i="32"/>
  <c r="P98" i="33" l="1"/>
  <c r="P86" i="33"/>
  <c r="N117" i="33"/>
  <c r="N92" i="32"/>
  <c r="U92" i="32" s="1"/>
  <c r="N95" i="32"/>
  <c r="U95" i="32" s="1"/>
  <c r="P109" i="33"/>
  <c r="W109" i="33" s="1"/>
  <c r="P88" i="33"/>
  <c r="W88" i="33" s="1"/>
  <c r="N111" i="33"/>
  <c r="U111" i="33" s="1"/>
  <c r="Q175" i="33"/>
  <c r="N122" i="33"/>
  <c r="Q148" i="33"/>
  <c r="R148" i="33" s="1"/>
  <c r="N110" i="33"/>
  <c r="U110" i="33" s="1"/>
  <c r="P100" i="33"/>
  <c r="W100" i="33" s="1"/>
  <c r="N103" i="32"/>
  <c r="N104" i="33"/>
  <c r="U104" i="33" s="1"/>
  <c r="N126" i="33"/>
  <c r="U126" i="33" s="1"/>
  <c r="P130" i="33"/>
  <c r="W130" i="33" s="1"/>
  <c r="N111" i="32"/>
  <c r="P93" i="33"/>
  <c r="W93" i="33" s="1"/>
  <c r="P96" i="33"/>
  <c r="W96" i="33" s="1"/>
  <c r="N109" i="33"/>
  <c r="U109" i="33" s="1"/>
  <c r="Q158" i="33"/>
  <c r="R158" i="33" s="1"/>
  <c r="N93" i="33"/>
  <c r="P107" i="33"/>
  <c r="W107" i="33" s="1"/>
  <c r="P123" i="33"/>
  <c r="W123" i="33" s="1"/>
  <c r="Q150" i="33"/>
  <c r="R150" i="33" s="1"/>
  <c r="Q164" i="33"/>
  <c r="R164" i="33" s="1"/>
  <c r="P91" i="33"/>
  <c r="W91" i="33" s="1"/>
  <c r="P101" i="33"/>
  <c r="W101" i="33" s="1"/>
  <c r="N130" i="33"/>
  <c r="Q145" i="33"/>
  <c r="R145" i="33" s="1"/>
  <c r="Q151" i="33"/>
  <c r="R151" i="33" s="1"/>
  <c r="Q153" i="33"/>
  <c r="R153" i="33" s="1"/>
  <c r="V104" i="33"/>
  <c r="Q159" i="33"/>
  <c r="R159" i="33" s="1"/>
  <c r="Q180" i="33"/>
  <c r="R180" i="33" s="1"/>
  <c r="P115" i="33"/>
  <c r="W115" i="33" s="1"/>
  <c r="N119" i="33"/>
  <c r="P131" i="33"/>
  <c r="W131" i="33" s="1"/>
  <c r="N128" i="33"/>
  <c r="U128" i="33" s="1"/>
  <c r="P89" i="33"/>
  <c r="W89" i="33" s="1"/>
  <c r="P94" i="33"/>
  <c r="W94" i="33" s="1"/>
  <c r="N95" i="33"/>
  <c r="U95" i="33" s="1"/>
  <c r="P106" i="33"/>
  <c r="W106" i="33" s="1"/>
  <c r="P118" i="33"/>
  <c r="W118" i="33" s="1"/>
  <c r="P102" i="33"/>
  <c r="W102" i="33" s="1"/>
  <c r="V114" i="32"/>
  <c r="P85" i="33"/>
  <c r="Q85" i="33" s="1"/>
  <c r="R85" i="33" s="1"/>
  <c r="P122" i="33"/>
  <c r="W122" i="33" s="1"/>
  <c r="P128" i="33"/>
  <c r="W128" i="33" s="1"/>
  <c r="Q156" i="33"/>
  <c r="R156" i="33" s="1"/>
  <c r="R175" i="33"/>
  <c r="Q182" i="33"/>
  <c r="R182" i="33" s="1"/>
  <c r="V96" i="32"/>
  <c r="V125" i="32"/>
  <c r="P103" i="33"/>
  <c r="P114" i="33"/>
  <c r="W114" i="33" s="1"/>
  <c r="O122" i="33"/>
  <c r="V122" i="33" s="1"/>
  <c r="P127" i="33"/>
  <c r="V128" i="33"/>
  <c r="Q137" i="33"/>
  <c r="R137" i="33" s="1"/>
  <c r="Q161" i="33"/>
  <c r="R161" i="33" s="1"/>
  <c r="Q166" i="33"/>
  <c r="R166" i="33" s="1"/>
  <c r="Q177" i="33"/>
  <c r="R177" i="33" s="1"/>
  <c r="N125" i="32"/>
  <c r="U125" i="32" s="1"/>
  <c r="P87" i="32"/>
  <c r="W87" i="32" s="1"/>
  <c r="N117" i="32"/>
  <c r="U117" i="32" s="1"/>
  <c r="V122" i="32"/>
  <c r="N124" i="32"/>
  <c r="U124" i="32" s="1"/>
  <c r="N85" i="33"/>
  <c r="N87" i="33"/>
  <c r="P90" i="33"/>
  <c r="W90" i="33" s="1"/>
  <c r="P92" i="33"/>
  <c r="W92" i="33" s="1"/>
  <c r="N96" i="33"/>
  <c r="P99" i="33"/>
  <c r="W99" i="33" s="1"/>
  <c r="N103" i="33"/>
  <c r="U103" i="33" s="1"/>
  <c r="P116" i="33"/>
  <c r="W116" i="33" s="1"/>
  <c r="P120" i="33"/>
  <c r="N120" i="33"/>
  <c r="U120" i="33" s="1"/>
  <c r="P125" i="33"/>
  <c r="W125" i="33" s="1"/>
  <c r="N127" i="33"/>
  <c r="U127" i="33" s="1"/>
  <c r="Q167" i="33"/>
  <c r="R167" i="33" s="1"/>
  <c r="V85" i="32"/>
  <c r="X85" i="32" s="1"/>
  <c r="V93" i="32"/>
  <c r="N98" i="32"/>
  <c r="U98" i="32" s="1"/>
  <c r="V130" i="32"/>
  <c r="Q179" i="32"/>
  <c r="R179" i="32" s="1"/>
  <c r="N92" i="33"/>
  <c r="U92" i="33" s="1"/>
  <c r="P110" i="33"/>
  <c r="W110" i="33" s="1"/>
  <c r="N112" i="33"/>
  <c r="U112" i="33" s="1"/>
  <c r="N118" i="33"/>
  <c r="U118" i="33" s="1"/>
  <c r="P119" i="33"/>
  <c r="N125" i="33"/>
  <c r="Q140" i="33"/>
  <c r="R140" i="33" s="1"/>
  <c r="Q143" i="33"/>
  <c r="R143" i="33" s="1"/>
  <c r="Q169" i="33"/>
  <c r="R169" i="33" s="1"/>
  <c r="V106" i="32"/>
  <c r="P126" i="33"/>
  <c r="W126" i="33" s="1"/>
  <c r="P107" i="32"/>
  <c r="W107" i="32" s="1"/>
  <c r="P111" i="32"/>
  <c r="Q111" i="32" s="1"/>
  <c r="R111" i="32" s="1"/>
  <c r="V112" i="32"/>
  <c r="P97" i="33"/>
  <c r="W97" i="33" s="1"/>
  <c r="N101" i="33"/>
  <c r="U101" i="33" s="1"/>
  <c r="P111" i="33"/>
  <c r="W120" i="33"/>
  <c r="N88" i="33"/>
  <c r="U117" i="33"/>
  <c r="Q109" i="33"/>
  <c r="R109" i="33" s="1"/>
  <c r="U122" i="33"/>
  <c r="Q155" i="33"/>
  <c r="R155" i="33" s="1"/>
  <c r="U87" i="33"/>
  <c r="N98" i="33"/>
  <c r="O108" i="33"/>
  <c r="V108" i="33" s="1"/>
  <c r="N108" i="33"/>
  <c r="Q176" i="33"/>
  <c r="R176" i="33" s="1"/>
  <c r="Q157" i="33"/>
  <c r="R157" i="33" s="1"/>
  <c r="N86" i="33"/>
  <c r="N89" i="33"/>
  <c r="O89" i="33"/>
  <c r="V89" i="33" s="1"/>
  <c r="P95" i="33"/>
  <c r="W95" i="33" s="1"/>
  <c r="Q165" i="33"/>
  <c r="R165" i="33" s="1"/>
  <c r="U96" i="33"/>
  <c r="Q144" i="33"/>
  <c r="R144" i="33" s="1"/>
  <c r="Q163" i="33"/>
  <c r="R163" i="33" s="1"/>
  <c r="N90" i="33"/>
  <c r="N97" i="33"/>
  <c r="O97" i="33"/>
  <c r="V97" i="33" s="1"/>
  <c r="P104" i="33"/>
  <c r="W104" i="33" s="1"/>
  <c r="N106" i="33"/>
  <c r="P112" i="33"/>
  <c r="W112" i="33" s="1"/>
  <c r="N114" i="33"/>
  <c r="Q174" i="33"/>
  <c r="R174" i="33" s="1"/>
  <c r="V98" i="33"/>
  <c r="O100" i="33"/>
  <c r="V100" i="33" s="1"/>
  <c r="N100" i="33"/>
  <c r="P108" i="33"/>
  <c r="W108" i="33" s="1"/>
  <c r="O129" i="33"/>
  <c r="V129" i="33" s="1"/>
  <c r="N129" i="33"/>
  <c r="U93" i="33"/>
  <c r="AG85" i="33"/>
  <c r="W98" i="33"/>
  <c r="N102" i="33"/>
  <c r="P117" i="33"/>
  <c r="W117" i="33" s="1"/>
  <c r="P124" i="33"/>
  <c r="W124" i="33" s="1"/>
  <c r="U130" i="33"/>
  <c r="N131" i="33"/>
  <c r="O131" i="33"/>
  <c r="V131" i="33" s="1"/>
  <c r="Q142" i="33"/>
  <c r="R142" i="33" s="1"/>
  <c r="N105" i="33"/>
  <c r="N113" i="33"/>
  <c r="N121" i="33"/>
  <c r="Q168" i="33"/>
  <c r="R168" i="33" s="1"/>
  <c r="N91" i="33"/>
  <c r="N107" i="33"/>
  <c r="N115" i="33"/>
  <c r="N123" i="33"/>
  <c r="Q147" i="33"/>
  <c r="R147" i="33" s="1"/>
  <c r="Q149" i="33"/>
  <c r="R149" i="33" s="1"/>
  <c r="Q179" i="33"/>
  <c r="R179" i="33" s="1"/>
  <c r="Q181" i="33"/>
  <c r="R181" i="33" s="1"/>
  <c r="O116" i="33"/>
  <c r="V116" i="33" s="1"/>
  <c r="N116" i="33"/>
  <c r="O124" i="33"/>
  <c r="V124" i="33" s="1"/>
  <c r="N124" i="33"/>
  <c r="P129" i="33"/>
  <c r="W129" i="33" s="1"/>
  <c r="Q160" i="33"/>
  <c r="R160" i="33" s="1"/>
  <c r="P87" i="33"/>
  <c r="W87" i="33" s="1"/>
  <c r="N99" i="33"/>
  <c r="P105" i="33"/>
  <c r="W105" i="33" s="1"/>
  <c r="P113" i="33"/>
  <c r="W113" i="33" s="1"/>
  <c r="P121" i="33"/>
  <c r="W121" i="33" s="1"/>
  <c r="Q139" i="33"/>
  <c r="R139" i="33" s="1"/>
  <c r="Q141" i="33"/>
  <c r="R141" i="33" s="1"/>
  <c r="Q171" i="33"/>
  <c r="R171" i="33" s="1"/>
  <c r="Q173" i="33"/>
  <c r="R173" i="33" s="1"/>
  <c r="N94" i="33"/>
  <c r="O105" i="33"/>
  <c r="V105" i="33" s="1"/>
  <c r="O113" i="33"/>
  <c r="V113" i="33" s="1"/>
  <c r="U119" i="33"/>
  <c r="O121" i="33"/>
  <c r="V121" i="33" s="1"/>
  <c r="Q152" i="33"/>
  <c r="R152" i="33" s="1"/>
  <c r="Q138" i="33"/>
  <c r="R138" i="33" s="1"/>
  <c r="Q146" i="33"/>
  <c r="R146" i="33" s="1"/>
  <c r="Q154" i="33"/>
  <c r="R154" i="33" s="1"/>
  <c r="Q162" i="33"/>
  <c r="R162" i="33" s="1"/>
  <c r="Q170" i="33"/>
  <c r="R170" i="33" s="1"/>
  <c r="Q178" i="33"/>
  <c r="R178" i="33" s="1"/>
  <c r="P91" i="32"/>
  <c r="W91" i="32" s="1"/>
  <c r="P99" i="32"/>
  <c r="W99" i="32" s="1"/>
  <c r="N100" i="32"/>
  <c r="U100" i="32" s="1"/>
  <c r="V123" i="32"/>
  <c r="P92" i="32"/>
  <c r="W92" i="32" s="1"/>
  <c r="N85" i="32"/>
  <c r="V86" i="32"/>
  <c r="X86" i="32" s="1"/>
  <c r="N130" i="32"/>
  <c r="U130" i="32" s="1"/>
  <c r="V131" i="32"/>
  <c r="Q137" i="32"/>
  <c r="R137" i="32" s="1"/>
  <c r="Q153" i="32"/>
  <c r="R153" i="32" s="1"/>
  <c r="Q169" i="32"/>
  <c r="R169" i="32" s="1"/>
  <c r="Q177" i="32"/>
  <c r="R177" i="32" s="1"/>
  <c r="P89" i="32"/>
  <c r="W89" i="32" s="1"/>
  <c r="P112" i="32"/>
  <c r="W112" i="32" s="1"/>
  <c r="N122" i="32"/>
  <c r="U122" i="32" s="1"/>
  <c r="Q164" i="32"/>
  <c r="R164" i="32" s="1"/>
  <c r="Q180" i="32"/>
  <c r="R180" i="32" s="1"/>
  <c r="P93" i="32"/>
  <c r="W93" i="32" s="1"/>
  <c r="P109" i="32"/>
  <c r="W109" i="32" s="1"/>
  <c r="P113" i="32"/>
  <c r="W113" i="32" s="1"/>
  <c r="P124" i="32"/>
  <c r="W124" i="32" s="1"/>
  <c r="P88" i="32"/>
  <c r="W88" i="32" s="1"/>
  <c r="P102" i="32"/>
  <c r="W102" i="32" s="1"/>
  <c r="V119" i="32"/>
  <c r="Q150" i="32"/>
  <c r="R150" i="32" s="1"/>
  <c r="Q155" i="32"/>
  <c r="R155" i="32" s="1"/>
  <c r="Q163" i="32"/>
  <c r="R163" i="32" s="1"/>
  <c r="N128" i="32"/>
  <c r="N87" i="32"/>
  <c r="Q87" i="32" s="1"/>
  <c r="R87" i="32" s="1"/>
  <c r="N90" i="32"/>
  <c r="U90" i="32" s="1"/>
  <c r="V92" i="32"/>
  <c r="P105" i="32"/>
  <c r="W105" i="32" s="1"/>
  <c r="N114" i="32"/>
  <c r="U114" i="32" s="1"/>
  <c r="P120" i="32"/>
  <c r="W120" i="32" s="1"/>
  <c r="P128" i="32"/>
  <c r="W128" i="32" s="1"/>
  <c r="P131" i="32"/>
  <c r="W131" i="32" s="1"/>
  <c r="Q145" i="32"/>
  <c r="R145" i="32" s="1"/>
  <c r="Q158" i="32"/>
  <c r="R158" i="32" s="1"/>
  <c r="N116" i="32"/>
  <c r="V116" i="32"/>
  <c r="P103" i="32"/>
  <c r="W103" i="32" s="1"/>
  <c r="V126" i="32"/>
  <c r="N127" i="32"/>
  <c r="U127" i="32" s="1"/>
  <c r="Q161" i="32"/>
  <c r="R161" i="32" s="1"/>
  <c r="N106" i="32"/>
  <c r="U106" i="32" s="1"/>
  <c r="N119" i="32"/>
  <c r="P96" i="32"/>
  <c r="W96" i="32" s="1"/>
  <c r="V101" i="32"/>
  <c r="V111" i="32"/>
  <c r="P116" i="32"/>
  <c r="W116" i="32" s="1"/>
  <c r="V124" i="32"/>
  <c r="Q166" i="32"/>
  <c r="R166" i="32" s="1"/>
  <c r="Q171" i="32"/>
  <c r="R171" i="32" s="1"/>
  <c r="N88" i="32"/>
  <c r="U88" i="32" s="1"/>
  <c r="P118" i="32"/>
  <c r="W118" i="32" s="1"/>
  <c r="P126" i="32"/>
  <c r="W126" i="32" s="1"/>
  <c r="O128" i="32"/>
  <c r="V128" i="32" s="1"/>
  <c r="Q172" i="32"/>
  <c r="R172" i="32" s="1"/>
  <c r="Q174" i="32"/>
  <c r="R174" i="32" s="1"/>
  <c r="P104" i="32"/>
  <c r="W104" i="32" s="1"/>
  <c r="P108" i="32"/>
  <c r="W108" i="32" s="1"/>
  <c r="P115" i="32"/>
  <c r="W115" i="32" s="1"/>
  <c r="Q139" i="32"/>
  <c r="R139" i="32" s="1"/>
  <c r="V95" i="32"/>
  <c r="Q182" i="32"/>
  <c r="R182" i="32" s="1"/>
  <c r="P86" i="32"/>
  <c r="N86" i="32"/>
  <c r="N101" i="32"/>
  <c r="U101" i="32" s="1"/>
  <c r="N108" i="32"/>
  <c r="U108" i="32" s="1"/>
  <c r="P119" i="32"/>
  <c r="W119" i="32" s="1"/>
  <c r="P127" i="32"/>
  <c r="W127" i="32" s="1"/>
  <c r="Q140" i="32"/>
  <c r="R140" i="32" s="1"/>
  <c r="Q142" i="32"/>
  <c r="R142" i="32" s="1"/>
  <c r="P123" i="32"/>
  <c r="W123" i="32" s="1"/>
  <c r="P129" i="32"/>
  <c r="W129" i="32" s="1"/>
  <c r="Q148" i="32"/>
  <c r="R148" i="32" s="1"/>
  <c r="V104" i="32"/>
  <c r="O88" i="32"/>
  <c r="V88" i="32" s="1"/>
  <c r="P95" i="32"/>
  <c r="W95" i="32" s="1"/>
  <c r="P97" i="32"/>
  <c r="W97" i="32" s="1"/>
  <c r="P100" i="32"/>
  <c r="W100" i="32" s="1"/>
  <c r="P121" i="32"/>
  <c r="W121" i="32" s="1"/>
  <c r="Q156" i="32"/>
  <c r="R156" i="32" s="1"/>
  <c r="Q152" i="32"/>
  <c r="R152" i="32" s="1"/>
  <c r="O115" i="32"/>
  <c r="V115" i="32" s="1"/>
  <c r="N115" i="32"/>
  <c r="O99" i="32"/>
  <c r="V99" i="32" s="1"/>
  <c r="N99" i="32"/>
  <c r="O105" i="32"/>
  <c r="V105" i="32" s="1"/>
  <c r="N105" i="32"/>
  <c r="P90" i="32"/>
  <c r="W90" i="32" s="1"/>
  <c r="O121" i="32"/>
  <c r="V121" i="32" s="1"/>
  <c r="N121" i="32"/>
  <c r="N93" i="32"/>
  <c r="P85" i="32"/>
  <c r="AG85" i="32"/>
  <c r="P106" i="32"/>
  <c r="W106" i="32" s="1"/>
  <c r="O89" i="32"/>
  <c r="V89" i="32" s="1"/>
  <c r="N89" i="32"/>
  <c r="N109" i="32"/>
  <c r="O94" i="32"/>
  <c r="V94" i="32" s="1"/>
  <c r="N94" i="32"/>
  <c r="N104" i="32"/>
  <c r="O110" i="32"/>
  <c r="V110" i="32" s="1"/>
  <c r="N110" i="32"/>
  <c r="N120" i="32"/>
  <c r="Q147" i="32"/>
  <c r="R147" i="32" s="1"/>
  <c r="Q160" i="32"/>
  <c r="R160" i="32" s="1"/>
  <c r="U111" i="32"/>
  <c r="P130" i="32"/>
  <c r="W130" i="32" s="1"/>
  <c r="P101" i="32"/>
  <c r="W101" i="32" s="1"/>
  <c r="P117" i="32"/>
  <c r="W117" i="32" s="1"/>
  <c r="Q168" i="32"/>
  <c r="R168" i="32" s="1"/>
  <c r="O91" i="32"/>
  <c r="V91" i="32" s="1"/>
  <c r="N91" i="32"/>
  <c r="P94" i="32"/>
  <c r="W94" i="32" s="1"/>
  <c r="O97" i="32"/>
  <c r="V97" i="32" s="1"/>
  <c r="N97" i="32"/>
  <c r="P98" i="32"/>
  <c r="W98" i="32" s="1"/>
  <c r="O107" i="32"/>
  <c r="V107" i="32" s="1"/>
  <c r="N107" i="32"/>
  <c r="P110" i="32"/>
  <c r="W110" i="32" s="1"/>
  <c r="O113" i="32"/>
  <c r="V113" i="32" s="1"/>
  <c r="N113" i="32"/>
  <c r="P114" i="32"/>
  <c r="W114" i="32" s="1"/>
  <c r="O129" i="32"/>
  <c r="V129" i="32" s="1"/>
  <c r="N129" i="32"/>
  <c r="N96" i="32"/>
  <c r="O102" i="32"/>
  <c r="V102" i="32" s="1"/>
  <c r="N102" i="32"/>
  <c r="N112" i="32"/>
  <c r="O118" i="32"/>
  <c r="V118" i="32" s="1"/>
  <c r="N118" i="32"/>
  <c r="Q144" i="32"/>
  <c r="R144" i="32" s="1"/>
  <c r="Q176" i="32"/>
  <c r="R176" i="32" s="1"/>
  <c r="U103" i="32"/>
  <c r="P122" i="32"/>
  <c r="W122" i="32" s="1"/>
  <c r="P125" i="32"/>
  <c r="W125" i="32" s="1"/>
  <c r="Q141" i="32"/>
  <c r="R141" i="32" s="1"/>
  <c r="Q149" i="32"/>
  <c r="R149" i="32" s="1"/>
  <c r="Q157" i="32"/>
  <c r="R157" i="32" s="1"/>
  <c r="Q165" i="32"/>
  <c r="R165" i="32" s="1"/>
  <c r="Q173" i="32"/>
  <c r="R173" i="32" s="1"/>
  <c r="Q181" i="32"/>
  <c r="R181" i="32" s="1"/>
  <c r="N126" i="32"/>
  <c r="Q138" i="32"/>
  <c r="R138" i="32" s="1"/>
  <c r="Q146" i="32"/>
  <c r="R146" i="32" s="1"/>
  <c r="Q154" i="32"/>
  <c r="R154" i="32" s="1"/>
  <c r="Q162" i="32"/>
  <c r="R162" i="32" s="1"/>
  <c r="Q170" i="32"/>
  <c r="R170" i="32" s="1"/>
  <c r="Q178" i="32"/>
  <c r="R178" i="32" s="1"/>
  <c r="N123" i="32"/>
  <c r="N131" i="32"/>
  <c r="Q143" i="32"/>
  <c r="R143" i="32" s="1"/>
  <c r="Q151" i="32"/>
  <c r="R151" i="32" s="1"/>
  <c r="Q159" i="32"/>
  <c r="R159" i="32" s="1"/>
  <c r="Q167" i="32"/>
  <c r="R167" i="32" s="1"/>
  <c r="Q175" i="32"/>
  <c r="R175" i="32" s="1"/>
  <c r="Q183" i="32"/>
  <c r="R183" i="32" s="1"/>
  <c r="W111" i="32" l="1"/>
  <c r="Q96" i="33"/>
  <c r="R96" i="33" s="1"/>
  <c r="Q120" i="33"/>
  <c r="R120" i="33" s="1"/>
  <c r="Q130" i="33"/>
  <c r="R130" i="33" s="1"/>
  <c r="Q86" i="32"/>
  <c r="R86" i="32" s="1"/>
  <c r="Q128" i="33"/>
  <c r="R128" i="33" s="1"/>
  <c r="Q119" i="32"/>
  <c r="R119" i="32" s="1"/>
  <c r="Q93" i="33"/>
  <c r="R93" i="33" s="1"/>
  <c r="Q118" i="33"/>
  <c r="R118" i="33" s="1"/>
  <c r="Q126" i="33"/>
  <c r="R126" i="33" s="1"/>
  <c r="Q125" i="33"/>
  <c r="R125" i="33" s="1"/>
  <c r="X124" i="32"/>
  <c r="Y124" i="32" s="1"/>
  <c r="Q128" i="32"/>
  <c r="R128" i="32" s="1"/>
  <c r="Q103" i="33"/>
  <c r="R103" i="33" s="1"/>
  <c r="W103" i="33"/>
  <c r="X103" i="33" s="1"/>
  <c r="Y103" i="33" s="1"/>
  <c r="Q110" i="33"/>
  <c r="R110" i="33" s="1"/>
  <c r="U128" i="32"/>
  <c r="U87" i="32"/>
  <c r="Q92" i="32"/>
  <c r="R92" i="32" s="1"/>
  <c r="Q122" i="33"/>
  <c r="R122" i="33" s="1"/>
  <c r="U119" i="32"/>
  <c r="X119" i="32" s="1"/>
  <c r="Y119" i="32" s="1"/>
  <c r="X127" i="32"/>
  <c r="Y127" i="32" s="1"/>
  <c r="Q112" i="33"/>
  <c r="R112" i="33" s="1"/>
  <c r="U125" i="33"/>
  <c r="X125" i="33" s="1"/>
  <c r="Y125" i="33" s="1"/>
  <c r="Q101" i="33"/>
  <c r="R101" i="33" s="1"/>
  <c r="X130" i="32"/>
  <c r="Y130" i="32" s="1"/>
  <c r="Q127" i="33"/>
  <c r="R127" i="33" s="1"/>
  <c r="W127" i="33"/>
  <c r="Q119" i="33"/>
  <c r="R119" i="33" s="1"/>
  <c r="W119" i="33"/>
  <c r="X119" i="33" s="1"/>
  <c r="Y119" i="33" s="1"/>
  <c r="Q111" i="33"/>
  <c r="R111" i="33" s="1"/>
  <c r="W111" i="33"/>
  <c r="X111" i="33" s="1"/>
  <c r="Y111" i="33" s="1"/>
  <c r="Q124" i="32"/>
  <c r="R124" i="32" s="1"/>
  <c r="Q92" i="33"/>
  <c r="R92" i="33" s="1"/>
  <c r="U94" i="33"/>
  <c r="Q94" i="33"/>
  <c r="R94" i="33" s="1"/>
  <c r="Q102" i="33"/>
  <c r="R102" i="33" s="1"/>
  <c r="U102" i="33"/>
  <c r="X95" i="33"/>
  <c r="Y95" i="33" s="1"/>
  <c r="X101" i="33"/>
  <c r="Y101" i="33" s="1"/>
  <c r="X87" i="33"/>
  <c r="Y87" i="33" s="1"/>
  <c r="U107" i="33"/>
  <c r="Q107" i="33"/>
  <c r="R107" i="33" s="1"/>
  <c r="U105" i="33"/>
  <c r="Q105" i="33"/>
  <c r="R105" i="33" s="1"/>
  <c r="X130" i="33"/>
  <c r="Y130" i="33" s="1"/>
  <c r="Q129" i="33"/>
  <c r="R129" i="33" s="1"/>
  <c r="U129" i="33"/>
  <c r="X104" i="33"/>
  <c r="Y104" i="33" s="1"/>
  <c r="X109" i="33"/>
  <c r="Y109" i="33" s="1"/>
  <c r="X92" i="33"/>
  <c r="Y92" i="33" s="1"/>
  <c r="U88" i="33"/>
  <c r="Q88" i="33"/>
  <c r="R88" i="33" s="1"/>
  <c r="U123" i="33"/>
  <c r="Q123" i="33"/>
  <c r="R123" i="33" s="1"/>
  <c r="U114" i="33"/>
  <c r="Q114" i="33"/>
  <c r="R114" i="33" s="1"/>
  <c r="X122" i="33"/>
  <c r="Y122" i="33" s="1"/>
  <c r="Q97" i="33"/>
  <c r="R97" i="33" s="1"/>
  <c r="U97" i="33"/>
  <c r="X126" i="33"/>
  <c r="Y126" i="33" s="1"/>
  <c r="X117" i="33"/>
  <c r="Y117" i="33" s="1"/>
  <c r="X128" i="33"/>
  <c r="Y128" i="33" s="1"/>
  <c r="X120" i="33"/>
  <c r="Y120" i="33" s="1"/>
  <c r="Q121" i="33"/>
  <c r="R121" i="33" s="1"/>
  <c r="U121" i="33"/>
  <c r="X112" i="33"/>
  <c r="Y112" i="33" s="1"/>
  <c r="U90" i="33"/>
  <c r="Q90" i="33"/>
  <c r="R90" i="33" s="1"/>
  <c r="X110" i="33"/>
  <c r="Y110" i="33" s="1"/>
  <c r="U89" i="33"/>
  <c r="Q89" i="33"/>
  <c r="R89" i="33" s="1"/>
  <c r="U98" i="33"/>
  <c r="Q98" i="33"/>
  <c r="R98" i="33" s="1"/>
  <c r="Q117" i="33"/>
  <c r="R117" i="33" s="1"/>
  <c r="U99" i="33"/>
  <c r="Q99" i="33"/>
  <c r="R99" i="33" s="1"/>
  <c r="Q124" i="33"/>
  <c r="R124" i="33" s="1"/>
  <c r="U124" i="33"/>
  <c r="Q116" i="33"/>
  <c r="R116" i="33" s="1"/>
  <c r="U116" i="33"/>
  <c r="U115" i="33"/>
  <c r="Q115" i="33"/>
  <c r="R115" i="33" s="1"/>
  <c r="U91" i="33"/>
  <c r="Q91" i="33"/>
  <c r="R91" i="33" s="1"/>
  <c r="U131" i="33"/>
  <c r="Q131" i="33"/>
  <c r="R131" i="33" s="1"/>
  <c r="Q100" i="33"/>
  <c r="R100" i="33" s="1"/>
  <c r="U100" i="33"/>
  <c r="X96" i="33"/>
  <c r="Y96" i="33" s="1"/>
  <c r="Q86" i="33"/>
  <c r="R86" i="33" s="1"/>
  <c r="X127" i="33"/>
  <c r="Y127" i="33" s="1"/>
  <c r="U113" i="33"/>
  <c r="Q113" i="33"/>
  <c r="R113" i="33" s="1"/>
  <c r="X118" i="33"/>
  <c r="Y118" i="33" s="1"/>
  <c r="Q104" i="33"/>
  <c r="R104" i="33" s="1"/>
  <c r="X93" i="33"/>
  <c r="Y93" i="33" s="1"/>
  <c r="U106" i="33"/>
  <c r="Q106" i="33"/>
  <c r="R106" i="33" s="1"/>
  <c r="Q95" i="33"/>
  <c r="R95" i="33" s="1"/>
  <c r="Q108" i="33"/>
  <c r="R108" i="33" s="1"/>
  <c r="U108" i="33"/>
  <c r="Q87" i="33"/>
  <c r="R87" i="33" s="1"/>
  <c r="Q85" i="32"/>
  <c r="R85" i="32" s="1"/>
  <c r="Q100" i="32"/>
  <c r="R100" i="32" s="1"/>
  <c r="Q127" i="32"/>
  <c r="R127" i="32" s="1"/>
  <c r="Q103" i="32"/>
  <c r="R103" i="32" s="1"/>
  <c r="Q116" i="32"/>
  <c r="R116" i="32" s="1"/>
  <c r="X92" i="32"/>
  <c r="Y92" i="32" s="1"/>
  <c r="X122" i="32"/>
  <c r="Y122" i="32" s="1"/>
  <c r="U116" i="32"/>
  <c r="X116" i="32" s="1"/>
  <c r="Y116" i="32" s="1"/>
  <c r="X108" i="32"/>
  <c r="Y108" i="32" s="1"/>
  <c r="Q90" i="32"/>
  <c r="R90" i="32" s="1"/>
  <c r="Q108" i="32"/>
  <c r="R108" i="32" s="1"/>
  <c r="Q122" i="32"/>
  <c r="R122" i="32" s="1"/>
  <c r="Q88" i="32"/>
  <c r="R88" i="32" s="1"/>
  <c r="Q98" i="32"/>
  <c r="R98" i="32" s="1"/>
  <c r="Q95" i="32"/>
  <c r="R95" i="32" s="1"/>
  <c r="Q106" i="32"/>
  <c r="R106" i="32" s="1"/>
  <c r="X87" i="32"/>
  <c r="Y87" i="32" s="1"/>
  <c r="U118" i="32"/>
  <c r="Q118" i="32"/>
  <c r="R118" i="32" s="1"/>
  <c r="U91" i="32"/>
  <c r="Q91" i="32"/>
  <c r="R91" i="32" s="1"/>
  <c r="X111" i="32"/>
  <c r="Y111" i="32" s="1"/>
  <c r="Q94" i="32"/>
  <c r="R94" i="32" s="1"/>
  <c r="U94" i="32"/>
  <c r="X88" i="32"/>
  <c r="Y88" i="32" s="1"/>
  <c r="U93" i="32"/>
  <c r="Q93" i="32"/>
  <c r="R93" i="32" s="1"/>
  <c r="X125" i="32"/>
  <c r="Y125" i="32" s="1"/>
  <c r="Q121" i="32"/>
  <c r="R121" i="32" s="1"/>
  <c r="U121" i="32"/>
  <c r="U123" i="32"/>
  <c r="Q123" i="32"/>
  <c r="R123" i="32" s="1"/>
  <c r="Q114" i="32"/>
  <c r="R114" i="32" s="1"/>
  <c r="X98" i="32"/>
  <c r="Y98" i="32" s="1"/>
  <c r="U96" i="32"/>
  <c r="Q96" i="32"/>
  <c r="R96" i="32" s="1"/>
  <c r="Q129" i="32"/>
  <c r="R129" i="32" s="1"/>
  <c r="U129" i="32"/>
  <c r="Q113" i="32"/>
  <c r="R113" i="32" s="1"/>
  <c r="U113" i="32"/>
  <c r="U120" i="32"/>
  <c r="Q120" i="32"/>
  <c r="R120" i="32" s="1"/>
  <c r="X106" i="32"/>
  <c r="Y106" i="32" s="1"/>
  <c r="X128" i="32"/>
  <c r="Y128" i="32" s="1"/>
  <c r="Q105" i="32"/>
  <c r="R105" i="32" s="1"/>
  <c r="U105" i="32"/>
  <c r="U115" i="32"/>
  <c r="Q115" i="32"/>
  <c r="R115" i="32" s="1"/>
  <c r="X103" i="32"/>
  <c r="Y103" i="32" s="1"/>
  <c r="X114" i="32"/>
  <c r="Y114" i="32" s="1"/>
  <c r="Q97" i="32"/>
  <c r="R97" i="32" s="1"/>
  <c r="U97" i="32"/>
  <c r="X95" i="32"/>
  <c r="Y95" i="32" s="1"/>
  <c r="Q117" i="32"/>
  <c r="R117" i="32" s="1"/>
  <c r="U104" i="32"/>
  <c r="Q104" i="32"/>
  <c r="R104" i="32" s="1"/>
  <c r="X90" i="32"/>
  <c r="Y90" i="32" s="1"/>
  <c r="U112" i="32"/>
  <c r="Q112" i="32"/>
  <c r="R112" i="32" s="1"/>
  <c r="Q101" i="32"/>
  <c r="R101" i="32" s="1"/>
  <c r="U102" i="32"/>
  <c r="Q102" i="32"/>
  <c r="R102" i="32" s="1"/>
  <c r="X117" i="32"/>
  <c r="Y117" i="32" s="1"/>
  <c r="U109" i="32"/>
  <c r="Q109" i="32"/>
  <c r="R109" i="32" s="1"/>
  <c r="X100" i="32"/>
  <c r="Y100" i="32" s="1"/>
  <c r="U131" i="32"/>
  <c r="Q131" i="32"/>
  <c r="R131" i="32" s="1"/>
  <c r="U126" i="32"/>
  <c r="Q126" i="32"/>
  <c r="R126" i="32" s="1"/>
  <c r="Q130" i="32"/>
  <c r="R130" i="32" s="1"/>
  <c r="Q125" i="32"/>
  <c r="R125" i="32" s="1"/>
  <c r="U107" i="32"/>
  <c r="Q107" i="32"/>
  <c r="R107" i="32" s="1"/>
  <c r="Q110" i="32"/>
  <c r="R110" i="32" s="1"/>
  <c r="U110" i="32"/>
  <c r="X101" i="32"/>
  <c r="Y101" i="32" s="1"/>
  <c r="Q89" i="32"/>
  <c r="R89" i="32" s="1"/>
  <c r="U89" i="32"/>
  <c r="U99" i="32"/>
  <c r="Q99" i="32"/>
  <c r="R99" i="32" s="1"/>
  <c r="B130" i="14"/>
  <c r="B129"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104" i="14"/>
  <c r="D105" i="14"/>
  <c r="D106" i="14"/>
  <c r="D107" i="14"/>
  <c r="D108" i="14"/>
  <c r="D109" i="14"/>
  <c r="D110" i="14"/>
  <c r="D111" i="14"/>
  <c r="D112" i="14"/>
  <c r="D113" i="14"/>
  <c r="D114" i="14"/>
  <c r="D115" i="14"/>
  <c r="D116" i="14"/>
  <c r="D117" i="14"/>
  <c r="D118" i="14"/>
  <c r="D72" i="14"/>
  <c r="C129" i="14" l="1"/>
  <c r="B121" i="14"/>
  <c r="C130" i="14" s="1"/>
  <c r="D121" i="14"/>
  <c r="X108" i="33"/>
  <c r="Y108" i="33" s="1"/>
  <c r="X99" i="33"/>
  <c r="Y99" i="33" s="1"/>
  <c r="X100" i="33"/>
  <c r="Y100" i="33" s="1"/>
  <c r="X102" i="33"/>
  <c r="Y102" i="33" s="1"/>
  <c r="X131" i="33"/>
  <c r="Y131" i="33" s="1"/>
  <c r="X107" i="33"/>
  <c r="Y107" i="33" s="1"/>
  <c r="X123" i="33"/>
  <c r="Y123" i="33" s="1"/>
  <c r="X89" i="33"/>
  <c r="Y89" i="33" s="1"/>
  <c r="X105" i="33"/>
  <c r="Y105" i="33" s="1"/>
  <c r="X113" i="33"/>
  <c r="Y113" i="33" s="1"/>
  <c r="X121" i="33"/>
  <c r="Y121" i="33" s="1"/>
  <c r="X114" i="33"/>
  <c r="Y114" i="33" s="1"/>
  <c r="X88" i="33"/>
  <c r="Y88" i="33" s="1"/>
  <c r="X129" i="33"/>
  <c r="Y129" i="33" s="1"/>
  <c r="X94" i="33"/>
  <c r="Y94" i="33" s="1"/>
  <c r="X106" i="33"/>
  <c r="Y106" i="33" s="1"/>
  <c r="X115" i="33"/>
  <c r="Y115" i="33" s="1"/>
  <c r="X116" i="33"/>
  <c r="Y116" i="33" s="1"/>
  <c r="X91" i="33"/>
  <c r="Y91" i="33" s="1"/>
  <c r="X124" i="33"/>
  <c r="Y124" i="33" s="1"/>
  <c r="X98" i="33"/>
  <c r="Y98" i="33" s="1"/>
  <c r="X90" i="33"/>
  <c r="Y90" i="33" s="1"/>
  <c r="X97" i="33"/>
  <c r="Y97" i="33" s="1"/>
  <c r="X110" i="32"/>
  <c r="Y110" i="32" s="1"/>
  <c r="X104" i="32"/>
  <c r="Y104" i="32" s="1"/>
  <c r="X123" i="32"/>
  <c r="Y123" i="32" s="1"/>
  <c r="X93" i="32"/>
  <c r="Y93" i="32" s="1"/>
  <c r="X97" i="32"/>
  <c r="Y97" i="32" s="1"/>
  <c r="X99" i="32"/>
  <c r="Y99" i="32" s="1"/>
  <c r="X105" i="32"/>
  <c r="Y105" i="32" s="1"/>
  <c r="X120" i="32"/>
  <c r="Y120" i="32" s="1"/>
  <c r="X126" i="32"/>
  <c r="Y126" i="32" s="1"/>
  <c r="X109" i="32"/>
  <c r="Y109" i="32" s="1"/>
  <c r="X96" i="32"/>
  <c r="Y96" i="32" s="1"/>
  <c r="X121" i="32"/>
  <c r="Y121" i="32" s="1"/>
  <c r="X91" i="32"/>
  <c r="Y91" i="32" s="1"/>
  <c r="X129" i="32"/>
  <c r="Y129" i="32" s="1"/>
  <c r="X102" i="32"/>
  <c r="Y102" i="32" s="1"/>
  <c r="X112" i="32"/>
  <c r="Y112" i="32" s="1"/>
  <c r="X113" i="32"/>
  <c r="Y113" i="32" s="1"/>
  <c r="X94" i="32"/>
  <c r="Y94" i="32" s="1"/>
  <c r="X115" i="32"/>
  <c r="Y115" i="32" s="1"/>
  <c r="X118" i="32"/>
  <c r="Y118" i="32" s="1"/>
  <c r="X89" i="32"/>
  <c r="Y89" i="32" s="1"/>
  <c r="X107" i="32"/>
  <c r="Y107" i="32" s="1"/>
  <c r="X131" i="32"/>
  <c r="Y131" i="32" s="1"/>
  <c r="P183" i="31" l="1"/>
  <c r="O183" i="31"/>
  <c r="N183" i="31"/>
  <c r="P182" i="31"/>
  <c r="O182" i="31"/>
  <c r="N182" i="31"/>
  <c r="P181" i="31"/>
  <c r="O181" i="31"/>
  <c r="N181" i="31"/>
  <c r="P180" i="31"/>
  <c r="O180" i="31"/>
  <c r="N180" i="31"/>
  <c r="P179" i="31"/>
  <c r="O179" i="31"/>
  <c r="N179" i="31"/>
  <c r="P178" i="31"/>
  <c r="O178" i="31"/>
  <c r="N178" i="31"/>
  <c r="P177" i="31"/>
  <c r="O177" i="31"/>
  <c r="N177" i="31"/>
  <c r="P176" i="31"/>
  <c r="O176" i="31"/>
  <c r="N176" i="31"/>
  <c r="P175" i="31"/>
  <c r="O175" i="31"/>
  <c r="N175" i="31"/>
  <c r="P174" i="31"/>
  <c r="O174" i="31"/>
  <c r="N174" i="31"/>
  <c r="P173" i="31"/>
  <c r="O173" i="31"/>
  <c r="N173" i="31"/>
  <c r="P172" i="31"/>
  <c r="O172" i="31"/>
  <c r="N172" i="31"/>
  <c r="P171" i="31"/>
  <c r="O171" i="31"/>
  <c r="N171" i="31"/>
  <c r="P170" i="31"/>
  <c r="O170" i="31"/>
  <c r="N170" i="31"/>
  <c r="P169" i="31"/>
  <c r="O169" i="31"/>
  <c r="N169" i="31"/>
  <c r="P168" i="31"/>
  <c r="O168" i="31"/>
  <c r="N168" i="31"/>
  <c r="P167" i="31"/>
  <c r="O167" i="31"/>
  <c r="N167" i="31"/>
  <c r="P166" i="31"/>
  <c r="O166" i="31"/>
  <c r="N166" i="31"/>
  <c r="P165" i="31"/>
  <c r="O165" i="31"/>
  <c r="N165" i="31"/>
  <c r="P164" i="31"/>
  <c r="O164" i="31"/>
  <c r="N164" i="31"/>
  <c r="Q164" i="31" s="1"/>
  <c r="R164" i="31" s="1"/>
  <c r="P163" i="31"/>
  <c r="O163" i="31"/>
  <c r="N163" i="31"/>
  <c r="P162" i="31"/>
  <c r="O162" i="31"/>
  <c r="N162" i="31"/>
  <c r="P161" i="31"/>
  <c r="O161" i="31"/>
  <c r="N161" i="31"/>
  <c r="P160" i="31"/>
  <c r="O160" i="31"/>
  <c r="N160" i="31"/>
  <c r="P159" i="31"/>
  <c r="O159" i="31"/>
  <c r="N159" i="31"/>
  <c r="P158" i="31"/>
  <c r="O158" i="31"/>
  <c r="N158" i="31"/>
  <c r="P157" i="31"/>
  <c r="O157" i="31"/>
  <c r="N157" i="31"/>
  <c r="P156" i="31"/>
  <c r="O156" i="31"/>
  <c r="N156" i="31"/>
  <c r="P155" i="31"/>
  <c r="O155" i="31"/>
  <c r="N155" i="31"/>
  <c r="P154" i="31"/>
  <c r="O154" i="31"/>
  <c r="N154" i="31"/>
  <c r="P153" i="31"/>
  <c r="O153" i="31"/>
  <c r="N153" i="31"/>
  <c r="P152" i="31"/>
  <c r="O152" i="31"/>
  <c r="N152" i="31"/>
  <c r="P151" i="31"/>
  <c r="O151" i="31"/>
  <c r="N151" i="31"/>
  <c r="Q151" i="31" s="1"/>
  <c r="R151" i="31" s="1"/>
  <c r="P150" i="31"/>
  <c r="O150" i="31"/>
  <c r="N150" i="31"/>
  <c r="P149" i="31"/>
  <c r="O149" i="31"/>
  <c r="N149" i="31"/>
  <c r="P148" i="31"/>
  <c r="O148" i="31"/>
  <c r="N148" i="31"/>
  <c r="Q148" i="31" s="1"/>
  <c r="R148" i="31" s="1"/>
  <c r="P147" i="31"/>
  <c r="O147" i="31"/>
  <c r="N147" i="31"/>
  <c r="P146" i="31"/>
  <c r="O146" i="31"/>
  <c r="N146" i="31"/>
  <c r="P145" i="31"/>
  <c r="O145" i="31"/>
  <c r="N145" i="31"/>
  <c r="P144" i="31"/>
  <c r="O144" i="31"/>
  <c r="N144" i="31"/>
  <c r="P143" i="31"/>
  <c r="O143" i="31"/>
  <c r="N143" i="31"/>
  <c r="P142" i="31"/>
  <c r="O142" i="31"/>
  <c r="N142" i="31"/>
  <c r="P141" i="31"/>
  <c r="O141" i="31"/>
  <c r="N141" i="31"/>
  <c r="P140" i="31"/>
  <c r="O140" i="31"/>
  <c r="N140" i="31"/>
  <c r="Q140" i="31" s="1"/>
  <c r="R140" i="31" s="1"/>
  <c r="P139" i="31"/>
  <c r="O139" i="31"/>
  <c r="N139" i="31"/>
  <c r="P138" i="31"/>
  <c r="O138" i="31"/>
  <c r="N138" i="31"/>
  <c r="P137" i="31"/>
  <c r="O137" i="31"/>
  <c r="N137" i="31"/>
  <c r="R136" i="31"/>
  <c r="Q136" i="31"/>
  <c r="P136" i="31"/>
  <c r="N136" i="31"/>
  <c r="K131" i="31"/>
  <c r="J131" i="31"/>
  <c r="I131" i="31"/>
  <c r="H131" i="31"/>
  <c r="G131" i="31"/>
  <c r="F131" i="31"/>
  <c r="E131" i="31"/>
  <c r="D131" i="31"/>
  <c r="C131" i="31"/>
  <c r="K130" i="31"/>
  <c r="J130" i="31"/>
  <c r="I130" i="31"/>
  <c r="H130" i="31"/>
  <c r="O130" i="31" s="1"/>
  <c r="V130" i="31" s="1"/>
  <c r="G130" i="31"/>
  <c r="F130" i="31"/>
  <c r="E130" i="31"/>
  <c r="D130" i="31"/>
  <c r="C130" i="31"/>
  <c r="K129" i="31"/>
  <c r="J129" i="31"/>
  <c r="I129" i="31"/>
  <c r="H129" i="31"/>
  <c r="G129" i="31"/>
  <c r="F129" i="31"/>
  <c r="E129" i="31"/>
  <c r="D129" i="31"/>
  <c r="C129" i="31"/>
  <c r="K128" i="31"/>
  <c r="J128" i="31"/>
  <c r="I128" i="31"/>
  <c r="H128" i="31"/>
  <c r="O128" i="31" s="1"/>
  <c r="V128" i="31" s="1"/>
  <c r="G128" i="31"/>
  <c r="F128" i="31"/>
  <c r="E128" i="31"/>
  <c r="D128" i="31"/>
  <c r="C128" i="31"/>
  <c r="K127" i="31"/>
  <c r="J127" i="31"/>
  <c r="I127" i="31"/>
  <c r="H127" i="31"/>
  <c r="O127" i="31" s="1"/>
  <c r="G127" i="31"/>
  <c r="F127" i="31"/>
  <c r="E127" i="31"/>
  <c r="D127" i="31"/>
  <c r="C127" i="31"/>
  <c r="K126" i="31"/>
  <c r="J126" i="31"/>
  <c r="I126" i="31"/>
  <c r="H126" i="31"/>
  <c r="G126" i="31"/>
  <c r="F126" i="31"/>
  <c r="E126" i="31"/>
  <c r="D126" i="31"/>
  <c r="C126" i="31"/>
  <c r="P126" i="31" s="1"/>
  <c r="W126" i="31" s="1"/>
  <c r="K125" i="31"/>
  <c r="J125" i="31"/>
  <c r="I125" i="31"/>
  <c r="H125" i="31"/>
  <c r="O125" i="31" s="1"/>
  <c r="G125" i="31"/>
  <c r="F125" i="31"/>
  <c r="E125" i="31"/>
  <c r="D125" i="31"/>
  <c r="C125" i="31"/>
  <c r="K124" i="31"/>
  <c r="J124" i="31"/>
  <c r="I124" i="31"/>
  <c r="H124" i="31"/>
  <c r="G124" i="31"/>
  <c r="F124" i="31"/>
  <c r="E124" i="31"/>
  <c r="D124" i="31"/>
  <c r="C124" i="31"/>
  <c r="K123" i="31"/>
  <c r="J123" i="31"/>
  <c r="I123" i="31"/>
  <c r="H123" i="31"/>
  <c r="G123" i="31"/>
  <c r="F123" i="31"/>
  <c r="E123" i="31"/>
  <c r="D123" i="31"/>
  <c r="C123" i="31"/>
  <c r="K122" i="31"/>
  <c r="J122" i="31"/>
  <c r="I122" i="31"/>
  <c r="H122" i="31"/>
  <c r="O122" i="31" s="1"/>
  <c r="V122" i="31" s="1"/>
  <c r="G122" i="31"/>
  <c r="F122" i="31"/>
  <c r="E122" i="31"/>
  <c r="D122" i="31"/>
  <c r="C122" i="31"/>
  <c r="K121" i="31"/>
  <c r="J121" i="31"/>
  <c r="I121" i="31"/>
  <c r="H121" i="31"/>
  <c r="G121" i="31"/>
  <c r="F121" i="31"/>
  <c r="E121" i="31"/>
  <c r="D121" i="31"/>
  <c r="C121" i="31"/>
  <c r="K120" i="31"/>
  <c r="J120" i="31"/>
  <c r="I120" i="31"/>
  <c r="H120" i="31"/>
  <c r="O120" i="31" s="1"/>
  <c r="V120" i="31" s="1"/>
  <c r="G120" i="31"/>
  <c r="F120" i="31"/>
  <c r="E120" i="31"/>
  <c r="D120" i="31"/>
  <c r="C120" i="31"/>
  <c r="K119" i="31"/>
  <c r="J119" i="31"/>
  <c r="I119" i="31"/>
  <c r="H119" i="31"/>
  <c r="O119" i="31" s="1"/>
  <c r="V119" i="31" s="1"/>
  <c r="G119" i="31"/>
  <c r="F119" i="31"/>
  <c r="E119" i="31"/>
  <c r="D119" i="31"/>
  <c r="C119" i="31"/>
  <c r="K118" i="31"/>
  <c r="J118" i="31"/>
  <c r="I118" i="31"/>
  <c r="H118" i="31"/>
  <c r="G118" i="31"/>
  <c r="F118" i="31"/>
  <c r="E118" i="31"/>
  <c r="D118" i="31"/>
  <c r="C118" i="31"/>
  <c r="K117" i="31"/>
  <c r="J117" i="31"/>
  <c r="I117" i="31"/>
  <c r="H117" i="31"/>
  <c r="O117" i="31" s="1"/>
  <c r="V117" i="31" s="1"/>
  <c r="G117" i="31"/>
  <c r="F117" i="31"/>
  <c r="E117" i="31"/>
  <c r="D117" i="31"/>
  <c r="C117" i="31"/>
  <c r="K116" i="31"/>
  <c r="J116" i="31"/>
  <c r="I116" i="31"/>
  <c r="H116" i="31"/>
  <c r="G116" i="31"/>
  <c r="F116" i="31"/>
  <c r="E116" i="31"/>
  <c r="D116" i="31"/>
  <c r="C116" i="31"/>
  <c r="K115" i="31"/>
  <c r="J115" i="31"/>
  <c r="I115" i="31"/>
  <c r="H115" i="31"/>
  <c r="O115" i="31" s="1"/>
  <c r="G115" i="31"/>
  <c r="F115" i="31"/>
  <c r="E115" i="31"/>
  <c r="D115" i="31"/>
  <c r="C115" i="31"/>
  <c r="K114" i="31"/>
  <c r="J114" i="31"/>
  <c r="I114" i="31"/>
  <c r="H114" i="31"/>
  <c r="O114" i="31" s="1"/>
  <c r="G114" i="31"/>
  <c r="F114" i="31"/>
  <c r="E114" i="31"/>
  <c r="D114" i="31"/>
  <c r="C114" i="31"/>
  <c r="K113" i="31"/>
  <c r="J113" i="31"/>
  <c r="I113" i="31"/>
  <c r="H113" i="31"/>
  <c r="G113" i="31"/>
  <c r="F113" i="31"/>
  <c r="E113" i="31"/>
  <c r="D113" i="31"/>
  <c r="C113" i="31"/>
  <c r="K112" i="31"/>
  <c r="J112" i="31"/>
  <c r="I112" i="31"/>
  <c r="H112" i="31"/>
  <c r="O112" i="31" s="1"/>
  <c r="V112" i="31" s="1"/>
  <c r="G112" i="31"/>
  <c r="F112" i="31"/>
  <c r="E112" i="31"/>
  <c r="D112" i="31"/>
  <c r="C112" i="31"/>
  <c r="K111" i="31"/>
  <c r="J111" i="31"/>
  <c r="I111" i="31"/>
  <c r="H111" i="31"/>
  <c r="O111" i="31" s="1"/>
  <c r="G111" i="31"/>
  <c r="F111" i="31"/>
  <c r="E111" i="31"/>
  <c r="D111" i="31"/>
  <c r="C111" i="31"/>
  <c r="K110" i="31"/>
  <c r="J110" i="31"/>
  <c r="I110" i="31"/>
  <c r="H110" i="31"/>
  <c r="G110" i="31"/>
  <c r="F110" i="31"/>
  <c r="E110" i="31"/>
  <c r="D110" i="31"/>
  <c r="C110" i="31"/>
  <c r="K109" i="31"/>
  <c r="J109" i="31"/>
  <c r="I109" i="31"/>
  <c r="H109" i="31"/>
  <c r="O109" i="31" s="1"/>
  <c r="G109" i="31"/>
  <c r="F109" i="31"/>
  <c r="E109" i="31"/>
  <c r="D109" i="31"/>
  <c r="C109" i="31"/>
  <c r="K108" i="31"/>
  <c r="J108" i="31"/>
  <c r="I108" i="31"/>
  <c r="H108" i="31"/>
  <c r="O108" i="31" s="1"/>
  <c r="V108" i="31" s="1"/>
  <c r="G108" i="31"/>
  <c r="F108" i="31"/>
  <c r="E108" i="31"/>
  <c r="D108" i="31"/>
  <c r="C108" i="31"/>
  <c r="K107" i="31"/>
  <c r="J107" i="31"/>
  <c r="I107" i="31"/>
  <c r="H107" i="31"/>
  <c r="O107" i="31" s="1"/>
  <c r="V107" i="31" s="1"/>
  <c r="G107" i="31"/>
  <c r="F107" i="31"/>
  <c r="E107" i="31"/>
  <c r="D107" i="31"/>
  <c r="C107" i="31"/>
  <c r="K106" i="31"/>
  <c r="J106" i="31"/>
  <c r="I106" i="31"/>
  <c r="H106" i="31"/>
  <c r="O106" i="31" s="1"/>
  <c r="V106" i="31" s="1"/>
  <c r="G106" i="31"/>
  <c r="F106" i="31"/>
  <c r="E106" i="31"/>
  <c r="D106" i="31"/>
  <c r="C106" i="31"/>
  <c r="K105" i="31"/>
  <c r="J105" i="31"/>
  <c r="I105" i="31"/>
  <c r="H105" i="31"/>
  <c r="G105" i="31"/>
  <c r="F105" i="31"/>
  <c r="E105" i="31"/>
  <c r="D105" i="31"/>
  <c r="C105" i="31"/>
  <c r="K104" i="31"/>
  <c r="J104" i="31"/>
  <c r="I104" i="31"/>
  <c r="H104" i="31"/>
  <c r="O104" i="31" s="1"/>
  <c r="G104" i="31"/>
  <c r="F104" i="31"/>
  <c r="E104" i="31"/>
  <c r="D104" i="31"/>
  <c r="C104" i="31"/>
  <c r="K103" i="31"/>
  <c r="J103" i="31"/>
  <c r="I103" i="31"/>
  <c r="H103" i="31"/>
  <c r="O103" i="31" s="1"/>
  <c r="V103" i="31" s="1"/>
  <c r="G103" i="31"/>
  <c r="F103" i="31"/>
  <c r="E103" i="31"/>
  <c r="D103" i="31"/>
  <c r="C103" i="31"/>
  <c r="K102" i="31"/>
  <c r="J102" i="31"/>
  <c r="I102" i="31"/>
  <c r="H102" i="31"/>
  <c r="G102" i="31"/>
  <c r="F102" i="31"/>
  <c r="E102" i="31"/>
  <c r="D102" i="31"/>
  <c r="C102" i="31"/>
  <c r="K101" i="31"/>
  <c r="J101" i="31"/>
  <c r="I101" i="31"/>
  <c r="H101" i="31"/>
  <c r="O101" i="31" s="1"/>
  <c r="G101" i="31"/>
  <c r="F101" i="31"/>
  <c r="E101" i="31"/>
  <c r="D101" i="31"/>
  <c r="C101" i="31"/>
  <c r="K100" i="31"/>
  <c r="J100" i="31"/>
  <c r="I100" i="31"/>
  <c r="H100" i="31"/>
  <c r="O100" i="31" s="1"/>
  <c r="V100" i="31" s="1"/>
  <c r="G100" i="31"/>
  <c r="F100" i="31"/>
  <c r="E100" i="31"/>
  <c r="D100" i="31"/>
  <c r="C100" i="31"/>
  <c r="K99" i="31"/>
  <c r="J99" i="31"/>
  <c r="I99" i="31"/>
  <c r="H99" i="31"/>
  <c r="O99" i="31" s="1"/>
  <c r="V99" i="31" s="1"/>
  <c r="G99" i="31"/>
  <c r="F99" i="31"/>
  <c r="E99" i="31"/>
  <c r="D99" i="31"/>
  <c r="C99" i="31"/>
  <c r="K98" i="31"/>
  <c r="J98" i="31"/>
  <c r="I98" i="31"/>
  <c r="H98" i="31"/>
  <c r="O98" i="31" s="1"/>
  <c r="G98" i="31"/>
  <c r="F98" i="31"/>
  <c r="E98" i="31"/>
  <c r="D98" i="31"/>
  <c r="C98" i="31"/>
  <c r="K97" i="31"/>
  <c r="J97" i="31"/>
  <c r="I97" i="31"/>
  <c r="H97" i="31"/>
  <c r="G97" i="31"/>
  <c r="F97" i="31"/>
  <c r="E97" i="31"/>
  <c r="D97" i="31"/>
  <c r="C97" i="31"/>
  <c r="K96" i="31"/>
  <c r="J96" i="31"/>
  <c r="I96" i="31"/>
  <c r="H96" i="31"/>
  <c r="O96" i="31" s="1"/>
  <c r="G96" i="31"/>
  <c r="F96" i="31"/>
  <c r="E96" i="31"/>
  <c r="D96" i="31"/>
  <c r="C96" i="31"/>
  <c r="K95" i="31"/>
  <c r="J95" i="31"/>
  <c r="I95" i="31"/>
  <c r="H95" i="31"/>
  <c r="O95" i="31" s="1"/>
  <c r="V95" i="31" s="1"/>
  <c r="G95" i="31"/>
  <c r="F95" i="31"/>
  <c r="E95" i="31"/>
  <c r="D95" i="31"/>
  <c r="C95" i="31"/>
  <c r="K94" i="31"/>
  <c r="J94" i="31"/>
  <c r="I94" i="31"/>
  <c r="H94" i="31"/>
  <c r="G94" i="31"/>
  <c r="F94" i="31"/>
  <c r="E94" i="31"/>
  <c r="D94" i="31"/>
  <c r="C94" i="31"/>
  <c r="K93" i="31"/>
  <c r="J93" i="31"/>
  <c r="I93" i="31"/>
  <c r="H93" i="31"/>
  <c r="O93" i="31" s="1"/>
  <c r="G93" i="31"/>
  <c r="F93" i="31"/>
  <c r="E93" i="31"/>
  <c r="D93" i="31"/>
  <c r="C93" i="31"/>
  <c r="K92" i="31"/>
  <c r="J92" i="31"/>
  <c r="I92" i="31"/>
  <c r="H92" i="31"/>
  <c r="O92" i="31" s="1"/>
  <c r="G92" i="31"/>
  <c r="F92" i="31"/>
  <c r="E92" i="31"/>
  <c r="D92" i="31"/>
  <c r="C92" i="31"/>
  <c r="K91" i="31"/>
  <c r="J91" i="31"/>
  <c r="I91" i="31"/>
  <c r="H91" i="31"/>
  <c r="G91" i="31"/>
  <c r="F91" i="31"/>
  <c r="E91" i="31"/>
  <c r="D91" i="31"/>
  <c r="C91" i="31"/>
  <c r="K90" i="31"/>
  <c r="J90" i="31"/>
  <c r="I90" i="31"/>
  <c r="H90" i="31"/>
  <c r="G90" i="31"/>
  <c r="F90" i="31"/>
  <c r="E90" i="31"/>
  <c r="D90" i="31"/>
  <c r="C90" i="31"/>
  <c r="K89" i="31"/>
  <c r="J89" i="31"/>
  <c r="I89" i="31"/>
  <c r="H89" i="31"/>
  <c r="O89" i="31" s="1"/>
  <c r="V89" i="31" s="1"/>
  <c r="G89" i="31"/>
  <c r="F89" i="31"/>
  <c r="E89" i="31"/>
  <c r="D89" i="31"/>
  <c r="C89" i="31"/>
  <c r="K88" i="31"/>
  <c r="J88" i="31"/>
  <c r="I88" i="31"/>
  <c r="H88" i="31"/>
  <c r="O88" i="31" s="1"/>
  <c r="V88" i="31" s="1"/>
  <c r="G88" i="31"/>
  <c r="F88" i="31"/>
  <c r="E88" i="31"/>
  <c r="D88" i="31"/>
  <c r="C88" i="31"/>
  <c r="K87" i="31"/>
  <c r="J87" i="31"/>
  <c r="I87" i="31"/>
  <c r="H87" i="31"/>
  <c r="O87" i="31" s="1"/>
  <c r="V87" i="31" s="1"/>
  <c r="G87" i="31"/>
  <c r="F87" i="31"/>
  <c r="E87" i="31"/>
  <c r="D87" i="31"/>
  <c r="C87" i="31"/>
  <c r="K86" i="31"/>
  <c r="J86" i="31"/>
  <c r="I86" i="31"/>
  <c r="H86" i="31"/>
  <c r="G86" i="31"/>
  <c r="F86" i="31"/>
  <c r="E86" i="31"/>
  <c r="D86" i="31"/>
  <c r="C86" i="31"/>
  <c r="K85" i="31"/>
  <c r="J85" i="31"/>
  <c r="I85" i="31"/>
  <c r="H85" i="31"/>
  <c r="O85" i="31" s="1"/>
  <c r="V85" i="31" s="1"/>
  <c r="X85" i="31" s="1"/>
  <c r="G85" i="31"/>
  <c r="F85" i="31"/>
  <c r="E85" i="31"/>
  <c r="D85" i="31"/>
  <c r="C85" i="31"/>
  <c r="Y84" i="31"/>
  <c r="W84" i="31"/>
  <c r="U84" i="31"/>
  <c r="Y72" i="31"/>
  <c r="U72" i="31"/>
  <c r="T72" i="31"/>
  <c r="P72" i="31"/>
  <c r="O72" i="31"/>
  <c r="Y71" i="31"/>
  <c r="U71" i="31"/>
  <c r="T71" i="31"/>
  <c r="P71" i="31"/>
  <c r="O71" i="31"/>
  <c r="Y70" i="31"/>
  <c r="U70" i="31"/>
  <c r="T70" i="31"/>
  <c r="P70" i="31"/>
  <c r="O70" i="31"/>
  <c r="Y69" i="31"/>
  <c r="U69" i="31"/>
  <c r="T69" i="31"/>
  <c r="P69" i="31"/>
  <c r="O69" i="31"/>
  <c r="Y68" i="31"/>
  <c r="U68" i="31"/>
  <c r="T68" i="31"/>
  <c r="P68" i="31"/>
  <c r="O68" i="31"/>
  <c r="Y67" i="31"/>
  <c r="U67" i="31"/>
  <c r="T67" i="31"/>
  <c r="P67" i="31"/>
  <c r="O67" i="31"/>
  <c r="Y66" i="31"/>
  <c r="U66" i="31"/>
  <c r="T66" i="31"/>
  <c r="P66" i="31"/>
  <c r="O66" i="31"/>
  <c r="Y65" i="31"/>
  <c r="U65" i="31"/>
  <c r="T65" i="31"/>
  <c r="P65" i="31"/>
  <c r="O65" i="31"/>
  <c r="Y64" i="31"/>
  <c r="U64" i="31"/>
  <c r="T64" i="31"/>
  <c r="P64" i="31"/>
  <c r="O64" i="31"/>
  <c r="Y63" i="31"/>
  <c r="U63" i="31"/>
  <c r="T63" i="31"/>
  <c r="P63" i="31"/>
  <c r="O63" i="31"/>
  <c r="Y62" i="31"/>
  <c r="U62" i="31"/>
  <c r="P62" i="31"/>
  <c r="O62" i="31"/>
  <c r="Y61" i="31"/>
  <c r="U61" i="31"/>
  <c r="P61" i="31"/>
  <c r="O61" i="31"/>
  <c r="Y60" i="31"/>
  <c r="U60" i="31"/>
  <c r="P60" i="31"/>
  <c r="O60" i="31"/>
  <c r="Y59" i="31"/>
  <c r="U59" i="31"/>
  <c r="P59" i="31"/>
  <c r="O59" i="31"/>
  <c r="Y58" i="31"/>
  <c r="U58" i="31"/>
  <c r="P58" i="31"/>
  <c r="O58" i="31"/>
  <c r="Y57" i="31"/>
  <c r="U57" i="31"/>
  <c r="P57" i="31"/>
  <c r="O57" i="31"/>
  <c r="Y56" i="31"/>
  <c r="U56" i="31"/>
  <c r="P56" i="31"/>
  <c r="O56" i="31"/>
  <c r="Y55" i="31"/>
  <c r="U55" i="31"/>
  <c r="P55" i="31"/>
  <c r="O55" i="31"/>
  <c r="Y54" i="31"/>
  <c r="U54" i="31"/>
  <c r="P54" i="31"/>
  <c r="O54" i="31"/>
  <c r="Y53" i="31"/>
  <c r="U53" i="31"/>
  <c r="P53" i="31"/>
  <c r="O53" i="31"/>
  <c r="Y52" i="31"/>
  <c r="U52" i="31"/>
  <c r="P52" i="31"/>
  <c r="O52" i="31"/>
  <c r="Y51" i="31"/>
  <c r="U51" i="31"/>
  <c r="P51" i="31"/>
  <c r="O51" i="31"/>
  <c r="Y50" i="31"/>
  <c r="U50" i="31"/>
  <c r="P50" i="31"/>
  <c r="O50" i="31"/>
  <c r="Y49" i="31"/>
  <c r="U49" i="31"/>
  <c r="P49" i="31"/>
  <c r="O49" i="31"/>
  <c r="Y48" i="31"/>
  <c r="U48" i="31"/>
  <c r="P48" i="31"/>
  <c r="O48" i="31"/>
  <c r="Y47" i="31"/>
  <c r="U47" i="31"/>
  <c r="P47" i="31"/>
  <c r="O47" i="31"/>
  <c r="Y46" i="31"/>
  <c r="U46" i="31"/>
  <c r="P46" i="31"/>
  <c r="O46" i="31"/>
  <c r="Y45" i="31"/>
  <c r="U45" i="31"/>
  <c r="P45" i="31"/>
  <c r="O45" i="31"/>
  <c r="Y44" i="31"/>
  <c r="U44" i="31"/>
  <c r="P44" i="31"/>
  <c r="O44" i="31"/>
  <c r="Y43" i="31"/>
  <c r="U43" i="31"/>
  <c r="P43" i="31"/>
  <c r="O43" i="31"/>
  <c r="Y42" i="31"/>
  <c r="U42" i="31"/>
  <c r="P42" i="31"/>
  <c r="O42" i="31"/>
  <c r="Y41" i="31"/>
  <c r="U41" i="31"/>
  <c r="P41" i="31"/>
  <c r="O41" i="31"/>
  <c r="Y40" i="31"/>
  <c r="U40" i="31"/>
  <c r="P40" i="31"/>
  <c r="O40" i="31"/>
  <c r="Y39" i="31"/>
  <c r="U39" i="31"/>
  <c r="P39" i="31"/>
  <c r="O39" i="31"/>
  <c r="Y38" i="31"/>
  <c r="U38" i="31"/>
  <c r="P38" i="31"/>
  <c r="O38" i="31"/>
  <c r="Y37" i="31"/>
  <c r="U37" i="31"/>
  <c r="P37" i="31"/>
  <c r="O37" i="31"/>
  <c r="Y36" i="31"/>
  <c r="U36" i="31"/>
  <c r="P36" i="31"/>
  <c r="O36" i="31"/>
  <c r="Y35" i="31"/>
  <c r="U35" i="31"/>
  <c r="P35" i="31"/>
  <c r="O35" i="31"/>
  <c r="Y34" i="31"/>
  <c r="U34" i="31"/>
  <c r="P34" i="31"/>
  <c r="O34" i="31"/>
  <c r="Y33" i="31"/>
  <c r="U33" i="31"/>
  <c r="P33" i="31"/>
  <c r="O33" i="31"/>
  <c r="Y32" i="31"/>
  <c r="U32" i="31"/>
  <c r="P32" i="31"/>
  <c r="O32" i="31"/>
  <c r="Y31" i="31"/>
  <c r="U31" i="31"/>
  <c r="T31" i="31"/>
  <c r="P31" i="31"/>
  <c r="O31" i="31"/>
  <c r="Y30" i="31"/>
  <c r="U30" i="31"/>
  <c r="T30" i="31"/>
  <c r="P30" i="31"/>
  <c r="O30" i="31"/>
  <c r="Y29" i="31"/>
  <c r="U29" i="31"/>
  <c r="T29" i="31"/>
  <c r="P29" i="31"/>
  <c r="O29" i="31"/>
  <c r="Y28" i="31"/>
  <c r="U28" i="31"/>
  <c r="T28" i="31"/>
  <c r="P28" i="31"/>
  <c r="O28" i="31"/>
  <c r="Y27" i="31"/>
  <c r="U27" i="31"/>
  <c r="T27" i="31"/>
  <c r="P27" i="31"/>
  <c r="O27" i="31"/>
  <c r="Y26" i="31"/>
  <c r="U26" i="31"/>
  <c r="T26" i="31"/>
  <c r="P26" i="31"/>
  <c r="O26" i="31"/>
  <c r="U23" i="31"/>
  <c r="N5" i="31"/>
  <c r="N2" i="31"/>
  <c r="I2" i="31"/>
  <c r="A1" i="31"/>
  <c r="P183" i="30"/>
  <c r="O183" i="30"/>
  <c r="N183" i="30"/>
  <c r="P182" i="30"/>
  <c r="O182" i="30"/>
  <c r="N182" i="30"/>
  <c r="P181" i="30"/>
  <c r="O181" i="30"/>
  <c r="N181" i="30"/>
  <c r="P180" i="30"/>
  <c r="O180" i="30"/>
  <c r="N180" i="30"/>
  <c r="P179" i="30"/>
  <c r="O179" i="30"/>
  <c r="N179" i="30"/>
  <c r="P178" i="30"/>
  <c r="O178" i="30"/>
  <c r="N178" i="30"/>
  <c r="P177" i="30"/>
  <c r="O177" i="30"/>
  <c r="N177" i="30"/>
  <c r="P176" i="30"/>
  <c r="O176" i="30"/>
  <c r="N176" i="30"/>
  <c r="P175" i="30"/>
  <c r="O175" i="30"/>
  <c r="N175" i="30"/>
  <c r="P174" i="30"/>
  <c r="O174" i="30"/>
  <c r="N174" i="30"/>
  <c r="P173" i="30"/>
  <c r="O173" i="30"/>
  <c r="N173" i="30"/>
  <c r="P172" i="30"/>
  <c r="O172" i="30"/>
  <c r="N172" i="30"/>
  <c r="P171" i="30"/>
  <c r="O171" i="30"/>
  <c r="N171" i="30"/>
  <c r="P170" i="30"/>
  <c r="O170" i="30"/>
  <c r="N170" i="30"/>
  <c r="P169" i="30"/>
  <c r="O169" i="30"/>
  <c r="N169" i="30"/>
  <c r="P168" i="30"/>
  <c r="O168" i="30"/>
  <c r="N168" i="30"/>
  <c r="P167" i="30"/>
  <c r="O167" i="30"/>
  <c r="N167" i="30"/>
  <c r="P166" i="30"/>
  <c r="O166" i="30"/>
  <c r="N166" i="30"/>
  <c r="P165" i="30"/>
  <c r="O165" i="30"/>
  <c r="N165" i="30"/>
  <c r="P164" i="30"/>
  <c r="O164" i="30"/>
  <c r="N164" i="30"/>
  <c r="P163" i="30"/>
  <c r="O163" i="30"/>
  <c r="N163" i="30"/>
  <c r="P162" i="30"/>
  <c r="O162" i="30"/>
  <c r="N162" i="30"/>
  <c r="P161" i="30"/>
  <c r="O161" i="30"/>
  <c r="N161" i="30"/>
  <c r="P160" i="30"/>
  <c r="O160" i="30"/>
  <c r="N160" i="30"/>
  <c r="P159" i="30"/>
  <c r="O159" i="30"/>
  <c r="N159" i="30"/>
  <c r="P158" i="30"/>
  <c r="O158" i="30"/>
  <c r="N158" i="30"/>
  <c r="P157" i="30"/>
  <c r="O157" i="30"/>
  <c r="N157" i="30"/>
  <c r="P156" i="30"/>
  <c r="O156" i="30"/>
  <c r="N156" i="30"/>
  <c r="P155" i="30"/>
  <c r="O155" i="30"/>
  <c r="N155" i="30"/>
  <c r="P154" i="30"/>
  <c r="O154" i="30"/>
  <c r="N154" i="30"/>
  <c r="P153" i="30"/>
  <c r="O153" i="30"/>
  <c r="N153" i="30"/>
  <c r="P152" i="30"/>
  <c r="O152" i="30"/>
  <c r="N152" i="30"/>
  <c r="P151" i="30"/>
  <c r="O151" i="30"/>
  <c r="N151" i="30"/>
  <c r="P150" i="30"/>
  <c r="O150" i="30"/>
  <c r="N150" i="30"/>
  <c r="P149" i="30"/>
  <c r="O149" i="30"/>
  <c r="N149" i="30"/>
  <c r="P148" i="30"/>
  <c r="O148" i="30"/>
  <c r="N148" i="30"/>
  <c r="P147" i="30"/>
  <c r="O147" i="30"/>
  <c r="N147" i="30"/>
  <c r="P146" i="30"/>
  <c r="O146" i="30"/>
  <c r="N146" i="30"/>
  <c r="P145" i="30"/>
  <c r="O145" i="30"/>
  <c r="N145" i="30"/>
  <c r="P144" i="30"/>
  <c r="O144" i="30"/>
  <c r="N144" i="30"/>
  <c r="P143" i="30"/>
  <c r="O143" i="30"/>
  <c r="N143" i="30"/>
  <c r="P142" i="30"/>
  <c r="O142" i="30"/>
  <c r="N142" i="30"/>
  <c r="P141" i="30"/>
  <c r="O141" i="30"/>
  <c r="N141" i="30"/>
  <c r="P140" i="30"/>
  <c r="O140" i="30"/>
  <c r="N140" i="30"/>
  <c r="P139" i="30"/>
  <c r="O139" i="30"/>
  <c r="N139" i="30"/>
  <c r="P138" i="30"/>
  <c r="O138" i="30"/>
  <c r="N138" i="30"/>
  <c r="P137" i="30"/>
  <c r="O137" i="30"/>
  <c r="N137" i="30"/>
  <c r="R136" i="30"/>
  <c r="Q136" i="30"/>
  <c r="P136" i="30"/>
  <c r="N136" i="30"/>
  <c r="K131" i="30"/>
  <c r="J131" i="30"/>
  <c r="I131" i="30"/>
  <c r="H131" i="30"/>
  <c r="O131" i="30" s="1"/>
  <c r="V131" i="30" s="1"/>
  <c r="G131" i="30"/>
  <c r="F131" i="30"/>
  <c r="E131" i="30"/>
  <c r="D131" i="30"/>
  <c r="C131" i="30"/>
  <c r="K130" i="30"/>
  <c r="J130" i="30"/>
  <c r="I130" i="30"/>
  <c r="H130" i="30"/>
  <c r="O130" i="30" s="1"/>
  <c r="V130" i="30" s="1"/>
  <c r="G130" i="30"/>
  <c r="F130" i="30"/>
  <c r="E130" i="30"/>
  <c r="D130" i="30"/>
  <c r="C130" i="30"/>
  <c r="K129" i="30"/>
  <c r="J129" i="30"/>
  <c r="I129" i="30"/>
  <c r="H129" i="30"/>
  <c r="G129" i="30"/>
  <c r="F129" i="30"/>
  <c r="E129" i="30"/>
  <c r="D129" i="30"/>
  <c r="C129" i="30"/>
  <c r="K128" i="30"/>
  <c r="J128" i="30"/>
  <c r="I128" i="30"/>
  <c r="H128" i="30"/>
  <c r="O128" i="30" s="1"/>
  <c r="G128" i="30"/>
  <c r="F128" i="30"/>
  <c r="E128" i="30"/>
  <c r="D128" i="30"/>
  <c r="C128" i="30"/>
  <c r="K127" i="30"/>
  <c r="J127" i="30"/>
  <c r="I127" i="30"/>
  <c r="H127" i="30"/>
  <c r="O127" i="30" s="1"/>
  <c r="G127" i="30"/>
  <c r="F127" i="30"/>
  <c r="E127" i="30"/>
  <c r="D127" i="30"/>
  <c r="C127" i="30"/>
  <c r="K126" i="30"/>
  <c r="J126" i="30"/>
  <c r="I126" i="30"/>
  <c r="H126" i="30"/>
  <c r="G126" i="30"/>
  <c r="F126" i="30"/>
  <c r="E126" i="30"/>
  <c r="D126" i="30"/>
  <c r="C126" i="30"/>
  <c r="K125" i="30"/>
  <c r="J125" i="30"/>
  <c r="I125" i="30"/>
  <c r="H125" i="30"/>
  <c r="O125" i="30" s="1"/>
  <c r="V125" i="30" s="1"/>
  <c r="G125" i="30"/>
  <c r="F125" i="30"/>
  <c r="E125" i="30"/>
  <c r="D125" i="30"/>
  <c r="C125" i="30"/>
  <c r="K124" i="30"/>
  <c r="J124" i="30"/>
  <c r="I124" i="30"/>
  <c r="H124" i="30"/>
  <c r="G124" i="30"/>
  <c r="F124" i="30"/>
  <c r="E124" i="30"/>
  <c r="D124" i="30"/>
  <c r="C124" i="30"/>
  <c r="K123" i="30"/>
  <c r="J123" i="30"/>
  <c r="I123" i="30"/>
  <c r="H123" i="30"/>
  <c r="O123" i="30" s="1"/>
  <c r="V123" i="30" s="1"/>
  <c r="G123" i="30"/>
  <c r="F123" i="30"/>
  <c r="E123" i="30"/>
  <c r="D123" i="30"/>
  <c r="C123" i="30"/>
  <c r="K122" i="30"/>
  <c r="J122" i="30"/>
  <c r="I122" i="30"/>
  <c r="H122" i="30"/>
  <c r="O122" i="30" s="1"/>
  <c r="V122" i="30" s="1"/>
  <c r="G122" i="30"/>
  <c r="F122" i="30"/>
  <c r="E122" i="30"/>
  <c r="D122" i="30"/>
  <c r="C122" i="30"/>
  <c r="K121" i="30"/>
  <c r="J121" i="30"/>
  <c r="I121" i="30"/>
  <c r="H121" i="30"/>
  <c r="G121" i="30"/>
  <c r="F121" i="30"/>
  <c r="E121" i="30"/>
  <c r="D121" i="30"/>
  <c r="C121" i="30"/>
  <c r="K120" i="30"/>
  <c r="J120" i="30"/>
  <c r="I120" i="30"/>
  <c r="H120" i="30"/>
  <c r="O120" i="30" s="1"/>
  <c r="V120" i="30" s="1"/>
  <c r="G120" i="30"/>
  <c r="F120" i="30"/>
  <c r="E120" i="30"/>
  <c r="D120" i="30"/>
  <c r="C120" i="30"/>
  <c r="K119" i="30"/>
  <c r="J119" i="30"/>
  <c r="I119" i="30"/>
  <c r="H119" i="30"/>
  <c r="O119" i="30" s="1"/>
  <c r="V119" i="30" s="1"/>
  <c r="G119" i="30"/>
  <c r="F119" i="30"/>
  <c r="E119" i="30"/>
  <c r="D119" i="30"/>
  <c r="C119" i="30"/>
  <c r="K118" i="30"/>
  <c r="J118" i="30"/>
  <c r="I118" i="30"/>
  <c r="H118" i="30"/>
  <c r="G118" i="30"/>
  <c r="F118" i="30"/>
  <c r="E118" i="30"/>
  <c r="D118" i="30"/>
  <c r="C118" i="30"/>
  <c r="K117" i="30"/>
  <c r="J117" i="30"/>
  <c r="I117" i="30"/>
  <c r="H117" i="30"/>
  <c r="O117" i="30" s="1"/>
  <c r="V117" i="30" s="1"/>
  <c r="G117" i="30"/>
  <c r="F117" i="30"/>
  <c r="E117" i="30"/>
  <c r="D117" i="30"/>
  <c r="C117" i="30"/>
  <c r="K116" i="30"/>
  <c r="J116" i="30"/>
  <c r="I116" i="30"/>
  <c r="H116" i="30"/>
  <c r="G116" i="30"/>
  <c r="F116" i="30"/>
  <c r="E116" i="30"/>
  <c r="D116" i="30"/>
  <c r="C116" i="30"/>
  <c r="K115" i="30"/>
  <c r="J115" i="30"/>
  <c r="I115" i="30"/>
  <c r="H115" i="30"/>
  <c r="G115" i="30"/>
  <c r="F115" i="30"/>
  <c r="E115" i="30"/>
  <c r="D115" i="30"/>
  <c r="C115" i="30"/>
  <c r="K114" i="30"/>
  <c r="J114" i="30"/>
  <c r="I114" i="30"/>
  <c r="H114" i="30"/>
  <c r="O114" i="30" s="1"/>
  <c r="V114" i="30" s="1"/>
  <c r="G114" i="30"/>
  <c r="F114" i="30"/>
  <c r="E114" i="30"/>
  <c r="D114" i="30"/>
  <c r="C114" i="30"/>
  <c r="K113" i="30"/>
  <c r="J113" i="30"/>
  <c r="I113" i="30"/>
  <c r="H113" i="30"/>
  <c r="G113" i="30"/>
  <c r="F113" i="30"/>
  <c r="E113" i="30"/>
  <c r="D113" i="30"/>
  <c r="C113" i="30"/>
  <c r="K112" i="30"/>
  <c r="J112" i="30"/>
  <c r="I112" i="30"/>
  <c r="H112" i="30"/>
  <c r="O112" i="30" s="1"/>
  <c r="V112" i="30" s="1"/>
  <c r="G112" i="30"/>
  <c r="F112" i="30"/>
  <c r="E112" i="30"/>
  <c r="D112" i="30"/>
  <c r="C112" i="30"/>
  <c r="K111" i="30"/>
  <c r="J111" i="30"/>
  <c r="I111" i="30"/>
  <c r="H111" i="30"/>
  <c r="O111" i="30" s="1"/>
  <c r="V111" i="30" s="1"/>
  <c r="G111" i="30"/>
  <c r="F111" i="30"/>
  <c r="E111" i="30"/>
  <c r="N111" i="30" s="1"/>
  <c r="D111" i="30"/>
  <c r="C111" i="30"/>
  <c r="K110" i="30"/>
  <c r="J110" i="30"/>
  <c r="I110" i="30"/>
  <c r="H110" i="30"/>
  <c r="G110" i="30"/>
  <c r="F110" i="30"/>
  <c r="E110" i="30"/>
  <c r="D110" i="30"/>
  <c r="C110" i="30"/>
  <c r="K109" i="30"/>
  <c r="J109" i="30"/>
  <c r="I109" i="30"/>
  <c r="H109" i="30"/>
  <c r="O109" i="30" s="1"/>
  <c r="V109" i="30" s="1"/>
  <c r="G109" i="30"/>
  <c r="F109" i="30"/>
  <c r="E109" i="30"/>
  <c r="D109" i="30"/>
  <c r="C109" i="30"/>
  <c r="K108" i="30"/>
  <c r="J108" i="30"/>
  <c r="I108" i="30"/>
  <c r="H108" i="30"/>
  <c r="G108" i="30"/>
  <c r="F108" i="30"/>
  <c r="E108" i="30"/>
  <c r="D108" i="30"/>
  <c r="C108" i="30"/>
  <c r="K107" i="30"/>
  <c r="J107" i="30"/>
  <c r="I107" i="30"/>
  <c r="H107" i="30"/>
  <c r="G107" i="30"/>
  <c r="F107" i="30"/>
  <c r="E107" i="30"/>
  <c r="D107" i="30"/>
  <c r="C107" i="30"/>
  <c r="K106" i="30"/>
  <c r="J106" i="30"/>
  <c r="I106" i="30"/>
  <c r="H106" i="30"/>
  <c r="O106" i="30" s="1"/>
  <c r="V106" i="30" s="1"/>
  <c r="G106" i="30"/>
  <c r="F106" i="30"/>
  <c r="E106" i="30"/>
  <c r="D106" i="30"/>
  <c r="C106" i="30"/>
  <c r="K105" i="30"/>
  <c r="J105" i="30"/>
  <c r="I105" i="30"/>
  <c r="H105" i="30"/>
  <c r="G105" i="30"/>
  <c r="F105" i="30"/>
  <c r="E105" i="30"/>
  <c r="D105" i="30"/>
  <c r="C105" i="30"/>
  <c r="K104" i="30"/>
  <c r="J104" i="30"/>
  <c r="I104" i="30"/>
  <c r="H104" i="30"/>
  <c r="O104" i="30" s="1"/>
  <c r="V104" i="30" s="1"/>
  <c r="G104" i="30"/>
  <c r="F104" i="30"/>
  <c r="E104" i="30"/>
  <c r="D104" i="30"/>
  <c r="C104" i="30"/>
  <c r="K103" i="30"/>
  <c r="J103" i="30"/>
  <c r="I103" i="30"/>
  <c r="H103" i="30"/>
  <c r="O103" i="30" s="1"/>
  <c r="V103" i="30" s="1"/>
  <c r="G103" i="30"/>
  <c r="F103" i="30"/>
  <c r="E103" i="30"/>
  <c r="D103" i="30"/>
  <c r="C103" i="30"/>
  <c r="K102" i="30"/>
  <c r="J102" i="30"/>
  <c r="I102" i="30"/>
  <c r="H102" i="30"/>
  <c r="G102" i="30"/>
  <c r="F102" i="30"/>
  <c r="E102" i="30"/>
  <c r="D102" i="30"/>
  <c r="C102" i="30"/>
  <c r="K101" i="30"/>
  <c r="J101" i="30"/>
  <c r="I101" i="30"/>
  <c r="H101" i="30"/>
  <c r="O101" i="30" s="1"/>
  <c r="V101" i="30" s="1"/>
  <c r="G101" i="30"/>
  <c r="F101" i="30"/>
  <c r="E101" i="30"/>
  <c r="D101" i="30"/>
  <c r="C101" i="30"/>
  <c r="K100" i="30"/>
  <c r="J100" i="30"/>
  <c r="I100" i="30"/>
  <c r="H100" i="30"/>
  <c r="G100" i="30"/>
  <c r="F100" i="30"/>
  <c r="E100" i="30"/>
  <c r="D100" i="30"/>
  <c r="C100" i="30"/>
  <c r="K99" i="30"/>
  <c r="J99" i="30"/>
  <c r="I99" i="30"/>
  <c r="H99" i="30"/>
  <c r="O99" i="30" s="1"/>
  <c r="V99" i="30" s="1"/>
  <c r="G99" i="30"/>
  <c r="F99" i="30"/>
  <c r="E99" i="30"/>
  <c r="D99" i="30"/>
  <c r="C99" i="30"/>
  <c r="K98" i="30"/>
  <c r="J98" i="30"/>
  <c r="I98" i="30"/>
  <c r="H98" i="30"/>
  <c r="O98" i="30" s="1"/>
  <c r="V98" i="30" s="1"/>
  <c r="G98" i="30"/>
  <c r="F98" i="30"/>
  <c r="E98" i="30"/>
  <c r="D98" i="30"/>
  <c r="C98" i="30"/>
  <c r="K97" i="30"/>
  <c r="J97" i="30"/>
  <c r="I97" i="30"/>
  <c r="H97" i="30"/>
  <c r="G97" i="30"/>
  <c r="F97" i="30"/>
  <c r="E97" i="30"/>
  <c r="D97" i="30"/>
  <c r="C97" i="30"/>
  <c r="K96" i="30"/>
  <c r="J96" i="30"/>
  <c r="I96" i="30"/>
  <c r="H96" i="30"/>
  <c r="O96" i="30" s="1"/>
  <c r="V96" i="30" s="1"/>
  <c r="G96" i="30"/>
  <c r="F96" i="30"/>
  <c r="E96" i="30"/>
  <c r="D96" i="30"/>
  <c r="C96" i="30"/>
  <c r="K95" i="30"/>
  <c r="J95" i="30"/>
  <c r="I95" i="30"/>
  <c r="H95" i="30"/>
  <c r="O95" i="30" s="1"/>
  <c r="V95" i="30" s="1"/>
  <c r="G95" i="30"/>
  <c r="F95" i="30"/>
  <c r="E95" i="30"/>
  <c r="D95" i="30"/>
  <c r="C95" i="30"/>
  <c r="K94" i="30"/>
  <c r="J94" i="30"/>
  <c r="I94" i="30"/>
  <c r="H94" i="30"/>
  <c r="G94" i="30"/>
  <c r="F94" i="30"/>
  <c r="E94" i="30"/>
  <c r="D94" i="30"/>
  <c r="C94" i="30"/>
  <c r="K93" i="30"/>
  <c r="J93" i="30"/>
  <c r="I93" i="30"/>
  <c r="H93" i="30"/>
  <c r="O93" i="30" s="1"/>
  <c r="V93" i="30" s="1"/>
  <c r="G93" i="30"/>
  <c r="F93" i="30"/>
  <c r="E93" i="30"/>
  <c r="D93" i="30"/>
  <c r="C93" i="30"/>
  <c r="P93" i="30" s="1"/>
  <c r="K92" i="30"/>
  <c r="J92" i="30"/>
  <c r="I92" i="30"/>
  <c r="H92" i="30"/>
  <c r="O92" i="30" s="1"/>
  <c r="G92" i="30"/>
  <c r="F92" i="30"/>
  <c r="E92" i="30"/>
  <c r="D92" i="30"/>
  <c r="C92" i="30"/>
  <c r="K91" i="30"/>
  <c r="J91" i="30"/>
  <c r="I91" i="30"/>
  <c r="H91" i="30"/>
  <c r="O91" i="30" s="1"/>
  <c r="V91" i="30" s="1"/>
  <c r="G91" i="30"/>
  <c r="F91" i="30"/>
  <c r="E91" i="30"/>
  <c r="D91" i="30"/>
  <c r="C91" i="30"/>
  <c r="K90" i="30"/>
  <c r="J90" i="30"/>
  <c r="I90" i="30"/>
  <c r="H90" i="30"/>
  <c r="O90" i="30" s="1"/>
  <c r="V90" i="30" s="1"/>
  <c r="G90" i="30"/>
  <c r="F90" i="30"/>
  <c r="E90" i="30"/>
  <c r="D90" i="30"/>
  <c r="C90" i="30"/>
  <c r="K89" i="30"/>
  <c r="J89" i="30"/>
  <c r="I89" i="30"/>
  <c r="H89" i="30"/>
  <c r="O89" i="30" s="1"/>
  <c r="G89" i="30"/>
  <c r="F89" i="30"/>
  <c r="E89" i="30"/>
  <c r="D89" i="30"/>
  <c r="C89" i="30"/>
  <c r="K88" i="30"/>
  <c r="J88" i="30"/>
  <c r="I88" i="30"/>
  <c r="H88" i="30"/>
  <c r="O88" i="30" s="1"/>
  <c r="V88" i="30" s="1"/>
  <c r="G88" i="30"/>
  <c r="F88" i="30"/>
  <c r="E88" i="30"/>
  <c r="D88" i="30"/>
  <c r="C88" i="30"/>
  <c r="K87" i="30"/>
  <c r="J87" i="30"/>
  <c r="I87" i="30"/>
  <c r="H87" i="30"/>
  <c r="O87" i="30" s="1"/>
  <c r="G87" i="30"/>
  <c r="F87" i="30"/>
  <c r="E87" i="30"/>
  <c r="D87" i="30"/>
  <c r="C87" i="30"/>
  <c r="K86" i="30"/>
  <c r="J86" i="30"/>
  <c r="I86" i="30"/>
  <c r="H86" i="30"/>
  <c r="G86" i="30"/>
  <c r="F86" i="30"/>
  <c r="E86" i="30"/>
  <c r="D86" i="30"/>
  <c r="C86" i="30"/>
  <c r="K85" i="30"/>
  <c r="J85" i="30"/>
  <c r="I85" i="30"/>
  <c r="H85" i="30"/>
  <c r="O85" i="30" s="1"/>
  <c r="V85" i="30" s="1"/>
  <c r="X85" i="30" s="1"/>
  <c r="G85" i="30"/>
  <c r="F85" i="30"/>
  <c r="E85" i="30"/>
  <c r="D85" i="30"/>
  <c r="C85" i="30"/>
  <c r="Y84" i="30"/>
  <c r="W84" i="30"/>
  <c r="U84" i="30"/>
  <c r="Y72" i="30"/>
  <c r="U72" i="30"/>
  <c r="T72" i="30"/>
  <c r="P72" i="30"/>
  <c r="O72" i="30"/>
  <c r="Y71" i="30"/>
  <c r="U71" i="30"/>
  <c r="T71" i="30"/>
  <c r="P71" i="30"/>
  <c r="O71" i="30"/>
  <c r="Y70" i="30"/>
  <c r="U70" i="30"/>
  <c r="T70" i="30"/>
  <c r="P70" i="30"/>
  <c r="O70" i="30"/>
  <c r="Y69" i="30"/>
  <c r="U69" i="30"/>
  <c r="T69" i="30"/>
  <c r="P69" i="30"/>
  <c r="O69" i="30"/>
  <c r="Y68" i="30"/>
  <c r="U68" i="30"/>
  <c r="T68" i="30"/>
  <c r="P68" i="30"/>
  <c r="O68" i="30"/>
  <c r="Y67" i="30"/>
  <c r="U67" i="30"/>
  <c r="T67" i="30"/>
  <c r="P67" i="30"/>
  <c r="O67" i="30"/>
  <c r="Y66" i="30"/>
  <c r="U66" i="30"/>
  <c r="T66" i="30"/>
  <c r="P66" i="30"/>
  <c r="O66" i="30"/>
  <c r="Y65" i="30"/>
  <c r="U65" i="30"/>
  <c r="T65" i="30"/>
  <c r="P65" i="30"/>
  <c r="O65" i="30"/>
  <c r="Y64" i="30"/>
  <c r="U64" i="30"/>
  <c r="T64" i="30"/>
  <c r="P64" i="30"/>
  <c r="O64" i="30"/>
  <c r="Y63" i="30"/>
  <c r="U63" i="30"/>
  <c r="T63" i="30"/>
  <c r="P63" i="30"/>
  <c r="O63" i="30"/>
  <c r="Y62" i="30"/>
  <c r="U62" i="30"/>
  <c r="P62" i="30"/>
  <c r="O62" i="30"/>
  <c r="Y61" i="30"/>
  <c r="U61" i="30"/>
  <c r="P61" i="30"/>
  <c r="O61" i="30"/>
  <c r="Y60" i="30"/>
  <c r="U60" i="30"/>
  <c r="P60" i="30"/>
  <c r="O60" i="30"/>
  <c r="Y59" i="30"/>
  <c r="U59" i="30"/>
  <c r="P59" i="30"/>
  <c r="O59" i="30"/>
  <c r="Y58" i="30"/>
  <c r="U58" i="30"/>
  <c r="P58" i="30"/>
  <c r="O58" i="30"/>
  <c r="Y57" i="30"/>
  <c r="U57" i="30"/>
  <c r="P57" i="30"/>
  <c r="O57" i="30"/>
  <c r="Y56" i="30"/>
  <c r="U56" i="30"/>
  <c r="P56" i="30"/>
  <c r="O56" i="30"/>
  <c r="Y55" i="30"/>
  <c r="U55" i="30"/>
  <c r="P55" i="30"/>
  <c r="O55" i="30"/>
  <c r="Y54" i="30"/>
  <c r="U54" i="30"/>
  <c r="P54" i="30"/>
  <c r="O54" i="30"/>
  <c r="Y53" i="30"/>
  <c r="U53" i="30"/>
  <c r="P53" i="30"/>
  <c r="O53" i="30"/>
  <c r="Y52" i="30"/>
  <c r="U52" i="30"/>
  <c r="P52" i="30"/>
  <c r="O52" i="30"/>
  <c r="Y51" i="30"/>
  <c r="U51" i="30"/>
  <c r="P51" i="30"/>
  <c r="O51" i="30"/>
  <c r="Y50" i="30"/>
  <c r="U50" i="30"/>
  <c r="P50" i="30"/>
  <c r="O50" i="30"/>
  <c r="Y49" i="30"/>
  <c r="U49" i="30"/>
  <c r="P49" i="30"/>
  <c r="O49" i="30"/>
  <c r="Y48" i="30"/>
  <c r="U48" i="30"/>
  <c r="P48" i="30"/>
  <c r="O48" i="30"/>
  <c r="Y47" i="30"/>
  <c r="U47" i="30"/>
  <c r="P47" i="30"/>
  <c r="O47" i="30"/>
  <c r="Y46" i="30"/>
  <c r="U46" i="30"/>
  <c r="P46" i="30"/>
  <c r="O46" i="30"/>
  <c r="Y45" i="30"/>
  <c r="U45" i="30"/>
  <c r="P45" i="30"/>
  <c r="O45" i="30"/>
  <c r="Y44" i="30"/>
  <c r="U44" i="30"/>
  <c r="P44" i="30"/>
  <c r="O44" i="30"/>
  <c r="Y43" i="30"/>
  <c r="U43" i="30"/>
  <c r="P43" i="30"/>
  <c r="O43" i="30"/>
  <c r="Y42" i="30"/>
  <c r="U42" i="30"/>
  <c r="P42" i="30"/>
  <c r="O42" i="30"/>
  <c r="Y41" i="30"/>
  <c r="U41" i="30"/>
  <c r="P41" i="30"/>
  <c r="O41" i="30"/>
  <c r="Y40" i="30"/>
  <c r="U40" i="30"/>
  <c r="P40" i="30"/>
  <c r="O40" i="30"/>
  <c r="Y39" i="30"/>
  <c r="U39" i="30"/>
  <c r="P39" i="30"/>
  <c r="O39" i="30"/>
  <c r="Y38" i="30"/>
  <c r="U38" i="30"/>
  <c r="P38" i="30"/>
  <c r="O38" i="30"/>
  <c r="Y37" i="30"/>
  <c r="U37" i="30"/>
  <c r="P37" i="30"/>
  <c r="O37" i="30"/>
  <c r="Y36" i="30"/>
  <c r="U36" i="30"/>
  <c r="P36" i="30"/>
  <c r="O36" i="30"/>
  <c r="Y35" i="30"/>
  <c r="U35" i="30"/>
  <c r="P35" i="30"/>
  <c r="O35" i="30"/>
  <c r="Y34" i="30"/>
  <c r="U34" i="30"/>
  <c r="P34" i="30"/>
  <c r="O34" i="30"/>
  <c r="Y33" i="30"/>
  <c r="U33" i="30"/>
  <c r="P33" i="30"/>
  <c r="O33" i="30"/>
  <c r="Y32" i="30"/>
  <c r="U32" i="30"/>
  <c r="P32" i="30"/>
  <c r="O32" i="30"/>
  <c r="Y31" i="30"/>
  <c r="U31" i="30"/>
  <c r="T31" i="30"/>
  <c r="P31" i="30"/>
  <c r="O31" i="30"/>
  <c r="Y30" i="30"/>
  <c r="U30" i="30"/>
  <c r="T30" i="30"/>
  <c r="P30" i="30"/>
  <c r="O30" i="30"/>
  <c r="Y29" i="30"/>
  <c r="U29" i="30"/>
  <c r="T29" i="30"/>
  <c r="P29" i="30"/>
  <c r="O29" i="30"/>
  <c r="Y28" i="30"/>
  <c r="U28" i="30"/>
  <c r="T28" i="30"/>
  <c r="P28" i="30"/>
  <c r="O28" i="30"/>
  <c r="Y27" i="30"/>
  <c r="U27" i="30"/>
  <c r="T27" i="30"/>
  <c r="P27" i="30"/>
  <c r="O27" i="30"/>
  <c r="Y26" i="30"/>
  <c r="U26" i="30"/>
  <c r="T26" i="30"/>
  <c r="P26" i="30"/>
  <c r="O26" i="30"/>
  <c r="U23" i="30"/>
  <c r="N5" i="30"/>
  <c r="N2" i="30"/>
  <c r="I2" i="30"/>
  <c r="A1" i="30"/>
  <c r="P86" i="30" l="1"/>
  <c r="P118" i="30"/>
  <c r="P123" i="30"/>
  <c r="W123" i="30" s="1"/>
  <c r="N85" i="30"/>
  <c r="P130" i="30"/>
  <c r="Q151" i="30"/>
  <c r="R151" i="30" s="1"/>
  <c r="Q175" i="30"/>
  <c r="Q183" i="30"/>
  <c r="R183" i="30" s="1"/>
  <c r="P99" i="31"/>
  <c r="W99" i="31" s="1"/>
  <c r="Q180" i="31"/>
  <c r="R180" i="31" s="1"/>
  <c r="P107" i="30"/>
  <c r="W107" i="30" s="1"/>
  <c r="P108" i="30"/>
  <c r="W108" i="30" s="1"/>
  <c r="P131" i="30"/>
  <c r="W131" i="30" s="1"/>
  <c r="P111" i="31"/>
  <c r="P109" i="31"/>
  <c r="W109" i="31" s="1"/>
  <c r="P104" i="30"/>
  <c r="W104" i="30" s="1"/>
  <c r="P91" i="30"/>
  <c r="W91" i="30" s="1"/>
  <c r="N117" i="30"/>
  <c r="N117" i="31"/>
  <c r="U117" i="31" s="1"/>
  <c r="Q153" i="30"/>
  <c r="R153" i="30" s="1"/>
  <c r="Q161" i="30"/>
  <c r="R161" i="30" s="1"/>
  <c r="P118" i="31"/>
  <c r="W118" i="31" s="1"/>
  <c r="N130" i="30"/>
  <c r="U130" i="30" s="1"/>
  <c r="Q180" i="30"/>
  <c r="R180" i="30" s="1"/>
  <c r="P85" i="31"/>
  <c r="N114" i="31"/>
  <c r="Q153" i="31"/>
  <c r="R153" i="31" s="1"/>
  <c r="N101" i="30"/>
  <c r="U101" i="30" s="1"/>
  <c r="Q164" i="30"/>
  <c r="R164" i="30" s="1"/>
  <c r="P94" i="31"/>
  <c r="W94" i="31" s="1"/>
  <c r="N101" i="31"/>
  <c r="U101" i="31" s="1"/>
  <c r="P124" i="31"/>
  <c r="W124" i="31" s="1"/>
  <c r="N127" i="31"/>
  <c r="U127" i="31" s="1"/>
  <c r="N130" i="31"/>
  <c r="Q145" i="31"/>
  <c r="R145" i="31" s="1"/>
  <c r="N98" i="30"/>
  <c r="U98" i="30" s="1"/>
  <c r="N103" i="31"/>
  <c r="U103" i="31" s="1"/>
  <c r="N128" i="31"/>
  <c r="U128" i="31" s="1"/>
  <c r="N95" i="30"/>
  <c r="N87" i="31"/>
  <c r="U87" i="31" s="1"/>
  <c r="N98" i="31"/>
  <c r="P121" i="31"/>
  <c r="W121" i="31" s="1"/>
  <c r="N89" i="31"/>
  <c r="U89" i="31" s="1"/>
  <c r="P107" i="31"/>
  <c r="W107" i="31" s="1"/>
  <c r="N90" i="30"/>
  <c r="U90" i="30" s="1"/>
  <c r="P96" i="30"/>
  <c r="W96" i="30" s="1"/>
  <c r="N96" i="30"/>
  <c r="U96" i="30" s="1"/>
  <c r="P99" i="30"/>
  <c r="W99" i="30" s="1"/>
  <c r="P102" i="30"/>
  <c r="W102" i="30" s="1"/>
  <c r="P109" i="30"/>
  <c r="W109" i="30" s="1"/>
  <c r="N114" i="30"/>
  <c r="U114" i="30" s="1"/>
  <c r="P122" i="30"/>
  <c r="W122" i="30" s="1"/>
  <c r="N127" i="30"/>
  <c r="U127" i="30" s="1"/>
  <c r="Q140" i="30"/>
  <c r="R140" i="30" s="1"/>
  <c r="Q148" i="30"/>
  <c r="R148" i="30" s="1"/>
  <c r="Q156" i="30"/>
  <c r="R156" i="30" s="1"/>
  <c r="V96" i="31"/>
  <c r="V98" i="31"/>
  <c r="P108" i="31"/>
  <c r="W108" i="31" s="1"/>
  <c r="V109" i="31"/>
  <c r="P115" i="31"/>
  <c r="W115" i="31" s="1"/>
  <c r="Q169" i="31"/>
  <c r="R169" i="31" s="1"/>
  <c r="Q175" i="31"/>
  <c r="R175" i="31" s="1"/>
  <c r="N93" i="31"/>
  <c r="U93" i="31" s="1"/>
  <c r="N87" i="30"/>
  <c r="U87" i="30" s="1"/>
  <c r="P106" i="30"/>
  <c r="N122" i="30"/>
  <c r="U122" i="30" s="1"/>
  <c r="N128" i="30"/>
  <c r="U128" i="30" s="1"/>
  <c r="Q145" i="30"/>
  <c r="R145" i="30" s="1"/>
  <c r="N85" i="31"/>
  <c r="Q85" i="31" s="1"/>
  <c r="R85" i="31" s="1"/>
  <c r="V93" i="31"/>
  <c r="P120" i="31"/>
  <c r="W120" i="31" s="1"/>
  <c r="P122" i="31"/>
  <c r="W122" i="31" s="1"/>
  <c r="V127" i="31"/>
  <c r="N112" i="30"/>
  <c r="U112" i="30" s="1"/>
  <c r="Q167" i="30"/>
  <c r="R167" i="30" s="1"/>
  <c r="Q169" i="30"/>
  <c r="R169" i="30" s="1"/>
  <c r="P92" i="31"/>
  <c r="W92" i="31" s="1"/>
  <c r="N95" i="31"/>
  <c r="U95" i="31" s="1"/>
  <c r="W118" i="30"/>
  <c r="P92" i="30"/>
  <c r="W92" i="30" s="1"/>
  <c r="P95" i="30"/>
  <c r="N106" i="30"/>
  <c r="N119" i="30"/>
  <c r="U119" i="30" s="1"/>
  <c r="N125" i="30"/>
  <c r="U125" i="30" s="1"/>
  <c r="V127" i="30"/>
  <c r="Q172" i="30"/>
  <c r="R172" i="30" s="1"/>
  <c r="N88" i="31"/>
  <c r="V101" i="31"/>
  <c r="N112" i="31"/>
  <c r="V114" i="31"/>
  <c r="N122" i="31"/>
  <c r="U122" i="31" s="1"/>
  <c r="P131" i="31"/>
  <c r="W131" i="31" s="1"/>
  <c r="W111" i="31"/>
  <c r="Q161" i="31"/>
  <c r="R161" i="31" s="1"/>
  <c r="V92" i="30"/>
  <c r="N103" i="30"/>
  <c r="P111" i="30"/>
  <c r="W111" i="30" s="1"/>
  <c r="P120" i="30"/>
  <c r="W120" i="30" s="1"/>
  <c r="P93" i="31"/>
  <c r="W93" i="31" s="1"/>
  <c r="V104" i="31"/>
  <c r="N119" i="31"/>
  <c r="U119" i="31" s="1"/>
  <c r="V125" i="31"/>
  <c r="P127" i="31"/>
  <c r="W127" i="31" s="1"/>
  <c r="N131" i="31"/>
  <c r="U131" i="31" s="1"/>
  <c r="Q137" i="31"/>
  <c r="R137" i="31" s="1"/>
  <c r="Q158" i="31"/>
  <c r="R158" i="31" s="1"/>
  <c r="V115" i="31"/>
  <c r="P89" i="31"/>
  <c r="W89" i="31" s="1"/>
  <c r="P96" i="31"/>
  <c r="W96" i="31" s="1"/>
  <c r="N106" i="31"/>
  <c r="U106" i="31" s="1"/>
  <c r="N111" i="31"/>
  <c r="U111" i="31" s="1"/>
  <c r="P113" i="31"/>
  <c r="W113" i="31" s="1"/>
  <c r="P123" i="31"/>
  <c r="W123" i="31" s="1"/>
  <c r="V111" i="31"/>
  <c r="P88" i="31"/>
  <c r="W88" i="31" s="1"/>
  <c r="P91" i="31"/>
  <c r="W91" i="31" s="1"/>
  <c r="P95" i="31"/>
  <c r="W95" i="31" s="1"/>
  <c r="N96" i="31"/>
  <c r="P129" i="31"/>
  <c r="W129" i="31" s="1"/>
  <c r="O131" i="31"/>
  <c r="V131" i="31" s="1"/>
  <c r="Q172" i="31"/>
  <c r="R172" i="31" s="1"/>
  <c r="Q177" i="31"/>
  <c r="R177" i="31" s="1"/>
  <c r="Q182" i="31"/>
  <c r="R182" i="31" s="1"/>
  <c r="Q150" i="31"/>
  <c r="R150" i="31" s="1"/>
  <c r="P87" i="31"/>
  <c r="P104" i="31"/>
  <c r="W104" i="31" s="1"/>
  <c r="P114" i="31"/>
  <c r="W114" i="31" s="1"/>
  <c r="P116" i="31"/>
  <c r="W116" i="31" s="1"/>
  <c r="Q156" i="31"/>
  <c r="R156" i="31" s="1"/>
  <c r="Q183" i="31"/>
  <c r="R183" i="31" s="1"/>
  <c r="P100" i="31"/>
  <c r="W100" i="31" s="1"/>
  <c r="N104" i="31"/>
  <c r="U104" i="31" s="1"/>
  <c r="N109" i="31"/>
  <c r="U109" i="31" s="1"/>
  <c r="N120" i="31"/>
  <c r="U120" i="31" s="1"/>
  <c r="N125" i="31"/>
  <c r="U125" i="31" s="1"/>
  <c r="Q143" i="31"/>
  <c r="R143" i="31" s="1"/>
  <c r="Q159" i="31"/>
  <c r="R159" i="31" s="1"/>
  <c r="Q166" i="31"/>
  <c r="R166" i="31" s="1"/>
  <c r="P117" i="31"/>
  <c r="W117" i="31" s="1"/>
  <c r="P101" i="31"/>
  <c r="W101" i="31" s="1"/>
  <c r="P86" i="31"/>
  <c r="P103" i="31"/>
  <c r="W103" i="31" s="1"/>
  <c r="P112" i="31"/>
  <c r="W112" i="31" s="1"/>
  <c r="Q167" i="31"/>
  <c r="R167" i="31" s="1"/>
  <c r="O105" i="31"/>
  <c r="V105" i="31" s="1"/>
  <c r="N105" i="31"/>
  <c r="Q142" i="31"/>
  <c r="R142" i="31" s="1"/>
  <c r="O90" i="31"/>
  <c r="V90" i="31" s="1"/>
  <c r="N90" i="31"/>
  <c r="N91" i="31"/>
  <c r="O91" i="31"/>
  <c r="V91" i="31" s="1"/>
  <c r="P110" i="31"/>
  <c r="W110" i="31" s="1"/>
  <c r="V92" i="31"/>
  <c r="P128" i="31"/>
  <c r="W128" i="31" s="1"/>
  <c r="Q174" i="31"/>
  <c r="R174" i="31" s="1"/>
  <c r="Q155" i="31"/>
  <c r="R155" i="31" s="1"/>
  <c r="Q157" i="31"/>
  <c r="R157" i="31" s="1"/>
  <c r="Q176" i="31"/>
  <c r="R176" i="31" s="1"/>
  <c r="U98" i="31"/>
  <c r="O86" i="31"/>
  <c r="V86" i="31" s="1"/>
  <c r="X86" i="31" s="1"/>
  <c r="N86" i="31"/>
  <c r="P102" i="31"/>
  <c r="W102" i="31" s="1"/>
  <c r="U114" i="31"/>
  <c r="O97" i="31"/>
  <c r="V97" i="31" s="1"/>
  <c r="N97" i="31"/>
  <c r="Q144" i="31"/>
  <c r="R144" i="31" s="1"/>
  <c r="U112" i="31"/>
  <c r="N123" i="31"/>
  <c r="O124" i="31"/>
  <c r="V124" i="31" s="1"/>
  <c r="N124" i="31"/>
  <c r="Q168" i="31"/>
  <c r="R168" i="31" s="1"/>
  <c r="P90" i="31"/>
  <c r="W90" i="31" s="1"/>
  <c r="N99" i="31"/>
  <c r="N107" i="31"/>
  <c r="P125" i="31"/>
  <c r="W125" i="31" s="1"/>
  <c r="Q147" i="31"/>
  <c r="R147" i="31" s="1"/>
  <c r="Q149" i="31"/>
  <c r="R149" i="31" s="1"/>
  <c r="Q179" i="31"/>
  <c r="R179" i="31" s="1"/>
  <c r="N92" i="31"/>
  <c r="N100" i="31"/>
  <c r="N108" i="31"/>
  <c r="O118" i="31"/>
  <c r="V118" i="31" s="1"/>
  <c r="N118" i="31"/>
  <c r="O121" i="31"/>
  <c r="V121" i="31" s="1"/>
  <c r="N121" i="31"/>
  <c r="O129" i="31"/>
  <c r="V129" i="31" s="1"/>
  <c r="N129" i="31"/>
  <c r="P130" i="31"/>
  <c r="W130" i="31" s="1"/>
  <c r="Q160" i="31"/>
  <c r="R160" i="31" s="1"/>
  <c r="P97" i="31"/>
  <c r="W97" i="31" s="1"/>
  <c r="P98" i="31"/>
  <c r="W98" i="31" s="1"/>
  <c r="P105" i="31"/>
  <c r="W105" i="31" s="1"/>
  <c r="P106" i="31"/>
  <c r="W106" i="31" s="1"/>
  <c r="N115" i="31"/>
  <c r="O116" i="31"/>
  <c r="V116" i="31" s="1"/>
  <c r="N116" i="31"/>
  <c r="U130" i="31"/>
  <c r="Q139" i="31"/>
  <c r="R139" i="31" s="1"/>
  <c r="Q141" i="31"/>
  <c r="R141" i="31" s="1"/>
  <c r="Q171" i="31"/>
  <c r="R171" i="31" s="1"/>
  <c r="Q173" i="31"/>
  <c r="R173" i="31" s="1"/>
  <c r="O94" i="31"/>
  <c r="V94" i="31" s="1"/>
  <c r="N94" i="31"/>
  <c r="O102" i="31"/>
  <c r="V102" i="31" s="1"/>
  <c r="N102" i="31"/>
  <c r="O110" i="31"/>
  <c r="V110" i="31" s="1"/>
  <c r="N110" i="31"/>
  <c r="P119" i="31"/>
  <c r="W119" i="31" s="1"/>
  <c r="O123" i="31"/>
  <c r="V123" i="31" s="1"/>
  <c r="Q152" i="31"/>
  <c r="R152" i="31" s="1"/>
  <c r="AG85" i="31"/>
  <c r="O113" i="31"/>
  <c r="V113" i="31" s="1"/>
  <c r="N113" i="31"/>
  <c r="O126" i="31"/>
  <c r="V126" i="31" s="1"/>
  <c r="N126" i="31"/>
  <c r="Q163" i="31"/>
  <c r="R163" i="31" s="1"/>
  <c r="Q165" i="31"/>
  <c r="R165" i="31" s="1"/>
  <c r="Q181" i="31"/>
  <c r="R181" i="31" s="1"/>
  <c r="Q127" i="31"/>
  <c r="R127" i="31" s="1"/>
  <c r="Q138" i="31"/>
  <c r="R138" i="31" s="1"/>
  <c r="Q146" i="31"/>
  <c r="R146" i="31" s="1"/>
  <c r="Q154" i="31"/>
  <c r="R154" i="31" s="1"/>
  <c r="Q162" i="31"/>
  <c r="R162" i="31" s="1"/>
  <c r="Q170" i="31"/>
  <c r="R170" i="31" s="1"/>
  <c r="Q178" i="31"/>
  <c r="R178" i="31" s="1"/>
  <c r="Q177" i="30"/>
  <c r="R177" i="30" s="1"/>
  <c r="Q150" i="30"/>
  <c r="R150" i="30" s="1"/>
  <c r="V89" i="30"/>
  <c r="P97" i="30"/>
  <c r="W97" i="30" s="1"/>
  <c r="P110" i="30"/>
  <c r="W110" i="30" s="1"/>
  <c r="P112" i="30"/>
  <c r="W112" i="30" s="1"/>
  <c r="N123" i="30"/>
  <c r="Q123" i="30" s="1"/>
  <c r="P124" i="30"/>
  <c r="W124" i="30" s="1"/>
  <c r="P127" i="30"/>
  <c r="W127" i="30" s="1"/>
  <c r="V128" i="30"/>
  <c r="V87" i="30"/>
  <c r="W93" i="30"/>
  <c r="N88" i="30"/>
  <c r="U88" i="30" s="1"/>
  <c r="N93" i="30"/>
  <c r="Q93" i="30" s="1"/>
  <c r="N104" i="30"/>
  <c r="U104" i="30" s="1"/>
  <c r="N109" i="30"/>
  <c r="U109" i="30" s="1"/>
  <c r="P114" i="30"/>
  <c r="W114" i="30" s="1"/>
  <c r="P116" i="30"/>
  <c r="W116" i="30" s="1"/>
  <c r="Q137" i="30"/>
  <c r="R137" i="30" s="1"/>
  <c r="Q159" i="30"/>
  <c r="R159" i="30" s="1"/>
  <c r="R175" i="30"/>
  <c r="P87" i="30"/>
  <c r="W87" i="30" s="1"/>
  <c r="P98" i="30"/>
  <c r="W98" i="30" s="1"/>
  <c r="P100" i="30"/>
  <c r="W100" i="30" s="1"/>
  <c r="P115" i="30"/>
  <c r="W115" i="30" s="1"/>
  <c r="P119" i="30"/>
  <c r="W119" i="30" s="1"/>
  <c r="P126" i="30"/>
  <c r="W126" i="30" s="1"/>
  <c r="P129" i="30"/>
  <c r="W129" i="30" s="1"/>
  <c r="Q142" i="30"/>
  <c r="R142" i="30" s="1"/>
  <c r="Q174" i="30"/>
  <c r="R174" i="30" s="1"/>
  <c r="W95" i="30"/>
  <c r="P88" i="30"/>
  <c r="W88" i="30" s="1"/>
  <c r="P94" i="30"/>
  <c r="W94" i="30" s="1"/>
  <c r="N99" i="30"/>
  <c r="U99" i="30" s="1"/>
  <c r="P105" i="30"/>
  <c r="W105" i="30" s="1"/>
  <c r="N120" i="30"/>
  <c r="Q120" i="30" s="1"/>
  <c r="R120" i="30" s="1"/>
  <c r="Q143" i="30"/>
  <c r="R143" i="30" s="1"/>
  <c r="Q166" i="30"/>
  <c r="R166" i="30" s="1"/>
  <c r="U93" i="30"/>
  <c r="Q163" i="30"/>
  <c r="R163" i="30" s="1"/>
  <c r="U111" i="30"/>
  <c r="Q165" i="30"/>
  <c r="R165" i="30" s="1"/>
  <c r="O86" i="30"/>
  <c r="V86" i="30" s="1"/>
  <c r="X86" i="30" s="1"/>
  <c r="N86" i="30"/>
  <c r="O126" i="30"/>
  <c r="V126" i="30" s="1"/>
  <c r="N126" i="30"/>
  <c r="Q182" i="30"/>
  <c r="R182" i="30" s="1"/>
  <c r="W130" i="30"/>
  <c r="O97" i="30"/>
  <c r="V97" i="30" s="1"/>
  <c r="N97" i="30"/>
  <c r="N115" i="30"/>
  <c r="O115" i="30"/>
  <c r="V115" i="30" s="1"/>
  <c r="Q158" i="30"/>
  <c r="R158" i="30" s="1"/>
  <c r="P117" i="30"/>
  <c r="W117" i="30" s="1"/>
  <c r="Q152" i="30"/>
  <c r="R152" i="30" s="1"/>
  <c r="U106" i="30"/>
  <c r="U117" i="30"/>
  <c r="Q176" i="30"/>
  <c r="R176" i="30" s="1"/>
  <c r="O113" i="30"/>
  <c r="V113" i="30" s="1"/>
  <c r="N113" i="30"/>
  <c r="P101" i="30"/>
  <c r="W101" i="30" s="1"/>
  <c r="O110" i="30"/>
  <c r="V110" i="30" s="1"/>
  <c r="N110" i="30"/>
  <c r="AG85" i="30"/>
  <c r="P85" i="30"/>
  <c r="U103" i="30"/>
  <c r="O116" i="30"/>
  <c r="V116" i="30" s="1"/>
  <c r="N116" i="30"/>
  <c r="O121" i="30"/>
  <c r="V121" i="30" s="1"/>
  <c r="N121" i="30"/>
  <c r="N131" i="30"/>
  <c r="Q144" i="30"/>
  <c r="R144" i="30" s="1"/>
  <c r="N107" i="30"/>
  <c r="O108" i="30"/>
  <c r="V108" i="30" s="1"/>
  <c r="N108" i="30"/>
  <c r="R155" i="30"/>
  <c r="Q155" i="30"/>
  <c r="Q157" i="30"/>
  <c r="R157" i="30" s="1"/>
  <c r="Q179" i="30"/>
  <c r="R179" i="30" s="1"/>
  <c r="N91" i="30"/>
  <c r="Q99" i="30"/>
  <c r="P128" i="30"/>
  <c r="W128" i="30" s="1"/>
  <c r="Q168" i="30"/>
  <c r="R168" i="30" s="1"/>
  <c r="N92" i="30"/>
  <c r="O102" i="30"/>
  <c r="V102" i="30" s="1"/>
  <c r="N102" i="30"/>
  <c r="O105" i="30"/>
  <c r="V105" i="30" s="1"/>
  <c r="N105" i="30"/>
  <c r="P113" i="30"/>
  <c r="W113" i="30" s="1"/>
  <c r="O118" i="30"/>
  <c r="V118" i="30" s="1"/>
  <c r="N118" i="30"/>
  <c r="P121" i="30"/>
  <c r="W121" i="30" s="1"/>
  <c r="O124" i="30"/>
  <c r="V124" i="30" s="1"/>
  <c r="N124" i="30"/>
  <c r="P125" i="30"/>
  <c r="W125" i="30" s="1"/>
  <c r="Q147" i="30"/>
  <c r="R147" i="30" s="1"/>
  <c r="Q149" i="30"/>
  <c r="R149" i="30" s="1"/>
  <c r="P89" i="30"/>
  <c r="W89" i="30" s="1"/>
  <c r="P90" i="30"/>
  <c r="W90" i="30" s="1"/>
  <c r="O100" i="30"/>
  <c r="V100" i="30" s="1"/>
  <c r="N100" i="30"/>
  <c r="O129" i="30"/>
  <c r="V129" i="30" s="1"/>
  <c r="N129" i="30"/>
  <c r="Q160" i="30"/>
  <c r="R160" i="30" s="1"/>
  <c r="N89" i="30"/>
  <c r="O94" i="30"/>
  <c r="V94" i="30" s="1"/>
  <c r="N94" i="30"/>
  <c r="P103" i="30"/>
  <c r="W103" i="30" s="1"/>
  <c r="O107" i="30"/>
  <c r="V107" i="30" s="1"/>
  <c r="Q130" i="30"/>
  <c r="R130" i="30" s="1"/>
  <c r="Q139" i="30"/>
  <c r="R139" i="30" s="1"/>
  <c r="Q141" i="30"/>
  <c r="R141" i="30" s="1"/>
  <c r="Q171" i="30"/>
  <c r="R171" i="30" s="1"/>
  <c r="Q173" i="30"/>
  <c r="R173" i="30" s="1"/>
  <c r="Q181" i="30"/>
  <c r="R181" i="30" s="1"/>
  <c r="Q138" i="30"/>
  <c r="R138" i="30" s="1"/>
  <c r="Q146" i="30"/>
  <c r="R146" i="30" s="1"/>
  <c r="Q154" i="30"/>
  <c r="R154" i="30" s="1"/>
  <c r="Q162" i="30"/>
  <c r="R162" i="30" s="1"/>
  <c r="Q170" i="30"/>
  <c r="R170" i="30" s="1"/>
  <c r="Q178" i="30"/>
  <c r="R178" i="30" s="1"/>
  <c r="Q85" i="30" l="1"/>
  <c r="R85" i="30" s="1"/>
  <c r="Q104" i="30"/>
  <c r="R104" i="30" s="1"/>
  <c r="X99" i="30"/>
  <c r="Q111" i="30"/>
  <c r="R111" i="30" s="1"/>
  <c r="Q96" i="31"/>
  <c r="R96" i="31" s="1"/>
  <c r="Q95" i="30"/>
  <c r="R95" i="30" s="1"/>
  <c r="Q122" i="30"/>
  <c r="R122" i="30" s="1"/>
  <c r="Q120" i="31"/>
  <c r="R120" i="31" s="1"/>
  <c r="U95" i="30"/>
  <c r="X119" i="30"/>
  <c r="Y119" i="30" s="1"/>
  <c r="U96" i="31"/>
  <c r="X96" i="31" s="1"/>
  <c r="Y96" i="31" s="1"/>
  <c r="Q119" i="30"/>
  <c r="R119" i="30" s="1"/>
  <c r="Q103" i="31"/>
  <c r="R103" i="31" s="1"/>
  <c r="X87" i="30"/>
  <c r="Y87" i="30" s="1"/>
  <c r="X127" i="30"/>
  <c r="Y127" i="30" s="1"/>
  <c r="X104" i="31"/>
  <c r="Y104" i="31" s="1"/>
  <c r="Q127" i="30"/>
  <c r="R127" i="30" s="1"/>
  <c r="X88" i="30"/>
  <c r="Y88" i="30" s="1"/>
  <c r="U120" i="30"/>
  <c r="X120" i="30" s="1"/>
  <c r="Y120" i="30" s="1"/>
  <c r="X127" i="31"/>
  <c r="Y127" i="31" s="1"/>
  <c r="Q106" i="30"/>
  <c r="R106" i="30" s="1"/>
  <c r="Q88" i="31"/>
  <c r="R88" i="31" s="1"/>
  <c r="Q93" i="31"/>
  <c r="R93" i="31" s="1"/>
  <c r="R123" i="30"/>
  <c r="U123" i="30"/>
  <c r="X123" i="30" s="1"/>
  <c r="Y123" i="30" s="1"/>
  <c r="Q87" i="30"/>
  <c r="R87" i="30" s="1"/>
  <c r="X119" i="31"/>
  <c r="Y119" i="31" s="1"/>
  <c r="Q111" i="31"/>
  <c r="R111" i="31" s="1"/>
  <c r="Q122" i="31"/>
  <c r="R122" i="31" s="1"/>
  <c r="Q112" i="31"/>
  <c r="R112" i="31" s="1"/>
  <c r="Q95" i="31"/>
  <c r="R95" i="31" s="1"/>
  <c r="Q96" i="30"/>
  <c r="R96" i="30" s="1"/>
  <c r="W106" i="30"/>
  <c r="U88" i="31"/>
  <c r="X88" i="31" s="1"/>
  <c r="Y88" i="31" s="1"/>
  <c r="Q128" i="31"/>
  <c r="R128" i="31" s="1"/>
  <c r="Q104" i="31"/>
  <c r="R104" i="31" s="1"/>
  <c r="Q117" i="31"/>
  <c r="R117" i="31" s="1"/>
  <c r="Q87" i="31"/>
  <c r="R87" i="31" s="1"/>
  <c r="W87" i="31"/>
  <c r="X87" i="31" s="1"/>
  <c r="Y87" i="31" s="1"/>
  <c r="Q125" i="31"/>
  <c r="R125" i="31" s="1"/>
  <c r="Q131" i="31"/>
  <c r="R131" i="31" s="1"/>
  <c r="Q101" i="31"/>
  <c r="R101" i="31" s="1"/>
  <c r="Q89" i="31"/>
  <c r="R89" i="31" s="1"/>
  <c r="Q98" i="31"/>
  <c r="R98" i="31" s="1"/>
  <c r="Q109" i="31"/>
  <c r="R109" i="31" s="1"/>
  <c r="Q114" i="31"/>
  <c r="R114" i="31" s="1"/>
  <c r="U110" i="31"/>
  <c r="Q110" i="31"/>
  <c r="R110" i="31" s="1"/>
  <c r="Q100" i="31"/>
  <c r="R100" i="31" s="1"/>
  <c r="U100" i="31"/>
  <c r="U123" i="31"/>
  <c r="Q123" i="31"/>
  <c r="R123" i="31" s="1"/>
  <c r="U121" i="31"/>
  <c r="Q121" i="31"/>
  <c r="R121" i="31" s="1"/>
  <c r="Q116" i="31"/>
  <c r="R116" i="31" s="1"/>
  <c r="U116" i="31"/>
  <c r="U129" i="31"/>
  <c r="Q129" i="31"/>
  <c r="R129" i="31" s="1"/>
  <c r="X114" i="31"/>
  <c r="Y114" i="31" s="1"/>
  <c r="X98" i="31"/>
  <c r="Y98" i="31" s="1"/>
  <c r="X125" i="31"/>
  <c r="Y125" i="31" s="1"/>
  <c r="U90" i="31"/>
  <c r="Q90" i="31"/>
  <c r="R90" i="31" s="1"/>
  <c r="U94" i="31"/>
  <c r="Q94" i="31"/>
  <c r="R94" i="31" s="1"/>
  <c r="X89" i="31"/>
  <c r="Y89" i="31" s="1"/>
  <c r="Q130" i="31"/>
  <c r="R130" i="31" s="1"/>
  <c r="U115" i="31"/>
  <c r="Q115" i="31"/>
  <c r="R115" i="31" s="1"/>
  <c r="X111" i="31"/>
  <c r="Y111" i="31" s="1"/>
  <c r="X112" i="31"/>
  <c r="Y112" i="31" s="1"/>
  <c r="X131" i="31"/>
  <c r="Y131" i="31" s="1"/>
  <c r="Q105" i="31"/>
  <c r="R105" i="31" s="1"/>
  <c r="U105" i="31"/>
  <c r="X103" i="31"/>
  <c r="Y103" i="31" s="1"/>
  <c r="U113" i="31"/>
  <c r="Q113" i="31"/>
  <c r="R113" i="31" s="1"/>
  <c r="U102" i="31"/>
  <c r="Q102" i="31"/>
  <c r="R102" i="31" s="1"/>
  <c r="Q108" i="31"/>
  <c r="R108" i="31" s="1"/>
  <c r="U108" i="31"/>
  <c r="Q97" i="31"/>
  <c r="R97" i="31" s="1"/>
  <c r="U97" i="31"/>
  <c r="X101" i="31"/>
  <c r="Y101" i="31" s="1"/>
  <c r="Q106" i="31"/>
  <c r="R106" i="31" s="1"/>
  <c r="X109" i="31"/>
  <c r="Y109" i="31" s="1"/>
  <c r="X93" i="31"/>
  <c r="Y93" i="31" s="1"/>
  <c r="Q119" i="31"/>
  <c r="R119" i="31" s="1"/>
  <c r="U126" i="31"/>
  <c r="Q126" i="31"/>
  <c r="R126" i="31" s="1"/>
  <c r="X130" i="31"/>
  <c r="Y130" i="31" s="1"/>
  <c r="Q86" i="31"/>
  <c r="R86" i="31" s="1"/>
  <c r="X120" i="31"/>
  <c r="Y120" i="31" s="1"/>
  <c r="U91" i="31"/>
  <c r="Q91" i="31"/>
  <c r="R91" i="31" s="1"/>
  <c r="Q124" i="31"/>
  <c r="R124" i="31" s="1"/>
  <c r="U124" i="31"/>
  <c r="U99" i="31"/>
  <c r="Q99" i="31"/>
  <c r="R99" i="31" s="1"/>
  <c r="X95" i="31"/>
  <c r="Y95" i="31" s="1"/>
  <c r="X128" i="31"/>
  <c r="Y128" i="31" s="1"/>
  <c r="X122" i="31"/>
  <c r="Y122" i="31" s="1"/>
  <c r="X117" i="31"/>
  <c r="Y117" i="31" s="1"/>
  <c r="U118" i="31"/>
  <c r="Q118" i="31"/>
  <c r="R118" i="31" s="1"/>
  <c r="Q92" i="31"/>
  <c r="R92" i="31" s="1"/>
  <c r="U92" i="31"/>
  <c r="U107" i="31"/>
  <c r="Q107" i="31"/>
  <c r="R107" i="31" s="1"/>
  <c r="X106" i="31"/>
  <c r="Y106" i="31" s="1"/>
  <c r="R99" i="30"/>
  <c r="Q98" i="30"/>
  <c r="R98" i="30" s="1"/>
  <c r="Y99" i="30"/>
  <c r="Q114" i="30"/>
  <c r="R114" i="30" s="1"/>
  <c r="Q128" i="30"/>
  <c r="R128" i="30" s="1"/>
  <c r="Q112" i="30"/>
  <c r="R112" i="30" s="1"/>
  <c r="Q109" i="30"/>
  <c r="R109" i="30" s="1"/>
  <c r="Q88" i="30"/>
  <c r="R88" i="30" s="1"/>
  <c r="R93" i="30"/>
  <c r="Q100" i="30"/>
  <c r="R100" i="30" s="1"/>
  <c r="U100" i="30"/>
  <c r="X95" i="30"/>
  <c r="Y95" i="30" s="1"/>
  <c r="Q116" i="30"/>
  <c r="R116" i="30" s="1"/>
  <c r="U116" i="30"/>
  <c r="Q92" i="30"/>
  <c r="R92" i="30" s="1"/>
  <c r="U92" i="30"/>
  <c r="Q108" i="30"/>
  <c r="R108" i="30"/>
  <c r="U108" i="30"/>
  <c r="Q121" i="30"/>
  <c r="R121" i="30" s="1"/>
  <c r="U121" i="30"/>
  <c r="X90" i="30"/>
  <c r="Y90" i="30" s="1"/>
  <c r="Q113" i="30"/>
  <c r="R113" i="30" s="1"/>
  <c r="U113" i="30"/>
  <c r="Q124" i="30"/>
  <c r="R124" i="30" s="1"/>
  <c r="U124" i="30"/>
  <c r="Q117" i="30"/>
  <c r="R117" i="30" s="1"/>
  <c r="X93" i="30"/>
  <c r="Y93" i="30" s="1"/>
  <c r="Q125" i="30"/>
  <c r="R125" i="30" s="1"/>
  <c r="X117" i="30"/>
  <c r="Y117" i="30" s="1"/>
  <c r="Q86" i="30"/>
  <c r="R86" i="30" s="1"/>
  <c r="X128" i="30"/>
  <c r="Y128" i="30" s="1"/>
  <c r="Q89" i="30"/>
  <c r="R89" i="30" s="1"/>
  <c r="U89" i="30"/>
  <c r="U105" i="30"/>
  <c r="Q105" i="30"/>
  <c r="R105" i="30" s="1"/>
  <c r="U91" i="30"/>
  <c r="Q91" i="30"/>
  <c r="R91" i="30" s="1"/>
  <c r="U107" i="30"/>
  <c r="Q107" i="30"/>
  <c r="R107" i="30" s="1"/>
  <c r="X98" i="30"/>
  <c r="Y98" i="30" s="1"/>
  <c r="U129" i="30"/>
  <c r="Q129" i="30"/>
  <c r="R129" i="30" s="1"/>
  <c r="X114" i="30"/>
  <c r="Y114" i="30" s="1"/>
  <c r="X111" i="30"/>
  <c r="Y111" i="30" s="1"/>
  <c r="X130" i="30"/>
  <c r="Y130" i="30" s="1"/>
  <c r="X125" i="30"/>
  <c r="Y125" i="30" s="1"/>
  <c r="U118" i="30"/>
  <c r="Q118" i="30"/>
  <c r="R118" i="30" s="1"/>
  <c r="X112" i="30"/>
  <c r="Y112" i="30" s="1"/>
  <c r="Q110" i="30"/>
  <c r="R110" i="30" s="1"/>
  <c r="U110" i="30"/>
  <c r="X109" i="30"/>
  <c r="Y109" i="30" s="1"/>
  <c r="U115" i="30"/>
  <c r="Q115" i="30"/>
  <c r="R115" i="30" s="1"/>
  <c r="Q101" i="30"/>
  <c r="R101" i="30" s="1"/>
  <c r="U131" i="30"/>
  <c r="Q131" i="30"/>
  <c r="R131" i="30" s="1"/>
  <c r="X103" i="30"/>
  <c r="Y103" i="30" s="1"/>
  <c r="X106" i="30"/>
  <c r="Y106" i="30" s="1"/>
  <c r="U102" i="30"/>
  <c r="Q102" i="30"/>
  <c r="R102" i="30" s="1"/>
  <c r="X96" i="30"/>
  <c r="Y96" i="30" s="1"/>
  <c r="X122" i="30"/>
  <c r="Y122" i="30" s="1"/>
  <c r="Q103" i="30"/>
  <c r="R103" i="30" s="1"/>
  <c r="U97" i="30"/>
  <c r="Q97" i="30"/>
  <c r="R97" i="30" s="1"/>
  <c r="X104" i="30"/>
  <c r="Y104" i="30" s="1"/>
  <c r="X101" i="30"/>
  <c r="Y101" i="30" s="1"/>
  <c r="U94" i="30"/>
  <c r="Q94" i="30"/>
  <c r="R94" i="30" s="1"/>
  <c r="Q90" i="30"/>
  <c r="R90" i="30" s="1"/>
  <c r="U126" i="30"/>
  <c r="Q126" i="30"/>
  <c r="R126" i="30" s="1"/>
  <c r="X115" i="31" l="1"/>
  <c r="Y115" i="31" s="1"/>
  <c r="X123" i="31"/>
  <c r="Y123" i="31" s="1"/>
  <c r="X118" i="31"/>
  <c r="Y118" i="31" s="1"/>
  <c r="X90" i="31"/>
  <c r="Y90" i="31" s="1"/>
  <c r="X99" i="31"/>
  <c r="Y99" i="31" s="1"/>
  <c r="X129" i="31"/>
  <c r="Y129" i="31" s="1"/>
  <c r="X100" i="31"/>
  <c r="Y100" i="31" s="1"/>
  <c r="X92" i="31"/>
  <c r="Y92" i="31" s="1"/>
  <c r="X124" i="31"/>
  <c r="Y124" i="31" s="1"/>
  <c r="X126" i="31"/>
  <c r="Y126" i="31" s="1"/>
  <c r="X105" i="31"/>
  <c r="Y105" i="31" s="1"/>
  <c r="X113" i="31"/>
  <c r="Y113" i="31" s="1"/>
  <c r="X107" i="31"/>
  <c r="Y107" i="31" s="1"/>
  <c r="X108" i="31"/>
  <c r="Y108" i="31" s="1"/>
  <c r="X116" i="31"/>
  <c r="Y116" i="31" s="1"/>
  <c r="X102" i="31"/>
  <c r="Y102" i="31" s="1"/>
  <c r="X121" i="31"/>
  <c r="Y121" i="31" s="1"/>
  <c r="X91" i="31"/>
  <c r="Y91" i="31" s="1"/>
  <c r="X97" i="31"/>
  <c r="Y97" i="31" s="1"/>
  <c r="X94" i="31"/>
  <c r="Y94" i="31" s="1"/>
  <c r="X110" i="31"/>
  <c r="Y110" i="31" s="1"/>
  <c r="X116" i="30"/>
  <c r="Y116" i="30" s="1"/>
  <c r="X107" i="30"/>
  <c r="Y107" i="30" s="1"/>
  <c r="X113" i="30"/>
  <c r="Y113" i="30" s="1"/>
  <c r="X108" i="30"/>
  <c r="Y108" i="30" s="1"/>
  <c r="X124" i="30"/>
  <c r="Y124" i="30" s="1"/>
  <c r="X110" i="30"/>
  <c r="Y110" i="30" s="1"/>
  <c r="X129" i="30"/>
  <c r="Y129" i="30" s="1"/>
  <c r="X102" i="30"/>
  <c r="Y102" i="30" s="1"/>
  <c r="X91" i="30"/>
  <c r="Y91" i="30" s="1"/>
  <c r="X126" i="30"/>
  <c r="Y126" i="30" s="1"/>
  <c r="X131" i="30"/>
  <c r="Y131" i="30" s="1"/>
  <c r="X97" i="30"/>
  <c r="Y97" i="30" s="1"/>
  <c r="X115" i="30"/>
  <c r="Y115" i="30" s="1"/>
  <c r="X92" i="30"/>
  <c r="Y92" i="30" s="1"/>
  <c r="X100" i="30"/>
  <c r="Y100" i="30" s="1"/>
  <c r="X94" i="30"/>
  <c r="Y94" i="30" s="1"/>
  <c r="X105" i="30"/>
  <c r="Y105" i="30" s="1"/>
  <c r="X118" i="30"/>
  <c r="Y118" i="30" s="1"/>
  <c r="X89" i="30"/>
  <c r="Y89" i="30" s="1"/>
  <c r="X121" i="30"/>
  <c r="Y121" i="30" s="1"/>
  <c r="P183" i="29" l="1"/>
  <c r="O183" i="29"/>
  <c r="N183" i="29"/>
  <c r="P182" i="29"/>
  <c r="O182" i="29"/>
  <c r="N182" i="29"/>
  <c r="P181" i="29"/>
  <c r="O181" i="29"/>
  <c r="N181" i="29"/>
  <c r="P180" i="29"/>
  <c r="O180" i="29"/>
  <c r="N180" i="29"/>
  <c r="P179" i="29"/>
  <c r="O179" i="29"/>
  <c r="N179" i="29"/>
  <c r="P178" i="29"/>
  <c r="O178" i="29"/>
  <c r="N178" i="29"/>
  <c r="P177" i="29"/>
  <c r="O177" i="29"/>
  <c r="N177" i="29"/>
  <c r="P176" i="29"/>
  <c r="O176" i="29"/>
  <c r="N176" i="29"/>
  <c r="P175" i="29"/>
  <c r="O175" i="29"/>
  <c r="N175" i="29"/>
  <c r="P174" i="29"/>
  <c r="O174" i="29"/>
  <c r="N174" i="29"/>
  <c r="P173" i="29"/>
  <c r="O173" i="29"/>
  <c r="N173" i="29"/>
  <c r="P172" i="29"/>
  <c r="O172" i="29"/>
  <c r="N172" i="29"/>
  <c r="P171" i="29"/>
  <c r="O171" i="29"/>
  <c r="N171" i="29"/>
  <c r="P170" i="29"/>
  <c r="O170" i="29"/>
  <c r="N170" i="29"/>
  <c r="P169" i="29"/>
  <c r="O169" i="29"/>
  <c r="N169" i="29"/>
  <c r="P168" i="29"/>
  <c r="O168" i="29"/>
  <c r="N168" i="29"/>
  <c r="P167" i="29"/>
  <c r="O167" i="29"/>
  <c r="N167" i="29"/>
  <c r="P166" i="29"/>
  <c r="O166" i="29"/>
  <c r="N166" i="29"/>
  <c r="P165" i="29"/>
  <c r="O165" i="29"/>
  <c r="N165" i="29"/>
  <c r="P164" i="29"/>
  <c r="O164" i="29"/>
  <c r="N164" i="29"/>
  <c r="P163" i="29"/>
  <c r="O163" i="29"/>
  <c r="N163" i="29"/>
  <c r="P162" i="29"/>
  <c r="O162" i="29"/>
  <c r="N162" i="29"/>
  <c r="P161" i="29"/>
  <c r="O161" i="29"/>
  <c r="N161" i="29"/>
  <c r="P160" i="29"/>
  <c r="O160" i="29"/>
  <c r="N160" i="29"/>
  <c r="P159" i="29"/>
  <c r="O159" i="29"/>
  <c r="N159" i="29"/>
  <c r="P158" i="29"/>
  <c r="O158" i="29"/>
  <c r="N158" i="29"/>
  <c r="P157" i="29"/>
  <c r="O157" i="29"/>
  <c r="N157" i="29"/>
  <c r="P156" i="29"/>
  <c r="O156" i="29"/>
  <c r="N156" i="29"/>
  <c r="P155" i="29"/>
  <c r="O155" i="29"/>
  <c r="N155" i="29"/>
  <c r="P154" i="29"/>
  <c r="O154" i="29"/>
  <c r="N154" i="29"/>
  <c r="P153" i="29"/>
  <c r="O153" i="29"/>
  <c r="N153" i="29"/>
  <c r="P152" i="29"/>
  <c r="O152" i="29"/>
  <c r="N152" i="29"/>
  <c r="P151" i="29"/>
  <c r="O151" i="29"/>
  <c r="N151" i="29"/>
  <c r="P150" i="29"/>
  <c r="O150" i="29"/>
  <c r="N150" i="29"/>
  <c r="P149" i="29"/>
  <c r="O149" i="29"/>
  <c r="N149" i="29"/>
  <c r="P148" i="29"/>
  <c r="O148" i="29"/>
  <c r="N148" i="29"/>
  <c r="P147" i="29"/>
  <c r="O147" i="29"/>
  <c r="N147" i="29"/>
  <c r="P146" i="29"/>
  <c r="O146" i="29"/>
  <c r="N146" i="29"/>
  <c r="P145" i="29"/>
  <c r="O145" i="29"/>
  <c r="N145" i="29"/>
  <c r="P144" i="29"/>
  <c r="O144" i="29"/>
  <c r="N144" i="29"/>
  <c r="P143" i="29"/>
  <c r="O143" i="29"/>
  <c r="N143" i="29"/>
  <c r="P142" i="29"/>
  <c r="O142" i="29"/>
  <c r="N142" i="29"/>
  <c r="P141" i="29"/>
  <c r="O141" i="29"/>
  <c r="N141" i="29"/>
  <c r="P140" i="29"/>
  <c r="O140" i="29"/>
  <c r="N140" i="29"/>
  <c r="P139" i="29"/>
  <c r="O139" i="29"/>
  <c r="N139" i="29"/>
  <c r="P138" i="29"/>
  <c r="O138" i="29"/>
  <c r="N138" i="29"/>
  <c r="P137" i="29"/>
  <c r="O137" i="29"/>
  <c r="N137" i="29"/>
  <c r="Q136" i="29"/>
  <c r="P136" i="29"/>
  <c r="N136" i="29"/>
  <c r="K131" i="29"/>
  <c r="J131" i="29"/>
  <c r="I131" i="29"/>
  <c r="H131" i="29"/>
  <c r="O131" i="29" s="1"/>
  <c r="G131" i="29"/>
  <c r="F131" i="29"/>
  <c r="E131" i="29"/>
  <c r="D131" i="29"/>
  <c r="N131" i="29" s="1"/>
  <c r="U131" i="29" s="1"/>
  <c r="C131" i="29"/>
  <c r="P131" i="29" s="1"/>
  <c r="W131" i="29" s="1"/>
  <c r="K130" i="29"/>
  <c r="J130" i="29"/>
  <c r="I130" i="29"/>
  <c r="H130" i="29"/>
  <c r="O130" i="29" s="1"/>
  <c r="G130" i="29"/>
  <c r="F130" i="29"/>
  <c r="E130" i="29"/>
  <c r="D130" i="29"/>
  <c r="N130" i="29" s="1"/>
  <c r="C130" i="29"/>
  <c r="P130" i="29" s="1"/>
  <c r="K129" i="29"/>
  <c r="J129" i="29"/>
  <c r="I129" i="29"/>
  <c r="H129" i="29"/>
  <c r="O129" i="29" s="1"/>
  <c r="V129" i="29" s="1"/>
  <c r="G129" i="29"/>
  <c r="F129" i="29"/>
  <c r="E129" i="29"/>
  <c r="D129" i="29"/>
  <c r="N129" i="29" s="1"/>
  <c r="C129" i="29"/>
  <c r="P129" i="29" s="1"/>
  <c r="W129" i="29" s="1"/>
  <c r="K128" i="29"/>
  <c r="J128" i="29"/>
  <c r="I128" i="29"/>
  <c r="H128" i="29"/>
  <c r="O128" i="29" s="1"/>
  <c r="G128" i="29"/>
  <c r="F128" i="29"/>
  <c r="E128" i="29"/>
  <c r="D128" i="29"/>
  <c r="N128" i="29" s="1"/>
  <c r="C128" i="29"/>
  <c r="P128" i="29" s="1"/>
  <c r="W128" i="29" s="1"/>
  <c r="K127" i="29"/>
  <c r="J127" i="29"/>
  <c r="I127" i="29"/>
  <c r="H127" i="29"/>
  <c r="O127" i="29" s="1"/>
  <c r="V127" i="29" s="1"/>
  <c r="G127" i="29"/>
  <c r="F127" i="29"/>
  <c r="E127" i="29"/>
  <c r="D127" i="29"/>
  <c r="N127" i="29" s="1"/>
  <c r="C127" i="29"/>
  <c r="P127" i="29" s="1"/>
  <c r="K126" i="29"/>
  <c r="J126" i="29"/>
  <c r="I126" i="29"/>
  <c r="H126" i="29"/>
  <c r="O126" i="29" s="1"/>
  <c r="V126" i="29" s="1"/>
  <c r="G126" i="29"/>
  <c r="F126" i="29"/>
  <c r="E126" i="29"/>
  <c r="D126" i="29"/>
  <c r="N126" i="29" s="1"/>
  <c r="C126" i="29"/>
  <c r="P126" i="29" s="1"/>
  <c r="W126" i="29" s="1"/>
  <c r="K125" i="29"/>
  <c r="J125" i="29"/>
  <c r="I125" i="29"/>
  <c r="H125" i="29"/>
  <c r="O125" i="29" s="1"/>
  <c r="G125" i="29"/>
  <c r="F125" i="29"/>
  <c r="E125" i="29"/>
  <c r="D125" i="29"/>
  <c r="N125" i="29" s="1"/>
  <c r="C125" i="29"/>
  <c r="P125" i="29" s="1"/>
  <c r="K124" i="29"/>
  <c r="J124" i="29"/>
  <c r="I124" i="29"/>
  <c r="H124" i="29"/>
  <c r="O124" i="29" s="1"/>
  <c r="V124" i="29" s="1"/>
  <c r="G124" i="29"/>
  <c r="F124" i="29"/>
  <c r="E124" i="29"/>
  <c r="D124" i="29"/>
  <c r="N124" i="29" s="1"/>
  <c r="C124" i="29"/>
  <c r="P124" i="29" s="1"/>
  <c r="W124" i="29" s="1"/>
  <c r="K123" i="29"/>
  <c r="J123" i="29"/>
  <c r="I123" i="29"/>
  <c r="H123" i="29"/>
  <c r="O123" i="29" s="1"/>
  <c r="V123" i="29" s="1"/>
  <c r="G123" i="29"/>
  <c r="F123" i="29"/>
  <c r="E123" i="29"/>
  <c r="D123" i="29"/>
  <c r="N123" i="29" s="1"/>
  <c r="C123" i="29"/>
  <c r="P123" i="29" s="1"/>
  <c r="W123" i="29" s="1"/>
  <c r="K122" i="29"/>
  <c r="J122" i="29"/>
  <c r="I122" i="29"/>
  <c r="H122" i="29"/>
  <c r="O122" i="29" s="1"/>
  <c r="G122" i="29"/>
  <c r="F122" i="29"/>
  <c r="E122" i="29"/>
  <c r="D122" i="29"/>
  <c r="N122" i="29" s="1"/>
  <c r="C122" i="29"/>
  <c r="P122" i="29" s="1"/>
  <c r="K121" i="29"/>
  <c r="J121" i="29"/>
  <c r="I121" i="29"/>
  <c r="H121" i="29"/>
  <c r="O121" i="29" s="1"/>
  <c r="V121" i="29" s="1"/>
  <c r="G121" i="29"/>
  <c r="F121" i="29"/>
  <c r="E121" i="29"/>
  <c r="D121" i="29"/>
  <c r="N121" i="29" s="1"/>
  <c r="C121" i="29"/>
  <c r="P121" i="29" s="1"/>
  <c r="W121" i="29" s="1"/>
  <c r="K120" i="29"/>
  <c r="J120" i="29"/>
  <c r="I120" i="29"/>
  <c r="H120" i="29"/>
  <c r="O120" i="29" s="1"/>
  <c r="V120" i="29" s="1"/>
  <c r="G120" i="29"/>
  <c r="F120" i="29"/>
  <c r="E120" i="29"/>
  <c r="D120" i="29"/>
  <c r="N120" i="29" s="1"/>
  <c r="C120" i="29"/>
  <c r="P120" i="29" s="1"/>
  <c r="W120" i="29" s="1"/>
  <c r="K119" i="29"/>
  <c r="J119" i="29"/>
  <c r="I119" i="29"/>
  <c r="H119" i="29"/>
  <c r="O119" i="29" s="1"/>
  <c r="V119" i="29" s="1"/>
  <c r="G119" i="29"/>
  <c r="F119" i="29"/>
  <c r="E119" i="29"/>
  <c r="D119" i="29"/>
  <c r="N119" i="29" s="1"/>
  <c r="C119" i="29"/>
  <c r="P119" i="29" s="1"/>
  <c r="W119" i="29" s="1"/>
  <c r="K118" i="29"/>
  <c r="J118" i="29"/>
  <c r="I118" i="29"/>
  <c r="H118" i="29"/>
  <c r="O118" i="29" s="1"/>
  <c r="V118" i="29" s="1"/>
  <c r="G118" i="29"/>
  <c r="F118" i="29"/>
  <c r="E118" i="29"/>
  <c r="D118" i="29"/>
  <c r="N118" i="29" s="1"/>
  <c r="C118" i="29"/>
  <c r="P118" i="29" s="1"/>
  <c r="W118" i="29" s="1"/>
  <c r="K117" i="29"/>
  <c r="J117" i="29"/>
  <c r="I117" i="29"/>
  <c r="H117" i="29"/>
  <c r="O117" i="29" s="1"/>
  <c r="G117" i="29"/>
  <c r="F117" i="29"/>
  <c r="E117" i="29"/>
  <c r="D117" i="29"/>
  <c r="N117" i="29" s="1"/>
  <c r="C117" i="29"/>
  <c r="P117" i="29" s="1"/>
  <c r="W117" i="29" s="1"/>
  <c r="K116" i="29"/>
  <c r="J116" i="29"/>
  <c r="I116" i="29"/>
  <c r="H116" i="29"/>
  <c r="O116" i="29" s="1"/>
  <c r="V116" i="29" s="1"/>
  <c r="G116" i="29"/>
  <c r="F116" i="29"/>
  <c r="E116" i="29"/>
  <c r="D116" i="29"/>
  <c r="N116" i="29" s="1"/>
  <c r="C116" i="29"/>
  <c r="P116" i="29" s="1"/>
  <c r="W116" i="29" s="1"/>
  <c r="K115" i="29"/>
  <c r="J115" i="29"/>
  <c r="I115" i="29"/>
  <c r="H115" i="29"/>
  <c r="O115" i="29" s="1"/>
  <c r="G115" i="29"/>
  <c r="F115" i="29"/>
  <c r="E115" i="29"/>
  <c r="D115" i="29"/>
  <c r="N115" i="29" s="1"/>
  <c r="C115" i="29"/>
  <c r="P115" i="29" s="1"/>
  <c r="W115" i="29" s="1"/>
  <c r="K114" i="29"/>
  <c r="J114" i="29"/>
  <c r="I114" i="29"/>
  <c r="H114" i="29"/>
  <c r="O114" i="29" s="1"/>
  <c r="G114" i="29"/>
  <c r="F114" i="29"/>
  <c r="E114" i="29"/>
  <c r="D114" i="29"/>
  <c r="N114" i="29" s="1"/>
  <c r="C114" i="29"/>
  <c r="P114" i="29" s="1"/>
  <c r="K113" i="29"/>
  <c r="J113" i="29"/>
  <c r="I113" i="29"/>
  <c r="H113" i="29"/>
  <c r="O113" i="29" s="1"/>
  <c r="V113" i="29" s="1"/>
  <c r="G113" i="29"/>
  <c r="F113" i="29"/>
  <c r="E113" i="29"/>
  <c r="D113" i="29"/>
  <c r="N113" i="29" s="1"/>
  <c r="C113" i="29"/>
  <c r="P113" i="29" s="1"/>
  <c r="W113" i="29" s="1"/>
  <c r="K112" i="29"/>
  <c r="J112" i="29"/>
  <c r="I112" i="29"/>
  <c r="H112" i="29"/>
  <c r="O112" i="29" s="1"/>
  <c r="G112" i="29"/>
  <c r="F112" i="29"/>
  <c r="E112" i="29"/>
  <c r="D112" i="29"/>
  <c r="N112" i="29" s="1"/>
  <c r="C112" i="29"/>
  <c r="P112" i="29" s="1"/>
  <c r="W112" i="29" s="1"/>
  <c r="K111" i="29"/>
  <c r="J111" i="29"/>
  <c r="I111" i="29"/>
  <c r="H111" i="29"/>
  <c r="O111" i="29" s="1"/>
  <c r="V111" i="29" s="1"/>
  <c r="G111" i="29"/>
  <c r="F111" i="29"/>
  <c r="E111" i="29"/>
  <c r="D111" i="29"/>
  <c r="N111" i="29" s="1"/>
  <c r="C111" i="29"/>
  <c r="P111" i="29" s="1"/>
  <c r="W111" i="29" s="1"/>
  <c r="K110" i="29"/>
  <c r="J110" i="29"/>
  <c r="I110" i="29"/>
  <c r="H110" i="29"/>
  <c r="O110" i="29" s="1"/>
  <c r="G110" i="29"/>
  <c r="F110" i="29"/>
  <c r="E110" i="29"/>
  <c r="D110" i="29"/>
  <c r="N110" i="29" s="1"/>
  <c r="U110" i="29" s="1"/>
  <c r="C110" i="29"/>
  <c r="P110" i="29" s="1"/>
  <c r="W110" i="29" s="1"/>
  <c r="K109" i="29"/>
  <c r="J109" i="29"/>
  <c r="I109" i="29"/>
  <c r="H109" i="29"/>
  <c r="O109" i="29" s="1"/>
  <c r="G109" i="29"/>
  <c r="F109" i="29"/>
  <c r="E109" i="29"/>
  <c r="D109" i="29"/>
  <c r="N109" i="29" s="1"/>
  <c r="C109" i="29"/>
  <c r="P109" i="29" s="1"/>
  <c r="W109" i="29" s="1"/>
  <c r="K108" i="29"/>
  <c r="J108" i="29"/>
  <c r="I108" i="29"/>
  <c r="H108" i="29"/>
  <c r="O108" i="29" s="1"/>
  <c r="V108" i="29" s="1"/>
  <c r="G108" i="29"/>
  <c r="F108" i="29"/>
  <c r="E108" i="29"/>
  <c r="D108" i="29"/>
  <c r="N108" i="29" s="1"/>
  <c r="C108" i="29"/>
  <c r="P108" i="29" s="1"/>
  <c r="W108" i="29" s="1"/>
  <c r="K107" i="29"/>
  <c r="J107" i="29"/>
  <c r="I107" i="29"/>
  <c r="H107" i="29"/>
  <c r="O107" i="29" s="1"/>
  <c r="V107" i="29" s="1"/>
  <c r="G107" i="29"/>
  <c r="F107" i="29"/>
  <c r="E107" i="29"/>
  <c r="D107" i="29"/>
  <c r="N107" i="29" s="1"/>
  <c r="C107" i="29"/>
  <c r="P107" i="29" s="1"/>
  <c r="W107" i="29" s="1"/>
  <c r="K106" i="29"/>
  <c r="J106" i="29"/>
  <c r="I106" i="29"/>
  <c r="H106" i="29"/>
  <c r="O106" i="29" s="1"/>
  <c r="V106" i="29" s="1"/>
  <c r="G106" i="29"/>
  <c r="F106" i="29"/>
  <c r="E106" i="29"/>
  <c r="D106" i="29"/>
  <c r="N106" i="29" s="1"/>
  <c r="C106" i="29"/>
  <c r="P106" i="29" s="1"/>
  <c r="W106" i="29" s="1"/>
  <c r="K105" i="29"/>
  <c r="J105" i="29"/>
  <c r="I105" i="29"/>
  <c r="H105" i="29"/>
  <c r="O105" i="29" s="1"/>
  <c r="G105" i="29"/>
  <c r="F105" i="29"/>
  <c r="E105" i="29"/>
  <c r="D105" i="29"/>
  <c r="N105" i="29" s="1"/>
  <c r="C105" i="29"/>
  <c r="P105" i="29" s="1"/>
  <c r="K104" i="29"/>
  <c r="J104" i="29"/>
  <c r="I104" i="29"/>
  <c r="H104" i="29"/>
  <c r="O104" i="29" s="1"/>
  <c r="G104" i="29"/>
  <c r="F104" i="29"/>
  <c r="E104" i="29"/>
  <c r="D104" i="29"/>
  <c r="N104" i="29" s="1"/>
  <c r="C104" i="29"/>
  <c r="P104" i="29" s="1"/>
  <c r="K103" i="29"/>
  <c r="J103" i="29"/>
  <c r="I103" i="29"/>
  <c r="H103" i="29"/>
  <c r="O103" i="29" s="1"/>
  <c r="V103" i="29" s="1"/>
  <c r="G103" i="29"/>
  <c r="F103" i="29"/>
  <c r="E103" i="29"/>
  <c r="D103" i="29"/>
  <c r="N103" i="29" s="1"/>
  <c r="U103" i="29" s="1"/>
  <c r="C103" i="29"/>
  <c r="P103" i="29" s="1"/>
  <c r="W103" i="29" s="1"/>
  <c r="K102" i="29"/>
  <c r="J102" i="29"/>
  <c r="I102" i="29"/>
  <c r="H102" i="29"/>
  <c r="O102" i="29" s="1"/>
  <c r="V102" i="29" s="1"/>
  <c r="G102" i="29"/>
  <c r="F102" i="29"/>
  <c r="E102" i="29"/>
  <c r="D102" i="29"/>
  <c r="N102" i="29" s="1"/>
  <c r="U102" i="29" s="1"/>
  <c r="C102" i="29"/>
  <c r="P102" i="29" s="1"/>
  <c r="W102" i="29" s="1"/>
  <c r="K101" i="29"/>
  <c r="J101" i="29"/>
  <c r="I101" i="29"/>
  <c r="H101" i="29"/>
  <c r="O101" i="29" s="1"/>
  <c r="V101" i="29" s="1"/>
  <c r="G101" i="29"/>
  <c r="F101" i="29"/>
  <c r="E101" i="29"/>
  <c r="D101" i="29"/>
  <c r="N101" i="29" s="1"/>
  <c r="C101" i="29"/>
  <c r="P101" i="29" s="1"/>
  <c r="K100" i="29"/>
  <c r="J100" i="29"/>
  <c r="I100" i="29"/>
  <c r="H100" i="29"/>
  <c r="O100" i="29" s="1"/>
  <c r="V100" i="29" s="1"/>
  <c r="G100" i="29"/>
  <c r="F100" i="29"/>
  <c r="E100" i="29"/>
  <c r="D100" i="29"/>
  <c r="N100" i="29" s="1"/>
  <c r="C100" i="29"/>
  <c r="P100" i="29" s="1"/>
  <c r="W100" i="29" s="1"/>
  <c r="K99" i="29"/>
  <c r="J99" i="29"/>
  <c r="I99" i="29"/>
  <c r="H99" i="29"/>
  <c r="O99" i="29" s="1"/>
  <c r="G99" i="29"/>
  <c r="F99" i="29"/>
  <c r="E99" i="29"/>
  <c r="D99" i="29"/>
  <c r="N99" i="29" s="1"/>
  <c r="C99" i="29"/>
  <c r="P99" i="29" s="1"/>
  <c r="W99" i="29" s="1"/>
  <c r="K98" i="29"/>
  <c r="J98" i="29"/>
  <c r="I98" i="29"/>
  <c r="H98" i="29"/>
  <c r="O98" i="29" s="1"/>
  <c r="V98" i="29" s="1"/>
  <c r="G98" i="29"/>
  <c r="F98" i="29"/>
  <c r="E98" i="29"/>
  <c r="D98" i="29"/>
  <c r="N98" i="29" s="1"/>
  <c r="C98" i="29"/>
  <c r="P98" i="29" s="1"/>
  <c r="K97" i="29"/>
  <c r="J97" i="29"/>
  <c r="I97" i="29"/>
  <c r="H97" i="29"/>
  <c r="O97" i="29" s="1"/>
  <c r="V97" i="29" s="1"/>
  <c r="G97" i="29"/>
  <c r="F97" i="29"/>
  <c r="E97" i="29"/>
  <c r="D97" i="29"/>
  <c r="N97" i="29" s="1"/>
  <c r="U97" i="29" s="1"/>
  <c r="C97" i="29"/>
  <c r="P97" i="29" s="1"/>
  <c r="W97" i="29" s="1"/>
  <c r="K96" i="29"/>
  <c r="J96" i="29"/>
  <c r="I96" i="29"/>
  <c r="H96" i="29"/>
  <c r="O96" i="29" s="1"/>
  <c r="G96" i="29"/>
  <c r="F96" i="29"/>
  <c r="E96" i="29"/>
  <c r="D96" i="29"/>
  <c r="C96" i="29"/>
  <c r="P96" i="29" s="1"/>
  <c r="K95" i="29"/>
  <c r="J95" i="29"/>
  <c r="I95" i="29"/>
  <c r="H95" i="29"/>
  <c r="O95" i="29" s="1"/>
  <c r="V95" i="29" s="1"/>
  <c r="G95" i="29"/>
  <c r="F95" i="29"/>
  <c r="E95" i="29"/>
  <c r="D95" i="29"/>
  <c r="N95" i="29" s="1"/>
  <c r="C95" i="29"/>
  <c r="P95" i="29" s="1"/>
  <c r="W95" i="29" s="1"/>
  <c r="K94" i="29"/>
  <c r="J94" i="29"/>
  <c r="I94" i="29"/>
  <c r="H94" i="29"/>
  <c r="O94" i="29" s="1"/>
  <c r="G94" i="29"/>
  <c r="F94" i="29"/>
  <c r="E94" i="29"/>
  <c r="D94" i="29"/>
  <c r="N94" i="29" s="1"/>
  <c r="C94" i="29"/>
  <c r="P94" i="29" s="1"/>
  <c r="W94" i="29" s="1"/>
  <c r="K93" i="29"/>
  <c r="J93" i="29"/>
  <c r="I93" i="29"/>
  <c r="H93" i="29"/>
  <c r="O93" i="29" s="1"/>
  <c r="V93" i="29" s="1"/>
  <c r="G93" i="29"/>
  <c r="F93" i="29"/>
  <c r="E93" i="29"/>
  <c r="D93" i="29"/>
  <c r="N93" i="29" s="1"/>
  <c r="C93" i="29"/>
  <c r="P93" i="29" s="1"/>
  <c r="K92" i="29"/>
  <c r="J92" i="29"/>
  <c r="I92" i="29"/>
  <c r="H92" i="29"/>
  <c r="O92" i="29" s="1"/>
  <c r="V92" i="29" s="1"/>
  <c r="G92" i="29"/>
  <c r="F92" i="29"/>
  <c r="E92" i="29"/>
  <c r="D92" i="29"/>
  <c r="N92" i="29" s="1"/>
  <c r="C92" i="29"/>
  <c r="P92" i="29" s="1"/>
  <c r="W92" i="29" s="1"/>
  <c r="K91" i="29"/>
  <c r="J91" i="29"/>
  <c r="I91" i="29"/>
  <c r="H91" i="29"/>
  <c r="O91" i="29" s="1"/>
  <c r="V91" i="29" s="1"/>
  <c r="G91" i="29"/>
  <c r="F91" i="29"/>
  <c r="E91" i="29"/>
  <c r="D91" i="29"/>
  <c r="N91" i="29" s="1"/>
  <c r="C91" i="29"/>
  <c r="P91" i="29" s="1"/>
  <c r="W91" i="29" s="1"/>
  <c r="K90" i="29"/>
  <c r="J90" i="29"/>
  <c r="I90" i="29"/>
  <c r="H90" i="29"/>
  <c r="O90" i="29" s="1"/>
  <c r="V90" i="29" s="1"/>
  <c r="G90" i="29"/>
  <c r="F90" i="29"/>
  <c r="E90" i="29"/>
  <c r="D90" i="29"/>
  <c r="N90" i="29" s="1"/>
  <c r="C90" i="29"/>
  <c r="P90" i="29" s="1"/>
  <c r="W90" i="29" s="1"/>
  <c r="K89" i="29"/>
  <c r="J89" i="29"/>
  <c r="I89" i="29"/>
  <c r="H89" i="29"/>
  <c r="O89" i="29" s="1"/>
  <c r="V89" i="29" s="1"/>
  <c r="G89" i="29"/>
  <c r="F89" i="29"/>
  <c r="E89" i="29"/>
  <c r="D89" i="29"/>
  <c r="N89" i="29" s="1"/>
  <c r="C89" i="29"/>
  <c r="P89" i="29" s="1"/>
  <c r="W89" i="29" s="1"/>
  <c r="K88" i="29"/>
  <c r="J88" i="29"/>
  <c r="I88" i="29"/>
  <c r="H88" i="29"/>
  <c r="O88" i="29" s="1"/>
  <c r="G88" i="29"/>
  <c r="F88" i="29"/>
  <c r="E88" i="29"/>
  <c r="D88" i="29"/>
  <c r="N88" i="29" s="1"/>
  <c r="C88" i="29"/>
  <c r="P88" i="29" s="1"/>
  <c r="K87" i="29"/>
  <c r="J87" i="29"/>
  <c r="I87" i="29"/>
  <c r="H87" i="29"/>
  <c r="O87" i="29" s="1"/>
  <c r="V87" i="29" s="1"/>
  <c r="G87" i="29"/>
  <c r="F87" i="29"/>
  <c r="E87" i="29"/>
  <c r="D87" i="29"/>
  <c r="N87" i="29" s="1"/>
  <c r="C87" i="29"/>
  <c r="P87" i="29" s="1"/>
  <c r="W87" i="29" s="1"/>
  <c r="K86" i="29"/>
  <c r="J86" i="29"/>
  <c r="I86" i="29"/>
  <c r="H86" i="29"/>
  <c r="O86" i="29" s="1"/>
  <c r="V86" i="29" s="1"/>
  <c r="X86" i="29" s="1"/>
  <c r="G86" i="29"/>
  <c r="F86" i="29"/>
  <c r="E86" i="29"/>
  <c r="D86" i="29"/>
  <c r="N86" i="29" s="1"/>
  <c r="C86" i="29"/>
  <c r="K85" i="29"/>
  <c r="J85" i="29"/>
  <c r="I85" i="29"/>
  <c r="H85" i="29"/>
  <c r="O85" i="29" s="1"/>
  <c r="V85" i="29" s="1"/>
  <c r="X85" i="29" s="1"/>
  <c r="G85" i="29"/>
  <c r="F85" i="29"/>
  <c r="E85" i="29"/>
  <c r="D85" i="29"/>
  <c r="C85" i="29"/>
  <c r="P85" i="29" s="1"/>
  <c r="P84" i="29"/>
  <c r="W84" i="29" s="1"/>
  <c r="D84" i="29"/>
  <c r="N84" i="29" s="1"/>
  <c r="Y72" i="29"/>
  <c r="U72" i="29"/>
  <c r="T72" i="29"/>
  <c r="P72" i="29"/>
  <c r="O72" i="29"/>
  <c r="Y71" i="29"/>
  <c r="U71" i="29"/>
  <c r="T71" i="29"/>
  <c r="P71" i="29"/>
  <c r="O71" i="29"/>
  <c r="Y70" i="29"/>
  <c r="U70" i="29"/>
  <c r="T70" i="29"/>
  <c r="P70" i="29"/>
  <c r="O70" i="29"/>
  <c r="Y69" i="29"/>
  <c r="U69" i="29"/>
  <c r="T69" i="29"/>
  <c r="P69" i="29"/>
  <c r="O69" i="29"/>
  <c r="Y68" i="29"/>
  <c r="U68" i="29"/>
  <c r="T68" i="29"/>
  <c r="P68" i="29"/>
  <c r="O68" i="29"/>
  <c r="Y67" i="29"/>
  <c r="U67" i="29"/>
  <c r="T67" i="29"/>
  <c r="P67" i="29"/>
  <c r="O67" i="29"/>
  <c r="Y66" i="29"/>
  <c r="U66" i="29"/>
  <c r="T66" i="29"/>
  <c r="P66" i="29"/>
  <c r="O66" i="29"/>
  <c r="Y65" i="29"/>
  <c r="U65" i="29"/>
  <c r="T65" i="29"/>
  <c r="P65" i="29"/>
  <c r="O65" i="29"/>
  <c r="Y64" i="29"/>
  <c r="U64" i="29"/>
  <c r="T64" i="29"/>
  <c r="P64" i="29"/>
  <c r="O64" i="29"/>
  <c r="Y63" i="29"/>
  <c r="U63" i="29"/>
  <c r="T63" i="29"/>
  <c r="P63" i="29"/>
  <c r="O63" i="29"/>
  <c r="Y62" i="29"/>
  <c r="U62" i="29"/>
  <c r="P62" i="29"/>
  <c r="O62" i="29"/>
  <c r="Y61" i="29"/>
  <c r="U61" i="29"/>
  <c r="P61" i="29"/>
  <c r="O61" i="29"/>
  <c r="Y60" i="29"/>
  <c r="U60" i="29"/>
  <c r="P60" i="29"/>
  <c r="O60" i="29"/>
  <c r="Y59" i="29"/>
  <c r="U59" i="29"/>
  <c r="P59" i="29"/>
  <c r="O59" i="29"/>
  <c r="Y58" i="29"/>
  <c r="U58" i="29"/>
  <c r="P58" i="29"/>
  <c r="O58" i="29"/>
  <c r="Y57" i="29"/>
  <c r="U57" i="29"/>
  <c r="P57" i="29"/>
  <c r="O57" i="29"/>
  <c r="Y56" i="29"/>
  <c r="U56" i="29"/>
  <c r="P56" i="29"/>
  <c r="O56" i="29"/>
  <c r="Y55" i="29"/>
  <c r="U55" i="29"/>
  <c r="P55" i="29"/>
  <c r="O55" i="29"/>
  <c r="Y54" i="29"/>
  <c r="U54" i="29"/>
  <c r="P54" i="29"/>
  <c r="O54" i="29"/>
  <c r="Y53" i="29"/>
  <c r="U53" i="29"/>
  <c r="P53" i="29"/>
  <c r="O53" i="29"/>
  <c r="Y52" i="29"/>
  <c r="U52" i="29"/>
  <c r="P52" i="29"/>
  <c r="O52" i="29"/>
  <c r="Y51" i="29"/>
  <c r="U51" i="29"/>
  <c r="P51" i="29"/>
  <c r="O51" i="29"/>
  <c r="Y50" i="29"/>
  <c r="U50" i="29"/>
  <c r="P50" i="29"/>
  <c r="O50" i="29"/>
  <c r="Y49" i="29"/>
  <c r="U49" i="29"/>
  <c r="P49" i="29"/>
  <c r="O49" i="29"/>
  <c r="Y48" i="29"/>
  <c r="U48" i="29"/>
  <c r="P48" i="29"/>
  <c r="O48" i="29"/>
  <c r="Y47" i="29"/>
  <c r="U47" i="29"/>
  <c r="P47" i="29"/>
  <c r="O47" i="29"/>
  <c r="Y46" i="29"/>
  <c r="U46" i="29"/>
  <c r="P46" i="29"/>
  <c r="O46" i="29"/>
  <c r="Y45" i="29"/>
  <c r="U45" i="29"/>
  <c r="P45" i="29"/>
  <c r="O45" i="29"/>
  <c r="Y44" i="29"/>
  <c r="U44" i="29"/>
  <c r="P44" i="29"/>
  <c r="O44" i="29"/>
  <c r="Y43" i="29"/>
  <c r="U43" i="29"/>
  <c r="P43" i="29"/>
  <c r="O43" i="29"/>
  <c r="Y42" i="29"/>
  <c r="U42" i="29"/>
  <c r="P42" i="29"/>
  <c r="O42" i="29"/>
  <c r="Y41" i="29"/>
  <c r="U41" i="29"/>
  <c r="P41" i="29"/>
  <c r="O41" i="29"/>
  <c r="Y40" i="29"/>
  <c r="U40" i="29"/>
  <c r="P40" i="29"/>
  <c r="O40" i="29"/>
  <c r="Y39" i="29"/>
  <c r="U39" i="29"/>
  <c r="P39" i="29"/>
  <c r="O39" i="29"/>
  <c r="Y38" i="29"/>
  <c r="U38" i="29"/>
  <c r="P38" i="29"/>
  <c r="O38" i="29"/>
  <c r="Y37" i="29"/>
  <c r="U37" i="29"/>
  <c r="P37" i="29"/>
  <c r="O37" i="29"/>
  <c r="Y36" i="29"/>
  <c r="U36" i="29"/>
  <c r="P36" i="29"/>
  <c r="O36" i="29"/>
  <c r="Y35" i="29"/>
  <c r="U35" i="29"/>
  <c r="P35" i="29"/>
  <c r="O35" i="29"/>
  <c r="Y34" i="29"/>
  <c r="U34" i="29"/>
  <c r="P34" i="29"/>
  <c r="O34" i="29"/>
  <c r="Y33" i="29"/>
  <c r="U33" i="29"/>
  <c r="P33" i="29"/>
  <c r="O33" i="29"/>
  <c r="Y32" i="29"/>
  <c r="U32" i="29"/>
  <c r="P32" i="29"/>
  <c r="O32" i="29"/>
  <c r="Y31" i="29"/>
  <c r="U31" i="29"/>
  <c r="T31" i="29"/>
  <c r="P31" i="29"/>
  <c r="O31" i="29"/>
  <c r="Y30" i="29"/>
  <c r="U30" i="29"/>
  <c r="T30" i="29"/>
  <c r="P30" i="29"/>
  <c r="O30" i="29"/>
  <c r="Y29" i="29"/>
  <c r="U29" i="29"/>
  <c r="T29" i="29"/>
  <c r="P29" i="29"/>
  <c r="O29" i="29"/>
  <c r="Y28" i="29"/>
  <c r="U28" i="29"/>
  <c r="T28" i="29"/>
  <c r="P28" i="29"/>
  <c r="O28" i="29"/>
  <c r="Y27" i="29"/>
  <c r="U27" i="29"/>
  <c r="T27" i="29"/>
  <c r="P27" i="29"/>
  <c r="O27" i="29"/>
  <c r="Y26" i="29"/>
  <c r="U26" i="29"/>
  <c r="T26" i="29"/>
  <c r="P26" i="29"/>
  <c r="O26" i="29"/>
  <c r="U23" i="29"/>
  <c r="N5" i="29"/>
  <c r="N2" i="29"/>
  <c r="I2" i="29"/>
  <c r="A1" i="29"/>
  <c r="Q94" i="29" l="1"/>
  <c r="R94" i="29" s="1"/>
  <c r="U129" i="29"/>
  <c r="V131" i="29"/>
  <c r="X131" i="29" s="1"/>
  <c r="Y131" i="29" s="1"/>
  <c r="Q150" i="29"/>
  <c r="R150" i="29" s="1"/>
  <c r="Q164" i="29"/>
  <c r="R164" i="29" s="1"/>
  <c r="Q172" i="29"/>
  <c r="R172" i="29" s="1"/>
  <c r="Q180" i="29"/>
  <c r="R180" i="29" s="1"/>
  <c r="U126" i="29"/>
  <c r="X126" i="29" s="1"/>
  <c r="Y126" i="29" s="1"/>
  <c r="Q143" i="29"/>
  <c r="Q145" i="29"/>
  <c r="R145" i="29" s="1"/>
  <c r="Q151" i="29"/>
  <c r="Q159" i="29"/>
  <c r="Q156" i="29"/>
  <c r="R156" i="29" s="1"/>
  <c r="Q140" i="29"/>
  <c r="R140" i="29" s="1"/>
  <c r="W88" i="29"/>
  <c r="W104" i="29"/>
  <c r="V125" i="29"/>
  <c r="Q167" i="29"/>
  <c r="Q175" i="29"/>
  <c r="Q183" i="29"/>
  <c r="R183" i="29" s="1"/>
  <c r="V114" i="29"/>
  <c r="V88" i="29"/>
  <c r="V99" i="29"/>
  <c r="V104" i="29"/>
  <c r="R159" i="29"/>
  <c r="U91" i="29"/>
  <c r="X91" i="29" s="1"/>
  <c r="Y91" i="29" s="1"/>
  <c r="U107" i="29"/>
  <c r="X107" i="29" s="1"/>
  <c r="Y107" i="29" s="1"/>
  <c r="V112" i="29"/>
  <c r="W114" i="29"/>
  <c r="V130" i="29"/>
  <c r="V109" i="29"/>
  <c r="Q168" i="29"/>
  <c r="R168" i="29" s="1"/>
  <c r="Q148" i="29"/>
  <c r="R148" i="29" s="1"/>
  <c r="W96" i="29"/>
  <c r="Q121" i="29"/>
  <c r="R121" i="29" s="1"/>
  <c r="V122" i="29"/>
  <c r="Q153" i="29"/>
  <c r="R153" i="29" s="1"/>
  <c r="Q155" i="29"/>
  <c r="R155" i="29" s="1"/>
  <c r="U94" i="29"/>
  <c r="Q169" i="29"/>
  <c r="R169" i="29" s="1"/>
  <c r="Q174" i="29"/>
  <c r="R174" i="29" s="1"/>
  <c r="U115" i="29"/>
  <c r="V96" i="29"/>
  <c r="V117" i="29"/>
  <c r="Q177" i="29"/>
  <c r="R177" i="29" s="1"/>
  <c r="W101" i="29"/>
  <c r="W130" i="29"/>
  <c r="Q158" i="29"/>
  <c r="R158" i="29" s="1"/>
  <c r="V115" i="29"/>
  <c r="U99" i="29"/>
  <c r="W105" i="29"/>
  <c r="U118" i="29"/>
  <c r="X118" i="29" s="1"/>
  <c r="Y118" i="29" s="1"/>
  <c r="R151" i="29"/>
  <c r="Q163" i="29"/>
  <c r="R163" i="29" s="1"/>
  <c r="V110" i="29"/>
  <c r="X110" i="29" s="1"/>
  <c r="Y110" i="29" s="1"/>
  <c r="Q182" i="29"/>
  <c r="R182" i="29" s="1"/>
  <c r="W93" i="29"/>
  <c r="V94" i="29"/>
  <c r="Q144" i="29"/>
  <c r="U121" i="29"/>
  <c r="X121" i="29" s="1"/>
  <c r="Y121" i="29" s="1"/>
  <c r="V105" i="29"/>
  <c r="Q93" i="29"/>
  <c r="R93" i="29" s="1"/>
  <c r="W122" i="29"/>
  <c r="Q161" i="29"/>
  <c r="R161" i="29" s="1"/>
  <c r="Q118" i="29"/>
  <c r="AG85" i="29"/>
  <c r="U89" i="29"/>
  <c r="X89" i="29" s="1"/>
  <c r="Y89" i="29" s="1"/>
  <c r="W98" i="29"/>
  <c r="Q102" i="29"/>
  <c r="R102" i="29" s="1"/>
  <c r="W125" i="29"/>
  <c r="W127" i="29"/>
  <c r="V128" i="29"/>
  <c r="Q137" i="29"/>
  <c r="R137" i="29" s="1"/>
  <c r="Q142" i="29"/>
  <c r="R142" i="29" s="1"/>
  <c r="Q166" i="29"/>
  <c r="R166" i="29" s="1"/>
  <c r="Q176" i="29"/>
  <c r="U106" i="29"/>
  <c r="Q106" i="29"/>
  <c r="R106" i="29" s="1"/>
  <c r="Q87" i="29"/>
  <c r="R87" i="29" s="1"/>
  <c r="U87" i="29"/>
  <c r="U104" i="29"/>
  <c r="Q104" i="29"/>
  <c r="R104" i="29" s="1"/>
  <c r="Q108" i="29"/>
  <c r="R108" i="29" s="1"/>
  <c r="U108" i="29"/>
  <c r="X97" i="29"/>
  <c r="Y97" i="29" s="1"/>
  <c r="U101" i="29"/>
  <c r="Q101" i="29"/>
  <c r="R101" i="29" s="1"/>
  <c r="U112" i="29"/>
  <c r="Q112" i="29"/>
  <c r="R112" i="29" s="1"/>
  <c r="U114" i="29"/>
  <c r="Q114" i="29"/>
  <c r="R114" i="29" s="1"/>
  <c r="Q116" i="29"/>
  <c r="R116" i="29" s="1"/>
  <c r="U116" i="29"/>
  <c r="U120" i="29"/>
  <c r="Q95" i="29"/>
  <c r="R95" i="29" s="1"/>
  <c r="U95" i="29"/>
  <c r="U84" i="29"/>
  <c r="R84" i="29"/>
  <c r="P86" i="29"/>
  <c r="Q86" i="29" s="1"/>
  <c r="R86" i="29" s="1"/>
  <c r="Q103" i="29"/>
  <c r="R103" i="29" s="1"/>
  <c r="Q120" i="29"/>
  <c r="R120" i="29" s="1"/>
  <c r="U128" i="29"/>
  <c r="Q128" i="29"/>
  <c r="R128" i="29" s="1"/>
  <c r="U93" i="29"/>
  <c r="U88" i="29"/>
  <c r="Q88" i="29"/>
  <c r="R88" i="29" s="1"/>
  <c r="U90" i="29"/>
  <c r="Q90" i="29"/>
  <c r="R90" i="29" s="1"/>
  <c r="X103" i="29"/>
  <c r="Y103" i="29" s="1"/>
  <c r="U122" i="29"/>
  <c r="Q122" i="29"/>
  <c r="R122" i="29" s="1"/>
  <c r="U123" i="29"/>
  <c r="Q123" i="29"/>
  <c r="R123" i="29" s="1"/>
  <c r="Q92" i="29"/>
  <c r="R92" i="29" s="1"/>
  <c r="U92" i="29"/>
  <c r="N96" i="29"/>
  <c r="U98" i="29"/>
  <c r="Q98" i="29"/>
  <c r="R98" i="29" s="1"/>
  <c r="Q105" i="29"/>
  <c r="R105" i="29" s="1"/>
  <c r="U109" i="29"/>
  <c r="Q109" i="29"/>
  <c r="R109" i="29" s="1"/>
  <c r="Q111" i="29"/>
  <c r="R111" i="29" s="1"/>
  <c r="U111" i="29"/>
  <c r="U113" i="29"/>
  <c r="Q113" i="29"/>
  <c r="R113" i="29" s="1"/>
  <c r="U117" i="29"/>
  <c r="Q117" i="29"/>
  <c r="R117" i="29" s="1"/>
  <c r="Q124" i="29"/>
  <c r="R124" i="29" s="1"/>
  <c r="U124" i="29"/>
  <c r="U130" i="29"/>
  <c r="Q130" i="29"/>
  <c r="R130" i="29" s="1"/>
  <c r="Q119" i="29"/>
  <c r="R119" i="29" s="1"/>
  <c r="U119" i="29"/>
  <c r="N85" i="29"/>
  <c r="Q100" i="29"/>
  <c r="R100" i="29" s="1"/>
  <c r="U100" i="29"/>
  <c r="U125" i="29"/>
  <c r="Q125" i="29"/>
  <c r="R125" i="29" s="1"/>
  <c r="Q127" i="29"/>
  <c r="R127" i="29" s="1"/>
  <c r="U127" i="29"/>
  <c r="X102" i="29"/>
  <c r="Y102" i="29" s="1"/>
  <c r="Q131" i="29"/>
  <c r="R131" i="29" s="1"/>
  <c r="Q165" i="29"/>
  <c r="R165" i="29" s="1"/>
  <c r="Q97" i="29"/>
  <c r="R97" i="29" s="1"/>
  <c r="Q154" i="29"/>
  <c r="R154" i="29" s="1"/>
  <c r="Q89" i="29"/>
  <c r="R89" i="29" s="1"/>
  <c r="U105" i="29"/>
  <c r="Q115" i="29"/>
  <c r="R115" i="29" s="1"/>
  <c r="Q141" i="29"/>
  <c r="R141" i="29" s="1"/>
  <c r="Q173" i="29"/>
  <c r="R173" i="29" s="1"/>
  <c r="Q146" i="29"/>
  <c r="R146" i="29" s="1"/>
  <c r="Q107" i="29"/>
  <c r="R107" i="29" s="1"/>
  <c r="Q126" i="29"/>
  <c r="R126" i="29" s="1"/>
  <c r="Q139" i="29"/>
  <c r="R139" i="29" s="1"/>
  <c r="Q152" i="29"/>
  <c r="R152" i="29" s="1"/>
  <c r="Q162" i="29"/>
  <c r="R162" i="29" s="1"/>
  <c r="R167" i="29"/>
  <c r="Q171" i="29"/>
  <c r="R171" i="29" s="1"/>
  <c r="Q99" i="29"/>
  <c r="R99" i="29" s="1"/>
  <c r="Q149" i="29"/>
  <c r="R149" i="29" s="1"/>
  <c r="Q181" i="29"/>
  <c r="R181" i="29" s="1"/>
  <c r="X129" i="29"/>
  <c r="Y129" i="29" s="1"/>
  <c r="Q91" i="29"/>
  <c r="R91" i="29" s="1"/>
  <c r="Q110" i="29"/>
  <c r="R110" i="29" s="1"/>
  <c r="R118" i="29"/>
  <c r="Q129" i="29"/>
  <c r="R129" i="29" s="1"/>
  <c r="Q138" i="29"/>
  <c r="R138" i="29" s="1"/>
  <c r="R143" i="29"/>
  <c r="Q147" i="29"/>
  <c r="R147" i="29" s="1"/>
  <c r="Q160" i="29"/>
  <c r="R160" i="29" s="1"/>
  <c r="Q170" i="29"/>
  <c r="R170" i="29" s="1"/>
  <c r="R175" i="29"/>
  <c r="Q179" i="29"/>
  <c r="R179" i="29" s="1"/>
  <c r="Q178" i="29"/>
  <c r="R178" i="29" s="1"/>
  <c r="R144" i="29"/>
  <c r="Q157" i="29"/>
  <c r="R157" i="29" s="1"/>
  <c r="R176" i="29"/>
  <c r="X94" i="29" l="1"/>
  <c r="Y94" i="29" s="1"/>
  <c r="X99" i="29"/>
  <c r="X115" i="29"/>
  <c r="Y115" i="29" s="1"/>
  <c r="Y99" i="29"/>
  <c r="X127" i="29"/>
  <c r="Y127" i="29" s="1"/>
  <c r="X105" i="29"/>
  <c r="Y105" i="29" s="1"/>
  <c r="U96" i="29"/>
  <c r="Q96" i="29"/>
  <c r="R96" i="29" s="1"/>
  <c r="X93" i="29"/>
  <c r="Y93" i="29" s="1"/>
  <c r="X112" i="29"/>
  <c r="Y112" i="29" s="1"/>
  <c r="X87" i="29"/>
  <c r="Y87" i="29" s="1"/>
  <c r="X116" i="29"/>
  <c r="Y116" i="29" s="1"/>
  <c r="X122" i="29"/>
  <c r="Y122" i="29" s="1"/>
  <c r="X119" i="29"/>
  <c r="Y119" i="29" s="1"/>
  <c r="X123" i="29"/>
  <c r="Y123" i="29" s="1"/>
  <c r="X109" i="29"/>
  <c r="Y109" i="29" s="1"/>
  <c r="X92" i="29"/>
  <c r="Y92" i="29" s="1"/>
  <c r="X104" i="29"/>
  <c r="Y104" i="29" s="1"/>
  <c r="Q85" i="29"/>
  <c r="R85" i="29" s="1"/>
  <c r="X98" i="29"/>
  <c r="Y98" i="29" s="1"/>
  <c r="X125" i="29"/>
  <c r="Y125" i="29" s="1"/>
  <c r="X130" i="29"/>
  <c r="Y130" i="29" s="1"/>
  <c r="X95" i="29"/>
  <c r="Y95" i="29" s="1"/>
  <c r="X90" i="29"/>
  <c r="Y90" i="29" s="1"/>
  <c r="R136" i="29"/>
  <c r="Y84" i="29"/>
  <c r="X113" i="29"/>
  <c r="Y113" i="29" s="1"/>
  <c r="X108" i="29"/>
  <c r="Y108" i="29" s="1"/>
  <c r="X120" i="29"/>
  <c r="Y120" i="29" s="1"/>
  <c r="X117" i="29"/>
  <c r="Y117" i="29" s="1"/>
  <c r="X88" i="29"/>
  <c r="Y88" i="29" s="1"/>
  <c r="X100" i="29"/>
  <c r="Y100" i="29" s="1"/>
  <c r="X124" i="29"/>
  <c r="Y124" i="29" s="1"/>
  <c r="X111" i="29"/>
  <c r="Y111" i="29" s="1"/>
  <c r="X128" i="29"/>
  <c r="Y128" i="29" s="1"/>
  <c r="X114" i="29"/>
  <c r="Y114" i="29" s="1"/>
  <c r="X101" i="29"/>
  <c r="Y101" i="29" s="1"/>
  <c r="X106" i="29"/>
  <c r="Y106" i="29" s="1"/>
  <c r="X96" i="29" l="1"/>
  <c r="Y96" i="29" s="1"/>
  <c r="P183" i="28" l="1"/>
  <c r="O183" i="28"/>
  <c r="N183" i="28"/>
  <c r="P182" i="28"/>
  <c r="O182" i="28"/>
  <c r="N182" i="28"/>
  <c r="P181" i="28"/>
  <c r="O181" i="28"/>
  <c r="N181" i="28"/>
  <c r="P180" i="28"/>
  <c r="O180" i="28"/>
  <c r="N180" i="28"/>
  <c r="P179" i="28"/>
  <c r="O179" i="28"/>
  <c r="N179" i="28"/>
  <c r="P178" i="28"/>
  <c r="O178" i="28"/>
  <c r="N178" i="28"/>
  <c r="P177" i="28"/>
  <c r="O177" i="28"/>
  <c r="N177" i="28"/>
  <c r="P176" i="28"/>
  <c r="O176" i="28"/>
  <c r="N176" i="28"/>
  <c r="P175" i="28"/>
  <c r="O175" i="28"/>
  <c r="N175" i="28"/>
  <c r="P174" i="28"/>
  <c r="O174" i="28"/>
  <c r="N174" i="28"/>
  <c r="P173" i="28"/>
  <c r="O173" i="28"/>
  <c r="N173" i="28"/>
  <c r="P172" i="28"/>
  <c r="O172" i="28"/>
  <c r="N172" i="28"/>
  <c r="P171" i="28"/>
  <c r="O171" i="28"/>
  <c r="N171" i="28"/>
  <c r="P170" i="28"/>
  <c r="O170" i="28"/>
  <c r="N170" i="28"/>
  <c r="P169" i="28"/>
  <c r="O169" i="28"/>
  <c r="N169" i="28"/>
  <c r="P168" i="28"/>
  <c r="O168" i="28"/>
  <c r="N168" i="28"/>
  <c r="P167" i="28"/>
  <c r="O167" i="28"/>
  <c r="N167" i="28"/>
  <c r="P166" i="28"/>
  <c r="O166" i="28"/>
  <c r="N166" i="28"/>
  <c r="P165" i="28"/>
  <c r="O165" i="28"/>
  <c r="N165" i="28"/>
  <c r="P164" i="28"/>
  <c r="O164" i="28"/>
  <c r="N164" i="28"/>
  <c r="P163" i="28"/>
  <c r="O163" i="28"/>
  <c r="N163" i="28"/>
  <c r="P162" i="28"/>
  <c r="O162" i="28"/>
  <c r="N162" i="28"/>
  <c r="P161" i="28"/>
  <c r="O161" i="28"/>
  <c r="N161" i="28"/>
  <c r="P160" i="28"/>
  <c r="O160" i="28"/>
  <c r="N160" i="28"/>
  <c r="P159" i="28"/>
  <c r="O159" i="28"/>
  <c r="N159" i="28"/>
  <c r="Q159" i="28" s="1"/>
  <c r="P158" i="28"/>
  <c r="O158" i="28"/>
  <c r="N158" i="28"/>
  <c r="P157" i="28"/>
  <c r="O157" i="28"/>
  <c r="N157" i="28"/>
  <c r="P156" i="28"/>
  <c r="O156" i="28"/>
  <c r="N156" i="28"/>
  <c r="P155" i="28"/>
  <c r="O155" i="28"/>
  <c r="N155" i="28"/>
  <c r="P154" i="28"/>
  <c r="O154" i="28"/>
  <c r="N154" i="28"/>
  <c r="P153" i="28"/>
  <c r="O153" i="28"/>
  <c r="N153" i="28"/>
  <c r="P152" i="28"/>
  <c r="O152" i="28"/>
  <c r="N152" i="28"/>
  <c r="P151" i="28"/>
  <c r="O151" i="28"/>
  <c r="N151" i="28"/>
  <c r="Q151" i="28" s="1"/>
  <c r="P150" i="28"/>
  <c r="O150" i="28"/>
  <c r="N150" i="28"/>
  <c r="P149" i="28"/>
  <c r="O149" i="28"/>
  <c r="N149" i="28"/>
  <c r="P148" i="28"/>
  <c r="O148" i="28"/>
  <c r="N148" i="28"/>
  <c r="P147" i="28"/>
  <c r="O147" i="28"/>
  <c r="N147" i="28"/>
  <c r="P146" i="28"/>
  <c r="O146" i="28"/>
  <c r="N146" i="28"/>
  <c r="P145" i="28"/>
  <c r="O145" i="28"/>
  <c r="N145" i="28"/>
  <c r="P144" i="28"/>
  <c r="O144" i="28"/>
  <c r="N144" i="28"/>
  <c r="P143" i="28"/>
  <c r="O143" i="28"/>
  <c r="N143" i="28"/>
  <c r="P142" i="28"/>
  <c r="O142" i="28"/>
  <c r="N142" i="28"/>
  <c r="P141" i="28"/>
  <c r="O141" i="28"/>
  <c r="N141" i="28"/>
  <c r="P140" i="28"/>
  <c r="O140" i="28"/>
  <c r="N140" i="28"/>
  <c r="Q140" i="28" s="1"/>
  <c r="R140" i="28" s="1"/>
  <c r="P139" i="28"/>
  <c r="O139" i="28"/>
  <c r="N139" i="28"/>
  <c r="P138" i="28"/>
  <c r="O138" i="28"/>
  <c r="N138" i="28"/>
  <c r="P137" i="28"/>
  <c r="O137" i="28"/>
  <c r="N137" i="28"/>
  <c r="Q136" i="28"/>
  <c r="P136" i="28"/>
  <c r="N136" i="28"/>
  <c r="K131" i="28"/>
  <c r="J131" i="28"/>
  <c r="I131" i="28"/>
  <c r="H131" i="28"/>
  <c r="O131" i="28" s="1"/>
  <c r="V131" i="28" s="1"/>
  <c r="G131" i="28"/>
  <c r="F131" i="28"/>
  <c r="E131" i="28"/>
  <c r="D131" i="28"/>
  <c r="N131" i="28" s="1"/>
  <c r="C131" i="28"/>
  <c r="P131" i="28" s="1"/>
  <c r="W131" i="28" s="1"/>
  <c r="K130" i="28"/>
  <c r="J130" i="28"/>
  <c r="I130" i="28"/>
  <c r="H130" i="28"/>
  <c r="O130" i="28" s="1"/>
  <c r="G130" i="28"/>
  <c r="F130" i="28"/>
  <c r="E130" i="28"/>
  <c r="D130" i="28"/>
  <c r="N130" i="28" s="1"/>
  <c r="C130" i="28"/>
  <c r="P130" i="28" s="1"/>
  <c r="W130" i="28" s="1"/>
  <c r="K129" i="28"/>
  <c r="J129" i="28"/>
  <c r="I129" i="28"/>
  <c r="H129" i="28"/>
  <c r="O129" i="28" s="1"/>
  <c r="V129" i="28" s="1"/>
  <c r="G129" i="28"/>
  <c r="F129" i="28"/>
  <c r="E129" i="28"/>
  <c r="D129" i="28"/>
  <c r="N129" i="28" s="1"/>
  <c r="C129" i="28"/>
  <c r="P129" i="28" s="1"/>
  <c r="W129" i="28" s="1"/>
  <c r="K128" i="28"/>
  <c r="J128" i="28"/>
  <c r="I128" i="28"/>
  <c r="H128" i="28"/>
  <c r="O128" i="28" s="1"/>
  <c r="G128" i="28"/>
  <c r="F128" i="28"/>
  <c r="E128" i="28"/>
  <c r="D128" i="28"/>
  <c r="N128" i="28" s="1"/>
  <c r="C128" i="28"/>
  <c r="P128" i="28" s="1"/>
  <c r="W128" i="28" s="1"/>
  <c r="K127" i="28"/>
  <c r="J127" i="28"/>
  <c r="I127" i="28"/>
  <c r="H127" i="28"/>
  <c r="O127" i="28" s="1"/>
  <c r="G127" i="28"/>
  <c r="F127" i="28"/>
  <c r="E127" i="28"/>
  <c r="D127" i="28"/>
  <c r="N127" i="28" s="1"/>
  <c r="C127" i="28"/>
  <c r="P127" i="28" s="1"/>
  <c r="K126" i="28"/>
  <c r="J126" i="28"/>
  <c r="I126" i="28"/>
  <c r="H126" i="28"/>
  <c r="O126" i="28" s="1"/>
  <c r="V126" i="28" s="1"/>
  <c r="G126" i="28"/>
  <c r="F126" i="28"/>
  <c r="E126" i="28"/>
  <c r="D126" i="28"/>
  <c r="N126" i="28" s="1"/>
  <c r="C126" i="28"/>
  <c r="P126" i="28" s="1"/>
  <c r="K125" i="28"/>
  <c r="J125" i="28"/>
  <c r="I125" i="28"/>
  <c r="H125" i="28"/>
  <c r="O125" i="28" s="1"/>
  <c r="V125" i="28" s="1"/>
  <c r="G125" i="28"/>
  <c r="F125" i="28"/>
  <c r="E125" i="28"/>
  <c r="D125" i="28"/>
  <c r="N125" i="28" s="1"/>
  <c r="C125" i="28"/>
  <c r="P125" i="28" s="1"/>
  <c r="W125" i="28" s="1"/>
  <c r="K124" i="28"/>
  <c r="J124" i="28"/>
  <c r="I124" i="28"/>
  <c r="H124" i="28"/>
  <c r="O124" i="28" s="1"/>
  <c r="G124" i="28"/>
  <c r="F124" i="28"/>
  <c r="E124" i="28"/>
  <c r="D124" i="28"/>
  <c r="N124" i="28" s="1"/>
  <c r="C124" i="28"/>
  <c r="P124" i="28" s="1"/>
  <c r="K123" i="28"/>
  <c r="J123" i="28"/>
  <c r="I123" i="28"/>
  <c r="H123" i="28"/>
  <c r="O123" i="28" s="1"/>
  <c r="V123" i="28" s="1"/>
  <c r="G123" i="28"/>
  <c r="F123" i="28"/>
  <c r="E123" i="28"/>
  <c r="D123" i="28"/>
  <c r="N123" i="28" s="1"/>
  <c r="C123" i="28"/>
  <c r="P123" i="28" s="1"/>
  <c r="W123" i="28" s="1"/>
  <c r="K122" i="28"/>
  <c r="J122" i="28"/>
  <c r="I122" i="28"/>
  <c r="H122" i="28"/>
  <c r="O122" i="28" s="1"/>
  <c r="G122" i="28"/>
  <c r="F122" i="28"/>
  <c r="E122" i="28"/>
  <c r="D122" i="28"/>
  <c r="N122" i="28" s="1"/>
  <c r="C122" i="28"/>
  <c r="P122" i="28" s="1"/>
  <c r="W122" i="28" s="1"/>
  <c r="K121" i="28"/>
  <c r="J121" i="28"/>
  <c r="I121" i="28"/>
  <c r="H121" i="28"/>
  <c r="O121" i="28" s="1"/>
  <c r="V121" i="28" s="1"/>
  <c r="G121" i="28"/>
  <c r="F121" i="28"/>
  <c r="E121" i="28"/>
  <c r="D121" i="28"/>
  <c r="N121" i="28" s="1"/>
  <c r="C121" i="28"/>
  <c r="P121" i="28" s="1"/>
  <c r="W121" i="28" s="1"/>
  <c r="K120" i="28"/>
  <c r="J120" i="28"/>
  <c r="I120" i="28"/>
  <c r="H120" i="28"/>
  <c r="O120" i="28" s="1"/>
  <c r="V120" i="28" s="1"/>
  <c r="G120" i="28"/>
  <c r="F120" i="28"/>
  <c r="E120" i="28"/>
  <c r="D120" i="28"/>
  <c r="N120" i="28" s="1"/>
  <c r="C120" i="28"/>
  <c r="P120" i="28" s="1"/>
  <c r="W120" i="28" s="1"/>
  <c r="K119" i="28"/>
  <c r="J119" i="28"/>
  <c r="I119" i="28"/>
  <c r="H119" i="28"/>
  <c r="O119" i="28" s="1"/>
  <c r="G119" i="28"/>
  <c r="F119" i="28"/>
  <c r="E119" i="28"/>
  <c r="D119" i="28"/>
  <c r="N119" i="28" s="1"/>
  <c r="C119" i="28"/>
  <c r="P119" i="28" s="1"/>
  <c r="K118" i="28"/>
  <c r="J118" i="28"/>
  <c r="I118" i="28"/>
  <c r="H118" i="28"/>
  <c r="O118" i="28" s="1"/>
  <c r="V118" i="28" s="1"/>
  <c r="G118" i="28"/>
  <c r="F118" i="28"/>
  <c r="E118" i="28"/>
  <c r="D118" i="28"/>
  <c r="N118" i="28" s="1"/>
  <c r="C118" i="28"/>
  <c r="P118" i="28" s="1"/>
  <c r="W118" i="28" s="1"/>
  <c r="K117" i="28"/>
  <c r="J117" i="28"/>
  <c r="I117" i="28"/>
  <c r="H117" i="28"/>
  <c r="O117" i="28" s="1"/>
  <c r="V117" i="28" s="1"/>
  <c r="G117" i="28"/>
  <c r="F117" i="28"/>
  <c r="E117" i="28"/>
  <c r="D117" i="28"/>
  <c r="N117" i="28" s="1"/>
  <c r="C117" i="28"/>
  <c r="P117" i="28" s="1"/>
  <c r="W117" i="28" s="1"/>
  <c r="K116" i="28"/>
  <c r="J116" i="28"/>
  <c r="I116" i="28"/>
  <c r="H116" i="28"/>
  <c r="O116" i="28" s="1"/>
  <c r="G116" i="28"/>
  <c r="F116" i="28"/>
  <c r="E116" i="28"/>
  <c r="D116" i="28"/>
  <c r="N116" i="28" s="1"/>
  <c r="C116" i="28"/>
  <c r="P116" i="28" s="1"/>
  <c r="K115" i="28"/>
  <c r="J115" i="28"/>
  <c r="I115" i="28"/>
  <c r="H115" i="28"/>
  <c r="O115" i="28" s="1"/>
  <c r="V115" i="28" s="1"/>
  <c r="G115" i="28"/>
  <c r="F115" i="28"/>
  <c r="E115" i="28"/>
  <c r="D115" i="28"/>
  <c r="N115" i="28" s="1"/>
  <c r="C115" i="28"/>
  <c r="P115" i="28" s="1"/>
  <c r="W115" i="28" s="1"/>
  <c r="K114" i="28"/>
  <c r="J114" i="28"/>
  <c r="I114" i="28"/>
  <c r="H114" i="28"/>
  <c r="O114" i="28" s="1"/>
  <c r="G114" i="28"/>
  <c r="F114" i="28"/>
  <c r="E114" i="28"/>
  <c r="D114" i="28"/>
  <c r="N114" i="28" s="1"/>
  <c r="C114" i="28"/>
  <c r="P114" i="28" s="1"/>
  <c r="W114" i="28" s="1"/>
  <c r="K113" i="28"/>
  <c r="J113" i="28"/>
  <c r="I113" i="28"/>
  <c r="H113" i="28"/>
  <c r="O113" i="28" s="1"/>
  <c r="V113" i="28" s="1"/>
  <c r="G113" i="28"/>
  <c r="F113" i="28"/>
  <c r="E113" i="28"/>
  <c r="D113" i="28"/>
  <c r="N113" i="28" s="1"/>
  <c r="C113" i="28"/>
  <c r="P113" i="28" s="1"/>
  <c r="W113" i="28" s="1"/>
  <c r="K112" i="28"/>
  <c r="J112" i="28"/>
  <c r="I112" i="28"/>
  <c r="H112" i="28"/>
  <c r="O112" i="28" s="1"/>
  <c r="V112" i="28" s="1"/>
  <c r="G112" i="28"/>
  <c r="F112" i="28"/>
  <c r="E112" i="28"/>
  <c r="D112" i="28"/>
  <c r="N112" i="28" s="1"/>
  <c r="C112" i="28"/>
  <c r="P112" i="28" s="1"/>
  <c r="K111" i="28"/>
  <c r="J111" i="28"/>
  <c r="I111" i="28"/>
  <c r="H111" i="28"/>
  <c r="O111" i="28" s="1"/>
  <c r="G111" i="28"/>
  <c r="F111" i="28"/>
  <c r="E111" i="28"/>
  <c r="D111" i="28"/>
  <c r="N111" i="28" s="1"/>
  <c r="C111" i="28"/>
  <c r="P111" i="28" s="1"/>
  <c r="K110" i="28"/>
  <c r="J110" i="28"/>
  <c r="I110" i="28"/>
  <c r="H110" i="28"/>
  <c r="O110" i="28" s="1"/>
  <c r="V110" i="28" s="1"/>
  <c r="G110" i="28"/>
  <c r="F110" i="28"/>
  <c r="E110" i="28"/>
  <c r="D110" i="28"/>
  <c r="N110" i="28" s="1"/>
  <c r="C110" i="28"/>
  <c r="P110" i="28" s="1"/>
  <c r="W110" i="28" s="1"/>
  <c r="K109" i="28"/>
  <c r="J109" i="28"/>
  <c r="I109" i="28"/>
  <c r="H109" i="28"/>
  <c r="O109" i="28" s="1"/>
  <c r="V109" i="28" s="1"/>
  <c r="G109" i="28"/>
  <c r="F109" i="28"/>
  <c r="E109" i="28"/>
  <c r="D109" i="28"/>
  <c r="N109" i="28" s="1"/>
  <c r="C109" i="28"/>
  <c r="P109" i="28" s="1"/>
  <c r="W109" i="28" s="1"/>
  <c r="K108" i="28"/>
  <c r="J108" i="28"/>
  <c r="I108" i="28"/>
  <c r="H108" i="28"/>
  <c r="O108" i="28" s="1"/>
  <c r="G108" i="28"/>
  <c r="F108" i="28"/>
  <c r="E108" i="28"/>
  <c r="D108" i="28"/>
  <c r="N108" i="28" s="1"/>
  <c r="C108" i="28"/>
  <c r="P108" i="28" s="1"/>
  <c r="K107" i="28"/>
  <c r="J107" i="28"/>
  <c r="I107" i="28"/>
  <c r="H107" i="28"/>
  <c r="O107" i="28" s="1"/>
  <c r="V107" i="28" s="1"/>
  <c r="G107" i="28"/>
  <c r="F107" i="28"/>
  <c r="E107" i="28"/>
  <c r="D107" i="28"/>
  <c r="N107" i="28" s="1"/>
  <c r="C107" i="28"/>
  <c r="P107" i="28" s="1"/>
  <c r="K106" i="28"/>
  <c r="J106" i="28"/>
  <c r="I106" i="28"/>
  <c r="H106" i="28"/>
  <c r="O106" i="28" s="1"/>
  <c r="G106" i="28"/>
  <c r="F106" i="28"/>
  <c r="E106" i="28"/>
  <c r="D106" i="28"/>
  <c r="N106" i="28" s="1"/>
  <c r="C106" i="28"/>
  <c r="P106" i="28" s="1"/>
  <c r="W106" i="28" s="1"/>
  <c r="K105" i="28"/>
  <c r="J105" i="28"/>
  <c r="I105" i="28"/>
  <c r="H105" i="28"/>
  <c r="O105" i="28" s="1"/>
  <c r="V105" i="28" s="1"/>
  <c r="G105" i="28"/>
  <c r="F105" i="28"/>
  <c r="E105" i="28"/>
  <c r="D105" i="28"/>
  <c r="N105" i="28" s="1"/>
  <c r="C105" i="28"/>
  <c r="P105" i="28" s="1"/>
  <c r="W105" i="28" s="1"/>
  <c r="K104" i="28"/>
  <c r="J104" i="28"/>
  <c r="I104" i="28"/>
  <c r="H104" i="28"/>
  <c r="O104" i="28" s="1"/>
  <c r="V104" i="28" s="1"/>
  <c r="G104" i="28"/>
  <c r="F104" i="28"/>
  <c r="E104" i="28"/>
  <c r="D104" i="28"/>
  <c r="N104" i="28" s="1"/>
  <c r="C104" i="28"/>
  <c r="P104" i="28" s="1"/>
  <c r="W104" i="28" s="1"/>
  <c r="K103" i="28"/>
  <c r="J103" i="28"/>
  <c r="I103" i="28"/>
  <c r="H103" i="28"/>
  <c r="O103" i="28" s="1"/>
  <c r="G103" i="28"/>
  <c r="F103" i="28"/>
  <c r="E103" i="28"/>
  <c r="D103" i="28"/>
  <c r="N103" i="28" s="1"/>
  <c r="C103" i="28"/>
  <c r="P103" i="28" s="1"/>
  <c r="K102" i="28"/>
  <c r="J102" i="28"/>
  <c r="I102" i="28"/>
  <c r="H102" i="28"/>
  <c r="O102" i="28" s="1"/>
  <c r="G102" i="28"/>
  <c r="F102" i="28"/>
  <c r="E102" i="28"/>
  <c r="D102" i="28"/>
  <c r="N102" i="28" s="1"/>
  <c r="C102" i="28"/>
  <c r="P102" i="28" s="1"/>
  <c r="W102" i="28" s="1"/>
  <c r="K101" i="28"/>
  <c r="J101" i="28"/>
  <c r="I101" i="28"/>
  <c r="H101" i="28"/>
  <c r="O101" i="28" s="1"/>
  <c r="V101" i="28" s="1"/>
  <c r="G101" i="28"/>
  <c r="F101" i="28"/>
  <c r="E101" i="28"/>
  <c r="D101" i="28"/>
  <c r="N101" i="28" s="1"/>
  <c r="C101" i="28"/>
  <c r="P101" i="28" s="1"/>
  <c r="W101" i="28" s="1"/>
  <c r="K100" i="28"/>
  <c r="J100" i="28"/>
  <c r="I100" i="28"/>
  <c r="H100" i="28"/>
  <c r="O100" i="28" s="1"/>
  <c r="G100" i="28"/>
  <c r="F100" i="28"/>
  <c r="E100" i="28"/>
  <c r="D100" i="28"/>
  <c r="N100" i="28" s="1"/>
  <c r="C100" i="28"/>
  <c r="P100" i="28" s="1"/>
  <c r="K99" i="28"/>
  <c r="J99" i="28"/>
  <c r="I99" i="28"/>
  <c r="H99" i="28"/>
  <c r="O99" i="28" s="1"/>
  <c r="V99" i="28" s="1"/>
  <c r="G99" i="28"/>
  <c r="F99" i="28"/>
  <c r="E99" i="28"/>
  <c r="D99" i="28"/>
  <c r="N99" i="28" s="1"/>
  <c r="C99" i="28"/>
  <c r="P99" i="28" s="1"/>
  <c r="W99" i="28" s="1"/>
  <c r="K98" i="28"/>
  <c r="J98" i="28"/>
  <c r="I98" i="28"/>
  <c r="H98" i="28"/>
  <c r="O98" i="28" s="1"/>
  <c r="G98" i="28"/>
  <c r="F98" i="28"/>
  <c r="E98" i="28"/>
  <c r="D98" i="28"/>
  <c r="N98" i="28" s="1"/>
  <c r="C98" i="28"/>
  <c r="P98" i="28" s="1"/>
  <c r="K97" i="28"/>
  <c r="J97" i="28"/>
  <c r="I97" i="28"/>
  <c r="H97" i="28"/>
  <c r="O97" i="28" s="1"/>
  <c r="G97" i="28"/>
  <c r="F97" i="28"/>
  <c r="E97" i="28"/>
  <c r="D97" i="28"/>
  <c r="N97" i="28" s="1"/>
  <c r="C97" i="28"/>
  <c r="P97" i="28" s="1"/>
  <c r="W97" i="28" s="1"/>
  <c r="K96" i="28"/>
  <c r="J96" i="28"/>
  <c r="I96" i="28"/>
  <c r="H96" i="28"/>
  <c r="O96" i="28" s="1"/>
  <c r="V96" i="28" s="1"/>
  <c r="G96" i="28"/>
  <c r="F96" i="28"/>
  <c r="E96" i="28"/>
  <c r="D96" i="28"/>
  <c r="N96" i="28" s="1"/>
  <c r="C96" i="28"/>
  <c r="P96" i="28" s="1"/>
  <c r="W96" i="28" s="1"/>
  <c r="K95" i="28"/>
  <c r="J95" i="28"/>
  <c r="I95" i="28"/>
  <c r="H95" i="28"/>
  <c r="O95" i="28" s="1"/>
  <c r="V95" i="28" s="1"/>
  <c r="G95" i="28"/>
  <c r="F95" i="28"/>
  <c r="E95" i="28"/>
  <c r="D95" i="28"/>
  <c r="N95" i="28" s="1"/>
  <c r="C95" i="28"/>
  <c r="P95" i="28" s="1"/>
  <c r="K94" i="28"/>
  <c r="J94" i="28"/>
  <c r="I94" i="28"/>
  <c r="H94" i="28"/>
  <c r="O94" i="28" s="1"/>
  <c r="V94" i="28" s="1"/>
  <c r="G94" i="28"/>
  <c r="F94" i="28"/>
  <c r="E94" i="28"/>
  <c r="D94" i="28"/>
  <c r="N94" i="28" s="1"/>
  <c r="C94" i="28"/>
  <c r="P94" i="28" s="1"/>
  <c r="K93" i="28"/>
  <c r="J93" i="28"/>
  <c r="I93" i="28"/>
  <c r="H93" i="28"/>
  <c r="O93" i="28" s="1"/>
  <c r="G93" i="28"/>
  <c r="F93" i="28"/>
  <c r="E93" i="28"/>
  <c r="D93" i="28"/>
  <c r="N93" i="28" s="1"/>
  <c r="C93" i="28"/>
  <c r="P93" i="28" s="1"/>
  <c r="W93" i="28" s="1"/>
  <c r="K92" i="28"/>
  <c r="J92" i="28"/>
  <c r="I92" i="28"/>
  <c r="H92" i="28"/>
  <c r="O92" i="28" s="1"/>
  <c r="V92" i="28" s="1"/>
  <c r="G92" i="28"/>
  <c r="F92" i="28"/>
  <c r="E92" i="28"/>
  <c r="D92" i="28"/>
  <c r="N92" i="28" s="1"/>
  <c r="C92" i="28"/>
  <c r="P92" i="28" s="1"/>
  <c r="K91" i="28"/>
  <c r="J91" i="28"/>
  <c r="I91" i="28"/>
  <c r="H91" i="28"/>
  <c r="O91" i="28" s="1"/>
  <c r="V91" i="28" s="1"/>
  <c r="G91" i="28"/>
  <c r="F91" i="28"/>
  <c r="E91" i="28"/>
  <c r="D91" i="28"/>
  <c r="N91" i="28" s="1"/>
  <c r="C91" i="28"/>
  <c r="P91" i="28" s="1"/>
  <c r="W91" i="28" s="1"/>
  <c r="K90" i="28"/>
  <c r="J90" i="28"/>
  <c r="I90" i="28"/>
  <c r="H90" i="28"/>
  <c r="O90" i="28" s="1"/>
  <c r="G90" i="28"/>
  <c r="F90" i="28"/>
  <c r="E90" i="28"/>
  <c r="D90" i="28"/>
  <c r="N90" i="28" s="1"/>
  <c r="C90" i="28"/>
  <c r="P90" i="28" s="1"/>
  <c r="K89" i="28"/>
  <c r="J89" i="28"/>
  <c r="I89" i="28"/>
  <c r="H89" i="28"/>
  <c r="O89" i="28" s="1"/>
  <c r="G89" i="28"/>
  <c r="F89" i="28"/>
  <c r="E89" i="28"/>
  <c r="D89" i="28"/>
  <c r="N89" i="28" s="1"/>
  <c r="C89" i="28"/>
  <c r="P89" i="28" s="1"/>
  <c r="W89" i="28" s="1"/>
  <c r="K88" i="28"/>
  <c r="J88" i="28"/>
  <c r="I88" i="28"/>
  <c r="H88" i="28"/>
  <c r="O88" i="28" s="1"/>
  <c r="V88" i="28" s="1"/>
  <c r="G88" i="28"/>
  <c r="F88" i="28"/>
  <c r="E88" i="28"/>
  <c r="D88" i="28"/>
  <c r="N88" i="28" s="1"/>
  <c r="C88" i="28"/>
  <c r="P88" i="28" s="1"/>
  <c r="W88" i="28" s="1"/>
  <c r="K87" i="28"/>
  <c r="J87" i="28"/>
  <c r="I87" i="28"/>
  <c r="H87" i="28"/>
  <c r="O87" i="28" s="1"/>
  <c r="V87" i="28" s="1"/>
  <c r="G87" i="28"/>
  <c r="F87" i="28"/>
  <c r="E87" i="28"/>
  <c r="D87" i="28"/>
  <c r="N87" i="28" s="1"/>
  <c r="C87" i="28"/>
  <c r="P87" i="28" s="1"/>
  <c r="K86" i="28"/>
  <c r="J86" i="28"/>
  <c r="I86" i="28"/>
  <c r="H86" i="28"/>
  <c r="O86" i="28" s="1"/>
  <c r="V86" i="28" s="1"/>
  <c r="X86" i="28" s="1"/>
  <c r="G86" i="28"/>
  <c r="F86" i="28"/>
  <c r="E86" i="28"/>
  <c r="D86" i="28"/>
  <c r="N86" i="28" s="1"/>
  <c r="C86" i="28"/>
  <c r="P86" i="28" s="1"/>
  <c r="K85" i="28"/>
  <c r="J85" i="28"/>
  <c r="I85" i="28"/>
  <c r="H85" i="28"/>
  <c r="O85" i="28" s="1"/>
  <c r="G85" i="28"/>
  <c r="F85" i="28"/>
  <c r="E85" i="28"/>
  <c r="D85" i="28"/>
  <c r="N85" i="28" s="1"/>
  <c r="C85" i="28"/>
  <c r="P84" i="28"/>
  <c r="W84" i="28" s="1"/>
  <c r="D84" i="28"/>
  <c r="N84" i="28" s="1"/>
  <c r="Y72" i="28"/>
  <c r="U72" i="28"/>
  <c r="T72" i="28"/>
  <c r="O72" i="28"/>
  <c r="Y71" i="28"/>
  <c r="U71" i="28"/>
  <c r="T71" i="28"/>
  <c r="O71" i="28"/>
  <c r="Y70" i="28"/>
  <c r="U70" i="28"/>
  <c r="T70" i="28"/>
  <c r="O70" i="28"/>
  <c r="Y69" i="28"/>
  <c r="U69" i="28"/>
  <c r="T69" i="28"/>
  <c r="O69" i="28"/>
  <c r="Y68" i="28"/>
  <c r="U68" i="28"/>
  <c r="T68" i="28"/>
  <c r="O68" i="28"/>
  <c r="Y67" i="28"/>
  <c r="U67" i="28"/>
  <c r="T67" i="28"/>
  <c r="O67" i="28"/>
  <c r="Y66" i="28"/>
  <c r="U66" i="28"/>
  <c r="T66" i="28"/>
  <c r="O66" i="28"/>
  <c r="Y65" i="28"/>
  <c r="U65" i="28"/>
  <c r="T65" i="28"/>
  <c r="O65" i="28"/>
  <c r="Y64" i="28"/>
  <c r="U64" i="28"/>
  <c r="T64" i="28"/>
  <c r="O64" i="28"/>
  <c r="Y63" i="28"/>
  <c r="U63" i="28"/>
  <c r="T63" i="28"/>
  <c r="O63" i="28"/>
  <c r="Y62" i="28"/>
  <c r="U62" i="28"/>
  <c r="O62" i="28"/>
  <c r="Y61" i="28"/>
  <c r="U61" i="28"/>
  <c r="O61" i="28"/>
  <c r="Y60" i="28"/>
  <c r="U60" i="28"/>
  <c r="O60" i="28"/>
  <c r="Y59" i="28"/>
  <c r="U59" i="28"/>
  <c r="O59" i="28"/>
  <c r="Y58" i="28"/>
  <c r="U58" i="28"/>
  <c r="O58" i="28"/>
  <c r="Y57" i="28"/>
  <c r="U57" i="28"/>
  <c r="O57" i="28"/>
  <c r="Y56" i="28"/>
  <c r="U56" i="28"/>
  <c r="O56" i="28"/>
  <c r="Y55" i="28"/>
  <c r="U55" i="28"/>
  <c r="O55" i="28"/>
  <c r="Y54" i="28"/>
  <c r="U54" i="28"/>
  <c r="O54" i="28"/>
  <c r="Y53" i="28"/>
  <c r="U53" i="28"/>
  <c r="O53" i="28"/>
  <c r="Y52" i="28"/>
  <c r="U52" i="28"/>
  <c r="O52" i="28"/>
  <c r="Y51" i="28"/>
  <c r="U51" i="28"/>
  <c r="O51" i="28"/>
  <c r="Y50" i="28"/>
  <c r="U50" i="28"/>
  <c r="O50" i="28"/>
  <c r="Y49" i="28"/>
  <c r="U49" i="28"/>
  <c r="O49" i="28"/>
  <c r="Y48" i="28"/>
  <c r="U48" i="28"/>
  <c r="O48" i="28"/>
  <c r="Y47" i="28"/>
  <c r="U47" i="28"/>
  <c r="O47" i="28"/>
  <c r="Y46" i="28"/>
  <c r="U46" i="28"/>
  <c r="O46" i="28"/>
  <c r="Y45" i="28"/>
  <c r="U45" i="28"/>
  <c r="O45" i="28"/>
  <c r="Y44" i="28"/>
  <c r="U44" i="28"/>
  <c r="O44" i="28"/>
  <c r="Y43" i="28"/>
  <c r="U43" i="28"/>
  <c r="O43" i="28"/>
  <c r="Y42" i="28"/>
  <c r="U42" i="28"/>
  <c r="O42" i="28"/>
  <c r="Y41" i="28"/>
  <c r="U41" i="28"/>
  <c r="O41" i="28"/>
  <c r="Y40" i="28"/>
  <c r="U40" i="28"/>
  <c r="O40" i="28"/>
  <c r="Y39" i="28"/>
  <c r="U39" i="28"/>
  <c r="O39" i="28"/>
  <c r="Y38" i="28"/>
  <c r="U38" i="28"/>
  <c r="O38" i="28"/>
  <c r="Y37" i="28"/>
  <c r="U37" i="28"/>
  <c r="O37" i="28"/>
  <c r="Y36" i="28"/>
  <c r="U36" i="28"/>
  <c r="O36" i="28"/>
  <c r="Y35" i="28"/>
  <c r="U35" i="28"/>
  <c r="O35" i="28"/>
  <c r="Y34" i="28"/>
  <c r="U34" i="28"/>
  <c r="O34" i="28"/>
  <c r="Y33" i="28"/>
  <c r="U33" i="28"/>
  <c r="O33" i="28"/>
  <c r="Y32" i="28"/>
  <c r="U32" i="28"/>
  <c r="O32" i="28"/>
  <c r="Y31" i="28"/>
  <c r="U31" i="28"/>
  <c r="T31" i="28"/>
  <c r="O31" i="28"/>
  <c r="Y30" i="28"/>
  <c r="U30" i="28"/>
  <c r="T30" i="28"/>
  <c r="O30" i="28"/>
  <c r="Y29" i="28"/>
  <c r="U29" i="28"/>
  <c r="T29" i="28"/>
  <c r="O29" i="28"/>
  <c r="Y28" i="28"/>
  <c r="U28" i="28"/>
  <c r="T28" i="28"/>
  <c r="O28" i="28"/>
  <c r="Y27" i="28"/>
  <c r="U27" i="28"/>
  <c r="T27" i="28"/>
  <c r="O27" i="28"/>
  <c r="Y26" i="28"/>
  <c r="U26" i="28"/>
  <c r="T26" i="28"/>
  <c r="O26" i="28"/>
  <c r="U23" i="28"/>
  <c r="N5" i="28"/>
  <c r="N2" i="28"/>
  <c r="I2" i="28"/>
  <c r="A1" i="28"/>
  <c r="Q148" i="28" l="1"/>
  <c r="R148" i="28" s="1"/>
  <c r="W126" i="28"/>
  <c r="V90" i="28"/>
  <c r="V98" i="28"/>
  <c r="V106" i="28"/>
  <c r="V114" i="28"/>
  <c r="V122" i="28"/>
  <c r="V130" i="28"/>
  <c r="Q139" i="28"/>
  <c r="R139" i="28" s="1"/>
  <c r="W90" i="28"/>
  <c r="W98" i="28"/>
  <c r="V119" i="28"/>
  <c r="V100" i="28"/>
  <c r="V108" i="28"/>
  <c r="V116" i="28"/>
  <c r="V124" i="28"/>
  <c r="Q145" i="28"/>
  <c r="R145" i="28" s="1"/>
  <c r="W87" i="28"/>
  <c r="W95" i="28"/>
  <c r="W103" i="28"/>
  <c r="W111" i="28"/>
  <c r="W119" i="28"/>
  <c r="W127" i="28"/>
  <c r="V103" i="28"/>
  <c r="V85" i="28"/>
  <c r="X85" i="28" s="1"/>
  <c r="V93" i="28"/>
  <c r="Q144" i="28"/>
  <c r="Q181" i="28"/>
  <c r="R181" i="28" s="1"/>
  <c r="V111" i="28"/>
  <c r="V127" i="28"/>
  <c r="W92" i="28"/>
  <c r="W100" i="28"/>
  <c r="W108" i="28"/>
  <c r="W116" i="28"/>
  <c r="W124" i="28"/>
  <c r="Q152" i="28"/>
  <c r="R152" i="28" s="1"/>
  <c r="Q176" i="28"/>
  <c r="R176" i="28" s="1"/>
  <c r="Q178" i="28"/>
  <c r="R178" i="28" s="1"/>
  <c r="W94" i="28"/>
  <c r="V128" i="28"/>
  <c r="Q147" i="28"/>
  <c r="R147" i="28" s="1"/>
  <c r="Q160" i="28"/>
  <c r="R160" i="28" s="1"/>
  <c r="Q168" i="28"/>
  <c r="W107" i="28"/>
  <c r="V89" i="28"/>
  <c r="V97" i="28"/>
  <c r="Q173" i="28"/>
  <c r="R173" i="28" s="1"/>
  <c r="W112" i="28"/>
  <c r="Q137" i="28"/>
  <c r="R137" i="28" s="1"/>
  <c r="R151" i="28"/>
  <c r="Q153" i="28"/>
  <c r="R153" i="28" s="1"/>
  <c r="Q156" i="28"/>
  <c r="R156" i="28" s="1"/>
  <c r="V102" i="28"/>
  <c r="Q146" i="28"/>
  <c r="R146" i="28" s="1"/>
  <c r="R159" i="28"/>
  <c r="Q164" i="28"/>
  <c r="R164" i="28" s="1"/>
  <c r="AG85" i="28"/>
  <c r="Q154" i="28"/>
  <c r="R154" i="28" s="1"/>
  <c r="U89" i="28"/>
  <c r="Q89" i="28"/>
  <c r="R89" i="28" s="1"/>
  <c r="Q93" i="28"/>
  <c r="R93" i="28" s="1"/>
  <c r="U93" i="28"/>
  <c r="U97" i="28"/>
  <c r="Q97" i="28"/>
  <c r="R97" i="28" s="1"/>
  <c r="Q101" i="28"/>
  <c r="R101" i="28" s="1"/>
  <c r="U101" i="28"/>
  <c r="U105" i="28"/>
  <c r="Q105" i="28"/>
  <c r="R105" i="28" s="1"/>
  <c r="Q109" i="28"/>
  <c r="R109" i="28" s="1"/>
  <c r="U109" i="28"/>
  <c r="U113" i="28"/>
  <c r="Q113" i="28"/>
  <c r="R113" i="28" s="1"/>
  <c r="Q117" i="28"/>
  <c r="R117" i="28" s="1"/>
  <c r="U117" i="28"/>
  <c r="Q120" i="28"/>
  <c r="R120" i="28" s="1"/>
  <c r="U120" i="28"/>
  <c r="U123" i="28"/>
  <c r="Q123" i="28"/>
  <c r="R123" i="28" s="1"/>
  <c r="U126" i="28"/>
  <c r="Q126" i="28"/>
  <c r="R126" i="28" s="1"/>
  <c r="U129" i="28"/>
  <c r="Q129" i="28"/>
  <c r="R129" i="28" s="1"/>
  <c r="Q86" i="28"/>
  <c r="R86" i="28" s="1"/>
  <c r="U90" i="28"/>
  <c r="Q90" i="28"/>
  <c r="R90" i="28" s="1"/>
  <c r="U94" i="28"/>
  <c r="Q94" i="28"/>
  <c r="R94" i="28" s="1"/>
  <c r="U98" i="28"/>
  <c r="Q98" i="28"/>
  <c r="R98" i="28" s="1"/>
  <c r="U102" i="28"/>
  <c r="Q102" i="28"/>
  <c r="R102" i="28" s="1"/>
  <c r="U106" i="28"/>
  <c r="Q106" i="28"/>
  <c r="R106" i="28" s="1"/>
  <c r="U110" i="28"/>
  <c r="Q110" i="28"/>
  <c r="R110" i="28" s="1"/>
  <c r="U114" i="28"/>
  <c r="Q114" i="28"/>
  <c r="R114" i="28" s="1"/>
  <c r="U121" i="28"/>
  <c r="Q121" i="28"/>
  <c r="R121" i="28" s="1"/>
  <c r="U124" i="28"/>
  <c r="Q124" i="28"/>
  <c r="R124" i="28" s="1"/>
  <c r="U127" i="28"/>
  <c r="Q127" i="28"/>
  <c r="R127" i="28" s="1"/>
  <c r="U130" i="28"/>
  <c r="Q130" i="28"/>
  <c r="R130" i="28" s="1"/>
  <c r="U84" i="28"/>
  <c r="R84" i="28"/>
  <c r="U87" i="28"/>
  <c r="Q87" i="28"/>
  <c r="R87" i="28" s="1"/>
  <c r="U91" i="28"/>
  <c r="Q91" i="28"/>
  <c r="R91" i="28" s="1"/>
  <c r="U95" i="28"/>
  <c r="Q95" i="28"/>
  <c r="R95" i="28" s="1"/>
  <c r="U99" i="28"/>
  <c r="Q99" i="28"/>
  <c r="R99" i="28" s="1"/>
  <c r="U103" i="28"/>
  <c r="Q103" i="28"/>
  <c r="R103" i="28" s="1"/>
  <c r="U107" i="28"/>
  <c r="Q107" i="28"/>
  <c r="R107" i="28" s="1"/>
  <c r="U111" i="28"/>
  <c r="Q111" i="28"/>
  <c r="R111" i="28" s="1"/>
  <c r="U115" i="28"/>
  <c r="Q115" i="28"/>
  <c r="R115" i="28" s="1"/>
  <c r="U118" i="28"/>
  <c r="Q118" i="28"/>
  <c r="R118" i="28" s="1"/>
  <c r="U122" i="28"/>
  <c r="Q122" i="28"/>
  <c r="R122" i="28" s="1"/>
  <c r="Q88" i="28"/>
  <c r="R88" i="28" s="1"/>
  <c r="U88" i="28"/>
  <c r="U92" i="28"/>
  <c r="Q92" i="28"/>
  <c r="R92" i="28" s="1"/>
  <c r="Q96" i="28"/>
  <c r="R96" i="28" s="1"/>
  <c r="U96" i="28"/>
  <c r="U100" i="28"/>
  <c r="Q100" i="28"/>
  <c r="R100" i="28" s="1"/>
  <c r="Q104" i="28"/>
  <c r="R104" i="28" s="1"/>
  <c r="U104" i="28"/>
  <c r="U108" i="28"/>
  <c r="Q108" i="28"/>
  <c r="R108" i="28" s="1"/>
  <c r="Q112" i="28"/>
  <c r="R112" i="28" s="1"/>
  <c r="U112" i="28"/>
  <c r="U116" i="28"/>
  <c r="Q116" i="28"/>
  <c r="R116" i="28" s="1"/>
  <c r="U119" i="28"/>
  <c r="Q119" i="28"/>
  <c r="R119" i="28" s="1"/>
  <c r="Q125" i="28"/>
  <c r="R125" i="28" s="1"/>
  <c r="U125" i="28"/>
  <c r="Q128" i="28"/>
  <c r="R128" i="28" s="1"/>
  <c r="U128" i="28"/>
  <c r="U131" i="28"/>
  <c r="Q131" i="28"/>
  <c r="R131" i="28" s="1"/>
  <c r="P85" i="28"/>
  <c r="Q85" i="28" s="1"/>
  <c r="R85" i="28" s="1"/>
  <c r="Q141" i="28"/>
  <c r="R141" i="28" s="1"/>
  <c r="R144" i="28"/>
  <c r="Q149" i="28"/>
  <c r="R149" i="28" s="1"/>
  <c r="Q157" i="28"/>
  <c r="R157" i="28" s="1"/>
  <c r="Q165" i="28"/>
  <c r="R165" i="28" s="1"/>
  <c r="R168" i="28"/>
  <c r="Q138" i="28"/>
  <c r="R138" i="28" s="1"/>
  <c r="Q162" i="28"/>
  <c r="R162" i="28" s="1"/>
  <c r="Q170" i="28"/>
  <c r="R170" i="28" s="1"/>
  <c r="Q143" i="28"/>
  <c r="R143" i="28" s="1"/>
  <c r="Q167" i="28"/>
  <c r="R167" i="28" s="1"/>
  <c r="Q175" i="28"/>
  <c r="R175" i="28" s="1"/>
  <c r="Q183" i="28"/>
  <c r="R183" i="28" s="1"/>
  <c r="Q172" i="28"/>
  <c r="R172" i="28" s="1"/>
  <c r="Q180" i="28"/>
  <c r="R180" i="28" s="1"/>
  <c r="Q161" i="28"/>
  <c r="R161" i="28" s="1"/>
  <c r="Q169" i="28"/>
  <c r="R169" i="28" s="1"/>
  <c r="Q177" i="28"/>
  <c r="R177" i="28" s="1"/>
  <c r="Q142" i="28"/>
  <c r="R142" i="28" s="1"/>
  <c r="Q150" i="28"/>
  <c r="R150" i="28" s="1"/>
  <c r="Q158" i="28"/>
  <c r="R158" i="28" s="1"/>
  <c r="Q166" i="28"/>
  <c r="R166" i="28" s="1"/>
  <c r="Q174" i="28"/>
  <c r="R174" i="28" s="1"/>
  <c r="Q182" i="28"/>
  <c r="R182" i="28" s="1"/>
  <c r="Q155" i="28"/>
  <c r="R155" i="28" s="1"/>
  <c r="Q163" i="28"/>
  <c r="R163" i="28" s="1"/>
  <c r="Q171" i="28"/>
  <c r="R171" i="28" s="1"/>
  <c r="Q179" i="28"/>
  <c r="R179" i="28" s="1"/>
  <c r="P183" i="27"/>
  <c r="N183" i="27"/>
  <c r="P182" i="27"/>
  <c r="N182" i="27"/>
  <c r="P181" i="27"/>
  <c r="N181" i="27"/>
  <c r="P180" i="27"/>
  <c r="N180" i="27"/>
  <c r="P179" i="27"/>
  <c r="N179" i="27"/>
  <c r="P178" i="27"/>
  <c r="N178" i="27"/>
  <c r="P177" i="27"/>
  <c r="N177" i="27"/>
  <c r="P176" i="27"/>
  <c r="N176" i="27"/>
  <c r="P175" i="27"/>
  <c r="N175" i="27"/>
  <c r="P174" i="27"/>
  <c r="N174" i="27"/>
  <c r="P173" i="27"/>
  <c r="N173" i="27"/>
  <c r="P172" i="27"/>
  <c r="N172" i="27"/>
  <c r="P171" i="27"/>
  <c r="N171" i="27"/>
  <c r="P170" i="27"/>
  <c r="N170" i="27"/>
  <c r="P169" i="27"/>
  <c r="N169" i="27"/>
  <c r="P168" i="27"/>
  <c r="N168" i="27"/>
  <c r="P167" i="27"/>
  <c r="N167" i="27"/>
  <c r="P166" i="27"/>
  <c r="N166" i="27"/>
  <c r="P165" i="27"/>
  <c r="N165" i="27"/>
  <c r="P164" i="27"/>
  <c r="N164" i="27"/>
  <c r="P163" i="27"/>
  <c r="N163" i="27"/>
  <c r="P162" i="27"/>
  <c r="N162" i="27"/>
  <c r="P161" i="27"/>
  <c r="N161" i="27"/>
  <c r="P160" i="27"/>
  <c r="N160" i="27"/>
  <c r="P159" i="27"/>
  <c r="N159" i="27"/>
  <c r="P158" i="27"/>
  <c r="N158" i="27"/>
  <c r="P157" i="27"/>
  <c r="N157" i="27"/>
  <c r="P156" i="27"/>
  <c r="N156" i="27"/>
  <c r="P155" i="27"/>
  <c r="N155" i="27"/>
  <c r="P154" i="27"/>
  <c r="N154" i="27"/>
  <c r="P153" i="27"/>
  <c r="N153" i="27"/>
  <c r="P152" i="27"/>
  <c r="N152" i="27"/>
  <c r="P151" i="27"/>
  <c r="N151" i="27"/>
  <c r="P150" i="27"/>
  <c r="N150" i="27"/>
  <c r="P149" i="27"/>
  <c r="N149" i="27"/>
  <c r="P148" i="27"/>
  <c r="N148" i="27"/>
  <c r="P147" i="27"/>
  <c r="N147" i="27"/>
  <c r="P146" i="27"/>
  <c r="N146" i="27"/>
  <c r="P145" i="27"/>
  <c r="N145" i="27"/>
  <c r="P144" i="27"/>
  <c r="N144" i="27"/>
  <c r="P143" i="27"/>
  <c r="N143" i="27"/>
  <c r="P142" i="27"/>
  <c r="N142" i="27"/>
  <c r="P141" i="27"/>
  <c r="N141" i="27"/>
  <c r="P140" i="27"/>
  <c r="N140" i="27"/>
  <c r="P139" i="27"/>
  <c r="N139" i="27"/>
  <c r="P138" i="27"/>
  <c r="N138" i="27"/>
  <c r="P137" i="27"/>
  <c r="N137" i="27"/>
  <c r="Q136" i="27"/>
  <c r="P136" i="27"/>
  <c r="N136" i="27"/>
  <c r="K131" i="27"/>
  <c r="J131" i="27"/>
  <c r="I131" i="27"/>
  <c r="H131" i="27"/>
  <c r="G131" i="27"/>
  <c r="F131" i="27"/>
  <c r="E131" i="27"/>
  <c r="O131" i="27" s="1"/>
  <c r="D131" i="27"/>
  <c r="C131" i="27"/>
  <c r="P131" i="27" s="1"/>
  <c r="W131" i="27" s="1"/>
  <c r="K130" i="27"/>
  <c r="J130" i="27"/>
  <c r="I130" i="27"/>
  <c r="H130" i="27"/>
  <c r="G130" i="27"/>
  <c r="F130" i="27"/>
  <c r="E130" i="27"/>
  <c r="O130" i="27" s="1"/>
  <c r="D130" i="27"/>
  <c r="C130" i="27"/>
  <c r="P130" i="27" s="1"/>
  <c r="K129" i="27"/>
  <c r="J129" i="27"/>
  <c r="I129" i="27"/>
  <c r="H129" i="27"/>
  <c r="G129" i="27"/>
  <c r="F129" i="27"/>
  <c r="E129" i="27"/>
  <c r="O129" i="27" s="1"/>
  <c r="D129" i="27"/>
  <c r="C129" i="27"/>
  <c r="P129" i="27" s="1"/>
  <c r="K128" i="27"/>
  <c r="J128" i="27"/>
  <c r="I128" i="27"/>
  <c r="H128" i="27"/>
  <c r="G128" i="27"/>
  <c r="F128" i="27"/>
  <c r="E128" i="27"/>
  <c r="O128" i="27" s="1"/>
  <c r="D128" i="27"/>
  <c r="C128" i="27"/>
  <c r="P128" i="27" s="1"/>
  <c r="K127" i="27"/>
  <c r="J127" i="27"/>
  <c r="I127" i="27"/>
  <c r="H127" i="27"/>
  <c r="G127" i="27"/>
  <c r="F127" i="27"/>
  <c r="E127" i="27"/>
  <c r="O127" i="27" s="1"/>
  <c r="D127" i="27"/>
  <c r="C127" i="27"/>
  <c r="P127" i="27" s="1"/>
  <c r="W127" i="27" s="1"/>
  <c r="K126" i="27"/>
  <c r="J126" i="27"/>
  <c r="I126" i="27"/>
  <c r="H126" i="27"/>
  <c r="G126" i="27"/>
  <c r="F126" i="27"/>
  <c r="E126" i="27"/>
  <c r="O126" i="27" s="1"/>
  <c r="D126" i="27"/>
  <c r="C126" i="27"/>
  <c r="P126" i="27" s="1"/>
  <c r="K125" i="27"/>
  <c r="J125" i="27"/>
  <c r="I125" i="27"/>
  <c r="H125" i="27"/>
  <c r="G125" i="27"/>
  <c r="F125" i="27"/>
  <c r="E125" i="27"/>
  <c r="O125" i="27" s="1"/>
  <c r="D125" i="27"/>
  <c r="C125" i="27"/>
  <c r="K124" i="27"/>
  <c r="J124" i="27"/>
  <c r="I124" i="27"/>
  <c r="H124" i="27"/>
  <c r="G124" i="27"/>
  <c r="F124" i="27"/>
  <c r="E124" i="27"/>
  <c r="O124" i="27" s="1"/>
  <c r="D124" i="27"/>
  <c r="C124" i="27"/>
  <c r="P124" i="27" s="1"/>
  <c r="K123" i="27"/>
  <c r="J123" i="27"/>
  <c r="I123" i="27"/>
  <c r="H123" i="27"/>
  <c r="G123" i="27"/>
  <c r="F123" i="27"/>
  <c r="E123" i="27"/>
  <c r="O123" i="27" s="1"/>
  <c r="D123" i="27"/>
  <c r="C123" i="27"/>
  <c r="P123" i="27" s="1"/>
  <c r="W123" i="27" s="1"/>
  <c r="K122" i="27"/>
  <c r="J122" i="27"/>
  <c r="I122" i="27"/>
  <c r="H122" i="27"/>
  <c r="G122" i="27"/>
  <c r="F122" i="27"/>
  <c r="E122" i="27"/>
  <c r="O122" i="27" s="1"/>
  <c r="D122" i="27"/>
  <c r="C122" i="27"/>
  <c r="P122" i="27" s="1"/>
  <c r="K121" i="27"/>
  <c r="J121" i="27"/>
  <c r="I121" i="27"/>
  <c r="H121" i="27"/>
  <c r="G121" i="27"/>
  <c r="F121" i="27"/>
  <c r="E121" i="27"/>
  <c r="O121" i="27" s="1"/>
  <c r="D121" i="27"/>
  <c r="C121" i="27"/>
  <c r="P121" i="27" s="1"/>
  <c r="K120" i="27"/>
  <c r="J120" i="27"/>
  <c r="I120" i="27"/>
  <c r="H120" i="27"/>
  <c r="G120" i="27"/>
  <c r="F120" i="27"/>
  <c r="E120" i="27"/>
  <c r="O120" i="27" s="1"/>
  <c r="D120" i="27"/>
  <c r="C120" i="27"/>
  <c r="P120" i="27" s="1"/>
  <c r="K119" i="27"/>
  <c r="J119" i="27"/>
  <c r="I119" i="27"/>
  <c r="H119" i="27"/>
  <c r="G119" i="27"/>
  <c r="F119" i="27"/>
  <c r="E119" i="27"/>
  <c r="O119" i="27" s="1"/>
  <c r="D119" i="27"/>
  <c r="C119" i="27"/>
  <c r="P119" i="27" s="1"/>
  <c r="W119" i="27" s="1"/>
  <c r="K118" i="27"/>
  <c r="J118" i="27"/>
  <c r="I118" i="27"/>
  <c r="H118" i="27"/>
  <c r="G118" i="27"/>
  <c r="F118" i="27"/>
  <c r="E118" i="27"/>
  <c r="O118" i="27" s="1"/>
  <c r="D118" i="27"/>
  <c r="C118" i="27"/>
  <c r="P118" i="27" s="1"/>
  <c r="K117" i="27"/>
  <c r="J117" i="27"/>
  <c r="I117" i="27"/>
  <c r="H117" i="27"/>
  <c r="G117" i="27"/>
  <c r="F117" i="27"/>
  <c r="E117" i="27"/>
  <c r="O117" i="27" s="1"/>
  <c r="D117" i="27"/>
  <c r="C117" i="27"/>
  <c r="P117" i="27" s="1"/>
  <c r="K116" i="27"/>
  <c r="J116" i="27"/>
  <c r="I116" i="27"/>
  <c r="H116" i="27"/>
  <c r="G116" i="27"/>
  <c r="F116" i="27"/>
  <c r="E116" i="27"/>
  <c r="O116" i="27" s="1"/>
  <c r="D116" i="27"/>
  <c r="C116" i="27"/>
  <c r="P116" i="27" s="1"/>
  <c r="K115" i="27"/>
  <c r="J115" i="27"/>
  <c r="I115" i="27"/>
  <c r="H115" i="27"/>
  <c r="G115" i="27"/>
  <c r="F115" i="27"/>
  <c r="E115" i="27"/>
  <c r="O115" i="27" s="1"/>
  <c r="D115" i="27"/>
  <c r="C115" i="27"/>
  <c r="P115" i="27" s="1"/>
  <c r="W115" i="27" s="1"/>
  <c r="K114" i="27"/>
  <c r="J114" i="27"/>
  <c r="I114" i="27"/>
  <c r="H114" i="27"/>
  <c r="G114" i="27"/>
  <c r="F114" i="27"/>
  <c r="E114" i="27"/>
  <c r="O114" i="27" s="1"/>
  <c r="D114" i="27"/>
  <c r="C114" i="27"/>
  <c r="P114" i="27" s="1"/>
  <c r="K113" i="27"/>
  <c r="J113" i="27"/>
  <c r="I113" i="27"/>
  <c r="H113" i="27"/>
  <c r="G113" i="27"/>
  <c r="F113" i="27"/>
  <c r="E113" i="27"/>
  <c r="O113" i="27" s="1"/>
  <c r="D113" i="27"/>
  <c r="C113" i="27"/>
  <c r="P113" i="27" s="1"/>
  <c r="K112" i="27"/>
  <c r="J112" i="27"/>
  <c r="I112" i="27"/>
  <c r="H112" i="27"/>
  <c r="G112" i="27"/>
  <c r="F112" i="27"/>
  <c r="E112" i="27"/>
  <c r="O112" i="27" s="1"/>
  <c r="D112" i="27"/>
  <c r="C112" i="27"/>
  <c r="P112" i="27" s="1"/>
  <c r="K111" i="27"/>
  <c r="J111" i="27"/>
  <c r="I111" i="27"/>
  <c r="H111" i="27"/>
  <c r="G111" i="27"/>
  <c r="F111" i="27"/>
  <c r="E111" i="27"/>
  <c r="O111" i="27" s="1"/>
  <c r="D111" i="27"/>
  <c r="C111" i="27"/>
  <c r="P111" i="27" s="1"/>
  <c r="W111" i="27" s="1"/>
  <c r="K110" i="27"/>
  <c r="J110" i="27"/>
  <c r="I110" i="27"/>
  <c r="H110" i="27"/>
  <c r="G110" i="27"/>
  <c r="F110" i="27"/>
  <c r="E110" i="27"/>
  <c r="O110" i="27" s="1"/>
  <c r="D110" i="27"/>
  <c r="C110" i="27"/>
  <c r="P110" i="27" s="1"/>
  <c r="K109" i="27"/>
  <c r="J109" i="27"/>
  <c r="I109" i="27"/>
  <c r="H109" i="27"/>
  <c r="G109" i="27"/>
  <c r="F109" i="27"/>
  <c r="E109" i="27"/>
  <c r="O109" i="27" s="1"/>
  <c r="D109" i="27"/>
  <c r="C109" i="27"/>
  <c r="P109" i="27" s="1"/>
  <c r="K108" i="27"/>
  <c r="J108" i="27"/>
  <c r="I108" i="27"/>
  <c r="H108" i="27"/>
  <c r="G108" i="27"/>
  <c r="F108" i="27"/>
  <c r="E108" i="27"/>
  <c r="O108" i="27" s="1"/>
  <c r="D108" i="27"/>
  <c r="C108" i="27"/>
  <c r="P108" i="27" s="1"/>
  <c r="K107" i="27"/>
  <c r="J107" i="27"/>
  <c r="I107" i="27"/>
  <c r="H107" i="27"/>
  <c r="G107" i="27"/>
  <c r="F107" i="27"/>
  <c r="E107" i="27"/>
  <c r="O107" i="27" s="1"/>
  <c r="D107" i="27"/>
  <c r="C107" i="27"/>
  <c r="P107" i="27" s="1"/>
  <c r="W107" i="27" s="1"/>
  <c r="K106" i="27"/>
  <c r="J106" i="27"/>
  <c r="I106" i="27"/>
  <c r="H106" i="27"/>
  <c r="G106" i="27"/>
  <c r="F106" i="27"/>
  <c r="E106" i="27"/>
  <c r="O106" i="27" s="1"/>
  <c r="D106" i="27"/>
  <c r="C106" i="27"/>
  <c r="P106" i="27" s="1"/>
  <c r="K105" i="27"/>
  <c r="J105" i="27"/>
  <c r="I105" i="27"/>
  <c r="H105" i="27"/>
  <c r="G105" i="27"/>
  <c r="F105" i="27"/>
  <c r="E105" i="27"/>
  <c r="O105" i="27" s="1"/>
  <c r="D105" i="27"/>
  <c r="C105" i="27"/>
  <c r="P105" i="27" s="1"/>
  <c r="K104" i="27"/>
  <c r="J104" i="27"/>
  <c r="I104" i="27"/>
  <c r="H104" i="27"/>
  <c r="G104" i="27"/>
  <c r="F104" i="27"/>
  <c r="E104" i="27"/>
  <c r="O104" i="27" s="1"/>
  <c r="D104" i="27"/>
  <c r="C104" i="27"/>
  <c r="P104" i="27" s="1"/>
  <c r="K103" i="27"/>
  <c r="J103" i="27"/>
  <c r="I103" i="27"/>
  <c r="H103" i="27"/>
  <c r="G103" i="27"/>
  <c r="F103" i="27"/>
  <c r="E103" i="27"/>
  <c r="O103" i="27" s="1"/>
  <c r="D103" i="27"/>
  <c r="C103" i="27"/>
  <c r="P103" i="27" s="1"/>
  <c r="W103" i="27" s="1"/>
  <c r="K102" i="27"/>
  <c r="J102" i="27"/>
  <c r="I102" i="27"/>
  <c r="H102" i="27"/>
  <c r="G102" i="27"/>
  <c r="F102" i="27"/>
  <c r="E102" i="27"/>
  <c r="O102" i="27" s="1"/>
  <c r="D102" i="27"/>
  <c r="C102" i="27"/>
  <c r="P102" i="27" s="1"/>
  <c r="K101" i="27"/>
  <c r="J101" i="27"/>
  <c r="I101" i="27"/>
  <c r="H101" i="27"/>
  <c r="G101" i="27"/>
  <c r="F101" i="27"/>
  <c r="E101" i="27"/>
  <c r="O101" i="27" s="1"/>
  <c r="D101" i="27"/>
  <c r="C101" i="27"/>
  <c r="P101" i="27" s="1"/>
  <c r="K100" i="27"/>
  <c r="J100" i="27"/>
  <c r="I100" i="27"/>
  <c r="H100" i="27"/>
  <c r="G100" i="27"/>
  <c r="F100" i="27"/>
  <c r="E100" i="27"/>
  <c r="O100" i="27" s="1"/>
  <c r="D100" i="27"/>
  <c r="C100" i="27"/>
  <c r="P100" i="27" s="1"/>
  <c r="K99" i="27"/>
  <c r="J99" i="27"/>
  <c r="I99" i="27"/>
  <c r="H99" i="27"/>
  <c r="G99" i="27"/>
  <c r="F99" i="27"/>
  <c r="E99" i="27"/>
  <c r="O99" i="27" s="1"/>
  <c r="D99" i="27"/>
  <c r="C99" i="27"/>
  <c r="P99" i="27" s="1"/>
  <c r="K98" i="27"/>
  <c r="J98" i="27"/>
  <c r="I98" i="27"/>
  <c r="H98" i="27"/>
  <c r="G98" i="27"/>
  <c r="F98" i="27"/>
  <c r="E98" i="27"/>
  <c r="O98" i="27" s="1"/>
  <c r="D98" i="27"/>
  <c r="C98" i="27"/>
  <c r="K97" i="27"/>
  <c r="J97" i="27"/>
  <c r="I97" i="27"/>
  <c r="H97" i="27"/>
  <c r="G97" i="27"/>
  <c r="F97" i="27"/>
  <c r="E97" i="27"/>
  <c r="O97" i="27" s="1"/>
  <c r="D97" i="27"/>
  <c r="C97" i="27"/>
  <c r="P97" i="27" s="1"/>
  <c r="K96" i="27"/>
  <c r="J96" i="27"/>
  <c r="I96" i="27"/>
  <c r="H96" i="27"/>
  <c r="G96" i="27"/>
  <c r="F96" i="27"/>
  <c r="E96" i="27"/>
  <c r="O96" i="27" s="1"/>
  <c r="D96" i="27"/>
  <c r="C96" i="27"/>
  <c r="P96" i="27" s="1"/>
  <c r="K95" i="27"/>
  <c r="J95" i="27"/>
  <c r="I95" i="27"/>
  <c r="H95" i="27"/>
  <c r="G95" i="27"/>
  <c r="F95" i="27"/>
  <c r="E95" i="27"/>
  <c r="O95" i="27" s="1"/>
  <c r="D95" i="27"/>
  <c r="C95" i="27"/>
  <c r="P95" i="27" s="1"/>
  <c r="W95" i="27" s="1"/>
  <c r="K94" i="27"/>
  <c r="J94" i="27"/>
  <c r="I94" i="27"/>
  <c r="H94" i="27"/>
  <c r="G94" i="27"/>
  <c r="F94" i="27"/>
  <c r="E94" i="27"/>
  <c r="O94" i="27" s="1"/>
  <c r="D94" i="27"/>
  <c r="C94" i="27"/>
  <c r="P94" i="27" s="1"/>
  <c r="K93" i="27"/>
  <c r="J93" i="27"/>
  <c r="I93" i="27"/>
  <c r="H93" i="27"/>
  <c r="G93" i="27"/>
  <c r="F93" i="27"/>
  <c r="E93" i="27"/>
  <c r="O93" i="27" s="1"/>
  <c r="D93" i="27"/>
  <c r="C93" i="27"/>
  <c r="P93" i="27" s="1"/>
  <c r="K92" i="27"/>
  <c r="J92" i="27"/>
  <c r="I92" i="27"/>
  <c r="H92" i="27"/>
  <c r="G92" i="27"/>
  <c r="F92" i="27"/>
  <c r="E92" i="27"/>
  <c r="O92" i="27" s="1"/>
  <c r="D92" i="27"/>
  <c r="C92" i="27"/>
  <c r="P92" i="27" s="1"/>
  <c r="K91" i="27"/>
  <c r="J91" i="27"/>
  <c r="I91" i="27"/>
  <c r="H91" i="27"/>
  <c r="G91" i="27"/>
  <c r="F91" i="27"/>
  <c r="E91" i="27"/>
  <c r="O91" i="27" s="1"/>
  <c r="D91" i="27"/>
  <c r="C91" i="27"/>
  <c r="P91" i="27" s="1"/>
  <c r="K90" i="27"/>
  <c r="J90" i="27"/>
  <c r="I90" i="27"/>
  <c r="H90" i="27"/>
  <c r="G90" i="27"/>
  <c r="F90" i="27"/>
  <c r="E90" i="27"/>
  <c r="O90" i="27" s="1"/>
  <c r="D90" i="27"/>
  <c r="C90" i="27"/>
  <c r="P90" i="27" s="1"/>
  <c r="K89" i="27"/>
  <c r="J89" i="27"/>
  <c r="I89" i="27"/>
  <c r="H89" i="27"/>
  <c r="G89" i="27"/>
  <c r="F89" i="27"/>
  <c r="E89" i="27"/>
  <c r="O89" i="27" s="1"/>
  <c r="D89" i="27"/>
  <c r="C89" i="27"/>
  <c r="P89" i="27" s="1"/>
  <c r="K88" i="27"/>
  <c r="J88" i="27"/>
  <c r="I88" i="27"/>
  <c r="H88" i="27"/>
  <c r="G88" i="27"/>
  <c r="F88" i="27"/>
  <c r="E88" i="27"/>
  <c r="O88" i="27" s="1"/>
  <c r="D88" i="27"/>
  <c r="C88" i="27"/>
  <c r="P88" i="27" s="1"/>
  <c r="K87" i="27"/>
  <c r="J87" i="27"/>
  <c r="I87" i="27"/>
  <c r="H87" i="27"/>
  <c r="G87" i="27"/>
  <c r="F87" i="27"/>
  <c r="E87" i="27"/>
  <c r="O87" i="27" s="1"/>
  <c r="D87" i="27"/>
  <c r="C87" i="27"/>
  <c r="P87" i="27" s="1"/>
  <c r="W87" i="27" s="1"/>
  <c r="K86" i="27"/>
  <c r="J86" i="27"/>
  <c r="I86" i="27"/>
  <c r="H86" i="27"/>
  <c r="G86" i="27"/>
  <c r="F86" i="27"/>
  <c r="E86" i="27"/>
  <c r="O86" i="27" s="1"/>
  <c r="D86" i="27"/>
  <c r="C86" i="27"/>
  <c r="P86" i="27" s="1"/>
  <c r="K85" i="27"/>
  <c r="J85" i="27"/>
  <c r="I85" i="27"/>
  <c r="H85" i="27"/>
  <c r="G85" i="27"/>
  <c r="F85" i="27"/>
  <c r="E85" i="27"/>
  <c r="O85" i="27" s="1"/>
  <c r="C85" i="27"/>
  <c r="P85" i="27" s="1"/>
  <c r="P84" i="27"/>
  <c r="W84" i="27" s="1"/>
  <c r="D84" i="27"/>
  <c r="N84" i="27" s="1"/>
  <c r="Y72" i="27"/>
  <c r="U72" i="27"/>
  <c r="T72" i="27"/>
  <c r="O72" i="27"/>
  <c r="Y71" i="27"/>
  <c r="U71" i="27"/>
  <c r="T71" i="27"/>
  <c r="O71" i="27"/>
  <c r="Y70" i="27"/>
  <c r="U70" i="27"/>
  <c r="T70" i="27"/>
  <c r="O70" i="27"/>
  <c r="Y69" i="27"/>
  <c r="U69" i="27"/>
  <c r="T69" i="27"/>
  <c r="O69" i="27"/>
  <c r="Y68" i="27"/>
  <c r="U68" i="27"/>
  <c r="T68" i="27"/>
  <c r="O68" i="27"/>
  <c r="Y67" i="27"/>
  <c r="U67" i="27"/>
  <c r="T67" i="27"/>
  <c r="O67" i="27"/>
  <c r="Y66" i="27"/>
  <c r="U66" i="27"/>
  <c r="T66" i="27"/>
  <c r="O66" i="27"/>
  <c r="Y65" i="27"/>
  <c r="U65" i="27"/>
  <c r="T65" i="27"/>
  <c r="O65" i="27"/>
  <c r="Y64" i="27"/>
  <c r="U64" i="27"/>
  <c r="T64" i="27"/>
  <c r="O64" i="27"/>
  <c r="Y63" i="27"/>
  <c r="U63" i="27"/>
  <c r="T63" i="27"/>
  <c r="O63" i="27"/>
  <c r="Y62" i="27"/>
  <c r="U62" i="27"/>
  <c r="O62" i="27"/>
  <c r="Y61" i="27"/>
  <c r="U61" i="27"/>
  <c r="O61" i="27"/>
  <c r="Y60" i="27"/>
  <c r="U60" i="27"/>
  <c r="O60" i="27"/>
  <c r="Y59" i="27"/>
  <c r="U59" i="27"/>
  <c r="O59" i="27"/>
  <c r="Y58" i="27"/>
  <c r="U58" i="27"/>
  <c r="O58" i="27"/>
  <c r="Y57" i="27"/>
  <c r="U57" i="27"/>
  <c r="O57" i="27"/>
  <c r="Y56" i="27"/>
  <c r="U56" i="27"/>
  <c r="O56" i="27"/>
  <c r="Y55" i="27"/>
  <c r="U55" i="27"/>
  <c r="O55" i="27"/>
  <c r="Y54" i="27"/>
  <c r="U54" i="27"/>
  <c r="O54" i="27"/>
  <c r="Y53" i="27"/>
  <c r="U53" i="27"/>
  <c r="O53" i="27"/>
  <c r="Y52" i="27"/>
  <c r="U52" i="27"/>
  <c r="O52" i="27"/>
  <c r="Y51" i="27"/>
  <c r="U51" i="27"/>
  <c r="O51" i="27"/>
  <c r="Y50" i="27"/>
  <c r="U50" i="27"/>
  <c r="O50" i="27"/>
  <c r="Y49" i="27"/>
  <c r="U49" i="27"/>
  <c r="O49" i="27"/>
  <c r="Y48" i="27"/>
  <c r="U48" i="27"/>
  <c r="O48" i="27"/>
  <c r="Y47" i="27"/>
  <c r="U47" i="27"/>
  <c r="O47" i="27"/>
  <c r="Y46" i="27"/>
  <c r="U46" i="27"/>
  <c r="O46" i="27"/>
  <c r="Y45" i="27"/>
  <c r="U45" i="27"/>
  <c r="O45" i="27"/>
  <c r="Y44" i="27"/>
  <c r="U44" i="27"/>
  <c r="O44" i="27"/>
  <c r="Y43" i="27"/>
  <c r="U43" i="27"/>
  <c r="O43" i="27"/>
  <c r="Y42" i="27"/>
  <c r="U42" i="27"/>
  <c r="O42" i="27"/>
  <c r="Y41" i="27"/>
  <c r="U41" i="27"/>
  <c r="O41" i="27"/>
  <c r="Y40" i="27"/>
  <c r="U40" i="27"/>
  <c r="O40" i="27"/>
  <c r="Y39" i="27"/>
  <c r="U39" i="27"/>
  <c r="O39" i="27"/>
  <c r="Y38" i="27"/>
  <c r="U38" i="27"/>
  <c r="O38" i="27"/>
  <c r="Y37" i="27"/>
  <c r="U37" i="27"/>
  <c r="O37" i="27"/>
  <c r="Y36" i="27"/>
  <c r="U36" i="27"/>
  <c r="O36" i="27"/>
  <c r="Y35" i="27"/>
  <c r="U35" i="27"/>
  <c r="O35" i="27"/>
  <c r="Y34" i="27"/>
  <c r="U34" i="27"/>
  <c r="O34" i="27"/>
  <c r="Y33" i="27"/>
  <c r="U33" i="27"/>
  <c r="O33" i="27"/>
  <c r="Y32" i="27"/>
  <c r="U32" i="27"/>
  <c r="O32" i="27"/>
  <c r="Y31" i="27"/>
  <c r="U31" i="27"/>
  <c r="T31" i="27"/>
  <c r="O31" i="27"/>
  <c r="Y30" i="27"/>
  <c r="U30" i="27"/>
  <c r="T30" i="27"/>
  <c r="O30" i="27"/>
  <c r="Y29" i="27"/>
  <c r="U29" i="27"/>
  <c r="T29" i="27"/>
  <c r="O29" i="27"/>
  <c r="Y28" i="27"/>
  <c r="U28" i="27"/>
  <c r="T28" i="27"/>
  <c r="O28" i="27"/>
  <c r="Y27" i="27"/>
  <c r="U27" i="27"/>
  <c r="T27" i="27"/>
  <c r="O27" i="27"/>
  <c r="Y26" i="27"/>
  <c r="U26" i="27"/>
  <c r="T26" i="27"/>
  <c r="O26" i="27"/>
  <c r="U23" i="27"/>
  <c r="N5" i="27"/>
  <c r="N2" i="27"/>
  <c r="I2" i="27"/>
  <c r="A1" i="27"/>
  <c r="P183" i="26"/>
  <c r="O183" i="26"/>
  <c r="N183" i="26"/>
  <c r="P182" i="26"/>
  <c r="O182" i="26"/>
  <c r="N182" i="26"/>
  <c r="P181" i="26"/>
  <c r="O181" i="26"/>
  <c r="N181" i="26"/>
  <c r="P180" i="26"/>
  <c r="O180" i="26"/>
  <c r="N180" i="26"/>
  <c r="P179" i="26"/>
  <c r="O179" i="26"/>
  <c r="N179" i="26"/>
  <c r="P178" i="26"/>
  <c r="O178" i="26"/>
  <c r="N178" i="26"/>
  <c r="P177" i="26"/>
  <c r="O177" i="26"/>
  <c r="N177" i="26"/>
  <c r="P176" i="26"/>
  <c r="O176" i="26"/>
  <c r="N176" i="26"/>
  <c r="P175" i="26"/>
  <c r="O175" i="26"/>
  <c r="N175" i="26"/>
  <c r="P174" i="26"/>
  <c r="O174" i="26"/>
  <c r="N174" i="26"/>
  <c r="P173" i="26"/>
  <c r="O173" i="26"/>
  <c r="N173" i="26"/>
  <c r="P172" i="26"/>
  <c r="O172" i="26"/>
  <c r="N172" i="26"/>
  <c r="P171" i="26"/>
  <c r="O171" i="26"/>
  <c r="N171" i="26"/>
  <c r="P170" i="26"/>
  <c r="O170" i="26"/>
  <c r="N170" i="26"/>
  <c r="P169" i="26"/>
  <c r="O169" i="26"/>
  <c r="N169" i="26"/>
  <c r="P168" i="26"/>
  <c r="O168" i="26"/>
  <c r="N168" i="26"/>
  <c r="P167" i="26"/>
  <c r="O167" i="26"/>
  <c r="N167" i="26"/>
  <c r="P166" i="26"/>
  <c r="O166" i="26"/>
  <c r="N166" i="26"/>
  <c r="P165" i="26"/>
  <c r="O165" i="26"/>
  <c r="N165" i="26"/>
  <c r="P164" i="26"/>
  <c r="O164" i="26"/>
  <c r="N164" i="26"/>
  <c r="P163" i="26"/>
  <c r="O163" i="26"/>
  <c r="N163" i="26"/>
  <c r="P162" i="26"/>
  <c r="O162" i="26"/>
  <c r="N162" i="26"/>
  <c r="P161" i="26"/>
  <c r="O161" i="26"/>
  <c r="N161" i="26"/>
  <c r="P160" i="26"/>
  <c r="O160" i="26"/>
  <c r="N160" i="26"/>
  <c r="P159" i="26"/>
  <c r="O159" i="26"/>
  <c r="N159" i="26"/>
  <c r="P158" i="26"/>
  <c r="O158" i="26"/>
  <c r="N158" i="26"/>
  <c r="P157" i="26"/>
  <c r="O157" i="26"/>
  <c r="N157" i="26"/>
  <c r="P156" i="26"/>
  <c r="O156" i="26"/>
  <c r="N156" i="26"/>
  <c r="P155" i="26"/>
  <c r="O155" i="26"/>
  <c r="N155" i="26"/>
  <c r="P154" i="26"/>
  <c r="O154" i="26"/>
  <c r="N154" i="26"/>
  <c r="P153" i="26"/>
  <c r="O153" i="26"/>
  <c r="N153" i="26"/>
  <c r="P152" i="26"/>
  <c r="O152" i="26"/>
  <c r="N152" i="26"/>
  <c r="P151" i="26"/>
  <c r="O151" i="26"/>
  <c r="N151" i="26"/>
  <c r="P150" i="26"/>
  <c r="O150" i="26"/>
  <c r="N150" i="26"/>
  <c r="P149" i="26"/>
  <c r="O149" i="26"/>
  <c r="N149" i="26"/>
  <c r="P148" i="26"/>
  <c r="O148" i="26"/>
  <c r="N148" i="26"/>
  <c r="P147" i="26"/>
  <c r="O147" i="26"/>
  <c r="N147" i="26"/>
  <c r="P146" i="26"/>
  <c r="O146" i="26"/>
  <c r="N146" i="26"/>
  <c r="P145" i="26"/>
  <c r="O145" i="26"/>
  <c r="N145" i="26"/>
  <c r="P144" i="26"/>
  <c r="O144" i="26"/>
  <c r="N144" i="26"/>
  <c r="P143" i="26"/>
  <c r="O143" i="26"/>
  <c r="N143" i="26"/>
  <c r="P142" i="26"/>
  <c r="O142" i="26"/>
  <c r="N142" i="26"/>
  <c r="P141" i="26"/>
  <c r="O141" i="26"/>
  <c r="N141" i="26"/>
  <c r="P140" i="26"/>
  <c r="O140" i="26"/>
  <c r="N140" i="26"/>
  <c r="P139" i="26"/>
  <c r="O139" i="26"/>
  <c r="N139" i="26"/>
  <c r="P138" i="26"/>
  <c r="O138" i="26"/>
  <c r="N138" i="26"/>
  <c r="P137" i="26"/>
  <c r="O137" i="26"/>
  <c r="N137" i="26"/>
  <c r="Q136" i="26"/>
  <c r="P136" i="26"/>
  <c r="N136" i="26"/>
  <c r="K131" i="26"/>
  <c r="J131" i="26"/>
  <c r="I131" i="26"/>
  <c r="H131" i="26"/>
  <c r="O131" i="26" s="1"/>
  <c r="G131" i="26"/>
  <c r="F131" i="26"/>
  <c r="E131" i="26"/>
  <c r="D131" i="26"/>
  <c r="N131" i="26" s="1"/>
  <c r="C131" i="26"/>
  <c r="P131" i="26" s="1"/>
  <c r="W131" i="26" s="1"/>
  <c r="K130" i="26"/>
  <c r="J130" i="26"/>
  <c r="I130" i="26"/>
  <c r="H130" i="26"/>
  <c r="O130" i="26" s="1"/>
  <c r="G130" i="26"/>
  <c r="F130" i="26"/>
  <c r="E130" i="26"/>
  <c r="D130" i="26"/>
  <c r="N130" i="26" s="1"/>
  <c r="C130" i="26"/>
  <c r="K129" i="26"/>
  <c r="J129" i="26"/>
  <c r="I129" i="26"/>
  <c r="H129" i="26"/>
  <c r="O129" i="26" s="1"/>
  <c r="G129" i="26"/>
  <c r="F129" i="26"/>
  <c r="E129" i="26"/>
  <c r="D129" i="26"/>
  <c r="N129" i="26" s="1"/>
  <c r="C129" i="26"/>
  <c r="P129" i="26" s="1"/>
  <c r="K128" i="26"/>
  <c r="J128" i="26"/>
  <c r="I128" i="26"/>
  <c r="H128" i="26"/>
  <c r="O128" i="26" s="1"/>
  <c r="G128" i="26"/>
  <c r="F128" i="26"/>
  <c r="E128" i="26"/>
  <c r="D128" i="26"/>
  <c r="N128" i="26" s="1"/>
  <c r="C128" i="26"/>
  <c r="P128" i="26" s="1"/>
  <c r="W128" i="26" s="1"/>
  <c r="K127" i="26"/>
  <c r="J127" i="26"/>
  <c r="I127" i="26"/>
  <c r="H127" i="26"/>
  <c r="O127" i="26" s="1"/>
  <c r="G127" i="26"/>
  <c r="F127" i="26"/>
  <c r="E127" i="26"/>
  <c r="D127" i="26"/>
  <c r="N127" i="26" s="1"/>
  <c r="C127" i="26"/>
  <c r="P127" i="26" s="1"/>
  <c r="K126" i="26"/>
  <c r="J126" i="26"/>
  <c r="I126" i="26"/>
  <c r="H126" i="26"/>
  <c r="O126" i="26" s="1"/>
  <c r="G126" i="26"/>
  <c r="F126" i="26"/>
  <c r="E126" i="26"/>
  <c r="D126" i="26"/>
  <c r="N126" i="26" s="1"/>
  <c r="U126" i="26" s="1"/>
  <c r="C126" i="26"/>
  <c r="P126" i="26" s="1"/>
  <c r="K125" i="26"/>
  <c r="J125" i="26"/>
  <c r="I125" i="26"/>
  <c r="H125" i="26"/>
  <c r="O125" i="26" s="1"/>
  <c r="G125" i="26"/>
  <c r="F125" i="26"/>
  <c r="E125" i="26"/>
  <c r="D125" i="26"/>
  <c r="C125" i="26"/>
  <c r="P125" i="26" s="1"/>
  <c r="W125" i="26" s="1"/>
  <c r="K124" i="26"/>
  <c r="J124" i="26"/>
  <c r="I124" i="26"/>
  <c r="H124" i="26"/>
  <c r="O124" i="26" s="1"/>
  <c r="G124" i="26"/>
  <c r="F124" i="26"/>
  <c r="E124" i="26"/>
  <c r="D124" i="26"/>
  <c r="N124" i="26" s="1"/>
  <c r="C124" i="26"/>
  <c r="P124" i="26" s="1"/>
  <c r="K123" i="26"/>
  <c r="J123" i="26"/>
  <c r="I123" i="26"/>
  <c r="H123" i="26"/>
  <c r="O123" i="26" s="1"/>
  <c r="G123" i="26"/>
  <c r="F123" i="26"/>
  <c r="E123" i="26"/>
  <c r="D123" i="26"/>
  <c r="N123" i="26" s="1"/>
  <c r="C123" i="26"/>
  <c r="P123" i="26" s="1"/>
  <c r="W123" i="26" s="1"/>
  <c r="K122" i="26"/>
  <c r="J122" i="26"/>
  <c r="I122" i="26"/>
  <c r="H122" i="26"/>
  <c r="O122" i="26" s="1"/>
  <c r="G122" i="26"/>
  <c r="F122" i="26"/>
  <c r="E122" i="26"/>
  <c r="D122" i="26"/>
  <c r="N122" i="26" s="1"/>
  <c r="C122" i="26"/>
  <c r="K121" i="26"/>
  <c r="J121" i="26"/>
  <c r="I121" i="26"/>
  <c r="H121" i="26"/>
  <c r="O121" i="26" s="1"/>
  <c r="G121" i="26"/>
  <c r="F121" i="26"/>
  <c r="E121" i="26"/>
  <c r="D121" i="26"/>
  <c r="N121" i="26" s="1"/>
  <c r="C121" i="26"/>
  <c r="P121" i="26" s="1"/>
  <c r="K120" i="26"/>
  <c r="J120" i="26"/>
  <c r="I120" i="26"/>
  <c r="H120" i="26"/>
  <c r="O120" i="26" s="1"/>
  <c r="V120" i="26" s="1"/>
  <c r="G120" i="26"/>
  <c r="F120" i="26"/>
  <c r="E120" i="26"/>
  <c r="D120" i="26"/>
  <c r="N120" i="26" s="1"/>
  <c r="U120" i="26" s="1"/>
  <c r="C120" i="26"/>
  <c r="P120" i="26" s="1"/>
  <c r="W120" i="26" s="1"/>
  <c r="K119" i="26"/>
  <c r="J119" i="26"/>
  <c r="I119" i="26"/>
  <c r="H119" i="26"/>
  <c r="O119" i="26" s="1"/>
  <c r="G119" i="26"/>
  <c r="F119" i="26"/>
  <c r="E119" i="26"/>
  <c r="D119" i="26"/>
  <c r="N119" i="26" s="1"/>
  <c r="C119" i="26"/>
  <c r="P119" i="26" s="1"/>
  <c r="K118" i="26"/>
  <c r="J118" i="26"/>
  <c r="I118" i="26"/>
  <c r="H118" i="26"/>
  <c r="O118" i="26" s="1"/>
  <c r="G118" i="26"/>
  <c r="F118" i="26"/>
  <c r="E118" i="26"/>
  <c r="D118" i="26"/>
  <c r="N118" i="26" s="1"/>
  <c r="C118" i="26"/>
  <c r="P118" i="26" s="1"/>
  <c r="K117" i="26"/>
  <c r="J117" i="26"/>
  <c r="I117" i="26"/>
  <c r="H117" i="26"/>
  <c r="O117" i="26" s="1"/>
  <c r="V117" i="26" s="1"/>
  <c r="G117" i="26"/>
  <c r="F117" i="26"/>
  <c r="E117" i="26"/>
  <c r="D117" i="26"/>
  <c r="C117" i="26"/>
  <c r="P117" i="26" s="1"/>
  <c r="K116" i="26"/>
  <c r="J116" i="26"/>
  <c r="I116" i="26"/>
  <c r="H116" i="26"/>
  <c r="O116" i="26" s="1"/>
  <c r="G116" i="26"/>
  <c r="F116" i="26"/>
  <c r="E116" i="26"/>
  <c r="D116" i="26"/>
  <c r="N116" i="26" s="1"/>
  <c r="C116" i="26"/>
  <c r="P116" i="26" s="1"/>
  <c r="K115" i="26"/>
  <c r="J115" i="26"/>
  <c r="I115" i="26"/>
  <c r="H115" i="26"/>
  <c r="O115" i="26" s="1"/>
  <c r="V115" i="26" s="1"/>
  <c r="G115" i="26"/>
  <c r="F115" i="26"/>
  <c r="E115" i="26"/>
  <c r="D115" i="26"/>
  <c r="N115" i="26" s="1"/>
  <c r="C115" i="26"/>
  <c r="P115" i="26" s="1"/>
  <c r="K114" i="26"/>
  <c r="J114" i="26"/>
  <c r="I114" i="26"/>
  <c r="H114" i="26"/>
  <c r="O114" i="26" s="1"/>
  <c r="G114" i="26"/>
  <c r="F114" i="26"/>
  <c r="E114" i="26"/>
  <c r="D114" i="26"/>
  <c r="N114" i="26" s="1"/>
  <c r="C114" i="26"/>
  <c r="K113" i="26"/>
  <c r="J113" i="26"/>
  <c r="I113" i="26"/>
  <c r="H113" i="26"/>
  <c r="O113" i="26" s="1"/>
  <c r="G113" i="26"/>
  <c r="F113" i="26"/>
  <c r="E113" i="26"/>
  <c r="D113" i="26"/>
  <c r="N113" i="26" s="1"/>
  <c r="C113" i="26"/>
  <c r="P113" i="26" s="1"/>
  <c r="K112" i="26"/>
  <c r="J112" i="26"/>
  <c r="I112" i="26"/>
  <c r="H112" i="26"/>
  <c r="O112" i="26" s="1"/>
  <c r="V112" i="26" s="1"/>
  <c r="G112" i="26"/>
  <c r="F112" i="26"/>
  <c r="E112" i="26"/>
  <c r="D112" i="26"/>
  <c r="N112" i="26" s="1"/>
  <c r="C112" i="26"/>
  <c r="P112" i="26" s="1"/>
  <c r="W112" i="26" s="1"/>
  <c r="K111" i="26"/>
  <c r="J111" i="26"/>
  <c r="I111" i="26"/>
  <c r="H111" i="26"/>
  <c r="O111" i="26" s="1"/>
  <c r="V111" i="26" s="1"/>
  <c r="G111" i="26"/>
  <c r="F111" i="26"/>
  <c r="E111" i="26"/>
  <c r="D111" i="26"/>
  <c r="N111" i="26" s="1"/>
  <c r="C111" i="26"/>
  <c r="P111" i="26" s="1"/>
  <c r="K110" i="26"/>
  <c r="J110" i="26"/>
  <c r="I110" i="26"/>
  <c r="H110" i="26"/>
  <c r="O110" i="26" s="1"/>
  <c r="G110" i="26"/>
  <c r="F110" i="26"/>
  <c r="E110" i="26"/>
  <c r="D110" i="26"/>
  <c r="N110" i="26" s="1"/>
  <c r="U110" i="26" s="1"/>
  <c r="C110" i="26"/>
  <c r="P110" i="26" s="1"/>
  <c r="W110" i="26" s="1"/>
  <c r="K109" i="26"/>
  <c r="J109" i="26"/>
  <c r="I109" i="26"/>
  <c r="H109" i="26"/>
  <c r="O109" i="26" s="1"/>
  <c r="V109" i="26" s="1"/>
  <c r="G109" i="26"/>
  <c r="F109" i="26"/>
  <c r="E109" i="26"/>
  <c r="D109" i="26"/>
  <c r="C109" i="26"/>
  <c r="P109" i="26" s="1"/>
  <c r="W109" i="26" s="1"/>
  <c r="K108" i="26"/>
  <c r="J108" i="26"/>
  <c r="I108" i="26"/>
  <c r="H108" i="26"/>
  <c r="O108" i="26" s="1"/>
  <c r="G108" i="26"/>
  <c r="F108" i="26"/>
  <c r="E108" i="26"/>
  <c r="D108" i="26"/>
  <c r="N108" i="26" s="1"/>
  <c r="C108" i="26"/>
  <c r="P108" i="26" s="1"/>
  <c r="K107" i="26"/>
  <c r="J107" i="26"/>
  <c r="I107" i="26"/>
  <c r="H107" i="26"/>
  <c r="O107" i="26" s="1"/>
  <c r="G107" i="26"/>
  <c r="F107" i="26"/>
  <c r="E107" i="26"/>
  <c r="D107" i="26"/>
  <c r="N107" i="26" s="1"/>
  <c r="C107" i="26"/>
  <c r="P107" i="26" s="1"/>
  <c r="K106" i="26"/>
  <c r="J106" i="26"/>
  <c r="I106" i="26"/>
  <c r="H106" i="26"/>
  <c r="O106" i="26" s="1"/>
  <c r="G106" i="26"/>
  <c r="F106" i="26"/>
  <c r="E106" i="26"/>
  <c r="D106" i="26"/>
  <c r="N106" i="26" s="1"/>
  <c r="C106" i="26"/>
  <c r="K105" i="26"/>
  <c r="J105" i="26"/>
  <c r="I105" i="26"/>
  <c r="H105" i="26"/>
  <c r="O105" i="26" s="1"/>
  <c r="G105" i="26"/>
  <c r="F105" i="26"/>
  <c r="E105" i="26"/>
  <c r="D105" i="26"/>
  <c r="N105" i="26" s="1"/>
  <c r="C105" i="26"/>
  <c r="P105" i="26" s="1"/>
  <c r="K104" i="26"/>
  <c r="J104" i="26"/>
  <c r="I104" i="26"/>
  <c r="H104" i="26"/>
  <c r="O104" i="26" s="1"/>
  <c r="V104" i="26" s="1"/>
  <c r="G104" i="26"/>
  <c r="F104" i="26"/>
  <c r="E104" i="26"/>
  <c r="D104" i="26"/>
  <c r="N104" i="26" s="1"/>
  <c r="U104" i="26" s="1"/>
  <c r="C104" i="26"/>
  <c r="P104" i="26" s="1"/>
  <c r="W104" i="26" s="1"/>
  <c r="K103" i="26"/>
  <c r="J103" i="26"/>
  <c r="I103" i="26"/>
  <c r="H103" i="26"/>
  <c r="O103" i="26" s="1"/>
  <c r="G103" i="26"/>
  <c r="F103" i="26"/>
  <c r="E103" i="26"/>
  <c r="D103" i="26"/>
  <c r="N103" i="26" s="1"/>
  <c r="C103" i="26"/>
  <c r="P103" i="26" s="1"/>
  <c r="K102" i="26"/>
  <c r="J102" i="26"/>
  <c r="I102" i="26"/>
  <c r="H102" i="26"/>
  <c r="O102" i="26" s="1"/>
  <c r="G102" i="26"/>
  <c r="F102" i="26"/>
  <c r="E102" i="26"/>
  <c r="D102" i="26"/>
  <c r="N102" i="26" s="1"/>
  <c r="C102" i="26"/>
  <c r="P102" i="26" s="1"/>
  <c r="K101" i="26"/>
  <c r="J101" i="26"/>
  <c r="I101" i="26"/>
  <c r="H101" i="26"/>
  <c r="O101" i="26" s="1"/>
  <c r="G101" i="26"/>
  <c r="F101" i="26"/>
  <c r="E101" i="26"/>
  <c r="D101" i="26"/>
  <c r="C101" i="26"/>
  <c r="P101" i="26" s="1"/>
  <c r="W101" i="26" s="1"/>
  <c r="K100" i="26"/>
  <c r="J100" i="26"/>
  <c r="I100" i="26"/>
  <c r="H100" i="26"/>
  <c r="O100" i="26" s="1"/>
  <c r="V100" i="26" s="1"/>
  <c r="G100" i="26"/>
  <c r="F100" i="26"/>
  <c r="E100" i="26"/>
  <c r="D100" i="26"/>
  <c r="N100" i="26" s="1"/>
  <c r="C100" i="26"/>
  <c r="P100" i="26" s="1"/>
  <c r="K99" i="26"/>
  <c r="J99" i="26"/>
  <c r="I99" i="26"/>
  <c r="H99" i="26"/>
  <c r="O99" i="26" s="1"/>
  <c r="V99" i="26" s="1"/>
  <c r="G99" i="26"/>
  <c r="F99" i="26"/>
  <c r="E99" i="26"/>
  <c r="D99" i="26"/>
  <c r="N99" i="26" s="1"/>
  <c r="C99" i="26"/>
  <c r="P99" i="26" s="1"/>
  <c r="K98" i="26"/>
  <c r="J98" i="26"/>
  <c r="I98" i="26"/>
  <c r="H98" i="26"/>
  <c r="O98" i="26" s="1"/>
  <c r="G98" i="26"/>
  <c r="F98" i="26"/>
  <c r="E98" i="26"/>
  <c r="D98" i="26"/>
  <c r="N98" i="26" s="1"/>
  <c r="C98" i="26"/>
  <c r="K97" i="26"/>
  <c r="J97" i="26"/>
  <c r="I97" i="26"/>
  <c r="H97" i="26"/>
  <c r="O97" i="26" s="1"/>
  <c r="G97" i="26"/>
  <c r="F97" i="26"/>
  <c r="E97" i="26"/>
  <c r="D97" i="26"/>
  <c r="N97" i="26" s="1"/>
  <c r="C97" i="26"/>
  <c r="P97" i="26" s="1"/>
  <c r="K96" i="26"/>
  <c r="J96" i="26"/>
  <c r="I96" i="26"/>
  <c r="H96" i="26"/>
  <c r="O96" i="26" s="1"/>
  <c r="G96" i="26"/>
  <c r="F96" i="26"/>
  <c r="E96" i="26"/>
  <c r="D96" i="26"/>
  <c r="N96" i="26" s="1"/>
  <c r="C96" i="26"/>
  <c r="P96" i="26" s="1"/>
  <c r="K95" i="26"/>
  <c r="J95" i="26"/>
  <c r="I95" i="26"/>
  <c r="H95" i="26"/>
  <c r="O95" i="26" s="1"/>
  <c r="G95" i="26"/>
  <c r="F95" i="26"/>
  <c r="E95" i="26"/>
  <c r="D95" i="26"/>
  <c r="N95" i="26" s="1"/>
  <c r="C95" i="26"/>
  <c r="P95" i="26" s="1"/>
  <c r="W95" i="26" s="1"/>
  <c r="K94" i="26"/>
  <c r="J94" i="26"/>
  <c r="I94" i="26"/>
  <c r="H94" i="26"/>
  <c r="O94" i="26" s="1"/>
  <c r="G94" i="26"/>
  <c r="F94" i="26"/>
  <c r="E94" i="26"/>
  <c r="D94" i="26"/>
  <c r="N94" i="26" s="1"/>
  <c r="U94" i="26" s="1"/>
  <c r="C94" i="26"/>
  <c r="P94" i="26" s="1"/>
  <c r="K93" i="26"/>
  <c r="J93" i="26"/>
  <c r="I93" i="26"/>
  <c r="H93" i="26"/>
  <c r="O93" i="26" s="1"/>
  <c r="G93" i="26"/>
  <c r="F93" i="26"/>
  <c r="E93" i="26"/>
  <c r="D93" i="26"/>
  <c r="C93" i="26"/>
  <c r="P93" i="26" s="1"/>
  <c r="K92" i="26"/>
  <c r="J92" i="26"/>
  <c r="I92" i="26"/>
  <c r="H92" i="26"/>
  <c r="O92" i="26" s="1"/>
  <c r="G92" i="26"/>
  <c r="F92" i="26"/>
  <c r="E92" i="26"/>
  <c r="D92" i="26"/>
  <c r="N92" i="26" s="1"/>
  <c r="C92" i="26"/>
  <c r="P92" i="26" s="1"/>
  <c r="K91" i="26"/>
  <c r="J91" i="26"/>
  <c r="I91" i="26"/>
  <c r="H91" i="26"/>
  <c r="O91" i="26" s="1"/>
  <c r="V91" i="26" s="1"/>
  <c r="G91" i="26"/>
  <c r="F91" i="26"/>
  <c r="E91" i="26"/>
  <c r="D91" i="26"/>
  <c r="N91" i="26" s="1"/>
  <c r="C91" i="26"/>
  <c r="P91" i="26" s="1"/>
  <c r="K90" i="26"/>
  <c r="J90" i="26"/>
  <c r="I90" i="26"/>
  <c r="H90" i="26"/>
  <c r="O90" i="26" s="1"/>
  <c r="V90" i="26" s="1"/>
  <c r="G90" i="26"/>
  <c r="F90" i="26"/>
  <c r="E90" i="26"/>
  <c r="D90" i="26"/>
  <c r="N90" i="26" s="1"/>
  <c r="C90" i="26"/>
  <c r="P90" i="26" s="1"/>
  <c r="K89" i="26"/>
  <c r="J89" i="26"/>
  <c r="I89" i="26"/>
  <c r="H89" i="26"/>
  <c r="O89" i="26" s="1"/>
  <c r="G89" i="26"/>
  <c r="F89" i="26"/>
  <c r="E89" i="26"/>
  <c r="D89" i="26"/>
  <c r="N89" i="26" s="1"/>
  <c r="C89" i="26"/>
  <c r="P89" i="26" s="1"/>
  <c r="K88" i="26"/>
  <c r="J88" i="26"/>
  <c r="I88" i="26"/>
  <c r="H88" i="26"/>
  <c r="O88" i="26" s="1"/>
  <c r="V88" i="26" s="1"/>
  <c r="G88" i="26"/>
  <c r="F88" i="26"/>
  <c r="E88" i="26"/>
  <c r="D88" i="26"/>
  <c r="N88" i="26" s="1"/>
  <c r="C88" i="26"/>
  <c r="P88" i="26" s="1"/>
  <c r="W88" i="26" s="1"/>
  <c r="K87" i="26"/>
  <c r="J87" i="26"/>
  <c r="I87" i="26"/>
  <c r="H87" i="26"/>
  <c r="O87" i="26" s="1"/>
  <c r="G87" i="26"/>
  <c r="F87" i="26"/>
  <c r="E87" i="26"/>
  <c r="D87" i="26"/>
  <c r="N87" i="26" s="1"/>
  <c r="C87" i="26"/>
  <c r="P87" i="26" s="1"/>
  <c r="W87" i="26" s="1"/>
  <c r="K86" i="26"/>
  <c r="J86" i="26"/>
  <c r="I86" i="26"/>
  <c r="H86" i="26"/>
  <c r="O86" i="26" s="1"/>
  <c r="G86" i="26"/>
  <c r="F86" i="26"/>
  <c r="E86" i="26"/>
  <c r="D86" i="26"/>
  <c r="N86" i="26" s="1"/>
  <c r="C86" i="26"/>
  <c r="P86" i="26" s="1"/>
  <c r="K85" i="26"/>
  <c r="J85" i="26"/>
  <c r="I85" i="26"/>
  <c r="H85" i="26"/>
  <c r="O85" i="26" s="1"/>
  <c r="G85" i="26"/>
  <c r="F85" i="26"/>
  <c r="E85" i="26"/>
  <c r="D85" i="26"/>
  <c r="N85" i="26" s="1"/>
  <c r="C85" i="26"/>
  <c r="P84" i="26"/>
  <c r="W84" i="26" s="1"/>
  <c r="D84" i="26"/>
  <c r="N84" i="26" s="1"/>
  <c r="U84" i="26" s="1"/>
  <c r="Y72" i="26"/>
  <c r="U72" i="26"/>
  <c r="T72" i="26"/>
  <c r="O72" i="26"/>
  <c r="Y71" i="26"/>
  <c r="U71" i="26"/>
  <c r="T71" i="26"/>
  <c r="O71" i="26"/>
  <c r="Y70" i="26"/>
  <c r="U70" i="26"/>
  <c r="T70" i="26"/>
  <c r="O70" i="26"/>
  <c r="Y69" i="26"/>
  <c r="U69" i="26"/>
  <c r="T69" i="26"/>
  <c r="O69" i="26"/>
  <c r="Y68" i="26"/>
  <c r="U68" i="26"/>
  <c r="T68" i="26"/>
  <c r="O68" i="26"/>
  <c r="Y67" i="26"/>
  <c r="U67" i="26"/>
  <c r="T67" i="26"/>
  <c r="O67" i="26"/>
  <c r="Y66" i="26"/>
  <c r="U66" i="26"/>
  <c r="T66" i="26"/>
  <c r="O66" i="26"/>
  <c r="Y65" i="26"/>
  <c r="U65" i="26"/>
  <c r="T65" i="26"/>
  <c r="O65" i="26"/>
  <c r="Y64" i="26"/>
  <c r="U64" i="26"/>
  <c r="T64" i="26"/>
  <c r="O64" i="26"/>
  <c r="Y63" i="26"/>
  <c r="U63" i="26"/>
  <c r="T63" i="26"/>
  <c r="O63" i="26"/>
  <c r="Y62" i="26"/>
  <c r="U62" i="26"/>
  <c r="O62" i="26"/>
  <c r="Y61" i="26"/>
  <c r="U61" i="26"/>
  <c r="O61" i="26"/>
  <c r="Y60" i="26"/>
  <c r="U60" i="26"/>
  <c r="O60" i="26"/>
  <c r="Y59" i="26"/>
  <c r="U59" i="26"/>
  <c r="O59" i="26"/>
  <c r="Y58" i="26"/>
  <c r="U58" i="26"/>
  <c r="O58" i="26"/>
  <c r="Y57" i="26"/>
  <c r="U57" i="26"/>
  <c r="O57" i="26"/>
  <c r="Y56" i="26"/>
  <c r="U56" i="26"/>
  <c r="O56" i="26"/>
  <c r="Y55" i="26"/>
  <c r="U55" i="26"/>
  <c r="O55" i="26"/>
  <c r="Y54" i="26"/>
  <c r="U54" i="26"/>
  <c r="O54" i="26"/>
  <c r="Y53" i="26"/>
  <c r="U53" i="26"/>
  <c r="O53" i="26"/>
  <c r="Y52" i="26"/>
  <c r="U52" i="26"/>
  <c r="O52" i="26"/>
  <c r="Y51" i="26"/>
  <c r="U51" i="26"/>
  <c r="O51" i="26"/>
  <c r="Y50" i="26"/>
  <c r="U50" i="26"/>
  <c r="O50" i="26"/>
  <c r="Y49" i="26"/>
  <c r="U49" i="26"/>
  <c r="O49" i="26"/>
  <c r="Y48" i="26"/>
  <c r="U48" i="26"/>
  <c r="O48" i="26"/>
  <c r="Y47" i="26"/>
  <c r="U47" i="26"/>
  <c r="O47" i="26"/>
  <c r="Y46" i="26"/>
  <c r="U46" i="26"/>
  <c r="O46" i="26"/>
  <c r="Y45" i="26"/>
  <c r="U45" i="26"/>
  <c r="O45" i="26"/>
  <c r="Y44" i="26"/>
  <c r="U44" i="26"/>
  <c r="O44" i="26"/>
  <c r="Y43" i="26"/>
  <c r="U43" i="26"/>
  <c r="O43" i="26"/>
  <c r="Y42" i="26"/>
  <c r="U42" i="26"/>
  <c r="O42" i="26"/>
  <c r="Y41" i="26"/>
  <c r="U41" i="26"/>
  <c r="O41" i="26"/>
  <c r="Y40" i="26"/>
  <c r="U40" i="26"/>
  <c r="O40" i="26"/>
  <c r="Y39" i="26"/>
  <c r="U39" i="26"/>
  <c r="O39" i="26"/>
  <c r="Y38" i="26"/>
  <c r="U38" i="26"/>
  <c r="O38" i="26"/>
  <c r="Y37" i="26"/>
  <c r="U37" i="26"/>
  <c r="O37" i="26"/>
  <c r="Y36" i="26"/>
  <c r="U36" i="26"/>
  <c r="O36" i="26"/>
  <c r="Y35" i="26"/>
  <c r="U35" i="26"/>
  <c r="O35" i="26"/>
  <c r="Y34" i="26"/>
  <c r="U34" i="26"/>
  <c r="O34" i="26"/>
  <c r="Y33" i="26"/>
  <c r="U33" i="26"/>
  <c r="O33" i="26"/>
  <c r="Y32" i="26"/>
  <c r="U32" i="26"/>
  <c r="O32" i="26"/>
  <c r="Y31" i="26"/>
  <c r="U31" i="26"/>
  <c r="T31" i="26"/>
  <c r="O31" i="26"/>
  <c r="Y30" i="26"/>
  <c r="U30" i="26"/>
  <c r="T30" i="26"/>
  <c r="O30" i="26"/>
  <c r="Y29" i="26"/>
  <c r="U29" i="26"/>
  <c r="T29" i="26"/>
  <c r="O29" i="26"/>
  <c r="Y28" i="26"/>
  <c r="U28" i="26"/>
  <c r="T28" i="26"/>
  <c r="O28" i="26"/>
  <c r="Y27" i="26"/>
  <c r="U27" i="26"/>
  <c r="T27" i="26"/>
  <c r="O27" i="26"/>
  <c r="Y26" i="26"/>
  <c r="U26" i="26"/>
  <c r="T26" i="26"/>
  <c r="O26" i="26"/>
  <c r="U23" i="26"/>
  <c r="N5" i="26"/>
  <c r="N2" i="26"/>
  <c r="I2" i="26"/>
  <c r="A1" i="26"/>
  <c r="V128" i="26" l="1"/>
  <c r="W127" i="26"/>
  <c r="V106" i="26"/>
  <c r="V125" i="26"/>
  <c r="W117" i="26"/>
  <c r="V130" i="26"/>
  <c r="W88" i="27"/>
  <c r="W92" i="27"/>
  <c r="W96" i="27"/>
  <c r="W100" i="27"/>
  <c r="W116" i="27"/>
  <c r="W124" i="27"/>
  <c r="Q140" i="27"/>
  <c r="R140" i="27" s="1"/>
  <c r="W91" i="26"/>
  <c r="V108" i="26"/>
  <c r="V86" i="26"/>
  <c r="X86" i="26" s="1"/>
  <c r="W96" i="26"/>
  <c r="W107" i="26"/>
  <c r="W118" i="27"/>
  <c r="W126" i="27"/>
  <c r="V118" i="26"/>
  <c r="V126" i="26"/>
  <c r="V94" i="26"/>
  <c r="V123" i="26"/>
  <c r="V131" i="26"/>
  <c r="Q140" i="26"/>
  <c r="Q148" i="26"/>
  <c r="V112" i="27"/>
  <c r="V87" i="26"/>
  <c r="W115" i="26"/>
  <c r="U118" i="26"/>
  <c r="Q167" i="27"/>
  <c r="R167" i="27" s="1"/>
  <c r="Q175" i="27"/>
  <c r="R175" i="27" s="1"/>
  <c r="Q179" i="27"/>
  <c r="R179" i="27" s="1"/>
  <c r="W99" i="26"/>
  <c r="V95" i="26"/>
  <c r="V110" i="26"/>
  <c r="Q144" i="27"/>
  <c r="R144" i="27" s="1"/>
  <c r="Q152" i="27"/>
  <c r="R152" i="27" s="1"/>
  <c r="Q183" i="27"/>
  <c r="R183" i="27" s="1"/>
  <c r="W89" i="27"/>
  <c r="W97" i="27"/>
  <c r="W105" i="27"/>
  <c r="W113" i="27"/>
  <c r="N87" i="27"/>
  <c r="Q87" i="27" s="1"/>
  <c r="R87" i="27" s="1"/>
  <c r="V87" i="27"/>
  <c r="N99" i="27"/>
  <c r="U99" i="27" s="1"/>
  <c r="V99" i="27"/>
  <c r="N103" i="27"/>
  <c r="U103" i="27" s="1"/>
  <c r="N114" i="27"/>
  <c r="V114" i="27"/>
  <c r="N92" i="27"/>
  <c r="V92" i="27"/>
  <c r="N126" i="27"/>
  <c r="Q126" i="27" s="1"/>
  <c r="R126" i="27" s="1"/>
  <c r="W93" i="27"/>
  <c r="W101" i="27"/>
  <c r="N108" i="27"/>
  <c r="U108" i="27" s="1"/>
  <c r="V108" i="27"/>
  <c r="N115" i="27"/>
  <c r="Q115" i="27" s="1"/>
  <c r="R115" i="27" s="1"/>
  <c r="N111" i="27"/>
  <c r="U111" i="27" s="1"/>
  <c r="V111" i="27"/>
  <c r="N118" i="27"/>
  <c r="U118" i="27" s="1"/>
  <c r="V118" i="27"/>
  <c r="W122" i="27"/>
  <c r="Q148" i="27"/>
  <c r="R148" i="27" s="1"/>
  <c r="N88" i="27"/>
  <c r="V88" i="27"/>
  <c r="N96" i="27"/>
  <c r="U96" i="27" s="1"/>
  <c r="V96" i="27"/>
  <c r="N104" i="27"/>
  <c r="U104" i="27" s="1"/>
  <c r="V104" i="27"/>
  <c r="N122" i="27"/>
  <c r="U122" i="27" s="1"/>
  <c r="V122" i="27"/>
  <c r="N130" i="27"/>
  <c r="N97" i="27"/>
  <c r="U97" i="27" s="1"/>
  <c r="V97" i="27"/>
  <c r="N105" i="27"/>
  <c r="U105" i="27" s="1"/>
  <c r="N119" i="27"/>
  <c r="U119" i="27" s="1"/>
  <c r="V119" i="27"/>
  <c r="N127" i="27"/>
  <c r="U127" i="27" s="1"/>
  <c r="N91" i="27"/>
  <c r="V91" i="27"/>
  <c r="N95" i="27"/>
  <c r="U95" i="27" s="1"/>
  <c r="V95" i="27"/>
  <c r="N107" i="27"/>
  <c r="U107" i="27" s="1"/>
  <c r="N121" i="27"/>
  <c r="U121" i="27" s="1"/>
  <c r="V121" i="27"/>
  <c r="N125" i="27"/>
  <c r="U125" i="27" s="1"/>
  <c r="V125" i="27"/>
  <c r="N129" i="27"/>
  <c r="U129" i="27" s="1"/>
  <c r="V129" i="27"/>
  <c r="N100" i="27"/>
  <c r="U100" i="27" s="1"/>
  <c r="V100" i="27"/>
  <c r="V120" i="27"/>
  <c r="N85" i="27"/>
  <c r="N89" i="27"/>
  <c r="U89" i="27" s="1"/>
  <c r="N93" i="27"/>
  <c r="U93" i="27" s="1"/>
  <c r="V93" i="27"/>
  <c r="N101" i="27"/>
  <c r="U101" i="27" s="1"/>
  <c r="V101" i="27"/>
  <c r="V103" i="27"/>
  <c r="N123" i="27"/>
  <c r="U123" i="27" s="1"/>
  <c r="V123" i="27"/>
  <c r="N131" i="27"/>
  <c r="U131" i="27" s="1"/>
  <c r="V131" i="27"/>
  <c r="W90" i="27"/>
  <c r="W94" i="27"/>
  <c r="W102" i="27"/>
  <c r="W106" i="27"/>
  <c r="N109" i="27"/>
  <c r="U109" i="27" s="1"/>
  <c r="N116" i="27"/>
  <c r="V116" i="27"/>
  <c r="W120" i="27"/>
  <c r="W128" i="27"/>
  <c r="N86" i="27"/>
  <c r="V86" i="27"/>
  <c r="X86" i="27" s="1"/>
  <c r="N90" i="27"/>
  <c r="U90" i="27" s="1"/>
  <c r="V90" i="27"/>
  <c r="N94" i="27"/>
  <c r="U94" i="27" s="1"/>
  <c r="V94" i="27"/>
  <c r="N98" i="27"/>
  <c r="U98" i="27" s="1"/>
  <c r="V98" i="27"/>
  <c r="N102" i="27"/>
  <c r="U102" i="27" s="1"/>
  <c r="V102" i="27"/>
  <c r="N106" i="27"/>
  <c r="U106" i="27" s="1"/>
  <c r="V106" i="27"/>
  <c r="W110" i="27"/>
  <c r="N113" i="27"/>
  <c r="U113" i="27" s="1"/>
  <c r="V113" i="27"/>
  <c r="W117" i="27"/>
  <c r="N124" i="27"/>
  <c r="U124" i="27" s="1"/>
  <c r="V124" i="27"/>
  <c r="V126" i="27"/>
  <c r="V130" i="27"/>
  <c r="W91" i="27"/>
  <c r="N110" i="27"/>
  <c r="U110" i="27" s="1"/>
  <c r="V110" i="27"/>
  <c r="W114" i="27"/>
  <c r="N117" i="27"/>
  <c r="U117" i="27" s="1"/>
  <c r="V117" i="27"/>
  <c r="W121" i="27"/>
  <c r="W129" i="27"/>
  <c r="Q180" i="27"/>
  <c r="R180" i="27" s="1"/>
  <c r="Q164" i="27"/>
  <c r="R164" i="27" s="1"/>
  <c r="Q147" i="27"/>
  <c r="R147" i="27" s="1"/>
  <c r="Q172" i="27"/>
  <c r="R172" i="27" s="1"/>
  <c r="W112" i="27"/>
  <c r="W130" i="27"/>
  <c r="Q137" i="27"/>
  <c r="R137" i="27" s="1"/>
  <c r="W99" i="27"/>
  <c r="W109" i="27"/>
  <c r="V128" i="27"/>
  <c r="Q176" i="27"/>
  <c r="R176" i="27" s="1"/>
  <c r="Q145" i="27"/>
  <c r="R145" i="27" s="1"/>
  <c r="Q161" i="27"/>
  <c r="R161" i="27" s="1"/>
  <c r="W104" i="27"/>
  <c r="V115" i="27"/>
  <c r="Q153" i="27"/>
  <c r="R153" i="27" s="1"/>
  <c r="Q159" i="27"/>
  <c r="R159" i="27" s="1"/>
  <c r="Q169" i="27"/>
  <c r="R169" i="27" s="1"/>
  <c r="X104" i="28"/>
  <c r="Y104" i="28" s="1"/>
  <c r="X122" i="28"/>
  <c r="Y122" i="28" s="1"/>
  <c r="X130" i="28"/>
  <c r="Y130" i="28" s="1"/>
  <c r="X98" i="28"/>
  <c r="Y98" i="28" s="1"/>
  <c r="X125" i="28"/>
  <c r="Y125" i="28" s="1"/>
  <c r="X112" i="28"/>
  <c r="Y112" i="28" s="1"/>
  <c r="X103" i="28"/>
  <c r="Y103" i="28" s="1"/>
  <c r="X126" i="28"/>
  <c r="Y126" i="28" s="1"/>
  <c r="X117" i="28"/>
  <c r="Y117" i="28" s="1"/>
  <c r="X113" i="28"/>
  <c r="Y113" i="28" s="1"/>
  <c r="X101" i="28"/>
  <c r="Y101" i="28" s="1"/>
  <c r="X105" i="28"/>
  <c r="Y105" i="28" s="1"/>
  <c r="X92" i="28"/>
  <c r="Y92" i="28" s="1"/>
  <c r="X91" i="28"/>
  <c r="Y91" i="28" s="1"/>
  <c r="X127" i="28"/>
  <c r="Y127" i="28" s="1"/>
  <c r="X106" i="28"/>
  <c r="Y106" i="28" s="1"/>
  <c r="X110" i="28"/>
  <c r="Y110" i="28" s="1"/>
  <c r="X115" i="28"/>
  <c r="Y115" i="28" s="1"/>
  <c r="X121" i="28"/>
  <c r="Y121" i="28" s="1"/>
  <c r="X88" i="28"/>
  <c r="Y88" i="28" s="1"/>
  <c r="X111" i="28"/>
  <c r="Y111" i="28" s="1"/>
  <c r="X94" i="28"/>
  <c r="Y94" i="28" s="1"/>
  <c r="X109" i="28"/>
  <c r="Y109" i="28" s="1"/>
  <c r="X89" i="28"/>
  <c r="Y89" i="28" s="1"/>
  <c r="X93" i="28"/>
  <c r="Y93" i="28" s="1"/>
  <c r="X100" i="28"/>
  <c r="Y100" i="28" s="1"/>
  <c r="X99" i="28"/>
  <c r="Y99" i="28" s="1"/>
  <c r="X114" i="28"/>
  <c r="Y114" i="28" s="1"/>
  <c r="X123" i="28"/>
  <c r="Y123" i="28" s="1"/>
  <c r="X95" i="28"/>
  <c r="Y95" i="28" s="1"/>
  <c r="X116" i="28"/>
  <c r="Y116" i="28" s="1"/>
  <c r="X128" i="28"/>
  <c r="Y128" i="28" s="1"/>
  <c r="X119" i="28"/>
  <c r="Y119" i="28" s="1"/>
  <c r="X96" i="28"/>
  <c r="Y96" i="28" s="1"/>
  <c r="X118" i="28"/>
  <c r="Y118" i="28" s="1"/>
  <c r="X87" i="28"/>
  <c r="Y87" i="28" s="1"/>
  <c r="X124" i="28"/>
  <c r="Y124" i="28" s="1"/>
  <c r="X102" i="28"/>
  <c r="Y102" i="28" s="1"/>
  <c r="X120" i="28"/>
  <c r="Y120" i="28" s="1"/>
  <c r="X97" i="28"/>
  <c r="Y97" i="28" s="1"/>
  <c r="X131" i="28"/>
  <c r="Y131" i="28" s="1"/>
  <c r="X108" i="28"/>
  <c r="Y108" i="28" s="1"/>
  <c r="X107" i="28"/>
  <c r="Y107" i="28" s="1"/>
  <c r="Y84" i="28"/>
  <c r="R136" i="28"/>
  <c r="X90" i="28"/>
  <c r="Y90" i="28" s="1"/>
  <c r="X129" i="28"/>
  <c r="Y129" i="28" s="1"/>
  <c r="Q170" i="27"/>
  <c r="R170" i="27" s="1"/>
  <c r="Q177" i="27"/>
  <c r="R177" i="27" s="1"/>
  <c r="Q156" i="27"/>
  <c r="R156" i="27" s="1"/>
  <c r="W108" i="27"/>
  <c r="Q143" i="27"/>
  <c r="R143" i="27" s="1"/>
  <c r="Q155" i="27"/>
  <c r="R155" i="27" s="1"/>
  <c r="AG85" i="27"/>
  <c r="Q151" i="27"/>
  <c r="R151" i="27" s="1"/>
  <c r="Q96" i="27"/>
  <c r="R96" i="27" s="1"/>
  <c r="P98" i="27"/>
  <c r="W98" i="27" s="1"/>
  <c r="Q103" i="27"/>
  <c r="R103" i="27" s="1"/>
  <c r="N112" i="27"/>
  <c r="N128" i="27"/>
  <c r="Q139" i="27"/>
  <c r="R139" i="27" s="1"/>
  <c r="Q168" i="27"/>
  <c r="R168" i="27" s="1"/>
  <c r="Q171" i="27"/>
  <c r="R171" i="27" s="1"/>
  <c r="U84" i="27"/>
  <c r="R84" i="27"/>
  <c r="N120" i="27"/>
  <c r="P125" i="27"/>
  <c r="W125" i="27" s="1"/>
  <c r="U114" i="27"/>
  <c r="Q114" i="27"/>
  <c r="R114" i="27" s="1"/>
  <c r="Q160" i="27"/>
  <c r="R160" i="27" s="1"/>
  <c r="Q163" i="27"/>
  <c r="R163" i="27" s="1"/>
  <c r="Q95" i="27"/>
  <c r="R95" i="27" s="1"/>
  <c r="Q141" i="27"/>
  <c r="R141" i="27" s="1"/>
  <c r="Q149" i="27"/>
  <c r="R149" i="27" s="1"/>
  <c r="Q157" i="27"/>
  <c r="R157" i="27" s="1"/>
  <c r="Q165" i="27"/>
  <c r="R165" i="27" s="1"/>
  <c r="Q173" i="27"/>
  <c r="R173" i="27" s="1"/>
  <c r="Q181" i="27"/>
  <c r="R181" i="27" s="1"/>
  <c r="Q138" i="27"/>
  <c r="R138" i="27" s="1"/>
  <c r="Q146" i="27"/>
  <c r="R146" i="27" s="1"/>
  <c r="Q154" i="27"/>
  <c r="R154" i="27" s="1"/>
  <c r="Q162" i="27"/>
  <c r="R162" i="27" s="1"/>
  <c r="Q178" i="27"/>
  <c r="R178" i="27" s="1"/>
  <c r="Q142" i="27"/>
  <c r="R142" i="27" s="1"/>
  <c r="Q150" i="27"/>
  <c r="R150" i="27" s="1"/>
  <c r="Q158" i="27"/>
  <c r="R158" i="27" s="1"/>
  <c r="Q166" i="27"/>
  <c r="R166" i="27" s="1"/>
  <c r="Q174" i="27"/>
  <c r="R174" i="27" s="1"/>
  <c r="Q182" i="27"/>
  <c r="R182" i="27" s="1"/>
  <c r="U124" i="26"/>
  <c r="V105" i="26"/>
  <c r="V92" i="26"/>
  <c r="W118" i="26"/>
  <c r="Q139" i="26"/>
  <c r="R139" i="26" s="1"/>
  <c r="Q153" i="26"/>
  <c r="R153" i="26" s="1"/>
  <c r="Q169" i="26"/>
  <c r="R169" i="26" s="1"/>
  <c r="Q177" i="26"/>
  <c r="R177" i="26" s="1"/>
  <c r="V89" i="26"/>
  <c r="V113" i="26"/>
  <c r="W126" i="26"/>
  <c r="X126" i="26" s="1"/>
  <c r="Y126" i="26" s="1"/>
  <c r="U100" i="26"/>
  <c r="W102" i="26"/>
  <c r="V124" i="26"/>
  <c r="W89" i="26"/>
  <c r="U92" i="26"/>
  <c r="W113" i="26"/>
  <c r="U116" i="26"/>
  <c r="V116" i="26"/>
  <c r="V121" i="26"/>
  <c r="Q137" i="26"/>
  <c r="R137" i="26" s="1"/>
  <c r="Q163" i="26"/>
  <c r="R163" i="26" s="1"/>
  <c r="U88" i="26"/>
  <c r="X88" i="26" s="1"/>
  <c r="Y88" i="26" s="1"/>
  <c r="V96" i="26"/>
  <c r="V98" i="26"/>
  <c r="V103" i="26"/>
  <c r="W108" i="26"/>
  <c r="V114" i="26"/>
  <c r="V119" i="26"/>
  <c r="Q158" i="26"/>
  <c r="R158" i="26" s="1"/>
  <c r="Q164" i="26"/>
  <c r="Q180" i="26"/>
  <c r="R180" i="26" s="1"/>
  <c r="W105" i="26"/>
  <c r="R148" i="26"/>
  <c r="Q161" i="26"/>
  <c r="R161" i="26" s="1"/>
  <c r="W94" i="26"/>
  <c r="W93" i="26"/>
  <c r="W119" i="26"/>
  <c r="X120" i="26"/>
  <c r="Y120" i="26" s="1"/>
  <c r="W100" i="26"/>
  <c r="V101" i="26"/>
  <c r="W103" i="26"/>
  <c r="W116" i="26"/>
  <c r="V127" i="26"/>
  <c r="X104" i="26"/>
  <c r="Y104" i="26" s="1"/>
  <c r="U102" i="26"/>
  <c r="Q102" i="26"/>
  <c r="R102" i="26" s="1"/>
  <c r="V129" i="26"/>
  <c r="Q142" i="26"/>
  <c r="R142" i="26" s="1"/>
  <c r="Q166" i="26"/>
  <c r="R166" i="26" s="1"/>
  <c r="Q171" i="26"/>
  <c r="R171" i="26" s="1"/>
  <c r="Q91" i="26"/>
  <c r="R91" i="26" s="1"/>
  <c r="Q107" i="26"/>
  <c r="R107" i="26" s="1"/>
  <c r="Q147" i="26"/>
  <c r="R147" i="26" s="1"/>
  <c r="Q172" i="26"/>
  <c r="R172" i="26" s="1"/>
  <c r="Q174" i="26"/>
  <c r="R174" i="26" s="1"/>
  <c r="Q179" i="26"/>
  <c r="R179" i="26" s="1"/>
  <c r="R84" i="26"/>
  <c r="Y84" i="26" s="1"/>
  <c r="V85" i="26"/>
  <c r="X85" i="26" s="1"/>
  <c r="V97" i="26"/>
  <c r="W121" i="26"/>
  <c r="W124" i="26"/>
  <c r="R140" i="26"/>
  <c r="Q145" i="26"/>
  <c r="R145" i="26" s="1"/>
  <c r="R164" i="26"/>
  <c r="Q182" i="26"/>
  <c r="R182" i="26" s="1"/>
  <c r="W92" i="26"/>
  <c r="X92" i="26" s="1"/>
  <c r="Y92" i="26" s="1"/>
  <c r="V93" i="26"/>
  <c r="V102" i="26"/>
  <c r="W129" i="26"/>
  <c r="Q150" i="26"/>
  <c r="R150" i="26" s="1"/>
  <c r="Q155" i="26"/>
  <c r="R155" i="26" s="1"/>
  <c r="W111" i="26"/>
  <c r="Q129" i="26"/>
  <c r="R129" i="26" s="1"/>
  <c r="Q156" i="26"/>
  <c r="R156" i="26" s="1"/>
  <c r="W90" i="26"/>
  <c r="W97" i="26"/>
  <c r="V107" i="26"/>
  <c r="V122" i="26"/>
  <c r="U114" i="26"/>
  <c r="U106" i="26"/>
  <c r="U90" i="26"/>
  <c r="Q90" i="26"/>
  <c r="R90" i="26" s="1"/>
  <c r="Q97" i="26"/>
  <c r="R97" i="26" s="1"/>
  <c r="U97" i="26"/>
  <c r="U130" i="26"/>
  <c r="Q86" i="26"/>
  <c r="R86" i="26" s="1"/>
  <c r="U98" i="26"/>
  <c r="Q121" i="26"/>
  <c r="R121" i="26" s="1"/>
  <c r="U121" i="26"/>
  <c r="Q89" i="26"/>
  <c r="R89" i="26" s="1"/>
  <c r="U89" i="26"/>
  <c r="Q105" i="26"/>
  <c r="R105" i="26" s="1"/>
  <c r="U105" i="26"/>
  <c r="Q113" i="26"/>
  <c r="R113" i="26" s="1"/>
  <c r="U113" i="26"/>
  <c r="U122" i="26"/>
  <c r="Q108" i="26"/>
  <c r="R108" i="26" s="1"/>
  <c r="U108" i="26"/>
  <c r="U129" i="26"/>
  <c r="Q144" i="26"/>
  <c r="R144" i="26" s="1"/>
  <c r="Q160" i="26"/>
  <c r="R160" i="26" s="1"/>
  <c r="Q112" i="26"/>
  <c r="R112" i="26" s="1"/>
  <c r="N117" i="26"/>
  <c r="Q118" i="26"/>
  <c r="R118" i="26" s="1"/>
  <c r="P122" i="26"/>
  <c r="W122" i="26" s="1"/>
  <c r="U123" i="26"/>
  <c r="U128" i="26"/>
  <c r="Q128" i="26"/>
  <c r="R128" i="26" s="1"/>
  <c r="U131" i="26"/>
  <c r="Q96" i="26"/>
  <c r="R96" i="26" s="1"/>
  <c r="N101" i="26"/>
  <c r="AG85" i="26"/>
  <c r="U95" i="26"/>
  <c r="Q95" i="26"/>
  <c r="R95" i="26" s="1"/>
  <c r="U111" i="26"/>
  <c r="Q111" i="26"/>
  <c r="R111" i="26" s="1"/>
  <c r="Q123" i="26"/>
  <c r="R123" i="26" s="1"/>
  <c r="U127" i="26"/>
  <c r="Q127" i="26"/>
  <c r="R127" i="26" s="1"/>
  <c r="P130" i="26"/>
  <c r="W130" i="26" s="1"/>
  <c r="Q131" i="26"/>
  <c r="R131" i="26" s="1"/>
  <c r="Q149" i="26"/>
  <c r="R149" i="26" s="1"/>
  <c r="Q92" i="26"/>
  <c r="R92" i="26" s="1"/>
  <c r="Q124" i="26"/>
  <c r="R124" i="26" s="1"/>
  <c r="P106" i="26"/>
  <c r="W106" i="26" s="1"/>
  <c r="U107" i="26"/>
  <c r="P85" i="26"/>
  <c r="Q85" i="26" s="1"/>
  <c r="R85" i="26" s="1"/>
  <c r="U96" i="26"/>
  <c r="Q100" i="26"/>
  <c r="R100" i="26" s="1"/>
  <c r="U112" i="26"/>
  <c r="Q116" i="26"/>
  <c r="R116" i="26" s="1"/>
  <c r="Q168" i="26"/>
  <c r="R168" i="26" s="1"/>
  <c r="U91" i="26"/>
  <c r="Q152" i="26"/>
  <c r="R152" i="26" s="1"/>
  <c r="Q88" i="26"/>
  <c r="R88" i="26" s="1"/>
  <c r="N93" i="26"/>
  <c r="Q94" i="26"/>
  <c r="R94" i="26" s="1"/>
  <c r="P98" i="26"/>
  <c r="W98" i="26" s="1"/>
  <c r="U99" i="26"/>
  <c r="Q104" i="26"/>
  <c r="R104" i="26" s="1"/>
  <c r="N109" i="26"/>
  <c r="X110" i="26"/>
  <c r="Y110" i="26" s="1"/>
  <c r="Q110" i="26"/>
  <c r="R110" i="26" s="1"/>
  <c r="P114" i="26"/>
  <c r="W114" i="26" s="1"/>
  <c r="U115" i="26"/>
  <c r="Q120" i="26"/>
  <c r="R120" i="26" s="1"/>
  <c r="N125" i="26"/>
  <c r="Q126" i="26"/>
  <c r="R126" i="26" s="1"/>
  <c r="Q176" i="26"/>
  <c r="R176" i="26" s="1"/>
  <c r="U87" i="26"/>
  <c r="Q87" i="26"/>
  <c r="R87" i="26" s="1"/>
  <c r="Q99" i="26"/>
  <c r="R99" i="26" s="1"/>
  <c r="U103" i="26"/>
  <c r="Q103" i="26"/>
  <c r="R103" i="26" s="1"/>
  <c r="Q115" i="26"/>
  <c r="R115" i="26" s="1"/>
  <c r="U119" i="26"/>
  <c r="Q119" i="26"/>
  <c r="R119" i="26" s="1"/>
  <c r="Q141" i="26"/>
  <c r="R141" i="26" s="1"/>
  <c r="Q157" i="26"/>
  <c r="R157" i="26" s="1"/>
  <c r="R181" i="26"/>
  <c r="Q165" i="26"/>
  <c r="R165" i="26" s="1"/>
  <c r="Q173" i="26"/>
  <c r="R173" i="26" s="1"/>
  <c r="Q181" i="26"/>
  <c r="Q138" i="26"/>
  <c r="R138" i="26" s="1"/>
  <c r="Q146" i="26"/>
  <c r="R146" i="26" s="1"/>
  <c r="Q154" i="26"/>
  <c r="R154" i="26" s="1"/>
  <c r="Q162" i="26"/>
  <c r="R162" i="26" s="1"/>
  <c r="Q170" i="26"/>
  <c r="R170" i="26" s="1"/>
  <c r="Q178" i="26"/>
  <c r="R178" i="26" s="1"/>
  <c r="Q143" i="26"/>
  <c r="R143" i="26" s="1"/>
  <c r="Q151" i="26"/>
  <c r="R151" i="26" s="1"/>
  <c r="Q159" i="26"/>
  <c r="R159" i="26" s="1"/>
  <c r="Q167" i="26"/>
  <c r="R167" i="26" s="1"/>
  <c r="Q175" i="26"/>
  <c r="R175" i="26" s="1"/>
  <c r="Q183" i="26"/>
  <c r="R183" i="26" s="1"/>
  <c r="R26" i="25"/>
  <c r="X118" i="26" l="1"/>
  <c r="Y118" i="26" s="1"/>
  <c r="U115" i="27"/>
  <c r="X100" i="26"/>
  <c r="Y100" i="26" s="1"/>
  <c r="Q110" i="27"/>
  <c r="R110" i="27" s="1"/>
  <c r="Q131" i="27"/>
  <c r="R131" i="27" s="1"/>
  <c r="X124" i="26"/>
  <c r="Y124" i="26" s="1"/>
  <c r="U126" i="27"/>
  <c r="X126" i="27" s="1"/>
  <c r="Y126" i="27" s="1"/>
  <c r="Q111" i="27"/>
  <c r="R111" i="27" s="1"/>
  <c r="X111" i="27"/>
  <c r="Y111" i="27" s="1"/>
  <c r="Q90" i="27"/>
  <c r="R90" i="27" s="1"/>
  <c r="Q121" i="27"/>
  <c r="R121" i="27" s="1"/>
  <c r="Q100" i="27"/>
  <c r="R100" i="27" s="1"/>
  <c r="U87" i="27"/>
  <c r="X87" i="27" s="1"/>
  <c r="Y87" i="27" s="1"/>
  <c r="Q119" i="27"/>
  <c r="R119" i="27" s="1"/>
  <c r="Q124" i="27"/>
  <c r="R124" i="27" s="1"/>
  <c r="X94" i="26"/>
  <c r="Y94" i="26" s="1"/>
  <c r="X116" i="26"/>
  <c r="Y116" i="26" s="1"/>
  <c r="X113" i="27"/>
  <c r="Y113" i="27" s="1"/>
  <c r="Q91" i="27"/>
  <c r="R91" i="27" s="1"/>
  <c r="Q104" i="27"/>
  <c r="R104" i="27" s="1"/>
  <c r="Q97" i="27"/>
  <c r="R97" i="27" s="1"/>
  <c r="Q102" i="27"/>
  <c r="R102" i="27" s="1"/>
  <c r="Q107" i="27"/>
  <c r="R107" i="27" s="1"/>
  <c r="X119" i="27"/>
  <c r="Y119" i="27" s="1"/>
  <c r="Q109" i="27"/>
  <c r="R109" i="27" s="1"/>
  <c r="Q94" i="27"/>
  <c r="R94" i="27" s="1"/>
  <c r="X97" i="27"/>
  <c r="Y97" i="27" s="1"/>
  <c r="Q101" i="27"/>
  <c r="R101" i="27" s="1"/>
  <c r="Q116" i="27"/>
  <c r="R116" i="27" s="1"/>
  <c r="Q85" i="27"/>
  <c r="R85" i="27" s="1"/>
  <c r="V85" i="27"/>
  <c r="X85" i="27" s="1"/>
  <c r="Q122" i="27"/>
  <c r="R122" i="27" s="1"/>
  <c r="Q106" i="27"/>
  <c r="R106" i="27" s="1"/>
  <c r="Q92" i="27"/>
  <c r="R92" i="27" s="1"/>
  <c r="Q108" i="27"/>
  <c r="R108" i="27" s="1"/>
  <c r="Q89" i="27"/>
  <c r="R89" i="27" s="1"/>
  <c r="X121" i="27"/>
  <c r="Y121" i="27" s="1"/>
  <c r="Q127" i="27"/>
  <c r="R127" i="27" s="1"/>
  <c r="Q99" i="27"/>
  <c r="R99" i="27" s="1"/>
  <c r="Q93" i="27"/>
  <c r="R93" i="27" s="1"/>
  <c r="Q130" i="27"/>
  <c r="R130" i="27" s="1"/>
  <c r="V107" i="27"/>
  <c r="X107" i="27" s="1"/>
  <c r="Y107" i="27" s="1"/>
  <c r="X129" i="27"/>
  <c r="Y129" i="27" s="1"/>
  <c r="X95" i="27"/>
  <c r="Y95" i="27" s="1"/>
  <c r="Q105" i="27"/>
  <c r="R105" i="27" s="1"/>
  <c r="Q88" i="27"/>
  <c r="R88" i="27" s="1"/>
  <c r="X99" i="27"/>
  <c r="Y99" i="27" s="1"/>
  <c r="X123" i="27"/>
  <c r="Y123" i="27" s="1"/>
  <c r="V89" i="27"/>
  <c r="X89" i="27" s="1"/>
  <c r="Y89" i="27" s="1"/>
  <c r="V105" i="27"/>
  <c r="X105" i="27" s="1"/>
  <c r="Y105" i="27" s="1"/>
  <c r="U130" i="27"/>
  <c r="X130" i="27" s="1"/>
  <c r="Y130" i="27" s="1"/>
  <c r="Q86" i="27"/>
  <c r="R86" i="27" s="1"/>
  <c r="U116" i="27"/>
  <c r="X116" i="27" s="1"/>
  <c r="Y116" i="27" s="1"/>
  <c r="U92" i="27"/>
  <c r="X92" i="27" s="1"/>
  <c r="Y92" i="27" s="1"/>
  <c r="V109" i="27"/>
  <c r="X109" i="27" s="1"/>
  <c r="Y109" i="27" s="1"/>
  <c r="V127" i="27"/>
  <c r="X127" i="27" s="1"/>
  <c r="Y127" i="27" s="1"/>
  <c r="U91" i="27"/>
  <c r="X91" i="27" s="1"/>
  <c r="Y91" i="27" s="1"/>
  <c r="Q118" i="27"/>
  <c r="R118" i="27" s="1"/>
  <c r="Q123" i="27"/>
  <c r="R123" i="27" s="1"/>
  <c r="U88" i="27"/>
  <c r="X88" i="27" s="1"/>
  <c r="Y88" i="27" s="1"/>
  <c r="Q117" i="27"/>
  <c r="R117" i="27" s="1"/>
  <c r="Q129" i="27"/>
  <c r="R129" i="27" s="1"/>
  <c r="Q113" i="27"/>
  <c r="R113" i="27" s="1"/>
  <c r="X124" i="27"/>
  <c r="Y124" i="27" s="1"/>
  <c r="X102" i="27"/>
  <c r="Y102" i="27" s="1"/>
  <c r="Q112" i="27"/>
  <c r="R112" i="27" s="1"/>
  <c r="U112" i="27"/>
  <c r="Q98" i="27"/>
  <c r="R98" i="27" s="1"/>
  <c r="X117" i="27"/>
  <c r="Y117" i="27" s="1"/>
  <c r="Q120" i="27"/>
  <c r="R120" i="27" s="1"/>
  <c r="U120" i="27"/>
  <c r="X103" i="27"/>
  <c r="Y103" i="27" s="1"/>
  <c r="X114" i="27"/>
  <c r="Y114" i="27" s="1"/>
  <c r="X115" i="27"/>
  <c r="Y115" i="27" s="1"/>
  <c r="X122" i="27"/>
  <c r="Y122" i="27" s="1"/>
  <c r="X93" i="27"/>
  <c r="Y93" i="27" s="1"/>
  <c r="X106" i="27"/>
  <c r="Y106" i="27" s="1"/>
  <c r="X125" i="27"/>
  <c r="Y125" i="27" s="1"/>
  <c r="X110" i="27"/>
  <c r="Y110" i="27" s="1"/>
  <c r="R136" i="27"/>
  <c r="Y84" i="27"/>
  <c r="X98" i="27"/>
  <c r="Y98" i="27" s="1"/>
  <c r="X108" i="27"/>
  <c r="Y108" i="27" s="1"/>
  <c r="X96" i="27"/>
  <c r="Y96" i="27" s="1"/>
  <c r="X131" i="27"/>
  <c r="Y131" i="27" s="1"/>
  <c r="X104" i="27"/>
  <c r="Y104" i="27" s="1"/>
  <c r="X101" i="27"/>
  <c r="Y101" i="27" s="1"/>
  <c r="Q128" i="27"/>
  <c r="R128" i="27" s="1"/>
  <c r="U128" i="27"/>
  <c r="X100" i="27"/>
  <c r="Y100" i="27" s="1"/>
  <c r="X90" i="27"/>
  <c r="Y90" i="27" s="1"/>
  <c r="X118" i="27"/>
  <c r="Y118" i="27" s="1"/>
  <c r="X94" i="27"/>
  <c r="Y94" i="27" s="1"/>
  <c r="Q125" i="27"/>
  <c r="R125" i="27" s="1"/>
  <c r="X102" i="26"/>
  <c r="Y102" i="26" s="1"/>
  <c r="R136" i="26"/>
  <c r="X119" i="26"/>
  <c r="Y119" i="26" s="1"/>
  <c r="X96" i="26"/>
  <c r="Y96" i="26" s="1"/>
  <c r="X127" i="26"/>
  <c r="Y127" i="26" s="1"/>
  <c r="Q98" i="26"/>
  <c r="R98" i="26" s="1"/>
  <c r="X106" i="26"/>
  <c r="Y106" i="26" s="1"/>
  <c r="X123" i="26"/>
  <c r="Y123" i="26" s="1"/>
  <c r="X130" i="26"/>
  <c r="Y130" i="26" s="1"/>
  <c r="X121" i="26"/>
  <c r="Y121" i="26" s="1"/>
  <c r="X98" i="26"/>
  <c r="Y98" i="26" s="1"/>
  <c r="U109" i="26"/>
  <c r="Q109" i="26"/>
  <c r="R109" i="26" s="1"/>
  <c r="X91" i="26"/>
  <c r="Y91" i="26" s="1"/>
  <c r="X107" i="26"/>
  <c r="Y107" i="26" s="1"/>
  <c r="X95" i="26"/>
  <c r="Y95" i="26" s="1"/>
  <c r="Q122" i="26"/>
  <c r="R122" i="26" s="1"/>
  <c r="X97" i="26"/>
  <c r="Y97" i="26" s="1"/>
  <c r="X112" i="26"/>
  <c r="Y112" i="26" s="1"/>
  <c r="X131" i="26"/>
  <c r="Y131" i="26" s="1"/>
  <c r="X129" i="26"/>
  <c r="Y129" i="26" s="1"/>
  <c r="X113" i="26"/>
  <c r="Y113" i="26" s="1"/>
  <c r="X89" i="26"/>
  <c r="Y89" i="26" s="1"/>
  <c r="Q114" i="26"/>
  <c r="R114" i="26" s="1"/>
  <c r="X115" i="26"/>
  <c r="Y115" i="26" s="1"/>
  <c r="U93" i="26"/>
  <c r="Q93" i="26"/>
  <c r="R93" i="26" s="1"/>
  <c r="U101" i="26"/>
  <c r="Q101" i="26"/>
  <c r="R101" i="26" s="1"/>
  <c r="X122" i="26"/>
  <c r="Y122" i="26" s="1"/>
  <c r="X87" i="26"/>
  <c r="Y87" i="26" s="1"/>
  <c r="X111" i="26"/>
  <c r="Y111" i="26" s="1"/>
  <c r="X108" i="26"/>
  <c r="Y108" i="26" s="1"/>
  <c r="Q106" i="26"/>
  <c r="R106" i="26" s="1"/>
  <c r="X114" i="26"/>
  <c r="Y114" i="26" s="1"/>
  <c r="X103" i="26"/>
  <c r="Y103" i="26" s="1"/>
  <c r="U125" i="26"/>
  <c r="Q125" i="26"/>
  <c r="R125" i="26" s="1"/>
  <c r="X99" i="26"/>
  <c r="Y99" i="26" s="1"/>
  <c r="X128" i="26"/>
  <c r="Y128" i="26" s="1"/>
  <c r="U117" i="26"/>
  <c r="Q117" i="26"/>
  <c r="R117" i="26" s="1"/>
  <c r="X105" i="26"/>
  <c r="Y105" i="26" s="1"/>
  <c r="Q130" i="26"/>
  <c r="R130" i="26" s="1"/>
  <c r="X90" i="26"/>
  <c r="Y90" i="26" s="1"/>
  <c r="X120" i="27" l="1"/>
  <c r="Y120" i="27" s="1"/>
  <c r="X112" i="27"/>
  <c r="Y112" i="27" s="1"/>
  <c r="X128" i="27"/>
  <c r="Y128" i="27" s="1"/>
  <c r="X109" i="26"/>
  <c r="Y109" i="26" s="1"/>
  <c r="X93" i="26"/>
  <c r="Y93" i="26" s="1"/>
  <c r="X125" i="26"/>
  <c r="Y125" i="26" s="1"/>
  <c r="X117" i="26"/>
  <c r="Y117" i="26" s="1"/>
  <c r="X101" i="26"/>
  <c r="Y101" i="26" s="1"/>
  <c r="O183" i="25"/>
  <c r="D183" i="25"/>
  <c r="N183" i="25" s="1"/>
  <c r="C183" i="25"/>
  <c r="P183" i="25" s="1"/>
  <c r="O182" i="25"/>
  <c r="D182" i="25"/>
  <c r="N182" i="25" s="1"/>
  <c r="C182" i="25"/>
  <c r="P182" i="25" s="1"/>
  <c r="O181" i="25"/>
  <c r="D181" i="25"/>
  <c r="N181" i="25" s="1"/>
  <c r="C181" i="25"/>
  <c r="C129" i="25" s="1"/>
  <c r="P129" i="25" s="1"/>
  <c r="O180" i="25"/>
  <c r="D180" i="25"/>
  <c r="N180" i="25" s="1"/>
  <c r="C180" i="25"/>
  <c r="P180" i="25" s="1"/>
  <c r="O179" i="25"/>
  <c r="D179" i="25"/>
  <c r="N179" i="25" s="1"/>
  <c r="C179" i="25"/>
  <c r="P179" i="25" s="1"/>
  <c r="O178" i="25"/>
  <c r="D178" i="25"/>
  <c r="N178" i="25" s="1"/>
  <c r="C178" i="25"/>
  <c r="P178" i="25" s="1"/>
  <c r="O177" i="25"/>
  <c r="D177" i="25"/>
  <c r="N177" i="25" s="1"/>
  <c r="C177" i="25"/>
  <c r="O176" i="25"/>
  <c r="D176" i="25"/>
  <c r="N176" i="25" s="1"/>
  <c r="C176" i="25"/>
  <c r="P176" i="25" s="1"/>
  <c r="O175" i="25"/>
  <c r="D175" i="25"/>
  <c r="N175" i="25" s="1"/>
  <c r="C175" i="25"/>
  <c r="P175" i="25" s="1"/>
  <c r="O174" i="25"/>
  <c r="D174" i="25"/>
  <c r="D122" i="25" s="1"/>
  <c r="N122" i="25" s="1"/>
  <c r="C174" i="25"/>
  <c r="P174" i="25" s="1"/>
  <c r="O173" i="25"/>
  <c r="D173" i="25"/>
  <c r="N173" i="25" s="1"/>
  <c r="C173" i="25"/>
  <c r="P173" i="25" s="1"/>
  <c r="O172" i="25"/>
  <c r="D172" i="25"/>
  <c r="N172" i="25" s="1"/>
  <c r="C172" i="25"/>
  <c r="P172" i="25" s="1"/>
  <c r="O171" i="25"/>
  <c r="D171" i="25"/>
  <c r="N171" i="25" s="1"/>
  <c r="C171" i="25"/>
  <c r="P171" i="25" s="1"/>
  <c r="O170" i="25"/>
  <c r="D170" i="25"/>
  <c r="N170" i="25" s="1"/>
  <c r="C170" i="25"/>
  <c r="P170" i="25" s="1"/>
  <c r="O169" i="25"/>
  <c r="D169" i="25"/>
  <c r="N169" i="25" s="1"/>
  <c r="C169" i="25"/>
  <c r="O168" i="25"/>
  <c r="D168" i="25"/>
  <c r="N168" i="25" s="1"/>
  <c r="C168" i="25"/>
  <c r="P168" i="25" s="1"/>
  <c r="O167" i="25"/>
  <c r="D167" i="25"/>
  <c r="N167" i="25" s="1"/>
  <c r="C167" i="25"/>
  <c r="P167" i="25" s="1"/>
  <c r="O166" i="25"/>
  <c r="D166" i="25"/>
  <c r="N166" i="25" s="1"/>
  <c r="C166" i="25"/>
  <c r="P166" i="25" s="1"/>
  <c r="O165" i="25"/>
  <c r="D165" i="25"/>
  <c r="N165" i="25" s="1"/>
  <c r="C165" i="25"/>
  <c r="P165" i="25" s="1"/>
  <c r="O164" i="25"/>
  <c r="D164" i="25"/>
  <c r="N164" i="25" s="1"/>
  <c r="C164" i="25"/>
  <c r="P164" i="25" s="1"/>
  <c r="O163" i="25"/>
  <c r="D163" i="25"/>
  <c r="N163" i="25" s="1"/>
  <c r="C163" i="25"/>
  <c r="P163" i="25" s="1"/>
  <c r="O162" i="25"/>
  <c r="D162" i="25"/>
  <c r="N162" i="25" s="1"/>
  <c r="C162" i="25"/>
  <c r="P162" i="25" s="1"/>
  <c r="O161" i="25"/>
  <c r="D161" i="25"/>
  <c r="N161" i="25" s="1"/>
  <c r="C161" i="25"/>
  <c r="O160" i="25"/>
  <c r="D160" i="25"/>
  <c r="N160" i="25" s="1"/>
  <c r="C160" i="25"/>
  <c r="P160" i="25" s="1"/>
  <c r="O159" i="25"/>
  <c r="D159" i="25"/>
  <c r="N159" i="25" s="1"/>
  <c r="C159" i="25"/>
  <c r="P159" i="25" s="1"/>
  <c r="O158" i="25"/>
  <c r="D158" i="25"/>
  <c r="N158" i="25" s="1"/>
  <c r="C158" i="25"/>
  <c r="P158" i="25" s="1"/>
  <c r="O157" i="25"/>
  <c r="D157" i="25"/>
  <c r="N157" i="25" s="1"/>
  <c r="C157" i="25"/>
  <c r="P157" i="25" s="1"/>
  <c r="O156" i="25"/>
  <c r="D156" i="25"/>
  <c r="N156" i="25" s="1"/>
  <c r="C156" i="25"/>
  <c r="P156" i="25" s="1"/>
  <c r="O155" i="25"/>
  <c r="D155" i="25"/>
  <c r="N155" i="25" s="1"/>
  <c r="C155" i="25"/>
  <c r="P155" i="25" s="1"/>
  <c r="O154" i="25"/>
  <c r="D154" i="25"/>
  <c r="C154" i="25"/>
  <c r="C102" i="25" s="1"/>
  <c r="P102" i="25" s="1"/>
  <c r="O153" i="25"/>
  <c r="D153" i="25"/>
  <c r="N153" i="25" s="1"/>
  <c r="C153" i="25"/>
  <c r="O152" i="25"/>
  <c r="D152" i="25"/>
  <c r="N152" i="25" s="1"/>
  <c r="C152" i="25"/>
  <c r="P152" i="25" s="1"/>
  <c r="O151" i="25"/>
  <c r="D151" i="25"/>
  <c r="N151" i="25" s="1"/>
  <c r="C151" i="25"/>
  <c r="P151" i="25" s="1"/>
  <c r="O150" i="25"/>
  <c r="D150" i="25"/>
  <c r="N150" i="25" s="1"/>
  <c r="C150" i="25"/>
  <c r="P150" i="25" s="1"/>
  <c r="O149" i="25"/>
  <c r="D149" i="25"/>
  <c r="N149" i="25" s="1"/>
  <c r="C149" i="25"/>
  <c r="P149" i="25" s="1"/>
  <c r="O148" i="25"/>
  <c r="D148" i="25"/>
  <c r="N148" i="25" s="1"/>
  <c r="C148" i="25"/>
  <c r="P148" i="25" s="1"/>
  <c r="O147" i="25"/>
  <c r="D147" i="25"/>
  <c r="N147" i="25" s="1"/>
  <c r="C147" i="25"/>
  <c r="C95" i="25" s="1"/>
  <c r="P95" i="25" s="1"/>
  <c r="O146" i="25"/>
  <c r="D146" i="25"/>
  <c r="C146" i="25"/>
  <c r="P146" i="25" s="1"/>
  <c r="O145" i="25"/>
  <c r="D145" i="25"/>
  <c r="N145" i="25" s="1"/>
  <c r="C145" i="25"/>
  <c r="O144" i="25"/>
  <c r="D144" i="25"/>
  <c r="N144" i="25" s="1"/>
  <c r="C144" i="25"/>
  <c r="P144" i="25" s="1"/>
  <c r="O143" i="25"/>
  <c r="D143" i="25"/>
  <c r="N143" i="25" s="1"/>
  <c r="C143" i="25"/>
  <c r="P143" i="25" s="1"/>
  <c r="O142" i="25"/>
  <c r="D142" i="25"/>
  <c r="N142" i="25" s="1"/>
  <c r="C142" i="25"/>
  <c r="P142" i="25" s="1"/>
  <c r="O141" i="25"/>
  <c r="D141" i="25"/>
  <c r="N141" i="25" s="1"/>
  <c r="C141" i="25"/>
  <c r="P141" i="25" s="1"/>
  <c r="O140" i="25"/>
  <c r="D140" i="25"/>
  <c r="N140" i="25" s="1"/>
  <c r="C140" i="25"/>
  <c r="C88" i="25" s="1"/>
  <c r="P88" i="25" s="1"/>
  <c r="O139" i="25"/>
  <c r="D139" i="25"/>
  <c r="N139" i="25" s="1"/>
  <c r="C139" i="25"/>
  <c r="C87" i="25" s="1"/>
  <c r="P87" i="25" s="1"/>
  <c r="O138" i="25"/>
  <c r="D138" i="25"/>
  <c r="N138" i="25" s="1"/>
  <c r="C138" i="25"/>
  <c r="P138" i="25" s="1"/>
  <c r="O137" i="25"/>
  <c r="D137" i="25"/>
  <c r="N137" i="25" s="1"/>
  <c r="C137" i="25"/>
  <c r="P137" i="25" s="1"/>
  <c r="Q136" i="25"/>
  <c r="P136" i="25"/>
  <c r="N136" i="25"/>
  <c r="K131" i="25"/>
  <c r="J131" i="25"/>
  <c r="I131" i="25"/>
  <c r="H131" i="25"/>
  <c r="O131" i="25" s="1"/>
  <c r="G131" i="25"/>
  <c r="F131" i="25"/>
  <c r="E131" i="25"/>
  <c r="C131" i="25"/>
  <c r="P131" i="25" s="1"/>
  <c r="W131" i="25" s="1"/>
  <c r="K130" i="25"/>
  <c r="J130" i="25"/>
  <c r="I130" i="25"/>
  <c r="H130" i="25"/>
  <c r="O130" i="25" s="1"/>
  <c r="V130" i="25" s="1"/>
  <c r="G130" i="25"/>
  <c r="F130" i="25"/>
  <c r="E130" i="25"/>
  <c r="D130" i="25"/>
  <c r="N130" i="25" s="1"/>
  <c r="K129" i="25"/>
  <c r="J129" i="25"/>
  <c r="I129" i="25"/>
  <c r="H129" i="25"/>
  <c r="O129" i="25" s="1"/>
  <c r="V129" i="25" s="1"/>
  <c r="G129" i="25"/>
  <c r="F129" i="25"/>
  <c r="E129" i="25"/>
  <c r="K128" i="25"/>
  <c r="J128" i="25"/>
  <c r="I128" i="25"/>
  <c r="H128" i="25"/>
  <c r="O128" i="25" s="1"/>
  <c r="G128" i="25"/>
  <c r="F128" i="25"/>
  <c r="E128" i="25"/>
  <c r="K127" i="25"/>
  <c r="J127" i="25"/>
  <c r="I127" i="25"/>
  <c r="H127" i="25"/>
  <c r="O127" i="25" s="1"/>
  <c r="G127" i="25"/>
  <c r="F127" i="25"/>
  <c r="E127" i="25"/>
  <c r="K126" i="25"/>
  <c r="J126" i="25"/>
  <c r="I126" i="25"/>
  <c r="H126" i="25"/>
  <c r="O126" i="25" s="1"/>
  <c r="G126" i="25"/>
  <c r="F126" i="25"/>
  <c r="E126" i="25"/>
  <c r="K125" i="25"/>
  <c r="J125" i="25"/>
  <c r="I125" i="25"/>
  <c r="H125" i="25"/>
  <c r="O125" i="25" s="1"/>
  <c r="G125" i="25"/>
  <c r="F125" i="25"/>
  <c r="E125" i="25"/>
  <c r="K124" i="25"/>
  <c r="J124" i="25"/>
  <c r="I124" i="25"/>
  <c r="H124" i="25"/>
  <c r="O124" i="25" s="1"/>
  <c r="G124" i="25"/>
  <c r="F124" i="25"/>
  <c r="E124" i="25"/>
  <c r="K123" i="25"/>
  <c r="J123" i="25"/>
  <c r="I123" i="25"/>
  <c r="H123" i="25"/>
  <c r="O123" i="25" s="1"/>
  <c r="G123" i="25"/>
  <c r="F123" i="25"/>
  <c r="E123" i="25"/>
  <c r="K122" i="25"/>
  <c r="J122" i="25"/>
  <c r="I122" i="25"/>
  <c r="H122" i="25"/>
  <c r="O122" i="25" s="1"/>
  <c r="V122" i="25" s="1"/>
  <c r="G122" i="25"/>
  <c r="F122" i="25"/>
  <c r="E122" i="25"/>
  <c r="K121" i="25"/>
  <c r="J121" i="25"/>
  <c r="I121" i="25"/>
  <c r="H121" i="25"/>
  <c r="O121" i="25" s="1"/>
  <c r="V121" i="25" s="1"/>
  <c r="G121" i="25"/>
  <c r="F121" i="25"/>
  <c r="E121" i="25"/>
  <c r="K120" i="25"/>
  <c r="J120" i="25"/>
  <c r="I120" i="25"/>
  <c r="H120" i="25"/>
  <c r="O120" i="25" s="1"/>
  <c r="G120" i="25"/>
  <c r="F120" i="25"/>
  <c r="E120" i="25"/>
  <c r="D120" i="25"/>
  <c r="N120" i="25" s="1"/>
  <c r="C120" i="25"/>
  <c r="P120" i="25" s="1"/>
  <c r="K119" i="25"/>
  <c r="J119" i="25"/>
  <c r="I119" i="25"/>
  <c r="H119" i="25"/>
  <c r="O119" i="25" s="1"/>
  <c r="G119" i="25"/>
  <c r="F119" i="25"/>
  <c r="E119" i="25"/>
  <c r="K118" i="25"/>
  <c r="J118" i="25"/>
  <c r="I118" i="25"/>
  <c r="H118" i="25"/>
  <c r="O118" i="25" s="1"/>
  <c r="G118" i="25"/>
  <c r="F118" i="25"/>
  <c r="E118" i="25"/>
  <c r="K117" i="25"/>
  <c r="J117" i="25"/>
  <c r="I117" i="25"/>
  <c r="H117" i="25"/>
  <c r="O117" i="25" s="1"/>
  <c r="V117" i="25" s="1"/>
  <c r="G117" i="25"/>
  <c r="F117" i="25"/>
  <c r="E117" i="25"/>
  <c r="K116" i="25"/>
  <c r="J116" i="25"/>
  <c r="I116" i="25"/>
  <c r="H116" i="25"/>
  <c r="O116" i="25" s="1"/>
  <c r="G116" i="25"/>
  <c r="F116" i="25"/>
  <c r="E116" i="25"/>
  <c r="K115" i="25"/>
  <c r="J115" i="25"/>
  <c r="I115" i="25"/>
  <c r="H115" i="25"/>
  <c r="O115" i="25" s="1"/>
  <c r="G115" i="25"/>
  <c r="F115" i="25"/>
  <c r="E115" i="25"/>
  <c r="C115" i="25"/>
  <c r="P115" i="25" s="1"/>
  <c r="W115" i="25" s="1"/>
  <c r="K114" i="25"/>
  <c r="J114" i="25"/>
  <c r="I114" i="25"/>
  <c r="H114" i="25"/>
  <c r="O114" i="25" s="1"/>
  <c r="V114" i="25" s="1"/>
  <c r="G114" i="25"/>
  <c r="F114" i="25"/>
  <c r="E114" i="25"/>
  <c r="K113" i="25"/>
  <c r="J113" i="25"/>
  <c r="I113" i="25"/>
  <c r="H113" i="25"/>
  <c r="O113" i="25" s="1"/>
  <c r="G113" i="25"/>
  <c r="F113" i="25"/>
  <c r="E113" i="25"/>
  <c r="K112" i="25"/>
  <c r="J112" i="25"/>
  <c r="I112" i="25"/>
  <c r="H112" i="25"/>
  <c r="O112" i="25" s="1"/>
  <c r="G112" i="25"/>
  <c r="F112" i="25"/>
  <c r="E112" i="25"/>
  <c r="K111" i="25"/>
  <c r="J111" i="25"/>
  <c r="I111" i="25"/>
  <c r="H111" i="25"/>
  <c r="O111" i="25" s="1"/>
  <c r="G111" i="25"/>
  <c r="F111" i="25"/>
  <c r="E111" i="25"/>
  <c r="D111" i="25"/>
  <c r="N111" i="25" s="1"/>
  <c r="C111" i="25"/>
  <c r="P111" i="25" s="1"/>
  <c r="W111" i="25" s="1"/>
  <c r="K110" i="25"/>
  <c r="J110" i="25"/>
  <c r="I110" i="25"/>
  <c r="H110" i="25"/>
  <c r="O110" i="25" s="1"/>
  <c r="G110" i="25"/>
  <c r="F110" i="25"/>
  <c r="E110" i="25"/>
  <c r="K109" i="25"/>
  <c r="J109" i="25"/>
  <c r="I109" i="25"/>
  <c r="H109" i="25"/>
  <c r="O109" i="25" s="1"/>
  <c r="G109" i="25"/>
  <c r="F109" i="25"/>
  <c r="E109" i="25"/>
  <c r="D109" i="25"/>
  <c r="N109" i="25" s="1"/>
  <c r="K108" i="25"/>
  <c r="J108" i="25"/>
  <c r="I108" i="25"/>
  <c r="H108" i="25"/>
  <c r="O108" i="25" s="1"/>
  <c r="V108" i="25" s="1"/>
  <c r="G108" i="25"/>
  <c r="F108" i="25"/>
  <c r="E108" i="25"/>
  <c r="K107" i="25"/>
  <c r="J107" i="25"/>
  <c r="I107" i="25"/>
  <c r="H107" i="25"/>
  <c r="O107" i="25" s="1"/>
  <c r="G107" i="25"/>
  <c r="F107" i="25"/>
  <c r="E107" i="25"/>
  <c r="K106" i="25"/>
  <c r="J106" i="25"/>
  <c r="I106" i="25"/>
  <c r="H106" i="25"/>
  <c r="O106" i="25" s="1"/>
  <c r="G106" i="25"/>
  <c r="F106" i="25"/>
  <c r="E106" i="25"/>
  <c r="D106" i="25"/>
  <c r="N106" i="25" s="1"/>
  <c r="K105" i="25"/>
  <c r="J105" i="25"/>
  <c r="I105" i="25"/>
  <c r="H105" i="25"/>
  <c r="O105" i="25" s="1"/>
  <c r="V105" i="25" s="1"/>
  <c r="G105" i="25"/>
  <c r="F105" i="25"/>
  <c r="E105" i="25"/>
  <c r="K104" i="25"/>
  <c r="J104" i="25"/>
  <c r="I104" i="25"/>
  <c r="H104" i="25"/>
  <c r="O104" i="25" s="1"/>
  <c r="G104" i="25"/>
  <c r="F104" i="25"/>
  <c r="E104" i="25"/>
  <c r="C104" i="25"/>
  <c r="P104" i="25" s="1"/>
  <c r="K103" i="25"/>
  <c r="J103" i="25"/>
  <c r="I103" i="25"/>
  <c r="H103" i="25"/>
  <c r="O103" i="25" s="1"/>
  <c r="G103" i="25"/>
  <c r="F103" i="25"/>
  <c r="E103" i="25"/>
  <c r="D103" i="25"/>
  <c r="N103" i="25" s="1"/>
  <c r="K102" i="25"/>
  <c r="J102" i="25"/>
  <c r="I102" i="25"/>
  <c r="H102" i="25"/>
  <c r="O102" i="25" s="1"/>
  <c r="V102" i="25" s="1"/>
  <c r="G102" i="25"/>
  <c r="F102" i="25"/>
  <c r="E102" i="25"/>
  <c r="K101" i="25"/>
  <c r="J101" i="25"/>
  <c r="I101" i="25"/>
  <c r="H101" i="25"/>
  <c r="O101" i="25" s="1"/>
  <c r="V101" i="25" s="1"/>
  <c r="G101" i="25"/>
  <c r="F101" i="25"/>
  <c r="E101" i="25"/>
  <c r="D101" i="25"/>
  <c r="N101" i="25" s="1"/>
  <c r="K100" i="25"/>
  <c r="J100" i="25"/>
  <c r="I100" i="25"/>
  <c r="H100" i="25"/>
  <c r="O100" i="25" s="1"/>
  <c r="V100" i="25" s="1"/>
  <c r="G100" i="25"/>
  <c r="F100" i="25"/>
  <c r="E100" i="25"/>
  <c r="D100" i="25"/>
  <c r="N100" i="25" s="1"/>
  <c r="K99" i="25"/>
  <c r="J99" i="25"/>
  <c r="I99" i="25"/>
  <c r="H99" i="25"/>
  <c r="O99" i="25" s="1"/>
  <c r="G99" i="25"/>
  <c r="F99" i="25"/>
  <c r="E99" i="25"/>
  <c r="C99" i="25"/>
  <c r="P99" i="25" s="1"/>
  <c r="W99" i="25" s="1"/>
  <c r="K98" i="25"/>
  <c r="J98" i="25"/>
  <c r="I98" i="25"/>
  <c r="H98" i="25"/>
  <c r="O98" i="25" s="1"/>
  <c r="V98" i="25" s="1"/>
  <c r="G98" i="25"/>
  <c r="F98" i="25"/>
  <c r="E98" i="25"/>
  <c r="D98" i="25"/>
  <c r="N98" i="25" s="1"/>
  <c r="U98" i="25" s="1"/>
  <c r="K97" i="25"/>
  <c r="J97" i="25"/>
  <c r="I97" i="25"/>
  <c r="H97" i="25"/>
  <c r="O97" i="25" s="1"/>
  <c r="V97" i="25" s="1"/>
  <c r="G97" i="25"/>
  <c r="F97" i="25"/>
  <c r="E97" i="25"/>
  <c r="K96" i="25"/>
  <c r="J96" i="25"/>
  <c r="I96" i="25"/>
  <c r="H96" i="25"/>
  <c r="O96" i="25" s="1"/>
  <c r="G96" i="25"/>
  <c r="F96" i="25"/>
  <c r="E96" i="25"/>
  <c r="D96" i="25"/>
  <c r="N96" i="25" s="1"/>
  <c r="K95" i="25"/>
  <c r="J95" i="25"/>
  <c r="I95" i="25"/>
  <c r="H95" i="25"/>
  <c r="O95" i="25" s="1"/>
  <c r="G95" i="25"/>
  <c r="F95" i="25"/>
  <c r="E95" i="25"/>
  <c r="D95" i="25"/>
  <c r="N95" i="25" s="1"/>
  <c r="K94" i="25"/>
  <c r="J94" i="25"/>
  <c r="I94" i="25"/>
  <c r="H94" i="25"/>
  <c r="O94" i="25" s="1"/>
  <c r="G94" i="25"/>
  <c r="F94" i="25"/>
  <c r="E94" i="25"/>
  <c r="K93" i="25"/>
  <c r="J93" i="25"/>
  <c r="I93" i="25"/>
  <c r="H93" i="25"/>
  <c r="O93" i="25" s="1"/>
  <c r="V93" i="25" s="1"/>
  <c r="G93" i="25"/>
  <c r="F93" i="25"/>
  <c r="E93" i="25"/>
  <c r="K92" i="25"/>
  <c r="J92" i="25"/>
  <c r="I92" i="25"/>
  <c r="H92" i="25"/>
  <c r="O92" i="25" s="1"/>
  <c r="G92" i="25"/>
  <c r="F92" i="25"/>
  <c r="E92" i="25"/>
  <c r="K91" i="25"/>
  <c r="J91" i="25"/>
  <c r="I91" i="25"/>
  <c r="H91" i="25"/>
  <c r="O91" i="25" s="1"/>
  <c r="G91" i="25"/>
  <c r="F91" i="25"/>
  <c r="E91" i="25"/>
  <c r="K90" i="25"/>
  <c r="J90" i="25"/>
  <c r="I90" i="25"/>
  <c r="H90" i="25"/>
  <c r="O90" i="25" s="1"/>
  <c r="G90" i="25"/>
  <c r="F90" i="25"/>
  <c r="E90" i="25"/>
  <c r="D90" i="25"/>
  <c r="N90" i="25" s="1"/>
  <c r="C90" i="25"/>
  <c r="P90" i="25" s="1"/>
  <c r="W90" i="25" s="1"/>
  <c r="K89" i="25"/>
  <c r="J89" i="25"/>
  <c r="I89" i="25"/>
  <c r="H89" i="25"/>
  <c r="O89" i="25" s="1"/>
  <c r="G89" i="25"/>
  <c r="F89" i="25"/>
  <c r="E89" i="25"/>
  <c r="K88" i="25"/>
  <c r="J88" i="25"/>
  <c r="I88" i="25"/>
  <c r="H88" i="25"/>
  <c r="O88" i="25" s="1"/>
  <c r="G88" i="25"/>
  <c r="F88" i="25"/>
  <c r="E88" i="25"/>
  <c r="D88" i="25"/>
  <c r="N88" i="25" s="1"/>
  <c r="U88" i="25" s="1"/>
  <c r="K87" i="25"/>
  <c r="J87" i="25"/>
  <c r="I87" i="25"/>
  <c r="H87" i="25"/>
  <c r="O87" i="25" s="1"/>
  <c r="V87" i="25" s="1"/>
  <c r="G87" i="25"/>
  <c r="F87" i="25"/>
  <c r="E87" i="25"/>
  <c r="D87" i="25"/>
  <c r="N87" i="25" s="1"/>
  <c r="K86" i="25"/>
  <c r="J86" i="25"/>
  <c r="I86" i="25"/>
  <c r="H86" i="25"/>
  <c r="O86" i="25" s="1"/>
  <c r="G86" i="25"/>
  <c r="F86" i="25"/>
  <c r="E86" i="25"/>
  <c r="K85" i="25"/>
  <c r="J85" i="25"/>
  <c r="I85" i="25"/>
  <c r="H85" i="25"/>
  <c r="O85" i="25" s="1"/>
  <c r="V85" i="25" s="1"/>
  <c r="X85" i="25" s="1"/>
  <c r="G85" i="25"/>
  <c r="F85" i="25"/>
  <c r="E85" i="25"/>
  <c r="P84" i="25"/>
  <c r="W84" i="25" s="1"/>
  <c r="D84" i="25"/>
  <c r="N84" i="25" s="1"/>
  <c r="Y72" i="25"/>
  <c r="U72" i="25"/>
  <c r="T72" i="25"/>
  <c r="O72" i="25"/>
  <c r="Y71" i="25"/>
  <c r="U71" i="25"/>
  <c r="T71" i="25"/>
  <c r="O71" i="25"/>
  <c r="Y70" i="25"/>
  <c r="U70" i="25"/>
  <c r="T70" i="25"/>
  <c r="O70" i="25"/>
  <c r="Y69" i="25"/>
  <c r="U69" i="25"/>
  <c r="T69" i="25"/>
  <c r="O69" i="25"/>
  <c r="Y68" i="25"/>
  <c r="U68" i="25"/>
  <c r="T68" i="25"/>
  <c r="O68" i="25"/>
  <c r="Y67" i="25"/>
  <c r="U67" i="25"/>
  <c r="T67" i="25"/>
  <c r="O67" i="25"/>
  <c r="Y66" i="25"/>
  <c r="U66" i="25"/>
  <c r="T66" i="25"/>
  <c r="O66" i="25"/>
  <c r="Y65" i="25"/>
  <c r="U65" i="25"/>
  <c r="T65" i="25"/>
  <c r="O65" i="25"/>
  <c r="Y64" i="25"/>
  <c r="U64" i="25"/>
  <c r="T64" i="25"/>
  <c r="O64" i="25"/>
  <c r="Y63" i="25"/>
  <c r="U63" i="25"/>
  <c r="T63" i="25"/>
  <c r="O63" i="25"/>
  <c r="Y62" i="25"/>
  <c r="U62" i="25"/>
  <c r="O62" i="25"/>
  <c r="Y61" i="25"/>
  <c r="U61" i="25"/>
  <c r="O61" i="25"/>
  <c r="Y60" i="25"/>
  <c r="U60" i="25"/>
  <c r="O60" i="25"/>
  <c r="Y59" i="25"/>
  <c r="U59" i="25"/>
  <c r="O59" i="25"/>
  <c r="Y58" i="25"/>
  <c r="U58" i="25"/>
  <c r="O58" i="25"/>
  <c r="Y57" i="25"/>
  <c r="U57" i="25"/>
  <c r="O57" i="25"/>
  <c r="Y56" i="25"/>
  <c r="U56" i="25"/>
  <c r="O56" i="25"/>
  <c r="Y55" i="25"/>
  <c r="U55" i="25"/>
  <c r="O55" i="25"/>
  <c r="Y54" i="25"/>
  <c r="U54" i="25"/>
  <c r="O54" i="25"/>
  <c r="Y53" i="25"/>
  <c r="U53" i="25"/>
  <c r="O53" i="25"/>
  <c r="Y52" i="25"/>
  <c r="U52" i="25"/>
  <c r="O52" i="25"/>
  <c r="Y51" i="25"/>
  <c r="U51" i="25"/>
  <c r="O51" i="25"/>
  <c r="Y50" i="25"/>
  <c r="U50" i="25"/>
  <c r="O50" i="25"/>
  <c r="Y49" i="25"/>
  <c r="U49" i="25"/>
  <c r="O49" i="25"/>
  <c r="Y48" i="25"/>
  <c r="U48" i="25"/>
  <c r="O48" i="25"/>
  <c r="Y47" i="25"/>
  <c r="U47" i="25"/>
  <c r="O47" i="25"/>
  <c r="Y46" i="25"/>
  <c r="U46" i="25"/>
  <c r="O46" i="25"/>
  <c r="Y45" i="25"/>
  <c r="U45" i="25"/>
  <c r="O45" i="25"/>
  <c r="Y44" i="25"/>
  <c r="U44" i="25"/>
  <c r="O44" i="25"/>
  <c r="Y43" i="25"/>
  <c r="U43" i="25"/>
  <c r="O43" i="25"/>
  <c r="Y42" i="25"/>
  <c r="U42" i="25"/>
  <c r="O42" i="25"/>
  <c r="Y41" i="25"/>
  <c r="U41" i="25"/>
  <c r="O41" i="25"/>
  <c r="Y40" i="25"/>
  <c r="U40" i="25"/>
  <c r="O40" i="25"/>
  <c r="Y39" i="25"/>
  <c r="U39" i="25"/>
  <c r="O39" i="25"/>
  <c r="Y38" i="25"/>
  <c r="U38" i="25"/>
  <c r="O38" i="25"/>
  <c r="Y37" i="25"/>
  <c r="U37" i="25"/>
  <c r="O37" i="25"/>
  <c r="Y36" i="25"/>
  <c r="U36" i="25"/>
  <c r="O36" i="25"/>
  <c r="Y35" i="25"/>
  <c r="U35" i="25"/>
  <c r="O35" i="25"/>
  <c r="Y34" i="25"/>
  <c r="U34" i="25"/>
  <c r="O34" i="25"/>
  <c r="Y33" i="25"/>
  <c r="U33" i="25"/>
  <c r="O33" i="25"/>
  <c r="Y32" i="25"/>
  <c r="U32" i="25"/>
  <c r="O32" i="25"/>
  <c r="Y31" i="25"/>
  <c r="U31" i="25"/>
  <c r="T31" i="25"/>
  <c r="O31" i="25"/>
  <c r="Y30" i="25"/>
  <c r="U30" i="25"/>
  <c r="T30" i="25"/>
  <c r="O30" i="25"/>
  <c r="Y29" i="25"/>
  <c r="U29" i="25"/>
  <c r="T29" i="25"/>
  <c r="O29" i="25"/>
  <c r="Y28" i="25"/>
  <c r="U28" i="25"/>
  <c r="T28" i="25"/>
  <c r="O28" i="25"/>
  <c r="Y27" i="25"/>
  <c r="U27" i="25"/>
  <c r="T27" i="25"/>
  <c r="O27" i="25"/>
  <c r="Y26" i="25"/>
  <c r="U26" i="25"/>
  <c r="T26" i="25"/>
  <c r="O26" i="25"/>
  <c r="U23" i="25"/>
  <c r="N5" i="25"/>
  <c r="N2" i="25"/>
  <c r="I2" i="25"/>
  <c r="A1" i="25"/>
  <c r="P84" i="24"/>
  <c r="W84" i="24" s="1"/>
  <c r="D84" i="24"/>
  <c r="N84" i="24" s="1"/>
  <c r="R84" i="24" s="1"/>
  <c r="N136" i="24"/>
  <c r="P136" i="24"/>
  <c r="V86" i="25" l="1"/>
  <c r="X86" i="25" s="1"/>
  <c r="C103" i="25"/>
  <c r="P103" i="25" s="1"/>
  <c r="Q103" i="25" s="1"/>
  <c r="R103" i="25" s="1"/>
  <c r="D119" i="25"/>
  <c r="N119" i="25" s="1"/>
  <c r="U119" i="25" s="1"/>
  <c r="V113" i="25"/>
  <c r="C130" i="25"/>
  <c r="P130" i="25" s="1"/>
  <c r="Q130" i="25" s="1"/>
  <c r="R130" i="25" s="1"/>
  <c r="C116" i="25"/>
  <c r="P116" i="25" s="1"/>
  <c r="W116" i="25" s="1"/>
  <c r="V123" i="25"/>
  <c r="V126" i="25"/>
  <c r="V112" i="25"/>
  <c r="D108" i="25"/>
  <c r="N108" i="25" s="1"/>
  <c r="U108" i="25" s="1"/>
  <c r="C94" i="25"/>
  <c r="P94" i="25" s="1"/>
  <c r="W94" i="25" s="1"/>
  <c r="V88" i="25"/>
  <c r="C86" i="25"/>
  <c r="P86" i="25" s="1"/>
  <c r="D86" i="25"/>
  <c r="N86" i="25" s="1"/>
  <c r="V91" i="25"/>
  <c r="D113" i="25"/>
  <c r="N113" i="25" s="1"/>
  <c r="U113" i="25" s="1"/>
  <c r="V118" i="25"/>
  <c r="C121" i="25"/>
  <c r="P121" i="25" s="1"/>
  <c r="W121" i="25" s="1"/>
  <c r="C98" i="25"/>
  <c r="P98" i="25" s="1"/>
  <c r="W98" i="25" s="1"/>
  <c r="X98" i="25" s="1"/>
  <c r="Y98" i="25" s="1"/>
  <c r="V110" i="25"/>
  <c r="V104" i="25"/>
  <c r="D105" i="25"/>
  <c r="N105" i="25" s="1"/>
  <c r="D115" i="25"/>
  <c r="N115" i="25" s="1"/>
  <c r="U115" i="25" s="1"/>
  <c r="D129" i="25"/>
  <c r="N129" i="25" s="1"/>
  <c r="U129" i="25" s="1"/>
  <c r="V94" i="25"/>
  <c r="C97" i="25"/>
  <c r="P97" i="25" s="1"/>
  <c r="W97" i="25" s="1"/>
  <c r="C110" i="25"/>
  <c r="P110" i="25" s="1"/>
  <c r="W110" i="25" s="1"/>
  <c r="C92" i="25"/>
  <c r="P92" i="25" s="1"/>
  <c r="W92" i="25" s="1"/>
  <c r="C118" i="25"/>
  <c r="P118" i="25" s="1"/>
  <c r="V120" i="25"/>
  <c r="C126" i="25"/>
  <c r="P126" i="25" s="1"/>
  <c r="W126" i="25" s="1"/>
  <c r="V89" i="25"/>
  <c r="D92" i="25"/>
  <c r="N92" i="25" s="1"/>
  <c r="U92" i="25" s="1"/>
  <c r="V115" i="25"/>
  <c r="D118" i="25"/>
  <c r="N118" i="25" s="1"/>
  <c r="U118" i="25" s="1"/>
  <c r="P147" i="25"/>
  <c r="W95" i="25" s="1"/>
  <c r="C105" i="25"/>
  <c r="P105" i="25" s="1"/>
  <c r="W105" i="25" s="1"/>
  <c r="C113" i="25"/>
  <c r="P113" i="25" s="1"/>
  <c r="W113" i="25" s="1"/>
  <c r="D123" i="25"/>
  <c r="N123" i="25" s="1"/>
  <c r="U123" i="25" s="1"/>
  <c r="V128" i="25"/>
  <c r="C124" i="25"/>
  <c r="P124" i="25" s="1"/>
  <c r="W124" i="25" s="1"/>
  <c r="V92" i="25"/>
  <c r="D97" i="25"/>
  <c r="N97" i="25" s="1"/>
  <c r="U97" i="25" s="1"/>
  <c r="D124" i="25"/>
  <c r="N124" i="25" s="1"/>
  <c r="P181" i="25"/>
  <c r="Q181" i="25" s="1"/>
  <c r="R181" i="25" s="1"/>
  <c r="C107" i="25"/>
  <c r="P107" i="25" s="1"/>
  <c r="W107" i="25" s="1"/>
  <c r="V109" i="25"/>
  <c r="C112" i="25"/>
  <c r="P112" i="25" s="1"/>
  <c r="W112" i="25" s="1"/>
  <c r="D117" i="25"/>
  <c r="N117" i="25" s="1"/>
  <c r="U117" i="25" s="1"/>
  <c r="V119" i="25"/>
  <c r="D121" i="25"/>
  <c r="N121" i="25" s="1"/>
  <c r="P140" i="25"/>
  <c r="Q140" i="25" s="1"/>
  <c r="R140" i="25" s="1"/>
  <c r="N174" i="25"/>
  <c r="U122" i="25" s="1"/>
  <c r="D107" i="25"/>
  <c r="N107" i="25" s="1"/>
  <c r="U107" i="25" s="1"/>
  <c r="C122" i="25"/>
  <c r="P122" i="25" s="1"/>
  <c r="Q122" i="25" s="1"/>
  <c r="R122" i="25" s="1"/>
  <c r="C127" i="25"/>
  <c r="P127" i="25" s="1"/>
  <c r="W127" i="25" s="1"/>
  <c r="U95" i="25"/>
  <c r="D85" i="25"/>
  <c r="N85" i="25" s="1"/>
  <c r="D104" i="25"/>
  <c r="N104" i="25" s="1"/>
  <c r="Q104" i="25" s="1"/>
  <c r="R104" i="25" s="1"/>
  <c r="V106" i="25"/>
  <c r="C119" i="25"/>
  <c r="P119" i="25" s="1"/>
  <c r="W119" i="25" s="1"/>
  <c r="V124" i="25"/>
  <c r="Q90" i="25"/>
  <c r="R90" i="25" s="1"/>
  <c r="Q165" i="25"/>
  <c r="R165" i="25" s="1"/>
  <c r="Q173" i="25"/>
  <c r="R173" i="25" s="1"/>
  <c r="V116" i="25"/>
  <c r="C100" i="25"/>
  <c r="P100" i="25" s="1"/>
  <c r="Q100" i="25" s="1"/>
  <c r="R100" i="25" s="1"/>
  <c r="D114" i="25"/>
  <c r="N114" i="25" s="1"/>
  <c r="V125" i="25"/>
  <c r="D127" i="25"/>
  <c r="N127" i="25" s="1"/>
  <c r="V131" i="25"/>
  <c r="Q150" i="25"/>
  <c r="R150" i="25" s="1"/>
  <c r="P154" i="25"/>
  <c r="W102" i="25" s="1"/>
  <c r="Q182" i="25"/>
  <c r="R182" i="25" s="1"/>
  <c r="W104" i="25"/>
  <c r="Q166" i="25"/>
  <c r="R166" i="25" s="1"/>
  <c r="D116" i="25"/>
  <c r="N116" i="25" s="1"/>
  <c r="U116" i="25" s="1"/>
  <c r="C89" i="25"/>
  <c r="P89" i="25" s="1"/>
  <c r="W89" i="25" s="1"/>
  <c r="C91" i="25"/>
  <c r="P91" i="25" s="1"/>
  <c r="W91" i="25" s="1"/>
  <c r="D112" i="25"/>
  <c r="N112" i="25" s="1"/>
  <c r="U112" i="25" s="1"/>
  <c r="P139" i="25"/>
  <c r="W87" i="25" s="1"/>
  <c r="V96" i="25"/>
  <c r="U111" i="25"/>
  <c r="Q157" i="25"/>
  <c r="R157" i="25" s="1"/>
  <c r="D99" i="25"/>
  <c r="N99" i="25" s="1"/>
  <c r="U99" i="25" s="1"/>
  <c r="D89" i="25"/>
  <c r="N89" i="25" s="1"/>
  <c r="V90" i="25"/>
  <c r="D91" i="25"/>
  <c r="N91" i="25" s="1"/>
  <c r="D93" i="25"/>
  <c r="N93" i="25" s="1"/>
  <c r="U93" i="25" s="1"/>
  <c r="C96" i="25"/>
  <c r="P96" i="25" s="1"/>
  <c r="W96" i="25" s="1"/>
  <c r="U103" i="25"/>
  <c r="C128" i="25"/>
  <c r="P128" i="25" s="1"/>
  <c r="W128" i="25" s="1"/>
  <c r="Q142" i="25"/>
  <c r="R142" i="25" s="1"/>
  <c r="Q158" i="25"/>
  <c r="R158" i="25" s="1"/>
  <c r="V99" i="25"/>
  <c r="W120" i="25"/>
  <c r="D128" i="25"/>
  <c r="N128" i="25" s="1"/>
  <c r="U128" i="25" s="1"/>
  <c r="U106" i="25"/>
  <c r="V107" i="25"/>
  <c r="C114" i="25"/>
  <c r="P114" i="25" s="1"/>
  <c r="W114" i="25" s="1"/>
  <c r="Q149" i="25"/>
  <c r="R149" i="25" s="1"/>
  <c r="C85" i="25"/>
  <c r="P85" i="25" s="1"/>
  <c r="V95" i="25"/>
  <c r="C106" i="25"/>
  <c r="P106" i="25" s="1"/>
  <c r="W106" i="25" s="1"/>
  <c r="C108" i="25"/>
  <c r="C123" i="25"/>
  <c r="P123" i="25" s="1"/>
  <c r="W123" i="25" s="1"/>
  <c r="D125" i="25"/>
  <c r="N125" i="25" s="1"/>
  <c r="U125" i="25" s="1"/>
  <c r="V127" i="25"/>
  <c r="D131" i="25"/>
  <c r="N131" i="25" s="1"/>
  <c r="U131" i="25" s="1"/>
  <c r="Q115" i="25"/>
  <c r="R115" i="25" s="1"/>
  <c r="U101" i="25"/>
  <c r="N146" i="25"/>
  <c r="D94" i="25"/>
  <c r="N94" i="25" s="1"/>
  <c r="Q148" i="25"/>
  <c r="R148" i="25" s="1"/>
  <c r="U84" i="25"/>
  <c r="R84" i="25"/>
  <c r="U90" i="25"/>
  <c r="Q175" i="25"/>
  <c r="R175" i="25" s="1"/>
  <c r="Q87" i="25"/>
  <c r="R87" i="25" s="1"/>
  <c r="U109" i="25"/>
  <c r="U87" i="25"/>
  <c r="U96" i="25"/>
  <c r="Q167" i="25"/>
  <c r="R167" i="25" s="1"/>
  <c r="V111" i="25"/>
  <c r="Q111" i="25"/>
  <c r="R111" i="25" s="1"/>
  <c r="Q88" i="25"/>
  <c r="R88" i="25" s="1"/>
  <c r="V103" i="25"/>
  <c r="Q159" i="25"/>
  <c r="R159" i="25" s="1"/>
  <c r="N154" i="25"/>
  <c r="D102" i="25"/>
  <c r="N102" i="25" s="1"/>
  <c r="Q138" i="25"/>
  <c r="R138" i="25" s="1"/>
  <c r="Q170" i="25"/>
  <c r="R170" i="25" s="1"/>
  <c r="Q178" i="25"/>
  <c r="R178" i="25" s="1"/>
  <c r="Q180" i="25"/>
  <c r="R180" i="25" s="1"/>
  <c r="U100" i="25"/>
  <c r="Q144" i="25"/>
  <c r="R144" i="25" s="1"/>
  <c r="Q152" i="25"/>
  <c r="R152" i="25" s="1"/>
  <c r="W129" i="25"/>
  <c r="Q156" i="25"/>
  <c r="R156" i="25" s="1"/>
  <c r="U120" i="25"/>
  <c r="Q120" i="25"/>
  <c r="R120" i="25" s="1"/>
  <c r="Q160" i="25"/>
  <c r="R160" i="25" s="1"/>
  <c r="Q168" i="25"/>
  <c r="R168" i="25" s="1"/>
  <c r="Q176" i="25"/>
  <c r="R176" i="25" s="1"/>
  <c r="Q95" i="25"/>
  <c r="R95" i="25" s="1"/>
  <c r="D126" i="25"/>
  <c r="N126" i="25" s="1"/>
  <c r="P145" i="25"/>
  <c r="Q145" i="25" s="1"/>
  <c r="R145" i="25" s="1"/>
  <c r="C93" i="25"/>
  <c r="P93" i="25" s="1"/>
  <c r="P153" i="25"/>
  <c r="Q153" i="25" s="1"/>
  <c r="R153" i="25" s="1"/>
  <c r="C101" i="25"/>
  <c r="P101" i="25" s="1"/>
  <c r="Q162" i="25"/>
  <c r="R162" i="25" s="1"/>
  <c r="Q172" i="25"/>
  <c r="R172" i="25" s="1"/>
  <c r="U130" i="25"/>
  <c r="Q141" i="25"/>
  <c r="R141" i="25" s="1"/>
  <c r="Q155" i="25"/>
  <c r="R155" i="25" s="1"/>
  <c r="P161" i="25"/>
  <c r="Q161" i="25" s="1"/>
  <c r="R161" i="25" s="1"/>
  <c r="C109" i="25"/>
  <c r="P109" i="25" s="1"/>
  <c r="P169" i="25"/>
  <c r="Q169" i="25" s="1"/>
  <c r="R169" i="25" s="1"/>
  <c r="C117" i="25"/>
  <c r="P117" i="25" s="1"/>
  <c r="P177" i="25"/>
  <c r="Q177" i="25" s="1"/>
  <c r="R177" i="25" s="1"/>
  <c r="C125" i="25"/>
  <c r="P125" i="25" s="1"/>
  <c r="Q164" i="25"/>
  <c r="R164" i="25" s="1"/>
  <c r="D110" i="25"/>
  <c r="N110" i="25" s="1"/>
  <c r="Q137" i="25"/>
  <c r="R137" i="25" s="1"/>
  <c r="Q143" i="25"/>
  <c r="R143" i="25" s="1"/>
  <c r="Q151" i="25"/>
  <c r="R151" i="25" s="1"/>
  <c r="Q163" i="25"/>
  <c r="R163" i="25" s="1"/>
  <c r="Q171" i="25"/>
  <c r="R171" i="25" s="1"/>
  <c r="Q179" i="25"/>
  <c r="R179" i="25" s="1"/>
  <c r="Q183" i="25"/>
  <c r="R183" i="25" s="1"/>
  <c r="D138" i="24"/>
  <c r="N138" i="24" s="1"/>
  <c r="D139" i="24"/>
  <c r="N139" i="24" s="1"/>
  <c r="D140" i="24"/>
  <c r="N140" i="24" s="1"/>
  <c r="D141" i="24"/>
  <c r="N141" i="24" s="1"/>
  <c r="D142" i="24"/>
  <c r="N142" i="24" s="1"/>
  <c r="D143" i="24"/>
  <c r="N143" i="24" s="1"/>
  <c r="D144" i="24"/>
  <c r="N144" i="24" s="1"/>
  <c r="D145" i="24"/>
  <c r="N145" i="24" s="1"/>
  <c r="D146" i="24"/>
  <c r="N146" i="24" s="1"/>
  <c r="D147" i="24"/>
  <c r="N147" i="24" s="1"/>
  <c r="D148" i="24"/>
  <c r="N148" i="24" s="1"/>
  <c r="D149" i="24"/>
  <c r="N149" i="24" s="1"/>
  <c r="D150" i="24"/>
  <c r="N150" i="24" s="1"/>
  <c r="D151" i="24"/>
  <c r="N151" i="24" s="1"/>
  <c r="D152" i="24"/>
  <c r="N152" i="24" s="1"/>
  <c r="D153" i="24"/>
  <c r="N153" i="24" s="1"/>
  <c r="D154" i="24"/>
  <c r="N154" i="24" s="1"/>
  <c r="D155" i="24"/>
  <c r="N155" i="24" s="1"/>
  <c r="D156" i="24"/>
  <c r="N156" i="24" s="1"/>
  <c r="D157" i="24"/>
  <c r="N157" i="24" s="1"/>
  <c r="D158" i="24"/>
  <c r="N158" i="24" s="1"/>
  <c r="D159" i="24"/>
  <c r="N159" i="24" s="1"/>
  <c r="D160" i="24"/>
  <c r="N160" i="24" s="1"/>
  <c r="D161" i="24"/>
  <c r="N161" i="24" s="1"/>
  <c r="D162" i="24"/>
  <c r="N162" i="24" s="1"/>
  <c r="D163" i="24"/>
  <c r="N163" i="24" s="1"/>
  <c r="D164" i="24"/>
  <c r="N164" i="24" s="1"/>
  <c r="D165" i="24"/>
  <c r="N165" i="24" s="1"/>
  <c r="D166" i="24"/>
  <c r="N166" i="24" s="1"/>
  <c r="D167" i="24"/>
  <c r="N167" i="24" s="1"/>
  <c r="D168" i="24"/>
  <c r="N168" i="24" s="1"/>
  <c r="D169" i="24"/>
  <c r="N169" i="24" s="1"/>
  <c r="D170" i="24"/>
  <c r="N170" i="24" s="1"/>
  <c r="D171" i="24"/>
  <c r="N171" i="24" s="1"/>
  <c r="D172" i="24"/>
  <c r="N172" i="24" s="1"/>
  <c r="D173" i="24"/>
  <c r="N173" i="24" s="1"/>
  <c r="D174" i="24"/>
  <c r="N174" i="24" s="1"/>
  <c r="D175" i="24"/>
  <c r="N175" i="24" s="1"/>
  <c r="D176" i="24"/>
  <c r="N176" i="24" s="1"/>
  <c r="D177" i="24"/>
  <c r="N177" i="24" s="1"/>
  <c r="D178" i="24"/>
  <c r="N178" i="24" s="1"/>
  <c r="D179" i="24"/>
  <c r="N179" i="24" s="1"/>
  <c r="D180" i="24"/>
  <c r="N180" i="24" s="1"/>
  <c r="D181" i="24"/>
  <c r="N181" i="24" s="1"/>
  <c r="D182" i="24"/>
  <c r="N182" i="24" s="1"/>
  <c r="D183" i="24"/>
  <c r="N183" i="24" s="1"/>
  <c r="D137" i="24"/>
  <c r="N137" i="24" s="1"/>
  <c r="C138" i="24"/>
  <c r="P138" i="24" s="1"/>
  <c r="C139" i="24"/>
  <c r="P139" i="24" s="1"/>
  <c r="C140" i="24"/>
  <c r="P140" i="24" s="1"/>
  <c r="C141" i="24"/>
  <c r="P141" i="24" s="1"/>
  <c r="C142" i="24"/>
  <c r="P142" i="24" s="1"/>
  <c r="C143" i="24"/>
  <c r="P143" i="24" s="1"/>
  <c r="C144" i="24"/>
  <c r="P144" i="24" s="1"/>
  <c r="C145" i="24"/>
  <c r="P145" i="24" s="1"/>
  <c r="P146" i="24"/>
  <c r="C147" i="24"/>
  <c r="P147" i="24" s="1"/>
  <c r="C148" i="24"/>
  <c r="P148" i="24" s="1"/>
  <c r="C149" i="24"/>
  <c r="P149" i="24" s="1"/>
  <c r="C150" i="24"/>
  <c r="P150" i="24" s="1"/>
  <c r="C151" i="24"/>
  <c r="P151" i="24" s="1"/>
  <c r="C152" i="24"/>
  <c r="P152" i="24" s="1"/>
  <c r="C153" i="24"/>
  <c r="P153" i="24" s="1"/>
  <c r="C154" i="24"/>
  <c r="P154" i="24" s="1"/>
  <c r="C155" i="24"/>
  <c r="P155" i="24" s="1"/>
  <c r="C156" i="24"/>
  <c r="P156" i="24" s="1"/>
  <c r="C157" i="24"/>
  <c r="P157" i="24" s="1"/>
  <c r="C158" i="24"/>
  <c r="P158" i="24" s="1"/>
  <c r="C159" i="24"/>
  <c r="P159" i="24" s="1"/>
  <c r="C160" i="24"/>
  <c r="P160" i="24" s="1"/>
  <c r="C161" i="24"/>
  <c r="P161" i="24" s="1"/>
  <c r="C162" i="24"/>
  <c r="P162" i="24" s="1"/>
  <c r="C163" i="24"/>
  <c r="P163" i="24" s="1"/>
  <c r="C164" i="24"/>
  <c r="P164" i="24" s="1"/>
  <c r="C165" i="24"/>
  <c r="P165" i="24" s="1"/>
  <c r="C166" i="24"/>
  <c r="P166" i="24" s="1"/>
  <c r="C167" i="24"/>
  <c r="P167" i="24" s="1"/>
  <c r="C168" i="24"/>
  <c r="P168" i="24" s="1"/>
  <c r="C169" i="24"/>
  <c r="P169" i="24" s="1"/>
  <c r="C170" i="24"/>
  <c r="P170" i="24" s="1"/>
  <c r="C171" i="24"/>
  <c r="P171" i="24" s="1"/>
  <c r="C172" i="24"/>
  <c r="P172" i="24" s="1"/>
  <c r="C173" i="24"/>
  <c r="P173" i="24" s="1"/>
  <c r="C174" i="24"/>
  <c r="P174" i="24" s="1"/>
  <c r="C175" i="24"/>
  <c r="P175" i="24" s="1"/>
  <c r="C176" i="24"/>
  <c r="P176" i="24" s="1"/>
  <c r="C177" i="24"/>
  <c r="P177" i="24" s="1"/>
  <c r="C178" i="24"/>
  <c r="P178" i="24" s="1"/>
  <c r="C179" i="24"/>
  <c r="P179" i="24" s="1"/>
  <c r="C180" i="24"/>
  <c r="P180" i="24" s="1"/>
  <c r="C181" i="24"/>
  <c r="P181" i="24" s="1"/>
  <c r="C182" i="24"/>
  <c r="P182" i="24" s="1"/>
  <c r="C183" i="24"/>
  <c r="P183" i="24" s="1"/>
  <c r="C137" i="24"/>
  <c r="P137" i="24" s="1"/>
  <c r="W109" i="25" l="1"/>
  <c r="W130" i="25"/>
  <c r="W103" i="25"/>
  <c r="X103" i="25" s="1"/>
  <c r="Y103" i="25" s="1"/>
  <c r="W93" i="25"/>
  <c r="X93" i="25" s="1"/>
  <c r="Y93" i="25" s="1"/>
  <c r="Q118" i="25"/>
  <c r="R118" i="25" s="1"/>
  <c r="Q98" i="25"/>
  <c r="R98" i="25" s="1"/>
  <c r="Q128" i="25"/>
  <c r="R128" i="25" s="1"/>
  <c r="W118" i="25"/>
  <c r="X118" i="25" s="1"/>
  <c r="Y118" i="25" s="1"/>
  <c r="Q124" i="25"/>
  <c r="R124" i="25" s="1"/>
  <c r="Q147" i="25"/>
  <c r="R147" i="25" s="1"/>
  <c r="Q89" i="25"/>
  <c r="R89" i="25" s="1"/>
  <c r="Q86" i="25"/>
  <c r="R86" i="25" s="1"/>
  <c r="W88" i="25"/>
  <c r="X88" i="25" s="1"/>
  <c r="Y88" i="25" s="1"/>
  <c r="Q121" i="25"/>
  <c r="R121" i="25" s="1"/>
  <c r="Q129" i="25"/>
  <c r="R129" i="25" s="1"/>
  <c r="Q107" i="25"/>
  <c r="R107" i="25" s="1"/>
  <c r="X119" i="25"/>
  <c r="Y119" i="25" s="1"/>
  <c r="Q116" i="25"/>
  <c r="R116" i="25" s="1"/>
  <c r="Q114" i="25"/>
  <c r="R114" i="25" s="1"/>
  <c r="Q85" i="25"/>
  <c r="R85" i="25" s="1"/>
  <c r="Q113" i="25"/>
  <c r="R113" i="25" s="1"/>
  <c r="Q97" i="25"/>
  <c r="R97" i="25" s="1"/>
  <c r="Q92" i="25"/>
  <c r="R92" i="25" s="1"/>
  <c r="Q131" i="25"/>
  <c r="R131" i="25" s="1"/>
  <c r="Q112" i="25"/>
  <c r="R112" i="25" s="1"/>
  <c r="W122" i="25"/>
  <c r="X122" i="25" s="1"/>
  <c r="Y122" i="25" s="1"/>
  <c r="Q117" i="25"/>
  <c r="R117" i="25" s="1"/>
  <c r="X95" i="25"/>
  <c r="Y95" i="25" s="1"/>
  <c r="U89" i="25"/>
  <c r="X89" i="25" s="1"/>
  <c r="Y89" i="25" s="1"/>
  <c r="Q119" i="25"/>
  <c r="R119" i="25" s="1"/>
  <c r="Q174" i="25"/>
  <c r="R174" i="25" s="1"/>
  <c r="AG85" i="25"/>
  <c r="W125" i="25"/>
  <c r="X125" i="25" s="1"/>
  <c r="Y125" i="25" s="1"/>
  <c r="U124" i="25"/>
  <c r="X124" i="25" s="1"/>
  <c r="Y124" i="25" s="1"/>
  <c r="W101" i="25"/>
  <c r="X101" i="25" s="1"/>
  <c r="Y101" i="25" s="1"/>
  <c r="W100" i="25"/>
  <c r="X100" i="25" s="1"/>
  <c r="Y100" i="25" s="1"/>
  <c r="Q96" i="25"/>
  <c r="R96" i="25" s="1"/>
  <c r="X111" i="25"/>
  <c r="Y111" i="25" s="1"/>
  <c r="U104" i="25"/>
  <c r="X104" i="25" s="1"/>
  <c r="Y104" i="25" s="1"/>
  <c r="U121" i="25"/>
  <c r="X121" i="25" s="1"/>
  <c r="Q139" i="25"/>
  <c r="R139" i="25" s="1"/>
  <c r="U114" i="25"/>
  <c r="X114" i="25" s="1"/>
  <c r="Y114" i="25" s="1"/>
  <c r="Q99" i="25"/>
  <c r="R99" i="25" s="1"/>
  <c r="Q127" i="25"/>
  <c r="R127" i="25" s="1"/>
  <c r="X106" i="25"/>
  <c r="Y106" i="25" s="1"/>
  <c r="P108" i="25"/>
  <c r="Q91" i="25"/>
  <c r="R91" i="25" s="1"/>
  <c r="Q106" i="25"/>
  <c r="R106" i="25" s="1"/>
  <c r="U91" i="25"/>
  <c r="X91" i="25" s="1"/>
  <c r="Y91" i="25" s="1"/>
  <c r="U127" i="25"/>
  <c r="Q123" i="25"/>
  <c r="R123" i="25" s="1"/>
  <c r="X116" i="25"/>
  <c r="Y116" i="25" s="1"/>
  <c r="X99" i="25"/>
  <c r="Y99" i="25" s="1"/>
  <c r="U94" i="25"/>
  <c r="Q94" i="25"/>
  <c r="R94" i="25" s="1"/>
  <c r="X113" i="25"/>
  <c r="Y113" i="25" s="1"/>
  <c r="U110" i="25"/>
  <c r="Q110" i="25"/>
  <c r="R110" i="25" s="1"/>
  <c r="Q146" i="25"/>
  <c r="R146" i="25" s="1"/>
  <c r="X96" i="25"/>
  <c r="Y96" i="25" s="1"/>
  <c r="X109" i="25"/>
  <c r="Y109" i="25" s="1"/>
  <c r="X131" i="25"/>
  <c r="Y131" i="25" s="1"/>
  <c r="U102" i="25"/>
  <c r="Q102" i="25"/>
  <c r="R102" i="25" s="1"/>
  <c r="X123" i="25"/>
  <c r="Y123" i="25" s="1"/>
  <c r="X92" i="25"/>
  <c r="Y92" i="25" s="1"/>
  <c r="X90" i="25"/>
  <c r="Y90" i="25" s="1"/>
  <c r="U105" i="25"/>
  <c r="Q105" i="25"/>
  <c r="R105" i="25" s="1"/>
  <c r="X115" i="25"/>
  <c r="Y115" i="25" s="1"/>
  <c r="X128" i="25"/>
  <c r="Y128" i="25" s="1"/>
  <c r="X129" i="25"/>
  <c r="Y129" i="25" s="1"/>
  <c r="Q109" i="25"/>
  <c r="R109" i="25" s="1"/>
  <c r="Q125" i="25"/>
  <c r="R125" i="25" s="1"/>
  <c r="X130" i="25"/>
  <c r="Y130" i="25" s="1"/>
  <c r="X120" i="25"/>
  <c r="Y120" i="25" s="1"/>
  <c r="X97" i="25"/>
  <c r="Y97" i="25" s="1"/>
  <c r="Q154" i="25"/>
  <c r="R154" i="25" s="1"/>
  <c r="Q101" i="25"/>
  <c r="R101" i="25" s="1"/>
  <c r="R136" i="25"/>
  <c r="Y84" i="25"/>
  <c r="U126" i="25"/>
  <c r="Q126" i="25"/>
  <c r="R126" i="25" s="1"/>
  <c r="X112" i="25"/>
  <c r="Y112" i="25" s="1"/>
  <c r="W117" i="25"/>
  <c r="X117" i="25" s="1"/>
  <c r="Y117" i="25" s="1"/>
  <c r="Q93" i="25"/>
  <c r="R93" i="25" s="1"/>
  <c r="X87" i="25"/>
  <c r="Y87" i="25" s="1"/>
  <c r="X107" i="25"/>
  <c r="Y107" i="25" s="1"/>
  <c r="O29" i="24"/>
  <c r="R136" i="24"/>
  <c r="Q136" i="24"/>
  <c r="K131" i="24"/>
  <c r="J131" i="24"/>
  <c r="I131" i="24"/>
  <c r="H131" i="24"/>
  <c r="G131" i="24"/>
  <c r="F131" i="24"/>
  <c r="E131" i="24"/>
  <c r="O131" i="24" s="1"/>
  <c r="D131" i="24"/>
  <c r="N131" i="24" s="1"/>
  <c r="C131" i="24"/>
  <c r="P131" i="24" s="1"/>
  <c r="K130" i="24"/>
  <c r="J130" i="24"/>
  <c r="I130" i="24"/>
  <c r="H130" i="24"/>
  <c r="G130" i="24"/>
  <c r="F130" i="24"/>
  <c r="E130" i="24"/>
  <c r="O130" i="24" s="1"/>
  <c r="D130" i="24"/>
  <c r="N130" i="24" s="1"/>
  <c r="C130" i="24"/>
  <c r="P130" i="24" s="1"/>
  <c r="K129" i="24"/>
  <c r="J129" i="24"/>
  <c r="I129" i="24"/>
  <c r="H129" i="24"/>
  <c r="G129" i="24"/>
  <c r="F129" i="24"/>
  <c r="E129" i="24"/>
  <c r="O129" i="24" s="1"/>
  <c r="D129" i="24"/>
  <c r="N129" i="24" s="1"/>
  <c r="C129" i="24"/>
  <c r="P129" i="24" s="1"/>
  <c r="K128" i="24"/>
  <c r="J128" i="24"/>
  <c r="I128" i="24"/>
  <c r="H128" i="24"/>
  <c r="G128" i="24"/>
  <c r="F128" i="24"/>
  <c r="E128" i="24"/>
  <c r="O128" i="24" s="1"/>
  <c r="D128" i="24"/>
  <c r="N128" i="24" s="1"/>
  <c r="C128" i="24"/>
  <c r="P128" i="24" s="1"/>
  <c r="K127" i="24"/>
  <c r="J127" i="24"/>
  <c r="I127" i="24"/>
  <c r="H127" i="24"/>
  <c r="G127" i="24"/>
  <c r="F127" i="24"/>
  <c r="E127" i="24"/>
  <c r="O127" i="24" s="1"/>
  <c r="D127" i="24"/>
  <c r="N127" i="24" s="1"/>
  <c r="C127" i="24"/>
  <c r="P127" i="24" s="1"/>
  <c r="K126" i="24"/>
  <c r="J126" i="24"/>
  <c r="I126" i="24"/>
  <c r="H126" i="24"/>
  <c r="G126" i="24"/>
  <c r="F126" i="24"/>
  <c r="E126" i="24"/>
  <c r="O126" i="24" s="1"/>
  <c r="D126" i="24"/>
  <c r="N126" i="24" s="1"/>
  <c r="C126" i="24"/>
  <c r="P126" i="24" s="1"/>
  <c r="K125" i="24"/>
  <c r="J125" i="24"/>
  <c r="I125" i="24"/>
  <c r="H125" i="24"/>
  <c r="G125" i="24"/>
  <c r="F125" i="24"/>
  <c r="E125" i="24"/>
  <c r="O125" i="24" s="1"/>
  <c r="D125" i="24"/>
  <c r="N125" i="24" s="1"/>
  <c r="C125" i="24"/>
  <c r="P125" i="24" s="1"/>
  <c r="K124" i="24"/>
  <c r="J124" i="24"/>
  <c r="I124" i="24"/>
  <c r="H124" i="24"/>
  <c r="G124" i="24"/>
  <c r="F124" i="24"/>
  <c r="E124" i="24"/>
  <c r="O124" i="24" s="1"/>
  <c r="D124" i="24"/>
  <c r="N124" i="24" s="1"/>
  <c r="C124" i="24"/>
  <c r="P124" i="24" s="1"/>
  <c r="K123" i="24"/>
  <c r="J123" i="24"/>
  <c r="I123" i="24"/>
  <c r="H123" i="24"/>
  <c r="G123" i="24"/>
  <c r="F123" i="24"/>
  <c r="E123" i="24"/>
  <c r="O123" i="24" s="1"/>
  <c r="D123" i="24"/>
  <c r="N123" i="24" s="1"/>
  <c r="C123" i="24"/>
  <c r="P123" i="24" s="1"/>
  <c r="K122" i="24"/>
  <c r="J122" i="24"/>
  <c r="I122" i="24"/>
  <c r="H122" i="24"/>
  <c r="G122" i="24"/>
  <c r="F122" i="24"/>
  <c r="E122" i="24"/>
  <c r="O122" i="24" s="1"/>
  <c r="D122" i="24"/>
  <c r="N122" i="24" s="1"/>
  <c r="C122" i="24"/>
  <c r="P122" i="24" s="1"/>
  <c r="K121" i="24"/>
  <c r="J121" i="24"/>
  <c r="I121" i="24"/>
  <c r="H121" i="24"/>
  <c r="G121" i="24"/>
  <c r="F121" i="24"/>
  <c r="E121" i="24"/>
  <c r="O121" i="24" s="1"/>
  <c r="D121" i="24"/>
  <c r="N121" i="24" s="1"/>
  <c r="C121" i="24"/>
  <c r="P121" i="24" s="1"/>
  <c r="K120" i="24"/>
  <c r="J120" i="24"/>
  <c r="I120" i="24"/>
  <c r="H120" i="24"/>
  <c r="G120" i="24"/>
  <c r="F120" i="24"/>
  <c r="E120" i="24"/>
  <c r="O120" i="24" s="1"/>
  <c r="D120" i="24"/>
  <c r="N120" i="24" s="1"/>
  <c r="C120" i="24"/>
  <c r="P120" i="24" s="1"/>
  <c r="K119" i="24"/>
  <c r="J119" i="24"/>
  <c r="I119" i="24"/>
  <c r="H119" i="24"/>
  <c r="G119" i="24"/>
  <c r="F119" i="24"/>
  <c r="E119" i="24"/>
  <c r="O119" i="24" s="1"/>
  <c r="D119" i="24"/>
  <c r="N119" i="24" s="1"/>
  <c r="C119" i="24"/>
  <c r="P119" i="24" s="1"/>
  <c r="K118" i="24"/>
  <c r="J118" i="24"/>
  <c r="I118" i="24"/>
  <c r="H118" i="24"/>
  <c r="G118" i="24"/>
  <c r="F118" i="24"/>
  <c r="E118" i="24"/>
  <c r="O118" i="24" s="1"/>
  <c r="D118" i="24"/>
  <c r="N118" i="24" s="1"/>
  <c r="C118" i="24"/>
  <c r="P118" i="24" s="1"/>
  <c r="K117" i="24"/>
  <c r="J117" i="24"/>
  <c r="I117" i="24"/>
  <c r="H117" i="24"/>
  <c r="G117" i="24"/>
  <c r="F117" i="24"/>
  <c r="E117" i="24"/>
  <c r="O117" i="24" s="1"/>
  <c r="D117" i="24"/>
  <c r="N117" i="24" s="1"/>
  <c r="C117" i="24"/>
  <c r="P117" i="24" s="1"/>
  <c r="K116" i="24"/>
  <c r="J116" i="24"/>
  <c r="I116" i="24"/>
  <c r="H116" i="24"/>
  <c r="G116" i="24"/>
  <c r="F116" i="24"/>
  <c r="E116" i="24"/>
  <c r="O116" i="24" s="1"/>
  <c r="D116" i="24"/>
  <c r="N116" i="24" s="1"/>
  <c r="C116" i="24"/>
  <c r="P116" i="24" s="1"/>
  <c r="K115" i="24"/>
  <c r="J115" i="24"/>
  <c r="I115" i="24"/>
  <c r="H115" i="24"/>
  <c r="G115" i="24"/>
  <c r="F115" i="24"/>
  <c r="E115" i="24"/>
  <c r="O115" i="24" s="1"/>
  <c r="D115" i="24"/>
  <c r="N115" i="24" s="1"/>
  <c r="C115" i="24"/>
  <c r="P115" i="24" s="1"/>
  <c r="K114" i="24"/>
  <c r="J114" i="24"/>
  <c r="I114" i="24"/>
  <c r="H114" i="24"/>
  <c r="G114" i="24"/>
  <c r="F114" i="24"/>
  <c r="E114" i="24"/>
  <c r="O114" i="24" s="1"/>
  <c r="D114" i="24"/>
  <c r="N114" i="24" s="1"/>
  <c r="C114" i="24"/>
  <c r="P114" i="24" s="1"/>
  <c r="K113" i="24"/>
  <c r="J113" i="24"/>
  <c r="I113" i="24"/>
  <c r="H113" i="24"/>
  <c r="G113" i="24"/>
  <c r="F113" i="24"/>
  <c r="E113" i="24"/>
  <c r="O113" i="24" s="1"/>
  <c r="D113" i="24"/>
  <c r="N113" i="24" s="1"/>
  <c r="C113" i="24"/>
  <c r="P113" i="24" s="1"/>
  <c r="K112" i="24"/>
  <c r="J112" i="24"/>
  <c r="I112" i="24"/>
  <c r="H112" i="24"/>
  <c r="G112" i="24"/>
  <c r="F112" i="24"/>
  <c r="E112" i="24"/>
  <c r="O112" i="24" s="1"/>
  <c r="D112" i="24"/>
  <c r="N112" i="24" s="1"/>
  <c r="C112" i="24"/>
  <c r="P112" i="24" s="1"/>
  <c r="K111" i="24"/>
  <c r="J111" i="24"/>
  <c r="I111" i="24"/>
  <c r="H111" i="24"/>
  <c r="G111" i="24"/>
  <c r="F111" i="24"/>
  <c r="E111" i="24"/>
  <c r="O111" i="24" s="1"/>
  <c r="D111" i="24"/>
  <c r="N111" i="24" s="1"/>
  <c r="C111" i="24"/>
  <c r="P111" i="24" s="1"/>
  <c r="K110" i="24"/>
  <c r="J110" i="24"/>
  <c r="I110" i="24"/>
  <c r="H110" i="24"/>
  <c r="G110" i="24"/>
  <c r="F110" i="24"/>
  <c r="E110" i="24"/>
  <c r="O110" i="24" s="1"/>
  <c r="D110" i="24"/>
  <c r="N110" i="24" s="1"/>
  <c r="C110" i="24"/>
  <c r="P110" i="24" s="1"/>
  <c r="K109" i="24"/>
  <c r="J109" i="24"/>
  <c r="I109" i="24"/>
  <c r="H109" i="24"/>
  <c r="G109" i="24"/>
  <c r="F109" i="24"/>
  <c r="E109" i="24"/>
  <c r="O109" i="24" s="1"/>
  <c r="D109" i="24"/>
  <c r="N109" i="24" s="1"/>
  <c r="C109" i="24"/>
  <c r="P109" i="24" s="1"/>
  <c r="K108" i="24"/>
  <c r="J108" i="24"/>
  <c r="I108" i="24"/>
  <c r="H108" i="24"/>
  <c r="G108" i="24"/>
  <c r="F108" i="24"/>
  <c r="E108" i="24"/>
  <c r="O108" i="24" s="1"/>
  <c r="D108" i="24"/>
  <c r="N108" i="24" s="1"/>
  <c r="C108" i="24"/>
  <c r="P108" i="24" s="1"/>
  <c r="K107" i="24"/>
  <c r="J107" i="24"/>
  <c r="I107" i="24"/>
  <c r="H107" i="24"/>
  <c r="G107" i="24"/>
  <c r="F107" i="24"/>
  <c r="E107" i="24"/>
  <c r="O107" i="24" s="1"/>
  <c r="D107" i="24"/>
  <c r="N107" i="24" s="1"/>
  <c r="C107" i="24"/>
  <c r="P107" i="24" s="1"/>
  <c r="K106" i="24"/>
  <c r="J106" i="24"/>
  <c r="I106" i="24"/>
  <c r="H106" i="24"/>
  <c r="G106" i="24"/>
  <c r="F106" i="24"/>
  <c r="E106" i="24"/>
  <c r="O106" i="24" s="1"/>
  <c r="D106" i="24"/>
  <c r="N106" i="24" s="1"/>
  <c r="C106" i="24"/>
  <c r="P106" i="24" s="1"/>
  <c r="K105" i="24"/>
  <c r="J105" i="24"/>
  <c r="I105" i="24"/>
  <c r="H105" i="24"/>
  <c r="G105" i="24"/>
  <c r="F105" i="24"/>
  <c r="E105" i="24"/>
  <c r="O105" i="24" s="1"/>
  <c r="D105" i="24"/>
  <c r="N105" i="24" s="1"/>
  <c r="C105" i="24"/>
  <c r="P105" i="24" s="1"/>
  <c r="K104" i="24"/>
  <c r="J104" i="24"/>
  <c r="I104" i="24"/>
  <c r="H104" i="24"/>
  <c r="G104" i="24"/>
  <c r="F104" i="24"/>
  <c r="E104" i="24"/>
  <c r="O104" i="24" s="1"/>
  <c r="D104" i="24"/>
  <c r="N104" i="24" s="1"/>
  <c r="C104" i="24"/>
  <c r="P104" i="24" s="1"/>
  <c r="K103" i="24"/>
  <c r="J103" i="24"/>
  <c r="I103" i="24"/>
  <c r="H103" i="24"/>
  <c r="G103" i="24"/>
  <c r="F103" i="24"/>
  <c r="E103" i="24"/>
  <c r="O103" i="24" s="1"/>
  <c r="D103" i="24"/>
  <c r="N103" i="24" s="1"/>
  <c r="C103" i="24"/>
  <c r="P103" i="24" s="1"/>
  <c r="K102" i="24"/>
  <c r="J102" i="24"/>
  <c r="I102" i="24"/>
  <c r="H102" i="24"/>
  <c r="G102" i="24"/>
  <c r="F102" i="24"/>
  <c r="E102" i="24"/>
  <c r="O102" i="24" s="1"/>
  <c r="D102" i="24"/>
  <c r="N102" i="24" s="1"/>
  <c r="C102" i="24"/>
  <c r="P102" i="24" s="1"/>
  <c r="K101" i="24"/>
  <c r="J101" i="24"/>
  <c r="I101" i="24"/>
  <c r="H101" i="24"/>
  <c r="G101" i="24"/>
  <c r="F101" i="24"/>
  <c r="E101" i="24"/>
  <c r="O101" i="24" s="1"/>
  <c r="D101" i="24"/>
  <c r="N101" i="24" s="1"/>
  <c r="C101" i="24"/>
  <c r="P101" i="24" s="1"/>
  <c r="K100" i="24"/>
  <c r="J100" i="24"/>
  <c r="I100" i="24"/>
  <c r="H100" i="24"/>
  <c r="G100" i="24"/>
  <c r="F100" i="24"/>
  <c r="E100" i="24"/>
  <c r="O100" i="24" s="1"/>
  <c r="D100" i="24"/>
  <c r="N100" i="24" s="1"/>
  <c r="C100" i="24"/>
  <c r="P100" i="24" s="1"/>
  <c r="K99" i="24"/>
  <c r="J99" i="24"/>
  <c r="I99" i="24"/>
  <c r="H99" i="24"/>
  <c r="G99" i="24"/>
  <c r="F99" i="24"/>
  <c r="E99" i="24"/>
  <c r="O99" i="24" s="1"/>
  <c r="D99" i="24"/>
  <c r="N99" i="24" s="1"/>
  <c r="C99" i="24"/>
  <c r="P99" i="24" s="1"/>
  <c r="K98" i="24"/>
  <c r="J98" i="24"/>
  <c r="I98" i="24"/>
  <c r="H98" i="24"/>
  <c r="G98" i="24"/>
  <c r="F98" i="24"/>
  <c r="E98" i="24"/>
  <c r="O98" i="24" s="1"/>
  <c r="D98" i="24"/>
  <c r="N98" i="24" s="1"/>
  <c r="C98" i="24"/>
  <c r="P98" i="24" s="1"/>
  <c r="K97" i="24"/>
  <c r="J97" i="24"/>
  <c r="I97" i="24"/>
  <c r="H97" i="24"/>
  <c r="G97" i="24"/>
  <c r="F97" i="24"/>
  <c r="E97" i="24"/>
  <c r="O97" i="24" s="1"/>
  <c r="D97" i="24"/>
  <c r="N97" i="24" s="1"/>
  <c r="C97" i="24"/>
  <c r="P97" i="24" s="1"/>
  <c r="K96" i="24"/>
  <c r="J96" i="24"/>
  <c r="I96" i="24"/>
  <c r="H96" i="24"/>
  <c r="G96" i="24"/>
  <c r="F96" i="24"/>
  <c r="E96" i="24"/>
  <c r="O96" i="24" s="1"/>
  <c r="D96" i="24"/>
  <c r="N96" i="24" s="1"/>
  <c r="C96" i="24"/>
  <c r="P96" i="24" s="1"/>
  <c r="K95" i="24"/>
  <c r="J95" i="24"/>
  <c r="I95" i="24"/>
  <c r="H95" i="24"/>
  <c r="G95" i="24"/>
  <c r="F95" i="24"/>
  <c r="E95" i="24"/>
  <c r="O95" i="24" s="1"/>
  <c r="D95" i="24"/>
  <c r="N95" i="24" s="1"/>
  <c r="C95" i="24"/>
  <c r="P95" i="24" s="1"/>
  <c r="K94" i="24"/>
  <c r="J94" i="24"/>
  <c r="I94" i="24"/>
  <c r="H94" i="24"/>
  <c r="G94" i="24"/>
  <c r="F94" i="24"/>
  <c r="E94" i="24"/>
  <c r="O94" i="24" s="1"/>
  <c r="D94" i="24"/>
  <c r="N94" i="24" s="1"/>
  <c r="C94" i="24"/>
  <c r="P94" i="24" s="1"/>
  <c r="K93" i="24"/>
  <c r="J93" i="24"/>
  <c r="I93" i="24"/>
  <c r="H93" i="24"/>
  <c r="G93" i="24"/>
  <c r="F93" i="24"/>
  <c r="E93" i="24"/>
  <c r="O93" i="24" s="1"/>
  <c r="D93" i="24"/>
  <c r="N93" i="24" s="1"/>
  <c r="C93" i="24"/>
  <c r="P93" i="24" s="1"/>
  <c r="K92" i="24"/>
  <c r="J92" i="24"/>
  <c r="I92" i="24"/>
  <c r="H92" i="24"/>
  <c r="G92" i="24"/>
  <c r="F92" i="24"/>
  <c r="E92" i="24"/>
  <c r="O92" i="24" s="1"/>
  <c r="D92" i="24"/>
  <c r="N92" i="24" s="1"/>
  <c r="C92" i="24"/>
  <c r="P92" i="24" s="1"/>
  <c r="K91" i="24"/>
  <c r="J91" i="24"/>
  <c r="I91" i="24"/>
  <c r="H91" i="24"/>
  <c r="G91" i="24"/>
  <c r="F91" i="24"/>
  <c r="E91" i="24"/>
  <c r="O91" i="24" s="1"/>
  <c r="D91" i="24"/>
  <c r="N91" i="24" s="1"/>
  <c r="C91" i="24"/>
  <c r="P91" i="24" s="1"/>
  <c r="K90" i="24"/>
  <c r="J90" i="24"/>
  <c r="I90" i="24"/>
  <c r="H90" i="24"/>
  <c r="G90" i="24"/>
  <c r="F90" i="24"/>
  <c r="E90" i="24"/>
  <c r="O90" i="24" s="1"/>
  <c r="D90" i="24"/>
  <c r="N90" i="24" s="1"/>
  <c r="C90" i="24"/>
  <c r="P90" i="24" s="1"/>
  <c r="K89" i="24"/>
  <c r="J89" i="24"/>
  <c r="I89" i="24"/>
  <c r="H89" i="24"/>
  <c r="G89" i="24"/>
  <c r="F89" i="24"/>
  <c r="E89" i="24"/>
  <c r="O89" i="24" s="1"/>
  <c r="D89" i="24"/>
  <c r="N89" i="24" s="1"/>
  <c r="C89" i="24"/>
  <c r="P89" i="24" s="1"/>
  <c r="K88" i="24"/>
  <c r="J88" i="24"/>
  <c r="I88" i="24"/>
  <c r="H88" i="24"/>
  <c r="G88" i="24"/>
  <c r="F88" i="24"/>
  <c r="E88" i="24"/>
  <c r="O88" i="24" s="1"/>
  <c r="D88" i="24"/>
  <c r="N88" i="24" s="1"/>
  <c r="C88" i="24"/>
  <c r="P88" i="24" s="1"/>
  <c r="K87" i="24"/>
  <c r="J87" i="24"/>
  <c r="I87" i="24"/>
  <c r="H87" i="24"/>
  <c r="G87" i="24"/>
  <c r="F87" i="24"/>
  <c r="E87" i="24"/>
  <c r="O87" i="24" s="1"/>
  <c r="D87" i="24"/>
  <c r="N87" i="24" s="1"/>
  <c r="C87" i="24"/>
  <c r="P87" i="24" s="1"/>
  <c r="K86" i="24"/>
  <c r="J86" i="24"/>
  <c r="I86" i="24"/>
  <c r="H86" i="24"/>
  <c r="G86" i="24"/>
  <c r="F86" i="24"/>
  <c r="E86" i="24"/>
  <c r="O86" i="24" s="1"/>
  <c r="D86" i="24"/>
  <c r="N86" i="24" s="1"/>
  <c r="C86" i="24"/>
  <c r="P86" i="24" s="1"/>
  <c r="K85" i="24"/>
  <c r="J85" i="24"/>
  <c r="I85" i="24"/>
  <c r="H85" i="24"/>
  <c r="G85" i="24"/>
  <c r="F85" i="24"/>
  <c r="E85" i="24"/>
  <c r="O85" i="24" s="1"/>
  <c r="D85" i="24"/>
  <c r="N85" i="24" s="1"/>
  <c r="C85" i="24"/>
  <c r="P85" i="24" s="1"/>
  <c r="Y84" i="24"/>
  <c r="U84" i="24"/>
  <c r="Y72" i="24"/>
  <c r="U72" i="24"/>
  <c r="T72" i="24"/>
  <c r="Y71" i="24"/>
  <c r="U71" i="24"/>
  <c r="T71" i="24"/>
  <c r="Y70" i="24"/>
  <c r="U70" i="24"/>
  <c r="T70" i="24"/>
  <c r="Y69" i="24"/>
  <c r="U69" i="24"/>
  <c r="T69" i="24"/>
  <c r="Y68" i="24"/>
  <c r="U68" i="24"/>
  <c r="T68" i="24"/>
  <c r="Y67" i="24"/>
  <c r="U67" i="24"/>
  <c r="T67" i="24"/>
  <c r="Y66" i="24"/>
  <c r="U66" i="24"/>
  <c r="T66" i="24"/>
  <c r="Y65" i="24"/>
  <c r="U65" i="24"/>
  <c r="T65" i="24"/>
  <c r="Y64" i="24"/>
  <c r="U64" i="24"/>
  <c r="T64" i="24"/>
  <c r="Y63" i="24"/>
  <c r="U63" i="24"/>
  <c r="T63" i="24"/>
  <c r="Y62" i="24"/>
  <c r="U62" i="24"/>
  <c r="Y61" i="24"/>
  <c r="U61" i="24"/>
  <c r="Y60" i="24"/>
  <c r="U60" i="24"/>
  <c r="Y59" i="24"/>
  <c r="U59" i="24"/>
  <c r="Y58" i="24"/>
  <c r="U58" i="24"/>
  <c r="Y57" i="24"/>
  <c r="U57" i="24"/>
  <c r="Y56" i="24"/>
  <c r="U56" i="24"/>
  <c r="Y55" i="24"/>
  <c r="U55" i="24"/>
  <c r="Y54" i="24"/>
  <c r="U54" i="24"/>
  <c r="Y53" i="24"/>
  <c r="U53" i="24"/>
  <c r="Y52" i="24"/>
  <c r="U52" i="24"/>
  <c r="Y51" i="24"/>
  <c r="U51" i="24"/>
  <c r="Y50" i="24"/>
  <c r="U50" i="24"/>
  <c r="Y49" i="24"/>
  <c r="U49" i="24"/>
  <c r="Y48" i="24"/>
  <c r="U48" i="24"/>
  <c r="Y47" i="24"/>
  <c r="U47" i="24"/>
  <c r="Y46" i="24"/>
  <c r="U46" i="24"/>
  <c r="Y45" i="24"/>
  <c r="U45" i="24"/>
  <c r="Y44" i="24"/>
  <c r="U44" i="24"/>
  <c r="Y43" i="24"/>
  <c r="U43" i="24"/>
  <c r="Y42" i="24"/>
  <c r="U42" i="24"/>
  <c r="Y41" i="24"/>
  <c r="U41" i="24"/>
  <c r="Y40" i="24"/>
  <c r="U40" i="24"/>
  <c r="Y39" i="24"/>
  <c r="U39" i="24"/>
  <c r="Y38" i="24"/>
  <c r="U38" i="24"/>
  <c r="Y37" i="24"/>
  <c r="U37" i="24"/>
  <c r="Y36" i="24"/>
  <c r="U36" i="24"/>
  <c r="Y35" i="24"/>
  <c r="U35" i="24"/>
  <c r="Y34" i="24"/>
  <c r="U34" i="24"/>
  <c r="Y33" i="24"/>
  <c r="U33" i="24"/>
  <c r="Y32" i="24"/>
  <c r="U32" i="24"/>
  <c r="Y31" i="24"/>
  <c r="U31" i="24"/>
  <c r="T31" i="24"/>
  <c r="Y30" i="24"/>
  <c r="U30" i="24"/>
  <c r="T30" i="24"/>
  <c r="Y29" i="24"/>
  <c r="U29" i="24"/>
  <c r="T29" i="24"/>
  <c r="Y28" i="24"/>
  <c r="U28" i="24"/>
  <c r="T28" i="24"/>
  <c r="Y27" i="24"/>
  <c r="U27" i="24"/>
  <c r="T27" i="24"/>
  <c r="Y26" i="24"/>
  <c r="U26" i="24"/>
  <c r="T26" i="24"/>
  <c r="U23" i="24"/>
  <c r="N5" i="24"/>
  <c r="N2" i="24"/>
  <c r="I2" i="24"/>
  <c r="A1" i="24"/>
  <c r="V117" i="24" l="1"/>
  <c r="V85" i="24"/>
  <c r="X85" i="24" s="1"/>
  <c r="V90" i="24"/>
  <c r="Y121" i="25"/>
  <c r="W108" i="25"/>
  <c r="X108" i="25" s="1"/>
  <c r="Y108" i="25" s="1"/>
  <c r="Q108" i="25"/>
  <c r="R108" i="25" s="1"/>
  <c r="X127" i="25"/>
  <c r="Y127" i="25" s="1"/>
  <c r="X126" i="25"/>
  <c r="Y126" i="25" s="1"/>
  <c r="X102" i="25"/>
  <c r="Y102" i="25" s="1"/>
  <c r="X110" i="25"/>
  <c r="Y110" i="25" s="1"/>
  <c r="X94" i="25"/>
  <c r="Y94" i="25" s="1"/>
  <c r="X105" i="25"/>
  <c r="Y105" i="25" s="1"/>
  <c r="V88" i="24"/>
  <c r="V95" i="24"/>
  <c r="Q140" i="24"/>
  <c r="R140" i="24" s="1"/>
  <c r="V87" i="24"/>
  <c r="V92" i="24"/>
  <c r="Q138" i="24"/>
  <c r="R138" i="24" s="1"/>
  <c r="O26" i="24"/>
  <c r="Q142" i="24"/>
  <c r="R142" i="24" s="1"/>
  <c r="V120" i="24"/>
  <c r="Q160" i="24"/>
  <c r="R160" i="24" s="1"/>
  <c r="Q170" i="24"/>
  <c r="R170" i="24" s="1"/>
  <c r="Q154" i="24"/>
  <c r="R154" i="24" s="1"/>
  <c r="V125" i="24"/>
  <c r="Q152" i="24"/>
  <c r="R152" i="24" s="1"/>
  <c r="Q144" i="24"/>
  <c r="R144" i="24" s="1"/>
  <c r="U108" i="24"/>
  <c r="W109" i="24"/>
  <c r="Q146" i="24"/>
  <c r="W94" i="24"/>
  <c r="U101" i="24"/>
  <c r="Q156" i="24"/>
  <c r="R156" i="24" s="1"/>
  <c r="V122" i="24"/>
  <c r="Q158" i="24"/>
  <c r="R158" i="24" s="1"/>
  <c r="V130" i="24"/>
  <c r="V119" i="24"/>
  <c r="Q176" i="24"/>
  <c r="R176" i="24" s="1"/>
  <c r="U112" i="24"/>
  <c r="W118" i="24"/>
  <c r="V127" i="24"/>
  <c r="Q168" i="24"/>
  <c r="R168" i="24" s="1"/>
  <c r="W110" i="24"/>
  <c r="V124" i="24"/>
  <c r="Q172" i="24"/>
  <c r="R172" i="24" s="1"/>
  <c r="Q182" i="24"/>
  <c r="R182" i="24" s="1"/>
  <c r="Q166" i="24"/>
  <c r="R166" i="24" s="1"/>
  <c r="V106" i="24"/>
  <c r="V111" i="24"/>
  <c r="Q178" i="24"/>
  <c r="R178" i="24" s="1"/>
  <c r="V103" i="24"/>
  <c r="Q155" i="24"/>
  <c r="R155" i="24" s="1"/>
  <c r="V101" i="24"/>
  <c r="Q148" i="24"/>
  <c r="R148" i="24" s="1"/>
  <c r="Q180" i="24"/>
  <c r="R180" i="24" s="1"/>
  <c r="Q162" i="24"/>
  <c r="R162" i="24" s="1"/>
  <c r="Q150" i="24"/>
  <c r="R150" i="24" s="1"/>
  <c r="U90" i="24"/>
  <c r="V108" i="24"/>
  <c r="V91" i="24"/>
  <c r="W121" i="24"/>
  <c r="U124" i="24"/>
  <c r="W125" i="24"/>
  <c r="Q174" i="24"/>
  <c r="R174" i="24" s="1"/>
  <c r="Q164" i="24"/>
  <c r="R164" i="24" s="1"/>
  <c r="W129" i="24"/>
  <c r="Q171" i="24"/>
  <c r="R171" i="24" s="1"/>
  <c r="Q139" i="24"/>
  <c r="R139" i="24" s="1"/>
  <c r="Q159" i="24"/>
  <c r="R159" i="24" s="1"/>
  <c r="Q175" i="24"/>
  <c r="R175" i="24" s="1"/>
  <c r="Q161" i="24"/>
  <c r="R161" i="24" s="1"/>
  <c r="Q145" i="24"/>
  <c r="R145" i="24" s="1"/>
  <c r="Q157" i="24"/>
  <c r="R157" i="24" s="1"/>
  <c r="V109" i="24"/>
  <c r="V89" i="24"/>
  <c r="V93" i="24"/>
  <c r="W123" i="24"/>
  <c r="Q177" i="24"/>
  <c r="R177" i="24" s="1"/>
  <c r="Q163" i="24"/>
  <c r="R163" i="24" s="1"/>
  <c r="Q147" i="24"/>
  <c r="R147" i="24" s="1"/>
  <c r="Q173" i="24"/>
  <c r="R173" i="24" s="1"/>
  <c r="W88" i="24"/>
  <c r="U95" i="24"/>
  <c r="U106" i="24"/>
  <c r="W113" i="24"/>
  <c r="U116" i="24"/>
  <c r="Q179" i="24"/>
  <c r="R179" i="24" s="1"/>
  <c r="Q165" i="24"/>
  <c r="R165" i="24" s="1"/>
  <c r="Q149" i="24"/>
  <c r="R149" i="24" s="1"/>
  <c r="V98" i="24"/>
  <c r="U103" i="24"/>
  <c r="W104" i="24"/>
  <c r="W115" i="24"/>
  <c r="U119" i="24"/>
  <c r="W124" i="24"/>
  <c r="V128" i="24"/>
  <c r="Q181" i="24"/>
  <c r="R181" i="24" s="1"/>
  <c r="Q167" i="24"/>
  <c r="R167" i="24" s="1"/>
  <c r="Q151" i="24"/>
  <c r="R151" i="24" s="1"/>
  <c r="Q141" i="24"/>
  <c r="R141" i="24" s="1"/>
  <c r="W128" i="24"/>
  <c r="Q143" i="24"/>
  <c r="R143" i="24" s="1"/>
  <c r="W100" i="24"/>
  <c r="U92" i="24"/>
  <c r="W112" i="24"/>
  <c r="Q183" i="24"/>
  <c r="R183" i="24" s="1"/>
  <c r="Q169" i="24"/>
  <c r="R169" i="24" s="1"/>
  <c r="Q153" i="24"/>
  <c r="R153" i="24" s="1"/>
  <c r="Q137" i="24"/>
  <c r="R137" i="24" s="1"/>
  <c r="W96" i="24"/>
  <c r="V86" i="24"/>
  <c r="X86" i="24" s="1"/>
  <c r="V104" i="24"/>
  <c r="V114" i="24"/>
  <c r="W120" i="24"/>
  <c r="W99" i="24"/>
  <c r="U114" i="24"/>
  <c r="V116" i="24"/>
  <c r="U125" i="24"/>
  <c r="U88" i="24"/>
  <c r="W87" i="24"/>
  <c r="W90" i="24"/>
  <c r="W91" i="24"/>
  <c r="W103" i="24"/>
  <c r="W108" i="24"/>
  <c r="V112" i="24"/>
  <c r="U117" i="24"/>
  <c r="U122" i="24"/>
  <c r="W93" i="24"/>
  <c r="W95" i="24"/>
  <c r="W105" i="24"/>
  <c r="W89" i="24"/>
  <c r="U98" i="24"/>
  <c r="W102" i="24"/>
  <c r="W107" i="24"/>
  <c r="W116" i="24"/>
  <c r="U93" i="24"/>
  <c r="V99" i="24"/>
  <c r="V131" i="24"/>
  <c r="V97" i="24"/>
  <c r="V115" i="24"/>
  <c r="W101" i="24"/>
  <c r="U109" i="24"/>
  <c r="Q109" i="24"/>
  <c r="R109" i="24" s="1"/>
  <c r="W117" i="24"/>
  <c r="AG85" i="24"/>
  <c r="O27" i="24"/>
  <c r="V100" i="24"/>
  <c r="V96" i="24"/>
  <c r="V121" i="24"/>
  <c r="W122" i="24"/>
  <c r="V126" i="24"/>
  <c r="W127" i="24"/>
  <c r="U127" i="24"/>
  <c r="W98" i="24"/>
  <c r="V105" i="24"/>
  <c r="W106" i="24"/>
  <c r="V110" i="24"/>
  <c r="W111" i="24"/>
  <c r="U111" i="24"/>
  <c r="W126" i="24"/>
  <c r="V129" i="24"/>
  <c r="W130" i="24"/>
  <c r="W131" i="24"/>
  <c r="W97" i="24"/>
  <c r="V123" i="24"/>
  <c r="U130" i="24"/>
  <c r="V113" i="24"/>
  <c r="W114" i="24"/>
  <c r="V118" i="24"/>
  <c r="W119" i="24"/>
  <c r="W92" i="24"/>
  <c r="V94" i="24"/>
  <c r="V102" i="24"/>
  <c r="V107" i="24"/>
  <c r="R146" i="24"/>
  <c r="Q108" i="24"/>
  <c r="R108" i="24" s="1"/>
  <c r="P183" i="23"/>
  <c r="O183" i="23"/>
  <c r="N183" i="23"/>
  <c r="P182" i="23"/>
  <c r="O182" i="23"/>
  <c r="N182" i="23"/>
  <c r="P181" i="23"/>
  <c r="O181" i="23"/>
  <c r="N181" i="23"/>
  <c r="P180" i="23"/>
  <c r="O180" i="23"/>
  <c r="N180" i="23"/>
  <c r="P179" i="23"/>
  <c r="O179" i="23"/>
  <c r="N179" i="23"/>
  <c r="P178" i="23"/>
  <c r="O178" i="23"/>
  <c r="N178" i="23"/>
  <c r="P177" i="23"/>
  <c r="O177" i="23"/>
  <c r="N177" i="23"/>
  <c r="P176" i="23"/>
  <c r="O176" i="23"/>
  <c r="N176" i="23"/>
  <c r="P175" i="23"/>
  <c r="O175" i="23"/>
  <c r="N175" i="23"/>
  <c r="P174" i="23"/>
  <c r="O174" i="23"/>
  <c r="N174" i="23"/>
  <c r="P173" i="23"/>
  <c r="O173" i="23"/>
  <c r="N173" i="23"/>
  <c r="P172" i="23"/>
  <c r="O172" i="23"/>
  <c r="N172" i="23"/>
  <c r="P171" i="23"/>
  <c r="O171" i="23"/>
  <c r="N171" i="23"/>
  <c r="P170" i="23"/>
  <c r="O170" i="23"/>
  <c r="N170" i="23"/>
  <c r="P169" i="23"/>
  <c r="O169" i="23"/>
  <c r="N169" i="23"/>
  <c r="P168" i="23"/>
  <c r="O168" i="23"/>
  <c r="N168" i="23"/>
  <c r="P167" i="23"/>
  <c r="O167" i="23"/>
  <c r="N167" i="23"/>
  <c r="P166" i="23"/>
  <c r="O166" i="23"/>
  <c r="N166" i="23"/>
  <c r="P165" i="23"/>
  <c r="O165" i="23"/>
  <c r="N165" i="23"/>
  <c r="P164" i="23"/>
  <c r="O164" i="23"/>
  <c r="N164" i="23"/>
  <c r="P163" i="23"/>
  <c r="O163" i="23"/>
  <c r="N163" i="23"/>
  <c r="P162" i="23"/>
  <c r="O162" i="23"/>
  <c r="N162" i="23"/>
  <c r="P161" i="23"/>
  <c r="O161" i="23"/>
  <c r="N161" i="23"/>
  <c r="P160" i="23"/>
  <c r="O160" i="23"/>
  <c r="N160" i="23"/>
  <c r="P159" i="23"/>
  <c r="O159" i="23"/>
  <c r="N159" i="23"/>
  <c r="P158" i="23"/>
  <c r="O158" i="23"/>
  <c r="N158" i="23"/>
  <c r="P157" i="23"/>
  <c r="O157" i="23"/>
  <c r="N157" i="23"/>
  <c r="P156" i="23"/>
  <c r="O156" i="23"/>
  <c r="N156" i="23"/>
  <c r="P155" i="23"/>
  <c r="O155" i="23"/>
  <c r="N155" i="23"/>
  <c r="P154" i="23"/>
  <c r="O154" i="23"/>
  <c r="N154" i="23"/>
  <c r="P153" i="23"/>
  <c r="O153" i="23"/>
  <c r="N153" i="23"/>
  <c r="P152" i="23"/>
  <c r="O152" i="23"/>
  <c r="N152" i="23"/>
  <c r="P151" i="23"/>
  <c r="O151" i="23"/>
  <c r="N151" i="23"/>
  <c r="P150" i="23"/>
  <c r="O150" i="23"/>
  <c r="N150" i="23"/>
  <c r="P149" i="23"/>
  <c r="O149" i="23"/>
  <c r="N149" i="23"/>
  <c r="P148" i="23"/>
  <c r="O148" i="23"/>
  <c r="N148" i="23"/>
  <c r="P147" i="23"/>
  <c r="O147" i="23"/>
  <c r="N147" i="23"/>
  <c r="P146" i="23"/>
  <c r="O146" i="23"/>
  <c r="N146" i="23"/>
  <c r="P145" i="23"/>
  <c r="O145" i="23"/>
  <c r="N145" i="23"/>
  <c r="P144" i="23"/>
  <c r="O144" i="23"/>
  <c r="N144" i="23"/>
  <c r="P143" i="23"/>
  <c r="O143" i="23"/>
  <c r="N143" i="23"/>
  <c r="P142" i="23"/>
  <c r="O142" i="23"/>
  <c r="N142" i="23"/>
  <c r="P141" i="23"/>
  <c r="O141" i="23"/>
  <c r="N141" i="23"/>
  <c r="P140" i="23"/>
  <c r="O140" i="23"/>
  <c r="N140" i="23"/>
  <c r="P139" i="23"/>
  <c r="O139" i="23"/>
  <c r="N139" i="23"/>
  <c r="P138" i="23"/>
  <c r="O138" i="23"/>
  <c r="N138" i="23"/>
  <c r="P137" i="23"/>
  <c r="O137" i="23"/>
  <c r="N137" i="23"/>
  <c r="R136" i="23"/>
  <c r="Q136" i="23"/>
  <c r="P136" i="23"/>
  <c r="N136" i="23"/>
  <c r="K131" i="23"/>
  <c r="J131" i="23"/>
  <c r="I131" i="23"/>
  <c r="H131" i="23"/>
  <c r="O131" i="23" s="1"/>
  <c r="G131" i="23"/>
  <c r="F131" i="23"/>
  <c r="E131" i="23"/>
  <c r="D131" i="23"/>
  <c r="C131" i="23"/>
  <c r="K130" i="23"/>
  <c r="J130" i="23"/>
  <c r="I130" i="23"/>
  <c r="H130" i="23"/>
  <c r="O130" i="23" s="1"/>
  <c r="V130" i="23" s="1"/>
  <c r="G130" i="23"/>
  <c r="F130" i="23"/>
  <c r="E130" i="23"/>
  <c r="D130" i="23"/>
  <c r="C130" i="23"/>
  <c r="K129" i="23"/>
  <c r="J129" i="23"/>
  <c r="I129" i="23"/>
  <c r="H129" i="23"/>
  <c r="G129" i="23"/>
  <c r="F129" i="23"/>
  <c r="E129" i="23"/>
  <c r="D129" i="23"/>
  <c r="C129" i="23"/>
  <c r="K128" i="23"/>
  <c r="J128" i="23"/>
  <c r="I128" i="23"/>
  <c r="H128" i="23"/>
  <c r="O128" i="23" s="1"/>
  <c r="G128" i="23"/>
  <c r="F128" i="23"/>
  <c r="E128" i="23"/>
  <c r="D128" i="23"/>
  <c r="C128" i="23"/>
  <c r="K127" i="23"/>
  <c r="J127" i="23"/>
  <c r="I127" i="23"/>
  <c r="H127" i="23"/>
  <c r="O127" i="23" s="1"/>
  <c r="V127" i="23" s="1"/>
  <c r="G127" i="23"/>
  <c r="F127" i="23"/>
  <c r="E127" i="23"/>
  <c r="D127" i="23"/>
  <c r="C127" i="23"/>
  <c r="K126" i="23"/>
  <c r="J126" i="23"/>
  <c r="I126" i="23"/>
  <c r="H126" i="23"/>
  <c r="G126" i="23"/>
  <c r="F126" i="23"/>
  <c r="E126" i="23"/>
  <c r="D126" i="23"/>
  <c r="C126" i="23"/>
  <c r="K125" i="23"/>
  <c r="J125" i="23"/>
  <c r="I125" i="23"/>
  <c r="H125" i="23"/>
  <c r="O125" i="23" s="1"/>
  <c r="G125" i="23"/>
  <c r="F125" i="23"/>
  <c r="E125" i="23"/>
  <c r="D125" i="23"/>
  <c r="C125" i="23"/>
  <c r="K124" i="23"/>
  <c r="J124" i="23"/>
  <c r="I124" i="23"/>
  <c r="H124" i="23"/>
  <c r="G124" i="23"/>
  <c r="F124" i="23"/>
  <c r="E124" i="23"/>
  <c r="D124" i="23"/>
  <c r="C124" i="23"/>
  <c r="K123" i="23"/>
  <c r="J123" i="23"/>
  <c r="I123" i="23"/>
  <c r="H123" i="23"/>
  <c r="O123" i="23" s="1"/>
  <c r="G123" i="23"/>
  <c r="F123" i="23"/>
  <c r="E123" i="23"/>
  <c r="D123" i="23"/>
  <c r="C123" i="23"/>
  <c r="K122" i="23"/>
  <c r="J122" i="23"/>
  <c r="I122" i="23"/>
  <c r="H122" i="23"/>
  <c r="O122" i="23" s="1"/>
  <c r="V122" i="23" s="1"/>
  <c r="G122" i="23"/>
  <c r="F122" i="23"/>
  <c r="E122" i="23"/>
  <c r="D122" i="23"/>
  <c r="C122" i="23"/>
  <c r="K121" i="23"/>
  <c r="J121" i="23"/>
  <c r="I121" i="23"/>
  <c r="H121" i="23"/>
  <c r="G121" i="23"/>
  <c r="F121" i="23"/>
  <c r="E121" i="23"/>
  <c r="D121" i="23"/>
  <c r="C121" i="23"/>
  <c r="K120" i="23"/>
  <c r="J120" i="23"/>
  <c r="I120" i="23"/>
  <c r="H120" i="23"/>
  <c r="O120" i="23" s="1"/>
  <c r="G120" i="23"/>
  <c r="F120" i="23"/>
  <c r="E120" i="23"/>
  <c r="D120" i="23"/>
  <c r="C120" i="23"/>
  <c r="K119" i="23"/>
  <c r="J119" i="23"/>
  <c r="I119" i="23"/>
  <c r="H119" i="23"/>
  <c r="O119" i="23" s="1"/>
  <c r="V119" i="23" s="1"/>
  <c r="G119" i="23"/>
  <c r="F119" i="23"/>
  <c r="E119" i="23"/>
  <c r="D119" i="23"/>
  <c r="C119" i="23"/>
  <c r="K118" i="23"/>
  <c r="J118" i="23"/>
  <c r="I118" i="23"/>
  <c r="H118" i="23"/>
  <c r="G118" i="23"/>
  <c r="F118" i="23"/>
  <c r="E118" i="23"/>
  <c r="D118" i="23"/>
  <c r="C118" i="23"/>
  <c r="K117" i="23"/>
  <c r="J117" i="23"/>
  <c r="I117" i="23"/>
  <c r="H117" i="23"/>
  <c r="O117" i="23" s="1"/>
  <c r="V117" i="23" s="1"/>
  <c r="G117" i="23"/>
  <c r="F117" i="23"/>
  <c r="E117" i="23"/>
  <c r="D117" i="23"/>
  <c r="C117" i="23"/>
  <c r="K116" i="23"/>
  <c r="J116" i="23"/>
  <c r="I116" i="23"/>
  <c r="H116" i="23"/>
  <c r="G116" i="23"/>
  <c r="F116" i="23"/>
  <c r="E116" i="23"/>
  <c r="D116" i="23"/>
  <c r="C116" i="23"/>
  <c r="K115" i="23"/>
  <c r="J115" i="23"/>
  <c r="I115" i="23"/>
  <c r="H115" i="23"/>
  <c r="O115" i="23" s="1"/>
  <c r="G115" i="23"/>
  <c r="F115" i="23"/>
  <c r="E115" i="23"/>
  <c r="D115" i="23"/>
  <c r="C115" i="23"/>
  <c r="K114" i="23"/>
  <c r="J114" i="23"/>
  <c r="I114" i="23"/>
  <c r="H114" i="23"/>
  <c r="O114" i="23" s="1"/>
  <c r="V114" i="23" s="1"/>
  <c r="G114" i="23"/>
  <c r="F114" i="23"/>
  <c r="E114" i="23"/>
  <c r="D114" i="23"/>
  <c r="C114" i="23"/>
  <c r="K113" i="23"/>
  <c r="J113" i="23"/>
  <c r="I113" i="23"/>
  <c r="H113" i="23"/>
  <c r="G113" i="23"/>
  <c r="F113" i="23"/>
  <c r="E113" i="23"/>
  <c r="D113" i="23"/>
  <c r="C113" i="23"/>
  <c r="K112" i="23"/>
  <c r="J112" i="23"/>
  <c r="I112" i="23"/>
  <c r="H112" i="23"/>
  <c r="O112" i="23" s="1"/>
  <c r="G112" i="23"/>
  <c r="F112" i="23"/>
  <c r="E112" i="23"/>
  <c r="D112" i="23"/>
  <c r="C112" i="23"/>
  <c r="K111" i="23"/>
  <c r="J111" i="23"/>
  <c r="I111" i="23"/>
  <c r="H111" i="23"/>
  <c r="O111" i="23" s="1"/>
  <c r="V111" i="23" s="1"/>
  <c r="G111" i="23"/>
  <c r="F111" i="23"/>
  <c r="E111" i="23"/>
  <c r="D111" i="23"/>
  <c r="C111" i="23"/>
  <c r="K110" i="23"/>
  <c r="J110" i="23"/>
  <c r="I110" i="23"/>
  <c r="H110" i="23"/>
  <c r="G110" i="23"/>
  <c r="F110" i="23"/>
  <c r="E110" i="23"/>
  <c r="D110" i="23"/>
  <c r="C110" i="23"/>
  <c r="K109" i="23"/>
  <c r="J109" i="23"/>
  <c r="I109" i="23"/>
  <c r="H109" i="23"/>
  <c r="O109" i="23" s="1"/>
  <c r="V109" i="23" s="1"/>
  <c r="G109" i="23"/>
  <c r="F109" i="23"/>
  <c r="E109" i="23"/>
  <c r="D109" i="23"/>
  <c r="C109" i="23"/>
  <c r="K108" i="23"/>
  <c r="J108" i="23"/>
  <c r="I108" i="23"/>
  <c r="H108" i="23"/>
  <c r="G108" i="23"/>
  <c r="F108" i="23"/>
  <c r="E108" i="23"/>
  <c r="D108" i="23"/>
  <c r="C108" i="23"/>
  <c r="K107" i="23"/>
  <c r="J107" i="23"/>
  <c r="I107" i="23"/>
  <c r="H107" i="23"/>
  <c r="O107" i="23" s="1"/>
  <c r="G107" i="23"/>
  <c r="F107" i="23"/>
  <c r="E107" i="23"/>
  <c r="D107" i="23"/>
  <c r="C107" i="23"/>
  <c r="K106" i="23"/>
  <c r="J106" i="23"/>
  <c r="I106" i="23"/>
  <c r="H106" i="23"/>
  <c r="O106" i="23" s="1"/>
  <c r="V106" i="23" s="1"/>
  <c r="G106" i="23"/>
  <c r="F106" i="23"/>
  <c r="E106" i="23"/>
  <c r="D106" i="23"/>
  <c r="C106" i="23"/>
  <c r="K105" i="23"/>
  <c r="J105" i="23"/>
  <c r="I105" i="23"/>
  <c r="H105" i="23"/>
  <c r="G105" i="23"/>
  <c r="F105" i="23"/>
  <c r="E105" i="23"/>
  <c r="D105" i="23"/>
  <c r="C105" i="23"/>
  <c r="K104" i="23"/>
  <c r="J104" i="23"/>
  <c r="I104" i="23"/>
  <c r="H104" i="23"/>
  <c r="O104" i="23" s="1"/>
  <c r="G104" i="23"/>
  <c r="F104" i="23"/>
  <c r="E104" i="23"/>
  <c r="D104" i="23"/>
  <c r="C104" i="23"/>
  <c r="K103" i="23"/>
  <c r="J103" i="23"/>
  <c r="I103" i="23"/>
  <c r="H103" i="23"/>
  <c r="O103" i="23" s="1"/>
  <c r="V103" i="23" s="1"/>
  <c r="G103" i="23"/>
  <c r="F103" i="23"/>
  <c r="E103" i="23"/>
  <c r="D103" i="23"/>
  <c r="C103" i="23"/>
  <c r="K102" i="23"/>
  <c r="J102" i="23"/>
  <c r="I102" i="23"/>
  <c r="H102" i="23"/>
  <c r="G102" i="23"/>
  <c r="F102" i="23"/>
  <c r="E102" i="23"/>
  <c r="D102" i="23"/>
  <c r="C102" i="23"/>
  <c r="K101" i="23"/>
  <c r="J101" i="23"/>
  <c r="I101" i="23"/>
  <c r="H101" i="23"/>
  <c r="O101" i="23" s="1"/>
  <c r="V101" i="23" s="1"/>
  <c r="G101" i="23"/>
  <c r="F101" i="23"/>
  <c r="E101" i="23"/>
  <c r="D101" i="23"/>
  <c r="C101" i="23"/>
  <c r="K100" i="23"/>
  <c r="J100" i="23"/>
  <c r="I100" i="23"/>
  <c r="H100" i="23"/>
  <c r="G100" i="23"/>
  <c r="F100" i="23"/>
  <c r="E100" i="23"/>
  <c r="D100" i="23"/>
  <c r="C100" i="23"/>
  <c r="K99" i="23"/>
  <c r="J99" i="23"/>
  <c r="I99" i="23"/>
  <c r="H99" i="23"/>
  <c r="O99" i="23" s="1"/>
  <c r="G99" i="23"/>
  <c r="F99" i="23"/>
  <c r="E99" i="23"/>
  <c r="D99" i="23"/>
  <c r="C99" i="23"/>
  <c r="K98" i="23"/>
  <c r="J98" i="23"/>
  <c r="I98" i="23"/>
  <c r="H98" i="23"/>
  <c r="O98" i="23" s="1"/>
  <c r="V98" i="23" s="1"/>
  <c r="G98" i="23"/>
  <c r="F98" i="23"/>
  <c r="E98" i="23"/>
  <c r="D98" i="23"/>
  <c r="C98" i="23"/>
  <c r="K97" i="23"/>
  <c r="J97" i="23"/>
  <c r="I97" i="23"/>
  <c r="H97" i="23"/>
  <c r="G97" i="23"/>
  <c r="F97" i="23"/>
  <c r="E97" i="23"/>
  <c r="D97" i="23"/>
  <c r="C97" i="23"/>
  <c r="K96" i="23"/>
  <c r="J96" i="23"/>
  <c r="I96" i="23"/>
  <c r="H96" i="23"/>
  <c r="O96" i="23" s="1"/>
  <c r="G96" i="23"/>
  <c r="F96" i="23"/>
  <c r="E96" i="23"/>
  <c r="D96" i="23"/>
  <c r="C96" i="23"/>
  <c r="K95" i="23"/>
  <c r="J95" i="23"/>
  <c r="I95" i="23"/>
  <c r="H95" i="23"/>
  <c r="O95" i="23" s="1"/>
  <c r="V95" i="23" s="1"/>
  <c r="G95" i="23"/>
  <c r="F95" i="23"/>
  <c r="E95" i="23"/>
  <c r="D95" i="23"/>
  <c r="C95" i="23"/>
  <c r="K94" i="23"/>
  <c r="J94" i="23"/>
  <c r="I94" i="23"/>
  <c r="H94" i="23"/>
  <c r="G94" i="23"/>
  <c r="F94" i="23"/>
  <c r="E94" i="23"/>
  <c r="D94" i="23"/>
  <c r="C94" i="23"/>
  <c r="K93" i="23"/>
  <c r="J93" i="23"/>
  <c r="I93" i="23"/>
  <c r="H93" i="23"/>
  <c r="O93" i="23" s="1"/>
  <c r="V93" i="23" s="1"/>
  <c r="G93" i="23"/>
  <c r="F93" i="23"/>
  <c r="E93" i="23"/>
  <c r="D93" i="23"/>
  <c r="C93" i="23"/>
  <c r="K92" i="23"/>
  <c r="J92" i="23"/>
  <c r="I92" i="23"/>
  <c r="H92" i="23"/>
  <c r="G92" i="23"/>
  <c r="F92" i="23"/>
  <c r="E92" i="23"/>
  <c r="D92" i="23"/>
  <c r="C92" i="23"/>
  <c r="K91" i="23"/>
  <c r="J91" i="23"/>
  <c r="I91" i="23"/>
  <c r="H91" i="23"/>
  <c r="O91" i="23" s="1"/>
  <c r="G91" i="23"/>
  <c r="F91" i="23"/>
  <c r="E91" i="23"/>
  <c r="D91" i="23"/>
  <c r="C91" i="23"/>
  <c r="K90" i="23"/>
  <c r="J90" i="23"/>
  <c r="I90" i="23"/>
  <c r="H90" i="23"/>
  <c r="O90" i="23" s="1"/>
  <c r="V90" i="23" s="1"/>
  <c r="G90" i="23"/>
  <c r="F90" i="23"/>
  <c r="E90" i="23"/>
  <c r="D90" i="23"/>
  <c r="C90" i="23"/>
  <c r="K89" i="23"/>
  <c r="J89" i="23"/>
  <c r="I89" i="23"/>
  <c r="H89" i="23"/>
  <c r="G89" i="23"/>
  <c r="F89" i="23"/>
  <c r="E89" i="23"/>
  <c r="D89" i="23"/>
  <c r="C89" i="23"/>
  <c r="K88" i="23"/>
  <c r="J88" i="23"/>
  <c r="I88" i="23"/>
  <c r="H88" i="23"/>
  <c r="O88" i="23" s="1"/>
  <c r="G88" i="23"/>
  <c r="F88" i="23"/>
  <c r="E88" i="23"/>
  <c r="D88" i="23"/>
  <c r="C88" i="23"/>
  <c r="K87" i="23"/>
  <c r="J87" i="23"/>
  <c r="I87" i="23"/>
  <c r="H87" i="23"/>
  <c r="O87" i="23" s="1"/>
  <c r="G87" i="23"/>
  <c r="F87" i="23"/>
  <c r="E87" i="23"/>
  <c r="D87" i="23"/>
  <c r="C87" i="23"/>
  <c r="K86" i="23"/>
  <c r="J86" i="23"/>
  <c r="I86" i="23"/>
  <c r="H86" i="23"/>
  <c r="O86" i="23" s="1"/>
  <c r="G86" i="23"/>
  <c r="F86" i="23"/>
  <c r="E86" i="23"/>
  <c r="D86" i="23"/>
  <c r="C86" i="23"/>
  <c r="K85" i="23"/>
  <c r="J85" i="23"/>
  <c r="I85" i="23"/>
  <c r="H85" i="23"/>
  <c r="O85" i="23" s="1"/>
  <c r="G85" i="23"/>
  <c r="F85" i="23"/>
  <c r="E85" i="23"/>
  <c r="D85" i="23"/>
  <c r="C85" i="23"/>
  <c r="Y84" i="23"/>
  <c r="W84" i="23"/>
  <c r="U84" i="23"/>
  <c r="Y72" i="23"/>
  <c r="U72" i="23"/>
  <c r="T72" i="23"/>
  <c r="P72" i="23"/>
  <c r="Y71" i="23"/>
  <c r="U71" i="23"/>
  <c r="T71" i="23"/>
  <c r="P71" i="23"/>
  <c r="Y70" i="23"/>
  <c r="U70" i="23"/>
  <c r="T70" i="23"/>
  <c r="P70" i="23"/>
  <c r="Y69" i="23"/>
  <c r="U69" i="23"/>
  <c r="T69" i="23"/>
  <c r="P69" i="23"/>
  <c r="Y68" i="23"/>
  <c r="U68" i="23"/>
  <c r="T68" i="23"/>
  <c r="P68" i="23"/>
  <c r="Y67" i="23"/>
  <c r="U67" i="23"/>
  <c r="T67" i="23"/>
  <c r="P67" i="23"/>
  <c r="Y66" i="23"/>
  <c r="U66" i="23"/>
  <c r="T66" i="23"/>
  <c r="P66" i="23"/>
  <c r="Y65" i="23"/>
  <c r="U65" i="23"/>
  <c r="T65" i="23"/>
  <c r="P65" i="23"/>
  <c r="Y64" i="23"/>
  <c r="U64" i="23"/>
  <c r="T64" i="23"/>
  <c r="P64" i="23"/>
  <c r="Y63" i="23"/>
  <c r="U63" i="23"/>
  <c r="T63" i="23"/>
  <c r="P63" i="23"/>
  <c r="Y62" i="23"/>
  <c r="U62" i="23"/>
  <c r="P62" i="23"/>
  <c r="Y61" i="23"/>
  <c r="U61" i="23"/>
  <c r="P61" i="23"/>
  <c r="Y60" i="23"/>
  <c r="U60" i="23"/>
  <c r="P60" i="23"/>
  <c r="Y59" i="23"/>
  <c r="U59" i="23"/>
  <c r="P59" i="23"/>
  <c r="Y58" i="23"/>
  <c r="U58" i="23"/>
  <c r="P58" i="23"/>
  <c r="Y57" i="23"/>
  <c r="U57" i="23"/>
  <c r="P57" i="23"/>
  <c r="Y56" i="23"/>
  <c r="U56" i="23"/>
  <c r="P56" i="23"/>
  <c r="Y55" i="23"/>
  <c r="U55" i="23"/>
  <c r="P55" i="23"/>
  <c r="Y54" i="23"/>
  <c r="U54" i="23"/>
  <c r="P54" i="23"/>
  <c r="Y53" i="23"/>
  <c r="U53" i="23"/>
  <c r="P53" i="23"/>
  <c r="Y52" i="23"/>
  <c r="U52" i="23"/>
  <c r="P52" i="23"/>
  <c r="Y51" i="23"/>
  <c r="U51" i="23"/>
  <c r="P51" i="23"/>
  <c r="Y50" i="23"/>
  <c r="U50" i="23"/>
  <c r="P50" i="23"/>
  <c r="Y49" i="23"/>
  <c r="U49" i="23"/>
  <c r="P49" i="23"/>
  <c r="Y48" i="23"/>
  <c r="U48" i="23"/>
  <c r="P48" i="23"/>
  <c r="Y47" i="23"/>
  <c r="U47" i="23"/>
  <c r="P47" i="23"/>
  <c r="Y46" i="23"/>
  <c r="U46" i="23"/>
  <c r="P46" i="23"/>
  <c r="Y45" i="23"/>
  <c r="U45" i="23"/>
  <c r="P45" i="23"/>
  <c r="Y44" i="23"/>
  <c r="U44" i="23"/>
  <c r="P44" i="23"/>
  <c r="Y43" i="23"/>
  <c r="U43" i="23"/>
  <c r="P43" i="23"/>
  <c r="Y42" i="23"/>
  <c r="U42" i="23"/>
  <c r="P42" i="23"/>
  <c r="Y41" i="23"/>
  <c r="U41" i="23"/>
  <c r="P41" i="23"/>
  <c r="Y40" i="23"/>
  <c r="U40" i="23"/>
  <c r="P40" i="23"/>
  <c r="Y39" i="23"/>
  <c r="U39" i="23"/>
  <c r="P39" i="23"/>
  <c r="Y38" i="23"/>
  <c r="U38" i="23"/>
  <c r="P38" i="23"/>
  <c r="Y37" i="23"/>
  <c r="U37" i="23"/>
  <c r="P37" i="23"/>
  <c r="Y36" i="23"/>
  <c r="U36" i="23"/>
  <c r="P36" i="23"/>
  <c r="Y35" i="23"/>
  <c r="U35" i="23"/>
  <c r="P35" i="23"/>
  <c r="Y34" i="23"/>
  <c r="U34" i="23"/>
  <c r="P34" i="23"/>
  <c r="Y33" i="23"/>
  <c r="U33" i="23"/>
  <c r="P33" i="23"/>
  <c r="Y32" i="23"/>
  <c r="U32" i="23"/>
  <c r="P32" i="23"/>
  <c r="Y31" i="23"/>
  <c r="U31" i="23"/>
  <c r="T31" i="23"/>
  <c r="P31" i="23"/>
  <c r="Y30" i="23"/>
  <c r="U30" i="23"/>
  <c r="T30" i="23"/>
  <c r="P30" i="23"/>
  <c r="Y29" i="23"/>
  <c r="U29" i="23"/>
  <c r="T29" i="23"/>
  <c r="P29" i="23"/>
  <c r="Y28" i="23"/>
  <c r="U28" i="23"/>
  <c r="T28" i="23"/>
  <c r="P28" i="23"/>
  <c r="Y27" i="23"/>
  <c r="U27" i="23"/>
  <c r="T27" i="23"/>
  <c r="P27" i="23"/>
  <c r="Y26" i="23"/>
  <c r="U26" i="23"/>
  <c r="T26" i="23"/>
  <c r="P26" i="23"/>
  <c r="U23" i="23"/>
  <c r="N5" i="23"/>
  <c r="N2" i="23"/>
  <c r="I2" i="23"/>
  <c r="A1" i="23"/>
  <c r="N109" i="23" l="1"/>
  <c r="Q154" i="23"/>
  <c r="R154" i="23" s="1"/>
  <c r="Q166" i="23"/>
  <c r="P99" i="23"/>
  <c r="W99" i="23" s="1"/>
  <c r="Q151" i="23"/>
  <c r="Q153" i="23"/>
  <c r="R153" i="23" s="1"/>
  <c r="Q159" i="23"/>
  <c r="R159" i="23" s="1"/>
  <c r="Q169" i="23"/>
  <c r="R169" i="23" s="1"/>
  <c r="Q183" i="23"/>
  <c r="N88" i="23"/>
  <c r="U88" i="23" s="1"/>
  <c r="N96" i="23"/>
  <c r="U96" i="23" s="1"/>
  <c r="P116" i="23"/>
  <c r="W116" i="23" s="1"/>
  <c r="P90" i="23"/>
  <c r="W90" i="23" s="1"/>
  <c r="V88" i="23"/>
  <c r="N101" i="23"/>
  <c r="U101" i="23" s="1"/>
  <c r="V107" i="23"/>
  <c r="Q182" i="23"/>
  <c r="N95" i="23"/>
  <c r="U95" i="23" s="1"/>
  <c r="N103" i="23"/>
  <c r="U103" i="23" s="1"/>
  <c r="P107" i="23"/>
  <c r="W107" i="23" s="1"/>
  <c r="N127" i="23"/>
  <c r="U127" i="23" s="1"/>
  <c r="V96" i="23"/>
  <c r="N120" i="23"/>
  <c r="U120" i="23" s="1"/>
  <c r="N114" i="23"/>
  <c r="U114" i="23" s="1"/>
  <c r="P122" i="23"/>
  <c r="V123" i="23"/>
  <c r="N85" i="23"/>
  <c r="V91" i="23"/>
  <c r="N119" i="23"/>
  <c r="N122" i="23"/>
  <c r="U122" i="23" s="1"/>
  <c r="N125" i="23"/>
  <c r="U125" i="23" s="1"/>
  <c r="P126" i="23"/>
  <c r="W126" i="23" s="1"/>
  <c r="Q148" i="23"/>
  <c r="R148" i="23" s="1"/>
  <c r="Q172" i="23"/>
  <c r="R172" i="23" s="1"/>
  <c r="V112" i="23"/>
  <c r="Q125" i="24"/>
  <c r="R125" i="24" s="1"/>
  <c r="Q116" i="24"/>
  <c r="R116" i="24" s="1"/>
  <c r="X124" i="24"/>
  <c r="Y124" i="24" s="1"/>
  <c r="Q93" i="24"/>
  <c r="R93" i="24" s="1"/>
  <c r="Q86" i="24"/>
  <c r="R86" i="24" s="1"/>
  <c r="Q111" i="24"/>
  <c r="R111" i="24" s="1"/>
  <c r="X116" i="24"/>
  <c r="Y116" i="24" s="1"/>
  <c r="X108" i="24"/>
  <c r="Y108" i="24" s="1"/>
  <c r="Q127" i="24"/>
  <c r="R127" i="24" s="1"/>
  <c r="Q124" i="24"/>
  <c r="R124" i="24" s="1"/>
  <c r="Q112" i="24"/>
  <c r="R112" i="24" s="1"/>
  <c r="Q88" i="24"/>
  <c r="R88" i="24" s="1"/>
  <c r="Q90" i="24"/>
  <c r="R90" i="24" s="1"/>
  <c r="Q103" i="24"/>
  <c r="R103" i="24" s="1"/>
  <c r="Q95" i="24"/>
  <c r="R95" i="24" s="1"/>
  <c r="Q117" i="24"/>
  <c r="R117" i="24" s="1"/>
  <c r="U123" i="24"/>
  <c r="Q123" i="24"/>
  <c r="R123" i="24" s="1"/>
  <c r="U89" i="24"/>
  <c r="Q89" i="24"/>
  <c r="R89" i="24" s="1"/>
  <c r="Q110" i="24"/>
  <c r="R110" i="24" s="1"/>
  <c r="U110" i="24"/>
  <c r="Q87" i="24"/>
  <c r="R87" i="24" s="1"/>
  <c r="U87" i="24"/>
  <c r="X127" i="24"/>
  <c r="Y127" i="24" s="1"/>
  <c r="X103" i="24"/>
  <c r="Y103" i="24" s="1"/>
  <c r="Q101" i="24"/>
  <c r="R101" i="24" s="1"/>
  <c r="U107" i="24"/>
  <c r="Q107" i="24"/>
  <c r="R107" i="24" s="1"/>
  <c r="Q85" i="24"/>
  <c r="R85" i="24" s="1"/>
  <c r="X98" i="24"/>
  <c r="Y98" i="24" s="1"/>
  <c r="X106" i="24"/>
  <c r="Y106" i="24" s="1"/>
  <c r="Q113" i="24"/>
  <c r="R113" i="24" s="1"/>
  <c r="U113" i="24"/>
  <c r="X101" i="24"/>
  <c r="Y101" i="24" s="1"/>
  <c r="X95" i="24"/>
  <c r="Y95" i="24" s="1"/>
  <c r="X117" i="24"/>
  <c r="Y117" i="24" s="1"/>
  <c r="U115" i="24"/>
  <c r="Q115" i="24"/>
  <c r="R115" i="24" s="1"/>
  <c r="Q97" i="24"/>
  <c r="R97" i="24" s="1"/>
  <c r="U97" i="24"/>
  <c r="U99" i="24"/>
  <c r="Q99" i="24"/>
  <c r="R99" i="24" s="1"/>
  <c r="X93" i="24"/>
  <c r="Y93" i="24" s="1"/>
  <c r="Q119" i="24"/>
  <c r="R119" i="24" s="1"/>
  <c r="Q121" i="24"/>
  <c r="R121" i="24" s="1"/>
  <c r="U121" i="24"/>
  <c r="X125" i="24"/>
  <c r="Y125" i="24" s="1"/>
  <c r="X114" i="24"/>
  <c r="Y114" i="24" s="1"/>
  <c r="U102" i="24"/>
  <c r="Q102" i="24"/>
  <c r="R102" i="24" s="1"/>
  <c r="Q130" i="24"/>
  <c r="R130" i="24" s="1"/>
  <c r="X111" i="24"/>
  <c r="Y111" i="24" s="1"/>
  <c r="Q105" i="24"/>
  <c r="R105" i="24" s="1"/>
  <c r="U105" i="24"/>
  <c r="U96" i="24"/>
  <c r="Q96" i="24"/>
  <c r="R96" i="24" s="1"/>
  <c r="Q100" i="24"/>
  <c r="R100" i="24" s="1"/>
  <c r="U100" i="24"/>
  <c r="U120" i="24"/>
  <c r="Q120" i="24"/>
  <c r="R120" i="24" s="1"/>
  <c r="Q92" i="24"/>
  <c r="R92" i="24" s="1"/>
  <c r="U131" i="24"/>
  <c r="Q131" i="24"/>
  <c r="R131" i="24" s="1"/>
  <c r="X119" i="24"/>
  <c r="Y119" i="24" s="1"/>
  <c r="U104" i="24"/>
  <c r="Q104" i="24"/>
  <c r="R104" i="24" s="1"/>
  <c r="X92" i="24"/>
  <c r="Y92" i="24" s="1"/>
  <c r="Q122" i="24"/>
  <c r="R122" i="24" s="1"/>
  <c r="X88" i="24"/>
  <c r="Y88" i="24" s="1"/>
  <c r="U94" i="24"/>
  <c r="Q94" i="24"/>
  <c r="R94" i="24" s="1"/>
  <c r="U118" i="24"/>
  <c r="Q118" i="24"/>
  <c r="R118" i="24" s="1"/>
  <c r="X130" i="24"/>
  <c r="Y130" i="24" s="1"/>
  <c r="Q129" i="24"/>
  <c r="R129" i="24" s="1"/>
  <c r="U129" i="24"/>
  <c r="Q114" i="24"/>
  <c r="R114" i="24" s="1"/>
  <c r="Q106" i="24"/>
  <c r="R106" i="24" s="1"/>
  <c r="X112" i="24"/>
  <c r="Y112" i="24" s="1"/>
  <c r="U128" i="24"/>
  <c r="Q128" i="24"/>
  <c r="R128" i="24" s="1"/>
  <c r="Q91" i="24"/>
  <c r="R91" i="24" s="1"/>
  <c r="U91" i="24"/>
  <c r="U126" i="24"/>
  <c r="Q126" i="24"/>
  <c r="R126" i="24" s="1"/>
  <c r="X109" i="24"/>
  <c r="Y109" i="24" s="1"/>
  <c r="X90" i="24"/>
  <c r="Y90" i="24" s="1"/>
  <c r="Q98" i="24"/>
  <c r="R98" i="24" s="1"/>
  <c r="X122" i="24"/>
  <c r="Y122" i="24" s="1"/>
  <c r="Q177" i="23"/>
  <c r="R177" i="23" s="1"/>
  <c r="V120" i="23"/>
  <c r="Q180" i="23"/>
  <c r="R180" i="23" s="1"/>
  <c r="P118" i="23"/>
  <c r="W118" i="23" s="1"/>
  <c r="P102" i="23"/>
  <c r="W102" i="23" s="1"/>
  <c r="P115" i="23"/>
  <c r="W115" i="23" s="1"/>
  <c r="V87" i="23"/>
  <c r="Q142" i="23"/>
  <c r="N98" i="23"/>
  <c r="N87" i="23"/>
  <c r="N90" i="23"/>
  <c r="U90" i="23" s="1"/>
  <c r="N93" i="23"/>
  <c r="U93" i="23" s="1"/>
  <c r="P104" i="23"/>
  <c r="W104" i="23" s="1"/>
  <c r="V115" i="23"/>
  <c r="P127" i="23"/>
  <c r="W127" i="23" s="1"/>
  <c r="X127" i="23" s="1"/>
  <c r="Y127" i="23" s="1"/>
  <c r="V104" i="23"/>
  <c r="V99" i="23"/>
  <c r="N117" i="23"/>
  <c r="U117" i="23" s="1"/>
  <c r="V125" i="23"/>
  <c r="N130" i="23"/>
  <c r="U130" i="23" s="1"/>
  <c r="W122" i="23"/>
  <c r="P86" i="23"/>
  <c r="V86" i="23"/>
  <c r="X86" i="23" s="1"/>
  <c r="P91" i="23"/>
  <c r="W91" i="23" s="1"/>
  <c r="P105" i="23"/>
  <c r="W105" i="23" s="1"/>
  <c r="N111" i="23"/>
  <c r="U111" i="23" s="1"/>
  <c r="P112" i="23"/>
  <c r="W112" i="23" s="1"/>
  <c r="P124" i="23"/>
  <c r="W124" i="23" s="1"/>
  <c r="P131" i="23"/>
  <c r="W131" i="23" s="1"/>
  <c r="Q145" i="23"/>
  <c r="R145" i="23" s="1"/>
  <c r="Q156" i="23"/>
  <c r="R156" i="23" s="1"/>
  <c r="P128" i="23"/>
  <c r="W128" i="23" s="1"/>
  <c r="V128" i="23"/>
  <c r="Q158" i="23"/>
  <c r="R158" i="23" s="1"/>
  <c r="V131" i="23"/>
  <c r="Q137" i="23"/>
  <c r="R137" i="23" s="1"/>
  <c r="R151" i="23"/>
  <c r="Q161" i="23"/>
  <c r="R161" i="23" s="1"/>
  <c r="Q178" i="23"/>
  <c r="R178" i="23" s="1"/>
  <c r="V85" i="23"/>
  <c r="X85" i="23" s="1"/>
  <c r="N86" i="23"/>
  <c r="N91" i="23"/>
  <c r="P92" i="23"/>
  <c r="W92" i="23" s="1"/>
  <c r="P95" i="23"/>
  <c r="W95" i="23" s="1"/>
  <c r="X95" i="23" s="1"/>
  <c r="Y95" i="23" s="1"/>
  <c r="N106" i="23"/>
  <c r="U106" i="23" s="1"/>
  <c r="P108" i="23"/>
  <c r="W108" i="23" s="1"/>
  <c r="P111" i="23"/>
  <c r="W111" i="23" s="1"/>
  <c r="N123" i="23"/>
  <c r="U123" i="23" s="1"/>
  <c r="N128" i="23"/>
  <c r="U128" i="23" s="1"/>
  <c r="Q138" i="23"/>
  <c r="R138" i="23" s="1"/>
  <c r="Q162" i="23"/>
  <c r="R162" i="23" s="1"/>
  <c r="R183" i="23"/>
  <c r="P88" i="23"/>
  <c r="W88" i="23" s="1"/>
  <c r="Q140" i="23"/>
  <c r="R140" i="23" s="1"/>
  <c r="Q164" i="23"/>
  <c r="R164" i="23" s="1"/>
  <c r="Q170" i="23"/>
  <c r="R170" i="23" s="1"/>
  <c r="P130" i="23"/>
  <c r="W130" i="23" s="1"/>
  <c r="Q143" i="23"/>
  <c r="R143" i="23" s="1"/>
  <c r="Q167" i="23"/>
  <c r="R167" i="23" s="1"/>
  <c r="R182" i="23"/>
  <c r="P87" i="23"/>
  <c r="W87" i="23" s="1"/>
  <c r="N99" i="23"/>
  <c r="U99" i="23" s="1"/>
  <c r="P100" i="23"/>
  <c r="W100" i="23" s="1"/>
  <c r="P103" i="23"/>
  <c r="W103" i="23" s="1"/>
  <c r="N104" i="23"/>
  <c r="U104" i="23" s="1"/>
  <c r="P119" i="23"/>
  <c r="W119" i="23" s="1"/>
  <c r="P121" i="23"/>
  <c r="W121" i="23" s="1"/>
  <c r="Q146" i="23"/>
  <c r="R146" i="23" s="1"/>
  <c r="Q150" i="23"/>
  <c r="R150" i="23" s="1"/>
  <c r="Q175" i="23"/>
  <c r="R175" i="23" s="1"/>
  <c r="O124" i="23"/>
  <c r="V124" i="23" s="1"/>
  <c r="N124" i="23"/>
  <c r="Q160" i="23"/>
  <c r="R160" i="23" s="1"/>
  <c r="O94" i="23"/>
  <c r="V94" i="23" s="1"/>
  <c r="N94" i="23"/>
  <c r="O118" i="23"/>
  <c r="V118" i="23" s="1"/>
  <c r="N118" i="23"/>
  <c r="P85" i="23"/>
  <c r="AG85" i="23"/>
  <c r="O89" i="23"/>
  <c r="V89" i="23" s="1"/>
  <c r="N89" i="23"/>
  <c r="P96" i="23"/>
  <c r="W96" i="23" s="1"/>
  <c r="N112" i="23"/>
  <c r="P123" i="23"/>
  <c r="W123" i="23" s="1"/>
  <c r="P120" i="23"/>
  <c r="W120" i="23" s="1"/>
  <c r="Q171" i="23"/>
  <c r="R171" i="23" s="1"/>
  <c r="U119" i="23"/>
  <c r="P125" i="23"/>
  <c r="W125" i="23" s="1"/>
  <c r="Q128" i="23"/>
  <c r="R128" i="23" s="1"/>
  <c r="Q139" i="23"/>
  <c r="R139" i="23" s="1"/>
  <c r="Q141" i="23"/>
  <c r="R141" i="23" s="1"/>
  <c r="O108" i="23"/>
  <c r="V108" i="23" s="1"/>
  <c r="N108" i="23"/>
  <c r="P109" i="23"/>
  <c r="W109" i="23" s="1"/>
  <c r="P110" i="23"/>
  <c r="W110" i="23" s="1"/>
  <c r="O113" i="23"/>
  <c r="V113" i="23" s="1"/>
  <c r="N113" i="23"/>
  <c r="P114" i="23"/>
  <c r="W114" i="23" s="1"/>
  <c r="Q152" i="23"/>
  <c r="R152" i="23" s="1"/>
  <c r="Q179" i="23"/>
  <c r="R179" i="23" s="1"/>
  <c r="O102" i="23"/>
  <c r="V102" i="23" s="1"/>
  <c r="N102" i="23"/>
  <c r="N107" i="23"/>
  <c r="U109" i="23"/>
  <c r="Q163" i="23"/>
  <c r="R163" i="23" s="1"/>
  <c r="Q165" i="23"/>
  <c r="R165" i="23" s="1"/>
  <c r="O129" i="23"/>
  <c r="V129" i="23" s="1"/>
  <c r="N129" i="23"/>
  <c r="P89" i="23"/>
  <c r="W89" i="23" s="1"/>
  <c r="O92" i="23"/>
  <c r="V92" i="23" s="1"/>
  <c r="N92" i="23"/>
  <c r="P93" i="23"/>
  <c r="W93" i="23" s="1"/>
  <c r="P94" i="23"/>
  <c r="W94" i="23" s="1"/>
  <c r="O97" i="23"/>
  <c r="V97" i="23" s="1"/>
  <c r="N97" i="23"/>
  <c r="P98" i="23"/>
  <c r="W98" i="23" s="1"/>
  <c r="O126" i="23"/>
  <c r="V126" i="23" s="1"/>
  <c r="N126" i="23"/>
  <c r="P129" i="23"/>
  <c r="W129" i="23" s="1"/>
  <c r="N131" i="23"/>
  <c r="R142" i="23"/>
  <c r="Q144" i="23"/>
  <c r="R144" i="23" s="1"/>
  <c r="Q174" i="23"/>
  <c r="R174" i="23" s="1"/>
  <c r="U98" i="23"/>
  <c r="P113" i="23"/>
  <c r="W113" i="23" s="1"/>
  <c r="O116" i="23"/>
  <c r="V116" i="23" s="1"/>
  <c r="N116" i="23"/>
  <c r="P117" i="23"/>
  <c r="W117" i="23" s="1"/>
  <c r="O121" i="23"/>
  <c r="V121" i="23" s="1"/>
  <c r="N121" i="23"/>
  <c r="Q155" i="23"/>
  <c r="R155" i="23" s="1"/>
  <c r="Q157" i="23"/>
  <c r="R157" i="23" s="1"/>
  <c r="O110" i="23"/>
  <c r="V110" i="23" s="1"/>
  <c r="N110" i="23"/>
  <c r="N115" i="23"/>
  <c r="R166" i="23"/>
  <c r="P97" i="23"/>
  <c r="W97" i="23" s="1"/>
  <c r="O100" i="23"/>
  <c r="V100" i="23" s="1"/>
  <c r="N100" i="23"/>
  <c r="P101" i="23"/>
  <c r="W101" i="23" s="1"/>
  <c r="O105" i="23"/>
  <c r="V105" i="23" s="1"/>
  <c r="N105" i="23"/>
  <c r="P106" i="23"/>
  <c r="W106" i="23" s="1"/>
  <c r="Q147" i="23"/>
  <c r="R147" i="23" s="1"/>
  <c r="Q149" i="23"/>
  <c r="R149" i="23" s="1"/>
  <c r="Q168" i="23"/>
  <c r="R168" i="23" s="1"/>
  <c r="Q176" i="23"/>
  <c r="R176" i="23" s="1"/>
  <c r="Q173" i="23"/>
  <c r="R173" i="23" s="1"/>
  <c r="Q181" i="23"/>
  <c r="R181" i="23" s="1"/>
  <c r="P183" i="22"/>
  <c r="O183" i="22"/>
  <c r="N183" i="22"/>
  <c r="P182" i="22"/>
  <c r="O182" i="22"/>
  <c r="N182" i="22"/>
  <c r="P181" i="22"/>
  <c r="O181" i="22"/>
  <c r="N181" i="22"/>
  <c r="P180" i="22"/>
  <c r="O180" i="22"/>
  <c r="N180" i="22"/>
  <c r="P179" i="22"/>
  <c r="O179" i="22"/>
  <c r="N179" i="22"/>
  <c r="P178" i="22"/>
  <c r="O178" i="22"/>
  <c r="N178" i="22"/>
  <c r="P177" i="22"/>
  <c r="O177" i="22"/>
  <c r="N177" i="22"/>
  <c r="P176" i="22"/>
  <c r="O176" i="22"/>
  <c r="N176" i="22"/>
  <c r="P175" i="22"/>
  <c r="O175" i="22"/>
  <c r="N175" i="22"/>
  <c r="P174" i="22"/>
  <c r="O174" i="22"/>
  <c r="N174" i="22"/>
  <c r="P173" i="22"/>
  <c r="O173" i="22"/>
  <c r="N173" i="22"/>
  <c r="P172" i="22"/>
  <c r="O172" i="22"/>
  <c r="N172" i="22"/>
  <c r="P171" i="22"/>
  <c r="O171" i="22"/>
  <c r="N171" i="22"/>
  <c r="P170" i="22"/>
  <c r="O170" i="22"/>
  <c r="N170" i="22"/>
  <c r="P169" i="22"/>
  <c r="O169" i="22"/>
  <c r="N169" i="22"/>
  <c r="P168" i="22"/>
  <c r="O168" i="22"/>
  <c r="N168" i="22"/>
  <c r="P167" i="22"/>
  <c r="O167" i="22"/>
  <c r="N167" i="22"/>
  <c r="P166" i="22"/>
  <c r="O166" i="22"/>
  <c r="N166" i="22"/>
  <c r="P165" i="22"/>
  <c r="O165" i="22"/>
  <c r="N165" i="22"/>
  <c r="P164" i="22"/>
  <c r="O164" i="22"/>
  <c r="N164" i="22"/>
  <c r="P163" i="22"/>
  <c r="O163" i="22"/>
  <c r="N163" i="22"/>
  <c r="P162" i="22"/>
  <c r="O162" i="22"/>
  <c r="N162" i="22"/>
  <c r="P161" i="22"/>
  <c r="O161" i="22"/>
  <c r="N161" i="22"/>
  <c r="P160" i="22"/>
  <c r="O160" i="22"/>
  <c r="N160" i="22"/>
  <c r="P159" i="22"/>
  <c r="O159" i="22"/>
  <c r="N159" i="22"/>
  <c r="P158" i="22"/>
  <c r="O158" i="22"/>
  <c r="N158" i="22"/>
  <c r="P157" i="22"/>
  <c r="O157" i="22"/>
  <c r="N157" i="22"/>
  <c r="P156" i="22"/>
  <c r="O156" i="22"/>
  <c r="N156" i="22"/>
  <c r="P155" i="22"/>
  <c r="O155" i="22"/>
  <c r="N155" i="22"/>
  <c r="P154" i="22"/>
  <c r="O154" i="22"/>
  <c r="N154" i="22"/>
  <c r="P153" i="22"/>
  <c r="O153" i="22"/>
  <c r="N153" i="22"/>
  <c r="P152" i="22"/>
  <c r="O152" i="22"/>
  <c r="N152" i="22"/>
  <c r="P151" i="22"/>
  <c r="O151" i="22"/>
  <c r="N151" i="22"/>
  <c r="P150" i="22"/>
  <c r="O150" i="22"/>
  <c r="N150" i="22"/>
  <c r="P149" i="22"/>
  <c r="O149" i="22"/>
  <c r="N149" i="22"/>
  <c r="P148" i="22"/>
  <c r="O148" i="22"/>
  <c r="N148" i="22"/>
  <c r="P147" i="22"/>
  <c r="O147" i="22"/>
  <c r="N147" i="22"/>
  <c r="P146" i="22"/>
  <c r="O146" i="22"/>
  <c r="N146" i="22"/>
  <c r="P145" i="22"/>
  <c r="O145" i="22"/>
  <c r="N145" i="22"/>
  <c r="P144" i="22"/>
  <c r="O144" i="22"/>
  <c r="N144" i="22"/>
  <c r="P143" i="22"/>
  <c r="O143" i="22"/>
  <c r="N143" i="22"/>
  <c r="P142" i="22"/>
  <c r="O142" i="22"/>
  <c r="N142" i="22"/>
  <c r="P141" i="22"/>
  <c r="O141" i="22"/>
  <c r="N141" i="22"/>
  <c r="P140" i="22"/>
  <c r="O140" i="22"/>
  <c r="N140" i="22"/>
  <c r="P139" i="22"/>
  <c r="O139" i="22"/>
  <c r="N139" i="22"/>
  <c r="P138" i="22"/>
  <c r="O138" i="22"/>
  <c r="N138" i="22"/>
  <c r="P137" i="22"/>
  <c r="O137" i="22"/>
  <c r="N137" i="22"/>
  <c r="R136" i="22"/>
  <c r="Q136" i="22"/>
  <c r="P136" i="22"/>
  <c r="N136" i="22"/>
  <c r="K131" i="22"/>
  <c r="J131" i="22"/>
  <c r="I131" i="22"/>
  <c r="H131" i="22"/>
  <c r="G131" i="22"/>
  <c r="F131" i="22"/>
  <c r="E131" i="22"/>
  <c r="D131" i="22"/>
  <c r="C131" i="22"/>
  <c r="K130" i="22"/>
  <c r="J130" i="22"/>
  <c r="I130" i="22"/>
  <c r="H130" i="22"/>
  <c r="O130" i="22" s="1"/>
  <c r="G130" i="22"/>
  <c r="F130" i="22"/>
  <c r="E130" i="22"/>
  <c r="D130" i="22"/>
  <c r="C130" i="22"/>
  <c r="K129" i="22"/>
  <c r="J129" i="22"/>
  <c r="I129" i="22"/>
  <c r="H129" i="22"/>
  <c r="G129" i="22"/>
  <c r="F129" i="22"/>
  <c r="E129" i="22"/>
  <c r="D129" i="22"/>
  <c r="C129" i="22"/>
  <c r="K128" i="22"/>
  <c r="J128" i="22"/>
  <c r="I128" i="22"/>
  <c r="H128" i="22"/>
  <c r="O128" i="22" s="1"/>
  <c r="V128" i="22" s="1"/>
  <c r="G128" i="22"/>
  <c r="F128" i="22"/>
  <c r="E128" i="22"/>
  <c r="D128" i="22"/>
  <c r="C128" i="22"/>
  <c r="K127" i="22"/>
  <c r="J127" i="22"/>
  <c r="I127" i="22"/>
  <c r="H127" i="22"/>
  <c r="O127" i="22" s="1"/>
  <c r="G127" i="22"/>
  <c r="F127" i="22"/>
  <c r="E127" i="22"/>
  <c r="D127" i="22"/>
  <c r="C127" i="22"/>
  <c r="K126" i="22"/>
  <c r="J126" i="22"/>
  <c r="I126" i="22"/>
  <c r="H126" i="22"/>
  <c r="O126" i="22" s="1"/>
  <c r="G126" i="22"/>
  <c r="F126" i="22"/>
  <c r="E126" i="22"/>
  <c r="D126" i="22"/>
  <c r="C126" i="22"/>
  <c r="K125" i="22"/>
  <c r="J125" i="22"/>
  <c r="I125" i="22"/>
  <c r="H125" i="22"/>
  <c r="O125" i="22" s="1"/>
  <c r="G125" i="22"/>
  <c r="F125" i="22"/>
  <c r="E125" i="22"/>
  <c r="D125" i="22"/>
  <c r="C125" i="22"/>
  <c r="K124" i="22"/>
  <c r="J124" i="22"/>
  <c r="I124" i="22"/>
  <c r="H124" i="22"/>
  <c r="O124" i="22" s="1"/>
  <c r="G124" i="22"/>
  <c r="F124" i="22"/>
  <c r="E124" i="22"/>
  <c r="D124" i="22"/>
  <c r="C124" i="22"/>
  <c r="K123" i="22"/>
  <c r="J123" i="22"/>
  <c r="I123" i="22"/>
  <c r="H123" i="22"/>
  <c r="O123" i="22" s="1"/>
  <c r="V123" i="22" s="1"/>
  <c r="G123" i="22"/>
  <c r="F123" i="22"/>
  <c r="E123" i="22"/>
  <c r="D123" i="22"/>
  <c r="C123" i="22"/>
  <c r="K122" i="22"/>
  <c r="J122" i="22"/>
  <c r="I122" i="22"/>
  <c r="H122" i="22"/>
  <c r="O122" i="22" s="1"/>
  <c r="G122" i="22"/>
  <c r="F122" i="22"/>
  <c r="E122" i="22"/>
  <c r="D122" i="22"/>
  <c r="C122" i="22"/>
  <c r="K121" i="22"/>
  <c r="J121" i="22"/>
  <c r="I121" i="22"/>
  <c r="H121" i="22"/>
  <c r="G121" i="22"/>
  <c r="F121" i="22"/>
  <c r="E121" i="22"/>
  <c r="D121" i="22"/>
  <c r="C121" i="22"/>
  <c r="K120" i="22"/>
  <c r="J120" i="22"/>
  <c r="I120" i="22"/>
  <c r="H120" i="22"/>
  <c r="O120" i="22" s="1"/>
  <c r="V120" i="22" s="1"/>
  <c r="G120" i="22"/>
  <c r="F120" i="22"/>
  <c r="E120" i="22"/>
  <c r="D120" i="22"/>
  <c r="C120" i="22"/>
  <c r="K119" i="22"/>
  <c r="J119" i="22"/>
  <c r="I119" i="22"/>
  <c r="H119" i="22"/>
  <c r="O119" i="22" s="1"/>
  <c r="G119" i="22"/>
  <c r="F119" i="22"/>
  <c r="E119" i="22"/>
  <c r="D119" i="22"/>
  <c r="C119" i="22"/>
  <c r="K118" i="22"/>
  <c r="J118" i="22"/>
  <c r="I118" i="22"/>
  <c r="H118" i="22"/>
  <c r="O118" i="22" s="1"/>
  <c r="G118" i="22"/>
  <c r="F118" i="22"/>
  <c r="E118" i="22"/>
  <c r="D118" i="22"/>
  <c r="C118" i="22"/>
  <c r="K117" i="22"/>
  <c r="J117" i="22"/>
  <c r="I117" i="22"/>
  <c r="H117" i="22"/>
  <c r="O117" i="22" s="1"/>
  <c r="G117" i="22"/>
  <c r="F117" i="22"/>
  <c r="E117" i="22"/>
  <c r="D117" i="22"/>
  <c r="C117" i="22"/>
  <c r="K116" i="22"/>
  <c r="J116" i="22"/>
  <c r="I116" i="22"/>
  <c r="H116" i="22"/>
  <c r="O116" i="22" s="1"/>
  <c r="G116" i="22"/>
  <c r="F116" i="22"/>
  <c r="E116" i="22"/>
  <c r="D116" i="22"/>
  <c r="C116" i="22"/>
  <c r="K115" i="22"/>
  <c r="J115" i="22"/>
  <c r="I115" i="22"/>
  <c r="H115" i="22"/>
  <c r="G115" i="22"/>
  <c r="F115" i="22"/>
  <c r="E115" i="22"/>
  <c r="D115" i="22"/>
  <c r="C115" i="22"/>
  <c r="K114" i="22"/>
  <c r="J114" i="22"/>
  <c r="I114" i="22"/>
  <c r="H114" i="22"/>
  <c r="O114" i="22" s="1"/>
  <c r="G114" i="22"/>
  <c r="F114" i="22"/>
  <c r="E114" i="22"/>
  <c r="D114" i="22"/>
  <c r="C114" i="22"/>
  <c r="K113" i="22"/>
  <c r="J113" i="22"/>
  <c r="I113" i="22"/>
  <c r="H113" i="22"/>
  <c r="G113" i="22"/>
  <c r="F113" i="22"/>
  <c r="E113" i="22"/>
  <c r="D113" i="22"/>
  <c r="C113" i="22"/>
  <c r="K112" i="22"/>
  <c r="J112" i="22"/>
  <c r="I112" i="22"/>
  <c r="H112" i="22"/>
  <c r="O112" i="22" s="1"/>
  <c r="V112" i="22" s="1"/>
  <c r="G112" i="22"/>
  <c r="F112" i="22"/>
  <c r="E112" i="22"/>
  <c r="D112" i="22"/>
  <c r="C112" i="22"/>
  <c r="K111" i="22"/>
  <c r="J111" i="22"/>
  <c r="I111" i="22"/>
  <c r="H111" i="22"/>
  <c r="O111" i="22" s="1"/>
  <c r="G111" i="22"/>
  <c r="F111" i="22"/>
  <c r="E111" i="22"/>
  <c r="D111" i="22"/>
  <c r="C111" i="22"/>
  <c r="K110" i="22"/>
  <c r="J110" i="22"/>
  <c r="I110" i="22"/>
  <c r="H110" i="22"/>
  <c r="O110" i="22" s="1"/>
  <c r="G110" i="22"/>
  <c r="F110" i="22"/>
  <c r="E110" i="22"/>
  <c r="D110" i="22"/>
  <c r="C110" i="22"/>
  <c r="K109" i="22"/>
  <c r="J109" i="22"/>
  <c r="I109" i="22"/>
  <c r="H109" i="22"/>
  <c r="O109" i="22" s="1"/>
  <c r="G109" i="22"/>
  <c r="F109" i="22"/>
  <c r="E109" i="22"/>
  <c r="D109" i="22"/>
  <c r="C109" i="22"/>
  <c r="K108" i="22"/>
  <c r="J108" i="22"/>
  <c r="I108" i="22"/>
  <c r="H108" i="22"/>
  <c r="O108" i="22" s="1"/>
  <c r="G108" i="22"/>
  <c r="F108" i="22"/>
  <c r="E108" i="22"/>
  <c r="D108" i="22"/>
  <c r="C108" i="22"/>
  <c r="K107" i="22"/>
  <c r="J107" i="22"/>
  <c r="I107" i="22"/>
  <c r="H107" i="22"/>
  <c r="O107" i="22" s="1"/>
  <c r="V107" i="22" s="1"/>
  <c r="G107" i="22"/>
  <c r="F107" i="22"/>
  <c r="E107" i="22"/>
  <c r="D107" i="22"/>
  <c r="C107" i="22"/>
  <c r="K106" i="22"/>
  <c r="J106" i="22"/>
  <c r="I106" i="22"/>
  <c r="H106" i="22"/>
  <c r="O106" i="22" s="1"/>
  <c r="G106" i="22"/>
  <c r="F106" i="22"/>
  <c r="E106" i="22"/>
  <c r="D106" i="22"/>
  <c r="C106" i="22"/>
  <c r="K105" i="22"/>
  <c r="J105" i="22"/>
  <c r="I105" i="22"/>
  <c r="H105" i="22"/>
  <c r="G105" i="22"/>
  <c r="F105" i="22"/>
  <c r="E105" i="22"/>
  <c r="D105" i="22"/>
  <c r="C105" i="22"/>
  <c r="K104" i="22"/>
  <c r="J104" i="22"/>
  <c r="I104" i="22"/>
  <c r="H104" i="22"/>
  <c r="O104" i="22" s="1"/>
  <c r="V104" i="22" s="1"/>
  <c r="G104" i="22"/>
  <c r="F104" i="22"/>
  <c r="E104" i="22"/>
  <c r="D104" i="22"/>
  <c r="C104" i="22"/>
  <c r="K103" i="22"/>
  <c r="J103" i="22"/>
  <c r="I103" i="22"/>
  <c r="H103" i="22"/>
  <c r="O103" i="22" s="1"/>
  <c r="G103" i="22"/>
  <c r="F103" i="22"/>
  <c r="E103" i="22"/>
  <c r="D103" i="22"/>
  <c r="C103" i="22"/>
  <c r="K102" i="22"/>
  <c r="J102" i="22"/>
  <c r="I102" i="22"/>
  <c r="H102" i="22"/>
  <c r="G102" i="22"/>
  <c r="F102" i="22"/>
  <c r="E102" i="22"/>
  <c r="D102" i="22"/>
  <c r="C102" i="22"/>
  <c r="K101" i="22"/>
  <c r="J101" i="22"/>
  <c r="I101" i="22"/>
  <c r="H101" i="22"/>
  <c r="O101" i="22" s="1"/>
  <c r="G101" i="22"/>
  <c r="F101" i="22"/>
  <c r="E101" i="22"/>
  <c r="D101" i="22"/>
  <c r="C101" i="22"/>
  <c r="K100" i="22"/>
  <c r="J100" i="22"/>
  <c r="I100" i="22"/>
  <c r="H100" i="22"/>
  <c r="O100" i="22" s="1"/>
  <c r="G100" i="22"/>
  <c r="F100" i="22"/>
  <c r="E100" i="22"/>
  <c r="D100" i="22"/>
  <c r="C100" i="22"/>
  <c r="K99" i="22"/>
  <c r="J99" i="22"/>
  <c r="I99" i="22"/>
  <c r="H99" i="22"/>
  <c r="G99" i="22"/>
  <c r="F99" i="22"/>
  <c r="E99" i="22"/>
  <c r="D99" i="22"/>
  <c r="C99" i="22"/>
  <c r="K98" i="22"/>
  <c r="J98" i="22"/>
  <c r="I98" i="22"/>
  <c r="H98" i="22"/>
  <c r="O98" i="22" s="1"/>
  <c r="G98" i="22"/>
  <c r="F98" i="22"/>
  <c r="E98" i="22"/>
  <c r="D98" i="22"/>
  <c r="C98" i="22"/>
  <c r="K97" i="22"/>
  <c r="J97" i="22"/>
  <c r="I97" i="22"/>
  <c r="H97" i="22"/>
  <c r="G97" i="22"/>
  <c r="F97" i="22"/>
  <c r="E97" i="22"/>
  <c r="D97" i="22"/>
  <c r="C97" i="22"/>
  <c r="K96" i="22"/>
  <c r="J96" i="22"/>
  <c r="I96" i="22"/>
  <c r="H96" i="22"/>
  <c r="O96" i="22" s="1"/>
  <c r="G96" i="22"/>
  <c r="F96" i="22"/>
  <c r="E96" i="22"/>
  <c r="D96" i="22"/>
  <c r="C96" i="22"/>
  <c r="K95" i="22"/>
  <c r="J95" i="22"/>
  <c r="I95" i="22"/>
  <c r="H95" i="22"/>
  <c r="O95" i="22" s="1"/>
  <c r="G95" i="22"/>
  <c r="F95" i="22"/>
  <c r="E95" i="22"/>
  <c r="D95" i="22"/>
  <c r="C95" i="22"/>
  <c r="K94" i="22"/>
  <c r="J94" i="22"/>
  <c r="I94" i="22"/>
  <c r="H94" i="22"/>
  <c r="G94" i="22"/>
  <c r="F94" i="22"/>
  <c r="E94" i="22"/>
  <c r="D94" i="22"/>
  <c r="C94" i="22"/>
  <c r="K93" i="22"/>
  <c r="J93" i="22"/>
  <c r="I93" i="22"/>
  <c r="H93" i="22"/>
  <c r="O93" i="22" s="1"/>
  <c r="G93" i="22"/>
  <c r="F93" i="22"/>
  <c r="E93" i="22"/>
  <c r="D93" i="22"/>
  <c r="C93" i="22"/>
  <c r="K92" i="22"/>
  <c r="J92" i="22"/>
  <c r="I92" i="22"/>
  <c r="H92" i="22"/>
  <c r="G92" i="22"/>
  <c r="F92" i="22"/>
  <c r="E92" i="22"/>
  <c r="D92" i="22"/>
  <c r="C92" i="22"/>
  <c r="K91" i="22"/>
  <c r="J91" i="22"/>
  <c r="I91" i="22"/>
  <c r="H91" i="22"/>
  <c r="O91" i="22" s="1"/>
  <c r="V91" i="22" s="1"/>
  <c r="G91" i="22"/>
  <c r="F91" i="22"/>
  <c r="E91" i="22"/>
  <c r="D91" i="22"/>
  <c r="C91" i="22"/>
  <c r="K90" i="22"/>
  <c r="J90" i="22"/>
  <c r="I90" i="22"/>
  <c r="H90" i="22"/>
  <c r="O90" i="22" s="1"/>
  <c r="G90" i="22"/>
  <c r="F90" i="22"/>
  <c r="E90" i="22"/>
  <c r="D90" i="22"/>
  <c r="C90" i="22"/>
  <c r="K89" i="22"/>
  <c r="J89" i="22"/>
  <c r="I89" i="22"/>
  <c r="H89" i="22"/>
  <c r="G89" i="22"/>
  <c r="F89" i="22"/>
  <c r="E89" i="22"/>
  <c r="D89" i="22"/>
  <c r="C89" i="22"/>
  <c r="K88" i="22"/>
  <c r="J88" i="22"/>
  <c r="I88" i="22"/>
  <c r="H88" i="22"/>
  <c r="O88" i="22" s="1"/>
  <c r="V88" i="22" s="1"/>
  <c r="G88" i="22"/>
  <c r="F88" i="22"/>
  <c r="E88" i="22"/>
  <c r="D88" i="22"/>
  <c r="C88" i="22"/>
  <c r="K87" i="22"/>
  <c r="J87" i="22"/>
  <c r="I87" i="22"/>
  <c r="H87" i="22"/>
  <c r="O87" i="22" s="1"/>
  <c r="G87" i="22"/>
  <c r="F87" i="22"/>
  <c r="E87" i="22"/>
  <c r="D87" i="22"/>
  <c r="C87" i="22"/>
  <c r="K86" i="22"/>
  <c r="J86" i="22"/>
  <c r="I86" i="22"/>
  <c r="H86" i="22"/>
  <c r="O86" i="22" s="1"/>
  <c r="G86" i="22"/>
  <c r="F86" i="22"/>
  <c r="E86" i="22"/>
  <c r="D86" i="22"/>
  <c r="C86" i="22"/>
  <c r="K85" i="22"/>
  <c r="J85" i="22"/>
  <c r="I85" i="22"/>
  <c r="H85" i="22"/>
  <c r="O85" i="22" s="1"/>
  <c r="G85" i="22"/>
  <c r="F85" i="22"/>
  <c r="E85" i="22"/>
  <c r="D85" i="22"/>
  <c r="C85" i="22"/>
  <c r="Y84" i="22"/>
  <c r="W84" i="22"/>
  <c r="U84" i="22"/>
  <c r="Y72" i="22"/>
  <c r="U72" i="22"/>
  <c r="T72" i="22"/>
  <c r="Y71" i="22"/>
  <c r="U71" i="22"/>
  <c r="T71" i="22"/>
  <c r="Y70" i="22"/>
  <c r="U70" i="22"/>
  <c r="T70" i="22"/>
  <c r="Y69" i="22"/>
  <c r="U69" i="22"/>
  <c r="T69" i="22"/>
  <c r="Y68" i="22"/>
  <c r="U68" i="22"/>
  <c r="T68" i="22"/>
  <c r="Y67" i="22"/>
  <c r="U67" i="22"/>
  <c r="T67" i="22"/>
  <c r="Y66" i="22"/>
  <c r="U66" i="22"/>
  <c r="T66" i="22"/>
  <c r="Y65" i="22"/>
  <c r="U65" i="22"/>
  <c r="T65" i="22"/>
  <c r="Y64" i="22"/>
  <c r="U64" i="22"/>
  <c r="T64" i="22"/>
  <c r="Y63" i="22"/>
  <c r="U63" i="22"/>
  <c r="T63" i="22"/>
  <c r="Y62" i="22"/>
  <c r="U62" i="22"/>
  <c r="Y61" i="22"/>
  <c r="U61" i="22"/>
  <c r="Y60" i="22"/>
  <c r="U60" i="22"/>
  <c r="Y59" i="22"/>
  <c r="U59" i="22"/>
  <c r="Y58" i="22"/>
  <c r="U58" i="22"/>
  <c r="Y57" i="22"/>
  <c r="U57" i="22"/>
  <c r="Y56" i="22"/>
  <c r="U56" i="22"/>
  <c r="Y55" i="22"/>
  <c r="U55" i="22"/>
  <c r="Y54" i="22"/>
  <c r="U54" i="22"/>
  <c r="Y53" i="22"/>
  <c r="U53" i="22"/>
  <c r="Y52" i="22"/>
  <c r="U52" i="22"/>
  <c r="Y51" i="22"/>
  <c r="U51" i="22"/>
  <c r="Y50" i="22"/>
  <c r="U50" i="22"/>
  <c r="Y49" i="22"/>
  <c r="U49" i="22"/>
  <c r="Y48" i="22"/>
  <c r="U48" i="22"/>
  <c r="Y47" i="22"/>
  <c r="U47" i="22"/>
  <c r="Y46" i="22"/>
  <c r="U46" i="22"/>
  <c r="Y45" i="22"/>
  <c r="U45" i="22"/>
  <c r="Y44" i="22"/>
  <c r="U44" i="22"/>
  <c r="Y43" i="22"/>
  <c r="U43" i="22"/>
  <c r="Y42" i="22"/>
  <c r="U42" i="22"/>
  <c r="Y41" i="22"/>
  <c r="U41" i="22"/>
  <c r="Y40" i="22"/>
  <c r="U40" i="22"/>
  <c r="Y39" i="22"/>
  <c r="U39" i="22"/>
  <c r="Y38" i="22"/>
  <c r="U38" i="22"/>
  <c r="Y37" i="22"/>
  <c r="U37" i="22"/>
  <c r="Y36" i="22"/>
  <c r="U36" i="22"/>
  <c r="Y35" i="22"/>
  <c r="U35" i="22"/>
  <c r="Y34" i="22"/>
  <c r="U34" i="22"/>
  <c r="Y33" i="22"/>
  <c r="U33" i="22"/>
  <c r="Y32" i="22"/>
  <c r="U32" i="22"/>
  <c r="Y31" i="22"/>
  <c r="U31" i="22"/>
  <c r="T31" i="22"/>
  <c r="Y30" i="22"/>
  <c r="U30" i="22"/>
  <c r="T30" i="22"/>
  <c r="Y29" i="22"/>
  <c r="U29" i="22"/>
  <c r="T29" i="22"/>
  <c r="Y28" i="22"/>
  <c r="U28" i="22"/>
  <c r="T28" i="22"/>
  <c r="Y27" i="22"/>
  <c r="U27" i="22"/>
  <c r="T27" i="22"/>
  <c r="Y26" i="22"/>
  <c r="U26" i="22"/>
  <c r="T26" i="22"/>
  <c r="U23" i="22"/>
  <c r="N5" i="22"/>
  <c r="N2" i="22"/>
  <c r="I2" i="22"/>
  <c r="A1" i="22"/>
  <c r="Q86" i="23" l="1"/>
  <c r="R86" i="23" s="1"/>
  <c r="Q90" i="23"/>
  <c r="R90" i="23" s="1"/>
  <c r="Q127" i="23"/>
  <c r="R127" i="23" s="1"/>
  <c r="Q109" i="23"/>
  <c r="R109" i="23" s="1"/>
  <c r="Q99" i="23"/>
  <c r="R99" i="23" s="1"/>
  <c r="Q85" i="23"/>
  <c r="R85" i="23" s="1"/>
  <c r="X103" i="23"/>
  <c r="Y103" i="23" s="1"/>
  <c r="Q87" i="23"/>
  <c r="R87" i="23" s="1"/>
  <c r="Q91" i="23"/>
  <c r="R91" i="23" s="1"/>
  <c r="Q122" i="23"/>
  <c r="R122" i="23" s="1"/>
  <c r="V85" i="22"/>
  <c r="X85" i="22" s="1"/>
  <c r="V93" i="22"/>
  <c r="V101" i="22"/>
  <c r="V109" i="22"/>
  <c r="V117" i="22"/>
  <c r="V125" i="22"/>
  <c r="Q123" i="23"/>
  <c r="R123" i="23" s="1"/>
  <c r="U91" i="23"/>
  <c r="U87" i="23"/>
  <c r="X87" i="23" s="1"/>
  <c r="Y87" i="23" s="1"/>
  <c r="X118" i="24"/>
  <c r="Y118" i="24" s="1"/>
  <c r="X131" i="24"/>
  <c r="Y131" i="24" s="1"/>
  <c r="X99" i="24"/>
  <c r="Y99" i="24" s="1"/>
  <c r="X107" i="24"/>
  <c r="Y107" i="24" s="1"/>
  <c r="X121" i="24"/>
  <c r="Y121" i="24" s="1"/>
  <c r="X97" i="24"/>
  <c r="Y97" i="24" s="1"/>
  <c r="X123" i="24"/>
  <c r="Y123" i="24" s="1"/>
  <c r="X128" i="24"/>
  <c r="Y128" i="24" s="1"/>
  <c r="X129" i="24"/>
  <c r="Y129" i="24" s="1"/>
  <c r="X96" i="24"/>
  <c r="Y96" i="24" s="1"/>
  <c r="X110" i="24"/>
  <c r="Y110" i="24" s="1"/>
  <c r="O49" i="24"/>
  <c r="X94" i="24"/>
  <c r="Y94" i="24" s="1"/>
  <c r="X104" i="24"/>
  <c r="Y104" i="24" s="1"/>
  <c r="X105" i="24"/>
  <c r="Y105" i="24" s="1"/>
  <c r="X102" i="24"/>
  <c r="Y102" i="24" s="1"/>
  <c r="X126" i="24"/>
  <c r="Y126" i="24" s="1"/>
  <c r="X120" i="24"/>
  <c r="Y120" i="24" s="1"/>
  <c r="O65" i="24"/>
  <c r="X91" i="24"/>
  <c r="Y91" i="24" s="1"/>
  <c r="X89" i="24"/>
  <c r="Y89" i="24" s="1"/>
  <c r="X100" i="24"/>
  <c r="Y100" i="24" s="1"/>
  <c r="X115" i="24"/>
  <c r="Y115" i="24" s="1"/>
  <c r="X113" i="24"/>
  <c r="Y113" i="24" s="1"/>
  <c r="X87" i="24"/>
  <c r="Y87" i="24" s="1"/>
  <c r="O57" i="24"/>
  <c r="Q88" i="23"/>
  <c r="R88" i="23" s="1"/>
  <c r="Q104" i="23"/>
  <c r="R104" i="23" s="1"/>
  <c r="X111" i="23"/>
  <c r="Y111" i="23" s="1"/>
  <c r="Q103" i="23"/>
  <c r="R103" i="23" s="1"/>
  <c r="Q130" i="23"/>
  <c r="R130" i="23" s="1"/>
  <c r="Q95" i="23"/>
  <c r="R95" i="23" s="1"/>
  <c r="Q120" i="23"/>
  <c r="R120" i="23" s="1"/>
  <c r="V111" i="22"/>
  <c r="V119" i="22"/>
  <c r="V127" i="22"/>
  <c r="Q125" i="23"/>
  <c r="R125" i="23" s="1"/>
  <c r="Q98" i="23"/>
  <c r="R98" i="23" s="1"/>
  <c r="Q119" i="23"/>
  <c r="R119" i="23" s="1"/>
  <c r="Q111" i="23"/>
  <c r="R111" i="23" s="1"/>
  <c r="Q101" i="23"/>
  <c r="R101" i="23" s="1"/>
  <c r="Q140" i="22"/>
  <c r="R140" i="22" s="1"/>
  <c r="Q164" i="22"/>
  <c r="R164" i="22" s="1"/>
  <c r="Q180" i="22"/>
  <c r="R180" i="22" s="1"/>
  <c r="U110" i="23"/>
  <c r="Q110" i="23"/>
  <c r="R110" i="23" s="1"/>
  <c r="U121" i="23"/>
  <c r="Q121" i="23"/>
  <c r="R121" i="23" s="1"/>
  <c r="X114" i="23"/>
  <c r="Y114" i="23" s="1"/>
  <c r="Q108" i="23"/>
  <c r="R108" i="23" s="1"/>
  <c r="U108" i="23"/>
  <c r="X123" i="23"/>
  <c r="Y123" i="23" s="1"/>
  <c r="X106" i="23"/>
  <c r="Y106" i="23" s="1"/>
  <c r="Q124" i="23"/>
  <c r="R124" i="23" s="1"/>
  <c r="U124" i="23"/>
  <c r="Q100" i="23"/>
  <c r="R100" i="23" s="1"/>
  <c r="U100" i="23"/>
  <c r="X91" i="23"/>
  <c r="Y91" i="23" s="1"/>
  <c r="U131" i="23"/>
  <c r="Q131" i="23"/>
  <c r="R131" i="23" s="1"/>
  <c r="U129" i="23"/>
  <c r="Q129" i="23"/>
  <c r="R129" i="23" s="1"/>
  <c r="X99" i="23"/>
  <c r="Y99" i="23" s="1"/>
  <c r="U112" i="23"/>
  <c r="Q112" i="23"/>
  <c r="R112" i="23" s="1"/>
  <c r="U118" i="23"/>
  <c r="Q118" i="23"/>
  <c r="R118" i="23" s="1"/>
  <c r="U94" i="23"/>
  <c r="Q94" i="23"/>
  <c r="R94" i="23" s="1"/>
  <c r="Q92" i="23"/>
  <c r="R92" i="23" s="1"/>
  <c r="U92" i="23"/>
  <c r="X109" i="23"/>
  <c r="Y109" i="23" s="1"/>
  <c r="Q113" i="23"/>
  <c r="R113" i="23" s="1"/>
  <c r="U113" i="23"/>
  <c r="X128" i="23"/>
  <c r="Y128" i="23" s="1"/>
  <c r="X120" i="23"/>
  <c r="Y120" i="23" s="1"/>
  <c r="X122" i="23"/>
  <c r="Y122" i="23" s="1"/>
  <c r="Q116" i="23"/>
  <c r="R116" i="23" s="1"/>
  <c r="U116" i="23"/>
  <c r="X98" i="23"/>
  <c r="Y98" i="23" s="1"/>
  <c r="X88" i="23"/>
  <c r="Y88" i="23" s="1"/>
  <c r="U107" i="23"/>
  <c r="Q107" i="23"/>
  <c r="R107" i="23" s="1"/>
  <c r="U89" i="23"/>
  <c r="Q89" i="23"/>
  <c r="R89" i="23" s="1"/>
  <c r="Q117" i="23"/>
  <c r="R117" i="23" s="1"/>
  <c r="X101" i="23"/>
  <c r="Y101" i="23" s="1"/>
  <c r="U105" i="23"/>
  <c r="Q105" i="23"/>
  <c r="R105" i="23" s="1"/>
  <c r="U115" i="23"/>
  <c r="Q115" i="23"/>
  <c r="R115" i="23" s="1"/>
  <c r="Q93" i="23"/>
  <c r="R93" i="23" s="1"/>
  <c r="U126" i="23"/>
  <c r="Q126" i="23"/>
  <c r="R126" i="23" s="1"/>
  <c r="X125" i="23"/>
  <c r="Y125" i="23" s="1"/>
  <c r="X104" i="23"/>
  <c r="Y104" i="23" s="1"/>
  <c r="Q96" i="23"/>
  <c r="R96" i="23" s="1"/>
  <c r="U97" i="23"/>
  <c r="Q97" i="23"/>
  <c r="R97" i="23" s="1"/>
  <c r="Q114" i="23"/>
  <c r="R114" i="23" s="1"/>
  <c r="X130" i="23"/>
  <c r="Y130" i="23" s="1"/>
  <c r="X119" i="23"/>
  <c r="Y119" i="23" s="1"/>
  <c r="Q106" i="23"/>
  <c r="R106" i="23" s="1"/>
  <c r="X117" i="23"/>
  <c r="Y117" i="23" s="1"/>
  <c r="X93" i="23"/>
  <c r="Y93" i="23" s="1"/>
  <c r="U102" i="23"/>
  <c r="Q102" i="23"/>
  <c r="R102" i="23" s="1"/>
  <c r="X90" i="23"/>
  <c r="Y90" i="23" s="1"/>
  <c r="X96" i="23"/>
  <c r="Y96" i="23" s="1"/>
  <c r="N109" i="22"/>
  <c r="U109" i="22" s="1"/>
  <c r="P103" i="22"/>
  <c r="W103" i="22" s="1"/>
  <c r="V114" i="22"/>
  <c r="V122" i="22"/>
  <c r="V130" i="22"/>
  <c r="N103" i="22"/>
  <c r="U103" i="22" s="1"/>
  <c r="P107" i="22"/>
  <c r="W107" i="22" s="1"/>
  <c r="Q166" i="22"/>
  <c r="R166" i="22" s="1"/>
  <c r="V86" i="22"/>
  <c r="X86" i="22" s="1"/>
  <c r="N87" i="22"/>
  <c r="U87" i="22" s="1"/>
  <c r="V90" i="22"/>
  <c r="P100" i="22"/>
  <c r="W100" i="22" s="1"/>
  <c r="V98" i="22"/>
  <c r="V95" i="22"/>
  <c r="V106" i="22"/>
  <c r="N114" i="22"/>
  <c r="U114" i="22" s="1"/>
  <c r="V103" i="22"/>
  <c r="N96" i="22"/>
  <c r="U96" i="22" s="1"/>
  <c r="N131" i="22"/>
  <c r="U131" i="22" s="1"/>
  <c r="Q137" i="22"/>
  <c r="R137" i="22" s="1"/>
  <c r="Q145" i="22"/>
  <c r="R145" i="22" s="1"/>
  <c r="Q153" i="22"/>
  <c r="R153" i="22" s="1"/>
  <c r="Q161" i="22"/>
  <c r="R161" i="22" s="1"/>
  <c r="P87" i="22"/>
  <c r="W87" i="22" s="1"/>
  <c r="N90" i="22"/>
  <c r="U90" i="22" s="1"/>
  <c r="N119" i="22"/>
  <c r="U119" i="22" s="1"/>
  <c r="P123" i="22"/>
  <c r="W123" i="22" s="1"/>
  <c r="V124" i="22"/>
  <c r="V100" i="22"/>
  <c r="P116" i="22"/>
  <c r="W116" i="22" s="1"/>
  <c r="N130" i="22"/>
  <c r="U130" i="22" s="1"/>
  <c r="Q151" i="22"/>
  <c r="R151" i="22" s="1"/>
  <c r="P120" i="22"/>
  <c r="W120" i="22" s="1"/>
  <c r="P27" i="22"/>
  <c r="V108" i="22"/>
  <c r="P94" i="22"/>
  <c r="W94" i="22" s="1"/>
  <c r="P115" i="22"/>
  <c r="W115" i="22" s="1"/>
  <c r="N85" i="22"/>
  <c r="P88" i="22"/>
  <c r="W88" i="22" s="1"/>
  <c r="P98" i="22"/>
  <c r="W98" i="22" s="1"/>
  <c r="P99" i="22"/>
  <c r="W99" i="22" s="1"/>
  <c r="P104" i="22"/>
  <c r="W104" i="22" s="1"/>
  <c r="P121" i="22"/>
  <c r="W121" i="22" s="1"/>
  <c r="P128" i="22"/>
  <c r="W128" i="22" s="1"/>
  <c r="P131" i="22"/>
  <c r="W131" i="22" s="1"/>
  <c r="Q143" i="22"/>
  <c r="R143" i="22" s="1"/>
  <c r="Q177" i="22"/>
  <c r="R177" i="22" s="1"/>
  <c r="P95" i="22"/>
  <c r="W95" i="22" s="1"/>
  <c r="N98" i="22"/>
  <c r="U98" i="22" s="1"/>
  <c r="V126" i="22"/>
  <c r="V87" i="22"/>
  <c r="P97" i="22"/>
  <c r="W97" i="22" s="1"/>
  <c r="P112" i="22"/>
  <c r="W112" i="22" s="1"/>
  <c r="V116" i="22"/>
  <c r="Q167" i="22"/>
  <c r="R167" i="22" s="1"/>
  <c r="Q169" i="22"/>
  <c r="R169" i="22" s="1"/>
  <c r="Q175" i="22"/>
  <c r="R175" i="22" s="1"/>
  <c r="V118" i="22"/>
  <c r="P92" i="22"/>
  <c r="W92" i="22" s="1"/>
  <c r="P96" i="22"/>
  <c r="W96" i="22" s="1"/>
  <c r="N111" i="22"/>
  <c r="U111" i="22" s="1"/>
  <c r="P119" i="22"/>
  <c r="W119" i="22" s="1"/>
  <c r="N125" i="22"/>
  <c r="U125" i="22" s="1"/>
  <c r="Q150" i="22"/>
  <c r="R150" i="22" s="1"/>
  <c r="N115" i="22"/>
  <c r="U115" i="22" s="1"/>
  <c r="P91" i="22"/>
  <c r="W91" i="22" s="1"/>
  <c r="N99" i="22"/>
  <c r="U99" i="22" s="1"/>
  <c r="P102" i="22"/>
  <c r="W102" i="22" s="1"/>
  <c r="P106" i="22"/>
  <c r="W106" i="22" s="1"/>
  <c r="P118" i="22"/>
  <c r="W118" i="22" s="1"/>
  <c r="P122" i="22"/>
  <c r="W122" i="22" s="1"/>
  <c r="Q148" i="22"/>
  <c r="R148" i="22" s="1"/>
  <c r="Q174" i="22"/>
  <c r="R174" i="22" s="1"/>
  <c r="P89" i="22"/>
  <c r="W89" i="22" s="1"/>
  <c r="N95" i="22"/>
  <c r="U95" i="22" s="1"/>
  <c r="N106" i="22"/>
  <c r="U106" i="22" s="1"/>
  <c r="P108" i="22"/>
  <c r="W108" i="22" s="1"/>
  <c r="P111" i="22"/>
  <c r="W111" i="22" s="1"/>
  <c r="N117" i="22"/>
  <c r="U117" i="22" s="1"/>
  <c r="N122" i="22"/>
  <c r="U122" i="22" s="1"/>
  <c r="P124" i="22"/>
  <c r="W124" i="22" s="1"/>
  <c r="P127" i="22"/>
  <c r="W127" i="22" s="1"/>
  <c r="P129" i="22"/>
  <c r="W129" i="22" s="1"/>
  <c r="Q172" i="22"/>
  <c r="R172" i="22" s="1"/>
  <c r="Q182" i="22"/>
  <c r="R182" i="22" s="1"/>
  <c r="N93" i="22"/>
  <c r="U93" i="22" s="1"/>
  <c r="P105" i="22"/>
  <c r="W105" i="22" s="1"/>
  <c r="N107" i="22"/>
  <c r="P113" i="22"/>
  <c r="W113" i="22" s="1"/>
  <c r="N123" i="22"/>
  <c r="U123" i="22" s="1"/>
  <c r="N127" i="22"/>
  <c r="U127" i="22" s="1"/>
  <c r="O131" i="22"/>
  <c r="V131" i="22" s="1"/>
  <c r="Q158" i="22"/>
  <c r="R158" i="22" s="1"/>
  <c r="N101" i="22"/>
  <c r="U101" i="22" s="1"/>
  <c r="P110" i="22"/>
  <c r="W110" i="22" s="1"/>
  <c r="O115" i="22"/>
  <c r="V115" i="22" s="1"/>
  <c r="P126" i="22"/>
  <c r="W126" i="22" s="1"/>
  <c r="P130" i="22"/>
  <c r="W130" i="22" s="1"/>
  <c r="Q156" i="22"/>
  <c r="R156" i="22" s="1"/>
  <c r="Q159" i="22"/>
  <c r="R159" i="22" s="1"/>
  <c r="V96" i="22"/>
  <c r="N88" i="22"/>
  <c r="U88" i="22" s="1"/>
  <c r="O99" i="22"/>
  <c r="V99" i="22" s="1"/>
  <c r="V110" i="22"/>
  <c r="P114" i="22"/>
  <c r="W114" i="22" s="1"/>
  <c r="Q142" i="22"/>
  <c r="R142" i="22" s="1"/>
  <c r="Q160" i="22"/>
  <c r="R160" i="22" s="1"/>
  <c r="O113" i="22"/>
  <c r="V113" i="22" s="1"/>
  <c r="N113" i="22"/>
  <c r="N112" i="22"/>
  <c r="N86" i="22"/>
  <c r="P85" i="22"/>
  <c r="AG85" i="22"/>
  <c r="N104" i="22"/>
  <c r="O105" i="22"/>
  <c r="V105" i="22" s="1"/>
  <c r="N105" i="22"/>
  <c r="N91" i="22"/>
  <c r="Q144" i="22"/>
  <c r="R144" i="22" s="1"/>
  <c r="N120" i="22"/>
  <c r="O121" i="22"/>
  <c r="V121" i="22" s="1"/>
  <c r="N121" i="22"/>
  <c r="Q168" i="22"/>
  <c r="R168" i="22" s="1"/>
  <c r="O92" i="22"/>
  <c r="V92" i="22" s="1"/>
  <c r="N92" i="22"/>
  <c r="O94" i="22"/>
  <c r="V94" i="22" s="1"/>
  <c r="N94" i="22"/>
  <c r="Q152" i="22"/>
  <c r="R152" i="22" s="1"/>
  <c r="P86" i="22"/>
  <c r="O89" i="22"/>
  <c r="V89" i="22" s="1"/>
  <c r="N89" i="22"/>
  <c r="P90" i="22"/>
  <c r="W90" i="22" s="1"/>
  <c r="O97" i="22"/>
  <c r="V97" i="22" s="1"/>
  <c r="N97" i="22"/>
  <c r="N128" i="22"/>
  <c r="O129" i="22"/>
  <c r="V129" i="22" s="1"/>
  <c r="N129" i="22"/>
  <c r="Q176" i="22"/>
  <c r="R176" i="22" s="1"/>
  <c r="P93" i="22"/>
  <c r="W93" i="22" s="1"/>
  <c r="O102" i="22"/>
  <c r="V102" i="22" s="1"/>
  <c r="N102" i="22"/>
  <c r="P101" i="22"/>
  <c r="W101" i="22" s="1"/>
  <c r="P109" i="22"/>
  <c r="W109" i="22" s="1"/>
  <c r="P117" i="22"/>
  <c r="W117" i="22" s="1"/>
  <c r="P125" i="22"/>
  <c r="W125" i="22" s="1"/>
  <c r="Q139" i="22"/>
  <c r="R139" i="22" s="1"/>
  <c r="Q147" i="22"/>
  <c r="R147" i="22" s="1"/>
  <c r="Q155" i="22"/>
  <c r="R155" i="22" s="1"/>
  <c r="Q163" i="22"/>
  <c r="R163" i="22" s="1"/>
  <c r="Q171" i="22"/>
  <c r="R171" i="22" s="1"/>
  <c r="Q179" i="22"/>
  <c r="R179" i="22" s="1"/>
  <c r="N100" i="22"/>
  <c r="N108" i="22"/>
  <c r="N116" i="22"/>
  <c r="N124" i="22"/>
  <c r="Q141" i="22"/>
  <c r="R141" i="22" s="1"/>
  <c r="Q149" i="22"/>
  <c r="R149" i="22" s="1"/>
  <c r="Q157" i="22"/>
  <c r="R157" i="22" s="1"/>
  <c r="Q165" i="22"/>
  <c r="R165" i="22" s="1"/>
  <c r="Q173" i="22"/>
  <c r="R173" i="22" s="1"/>
  <c r="Q181" i="22"/>
  <c r="R181" i="22" s="1"/>
  <c r="N110" i="22"/>
  <c r="N118" i="22"/>
  <c r="N126" i="22"/>
  <c r="Q138" i="22"/>
  <c r="R138" i="22" s="1"/>
  <c r="Q146" i="22"/>
  <c r="R146" i="22" s="1"/>
  <c r="Q154" i="22"/>
  <c r="R154" i="22" s="1"/>
  <c r="Q162" i="22"/>
  <c r="R162" i="22" s="1"/>
  <c r="Q170" i="22"/>
  <c r="R170" i="22" s="1"/>
  <c r="Q178" i="22"/>
  <c r="R178" i="22" s="1"/>
  <c r="Q183" i="22"/>
  <c r="R183" i="22" s="1"/>
  <c r="P183" i="21"/>
  <c r="O183" i="21"/>
  <c r="N183" i="21"/>
  <c r="P182" i="21"/>
  <c r="O182" i="21"/>
  <c r="N182" i="21"/>
  <c r="P181" i="21"/>
  <c r="O181" i="21"/>
  <c r="N181" i="21"/>
  <c r="P180" i="21"/>
  <c r="O180" i="21"/>
  <c r="N180" i="21"/>
  <c r="Q180" i="21" s="1"/>
  <c r="R180" i="21" s="1"/>
  <c r="P179" i="21"/>
  <c r="O179" i="21"/>
  <c r="N179" i="21"/>
  <c r="P178" i="21"/>
  <c r="O178" i="21"/>
  <c r="N178" i="21"/>
  <c r="P177" i="21"/>
  <c r="O177" i="21"/>
  <c r="N177" i="21"/>
  <c r="P176" i="21"/>
  <c r="O176" i="21"/>
  <c r="N176" i="21"/>
  <c r="P175" i="21"/>
  <c r="O175" i="21"/>
  <c r="N175" i="21"/>
  <c r="P174" i="21"/>
  <c r="O174" i="21"/>
  <c r="N174" i="21"/>
  <c r="P173" i="21"/>
  <c r="O173" i="21"/>
  <c r="N173" i="21"/>
  <c r="P172" i="21"/>
  <c r="O172" i="21"/>
  <c r="N172" i="21"/>
  <c r="P171" i="21"/>
  <c r="O171" i="21"/>
  <c r="N171" i="21"/>
  <c r="P170" i="21"/>
  <c r="O170" i="21"/>
  <c r="N170" i="21"/>
  <c r="P169" i="21"/>
  <c r="O169" i="21"/>
  <c r="N169" i="21"/>
  <c r="P168" i="21"/>
  <c r="O168" i="21"/>
  <c r="N168" i="21"/>
  <c r="P167" i="21"/>
  <c r="O167" i="21"/>
  <c r="N167" i="21"/>
  <c r="P166" i="21"/>
  <c r="O166" i="21"/>
  <c r="N166" i="21"/>
  <c r="P165" i="21"/>
  <c r="O165" i="21"/>
  <c r="N165" i="21"/>
  <c r="P164" i="21"/>
  <c r="O164" i="21"/>
  <c r="N164" i="21"/>
  <c r="Q164" i="21" s="1"/>
  <c r="R164" i="21" s="1"/>
  <c r="P163" i="21"/>
  <c r="O163" i="21"/>
  <c r="N163" i="21"/>
  <c r="P162" i="21"/>
  <c r="O162" i="21"/>
  <c r="N162" i="21"/>
  <c r="P161" i="21"/>
  <c r="O161" i="21"/>
  <c r="N161" i="21"/>
  <c r="P160" i="21"/>
  <c r="O160" i="21"/>
  <c r="N160" i="21"/>
  <c r="P159" i="21"/>
  <c r="O159" i="21"/>
  <c r="N159" i="21"/>
  <c r="P158" i="21"/>
  <c r="O158" i="21"/>
  <c r="N158" i="21"/>
  <c r="P157" i="21"/>
  <c r="O157" i="21"/>
  <c r="N157" i="21"/>
  <c r="P156" i="21"/>
  <c r="O156" i="21"/>
  <c r="N156" i="21"/>
  <c r="P155" i="21"/>
  <c r="O155" i="21"/>
  <c r="N155" i="21"/>
  <c r="P154" i="21"/>
  <c r="O154" i="21"/>
  <c r="N154" i="21"/>
  <c r="P153" i="21"/>
  <c r="O153" i="21"/>
  <c r="N153" i="21"/>
  <c r="P152" i="21"/>
  <c r="O152" i="21"/>
  <c r="N152" i="21"/>
  <c r="P151" i="21"/>
  <c r="O151" i="21"/>
  <c r="N151" i="21"/>
  <c r="P150" i="21"/>
  <c r="O150" i="21"/>
  <c r="N150" i="21"/>
  <c r="P149" i="21"/>
  <c r="O149" i="21"/>
  <c r="N149" i="21"/>
  <c r="P148" i="21"/>
  <c r="O148" i="21"/>
  <c r="N148" i="21"/>
  <c r="P147" i="21"/>
  <c r="O147" i="21"/>
  <c r="N147" i="21"/>
  <c r="P146" i="21"/>
  <c r="O146" i="21"/>
  <c r="N146" i="21"/>
  <c r="P145" i="21"/>
  <c r="O145" i="21"/>
  <c r="N145" i="21"/>
  <c r="P144" i="21"/>
  <c r="O144" i="21"/>
  <c r="N144" i="21"/>
  <c r="P143" i="21"/>
  <c r="O143" i="21"/>
  <c r="N143" i="21"/>
  <c r="P142" i="21"/>
  <c r="O142" i="21"/>
  <c r="N142" i="21"/>
  <c r="P141" i="21"/>
  <c r="O141" i="21"/>
  <c r="N141" i="21"/>
  <c r="P140" i="21"/>
  <c r="O140" i="21"/>
  <c r="N140" i="21"/>
  <c r="Q140" i="21" s="1"/>
  <c r="R140" i="21" s="1"/>
  <c r="P139" i="21"/>
  <c r="O139" i="21"/>
  <c r="N139" i="21"/>
  <c r="P138" i="21"/>
  <c r="O138" i="21"/>
  <c r="N138" i="21"/>
  <c r="P137" i="21"/>
  <c r="O137" i="21"/>
  <c r="N137" i="21"/>
  <c r="R136" i="21"/>
  <c r="Q136" i="21"/>
  <c r="P136" i="21"/>
  <c r="N136" i="21"/>
  <c r="K131" i="21"/>
  <c r="J131" i="21"/>
  <c r="I131" i="21"/>
  <c r="H131" i="21"/>
  <c r="G131" i="21"/>
  <c r="F131" i="21"/>
  <c r="E131" i="21"/>
  <c r="D131" i="21"/>
  <c r="C131" i="21"/>
  <c r="K130" i="21"/>
  <c r="J130" i="21"/>
  <c r="I130" i="21"/>
  <c r="H130" i="21"/>
  <c r="O130" i="21" s="1"/>
  <c r="G130" i="21"/>
  <c r="F130" i="21"/>
  <c r="E130" i="21"/>
  <c r="D130" i="21"/>
  <c r="C130" i="21"/>
  <c r="K129" i="21"/>
  <c r="J129" i="21"/>
  <c r="I129" i="21"/>
  <c r="H129" i="21"/>
  <c r="G129" i="21"/>
  <c r="F129" i="21"/>
  <c r="E129" i="21"/>
  <c r="D129" i="21"/>
  <c r="C129" i="21"/>
  <c r="K128" i="21"/>
  <c r="J128" i="21"/>
  <c r="I128" i="21"/>
  <c r="H128" i="21"/>
  <c r="O128" i="21" s="1"/>
  <c r="V128" i="21" s="1"/>
  <c r="G128" i="21"/>
  <c r="F128" i="21"/>
  <c r="E128" i="21"/>
  <c r="D128" i="21"/>
  <c r="C128" i="21"/>
  <c r="K127" i="21"/>
  <c r="J127" i="21"/>
  <c r="I127" i="21"/>
  <c r="H127" i="21"/>
  <c r="O127" i="21" s="1"/>
  <c r="G127" i="21"/>
  <c r="F127" i="21"/>
  <c r="E127" i="21"/>
  <c r="D127" i="21"/>
  <c r="C127" i="21"/>
  <c r="K126" i="21"/>
  <c r="J126" i="21"/>
  <c r="I126" i="21"/>
  <c r="H126" i="21"/>
  <c r="G126" i="21"/>
  <c r="F126" i="21"/>
  <c r="E126" i="21"/>
  <c r="D126" i="21"/>
  <c r="C126" i="21"/>
  <c r="K125" i="21"/>
  <c r="J125" i="21"/>
  <c r="I125" i="21"/>
  <c r="H125" i="21"/>
  <c r="O125" i="21" s="1"/>
  <c r="G125" i="21"/>
  <c r="F125" i="21"/>
  <c r="E125" i="21"/>
  <c r="D125" i="21"/>
  <c r="C125" i="21"/>
  <c r="K124" i="21"/>
  <c r="J124" i="21"/>
  <c r="I124" i="21"/>
  <c r="H124" i="21"/>
  <c r="G124" i="21"/>
  <c r="F124" i="21"/>
  <c r="E124" i="21"/>
  <c r="D124" i="21"/>
  <c r="C124" i="21"/>
  <c r="K123" i="21"/>
  <c r="J123" i="21"/>
  <c r="I123" i="21"/>
  <c r="H123" i="21"/>
  <c r="O123" i="21" s="1"/>
  <c r="V123" i="21" s="1"/>
  <c r="G123" i="21"/>
  <c r="F123" i="21"/>
  <c r="E123" i="21"/>
  <c r="D123" i="21"/>
  <c r="C123" i="21"/>
  <c r="K122" i="21"/>
  <c r="J122" i="21"/>
  <c r="I122" i="21"/>
  <c r="H122" i="21"/>
  <c r="O122" i="21" s="1"/>
  <c r="G122" i="21"/>
  <c r="F122" i="21"/>
  <c r="E122" i="21"/>
  <c r="D122" i="21"/>
  <c r="C122" i="21"/>
  <c r="K121" i="21"/>
  <c r="J121" i="21"/>
  <c r="I121" i="21"/>
  <c r="H121" i="21"/>
  <c r="G121" i="21"/>
  <c r="F121" i="21"/>
  <c r="E121" i="21"/>
  <c r="D121" i="21"/>
  <c r="C121" i="21"/>
  <c r="K120" i="21"/>
  <c r="J120" i="21"/>
  <c r="I120" i="21"/>
  <c r="H120" i="21"/>
  <c r="O120" i="21" s="1"/>
  <c r="V120" i="21" s="1"/>
  <c r="G120" i="21"/>
  <c r="F120" i="21"/>
  <c r="E120" i="21"/>
  <c r="D120" i="21"/>
  <c r="C120" i="21"/>
  <c r="K119" i="21"/>
  <c r="J119" i="21"/>
  <c r="I119" i="21"/>
  <c r="H119" i="21"/>
  <c r="O119" i="21" s="1"/>
  <c r="G119" i="21"/>
  <c r="F119" i="21"/>
  <c r="E119" i="21"/>
  <c r="D119" i="21"/>
  <c r="C119" i="21"/>
  <c r="K118" i="21"/>
  <c r="J118" i="21"/>
  <c r="I118" i="21"/>
  <c r="H118" i="21"/>
  <c r="G118" i="21"/>
  <c r="F118" i="21"/>
  <c r="E118" i="21"/>
  <c r="D118" i="21"/>
  <c r="C118" i="21"/>
  <c r="K117" i="21"/>
  <c r="J117" i="21"/>
  <c r="I117" i="21"/>
  <c r="H117" i="21"/>
  <c r="O117" i="21" s="1"/>
  <c r="G117" i="21"/>
  <c r="F117" i="21"/>
  <c r="E117" i="21"/>
  <c r="D117" i="21"/>
  <c r="C117" i="21"/>
  <c r="K116" i="21"/>
  <c r="J116" i="21"/>
  <c r="I116" i="21"/>
  <c r="H116" i="21"/>
  <c r="G116" i="21"/>
  <c r="F116" i="21"/>
  <c r="E116" i="21"/>
  <c r="D116" i="21"/>
  <c r="C116" i="21"/>
  <c r="K115" i="21"/>
  <c r="J115" i="21"/>
  <c r="I115" i="21"/>
  <c r="H115" i="21"/>
  <c r="G115" i="21"/>
  <c r="F115" i="21"/>
  <c r="E115" i="21"/>
  <c r="D115" i="21"/>
  <c r="C115" i="21"/>
  <c r="K114" i="21"/>
  <c r="J114" i="21"/>
  <c r="I114" i="21"/>
  <c r="H114" i="21"/>
  <c r="O114" i="21" s="1"/>
  <c r="G114" i="21"/>
  <c r="F114" i="21"/>
  <c r="E114" i="21"/>
  <c r="D114" i="21"/>
  <c r="C114" i="21"/>
  <c r="K113" i="21"/>
  <c r="J113" i="21"/>
  <c r="I113" i="21"/>
  <c r="H113" i="21"/>
  <c r="G113" i="21"/>
  <c r="F113" i="21"/>
  <c r="E113" i="21"/>
  <c r="D113" i="21"/>
  <c r="C113" i="21"/>
  <c r="K112" i="21"/>
  <c r="J112" i="21"/>
  <c r="I112" i="21"/>
  <c r="H112" i="21"/>
  <c r="O112" i="21" s="1"/>
  <c r="V112" i="21" s="1"/>
  <c r="G112" i="21"/>
  <c r="F112" i="21"/>
  <c r="E112" i="21"/>
  <c r="D112" i="21"/>
  <c r="C112" i="21"/>
  <c r="K111" i="21"/>
  <c r="J111" i="21"/>
  <c r="I111" i="21"/>
  <c r="H111" i="21"/>
  <c r="O111" i="21" s="1"/>
  <c r="G111" i="21"/>
  <c r="F111" i="21"/>
  <c r="E111" i="21"/>
  <c r="D111" i="21"/>
  <c r="C111" i="21"/>
  <c r="K110" i="21"/>
  <c r="J110" i="21"/>
  <c r="I110" i="21"/>
  <c r="H110" i="21"/>
  <c r="G110" i="21"/>
  <c r="F110" i="21"/>
  <c r="E110" i="21"/>
  <c r="D110" i="21"/>
  <c r="C110" i="21"/>
  <c r="K109" i="21"/>
  <c r="J109" i="21"/>
  <c r="I109" i="21"/>
  <c r="H109" i="21"/>
  <c r="O109" i="21" s="1"/>
  <c r="G109" i="21"/>
  <c r="F109" i="21"/>
  <c r="E109" i="21"/>
  <c r="D109" i="21"/>
  <c r="C109" i="21"/>
  <c r="K108" i="21"/>
  <c r="J108" i="21"/>
  <c r="I108" i="21"/>
  <c r="H108" i="21"/>
  <c r="G108" i="21"/>
  <c r="F108" i="21"/>
  <c r="E108" i="21"/>
  <c r="D108" i="21"/>
  <c r="C108" i="21"/>
  <c r="K107" i="21"/>
  <c r="J107" i="21"/>
  <c r="I107" i="21"/>
  <c r="H107" i="21"/>
  <c r="G107" i="21"/>
  <c r="F107" i="21"/>
  <c r="E107" i="21"/>
  <c r="D107" i="21"/>
  <c r="C107" i="21"/>
  <c r="K106" i="21"/>
  <c r="J106" i="21"/>
  <c r="I106" i="21"/>
  <c r="H106" i="21"/>
  <c r="O106" i="21" s="1"/>
  <c r="G106" i="21"/>
  <c r="F106" i="21"/>
  <c r="E106" i="21"/>
  <c r="D106" i="21"/>
  <c r="C106" i="21"/>
  <c r="K105" i="21"/>
  <c r="J105" i="21"/>
  <c r="I105" i="21"/>
  <c r="H105" i="21"/>
  <c r="G105" i="21"/>
  <c r="F105" i="21"/>
  <c r="E105" i="21"/>
  <c r="D105" i="21"/>
  <c r="C105" i="21"/>
  <c r="K104" i="21"/>
  <c r="J104" i="21"/>
  <c r="I104" i="21"/>
  <c r="H104" i="21"/>
  <c r="O104" i="21" s="1"/>
  <c r="V104" i="21" s="1"/>
  <c r="G104" i="21"/>
  <c r="F104" i="21"/>
  <c r="E104" i="21"/>
  <c r="D104" i="21"/>
  <c r="C104" i="21"/>
  <c r="K103" i="21"/>
  <c r="J103" i="21"/>
  <c r="I103" i="21"/>
  <c r="H103" i="21"/>
  <c r="O103" i="21" s="1"/>
  <c r="G103" i="21"/>
  <c r="F103" i="21"/>
  <c r="E103" i="21"/>
  <c r="D103" i="21"/>
  <c r="C103" i="21"/>
  <c r="K102" i="21"/>
  <c r="J102" i="21"/>
  <c r="I102" i="21"/>
  <c r="H102" i="21"/>
  <c r="G102" i="21"/>
  <c r="F102" i="21"/>
  <c r="E102" i="21"/>
  <c r="D102" i="21"/>
  <c r="C102" i="21"/>
  <c r="K101" i="21"/>
  <c r="J101" i="21"/>
  <c r="I101" i="21"/>
  <c r="H101" i="21"/>
  <c r="O101" i="21" s="1"/>
  <c r="G101" i="21"/>
  <c r="F101" i="21"/>
  <c r="E101" i="21"/>
  <c r="D101" i="21"/>
  <c r="C101" i="21"/>
  <c r="K100" i="21"/>
  <c r="J100" i="21"/>
  <c r="I100" i="21"/>
  <c r="H100" i="21"/>
  <c r="G100" i="21"/>
  <c r="F100" i="21"/>
  <c r="E100" i="21"/>
  <c r="D100" i="21"/>
  <c r="C100" i="21"/>
  <c r="K99" i="21"/>
  <c r="J99" i="21"/>
  <c r="I99" i="21"/>
  <c r="H99" i="21"/>
  <c r="O99" i="21" s="1"/>
  <c r="V99" i="21" s="1"/>
  <c r="G99" i="21"/>
  <c r="F99" i="21"/>
  <c r="E99" i="21"/>
  <c r="D99" i="21"/>
  <c r="C99" i="21"/>
  <c r="K98" i="21"/>
  <c r="J98" i="21"/>
  <c r="I98" i="21"/>
  <c r="H98" i="21"/>
  <c r="O98" i="21" s="1"/>
  <c r="G98" i="21"/>
  <c r="F98" i="21"/>
  <c r="E98" i="21"/>
  <c r="D98" i="21"/>
  <c r="C98" i="21"/>
  <c r="K97" i="21"/>
  <c r="J97" i="21"/>
  <c r="I97" i="21"/>
  <c r="H97" i="21"/>
  <c r="G97" i="21"/>
  <c r="F97" i="21"/>
  <c r="E97" i="21"/>
  <c r="D97" i="21"/>
  <c r="C97" i="21"/>
  <c r="K96" i="21"/>
  <c r="J96" i="21"/>
  <c r="I96" i="21"/>
  <c r="H96" i="21"/>
  <c r="O96" i="21" s="1"/>
  <c r="G96" i="21"/>
  <c r="F96" i="21"/>
  <c r="E96" i="21"/>
  <c r="D96" i="21"/>
  <c r="C96" i="21"/>
  <c r="K95" i="21"/>
  <c r="J95" i="21"/>
  <c r="I95" i="21"/>
  <c r="H95" i="21"/>
  <c r="O95" i="21" s="1"/>
  <c r="G95" i="21"/>
  <c r="F95" i="21"/>
  <c r="E95" i="21"/>
  <c r="D95" i="21"/>
  <c r="C95" i="21"/>
  <c r="K94" i="21"/>
  <c r="J94" i="21"/>
  <c r="I94" i="21"/>
  <c r="H94" i="21"/>
  <c r="G94" i="21"/>
  <c r="F94" i="21"/>
  <c r="E94" i="21"/>
  <c r="D94" i="21"/>
  <c r="C94" i="21"/>
  <c r="K93" i="21"/>
  <c r="J93" i="21"/>
  <c r="I93" i="21"/>
  <c r="H93" i="21"/>
  <c r="O93" i="21" s="1"/>
  <c r="G93" i="21"/>
  <c r="F93" i="21"/>
  <c r="E93" i="21"/>
  <c r="D93" i="21"/>
  <c r="C93" i="21"/>
  <c r="K92" i="21"/>
  <c r="J92" i="21"/>
  <c r="I92" i="21"/>
  <c r="H92" i="21"/>
  <c r="G92" i="21"/>
  <c r="F92" i="21"/>
  <c r="E92" i="21"/>
  <c r="D92" i="21"/>
  <c r="C92" i="21"/>
  <c r="K91" i="21"/>
  <c r="J91" i="21"/>
  <c r="I91" i="21"/>
  <c r="H91" i="21"/>
  <c r="G91" i="21"/>
  <c r="F91" i="21"/>
  <c r="E91" i="21"/>
  <c r="D91" i="21"/>
  <c r="C91" i="21"/>
  <c r="K90" i="21"/>
  <c r="J90" i="21"/>
  <c r="I90" i="21"/>
  <c r="H90" i="21"/>
  <c r="O90" i="21" s="1"/>
  <c r="G90" i="21"/>
  <c r="F90" i="21"/>
  <c r="E90" i="21"/>
  <c r="D90" i="21"/>
  <c r="C90" i="21"/>
  <c r="K89" i="21"/>
  <c r="J89" i="21"/>
  <c r="I89" i="21"/>
  <c r="H89" i="21"/>
  <c r="G89" i="21"/>
  <c r="F89" i="21"/>
  <c r="E89" i="21"/>
  <c r="D89" i="21"/>
  <c r="C89" i="21"/>
  <c r="K88" i="21"/>
  <c r="J88" i="21"/>
  <c r="I88" i="21"/>
  <c r="H88" i="21"/>
  <c r="O88" i="21" s="1"/>
  <c r="V88" i="21" s="1"/>
  <c r="G88" i="21"/>
  <c r="F88" i="21"/>
  <c r="E88" i="21"/>
  <c r="D88" i="21"/>
  <c r="C88" i="21"/>
  <c r="K87" i="21"/>
  <c r="J87" i="21"/>
  <c r="I87" i="21"/>
  <c r="H87" i="21"/>
  <c r="O87" i="21" s="1"/>
  <c r="G87" i="21"/>
  <c r="F87" i="21"/>
  <c r="E87" i="21"/>
  <c r="D87" i="21"/>
  <c r="C87" i="21"/>
  <c r="K86" i="21"/>
  <c r="J86" i="21"/>
  <c r="I86" i="21"/>
  <c r="H86" i="21"/>
  <c r="O86" i="21" s="1"/>
  <c r="G86" i="21"/>
  <c r="F86" i="21"/>
  <c r="E86" i="21"/>
  <c r="D86" i="21"/>
  <c r="C86" i="21"/>
  <c r="K85" i="21"/>
  <c r="J85" i="21"/>
  <c r="I85" i="21"/>
  <c r="H85" i="21"/>
  <c r="O85" i="21" s="1"/>
  <c r="G85" i="21"/>
  <c r="F85" i="21"/>
  <c r="E85" i="21"/>
  <c r="D85" i="21"/>
  <c r="C85" i="21"/>
  <c r="Y84" i="21"/>
  <c r="W84" i="21"/>
  <c r="U84" i="21"/>
  <c r="Y72" i="21"/>
  <c r="U72" i="21"/>
  <c r="T72" i="21"/>
  <c r="Y71" i="21"/>
  <c r="U71" i="21"/>
  <c r="T71" i="21"/>
  <c r="Y70" i="21"/>
  <c r="U70" i="21"/>
  <c r="T70" i="21"/>
  <c r="Y69" i="21"/>
  <c r="U69" i="21"/>
  <c r="T69" i="21"/>
  <c r="Y68" i="21"/>
  <c r="U68" i="21"/>
  <c r="T68" i="21"/>
  <c r="Y67" i="21"/>
  <c r="U67" i="21"/>
  <c r="T67" i="21"/>
  <c r="Y66" i="21"/>
  <c r="U66" i="21"/>
  <c r="T66" i="21"/>
  <c r="Y65" i="21"/>
  <c r="U65" i="21"/>
  <c r="T65" i="21"/>
  <c r="Y64" i="21"/>
  <c r="U64" i="21"/>
  <c r="T64" i="21"/>
  <c r="Y63" i="21"/>
  <c r="U63" i="21"/>
  <c r="T63" i="21"/>
  <c r="Y62" i="21"/>
  <c r="U62" i="21"/>
  <c r="Y61" i="21"/>
  <c r="U61" i="21"/>
  <c r="Y60" i="21"/>
  <c r="U60" i="21"/>
  <c r="Y59" i="21"/>
  <c r="U59" i="21"/>
  <c r="Y58" i="21"/>
  <c r="U58" i="21"/>
  <c r="Y57" i="21"/>
  <c r="U57" i="21"/>
  <c r="Y56" i="21"/>
  <c r="U56" i="21"/>
  <c r="Y55" i="21"/>
  <c r="U55" i="21"/>
  <c r="Y54" i="21"/>
  <c r="U54" i="21"/>
  <c r="Y53" i="21"/>
  <c r="U53" i="21"/>
  <c r="Y52" i="21"/>
  <c r="U52" i="21"/>
  <c r="Y51" i="21"/>
  <c r="U51" i="21"/>
  <c r="Y50" i="21"/>
  <c r="U50" i="21"/>
  <c r="Y49" i="21"/>
  <c r="U49" i="21"/>
  <c r="Y48" i="21"/>
  <c r="U48" i="21"/>
  <c r="Y47" i="21"/>
  <c r="U47" i="21"/>
  <c r="Y46" i="21"/>
  <c r="U46" i="21"/>
  <c r="Y45" i="21"/>
  <c r="U45" i="21"/>
  <c r="Y44" i="21"/>
  <c r="U44" i="21"/>
  <c r="Y43" i="21"/>
  <c r="U43" i="21"/>
  <c r="Y42" i="21"/>
  <c r="U42" i="21"/>
  <c r="Y41" i="21"/>
  <c r="U41" i="21"/>
  <c r="Y40" i="21"/>
  <c r="U40" i="21"/>
  <c r="Y39" i="21"/>
  <c r="U39" i="21"/>
  <c r="Y38" i="21"/>
  <c r="U38" i="21"/>
  <c r="Y37" i="21"/>
  <c r="U37" i="21"/>
  <c r="Y36" i="21"/>
  <c r="U36" i="21"/>
  <c r="Y35" i="21"/>
  <c r="U35" i="21"/>
  <c r="Y34" i="21"/>
  <c r="U34" i="21"/>
  <c r="Y33" i="21"/>
  <c r="U33" i="21"/>
  <c r="Y32" i="21"/>
  <c r="U32" i="21"/>
  <c r="Y31" i="21"/>
  <c r="U31" i="21"/>
  <c r="T31" i="21"/>
  <c r="Y30" i="21"/>
  <c r="U30" i="21"/>
  <c r="T30" i="21"/>
  <c r="Y29" i="21"/>
  <c r="U29" i="21"/>
  <c r="T29" i="21"/>
  <c r="Y28" i="21"/>
  <c r="U28" i="21"/>
  <c r="T28" i="21"/>
  <c r="Y27" i="21"/>
  <c r="U27" i="21"/>
  <c r="T27" i="21"/>
  <c r="Y26" i="21"/>
  <c r="U26" i="21"/>
  <c r="T26" i="21"/>
  <c r="U23" i="21"/>
  <c r="N5" i="21"/>
  <c r="N2" i="21"/>
  <c r="I2" i="21"/>
  <c r="A1" i="21"/>
  <c r="V90" i="21" l="1"/>
  <c r="V114" i="21"/>
  <c r="V130" i="21"/>
  <c r="R28" i="25"/>
  <c r="V87" i="21"/>
  <c r="V95" i="21"/>
  <c r="V103" i="21"/>
  <c r="V119" i="21"/>
  <c r="V85" i="21"/>
  <c r="X85" i="21" s="1"/>
  <c r="V127" i="21"/>
  <c r="P131" i="21"/>
  <c r="W131" i="21" s="1"/>
  <c r="N93" i="21"/>
  <c r="U93" i="21" s="1"/>
  <c r="N87" i="21"/>
  <c r="U87" i="21" s="1"/>
  <c r="P91" i="21"/>
  <c r="W91" i="21" s="1"/>
  <c r="P95" i="21"/>
  <c r="W95" i="21" s="1"/>
  <c r="Q151" i="21"/>
  <c r="R151" i="21" s="1"/>
  <c r="P123" i="21"/>
  <c r="W123" i="21" s="1"/>
  <c r="N103" i="21"/>
  <c r="U103" i="21" s="1"/>
  <c r="N119" i="21"/>
  <c r="U119" i="21" s="1"/>
  <c r="N117" i="21"/>
  <c r="U117" i="21" s="1"/>
  <c r="N90" i="21"/>
  <c r="U90" i="21" s="1"/>
  <c r="N125" i="21"/>
  <c r="P126" i="21"/>
  <c r="W126" i="21" s="1"/>
  <c r="N130" i="21"/>
  <c r="U130" i="21" s="1"/>
  <c r="Q175" i="21"/>
  <c r="R175" i="21" s="1"/>
  <c r="O63" i="24"/>
  <c r="O58" i="24"/>
  <c r="O53" i="24"/>
  <c r="O71" i="24"/>
  <c r="O66" i="24"/>
  <c r="O42" i="24"/>
  <c r="O39" i="24"/>
  <c r="O52" i="24"/>
  <c r="O50" i="24"/>
  <c r="O68" i="24"/>
  <c r="O44" i="24"/>
  <c r="O60" i="24"/>
  <c r="O31" i="24"/>
  <c r="O47" i="24"/>
  <c r="O33" i="24"/>
  <c r="O36" i="24"/>
  <c r="O55" i="24"/>
  <c r="O34" i="24"/>
  <c r="X114" i="22"/>
  <c r="Y114" i="22" s="1"/>
  <c r="P109" i="21"/>
  <c r="W109" i="21" s="1"/>
  <c r="P115" i="21"/>
  <c r="W115" i="21" s="1"/>
  <c r="V93" i="21"/>
  <c r="P106" i="21"/>
  <c r="W106" i="21" s="1"/>
  <c r="N109" i="21"/>
  <c r="U109" i="21" s="1"/>
  <c r="P110" i="21"/>
  <c r="W110" i="21" s="1"/>
  <c r="V125" i="21"/>
  <c r="V101" i="21"/>
  <c r="N120" i="21"/>
  <c r="U120" i="21" s="1"/>
  <c r="N106" i="21"/>
  <c r="U106" i="21" s="1"/>
  <c r="N114" i="21"/>
  <c r="U114" i="21" s="1"/>
  <c r="N96" i="21"/>
  <c r="U96" i="21" s="1"/>
  <c r="V109" i="21"/>
  <c r="N128" i="21"/>
  <c r="U128" i="21" s="1"/>
  <c r="P97" i="21"/>
  <c r="W97" i="21" s="1"/>
  <c r="V117" i="21"/>
  <c r="Q158" i="21"/>
  <c r="R158" i="21" s="1"/>
  <c r="Q166" i="21"/>
  <c r="R166" i="21" s="1"/>
  <c r="Q103" i="22"/>
  <c r="R103" i="22" s="1"/>
  <c r="X103" i="22"/>
  <c r="Y103" i="22" s="1"/>
  <c r="Q88" i="22"/>
  <c r="R88" i="22" s="1"/>
  <c r="X97" i="23"/>
  <c r="Y97" i="23" s="1"/>
  <c r="X102" i="23"/>
  <c r="Y102" i="23" s="1"/>
  <c r="X126" i="23"/>
  <c r="Y126" i="23" s="1"/>
  <c r="X89" i="23"/>
  <c r="Y89" i="23" s="1"/>
  <c r="X118" i="23"/>
  <c r="Y118" i="23" s="1"/>
  <c r="X100" i="23"/>
  <c r="Y100" i="23" s="1"/>
  <c r="X121" i="23"/>
  <c r="Y121" i="23" s="1"/>
  <c r="X105" i="23"/>
  <c r="Y105" i="23" s="1"/>
  <c r="X92" i="23"/>
  <c r="Y92" i="23" s="1"/>
  <c r="X129" i="23"/>
  <c r="Y129" i="23" s="1"/>
  <c r="X107" i="23"/>
  <c r="Y107" i="23" s="1"/>
  <c r="X108" i="23"/>
  <c r="Y108" i="23" s="1"/>
  <c r="X116" i="23"/>
  <c r="Y116" i="23" s="1"/>
  <c r="X113" i="23"/>
  <c r="Y113" i="23" s="1"/>
  <c r="X124" i="23"/>
  <c r="Y124" i="23" s="1"/>
  <c r="X110" i="23"/>
  <c r="Y110" i="23" s="1"/>
  <c r="X115" i="23"/>
  <c r="Y115" i="23" s="1"/>
  <c r="X112" i="23"/>
  <c r="Y112" i="23" s="1"/>
  <c r="X131" i="23"/>
  <c r="Y131" i="23" s="1"/>
  <c r="X94" i="23"/>
  <c r="Y94" i="23" s="1"/>
  <c r="X119" i="22"/>
  <c r="Y119" i="22" s="1"/>
  <c r="X130" i="22"/>
  <c r="Y130" i="22" s="1"/>
  <c r="Q98" i="22"/>
  <c r="R98" i="22" s="1"/>
  <c r="Q107" i="22"/>
  <c r="R107" i="22" s="1"/>
  <c r="Q96" i="22"/>
  <c r="R96" i="22" s="1"/>
  <c r="Q119" i="22"/>
  <c r="R119" i="22" s="1"/>
  <c r="Q85" i="22"/>
  <c r="R85" i="22" s="1"/>
  <c r="Q87" i="22"/>
  <c r="R87" i="22" s="1"/>
  <c r="X122" i="22"/>
  <c r="Y122" i="22" s="1"/>
  <c r="P26" i="22"/>
  <c r="Q111" i="22"/>
  <c r="R111" i="22" s="1"/>
  <c r="Q123" i="22"/>
  <c r="R123" i="22" s="1"/>
  <c r="X87" i="22"/>
  <c r="Y87" i="22" s="1"/>
  <c r="X111" i="22"/>
  <c r="Y111" i="22" s="1"/>
  <c r="Q130" i="22"/>
  <c r="R130" i="22" s="1"/>
  <c r="Q122" i="22"/>
  <c r="R122" i="22" s="1"/>
  <c r="X95" i="22"/>
  <c r="Y95" i="22" s="1"/>
  <c r="Q127" i="22"/>
  <c r="R127" i="22" s="1"/>
  <c r="Q115" i="22"/>
  <c r="R115" i="22" s="1"/>
  <c r="X127" i="22"/>
  <c r="Y127" i="22" s="1"/>
  <c r="Q114" i="22"/>
  <c r="R114" i="22" s="1"/>
  <c r="Q131" i="22"/>
  <c r="R131" i="22" s="1"/>
  <c r="Q90" i="22"/>
  <c r="R90" i="22" s="1"/>
  <c r="Q117" i="22"/>
  <c r="R117" i="22" s="1"/>
  <c r="U107" i="22"/>
  <c r="Q95" i="22"/>
  <c r="R95" i="22" s="1"/>
  <c r="Q99" i="22"/>
  <c r="R99" i="22" s="1"/>
  <c r="Q106" i="22"/>
  <c r="R106" i="22" s="1"/>
  <c r="Q129" i="22"/>
  <c r="R129" i="22" s="1"/>
  <c r="U129" i="22"/>
  <c r="X98" i="22"/>
  <c r="Y98" i="22" s="1"/>
  <c r="Q92" i="22"/>
  <c r="R92" i="22" s="1"/>
  <c r="U92" i="22"/>
  <c r="X93" i="22"/>
  <c r="Y93" i="22" s="1"/>
  <c r="U104" i="22"/>
  <c r="Q104" i="22"/>
  <c r="R104" i="22" s="1"/>
  <c r="U112" i="22"/>
  <c r="Q112" i="22"/>
  <c r="R112" i="22" s="1"/>
  <c r="U118" i="22"/>
  <c r="Q118" i="22"/>
  <c r="R118" i="22" s="1"/>
  <c r="U102" i="22"/>
  <c r="Q102" i="22"/>
  <c r="R102" i="22" s="1"/>
  <c r="Q97" i="22"/>
  <c r="R97" i="22" s="1"/>
  <c r="U97" i="22"/>
  <c r="Q121" i="22"/>
  <c r="R121" i="22" s="1"/>
  <c r="U121" i="22"/>
  <c r="U91" i="22"/>
  <c r="Q91" i="22"/>
  <c r="R91" i="22" s="1"/>
  <c r="Q124" i="22"/>
  <c r="R124" i="22" s="1"/>
  <c r="U124" i="22"/>
  <c r="Q109" i="22"/>
  <c r="R109" i="22" s="1"/>
  <c r="Q105" i="22"/>
  <c r="R105" i="22" s="1"/>
  <c r="U105" i="22"/>
  <c r="Q116" i="22"/>
  <c r="R116" i="22" s="1"/>
  <c r="U116" i="22"/>
  <c r="X131" i="22"/>
  <c r="Y131" i="22" s="1"/>
  <c r="U128" i="22"/>
  <c r="Q128" i="22"/>
  <c r="R128" i="22" s="1"/>
  <c r="X117" i="22"/>
  <c r="Y117" i="22" s="1"/>
  <c r="X115" i="22"/>
  <c r="Y115" i="22" s="1"/>
  <c r="X88" i="22"/>
  <c r="Y88" i="22" s="1"/>
  <c r="Q113" i="22"/>
  <c r="R113" i="22" s="1"/>
  <c r="U113" i="22"/>
  <c r="U110" i="22"/>
  <c r="Q110" i="22"/>
  <c r="R110" i="22" s="1"/>
  <c r="Q108" i="22"/>
  <c r="R108" i="22" s="1"/>
  <c r="U108" i="22"/>
  <c r="U120" i="22"/>
  <c r="Q120" i="22"/>
  <c r="R120" i="22" s="1"/>
  <c r="X109" i="22"/>
  <c r="Y109" i="22" s="1"/>
  <c r="Q125" i="22"/>
  <c r="R125" i="22" s="1"/>
  <c r="Q100" i="22"/>
  <c r="R100" i="22" s="1"/>
  <c r="U100" i="22"/>
  <c r="U89" i="22"/>
  <c r="Q89" i="22"/>
  <c r="R89" i="22" s="1"/>
  <c r="X106" i="22"/>
  <c r="Y106" i="22" s="1"/>
  <c r="Q101" i="22"/>
  <c r="R101" i="22" s="1"/>
  <c r="Q86" i="22"/>
  <c r="R86" i="22" s="1"/>
  <c r="U126" i="22"/>
  <c r="Q126" i="22"/>
  <c r="R126" i="22" s="1"/>
  <c r="X96" i="22"/>
  <c r="Y96" i="22" s="1"/>
  <c r="Q93" i="22"/>
  <c r="R93" i="22" s="1"/>
  <c r="X125" i="22"/>
  <c r="Y125" i="22" s="1"/>
  <c r="X90" i="22"/>
  <c r="Y90" i="22" s="1"/>
  <c r="U94" i="22"/>
  <c r="Q94" i="22"/>
  <c r="R94" i="22" s="1"/>
  <c r="X99" i="22"/>
  <c r="Y99" i="22" s="1"/>
  <c r="X123" i="22"/>
  <c r="Y123" i="22" s="1"/>
  <c r="X101" i="22"/>
  <c r="Y101" i="22" s="1"/>
  <c r="P120" i="21"/>
  <c r="W120" i="21" s="1"/>
  <c r="P92" i="21"/>
  <c r="W92" i="21" s="1"/>
  <c r="N95" i="21"/>
  <c r="P101" i="21"/>
  <c r="W101" i="21" s="1"/>
  <c r="P104" i="21"/>
  <c r="W104" i="21" s="1"/>
  <c r="P108" i="21"/>
  <c r="W108" i="21" s="1"/>
  <c r="P118" i="21"/>
  <c r="W118" i="21" s="1"/>
  <c r="Q137" i="21"/>
  <c r="R137" i="21" s="1"/>
  <c r="Q150" i="21"/>
  <c r="R150" i="21" s="1"/>
  <c r="N115" i="21"/>
  <c r="U115" i="21" s="1"/>
  <c r="P86" i="21"/>
  <c r="N88" i="21"/>
  <c r="U88" i="21" s="1"/>
  <c r="V106" i="21"/>
  <c r="Q145" i="21"/>
  <c r="R145" i="21" s="1"/>
  <c r="Q169" i="21"/>
  <c r="R169" i="21" s="1"/>
  <c r="N85" i="21"/>
  <c r="P93" i="21"/>
  <c r="W93" i="21" s="1"/>
  <c r="P99" i="21"/>
  <c r="W99" i="21" s="1"/>
  <c r="N111" i="21"/>
  <c r="U111" i="21" s="1"/>
  <c r="P119" i="21"/>
  <c r="W119" i="21" s="1"/>
  <c r="Q148" i="21"/>
  <c r="R148" i="21" s="1"/>
  <c r="Q172" i="21"/>
  <c r="R172" i="21" s="1"/>
  <c r="N122" i="21"/>
  <c r="U122" i="21" s="1"/>
  <c r="N98" i="21"/>
  <c r="U98" i="21" s="1"/>
  <c r="P102" i="21"/>
  <c r="W102" i="21" s="1"/>
  <c r="N112" i="21"/>
  <c r="U112" i="21" s="1"/>
  <c r="P116" i="21"/>
  <c r="W116" i="21" s="1"/>
  <c r="N127" i="21"/>
  <c r="U127" i="21" s="1"/>
  <c r="Q153" i="21"/>
  <c r="R153" i="21" s="1"/>
  <c r="V111" i="21"/>
  <c r="Q177" i="21"/>
  <c r="R177" i="21" s="1"/>
  <c r="Q182" i="21"/>
  <c r="R182" i="21" s="1"/>
  <c r="P94" i="21"/>
  <c r="W94" i="21" s="1"/>
  <c r="P113" i="21"/>
  <c r="W113" i="21" s="1"/>
  <c r="Q156" i="21"/>
  <c r="R156" i="21" s="1"/>
  <c r="Q183" i="21"/>
  <c r="V86" i="21"/>
  <c r="X86" i="21" s="1"/>
  <c r="P100" i="21"/>
  <c r="W100" i="21" s="1"/>
  <c r="P107" i="21"/>
  <c r="W107" i="21" s="1"/>
  <c r="P111" i="21"/>
  <c r="W111" i="21" s="1"/>
  <c r="O115" i="21"/>
  <c r="V115" i="21" s="1"/>
  <c r="P122" i="21"/>
  <c r="W122" i="21" s="1"/>
  <c r="P124" i="21"/>
  <c r="W124" i="21" s="1"/>
  <c r="P127" i="21"/>
  <c r="W127" i="21" s="1"/>
  <c r="Q142" i="21"/>
  <c r="R142" i="21" s="1"/>
  <c r="Q159" i="21"/>
  <c r="R159" i="21" s="1"/>
  <c r="Q161" i="21"/>
  <c r="R161" i="21" s="1"/>
  <c r="V96" i="21"/>
  <c r="N131" i="21"/>
  <c r="U131" i="21" s="1"/>
  <c r="N99" i="21"/>
  <c r="U99" i="21" s="1"/>
  <c r="P114" i="21"/>
  <c r="W114" i="21" s="1"/>
  <c r="P103" i="21"/>
  <c r="W103" i="21" s="1"/>
  <c r="N104" i="21"/>
  <c r="U104" i="21" s="1"/>
  <c r="P129" i="21"/>
  <c r="W129" i="21" s="1"/>
  <c r="O131" i="21"/>
  <c r="V131" i="21" s="1"/>
  <c r="Q143" i="21"/>
  <c r="R143" i="21" s="1"/>
  <c r="Q167" i="21"/>
  <c r="R167" i="21" s="1"/>
  <c r="Q174" i="21"/>
  <c r="R174" i="21" s="1"/>
  <c r="R183" i="21"/>
  <c r="O89" i="21"/>
  <c r="V89" i="21" s="1"/>
  <c r="N89" i="21"/>
  <c r="O110" i="21"/>
  <c r="V110" i="21" s="1"/>
  <c r="N110" i="21"/>
  <c r="P117" i="21"/>
  <c r="W117" i="21" s="1"/>
  <c r="Q155" i="21"/>
  <c r="R155" i="21" s="1"/>
  <c r="Q176" i="21"/>
  <c r="R176" i="21" s="1"/>
  <c r="N91" i="21"/>
  <c r="O91" i="21"/>
  <c r="V91" i="21" s="1"/>
  <c r="N107" i="21"/>
  <c r="O107" i="21"/>
  <c r="V107" i="21" s="1"/>
  <c r="N86" i="21"/>
  <c r="O100" i="21"/>
  <c r="V100" i="21" s="1"/>
  <c r="N100" i="21"/>
  <c r="Q165" i="21"/>
  <c r="R165" i="21" s="1"/>
  <c r="P89" i="21"/>
  <c r="W89" i="21" s="1"/>
  <c r="P96" i="21"/>
  <c r="P98" i="21"/>
  <c r="W98" i="21" s="1"/>
  <c r="N101" i="21"/>
  <c r="P112" i="21"/>
  <c r="W112" i="21" s="1"/>
  <c r="O116" i="21"/>
  <c r="V116" i="21" s="1"/>
  <c r="N116" i="21"/>
  <c r="O121" i="21"/>
  <c r="V121" i="21" s="1"/>
  <c r="N121" i="21"/>
  <c r="Q144" i="21"/>
  <c r="R144" i="21" s="1"/>
  <c r="Q163" i="21"/>
  <c r="R163" i="21" s="1"/>
  <c r="U125" i="21"/>
  <c r="P128" i="21"/>
  <c r="W128" i="21" s="1"/>
  <c r="P88" i="21"/>
  <c r="V98" i="21"/>
  <c r="O126" i="21"/>
  <c r="V126" i="21" s="1"/>
  <c r="N126" i="21"/>
  <c r="O92" i="21"/>
  <c r="V92" i="21" s="1"/>
  <c r="N92" i="21"/>
  <c r="O108" i="21"/>
  <c r="V108" i="21" s="1"/>
  <c r="N108" i="21"/>
  <c r="Q157" i="21"/>
  <c r="R157" i="21" s="1"/>
  <c r="P90" i="21"/>
  <c r="W90" i="21" s="1"/>
  <c r="Q168" i="21"/>
  <c r="R168" i="21" s="1"/>
  <c r="P87" i="21"/>
  <c r="W87" i="21" s="1"/>
  <c r="O102" i="21"/>
  <c r="V102" i="21" s="1"/>
  <c r="N102" i="21"/>
  <c r="O105" i="21"/>
  <c r="V105" i="21" s="1"/>
  <c r="N105" i="21"/>
  <c r="O118" i="21"/>
  <c r="V118" i="21" s="1"/>
  <c r="N118" i="21"/>
  <c r="P121" i="21"/>
  <c r="W121" i="21" s="1"/>
  <c r="V122" i="21"/>
  <c r="O124" i="21"/>
  <c r="V124" i="21" s="1"/>
  <c r="N124" i="21"/>
  <c r="P125" i="21"/>
  <c r="W125" i="21" s="1"/>
  <c r="Q147" i="21"/>
  <c r="R147" i="21" s="1"/>
  <c r="Q149" i="21"/>
  <c r="R149" i="21" s="1"/>
  <c r="Q179" i="21"/>
  <c r="R179" i="21" s="1"/>
  <c r="Q181" i="21"/>
  <c r="R181" i="21" s="1"/>
  <c r="O113" i="21"/>
  <c r="V113" i="21" s="1"/>
  <c r="N113" i="21"/>
  <c r="N123" i="21"/>
  <c r="O129" i="21"/>
  <c r="V129" i="21" s="1"/>
  <c r="N129" i="21"/>
  <c r="P130" i="21"/>
  <c r="W130" i="21" s="1"/>
  <c r="Q160" i="21"/>
  <c r="R160" i="21" s="1"/>
  <c r="P85" i="21"/>
  <c r="AG85" i="21"/>
  <c r="Q139" i="21"/>
  <c r="R139" i="21" s="1"/>
  <c r="Q141" i="21"/>
  <c r="R141" i="21" s="1"/>
  <c r="Q171" i="21"/>
  <c r="R171" i="21" s="1"/>
  <c r="Q173" i="21"/>
  <c r="R173" i="21" s="1"/>
  <c r="O94" i="21"/>
  <c r="V94" i="21" s="1"/>
  <c r="N94" i="21"/>
  <c r="O97" i="21"/>
  <c r="V97" i="21" s="1"/>
  <c r="N97" i="21"/>
  <c r="P105" i="21"/>
  <c r="W105" i="21" s="1"/>
  <c r="Q152" i="21"/>
  <c r="R152" i="21" s="1"/>
  <c r="Q138" i="21"/>
  <c r="R138" i="21" s="1"/>
  <c r="Q146" i="21"/>
  <c r="R146" i="21" s="1"/>
  <c r="Q154" i="21"/>
  <c r="R154" i="21" s="1"/>
  <c r="Q162" i="21"/>
  <c r="R162" i="21" s="1"/>
  <c r="Q170" i="21"/>
  <c r="R170" i="21" s="1"/>
  <c r="Q178" i="21"/>
  <c r="R178" i="21" s="1"/>
  <c r="P183" i="20"/>
  <c r="O183" i="20"/>
  <c r="N183" i="20"/>
  <c r="P182" i="20"/>
  <c r="O182" i="20"/>
  <c r="N182" i="20"/>
  <c r="P181" i="20"/>
  <c r="O181" i="20"/>
  <c r="N181" i="20"/>
  <c r="P180" i="20"/>
  <c r="O180" i="20"/>
  <c r="N180" i="20"/>
  <c r="P179" i="20"/>
  <c r="O179" i="20"/>
  <c r="N179" i="20"/>
  <c r="P178" i="20"/>
  <c r="O178" i="20"/>
  <c r="N178" i="20"/>
  <c r="P177" i="20"/>
  <c r="O177" i="20"/>
  <c r="N177" i="20"/>
  <c r="P176" i="20"/>
  <c r="O176" i="20"/>
  <c r="N176" i="20"/>
  <c r="P175" i="20"/>
  <c r="O175" i="20"/>
  <c r="N175" i="20"/>
  <c r="P174" i="20"/>
  <c r="O174" i="20"/>
  <c r="N174" i="20"/>
  <c r="P173" i="20"/>
  <c r="O173" i="20"/>
  <c r="N173" i="20"/>
  <c r="P172" i="20"/>
  <c r="O172" i="20"/>
  <c r="N172" i="20"/>
  <c r="P171" i="20"/>
  <c r="O171" i="20"/>
  <c r="N171" i="20"/>
  <c r="P170" i="20"/>
  <c r="O170" i="20"/>
  <c r="N170" i="20"/>
  <c r="P169" i="20"/>
  <c r="O169" i="20"/>
  <c r="N169" i="20"/>
  <c r="P168" i="20"/>
  <c r="O168" i="20"/>
  <c r="N168" i="20"/>
  <c r="P167" i="20"/>
  <c r="O167" i="20"/>
  <c r="N167" i="20"/>
  <c r="P166" i="20"/>
  <c r="O166" i="20"/>
  <c r="N166" i="20"/>
  <c r="P165" i="20"/>
  <c r="O165" i="20"/>
  <c r="N165" i="20"/>
  <c r="P164" i="20"/>
  <c r="O164" i="20"/>
  <c r="N164" i="20"/>
  <c r="P163" i="20"/>
  <c r="O163" i="20"/>
  <c r="N163" i="20"/>
  <c r="P162" i="20"/>
  <c r="O162" i="20"/>
  <c r="N162" i="20"/>
  <c r="P161" i="20"/>
  <c r="O161" i="20"/>
  <c r="N161" i="20"/>
  <c r="P160" i="20"/>
  <c r="O160" i="20"/>
  <c r="N160" i="20"/>
  <c r="P159" i="20"/>
  <c r="O159" i="20"/>
  <c r="N159" i="20"/>
  <c r="P158" i="20"/>
  <c r="O158" i="20"/>
  <c r="N158" i="20"/>
  <c r="P157" i="20"/>
  <c r="O157" i="20"/>
  <c r="N157" i="20"/>
  <c r="P156" i="20"/>
  <c r="O156" i="20"/>
  <c r="N156" i="20"/>
  <c r="P155" i="20"/>
  <c r="O155" i="20"/>
  <c r="N155" i="20"/>
  <c r="P154" i="20"/>
  <c r="O154" i="20"/>
  <c r="N154" i="20"/>
  <c r="P153" i="20"/>
  <c r="O153" i="20"/>
  <c r="N153" i="20"/>
  <c r="P152" i="20"/>
  <c r="O152" i="20"/>
  <c r="N152" i="20"/>
  <c r="P151" i="20"/>
  <c r="O151" i="20"/>
  <c r="N151" i="20"/>
  <c r="P150" i="20"/>
  <c r="O150" i="20"/>
  <c r="N150" i="20"/>
  <c r="P149" i="20"/>
  <c r="O149" i="20"/>
  <c r="N149" i="20"/>
  <c r="P148" i="20"/>
  <c r="O148" i="20"/>
  <c r="N148" i="20"/>
  <c r="P147" i="20"/>
  <c r="O147" i="20"/>
  <c r="N147" i="20"/>
  <c r="P146" i="20"/>
  <c r="O146" i="20"/>
  <c r="N146" i="20"/>
  <c r="P145" i="20"/>
  <c r="O145" i="20"/>
  <c r="N145" i="20"/>
  <c r="P144" i="20"/>
  <c r="O144" i="20"/>
  <c r="N144" i="20"/>
  <c r="P143" i="20"/>
  <c r="O143" i="20"/>
  <c r="N143" i="20"/>
  <c r="P142" i="20"/>
  <c r="O142" i="20"/>
  <c r="N142" i="20"/>
  <c r="P141" i="20"/>
  <c r="O141" i="20"/>
  <c r="N141" i="20"/>
  <c r="P140" i="20"/>
  <c r="O140" i="20"/>
  <c r="N140" i="20"/>
  <c r="P139" i="20"/>
  <c r="O139" i="20"/>
  <c r="N139" i="20"/>
  <c r="P138" i="20"/>
  <c r="O138" i="20"/>
  <c r="N138" i="20"/>
  <c r="P137" i="20"/>
  <c r="O137" i="20"/>
  <c r="N137" i="20"/>
  <c r="R136" i="20"/>
  <c r="Q136" i="20"/>
  <c r="P136" i="20"/>
  <c r="N136" i="20"/>
  <c r="K131" i="20"/>
  <c r="J131" i="20"/>
  <c r="I131" i="20"/>
  <c r="H131" i="20"/>
  <c r="O131" i="20" s="1"/>
  <c r="V131" i="20" s="1"/>
  <c r="G131" i="20"/>
  <c r="F131" i="20"/>
  <c r="E131" i="20"/>
  <c r="D131" i="20"/>
  <c r="C131" i="20"/>
  <c r="K130" i="20"/>
  <c r="J130" i="20"/>
  <c r="I130" i="20"/>
  <c r="H130" i="20"/>
  <c r="G130" i="20"/>
  <c r="F130" i="20"/>
  <c r="E130" i="20"/>
  <c r="D130" i="20"/>
  <c r="C130" i="20"/>
  <c r="K129" i="20"/>
  <c r="J129" i="20"/>
  <c r="I129" i="20"/>
  <c r="H129" i="20"/>
  <c r="O129" i="20" s="1"/>
  <c r="G129" i="20"/>
  <c r="F129" i="20"/>
  <c r="E129" i="20"/>
  <c r="D129" i="20"/>
  <c r="C129" i="20"/>
  <c r="K128" i="20"/>
  <c r="J128" i="20"/>
  <c r="I128" i="20"/>
  <c r="H128" i="20"/>
  <c r="G128" i="20"/>
  <c r="F128" i="20"/>
  <c r="E128" i="20"/>
  <c r="D128" i="20"/>
  <c r="C128" i="20"/>
  <c r="K127" i="20"/>
  <c r="J127" i="20"/>
  <c r="I127" i="20"/>
  <c r="H127" i="20"/>
  <c r="G127" i="20"/>
  <c r="F127" i="20"/>
  <c r="E127" i="20"/>
  <c r="D127" i="20"/>
  <c r="C127" i="20"/>
  <c r="K126" i="20"/>
  <c r="J126" i="20"/>
  <c r="I126" i="20"/>
  <c r="H126" i="20"/>
  <c r="O126" i="20" s="1"/>
  <c r="V126" i="20" s="1"/>
  <c r="G126" i="20"/>
  <c r="F126" i="20"/>
  <c r="E126" i="20"/>
  <c r="D126" i="20"/>
  <c r="C126" i="20"/>
  <c r="K125" i="20"/>
  <c r="J125" i="20"/>
  <c r="I125" i="20"/>
  <c r="H125" i="20"/>
  <c r="O125" i="20" s="1"/>
  <c r="G125" i="20"/>
  <c r="F125" i="20"/>
  <c r="E125" i="20"/>
  <c r="D125" i="20"/>
  <c r="C125" i="20"/>
  <c r="K124" i="20"/>
  <c r="J124" i="20"/>
  <c r="I124" i="20"/>
  <c r="H124" i="20"/>
  <c r="O124" i="20" s="1"/>
  <c r="G124" i="20"/>
  <c r="F124" i="20"/>
  <c r="E124" i="20"/>
  <c r="D124" i="20"/>
  <c r="C124" i="20"/>
  <c r="K123" i="20"/>
  <c r="J123" i="20"/>
  <c r="I123" i="20"/>
  <c r="H123" i="20"/>
  <c r="O123" i="20" s="1"/>
  <c r="V123" i="20" s="1"/>
  <c r="G123" i="20"/>
  <c r="F123" i="20"/>
  <c r="E123" i="20"/>
  <c r="D123" i="20"/>
  <c r="C123" i="20"/>
  <c r="K122" i="20"/>
  <c r="J122" i="20"/>
  <c r="I122" i="20"/>
  <c r="H122" i="20"/>
  <c r="G122" i="20"/>
  <c r="F122" i="20"/>
  <c r="E122" i="20"/>
  <c r="D122" i="20"/>
  <c r="C122" i="20"/>
  <c r="K121" i="20"/>
  <c r="J121" i="20"/>
  <c r="I121" i="20"/>
  <c r="H121" i="20"/>
  <c r="O121" i="20" s="1"/>
  <c r="G121" i="20"/>
  <c r="F121" i="20"/>
  <c r="E121" i="20"/>
  <c r="D121" i="20"/>
  <c r="C121" i="20"/>
  <c r="K120" i="20"/>
  <c r="J120" i="20"/>
  <c r="I120" i="20"/>
  <c r="H120" i="20"/>
  <c r="G120" i="20"/>
  <c r="F120" i="20"/>
  <c r="E120" i="20"/>
  <c r="D120" i="20"/>
  <c r="C120" i="20"/>
  <c r="K119" i="20"/>
  <c r="J119" i="20"/>
  <c r="I119" i="20"/>
  <c r="H119" i="20"/>
  <c r="O119" i="20" s="1"/>
  <c r="G119" i="20"/>
  <c r="F119" i="20"/>
  <c r="E119" i="20"/>
  <c r="D119" i="20"/>
  <c r="C119" i="20"/>
  <c r="K118" i="20"/>
  <c r="J118" i="20"/>
  <c r="I118" i="20"/>
  <c r="H118" i="20"/>
  <c r="O118" i="20" s="1"/>
  <c r="V118" i="20" s="1"/>
  <c r="G118" i="20"/>
  <c r="F118" i="20"/>
  <c r="E118" i="20"/>
  <c r="D118" i="20"/>
  <c r="C118" i="20"/>
  <c r="K117" i="20"/>
  <c r="J117" i="20"/>
  <c r="I117" i="20"/>
  <c r="H117" i="20"/>
  <c r="O117" i="20" s="1"/>
  <c r="G117" i="20"/>
  <c r="F117" i="20"/>
  <c r="E117" i="20"/>
  <c r="D117" i="20"/>
  <c r="C117" i="20"/>
  <c r="K116" i="20"/>
  <c r="J116" i="20"/>
  <c r="I116" i="20"/>
  <c r="H116" i="20"/>
  <c r="O116" i="20" s="1"/>
  <c r="G116" i="20"/>
  <c r="F116" i="20"/>
  <c r="E116" i="20"/>
  <c r="D116" i="20"/>
  <c r="C116" i="20"/>
  <c r="K115" i="20"/>
  <c r="J115" i="20"/>
  <c r="I115" i="20"/>
  <c r="H115" i="20"/>
  <c r="O115" i="20" s="1"/>
  <c r="V115" i="20" s="1"/>
  <c r="G115" i="20"/>
  <c r="F115" i="20"/>
  <c r="E115" i="20"/>
  <c r="D115" i="20"/>
  <c r="C115" i="20"/>
  <c r="K114" i="20"/>
  <c r="J114" i="20"/>
  <c r="I114" i="20"/>
  <c r="H114" i="20"/>
  <c r="G114" i="20"/>
  <c r="F114" i="20"/>
  <c r="E114" i="20"/>
  <c r="D114" i="20"/>
  <c r="C114" i="20"/>
  <c r="K113" i="20"/>
  <c r="J113" i="20"/>
  <c r="I113" i="20"/>
  <c r="H113" i="20"/>
  <c r="O113" i="20" s="1"/>
  <c r="G113" i="20"/>
  <c r="F113" i="20"/>
  <c r="E113" i="20"/>
  <c r="D113" i="20"/>
  <c r="C113" i="20"/>
  <c r="K112" i="20"/>
  <c r="J112" i="20"/>
  <c r="I112" i="20"/>
  <c r="H112" i="20"/>
  <c r="G112" i="20"/>
  <c r="F112" i="20"/>
  <c r="E112" i="20"/>
  <c r="D112" i="20"/>
  <c r="C112" i="20"/>
  <c r="K111" i="20"/>
  <c r="J111" i="20"/>
  <c r="I111" i="20"/>
  <c r="H111" i="20"/>
  <c r="O111" i="20" s="1"/>
  <c r="G111" i="20"/>
  <c r="F111" i="20"/>
  <c r="E111" i="20"/>
  <c r="D111" i="20"/>
  <c r="C111" i="20"/>
  <c r="K110" i="20"/>
  <c r="J110" i="20"/>
  <c r="I110" i="20"/>
  <c r="H110" i="20"/>
  <c r="O110" i="20" s="1"/>
  <c r="G110" i="20"/>
  <c r="F110" i="20"/>
  <c r="E110" i="20"/>
  <c r="D110" i="20"/>
  <c r="C110" i="20"/>
  <c r="K109" i="20"/>
  <c r="J109" i="20"/>
  <c r="I109" i="20"/>
  <c r="H109" i="20"/>
  <c r="O109" i="20" s="1"/>
  <c r="G109" i="20"/>
  <c r="F109" i="20"/>
  <c r="E109" i="20"/>
  <c r="D109" i="20"/>
  <c r="C109" i="20"/>
  <c r="K108" i="20"/>
  <c r="J108" i="20"/>
  <c r="I108" i="20"/>
  <c r="H108" i="20"/>
  <c r="O108" i="20" s="1"/>
  <c r="G108" i="20"/>
  <c r="F108" i="20"/>
  <c r="E108" i="20"/>
  <c r="D108" i="20"/>
  <c r="C108" i="20"/>
  <c r="K107" i="20"/>
  <c r="J107" i="20"/>
  <c r="I107" i="20"/>
  <c r="H107" i="20"/>
  <c r="O107" i="20" s="1"/>
  <c r="V107" i="20" s="1"/>
  <c r="G107" i="20"/>
  <c r="F107" i="20"/>
  <c r="E107" i="20"/>
  <c r="D107" i="20"/>
  <c r="C107" i="20"/>
  <c r="K106" i="20"/>
  <c r="J106" i="20"/>
  <c r="I106" i="20"/>
  <c r="H106" i="20"/>
  <c r="G106" i="20"/>
  <c r="F106" i="20"/>
  <c r="E106" i="20"/>
  <c r="D106" i="20"/>
  <c r="C106" i="20"/>
  <c r="K105" i="20"/>
  <c r="J105" i="20"/>
  <c r="I105" i="20"/>
  <c r="H105" i="20"/>
  <c r="O105" i="20" s="1"/>
  <c r="G105" i="20"/>
  <c r="F105" i="20"/>
  <c r="E105" i="20"/>
  <c r="D105" i="20"/>
  <c r="C105" i="20"/>
  <c r="K104" i="20"/>
  <c r="J104" i="20"/>
  <c r="I104" i="20"/>
  <c r="H104" i="20"/>
  <c r="G104" i="20"/>
  <c r="F104" i="20"/>
  <c r="E104" i="20"/>
  <c r="D104" i="20"/>
  <c r="C104" i="20"/>
  <c r="K103" i="20"/>
  <c r="J103" i="20"/>
  <c r="I103" i="20"/>
  <c r="H103" i="20"/>
  <c r="O103" i="20" s="1"/>
  <c r="G103" i="20"/>
  <c r="F103" i="20"/>
  <c r="E103" i="20"/>
  <c r="D103" i="20"/>
  <c r="C103" i="20"/>
  <c r="K102" i="20"/>
  <c r="J102" i="20"/>
  <c r="I102" i="20"/>
  <c r="H102" i="20"/>
  <c r="O102" i="20" s="1"/>
  <c r="G102" i="20"/>
  <c r="F102" i="20"/>
  <c r="E102" i="20"/>
  <c r="D102" i="20"/>
  <c r="C102" i="20"/>
  <c r="K101" i="20"/>
  <c r="J101" i="20"/>
  <c r="I101" i="20"/>
  <c r="H101" i="20"/>
  <c r="O101" i="20" s="1"/>
  <c r="G101" i="20"/>
  <c r="F101" i="20"/>
  <c r="E101" i="20"/>
  <c r="D101" i="20"/>
  <c r="C101" i="20"/>
  <c r="K100" i="20"/>
  <c r="J100" i="20"/>
  <c r="I100" i="20"/>
  <c r="H100" i="20"/>
  <c r="O100" i="20" s="1"/>
  <c r="G100" i="20"/>
  <c r="F100" i="20"/>
  <c r="E100" i="20"/>
  <c r="D100" i="20"/>
  <c r="C100" i="20"/>
  <c r="K99" i="20"/>
  <c r="J99" i="20"/>
  <c r="I99" i="20"/>
  <c r="H99" i="20"/>
  <c r="O99" i="20" s="1"/>
  <c r="V99" i="20" s="1"/>
  <c r="G99" i="20"/>
  <c r="F99" i="20"/>
  <c r="E99" i="20"/>
  <c r="D99" i="20"/>
  <c r="C99" i="20"/>
  <c r="K98" i="20"/>
  <c r="J98" i="20"/>
  <c r="I98" i="20"/>
  <c r="H98" i="20"/>
  <c r="G98" i="20"/>
  <c r="F98" i="20"/>
  <c r="E98" i="20"/>
  <c r="D98" i="20"/>
  <c r="C98" i="20"/>
  <c r="K97" i="20"/>
  <c r="J97" i="20"/>
  <c r="I97" i="20"/>
  <c r="H97" i="20"/>
  <c r="O97" i="20" s="1"/>
  <c r="G97" i="20"/>
  <c r="F97" i="20"/>
  <c r="E97" i="20"/>
  <c r="D97" i="20"/>
  <c r="C97" i="20"/>
  <c r="K96" i="20"/>
  <c r="J96" i="20"/>
  <c r="I96" i="20"/>
  <c r="H96" i="20"/>
  <c r="G96" i="20"/>
  <c r="F96" i="20"/>
  <c r="E96" i="20"/>
  <c r="D96" i="20"/>
  <c r="C96" i="20"/>
  <c r="K95" i="20"/>
  <c r="J95" i="20"/>
  <c r="I95" i="20"/>
  <c r="H95" i="20"/>
  <c r="O95" i="20" s="1"/>
  <c r="G95" i="20"/>
  <c r="F95" i="20"/>
  <c r="E95" i="20"/>
  <c r="D95" i="20"/>
  <c r="C95" i="20"/>
  <c r="K94" i="20"/>
  <c r="J94" i="20"/>
  <c r="I94" i="20"/>
  <c r="H94" i="20"/>
  <c r="O94" i="20" s="1"/>
  <c r="G94" i="20"/>
  <c r="F94" i="20"/>
  <c r="E94" i="20"/>
  <c r="D94" i="20"/>
  <c r="C94" i="20"/>
  <c r="K93" i="20"/>
  <c r="J93" i="20"/>
  <c r="I93" i="20"/>
  <c r="H93" i="20"/>
  <c r="O93" i="20" s="1"/>
  <c r="G93" i="20"/>
  <c r="F93" i="20"/>
  <c r="E93" i="20"/>
  <c r="D93" i="20"/>
  <c r="C93" i="20"/>
  <c r="K92" i="20"/>
  <c r="J92" i="20"/>
  <c r="I92" i="20"/>
  <c r="H92" i="20"/>
  <c r="O92" i="20" s="1"/>
  <c r="G92" i="20"/>
  <c r="F92" i="20"/>
  <c r="E92" i="20"/>
  <c r="D92" i="20"/>
  <c r="C92" i="20"/>
  <c r="K91" i="20"/>
  <c r="J91" i="20"/>
  <c r="I91" i="20"/>
  <c r="H91" i="20"/>
  <c r="O91" i="20" s="1"/>
  <c r="V91" i="20" s="1"/>
  <c r="G91" i="20"/>
  <c r="F91" i="20"/>
  <c r="E91" i="20"/>
  <c r="D91" i="20"/>
  <c r="C91" i="20"/>
  <c r="K90" i="20"/>
  <c r="J90" i="20"/>
  <c r="I90" i="20"/>
  <c r="H90" i="20"/>
  <c r="G90" i="20"/>
  <c r="F90" i="20"/>
  <c r="E90" i="20"/>
  <c r="D90" i="20"/>
  <c r="C90" i="20"/>
  <c r="K89" i="20"/>
  <c r="J89" i="20"/>
  <c r="I89" i="20"/>
  <c r="H89" i="20"/>
  <c r="O89" i="20" s="1"/>
  <c r="G89" i="20"/>
  <c r="F89" i="20"/>
  <c r="E89" i="20"/>
  <c r="D89" i="20"/>
  <c r="C89" i="20"/>
  <c r="K88" i="20"/>
  <c r="J88" i="20"/>
  <c r="I88" i="20"/>
  <c r="H88" i="20"/>
  <c r="G88" i="20"/>
  <c r="F88" i="20"/>
  <c r="E88" i="20"/>
  <c r="D88" i="20"/>
  <c r="C88" i="20"/>
  <c r="K87" i="20"/>
  <c r="J87" i="20"/>
  <c r="I87" i="20"/>
  <c r="H87" i="20"/>
  <c r="O87" i="20" s="1"/>
  <c r="G87" i="20"/>
  <c r="F87" i="20"/>
  <c r="E87" i="20"/>
  <c r="D87" i="20"/>
  <c r="C87" i="20"/>
  <c r="K86" i="20"/>
  <c r="J86" i="20"/>
  <c r="I86" i="20"/>
  <c r="H86" i="20"/>
  <c r="O86" i="20" s="1"/>
  <c r="V86" i="20" s="1"/>
  <c r="X86" i="20" s="1"/>
  <c r="G86" i="20"/>
  <c r="F86" i="20"/>
  <c r="E86" i="20"/>
  <c r="D86" i="20"/>
  <c r="C86" i="20"/>
  <c r="K85" i="20"/>
  <c r="J85" i="20"/>
  <c r="I85" i="20"/>
  <c r="H85" i="20"/>
  <c r="O85" i="20" s="1"/>
  <c r="G85" i="20"/>
  <c r="F85" i="20"/>
  <c r="E85" i="20"/>
  <c r="D85" i="20"/>
  <c r="C85" i="20"/>
  <c r="Y84" i="20"/>
  <c r="W84" i="20"/>
  <c r="U84" i="20"/>
  <c r="Y72" i="20"/>
  <c r="U72" i="20"/>
  <c r="T72" i="20"/>
  <c r="Y71" i="20"/>
  <c r="U71" i="20"/>
  <c r="T71" i="20"/>
  <c r="Y70" i="20"/>
  <c r="U70" i="20"/>
  <c r="T70" i="20"/>
  <c r="Y69" i="20"/>
  <c r="U69" i="20"/>
  <c r="T69" i="20"/>
  <c r="Y68" i="20"/>
  <c r="U68" i="20"/>
  <c r="T68" i="20"/>
  <c r="Y67" i="20"/>
  <c r="U67" i="20"/>
  <c r="T67" i="20"/>
  <c r="Y66" i="20"/>
  <c r="U66" i="20"/>
  <c r="T66" i="20"/>
  <c r="Y65" i="20"/>
  <c r="U65" i="20"/>
  <c r="T65" i="20"/>
  <c r="Y64" i="20"/>
  <c r="U64" i="20"/>
  <c r="T64" i="20"/>
  <c r="Y63" i="20"/>
  <c r="U63" i="20"/>
  <c r="T63" i="20"/>
  <c r="Y62" i="20"/>
  <c r="U62" i="20"/>
  <c r="Y61" i="20"/>
  <c r="U61" i="20"/>
  <c r="Y60" i="20"/>
  <c r="U60" i="20"/>
  <c r="Y59" i="20"/>
  <c r="U59" i="20"/>
  <c r="Y58" i="20"/>
  <c r="U58" i="20"/>
  <c r="Y57" i="20"/>
  <c r="U57" i="20"/>
  <c r="Y56" i="20"/>
  <c r="U56" i="20"/>
  <c r="Y55" i="20"/>
  <c r="U55" i="20"/>
  <c r="Y54" i="20"/>
  <c r="U54" i="20"/>
  <c r="Y53" i="20"/>
  <c r="U53" i="20"/>
  <c r="Y52" i="20"/>
  <c r="U52" i="20"/>
  <c r="Y51" i="20"/>
  <c r="U51" i="20"/>
  <c r="Y50" i="20"/>
  <c r="U50" i="20"/>
  <c r="Y49" i="20"/>
  <c r="U49" i="20"/>
  <c r="Y48" i="20"/>
  <c r="U48" i="20"/>
  <c r="Y47" i="20"/>
  <c r="U47" i="20"/>
  <c r="Y46" i="20"/>
  <c r="U46" i="20"/>
  <c r="Y45" i="20"/>
  <c r="U45" i="20"/>
  <c r="Y44" i="20"/>
  <c r="U44" i="20"/>
  <c r="Y43" i="20"/>
  <c r="U43" i="20"/>
  <c r="Y42" i="20"/>
  <c r="U42" i="20"/>
  <c r="Y41" i="20"/>
  <c r="U41" i="20"/>
  <c r="Y40" i="20"/>
  <c r="U40" i="20"/>
  <c r="Y39" i="20"/>
  <c r="U39" i="20"/>
  <c r="Y38" i="20"/>
  <c r="U38" i="20"/>
  <c r="Y37" i="20"/>
  <c r="U37" i="20"/>
  <c r="Y36" i="20"/>
  <c r="U36" i="20"/>
  <c r="Y35" i="20"/>
  <c r="U35" i="20"/>
  <c r="Y34" i="20"/>
  <c r="U34" i="20"/>
  <c r="Y33" i="20"/>
  <c r="U33" i="20"/>
  <c r="Y32" i="20"/>
  <c r="U32" i="20"/>
  <c r="Y31" i="20"/>
  <c r="U31" i="20"/>
  <c r="T31" i="20"/>
  <c r="Y30" i="20"/>
  <c r="U30" i="20"/>
  <c r="T30" i="20"/>
  <c r="Y29" i="20"/>
  <c r="U29" i="20"/>
  <c r="T29" i="20"/>
  <c r="Y28" i="20"/>
  <c r="U28" i="20"/>
  <c r="T28" i="20"/>
  <c r="Y27" i="20"/>
  <c r="U27" i="20"/>
  <c r="T27" i="20"/>
  <c r="Y26" i="20"/>
  <c r="U26" i="20"/>
  <c r="T26" i="20"/>
  <c r="U23" i="20"/>
  <c r="N5" i="20"/>
  <c r="N2" i="20"/>
  <c r="I2" i="20"/>
  <c r="A1" i="20"/>
  <c r="P183" i="19"/>
  <c r="O183" i="19"/>
  <c r="N183" i="19"/>
  <c r="P182" i="19"/>
  <c r="O182" i="19"/>
  <c r="N182" i="19"/>
  <c r="P181" i="19"/>
  <c r="O181" i="19"/>
  <c r="N181" i="19"/>
  <c r="P180" i="19"/>
  <c r="O180" i="19"/>
  <c r="N180" i="19"/>
  <c r="P179" i="19"/>
  <c r="O179" i="19"/>
  <c r="N179" i="19"/>
  <c r="P178" i="19"/>
  <c r="O178" i="19"/>
  <c r="N178" i="19"/>
  <c r="P177" i="19"/>
  <c r="O177" i="19"/>
  <c r="N177" i="19"/>
  <c r="P176" i="19"/>
  <c r="O176" i="19"/>
  <c r="N176" i="19"/>
  <c r="P175" i="19"/>
  <c r="O175" i="19"/>
  <c r="N175" i="19"/>
  <c r="P174" i="19"/>
  <c r="O174" i="19"/>
  <c r="N174" i="19"/>
  <c r="P173" i="19"/>
  <c r="O173" i="19"/>
  <c r="N173" i="19"/>
  <c r="P172" i="19"/>
  <c r="O172" i="19"/>
  <c r="N172" i="19"/>
  <c r="P171" i="19"/>
  <c r="O171" i="19"/>
  <c r="N171" i="19"/>
  <c r="P170" i="19"/>
  <c r="O170" i="19"/>
  <c r="N170" i="19"/>
  <c r="P169" i="19"/>
  <c r="O169" i="19"/>
  <c r="N169" i="19"/>
  <c r="P168" i="19"/>
  <c r="O168" i="19"/>
  <c r="N168" i="19"/>
  <c r="P167" i="19"/>
  <c r="O167" i="19"/>
  <c r="N167" i="19"/>
  <c r="P166" i="19"/>
  <c r="O166" i="19"/>
  <c r="N166" i="19"/>
  <c r="P165" i="19"/>
  <c r="O165" i="19"/>
  <c r="N165" i="19"/>
  <c r="P164" i="19"/>
  <c r="O164" i="19"/>
  <c r="N164" i="19"/>
  <c r="P163" i="19"/>
  <c r="O163" i="19"/>
  <c r="N163" i="19"/>
  <c r="P162" i="19"/>
  <c r="O162" i="19"/>
  <c r="N162" i="19"/>
  <c r="P161" i="19"/>
  <c r="O161" i="19"/>
  <c r="N161" i="19"/>
  <c r="P160" i="19"/>
  <c r="O160" i="19"/>
  <c r="N160" i="19"/>
  <c r="P159" i="19"/>
  <c r="O159" i="19"/>
  <c r="N159" i="19"/>
  <c r="P158" i="19"/>
  <c r="O158" i="19"/>
  <c r="N158" i="19"/>
  <c r="P157" i="19"/>
  <c r="O157" i="19"/>
  <c r="N157" i="19"/>
  <c r="P156" i="19"/>
  <c r="O156" i="19"/>
  <c r="N156" i="19"/>
  <c r="P155" i="19"/>
  <c r="O155" i="19"/>
  <c r="N155" i="19"/>
  <c r="P154" i="19"/>
  <c r="O154" i="19"/>
  <c r="N154" i="19"/>
  <c r="P153" i="19"/>
  <c r="O153" i="19"/>
  <c r="N153" i="19"/>
  <c r="P152" i="19"/>
  <c r="O152" i="19"/>
  <c r="N152" i="19"/>
  <c r="P151" i="19"/>
  <c r="O151" i="19"/>
  <c r="N151" i="19"/>
  <c r="P150" i="19"/>
  <c r="O150" i="19"/>
  <c r="N150" i="19"/>
  <c r="P149" i="19"/>
  <c r="O149" i="19"/>
  <c r="N149" i="19"/>
  <c r="P148" i="19"/>
  <c r="O148" i="19"/>
  <c r="N148" i="19"/>
  <c r="P147" i="19"/>
  <c r="O147" i="19"/>
  <c r="N147" i="19"/>
  <c r="P146" i="19"/>
  <c r="O146" i="19"/>
  <c r="N146" i="19"/>
  <c r="P145" i="19"/>
  <c r="O145" i="19"/>
  <c r="N145" i="19"/>
  <c r="P144" i="19"/>
  <c r="O144" i="19"/>
  <c r="N144" i="19"/>
  <c r="P143" i="19"/>
  <c r="O143" i="19"/>
  <c r="N143" i="19"/>
  <c r="P142" i="19"/>
  <c r="O142" i="19"/>
  <c r="N142" i="19"/>
  <c r="P141" i="19"/>
  <c r="O141" i="19"/>
  <c r="N141" i="19"/>
  <c r="P140" i="19"/>
  <c r="O140" i="19"/>
  <c r="N140" i="19"/>
  <c r="P139" i="19"/>
  <c r="O139" i="19"/>
  <c r="N139" i="19"/>
  <c r="P138" i="19"/>
  <c r="O138" i="19"/>
  <c r="N138" i="19"/>
  <c r="P137" i="19"/>
  <c r="O137" i="19"/>
  <c r="N137" i="19"/>
  <c r="R136" i="19"/>
  <c r="Q136" i="19"/>
  <c r="P136" i="19"/>
  <c r="N136" i="19"/>
  <c r="K131" i="19"/>
  <c r="J131" i="19"/>
  <c r="I131" i="19"/>
  <c r="H131" i="19"/>
  <c r="G131" i="19"/>
  <c r="F131" i="19"/>
  <c r="E131" i="19"/>
  <c r="D131" i="19"/>
  <c r="C131" i="19"/>
  <c r="K130" i="19"/>
  <c r="J130" i="19"/>
  <c r="I130" i="19"/>
  <c r="H130" i="19"/>
  <c r="O130" i="19" s="1"/>
  <c r="G130" i="19"/>
  <c r="F130" i="19"/>
  <c r="E130" i="19"/>
  <c r="D130" i="19"/>
  <c r="C130" i="19"/>
  <c r="K129" i="19"/>
  <c r="J129" i="19"/>
  <c r="I129" i="19"/>
  <c r="H129" i="19"/>
  <c r="G129" i="19"/>
  <c r="F129" i="19"/>
  <c r="E129" i="19"/>
  <c r="D129" i="19"/>
  <c r="C129" i="19"/>
  <c r="K128" i="19"/>
  <c r="J128" i="19"/>
  <c r="I128" i="19"/>
  <c r="H128" i="19"/>
  <c r="O128" i="19" s="1"/>
  <c r="G128" i="19"/>
  <c r="F128" i="19"/>
  <c r="E128" i="19"/>
  <c r="D128" i="19"/>
  <c r="C128" i="19"/>
  <c r="K127" i="19"/>
  <c r="J127" i="19"/>
  <c r="I127" i="19"/>
  <c r="H127" i="19"/>
  <c r="O127" i="19" s="1"/>
  <c r="G127" i="19"/>
  <c r="F127" i="19"/>
  <c r="E127" i="19"/>
  <c r="D127" i="19"/>
  <c r="C127" i="19"/>
  <c r="K126" i="19"/>
  <c r="J126" i="19"/>
  <c r="I126" i="19"/>
  <c r="H126" i="19"/>
  <c r="O126" i="19" s="1"/>
  <c r="V126" i="19" s="1"/>
  <c r="G126" i="19"/>
  <c r="F126" i="19"/>
  <c r="E126" i="19"/>
  <c r="D126" i="19"/>
  <c r="C126" i="19"/>
  <c r="K125" i="19"/>
  <c r="J125" i="19"/>
  <c r="I125" i="19"/>
  <c r="H125" i="19"/>
  <c r="O125" i="19" s="1"/>
  <c r="G125" i="19"/>
  <c r="F125" i="19"/>
  <c r="E125" i="19"/>
  <c r="D125" i="19"/>
  <c r="C125" i="19"/>
  <c r="K124" i="19"/>
  <c r="J124" i="19"/>
  <c r="I124" i="19"/>
  <c r="H124" i="19"/>
  <c r="G124" i="19"/>
  <c r="F124" i="19"/>
  <c r="E124" i="19"/>
  <c r="D124" i="19"/>
  <c r="C124" i="19"/>
  <c r="K123" i="19"/>
  <c r="J123" i="19"/>
  <c r="I123" i="19"/>
  <c r="H123" i="19"/>
  <c r="G123" i="19"/>
  <c r="F123" i="19"/>
  <c r="E123" i="19"/>
  <c r="D123" i="19"/>
  <c r="C123" i="19"/>
  <c r="K122" i="19"/>
  <c r="J122" i="19"/>
  <c r="I122" i="19"/>
  <c r="H122" i="19"/>
  <c r="O122" i="19" s="1"/>
  <c r="G122" i="19"/>
  <c r="F122" i="19"/>
  <c r="E122" i="19"/>
  <c r="D122" i="19"/>
  <c r="C122" i="19"/>
  <c r="K121" i="19"/>
  <c r="J121" i="19"/>
  <c r="I121" i="19"/>
  <c r="H121" i="19"/>
  <c r="G121" i="19"/>
  <c r="F121" i="19"/>
  <c r="E121" i="19"/>
  <c r="D121" i="19"/>
  <c r="C121" i="19"/>
  <c r="K120" i="19"/>
  <c r="J120" i="19"/>
  <c r="I120" i="19"/>
  <c r="H120" i="19"/>
  <c r="O120" i="19" s="1"/>
  <c r="G120" i="19"/>
  <c r="F120" i="19"/>
  <c r="E120" i="19"/>
  <c r="D120" i="19"/>
  <c r="C120" i="19"/>
  <c r="K119" i="19"/>
  <c r="J119" i="19"/>
  <c r="I119" i="19"/>
  <c r="H119" i="19"/>
  <c r="O119" i="19" s="1"/>
  <c r="G119" i="19"/>
  <c r="F119" i="19"/>
  <c r="E119" i="19"/>
  <c r="D119" i="19"/>
  <c r="C119" i="19"/>
  <c r="K118" i="19"/>
  <c r="J118" i="19"/>
  <c r="I118" i="19"/>
  <c r="H118" i="19"/>
  <c r="O118" i="19" s="1"/>
  <c r="G118" i="19"/>
  <c r="F118" i="19"/>
  <c r="E118" i="19"/>
  <c r="D118" i="19"/>
  <c r="C118" i="19"/>
  <c r="K117" i="19"/>
  <c r="J117" i="19"/>
  <c r="I117" i="19"/>
  <c r="H117" i="19"/>
  <c r="O117" i="19" s="1"/>
  <c r="G117" i="19"/>
  <c r="F117" i="19"/>
  <c r="E117" i="19"/>
  <c r="D117" i="19"/>
  <c r="C117" i="19"/>
  <c r="K116" i="19"/>
  <c r="J116" i="19"/>
  <c r="I116" i="19"/>
  <c r="H116" i="19"/>
  <c r="G116" i="19"/>
  <c r="F116" i="19"/>
  <c r="E116" i="19"/>
  <c r="D116" i="19"/>
  <c r="C116" i="19"/>
  <c r="K115" i="19"/>
  <c r="J115" i="19"/>
  <c r="I115" i="19"/>
  <c r="H115" i="19"/>
  <c r="G115" i="19"/>
  <c r="F115" i="19"/>
  <c r="E115" i="19"/>
  <c r="D115" i="19"/>
  <c r="C115" i="19"/>
  <c r="K114" i="19"/>
  <c r="J114" i="19"/>
  <c r="I114" i="19"/>
  <c r="H114" i="19"/>
  <c r="O114" i="19" s="1"/>
  <c r="G114" i="19"/>
  <c r="F114" i="19"/>
  <c r="E114" i="19"/>
  <c r="D114" i="19"/>
  <c r="C114" i="19"/>
  <c r="K113" i="19"/>
  <c r="J113" i="19"/>
  <c r="I113" i="19"/>
  <c r="H113" i="19"/>
  <c r="G113" i="19"/>
  <c r="F113" i="19"/>
  <c r="E113" i="19"/>
  <c r="D113" i="19"/>
  <c r="C113" i="19"/>
  <c r="K112" i="19"/>
  <c r="J112" i="19"/>
  <c r="I112" i="19"/>
  <c r="H112" i="19"/>
  <c r="G112" i="19"/>
  <c r="F112" i="19"/>
  <c r="E112" i="19"/>
  <c r="D112" i="19"/>
  <c r="C112" i="19"/>
  <c r="K111" i="19"/>
  <c r="J111" i="19"/>
  <c r="I111" i="19"/>
  <c r="H111" i="19"/>
  <c r="O111" i="19" s="1"/>
  <c r="G111" i="19"/>
  <c r="F111" i="19"/>
  <c r="E111" i="19"/>
  <c r="D111" i="19"/>
  <c r="C111" i="19"/>
  <c r="K110" i="19"/>
  <c r="J110" i="19"/>
  <c r="I110" i="19"/>
  <c r="H110" i="19"/>
  <c r="G110" i="19"/>
  <c r="F110" i="19"/>
  <c r="E110" i="19"/>
  <c r="D110" i="19"/>
  <c r="C110" i="19"/>
  <c r="K109" i="19"/>
  <c r="J109" i="19"/>
  <c r="I109" i="19"/>
  <c r="H109" i="19"/>
  <c r="O109" i="19" s="1"/>
  <c r="G109" i="19"/>
  <c r="F109" i="19"/>
  <c r="E109" i="19"/>
  <c r="D109" i="19"/>
  <c r="C109" i="19"/>
  <c r="K108" i="19"/>
  <c r="J108" i="19"/>
  <c r="I108" i="19"/>
  <c r="H108" i="19"/>
  <c r="G108" i="19"/>
  <c r="F108" i="19"/>
  <c r="E108" i="19"/>
  <c r="D108" i="19"/>
  <c r="C108" i="19"/>
  <c r="K107" i="19"/>
  <c r="J107" i="19"/>
  <c r="I107" i="19"/>
  <c r="H107" i="19"/>
  <c r="G107" i="19"/>
  <c r="F107" i="19"/>
  <c r="E107" i="19"/>
  <c r="D107" i="19"/>
  <c r="C107" i="19"/>
  <c r="K106" i="19"/>
  <c r="J106" i="19"/>
  <c r="I106" i="19"/>
  <c r="H106" i="19"/>
  <c r="O106" i="19" s="1"/>
  <c r="G106" i="19"/>
  <c r="F106" i="19"/>
  <c r="E106" i="19"/>
  <c r="D106" i="19"/>
  <c r="C106" i="19"/>
  <c r="K105" i="19"/>
  <c r="J105" i="19"/>
  <c r="I105" i="19"/>
  <c r="H105" i="19"/>
  <c r="G105" i="19"/>
  <c r="F105" i="19"/>
  <c r="E105" i="19"/>
  <c r="D105" i="19"/>
  <c r="C105" i="19"/>
  <c r="K104" i="19"/>
  <c r="J104" i="19"/>
  <c r="I104" i="19"/>
  <c r="H104" i="19"/>
  <c r="G104" i="19"/>
  <c r="F104" i="19"/>
  <c r="E104" i="19"/>
  <c r="D104" i="19"/>
  <c r="C104" i="19"/>
  <c r="K103" i="19"/>
  <c r="J103" i="19"/>
  <c r="I103" i="19"/>
  <c r="H103" i="19"/>
  <c r="O103" i="19" s="1"/>
  <c r="V103" i="19" s="1"/>
  <c r="G103" i="19"/>
  <c r="F103" i="19"/>
  <c r="E103" i="19"/>
  <c r="D103" i="19"/>
  <c r="C103" i="19"/>
  <c r="K102" i="19"/>
  <c r="J102" i="19"/>
  <c r="I102" i="19"/>
  <c r="H102" i="19"/>
  <c r="G102" i="19"/>
  <c r="F102" i="19"/>
  <c r="E102" i="19"/>
  <c r="D102" i="19"/>
  <c r="C102" i="19"/>
  <c r="K101" i="19"/>
  <c r="J101" i="19"/>
  <c r="I101" i="19"/>
  <c r="H101" i="19"/>
  <c r="O101" i="19" s="1"/>
  <c r="G101" i="19"/>
  <c r="F101" i="19"/>
  <c r="E101" i="19"/>
  <c r="D101" i="19"/>
  <c r="C101" i="19"/>
  <c r="K100" i="19"/>
  <c r="J100" i="19"/>
  <c r="I100" i="19"/>
  <c r="H100" i="19"/>
  <c r="G100" i="19"/>
  <c r="F100" i="19"/>
  <c r="E100" i="19"/>
  <c r="D100" i="19"/>
  <c r="C100" i="19"/>
  <c r="K99" i="19"/>
  <c r="J99" i="19"/>
  <c r="I99" i="19"/>
  <c r="H99" i="19"/>
  <c r="G99" i="19"/>
  <c r="F99" i="19"/>
  <c r="E99" i="19"/>
  <c r="D99" i="19"/>
  <c r="C99" i="19"/>
  <c r="K98" i="19"/>
  <c r="J98" i="19"/>
  <c r="I98" i="19"/>
  <c r="H98" i="19"/>
  <c r="O98" i="19" s="1"/>
  <c r="G98" i="19"/>
  <c r="F98" i="19"/>
  <c r="E98" i="19"/>
  <c r="D98" i="19"/>
  <c r="C98" i="19"/>
  <c r="K97" i="19"/>
  <c r="J97" i="19"/>
  <c r="I97" i="19"/>
  <c r="H97" i="19"/>
  <c r="G97" i="19"/>
  <c r="F97" i="19"/>
  <c r="E97" i="19"/>
  <c r="D97" i="19"/>
  <c r="C97" i="19"/>
  <c r="K96" i="19"/>
  <c r="J96" i="19"/>
  <c r="I96" i="19"/>
  <c r="H96" i="19"/>
  <c r="O96" i="19" s="1"/>
  <c r="V96" i="19" s="1"/>
  <c r="G96" i="19"/>
  <c r="F96" i="19"/>
  <c r="E96" i="19"/>
  <c r="D96" i="19"/>
  <c r="C96" i="19"/>
  <c r="K95" i="19"/>
  <c r="J95" i="19"/>
  <c r="I95" i="19"/>
  <c r="H95" i="19"/>
  <c r="O95" i="19" s="1"/>
  <c r="V95" i="19" s="1"/>
  <c r="G95" i="19"/>
  <c r="F95" i="19"/>
  <c r="E95" i="19"/>
  <c r="D95" i="19"/>
  <c r="C95" i="19"/>
  <c r="K94" i="19"/>
  <c r="J94" i="19"/>
  <c r="I94" i="19"/>
  <c r="H94" i="19"/>
  <c r="G94" i="19"/>
  <c r="F94" i="19"/>
  <c r="E94" i="19"/>
  <c r="D94" i="19"/>
  <c r="C94" i="19"/>
  <c r="K93" i="19"/>
  <c r="J93" i="19"/>
  <c r="I93" i="19"/>
  <c r="H93" i="19"/>
  <c r="O93" i="19" s="1"/>
  <c r="V93" i="19" s="1"/>
  <c r="G93" i="19"/>
  <c r="F93" i="19"/>
  <c r="E93" i="19"/>
  <c r="D93" i="19"/>
  <c r="C93" i="19"/>
  <c r="K92" i="19"/>
  <c r="J92" i="19"/>
  <c r="I92" i="19"/>
  <c r="H92" i="19"/>
  <c r="O92" i="19" s="1"/>
  <c r="V92" i="19" s="1"/>
  <c r="G92" i="19"/>
  <c r="F92" i="19"/>
  <c r="E92" i="19"/>
  <c r="D92" i="19"/>
  <c r="C92" i="19"/>
  <c r="K91" i="19"/>
  <c r="J91" i="19"/>
  <c r="I91" i="19"/>
  <c r="H91" i="19"/>
  <c r="O91" i="19" s="1"/>
  <c r="V91" i="19" s="1"/>
  <c r="G91" i="19"/>
  <c r="F91" i="19"/>
  <c r="E91" i="19"/>
  <c r="D91" i="19"/>
  <c r="C91" i="19"/>
  <c r="K90" i="19"/>
  <c r="J90" i="19"/>
  <c r="I90" i="19"/>
  <c r="H90" i="19"/>
  <c r="O90" i="19" s="1"/>
  <c r="G90" i="19"/>
  <c r="F90" i="19"/>
  <c r="E90" i="19"/>
  <c r="D90" i="19"/>
  <c r="C90" i="19"/>
  <c r="K89" i="19"/>
  <c r="J89" i="19"/>
  <c r="I89" i="19"/>
  <c r="H89" i="19"/>
  <c r="G89" i="19"/>
  <c r="F89" i="19"/>
  <c r="E89" i="19"/>
  <c r="D89" i="19"/>
  <c r="C89" i="19"/>
  <c r="K88" i="19"/>
  <c r="J88" i="19"/>
  <c r="I88" i="19"/>
  <c r="H88" i="19"/>
  <c r="O88" i="19" s="1"/>
  <c r="V88" i="19" s="1"/>
  <c r="G88" i="19"/>
  <c r="F88" i="19"/>
  <c r="E88" i="19"/>
  <c r="D88" i="19"/>
  <c r="C88" i="19"/>
  <c r="K87" i="19"/>
  <c r="J87" i="19"/>
  <c r="I87" i="19"/>
  <c r="H87" i="19"/>
  <c r="O87" i="19" s="1"/>
  <c r="G87" i="19"/>
  <c r="F87" i="19"/>
  <c r="E87" i="19"/>
  <c r="D87" i="19"/>
  <c r="C87" i="19"/>
  <c r="K86" i="19"/>
  <c r="J86" i="19"/>
  <c r="I86" i="19"/>
  <c r="H86" i="19"/>
  <c r="O86" i="19" s="1"/>
  <c r="V86" i="19" s="1"/>
  <c r="X86" i="19" s="1"/>
  <c r="G86" i="19"/>
  <c r="F86" i="19"/>
  <c r="E86" i="19"/>
  <c r="D86" i="19"/>
  <c r="C86" i="19"/>
  <c r="K85" i="19"/>
  <c r="J85" i="19"/>
  <c r="I85" i="19"/>
  <c r="H85" i="19"/>
  <c r="O85" i="19" s="1"/>
  <c r="G85" i="19"/>
  <c r="F85" i="19"/>
  <c r="E85" i="19"/>
  <c r="D85" i="19"/>
  <c r="C85" i="19"/>
  <c r="Y84" i="19"/>
  <c r="W84" i="19"/>
  <c r="U84" i="19"/>
  <c r="Y72" i="19"/>
  <c r="U72" i="19"/>
  <c r="T72" i="19"/>
  <c r="Q72" i="19"/>
  <c r="P72" i="19"/>
  <c r="Y71" i="19"/>
  <c r="U71" i="19"/>
  <c r="T71" i="19"/>
  <c r="Q71" i="19"/>
  <c r="P71" i="19"/>
  <c r="Y70" i="19"/>
  <c r="U70" i="19"/>
  <c r="T70" i="19"/>
  <c r="Q70" i="19"/>
  <c r="P70" i="19"/>
  <c r="Y69" i="19"/>
  <c r="U69" i="19"/>
  <c r="T69" i="19"/>
  <c r="Q69" i="19"/>
  <c r="P69" i="19"/>
  <c r="Y68" i="19"/>
  <c r="U68" i="19"/>
  <c r="T68" i="19"/>
  <c r="Q68" i="19"/>
  <c r="P68" i="19"/>
  <c r="Y67" i="19"/>
  <c r="U67" i="19"/>
  <c r="T67" i="19"/>
  <c r="Q67" i="19"/>
  <c r="P67" i="19"/>
  <c r="Y66" i="19"/>
  <c r="U66" i="19"/>
  <c r="T66" i="19"/>
  <c r="Q66" i="19"/>
  <c r="P66" i="19"/>
  <c r="Y65" i="19"/>
  <c r="U65" i="19"/>
  <c r="T65" i="19"/>
  <c r="Q65" i="19"/>
  <c r="P65" i="19"/>
  <c r="Y64" i="19"/>
  <c r="U64" i="19"/>
  <c r="T64" i="19"/>
  <c r="Q64" i="19"/>
  <c r="P64" i="19"/>
  <c r="Y63" i="19"/>
  <c r="U63" i="19"/>
  <c r="T63" i="19"/>
  <c r="Q63" i="19"/>
  <c r="P63" i="19"/>
  <c r="Y62" i="19"/>
  <c r="U62" i="19"/>
  <c r="Q62" i="19"/>
  <c r="P62" i="19"/>
  <c r="Y61" i="19"/>
  <c r="U61" i="19"/>
  <c r="Q61" i="19"/>
  <c r="P61" i="19"/>
  <c r="Y60" i="19"/>
  <c r="U60" i="19"/>
  <c r="Q60" i="19"/>
  <c r="P60" i="19"/>
  <c r="Y59" i="19"/>
  <c r="U59" i="19"/>
  <c r="Q59" i="19"/>
  <c r="P59" i="19"/>
  <c r="Y58" i="19"/>
  <c r="U58" i="19"/>
  <c r="Q58" i="19"/>
  <c r="P58" i="19"/>
  <c r="Y57" i="19"/>
  <c r="U57" i="19"/>
  <c r="Q57" i="19"/>
  <c r="P57" i="19"/>
  <c r="Y56" i="19"/>
  <c r="U56" i="19"/>
  <c r="Q56" i="19"/>
  <c r="P56" i="19"/>
  <c r="Y55" i="19"/>
  <c r="U55" i="19"/>
  <c r="Q55" i="19"/>
  <c r="P55" i="19"/>
  <c r="Y54" i="19"/>
  <c r="U54" i="19"/>
  <c r="Q54" i="19"/>
  <c r="P54" i="19"/>
  <c r="Y53" i="19"/>
  <c r="U53" i="19"/>
  <c r="Q53" i="19"/>
  <c r="P53" i="19"/>
  <c r="Y52" i="19"/>
  <c r="U52" i="19"/>
  <c r="Q52" i="19"/>
  <c r="P52" i="19"/>
  <c r="Y51" i="19"/>
  <c r="U51" i="19"/>
  <c r="Q51" i="19"/>
  <c r="P51" i="19"/>
  <c r="Y50" i="19"/>
  <c r="U50" i="19"/>
  <c r="Q50" i="19"/>
  <c r="P50" i="19"/>
  <c r="Y49" i="19"/>
  <c r="U49" i="19"/>
  <c r="Q49" i="19"/>
  <c r="P49" i="19"/>
  <c r="Y48" i="19"/>
  <c r="U48" i="19"/>
  <c r="Q48" i="19"/>
  <c r="P48" i="19"/>
  <c r="Y47" i="19"/>
  <c r="U47" i="19"/>
  <c r="Q47" i="19"/>
  <c r="P47" i="19"/>
  <c r="Y46" i="19"/>
  <c r="U46" i="19"/>
  <c r="Q46" i="19"/>
  <c r="P46" i="19"/>
  <c r="Y45" i="19"/>
  <c r="U45" i="19"/>
  <c r="Q45" i="19"/>
  <c r="P45" i="19"/>
  <c r="Y44" i="19"/>
  <c r="U44" i="19"/>
  <c r="Q44" i="19"/>
  <c r="P44" i="19"/>
  <c r="Y43" i="19"/>
  <c r="U43" i="19"/>
  <c r="Q43" i="19"/>
  <c r="P43" i="19"/>
  <c r="Y42" i="19"/>
  <c r="U42" i="19"/>
  <c r="Q42" i="19"/>
  <c r="P42" i="19"/>
  <c r="Y41" i="19"/>
  <c r="U41" i="19"/>
  <c r="Q41" i="19"/>
  <c r="P41" i="19"/>
  <c r="Y40" i="19"/>
  <c r="U40" i="19"/>
  <c r="Q40" i="19"/>
  <c r="P40" i="19"/>
  <c r="Y39" i="19"/>
  <c r="U39" i="19"/>
  <c r="Q39" i="19"/>
  <c r="P39" i="19"/>
  <c r="Y38" i="19"/>
  <c r="U38" i="19"/>
  <c r="Q38" i="19"/>
  <c r="P38" i="19"/>
  <c r="Y37" i="19"/>
  <c r="U37" i="19"/>
  <c r="Q37" i="19"/>
  <c r="P37" i="19"/>
  <c r="Y36" i="19"/>
  <c r="U36" i="19"/>
  <c r="Q36" i="19"/>
  <c r="P36" i="19"/>
  <c r="Y35" i="19"/>
  <c r="U35" i="19"/>
  <c r="Q35" i="19"/>
  <c r="P35" i="19"/>
  <c r="Y34" i="19"/>
  <c r="U34" i="19"/>
  <c r="Q34" i="19"/>
  <c r="P34" i="19"/>
  <c r="Y33" i="19"/>
  <c r="U33" i="19"/>
  <c r="Q33" i="19"/>
  <c r="P33" i="19"/>
  <c r="Y32" i="19"/>
  <c r="U32" i="19"/>
  <c r="Q32" i="19"/>
  <c r="P32" i="19"/>
  <c r="Y31" i="19"/>
  <c r="U31" i="19"/>
  <c r="T31" i="19"/>
  <c r="Q31" i="19"/>
  <c r="P31" i="19"/>
  <c r="Y30" i="19"/>
  <c r="U30" i="19"/>
  <c r="T30" i="19"/>
  <c r="Q30" i="19"/>
  <c r="P30" i="19"/>
  <c r="Y29" i="19"/>
  <c r="U29" i="19"/>
  <c r="T29" i="19"/>
  <c r="Q29" i="19"/>
  <c r="P29" i="19"/>
  <c r="Y28" i="19"/>
  <c r="U28" i="19"/>
  <c r="T28" i="19"/>
  <c r="Q28" i="19"/>
  <c r="P28" i="19"/>
  <c r="Y27" i="19"/>
  <c r="U27" i="19"/>
  <c r="T27" i="19"/>
  <c r="Q27" i="19"/>
  <c r="P27" i="19"/>
  <c r="Y26" i="19"/>
  <c r="U26" i="19"/>
  <c r="T26" i="19"/>
  <c r="Q26" i="19"/>
  <c r="P26" i="19"/>
  <c r="U23" i="19"/>
  <c r="N5" i="19"/>
  <c r="N2" i="19"/>
  <c r="I2" i="19"/>
  <c r="A1" i="19"/>
  <c r="Q106" i="21" l="1"/>
  <c r="R106" i="21" s="1"/>
  <c r="X103" i="21"/>
  <c r="Y103" i="21" s="1"/>
  <c r="Q95" i="21"/>
  <c r="R95" i="21" s="1"/>
  <c r="N98" i="19"/>
  <c r="Q98" i="19" s="1"/>
  <c r="R98" i="19" s="1"/>
  <c r="V89" i="20"/>
  <c r="V87" i="19"/>
  <c r="N123" i="19"/>
  <c r="P125" i="19"/>
  <c r="W125" i="19" s="1"/>
  <c r="V127" i="19"/>
  <c r="P130" i="19"/>
  <c r="W130" i="19" s="1"/>
  <c r="Q140" i="19"/>
  <c r="R140" i="19" s="1"/>
  <c r="Q164" i="19"/>
  <c r="R164" i="19" s="1"/>
  <c r="Q172" i="19"/>
  <c r="R172" i="19" s="1"/>
  <c r="Q180" i="19"/>
  <c r="R180" i="19" s="1"/>
  <c r="N104" i="19"/>
  <c r="N112" i="19"/>
  <c r="U112" i="19" s="1"/>
  <c r="X119" i="21"/>
  <c r="Y119" i="21" s="1"/>
  <c r="P85" i="19"/>
  <c r="N103" i="19"/>
  <c r="U103" i="19" s="1"/>
  <c r="P107" i="19"/>
  <c r="W107" i="19" s="1"/>
  <c r="P111" i="19"/>
  <c r="V93" i="20"/>
  <c r="V101" i="20"/>
  <c r="V109" i="20"/>
  <c r="V117" i="20"/>
  <c r="V125" i="20"/>
  <c r="P93" i="20"/>
  <c r="W93" i="20" s="1"/>
  <c r="P119" i="20"/>
  <c r="W119" i="20" s="1"/>
  <c r="P121" i="20"/>
  <c r="W121" i="20" s="1"/>
  <c r="P127" i="20"/>
  <c r="Q120" i="21"/>
  <c r="R120" i="21" s="1"/>
  <c r="V90" i="19"/>
  <c r="V109" i="19"/>
  <c r="P115" i="19"/>
  <c r="W115" i="19" s="1"/>
  <c r="W111" i="19"/>
  <c r="N111" i="19"/>
  <c r="P93" i="19"/>
  <c r="W93" i="19" s="1"/>
  <c r="N96" i="19"/>
  <c r="U96" i="19" s="1"/>
  <c r="V106" i="19"/>
  <c r="V114" i="19"/>
  <c r="V85" i="19"/>
  <c r="X85" i="19" s="1"/>
  <c r="P98" i="19"/>
  <c r="W98" i="19" s="1"/>
  <c r="Q139" i="19"/>
  <c r="N87" i="19"/>
  <c r="U87" i="19" s="1"/>
  <c r="P129" i="19"/>
  <c r="W129" i="19" s="1"/>
  <c r="Q171" i="19"/>
  <c r="R171" i="19" s="1"/>
  <c r="Q85" i="21"/>
  <c r="R85" i="21" s="1"/>
  <c r="U95" i="21"/>
  <c r="X95" i="21" s="1"/>
  <c r="Y95" i="21" s="1"/>
  <c r="Q93" i="21"/>
  <c r="R93" i="21" s="1"/>
  <c r="Q104" i="21"/>
  <c r="R104" i="21" s="1"/>
  <c r="Q103" i="21"/>
  <c r="R103" i="21" s="1"/>
  <c r="Q130" i="21"/>
  <c r="R130" i="21" s="1"/>
  <c r="Q109" i="21"/>
  <c r="R109" i="21" s="1"/>
  <c r="Q122" i="21"/>
  <c r="R122" i="21" s="1"/>
  <c r="Q138" i="20"/>
  <c r="R138" i="20" s="1"/>
  <c r="V92" i="20"/>
  <c r="V100" i="20"/>
  <c r="V108" i="20"/>
  <c r="V116" i="20"/>
  <c r="V124" i="20"/>
  <c r="N85" i="20"/>
  <c r="O37" i="24"/>
  <c r="O51" i="24"/>
  <c r="O72" i="24"/>
  <c r="O64" i="24"/>
  <c r="O35" i="24"/>
  <c r="O45" i="24"/>
  <c r="O69" i="24"/>
  <c r="O38" i="24"/>
  <c r="O32" i="24"/>
  <c r="O43" i="24"/>
  <c r="O28" i="24"/>
  <c r="O67" i="24"/>
  <c r="O61" i="24"/>
  <c r="O56" i="24"/>
  <c r="O54" i="24"/>
  <c r="O70" i="24"/>
  <c r="O48" i="24"/>
  <c r="O41" i="24"/>
  <c r="O46" i="24"/>
  <c r="O62" i="24"/>
  <c r="O30" i="24"/>
  <c r="O40" i="24"/>
  <c r="O59" i="24"/>
  <c r="Q119" i="21"/>
  <c r="R119" i="21" s="1"/>
  <c r="Q111" i="21"/>
  <c r="R111" i="21" s="1"/>
  <c r="Q99" i="21"/>
  <c r="R99" i="21" s="1"/>
  <c r="V87" i="20"/>
  <c r="V95" i="20"/>
  <c r="V103" i="20"/>
  <c r="V111" i="20"/>
  <c r="V119" i="20"/>
  <c r="Q177" i="19"/>
  <c r="R177" i="19" s="1"/>
  <c r="N85" i="19"/>
  <c r="Q85" i="19" s="1"/>
  <c r="R85" i="19" s="1"/>
  <c r="P104" i="19"/>
  <c r="W104" i="19" s="1"/>
  <c r="P123" i="19"/>
  <c r="W123" i="19" s="1"/>
  <c r="O123" i="19"/>
  <c r="V123" i="19" s="1"/>
  <c r="V128" i="19"/>
  <c r="P94" i="19"/>
  <c r="W94" i="19" s="1"/>
  <c r="V125" i="19"/>
  <c r="N130" i="19"/>
  <c r="U130" i="19" s="1"/>
  <c r="Q147" i="19"/>
  <c r="R147" i="19" s="1"/>
  <c r="N95" i="19"/>
  <c r="U95" i="19" s="1"/>
  <c r="P102" i="19"/>
  <c r="W102" i="19" s="1"/>
  <c r="P109" i="19"/>
  <c r="W109" i="19" s="1"/>
  <c r="P117" i="19"/>
  <c r="V118" i="19"/>
  <c r="N119" i="19"/>
  <c r="U119" i="19" s="1"/>
  <c r="Q143" i="19"/>
  <c r="R143" i="19" s="1"/>
  <c r="Q148" i="19"/>
  <c r="R148" i="19" s="1"/>
  <c r="Q156" i="19"/>
  <c r="R156" i="19" s="1"/>
  <c r="P90" i="19"/>
  <c r="W90" i="19" s="1"/>
  <c r="P106" i="19"/>
  <c r="W106" i="19" s="1"/>
  <c r="P126" i="19"/>
  <c r="W126" i="19" s="1"/>
  <c r="P131" i="19"/>
  <c r="W131" i="19" s="1"/>
  <c r="Q151" i="19"/>
  <c r="R151" i="19" s="1"/>
  <c r="N106" i="19"/>
  <c r="U106" i="19" s="1"/>
  <c r="V120" i="19"/>
  <c r="N93" i="19"/>
  <c r="Q93" i="19" s="1"/>
  <c r="R93" i="19" s="1"/>
  <c r="P114" i="19"/>
  <c r="W114" i="19" s="1"/>
  <c r="N117" i="19"/>
  <c r="N120" i="19"/>
  <c r="U120" i="19" s="1"/>
  <c r="N127" i="19"/>
  <c r="U127" i="19" s="1"/>
  <c r="Q167" i="19"/>
  <c r="R167" i="19" s="1"/>
  <c r="P99" i="19"/>
  <c r="W99" i="19" s="1"/>
  <c r="P110" i="19"/>
  <c r="W110" i="19" s="1"/>
  <c r="P119" i="19"/>
  <c r="W119" i="19" s="1"/>
  <c r="P28" i="22"/>
  <c r="P55" i="22"/>
  <c r="P36" i="22"/>
  <c r="P44" i="22"/>
  <c r="P63" i="22"/>
  <c r="P52" i="22"/>
  <c r="P60" i="22"/>
  <c r="P71" i="22"/>
  <c r="X107" i="22"/>
  <c r="Y107" i="22" s="1"/>
  <c r="X113" i="22"/>
  <c r="Y113" i="22" s="1"/>
  <c r="X108" i="22"/>
  <c r="Y108" i="22" s="1"/>
  <c r="X118" i="22"/>
  <c r="Y118" i="22" s="1"/>
  <c r="X97" i="22"/>
  <c r="Y97" i="22" s="1"/>
  <c r="X94" i="22"/>
  <c r="Y94" i="22" s="1"/>
  <c r="X105" i="22"/>
  <c r="Y105" i="22" s="1"/>
  <c r="X91" i="22"/>
  <c r="Y91" i="22" s="1"/>
  <c r="X128" i="22"/>
  <c r="Y128" i="22" s="1"/>
  <c r="X112" i="22"/>
  <c r="Y112" i="22" s="1"/>
  <c r="X129" i="22"/>
  <c r="Y129" i="22" s="1"/>
  <c r="X126" i="22"/>
  <c r="Y126" i="22" s="1"/>
  <c r="X89" i="22"/>
  <c r="Y89" i="22" s="1"/>
  <c r="X121" i="22"/>
  <c r="Y121" i="22" s="1"/>
  <c r="X100" i="22"/>
  <c r="Y100" i="22" s="1"/>
  <c r="X120" i="22"/>
  <c r="Y120" i="22" s="1"/>
  <c r="X110" i="22"/>
  <c r="Y110" i="22" s="1"/>
  <c r="X124" i="22"/>
  <c r="Y124" i="22" s="1"/>
  <c r="X102" i="22"/>
  <c r="Y102" i="22" s="1"/>
  <c r="X116" i="22"/>
  <c r="Y116" i="22" s="1"/>
  <c r="X104" i="22"/>
  <c r="Y104" i="22" s="1"/>
  <c r="X92" i="22"/>
  <c r="Y92" i="22" s="1"/>
  <c r="Q115" i="21"/>
  <c r="R115" i="21" s="1"/>
  <c r="Q117" i="21"/>
  <c r="R117" i="21" s="1"/>
  <c r="X127" i="21"/>
  <c r="Y127" i="21" s="1"/>
  <c r="Q127" i="21"/>
  <c r="R127" i="21" s="1"/>
  <c r="P120" i="20"/>
  <c r="W120" i="20" s="1"/>
  <c r="W127" i="20"/>
  <c r="Q154" i="20"/>
  <c r="R154" i="20" s="1"/>
  <c r="P117" i="20"/>
  <c r="W117" i="20" s="1"/>
  <c r="N104" i="20"/>
  <c r="U104" i="20" s="1"/>
  <c r="P112" i="20"/>
  <c r="W112" i="20" s="1"/>
  <c r="P115" i="20"/>
  <c r="W115" i="20" s="1"/>
  <c r="N118" i="20"/>
  <c r="U118" i="20" s="1"/>
  <c r="N103" i="20"/>
  <c r="V94" i="20"/>
  <c r="V102" i="20"/>
  <c r="V110" i="20"/>
  <c r="Q125" i="21"/>
  <c r="R125" i="21" s="1"/>
  <c r="Q114" i="21"/>
  <c r="R114" i="21" s="1"/>
  <c r="Q87" i="21"/>
  <c r="R87" i="21" s="1"/>
  <c r="Q131" i="21"/>
  <c r="R131" i="21" s="1"/>
  <c r="X114" i="21"/>
  <c r="Y114" i="21" s="1"/>
  <c r="U113" i="21"/>
  <c r="Q113" i="21"/>
  <c r="R113" i="21" s="1"/>
  <c r="Q124" i="21"/>
  <c r="R124" i="21" s="1"/>
  <c r="U124" i="21"/>
  <c r="X87" i="21"/>
  <c r="Y87" i="21" s="1"/>
  <c r="U121" i="21"/>
  <c r="Q121" i="21"/>
  <c r="R121" i="21" s="1"/>
  <c r="U101" i="21"/>
  <c r="Q101" i="21"/>
  <c r="R101" i="21" s="1"/>
  <c r="U107" i="21"/>
  <c r="Q107" i="21"/>
  <c r="R107" i="21" s="1"/>
  <c r="X90" i="21"/>
  <c r="Y90" i="21" s="1"/>
  <c r="X128" i="21"/>
  <c r="Y128" i="21" s="1"/>
  <c r="X104" i="21"/>
  <c r="Y104" i="21" s="1"/>
  <c r="Q100" i="21"/>
  <c r="R100" i="21" s="1"/>
  <c r="U100" i="21"/>
  <c r="Q89" i="21"/>
  <c r="R89" i="21" s="1"/>
  <c r="U89" i="21"/>
  <c r="X99" i="21"/>
  <c r="Y99" i="21" s="1"/>
  <c r="W88" i="21"/>
  <c r="X88" i="21" s="1"/>
  <c r="Y88" i="21" s="1"/>
  <c r="Q88" i="21"/>
  <c r="R88" i="21" s="1"/>
  <c r="X125" i="21"/>
  <c r="Y125" i="21" s="1"/>
  <c r="Q116" i="21"/>
  <c r="R116" i="21" s="1"/>
  <c r="U116" i="21"/>
  <c r="Q97" i="21"/>
  <c r="R97" i="21" s="1"/>
  <c r="U97" i="21"/>
  <c r="X130" i="21"/>
  <c r="Y130" i="21" s="1"/>
  <c r="X106" i="21"/>
  <c r="Y106" i="21" s="1"/>
  <c r="Q98" i="21"/>
  <c r="R98" i="21" s="1"/>
  <c r="X111" i="21"/>
  <c r="Y111" i="21" s="1"/>
  <c r="Q86" i="21"/>
  <c r="R86" i="21" s="1"/>
  <c r="X122" i="21"/>
  <c r="Y122" i="21" s="1"/>
  <c r="Q112" i="21"/>
  <c r="R112" i="21" s="1"/>
  <c r="Q92" i="21"/>
  <c r="R92" i="21" s="1"/>
  <c r="U92" i="21"/>
  <c r="U126" i="21"/>
  <c r="Q126" i="21"/>
  <c r="R126" i="21" s="1"/>
  <c r="W96" i="21"/>
  <c r="X96" i="21" s="1"/>
  <c r="Y96" i="21" s="1"/>
  <c r="Q96" i="21"/>
  <c r="R96" i="21" s="1"/>
  <c r="U94" i="21"/>
  <c r="Q94" i="21"/>
  <c r="R94" i="21" s="1"/>
  <c r="U129" i="21"/>
  <c r="Q129" i="21"/>
  <c r="R129" i="21" s="1"/>
  <c r="U105" i="21"/>
  <c r="Q105" i="21"/>
  <c r="R105" i="21" s="1"/>
  <c r="X115" i="21"/>
  <c r="Y115" i="21" s="1"/>
  <c r="X98" i="21"/>
  <c r="Y98" i="21" s="1"/>
  <c r="U91" i="21"/>
  <c r="Q91" i="21"/>
  <c r="R91" i="21" s="1"/>
  <c r="U110" i="21"/>
  <c r="Q110" i="21"/>
  <c r="R110" i="21" s="1"/>
  <c r="X112" i="21"/>
  <c r="Y112" i="21" s="1"/>
  <c r="U118" i="21"/>
  <c r="Q118" i="21"/>
  <c r="R118" i="21" s="1"/>
  <c r="Q108" i="21"/>
  <c r="R108" i="21" s="1"/>
  <c r="U108" i="21"/>
  <c r="X93" i="21"/>
  <c r="Y93" i="21" s="1"/>
  <c r="X131" i="21"/>
  <c r="Y131" i="21" s="1"/>
  <c r="X117" i="21"/>
  <c r="Y117" i="21" s="1"/>
  <c r="Q90" i="21"/>
  <c r="R90" i="21" s="1"/>
  <c r="U123" i="21"/>
  <c r="Q123" i="21"/>
  <c r="R123" i="21" s="1"/>
  <c r="U102" i="21"/>
  <c r="Q102" i="21"/>
  <c r="R102" i="21" s="1"/>
  <c r="Q128" i="21"/>
  <c r="R128" i="21" s="1"/>
  <c r="X120" i="21"/>
  <c r="Y120" i="21" s="1"/>
  <c r="X109" i="21"/>
  <c r="Y109" i="21" s="1"/>
  <c r="Q147" i="20"/>
  <c r="R147" i="20" s="1"/>
  <c r="Q171" i="20"/>
  <c r="R171" i="20" s="1"/>
  <c r="Q179" i="20"/>
  <c r="R179" i="20" s="1"/>
  <c r="V97" i="20"/>
  <c r="N102" i="20"/>
  <c r="P107" i="20"/>
  <c r="W107" i="20" s="1"/>
  <c r="N110" i="20"/>
  <c r="U110" i="20" s="1"/>
  <c r="P126" i="20"/>
  <c r="W126" i="20" s="1"/>
  <c r="N129" i="20"/>
  <c r="U129" i="20" s="1"/>
  <c r="P108" i="20"/>
  <c r="W108" i="20" s="1"/>
  <c r="P95" i="20"/>
  <c r="W95" i="20" s="1"/>
  <c r="V85" i="20"/>
  <c r="X85" i="20" s="1"/>
  <c r="N97" i="20"/>
  <c r="U97" i="20" s="1"/>
  <c r="P128" i="20"/>
  <c r="W128" i="20" s="1"/>
  <c r="P86" i="20"/>
  <c r="V105" i="20"/>
  <c r="N127" i="20"/>
  <c r="U127" i="20" s="1"/>
  <c r="V129" i="20"/>
  <c r="P90" i="20"/>
  <c r="W90" i="20" s="1"/>
  <c r="N111" i="20"/>
  <c r="U111" i="20" s="1"/>
  <c r="V113" i="20"/>
  <c r="P91" i="20"/>
  <c r="W91" i="20" s="1"/>
  <c r="P96" i="20"/>
  <c r="W96" i="20" s="1"/>
  <c r="P101" i="20"/>
  <c r="W101" i="20" s="1"/>
  <c r="P105" i="20"/>
  <c r="W105" i="20" s="1"/>
  <c r="P114" i="20"/>
  <c r="W114" i="20" s="1"/>
  <c r="P116" i="20"/>
  <c r="W116" i="20" s="1"/>
  <c r="N126" i="20"/>
  <c r="U126" i="20" s="1"/>
  <c r="P130" i="20"/>
  <c r="W130" i="20" s="1"/>
  <c r="Q156" i="20"/>
  <c r="R156" i="20" s="1"/>
  <c r="N94" i="20"/>
  <c r="U94" i="20" s="1"/>
  <c r="P100" i="20"/>
  <c r="W100" i="20" s="1"/>
  <c r="P109" i="20"/>
  <c r="W109" i="20" s="1"/>
  <c r="P111" i="20"/>
  <c r="W111" i="20" s="1"/>
  <c r="V121" i="20"/>
  <c r="N87" i="20"/>
  <c r="U87" i="20" s="1"/>
  <c r="P92" i="20"/>
  <c r="W92" i="20" s="1"/>
  <c r="P102" i="20"/>
  <c r="W102" i="20" s="1"/>
  <c r="P104" i="20"/>
  <c r="W104" i="20" s="1"/>
  <c r="P124" i="20"/>
  <c r="W124" i="20" s="1"/>
  <c r="Q162" i="20"/>
  <c r="R162" i="20" s="1"/>
  <c r="Q170" i="20"/>
  <c r="R170" i="20" s="1"/>
  <c r="Q178" i="20"/>
  <c r="R178" i="20" s="1"/>
  <c r="N95" i="20"/>
  <c r="Q146" i="20"/>
  <c r="R146" i="20" s="1"/>
  <c r="Q157" i="20"/>
  <c r="R157" i="20" s="1"/>
  <c r="Q181" i="20"/>
  <c r="R181" i="20" s="1"/>
  <c r="P99" i="20"/>
  <c r="W99" i="20" s="1"/>
  <c r="P110" i="20"/>
  <c r="W110" i="20" s="1"/>
  <c r="P113" i="20"/>
  <c r="W113" i="20" s="1"/>
  <c r="N128" i="20"/>
  <c r="U128" i="20" s="1"/>
  <c r="Q139" i="20"/>
  <c r="R139" i="20" s="1"/>
  <c r="Q149" i="20"/>
  <c r="R149" i="20" s="1"/>
  <c r="P103" i="20"/>
  <c r="W103" i="20" s="1"/>
  <c r="P106" i="20"/>
  <c r="W106" i="20" s="1"/>
  <c r="N116" i="20"/>
  <c r="N120" i="20"/>
  <c r="U120" i="20" s="1"/>
  <c r="N121" i="20"/>
  <c r="U121" i="20" s="1"/>
  <c r="O127" i="20"/>
  <c r="V127" i="20" s="1"/>
  <c r="P98" i="20"/>
  <c r="W98" i="20" s="1"/>
  <c r="N113" i="20"/>
  <c r="U113" i="20" s="1"/>
  <c r="Q172" i="20"/>
  <c r="R172" i="20" s="1"/>
  <c r="P94" i="20"/>
  <c r="W94" i="20" s="1"/>
  <c r="P97" i="20"/>
  <c r="W97" i="20" s="1"/>
  <c r="N112" i="20"/>
  <c r="U112" i="20" s="1"/>
  <c r="N119" i="20"/>
  <c r="P125" i="20"/>
  <c r="W125" i="20" s="1"/>
  <c r="Q140" i="20"/>
  <c r="R140" i="20" s="1"/>
  <c r="Q165" i="20"/>
  <c r="R165" i="20" s="1"/>
  <c r="P89" i="20"/>
  <c r="W89" i="20" s="1"/>
  <c r="N105" i="20"/>
  <c r="P123" i="20"/>
  <c r="W123" i="20" s="1"/>
  <c r="P131" i="20"/>
  <c r="W131" i="20" s="1"/>
  <c r="Q155" i="20"/>
  <c r="R155" i="20" s="1"/>
  <c r="Q148" i="20"/>
  <c r="R148" i="20" s="1"/>
  <c r="Q163" i="20"/>
  <c r="R163" i="20" s="1"/>
  <c r="Q173" i="20"/>
  <c r="R173" i="20" s="1"/>
  <c r="P88" i="20"/>
  <c r="W88" i="20" s="1"/>
  <c r="N89" i="20"/>
  <c r="U89" i="20" s="1"/>
  <c r="N96" i="20"/>
  <c r="U96" i="20" s="1"/>
  <c r="P122" i="20"/>
  <c r="W122" i="20" s="1"/>
  <c r="P129" i="20"/>
  <c r="W129" i="20" s="1"/>
  <c r="Q141" i="20"/>
  <c r="R141" i="20" s="1"/>
  <c r="N88" i="20"/>
  <c r="U88" i="20" s="1"/>
  <c r="P85" i="20"/>
  <c r="AG85" i="20"/>
  <c r="O98" i="20"/>
  <c r="V98" i="20" s="1"/>
  <c r="N98" i="20"/>
  <c r="U103" i="20"/>
  <c r="Q145" i="20"/>
  <c r="R145" i="20" s="1"/>
  <c r="Q177" i="20"/>
  <c r="R177" i="20" s="1"/>
  <c r="O90" i="20"/>
  <c r="V90" i="20" s="1"/>
  <c r="N90" i="20"/>
  <c r="N108" i="20"/>
  <c r="N124" i="20"/>
  <c r="O130" i="20"/>
  <c r="V130" i="20" s="1"/>
  <c r="N130" i="20"/>
  <c r="Q153" i="20"/>
  <c r="R153" i="20" s="1"/>
  <c r="Q180" i="20"/>
  <c r="R180" i="20" s="1"/>
  <c r="N100" i="20"/>
  <c r="U102" i="20"/>
  <c r="O122" i="20"/>
  <c r="V122" i="20" s="1"/>
  <c r="N122" i="20"/>
  <c r="O114" i="20"/>
  <c r="V114" i="20" s="1"/>
  <c r="N114" i="20"/>
  <c r="Q161" i="20"/>
  <c r="R161" i="20" s="1"/>
  <c r="N92" i="20"/>
  <c r="O106" i="20"/>
  <c r="V106" i="20" s="1"/>
  <c r="N106" i="20"/>
  <c r="P118" i="20"/>
  <c r="W118" i="20" s="1"/>
  <c r="Q137" i="20"/>
  <c r="R137" i="20" s="1"/>
  <c r="Q164" i="20"/>
  <c r="R164" i="20" s="1"/>
  <c r="Q169" i="20"/>
  <c r="R169" i="20" s="1"/>
  <c r="N86" i="20"/>
  <c r="O88" i="20"/>
  <c r="V88" i="20" s="1"/>
  <c r="N93" i="20"/>
  <c r="O96" i="20"/>
  <c r="V96" i="20" s="1"/>
  <c r="N101" i="20"/>
  <c r="O104" i="20"/>
  <c r="V104" i="20" s="1"/>
  <c r="N109" i="20"/>
  <c r="O112" i="20"/>
  <c r="V112" i="20" s="1"/>
  <c r="N117" i="20"/>
  <c r="O120" i="20"/>
  <c r="V120" i="20" s="1"/>
  <c r="N125" i="20"/>
  <c r="O128" i="20"/>
  <c r="V128" i="20" s="1"/>
  <c r="Q142" i="20"/>
  <c r="R142" i="20" s="1"/>
  <c r="Q150" i="20"/>
  <c r="R150" i="20" s="1"/>
  <c r="Q158" i="20"/>
  <c r="R158" i="20" s="1"/>
  <c r="Q166" i="20"/>
  <c r="R166" i="20" s="1"/>
  <c r="Q174" i="20"/>
  <c r="R174" i="20" s="1"/>
  <c r="Q182" i="20"/>
  <c r="R182" i="20" s="1"/>
  <c r="Q144" i="20"/>
  <c r="R144" i="20" s="1"/>
  <c r="Q152" i="20"/>
  <c r="R152" i="20" s="1"/>
  <c r="Q160" i="20"/>
  <c r="R160" i="20" s="1"/>
  <c r="Q168" i="20"/>
  <c r="R168" i="20" s="1"/>
  <c r="Q176" i="20"/>
  <c r="R176" i="20" s="1"/>
  <c r="P87" i="20"/>
  <c r="W87" i="20" s="1"/>
  <c r="N91" i="20"/>
  <c r="N99" i="20"/>
  <c r="N107" i="20"/>
  <c r="N115" i="20"/>
  <c r="N123" i="20"/>
  <c r="N131" i="20"/>
  <c r="Q143" i="20"/>
  <c r="R143" i="20" s="1"/>
  <c r="Q151" i="20"/>
  <c r="R151" i="20" s="1"/>
  <c r="Q159" i="20"/>
  <c r="R159" i="20" s="1"/>
  <c r="Q167" i="20"/>
  <c r="R167" i="20" s="1"/>
  <c r="Q175" i="20"/>
  <c r="R175" i="20" s="1"/>
  <c r="Q183" i="20"/>
  <c r="R183" i="20" s="1"/>
  <c r="V101" i="19"/>
  <c r="N125" i="19"/>
  <c r="Q169" i="19"/>
  <c r="R169" i="19" s="1"/>
  <c r="V122" i="19"/>
  <c r="N86" i="19"/>
  <c r="P87" i="19"/>
  <c r="W87" i="19" s="1"/>
  <c r="P101" i="19"/>
  <c r="W101" i="19" s="1"/>
  <c r="W117" i="19"/>
  <c r="Q145" i="19"/>
  <c r="R145" i="19" s="1"/>
  <c r="V98" i="19"/>
  <c r="N88" i="19"/>
  <c r="U88" i="19" s="1"/>
  <c r="P92" i="19"/>
  <c r="W92" i="19" s="1"/>
  <c r="P96" i="19"/>
  <c r="W96" i="19" s="1"/>
  <c r="N101" i="19"/>
  <c r="U101" i="19" s="1"/>
  <c r="N114" i="19"/>
  <c r="U114" i="19" s="1"/>
  <c r="P122" i="19"/>
  <c r="W122" i="19" s="1"/>
  <c r="Q150" i="19"/>
  <c r="R150" i="19" s="1"/>
  <c r="Q163" i="19"/>
  <c r="R163" i="19" s="1"/>
  <c r="Q175" i="19"/>
  <c r="R175" i="19" s="1"/>
  <c r="V130" i="19"/>
  <c r="P124" i="19"/>
  <c r="W124" i="19" s="1"/>
  <c r="AG85" i="19"/>
  <c r="P97" i="19"/>
  <c r="W97" i="19" s="1"/>
  <c r="O104" i="19"/>
  <c r="V104" i="19" s="1"/>
  <c r="N109" i="19"/>
  <c r="Q109" i="19" s="1"/>
  <c r="R109" i="19" s="1"/>
  <c r="O112" i="19"/>
  <c r="V112" i="19" s="1"/>
  <c r="N122" i="19"/>
  <c r="P127" i="19"/>
  <c r="W127" i="19" s="1"/>
  <c r="N128" i="19"/>
  <c r="U128" i="19" s="1"/>
  <c r="Q153" i="19"/>
  <c r="R153" i="19" s="1"/>
  <c r="Q183" i="19"/>
  <c r="R183" i="19" s="1"/>
  <c r="N90" i="19"/>
  <c r="U90" i="19" s="1"/>
  <c r="P95" i="19"/>
  <c r="W95" i="19" s="1"/>
  <c r="Q159" i="19"/>
  <c r="R159" i="19" s="1"/>
  <c r="Q161" i="19"/>
  <c r="R161" i="19" s="1"/>
  <c r="Q166" i="19"/>
  <c r="R166" i="19" s="1"/>
  <c r="V119" i="19"/>
  <c r="P91" i="19"/>
  <c r="W91" i="19" s="1"/>
  <c r="V117" i="19"/>
  <c r="P105" i="19"/>
  <c r="W105" i="19" s="1"/>
  <c r="P113" i="19"/>
  <c r="W113" i="19" s="1"/>
  <c r="P116" i="19"/>
  <c r="W116" i="19" s="1"/>
  <c r="Q137" i="19"/>
  <c r="R137" i="19" s="1"/>
  <c r="U104" i="19"/>
  <c r="N107" i="19"/>
  <c r="O107" i="19"/>
  <c r="V107" i="19" s="1"/>
  <c r="Q178" i="19"/>
  <c r="R178" i="19" s="1"/>
  <c r="O108" i="19"/>
  <c r="V108" i="19" s="1"/>
  <c r="N108" i="19"/>
  <c r="V111" i="19"/>
  <c r="N91" i="19"/>
  <c r="N131" i="19"/>
  <c r="O131" i="19"/>
  <c r="V131" i="19" s="1"/>
  <c r="Q155" i="19"/>
  <c r="R155" i="19" s="1"/>
  <c r="Q144" i="19"/>
  <c r="R144" i="19" s="1"/>
  <c r="O100" i="19"/>
  <c r="V100" i="19" s="1"/>
  <c r="N100" i="19"/>
  <c r="P88" i="19"/>
  <c r="W88" i="19" s="1"/>
  <c r="O97" i="19"/>
  <c r="V97" i="19" s="1"/>
  <c r="N97" i="19"/>
  <c r="P112" i="19"/>
  <c r="W112" i="19" s="1"/>
  <c r="Q146" i="19"/>
  <c r="R146" i="19" s="1"/>
  <c r="O89" i="19"/>
  <c r="V89" i="19" s="1"/>
  <c r="N89" i="19"/>
  <c r="P120" i="19"/>
  <c r="W120" i="19" s="1"/>
  <c r="P86" i="19"/>
  <c r="N99" i="19"/>
  <c r="O99" i="19"/>
  <c r="V99" i="19" s="1"/>
  <c r="Q176" i="19"/>
  <c r="R176" i="19" s="1"/>
  <c r="Q182" i="19"/>
  <c r="R182" i="19" s="1"/>
  <c r="O116" i="19"/>
  <c r="V116" i="19" s="1"/>
  <c r="N116" i="19"/>
  <c r="Q138" i="19"/>
  <c r="R138" i="19" s="1"/>
  <c r="Q170" i="19"/>
  <c r="R170" i="19" s="1"/>
  <c r="O110" i="19"/>
  <c r="V110" i="19" s="1"/>
  <c r="N110" i="19"/>
  <c r="N115" i="19"/>
  <c r="U117" i="19"/>
  <c r="Q117" i="19"/>
  <c r="R117" i="19" s="1"/>
  <c r="P118" i="19"/>
  <c r="W118" i="19" s="1"/>
  <c r="O121" i="19"/>
  <c r="V121" i="19" s="1"/>
  <c r="N121" i="19"/>
  <c r="P128" i="19"/>
  <c r="W128" i="19" s="1"/>
  <c r="Q142" i="19"/>
  <c r="R142" i="19" s="1"/>
  <c r="Q168" i="19"/>
  <c r="R168" i="19" s="1"/>
  <c r="Q174" i="19"/>
  <c r="R174" i="19" s="1"/>
  <c r="P89" i="19"/>
  <c r="W89" i="19" s="1"/>
  <c r="O102" i="19"/>
  <c r="V102" i="19" s="1"/>
  <c r="N102" i="19"/>
  <c r="P108" i="19"/>
  <c r="W108" i="19" s="1"/>
  <c r="Q162" i="19"/>
  <c r="R162" i="19" s="1"/>
  <c r="O94" i="19"/>
  <c r="V94" i="19" s="1"/>
  <c r="N94" i="19"/>
  <c r="P100" i="19"/>
  <c r="W100" i="19" s="1"/>
  <c r="U122" i="19"/>
  <c r="O124" i="19"/>
  <c r="V124" i="19" s="1"/>
  <c r="N124" i="19"/>
  <c r="R139" i="19"/>
  <c r="Q160" i="19"/>
  <c r="R160" i="19" s="1"/>
  <c r="O113" i="19"/>
  <c r="V113" i="19" s="1"/>
  <c r="N113" i="19"/>
  <c r="P121" i="19"/>
  <c r="W121" i="19" s="1"/>
  <c r="U123" i="19"/>
  <c r="O129" i="19"/>
  <c r="V129" i="19" s="1"/>
  <c r="N129" i="19"/>
  <c r="Q154" i="19"/>
  <c r="R154" i="19" s="1"/>
  <c r="Q179" i="19"/>
  <c r="R179" i="19" s="1"/>
  <c r="N92" i="19"/>
  <c r="P103" i="19"/>
  <c r="W103" i="19" s="1"/>
  <c r="O105" i="19"/>
  <c r="V105" i="19" s="1"/>
  <c r="N105" i="19"/>
  <c r="O115" i="19"/>
  <c r="V115" i="19" s="1"/>
  <c r="Q152" i="19"/>
  <c r="R152" i="19" s="1"/>
  <c r="Q158" i="19"/>
  <c r="R158" i="19" s="1"/>
  <c r="Q141" i="19"/>
  <c r="R141" i="19" s="1"/>
  <c r="Q149" i="19"/>
  <c r="R149" i="19" s="1"/>
  <c r="Q157" i="19"/>
  <c r="R157" i="19" s="1"/>
  <c r="Q165" i="19"/>
  <c r="R165" i="19" s="1"/>
  <c r="Q173" i="19"/>
  <c r="R173" i="19" s="1"/>
  <c r="Q181" i="19"/>
  <c r="R181" i="19" s="1"/>
  <c r="N118" i="19"/>
  <c r="N126" i="19"/>
  <c r="U98" i="19" l="1"/>
  <c r="Q111" i="19"/>
  <c r="R111" i="19" s="1"/>
  <c r="Q90" i="19"/>
  <c r="R90" i="19" s="1"/>
  <c r="Q86" i="19"/>
  <c r="R86" i="19" s="1"/>
  <c r="Q125" i="19"/>
  <c r="R125" i="19" s="1"/>
  <c r="Q127" i="19"/>
  <c r="R127" i="19" s="1"/>
  <c r="Q130" i="19"/>
  <c r="R130" i="19" s="1"/>
  <c r="U111" i="19"/>
  <c r="X111" i="19" s="1"/>
  <c r="Y111" i="19" s="1"/>
  <c r="Q119" i="20"/>
  <c r="R119" i="20" s="1"/>
  <c r="Q101" i="19"/>
  <c r="R101" i="19" s="1"/>
  <c r="Q119" i="19"/>
  <c r="R119" i="19" s="1"/>
  <c r="U93" i="19"/>
  <c r="X93" i="19" s="1"/>
  <c r="Y93" i="19" s="1"/>
  <c r="Q123" i="19"/>
  <c r="R123" i="19" s="1"/>
  <c r="U109" i="19"/>
  <c r="Q110" i="20"/>
  <c r="R110" i="20" s="1"/>
  <c r="Q105" i="20"/>
  <c r="R105" i="20" s="1"/>
  <c r="Q121" i="20"/>
  <c r="R121" i="20" s="1"/>
  <c r="Q85" i="20"/>
  <c r="R85" i="20" s="1"/>
  <c r="U125" i="19"/>
  <c r="Q106" i="19"/>
  <c r="R106" i="19" s="1"/>
  <c r="X127" i="19"/>
  <c r="Y127" i="19" s="1"/>
  <c r="Q122" i="19"/>
  <c r="R122" i="19" s="1"/>
  <c r="Q104" i="19"/>
  <c r="R104" i="19" s="1"/>
  <c r="P68" i="22"/>
  <c r="P47" i="22"/>
  <c r="P39" i="22"/>
  <c r="P40" i="22"/>
  <c r="P42" i="22"/>
  <c r="P56" i="22"/>
  <c r="P34" i="22"/>
  <c r="P29" i="22"/>
  <c r="P37" i="22"/>
  <c r="P66" i="22"/>
  <c r="P72" i="22"/>
  <c r="P58" i="22"/>
  <c r="P64" i="22"/>
  <c r="P50" i="22"/>
  <c r="P31" i="22"/>
  <c r="Q111" i="20"/>
  <c r="R111" i="20" s="1"/>
  <c r="Q127" i="20"/>
  <c r="R127" i="20" s="1"/>
  <c r="Q113" i="20"/>
  <c r="R113" i="20" s="1"/>
  <c r="Q103" i="20"/>
  <c r="R103" i="20" s="1"/>
  <c r="Q95" i="20"/>
  <c r="R95" i="20" s="1"/>
  <c r="Q126" i="20"/>
  <c r="R126" i="20" s="1"/>
  <c r="X102" i="21"/>
  <c r="Y102" i="21" s="1"/>
  <c r="X105" i="21"/>
  <c r="Y105" i="21" s="1"/>
  <c r="X118" i="21"/>
  <c r="Y118" i="21" s="1"/>
  <c r="X91" i="21"/>
  <c r="Y91" i="21" s="1"/>
  <c r="X100" i="21"/>
  <c r="Y100" i="21" s="1"/>
  <c r="X101" i="21"/>
  <c r="Y101" i="21" s="1"/>
  <c r="X97" i="21"/>
  <c r="Y97" i="21" s="1"/>
  <c r="X124" i="21"/>
  <c r="Y124" i="21" s="1"/>
  <c r="X123" i="21"/>
  <c r="Y123" i="21" s="1"/>
  <c r="X129" i="21"/>
  <c r="Y129" i="21" s="1"/>
  <c r="X108" i="21"/>
  <c r="Y108" i="21" s="1"/>
  <c r="X92" i="21"/>
  <c r="Y92" i="21" s="1"/>
  <c r="X126" i="21"/>
  <c r="Y126" i="21" s="1"/>
  <c r="X121" i="21"/>
  <c r="Y121" i="21" s="1"/>
  <c r="X110" i="21"/>
  <c r="Y110" i="21" s="1"/>
  <c r="X94" i="21"/>
  <c r="Y94" i="21" s="1"/>
  <c r="X116" i="21"/>
  <c r="Y116" i="21" s="1"/>
  <c r="X89" i="21"/>
  <c r="Y89" i="21" s="1"/>
  <c r="X107" i="21"/>
  <c r="Y107" i="21" s="1"/>
  <c r="X113" i="21"/>
  <c r="Y113" i="21" s="1"/>
  <c r="Q116" i="20"/>
  <c r="R116" i="20" s="1"/>
  <c r="Q102" i="20"/>
  <c r="R102" i="20" s="1"/>
  <c r="U95" i="20"/>
  <c r="X95" i="20" s="1"/>
  <c r="Y95" i="20" s="1"/>
  <c r="U119" i="20"/>
  <c r="X119" i="20" s="1"/>
  <c r="Y119" i="20" s="1"/>
  <c r="Q94" i="20"/>
  <c r="R94" i="20" s="1"/>
  <c r="Q120" i="20"/>
  <c r="R120" i="20" s="1"/>
  <c r="U116" i="20"/>
  <c r="X116" i="20" s="1"/>
  <c r="Y116" i="20" s="1"/>
  <c r="Q89" i="20"/>
  <c r="R89" i="20" s="1"/>
  <c r="Q97" i="20"/>
  <c r="R97" i="20" s="1"/>
  <c r="Q129" i="20"/>
  <c r="R129" i="20" s="1"/>
  <c r="U105" i="20"/>
  <c r="X105" i="20" s="1"/>
  <c r="Y105" i="20" s="1"/>
  <c r="X128" i="20"/>
  <c r="Y128" i="20" s="1"/>
  <c r="X104" i="20"/>
  <c r="Y104" i="20" s="1"/>
  <c r="X87" i="20"/>
  <c r="Y87" i="20" s="1"/>
  <c r="U122" i="20"/>
  <c r="Q122" i="20"/>
  <c r="R122" i="20" s="1"/>
  <c r="X102" i="20"/>
  <c r="Y102" i="20" s="1"/>
  <c r="X89" i="20"/>
  <c r="Y89" i="20" s="1"/>
  <c r="Q96" i="20"/>
  <c r="R96" i="20" s="1"/>
  <c r="X118" i="20"/>
  <c r="Y118" i="20" s="1"/>
  <c r="X94" i="20"/>
  <c r="Y94" i="20" s="1"/>
  <c r="X97" i="20"/>
  <c r="Y97" i="20" s="1"/>
  <c r="U131" i="20"/>
  <c r="Q131" i="20"/>
  <c r="R131" i="20" s="1"/>
  <c r="X121" i="20"/>
  <c r="Y121" i="20" s="1"/>
  <c r="U130" i="20"/>
  <c r="Q130" i="20"/>
  <c r="R130" i="20" s="1"/>
  <c r="Q109" i="20"/>
  <c r="R109" i="20" s="1"/>
  <c r="U109" i="20"/>
  <c r="Q124" i="20"/>
  <c r="R124" i="20" s="1"/>
  <c r="U124" i="20"/>
  <c r="Q92" i="20"/>
  <c r="R92" i="20" s="1"/>
  <c r="U92" i="20"/>
  <c r="U115" i="20"/>
  <c r="Q115" i="20"/>
  <c r="R115" i="20" s="1"/>
  <c r="X126" i="20"/>
  <c r="Y126" i="20" s="1"/>
  <c r="Q93" i="20"/>
  <c r="R93" i="20" s="1"/>
  <c r="U93" i="20"/>
  <c r="Q88" i="20"/>
  <c r="R88" i="20" s="1"/>
  <c r="X96" i="20"/>
  <c r="Y96" i="20" s="1"/>
  <c r="X113" i="20"/>
  <c r="Y113" i="20" s="1"/>
  <c r="X127" i="20"/>
  <c r="Y127" i="20" s="1"/>
  <c r="U98" i="20"/>
  <c r="Q98" i="20"/>
  <c r="R98" i="20" s="1"/>
  <c r="U106" i="20"/>
  <c r="Q106" i="20"/>
  <c r="R106" i="20" s="1"/>
  <c r="U123" i="20"/>
  <c r="Q123" i="20"/>
  <c r="R123" i="20" s="1"/>
  <c r="X112" i="20"/>
  <c r="Y112" i="20" s="1"/>
  <c r="Q100" i="20"/>
  <c r="R100" i="20" s="1"/>
  <c r="U100" i="20"/>
  <c r="Q125" i="20"/>
  <c r="R125" i="20" s="1"/>
  <c r="U125" i="20"/>
  <c r="U99" i="20"/>
  <c r="Q99" i="20"/>
  <c r="R99" i="20" s="1"/>
  <c r="Q128" i="20"/>
  <c r="R128" i="20" s="1"/>
  <c r="X110" i="20"/>
  <c r="Y110" i="20" s="1"/>
  <c r="U90" i="20"/>
  <c r="Q90" i="20"/>
  <c r="R90" i="20" s="1"/>
  <c r="Q118" i="20"/>
  <c r="R118" i="20" s="1"/>
  <c r="X103" i="20"/>
  <c r="Y103" i="20" s="1"/>
  <c r="X111" i="20"/>
  <c r="Y111" i="20" s="1"/>
  <c r="Q112" i="20"/>
  <c r="R112" i="20" s="1"/>
  <c r="Q101" i="20"/>
  <c r="R101" i="20" s="1"/>
  <c r="U101" i="20"/>
  <c r="X129" i="20"/>
  <c r="Y129" i="20" s="1"/>
  <c r="U107" i="20"/>
  <c r="Q107" i="20"/>
  <c r="R107" i="20" s="1"/>
  <c r="U91" i="20"/>
  <c r="Q91" i="20"/>
  <c r="R91" i="20" s="1"/>
  <c r="Q117" i="20"/>
  <c r="R117" i="20" s="1"/>
  <c r="U117" i="20"/>
  <c r="Q86" i="20"/>
  <c r="R86" i="20" s="1"/>
  <c r="U114" i="20"/>
  <c r="Q114" i="20"/>
  <c r="R114" i="20" s="1"/>
  <c r="X120" i="20"/>
  <c r="Y120" i="20" s="1"/>
  <c r="X88" i="20"/>
  <c r="Y88" i="20" s="1"/>
  <c r="Q108" i="20"/>
  <c r="R108" i="20" s="1"/>
  <c r="U108" i="20"/>
  <c r="Q104" i="20"/>
  <c r="R104" i="20" s="1"/>
  <c r="Q87" i="20"/>
  <c r="R87" i="20" s="1"/>
  <c r="Q87" i="19"/>
  <c r="R87" i="19" s="1"/>
  <c r="Q103" i="19"/>
  <c r="R103" i="19" s="1"/>
  <c r="Q114" i="19"/>
  <c r="R114" i="19" s="1"/>
  <c r="Q96" i="19"/>
  <c r="R96" i="19" s="1"/>
  <c r="Q95" i="19"/>
  <c r="R95" i="19" s="1"/>
  <c r="U113" i="19"/>
  <c r="Q113" i="19"/>
  <c r="R113" i="19" s="1"/>
  <c r="X122" i="19"/>
  <c r="Y122" i="19" s="1"/>
  <c r="U94" i="19"/>
  <c r="Q94" i="19"/>
  <c r="R94" i="19" s="1"/>
  <c r="X98" i="19"/>
  <c r="Y98" i="19" s="1"/>
  <c r="X120" i="19"/>
  <c r="Y120" i="19" s="1"/>
  <c r="U129" i="19"/>
  <c r="Q129" i="19"/>
  <c r="R129" i="19" s="1"/>
  <c r="X128" i="19"/>
  <c r="Y128" i="19" s="1"/>
  <c r="X117" i="19"/>
  <c r="Y117" i="19" s="1"/>
  <c r="X103" i="19"/>
  <c r="Y103" i="19" s="1"/>
  <c r="X90" i="19"/>
  <c r="Y90" i="19" s="1"/>
  <c r="U131" i="19"/>
  <c r="Q131" i="19"/>
  <c r="R131" i="19" s="1"/>
  <c r="X101" i="19"/>
  <c r="Y101" i="19" s="1"/>
  <c r="X104" i="19"/>
  <c r="Y104" i="19" s="1"/>
  <c r="Q126" i="19"/>
  <c r="R126" i="19" s="1"/>
  <c r="U126" i="19"/>
  <c r="Q92" i="19"/>
  <c r="R92" i="19" s="1"/>
  <c r="U92" i="19"/>
  <c r="U115" i="19"/>
  <c r="Q115" i="19"/>
  <c r="R115" i="19" s="1"/>
  <c r="U89" i="19"/>
  <c r="Q89" i="19"/>
  <c r="R89" i="19" s="1"/>
  <c r="X119" i="19"/>
  <c r="Y119" i="19" s="1"/>
  <c r="Q100" i="19"/>
  <c r="R100" i="19" s="1"/>
  <c r="U100" i="19"/>
  <c r="Q91" i="19"/>
  <c r="R91" i="19" s="1"/>
  <c r="U91" i="19"/>
  <c r="X96" i="19"/>
  <c r="Y96" i="19" s="1"/>
  <c r="U118" i="19"/>
  <c r="Q118" i="19"/>
  <c r="R118" i="19" s="1"/>
  <c r="U105" i="19"/>
  <c r="Q105" i="19"/>
  <c r="R105" i="19" s="1"/>
  <c r="Q128" i="19"/>
  <c r="R128" i="19" s="1"/>
  <c r="U110" i="19"/>
  <c r="Q110" i="19"/>
  <c r="R110" i="19" s="1"/>
  <c r="Q116" i="19"/>
  <c r="R116" i="19" s="1"/>
  <c r="U116" i="19"/>
  <c r="Q99" i="19"/>
  <c r="R99" i="19" s="1"/>
  <c r="U99" i="19"/>
  <c r="X95" i="19"/>
  <c r="Y95" i="19" s="1"/>
  <c r="X112" i="19"/>
  <c r="Y112" i="19" s="1"/>
  <c r="Q124" i="19"/>
  <c r="R124" i="19" s="1"/>
  <c r="U124" i="19"/>
  <c r="U102" i="19"/>
  <c r="Q102" i="19"/>
  <c r="R102" i="19" s="1"/>
  <c r="U121" i="19"/>
  <c r="Q121" i="19"/>
  <c r="R121" i="19" s="1"/>
  <c r="X130" i="19"/>
  <c r="Y130" i="19" s="1"/>
  <c r="Q108" i="19"/>
  <c r="R108" i="19" s="1"/>
  <c r="U108" i="19"/>
  <c r="X106" i="19"/>
  <c r="Y106" i="19" s="1"/>
  <c r="X123" i="19"/>
  <c r="Y123" i="19" s="1"/>
  <c r="Q88" i="19"/>
  <c r="R88" i="19" s="1"/>
  <c r="U97" i="19"/>
  <c r="Q97" i="19"/>
  <c r="R97" i="19" s="1"/>
  <c r="X87" i="19"/>
  <c r="Y87" i="19" s="1"/>
  <c r="X109" i="19"/>
  <c r="Y109" i="19" s="1"/>
  <c r="Q107" i="19"/>
  <c r="R107" i="19" s="1"/>
  <c r="U107" i="19"/>
  <c r="Q120" i="19"/>
  <c r="R120" i="19" s="1"/>
  <c r="X114" i="19"/>
  <c r="Y114" i="19" s="1"/>
  <c r="X125" i="19"/>
  <c r="Y125" i="19" s="1"/>
  <c r="Q112" i="19"/>
  <c r="R112" i="19" s="1"/>
  <c r="X88" i="19"/>
  <c r="Y88" i="19" s="1"/>
  <c r="P183" i="18"/>
  <c r="O183" i="18"/>
  <c r="N183" i="18"/>
  <c r="P182" i="18"/>
  <c r="O182" i="18"/>
  <c r="N182" i="18"/>
  <c r="P181" i="18"/>
  <c r="O181" i="18"/>
  <c r="N181" i="18"/>
  <c r="P180" i="18"/>
  <c r="O180" i="18"/>
  <c r="N180" i="18"/>
  <c r="P179" i="18"/>
  <c r="O179" i="18"/>
  <c r="N179" i="18"/>
  <c r="P178" i="18"/>
  <c r="O178" i="18"/>
  <c r="N178" i="18"/>
  <c r="P177" i="18"/>
  <c r="O177" i="18"/>
  <c r="N177" i="18"/>
  <c r="P176" i="18"/>
  <c r="O176" i="18"/>
  <c r="N176" i="18"/>
  <c r="P175" i="18"/>
  <c r="O175" i="18"/>
  <c r="N175" i="18"/>
  <c r="P174" i="18"/>
  <c r="O174" i="18"/>
  <c r="N174" i="18"/>
  <c r="P173" i="18"/>
  <c r="O173" i="18"/>
  <c r="N173" i="18"/>
  <c r="P172" i="18"/>
  <c r="O172" i="18"/>
  <c r="N172" i="18"/>
  <c r="P171" i="18"/>
  <c r="O171" i="18"/>
  <c r="N171" i="18"/>
  <c r="P170" i="18"/>
  <c r="O170" i="18"/>
  <c r="N170" i="18"/>
  <c r="P169" i="18"/>
  <c r="O169" i="18"/>
  <c r="N169" i="18"/>
  <c r="P168" i="18"/>
  <c r="O168" i="18"/>
  <c r="N168" i="18"/>
  <c r="P167" i="18"/>
  <c r="O167" i="18"/>
  <c r="N167" i="18"/>
  <c r="P166" i="18"/>
  <c r="O166" i="18"/>
  <c r="N166" i="18"/>
  <c r="P165" i="18"/>
  <c r="O165" i="18"/>
  <c r="N165" i="18"/>
  <c r="P164" i="18"/>
  <c r="O164" i="18"/>
  <c r="N164" i="18"/>
  <c r="P163" i="18"/>
  <c r="O163" i="18"/>
  <c r="N163" i="18"/>
  <c r="P162" i="18"/>
  <c r="O162" i="18"/>
  <c r="N162" i="18"/>
  <c r="P161" i="18"/>
  <c r="O161" i="18"/>
  <c r="N161" i="18"/>
  <c r="P160" i="18"/>
  <c r="O160" i="18"/>
  <c r="N160" i="18"/>
  <c r="P159" i="18"/>
  <c r="O159" i="18"/>
  <c r="N159" i="18"/>
  <c r="P158" i="18"/>
  <c r="O158" i="18"/>
  <c r="N158" i="18"/>
  <c r="P157" i="18"/>
  <c r="O157" i="18"/>
  <c r="N157" i="18"/>
  <c r="P156" i="18"/>
  <c r="O156" i="18"/>
  <c r="N156" i="18"/>
  <c r="P155" i="18"/>
  <c r="O155" i="18"/>
  <c r="N155" i="18"/>
  <c r="P154" i="18"/>
  <c r="O154" i="18"/>
  <c r="N154" i="18"/>
  <c r="P153" i="18"/>
  <c r="O153" i="18"/>
  <c r="N153" i="18"/>
  <c r="P152" i="18"/>
  <c r="O152" i="18"/>
  <c r="N152" i="18"/>
  <c r="P151" i="18"/>
  <c r="O151" i="18"/>
  <c r="N151" i="18"/>
  <c r="P150" i="18"/>
  <c r="O150" i="18"/>
  <c r="N150" i="18"/>
  <c r="P149" i="18"/>
  <c r="O149" i="18"/>
  <c r="N149" i="18"/>
  <c r="P148" i="18"/>
  <c r="O148" i="18"/>
  <c r="N148" i="18"/>
  <c r="P147" i="18"/>
  <c r="O147" i="18"/>
  <c r="N147" i="18"/>
  <c r="P146" i="18"/>
  <c r="O146" i="18"/>
  <c r="N146" i="18"/>
  <c r="P145" i="18"/>
  <c r="O145" i="18"/>
  <c r="N145" i="18"/>
  <c r="P144" i="18"/>
  <c r="O144" i="18"/>
  <c r="N144" i="18"/>
  <c r="P143" i="18"/>
  <c r="O143" i="18"/>
  <c r="N143" i="18"/>
  <c r="P142" i="18"/>
  <c r="O142" i="18"/>
  <c r="N142" i="18"/>
  <c r="P141" i="18"/>
  <c r="O141" i="18"/>
  <c r="N141" i="18"/>
  <c r="P140" i="18"/>
  <c r="O140" i="18"/>
  <c r="N140" i="18"/>
  <c r="P139" i="18"/>
  <c r="O139" i="18"/>
  <c r="N139" i="18"/>
  <c r="P138" i="18"/>
  <c r="O138" i="18"/>
  <c r="N138" i="18"/>
  <c r="P137" i="18"/>
  <c r="O137" i="18"/>
  <c r="N137" i="18"/>
  <c r="R136" i="18"/>
  <c r="Q136" i="18"/>
  <c r="P136" i="18"/>
  <c r="N136" i="18"/>
  <c r="K131" i="18"/>
  <c r="J131" i="18"/>
  <c r="I131" i="18"/>
  <c r="H131" i="18"/>
  <c r="O131" i="18" s="1"/>
  <c r="G131" i="18"/>
  <c r="F131" i="18"/>
  <c r="E131" i="18"/>
  <c r="D131" i="18"/>
  <c r="C131" i="18"/>
  <c r="K130" i="18"/>
  <c r="J130" i="18"/>
  <c r="I130" i="18"/>
  <c r="H130" i="18"/>
  <c r="O130" i="18" s="1"/>
  <c r="G130" i="18"/>
  <c r="F130" i="18"/>
  <c r="E130" i="18"/>
  <c r="D130" i="18"/>
  <c r="C130" i="18"/>
  <c r="K129" i="18"/>
  <c r="J129" i="18"/>
  <c r="I129" i="18"/>
  <c r="H129" i="18"/>
  <c r="O129" i="18" s="1"/>
  <c r="V129" i="18" s="1"/>
  <c r="G129" i="18"/>
  <c r="F129" i="18"/>
  <c r="E129" i="18"/>
  <c r="D129" i="18"/>
  <c r="C129" i="18"/>
  <c r="K128" i="18"/>
  <c r="J128" i="18"/>
  <c r="I128" i="18"/>
  <c r="H128" i="18"/>
  <c r="O128" i="18" s="1"/>
  <c r="V128" i="18" s="1"/>
  <c r="G128" i="18"/>
  <c r="F128" i="18"/>
  <c r="E128" i="18"/>
  <c r="D128" i="18"/>
  <c r="C128" i="18"/>
  <c r="K127" i="18"/>
  <c r="J127" i="18"/>
  <c r="I127" i="18"/>
  <c r="H127" i="18"/>
  <c r="G127" i="18"/>
  <c r="F127" i="18"/>
  <c r="E127" i="18"/>
  <c r="D127" i="18"/>
  <c r="C127" i="18"/>
  <c r="K126" i="18"/>
  <c r="J126" i="18"/>
  <c r="I126" i="18"/>
  <c r="H126" i="18"/>
  <c r="O126" i="18" s="1"/>
  <c r="G126" i="18"/>
  <c r="F126" i="18"/>
  <c r="E126" i="18"/>
  <c r="D126" i="18"/>
  <c r="C126" i="18"/>
  <c r="K125" i="18"/>
  <c r="J125" i="18"/>
  <c r="I125" i="18"/>
  <c r="H125" i="18"/>
  <c r="O125" i="18" s="1"/>
  <c r="V125" i="18" s="1"/>
  <c r="G125" i="18"/>
  <c r="F125" i="18"/>
  <c r="E125" i="18"/>
  <c r="D125" i="18"/>
  <c r="C125" i="18"/>
  <c r="K124" i="18"/>
  <c r="J124" i="18"/>
  <c r="I124" i="18"/>
  <c r="H124" i="18"/>
  <c r="G124" i="18"/>
  <c r="F124" i="18"/>
  <c r="E124" i="18"/>
  <c r="D124" i="18"/>
  <c r="C124" i="18"/>
  <c r="K123" i="18"/>
  <c r="J123" i="18"/>
  <c r="I123" i="18"/>
  <c r="H123" i="18"/>
  <c r="O123" i="18" s="1"/>
  <c r="G123" i="18"/>
  <c r="F123" i="18"/>
  <c r="E123" i="18"/>
  <c r="D123" i="18"/>
  <c r="C123" i="18"/>
  <c r="K122" i="18"/>
  <c r="J122" i="18"/>
  <c r="I122" i="18"/>
  <c r="H122" i="18"/>
  <c r="O122" i="18" s="1"/>
  <c r="V122" i="18" s="1"/>
  <c r="G122" i="18"/>
  <c r="F122" i="18"/>
  <c r="E122" i="18"/>
  <c r="D122" i="18"/>
  <c r="C122" i="18"/>
  <c r="K121" i="18"/>
  <c r="J121" i="18"/>
  <c r="I121" i="18"/>
  <c r="H121" i="18"/>
  <c r="O121" i="18" s="1"/>
  <c r="V121" i="18" s="1"/>
  <c r="G121" i="18"/>
  <c r="F121" i="18"/>
  <c r="E121" i="18"/>
  <c r="D121" i="18"/>
  <c r="C121" i="18"/>
  <c r="K120" i="18"/>
  <c r="J120" i="18"/>
  <c r="I120" i="18"/>
  <c r="H120" i="18"/>
  <c r="O120" i="18" s="1"/>
  <c r="G120" i="18"/>
  <c r="F120" i="18"/>
  <c r="E120" i="18"/>
  <c r="D120" i="18"/>
  <c r="C120" i="18"/>
  <c r="K119" i="18"/>
  <c r="J119" i="18"/>
  <c r="I119" i="18"/>
  <c r="H119" i="18"/>
  <c r="G119" i="18"/>
  <c r="F119" i="18"/>
  <c r="E119" i="18"/>
  <c r="D119" i="18"/>
  <c r="C119" i="18"/>
  <c r="K118" i="18"/>
  <c r="J118" i="18"/>
  <c r="I118" i="18"/>
  <c r="H118" i="18"/>
  <c r="O118" i="18" s="1"/>
  <c r="G118" i="18"/>
  <c r="F118" i="18"/>
  <c r="E118" i="18"/>
  <c r="D118" i="18"/>
  <c r="C118" i="18"/>
  <c r="K117" i="18"/>
  <c r="J117" i="18"/>
  <c r="I117" i="18"/>
  <c r="H117" i="18"/>
  <c r="O117" i="18" s="1"/>
  <c r="V117" i="18" s="1"/>
  <c r="G117" i="18"/>
  <c r="F117" i="18"/>
  <c r="E117" i="18"/>
  <c r="D117" i="18"/>
  <c r="C117" i="18"/>
  <c r="K116" i="18"/>
  <c r="J116" i="18"/>
  <c r="I116" i="18"/>
  <c r="H116" i="18"/>
  <c r="G116" i="18"/>
  <c r="F116" i="18"/>
  <c r="E116" i="18"/>
  <c r="D116" i="18"/>
  <c r="C116" i="18"/>
  <c r="K115" i="18"/>
  <c r="J115" i="18"/>
  <c r="I115" i="18"/>
  <c r="H115" i="18"/>
  <c r="O115" i="18" s="1"/>
  <c r="G115" i="18"/>
  <c r="F115" i="18"/>
  <c r="E115" i="18"/>
  <c r="D115" i="18"/>
  <c r="C115" i="18"/>
  <c r="K114" i="18"/>
  <c r="J114" i="18"/>
  <c r="I114" i="18"/>
  <c r="H114" i="18"/>
  <c r="O114" i="18" s="1"/>
  <c r="V114" i="18" s="1"/>
  <c r="G114" i="18"/>
  <c r="F114" i="18"/>
  <c r="E114" i="18"/>
  <c r="D114" i="18"/>
  <c r="C114" i="18"/>
  <c r="K113" i="18"/>
  <c r="J113" i="18"/>
  <c r="I113" i="18"/>
  <c r="H113" i="18"/>
  <c r="O113" i="18" s="1"/>
  <c r="V113" i="18" s="1"/>
  <c r="G113" i="18"/>
  <c r="F113" i="18"/>
  <c r="E113" i="18"/>
  <c r="D113" i="18"/>
  <c r="C113" i="18"/>
  <c r="K112" i="18"/>
  <c r="J112" i="18"/>
  <c r="I112" i="18"/>
  <c r="H112" i="18"/>
  <c r="O112" i="18" s="1"/>
  <c r="G112" i="18"/>
  <c r="F112" i="18"/>
  <c r="E112" i="18"/>
  <c r="D112" i="18"/>
  <c r="C112" i="18"/>
  <c r="K111" i="18"/>
  <c r="J111" i="18"/>
  <c r="I111" i="18"/>
  <c r="H111" i="18"/>
  <c r="G111" i="18"/>
  <c r="F111" i="18"/>
  <c r="E111" i="18"/>
  <c r="D111" i="18"/>
  <c r="C111" i="18"/>
  <c r="K110" i="18"/>
  <c r="J110" i="18"/>
  <c r="I110" i="18"/>
  <c r="H110" i="18"/>
  <c r="O110" i="18" s="1"/>
  <c r="G110" i="18"/>
  <c r="F110" i="18"/>
  <c r="E110" i="18"/>
  <c r="D110" i="18"/>
  <c r="C110" i="18"/>
  <c r="K109" i="18"/>
  <c r="J109" i="18"/>
  <c r="I109" i="18"/>
  <c r="H109" i="18"/>
  <c r="O109" i="18" s="1"/>
  <c r="V109" i="18" s="1"/>
  <c r="G109" i="18"/>
  <c r="F109" i="18"/>
  <c r="E109" i="18"/>
  <c r="D109" i="18"/>
  <c r="C109" i="18"/>
  <c r="K108" i="18"/>
  <c r="J108" i="18"/>
  <c r="I108" i="18"/>
  <c r="H108" i="18"/>
  <c r="G108" i="18"/>
  <c r="F108" i="18"/>
  <c r="E108" i="18"/>
  <c r="D108" i="18"/>
  <c r="C108" i="18"/>
  <c r="K107" i="18"/>
  <c r="J107" i="18"/>
  <c r="I107" i="18"/>
  <c r="H107" i="18"/>
  <c r="O107" i="18" s="1"/>
  <c r="G107" i="18"/>
  <c r="F107" i="18"/>
  <c r="E107" i="18"/>
  <c r="D107" i="18"/>
  <c r="C107" i="18"/>
  <c r="K106" i="18"/>
  <c r="J106" i="18"/>
  <c r="I106" i="18"/>
  <c r="H106" i="18"/>
  <c r="O106" i="18" s="1"/>
  <c r="V106" i="18" s="1"/>
  <c r="G106" i="18"/>
  <c r="F106" i="18"/>
  <c r="E106" i="18"/>
  <c r="D106" i="18"/>
  <c r="C106" i="18"/>
  <c r="K105" i="18"/>
  <c r="J105" i="18"/>
  <c r="I105" i="18"/>
  <c r="H105" i="18"/>
  <c r="O105" i="18" s="1"/>
  <c r="V105" i="18" s="1"/>
  <c r="G105" i="18"/>
  <c r="F105" i="18"/>
  <c r="E105" i="18"/>
  <c r="D105" i="18"/>
  <c r="C105" i="18"/>
  <c r="K104" i="18"/>
  <c r="J104" i="18"/>
  <c r="I104" i="18"/>
  <c r="H104" i="18"/>
  <c r="O104" i="18" s="1"/>
  <c r="G104" i="18"/>
  <c r="F104" i="18"/>
  <c r="E104" i="18"/>
  <c r="D104" i="18"/>
  <c r="C104" i="18"/>
  <c r="K103" i="18"/>
  <c r="J103" i="18"/>
  <c r="I103" i="18"/>
  <c r="H103" i="18"/>
  <c r="G103" i="18"/>
  <c r="F103" i="18"/>
  <c r="E103" i="18"/>
  <c r="D103" i="18"/>
  <c r="C103" i="18"/>
  <c r="K102" i="18"/>
  <c r="J102" i="18"/>
  <c r="I102" i="18"/>
  <c r="H102" i="18"/>
  <c r="O102" i="18" s="1"/>
  <c r="G102" i="18"/>
  <c r="F102" i="18"/>
  <c r="E102" i="18"/>
  <c r="D102" i="18"/>
  <c r="C102" i="18"/>
  <c r="K101" i="18"/>
  <c r="J101" i="18"/>
  <c r="I101" i="18"/>
  <c r="H101" i="18"/>
  <c r="O101" i="18" s="1"/>
  <c r="V101" i="18" s="1"/>
  <c r="G101" i="18"/>
  <c r="F101" i="18"/>
  <c r="E101" i="18"/>
  <c r="D101" i="18"/>
  <c r="C101" i="18"/>
  <c r="K100" i="18"/>
  <c r="J100" i="18"/>
  <c r="I100" i="18"/>
  <c r="H100" i="18"/>
  <c r="G100" i="18"/>
  <c r="F100" i="18"/>
  <c r="E100" i="18"/>
  <c r="D100" i="18"/>
  <c r="C100" i="18"/>
  <c r="K99" i="18"/>
  <c r="J99" i="18"/>
  <c r="I99" i="18"/>
  <c r="H99" i="18"/>
  <c r="O99" i="18" s="1"/>
  <c r="G99" i="18"/>
  <c r="F99" i="18"/>
  <c r="E99" i="18"/>
  <c r="D99" i="18"/>
  <c r="C99" i="18"/>
  <c r="K98" i="18"/>
  <c r="J98" i="18"/>
  <c r="I98" i="18"/>
  <c r="H98" i="18"/>
  <c r="O98" i="18" s="1"/>
  <c r="V98" i="18" s="1"/>
  <c r="G98" i="18"/>
  <c r="F98" i="18"/>
  <c r="E98" i="18"/>
  <c r="D98" i="18"/>
  <c r="C98" i="18"/>
  <c r="K97" i="18"/>
  <c r="J97" i="18"/>
  <c r="I97" i="18"/>
  <c r="H97" i="18"/>
  <c r="O97" i="18" s="1"/>
  <c r="V97" i="18" s="1"/>
  <c r="G97" i="18"/>
  <c r="F97" i="18"/>
  <c r="E97" i="18"/>
  <c r="D97" i="18"/>
  <c r="C97" i="18"/>
  <c r="K96" i="18"/>
  <c r="J96" i="18"/>
  <c r="I96" i="18"/>
  <c r="H96" i="18"/>
  <c r="O96" i="18" s="1"/>
  <c r="G96" i="18"/>
  <c r="F96" i="18"/>
  <c r="E96" i="18"/>
  <c r="D96" i="18"/>
  <c r="C96" i="18"/>
  <c r="K95" i="18"/>
  <c r="J95" i="18"/>
  <c r="I95" i="18"/>
  <c r="H95" i="18"/>
  <c r="G95" i="18"/>
  <c r="F95" i="18"/>
  <c r="E95" i="18"/>
  <c r="D95" i="18"/>
  <c r="C95" i="18"/>
  <c r="K94" i="18"/>
  <c r="J94" i="18"/>
  <c r="I94" i="18"/>
  <c r="H94" i="18"/>
  <c r="O94" i="18" s="1"/>
  <c r="G94" i="18"/>
  <c r="F94" i="18"/>
  <c r="E94" i="18"/>
  <c r="D94" i="18"/>
  <c r="C94" i="18"/>
  <c r="K93" i="18"/>
  <c r="J93" i="18"/>
  <c r="I93" i="18"/>
  <c r="H93" i="18"/>
  <c r="O93" i="18" s="1"/>
  <c r="V93" i="18" s="1"/>
  <c r="G93" i="18"/>
  <c r="F93" i="18"/>
  <c r="E93" i="18"/>
  <c r="D93" i="18"/>
  <c r="C93" i="18"/>
  <c r="K92" i="18"/>
  <c r="J92" i="18"/>
  <c r="I92" i="18"/>
  <c r="H92" i="18"/>
  <c r="G92" i="18"/>
  <c r="F92" i="18"/>
  <c r="E92" i="18"/>
  <c r="D92" i="18"/>
  <c r="C92" i="18"/>
  <c r="K91" i="18"/>
  <c r="J91" i="18"/>
  <c r="I91" i="18"/>
  <c r="H91" i="18"/>
  <c r="O91" i="18" s="1"/>
  <c r="G91" i="18"/>
  <c r="F91" i="18"/>
  <c r="E91" i="18"/>
  <c r="D91" i="18"/>
  <c r="C91" i="18"/>
  <c r="K90" i="18"/>
  <c r="J90" i="18"/>
  <c r="I90" i="18"/>
  <c r="H90" i="18"/>
  <c r="O90" i="18" s="1"/>
  <c r="V90" i="18" s="1"/>
  <c r="G90" i="18"/>
  <c r="F90" i="18"/>
  <c r="E90" i="18"/>
  <c r="D90" i="18"/>
  <c r="C90" i="18"/>
  <c r="K89" i="18"/>
  <c r="J89" i="18"/>
  <c r="I89" i="18"/>
  <c r="H89" i="18"/>
  <c r="O89" i="18" s="1"/>
  <c r="G89" i="18"/>
  <c r="F89" i="18"/>
  <c r="E89" i="18"/>
  <c r="D89" i="18"/>
  <c r="C89" i="18"/>
  <c r="K88" i="18"/>
  <c r="J88" i="18"/>
  <c r="I88" i="18"/>
  <c r="H88" i="18"/>
  <c r="O88" i="18" s="1"/>
  <c r="G88" i="18"/>
  <c r="F88" i="18"/>
  <c r="E88" i="18"/>
  <c r="D88" i="18"/>
  <c r="C88" i="18"/>
  <c r="K87" i="18"/>
  <c r="J87" i="18"/>
  <c r="I87" i="18"/>
  <c r="H87" i="18"/>
  <c r="G87" i="18"/>
  <c r="F87" i="18"/>
  <c r="E87" i="18"/>
  <c r="D87" i="18"/>
  <c r="C87" i="18"/>
  <c r="K86" i="18"/>
  <c r="J86" i="18"/>
  <c r="I86" i="18"/>
  <c r="H86" i="18"/>
  <c r="O86" i="18" s="1"/>
  <c r="G86" i="18"/>
  <c r="F86" i="18"/>
  <c r="E86" i="18"/>
  <c r="D86" i="18"/>
  <c r="C86" i="18"/>
  <c r="K85" i="18"/>
  <c r="J85" i="18"/>
  <c r="I85" i="18"/>
  <c r="H85" i="18"/>
  <c r="G85" i="18"/>
  <c r="F85" i="18"/>
  <c r="E85" i="18"/>
  <c r="D85" i="18"/>
  <c r="C85" i="18"/>
  <c r="Y84" i="18"/>
  <c r="W84" i="18"/>
  <c r="U84" i="18"/>
  <c r="Y72" i="18"/>
  <c r="U72" i="18"/>
  <c r="T72" i="18"/>
  <c r="Q72" i="18"/>
  <c r="P72" i="18"/>
  <c r="Y71" i="18"/>
  <c r="U71" i="18"/>
  <c r="T71" i="18"/>
  <c r="Q71" i="18"/>
  <c r="P71" i="18"/>
  <c r="Y70" i="18"/>
  <c r="U70" i="18"/>
  <c r="T70" i="18"/>
  <c r="Q70" i="18"/>
  <c r="P70" i="18"/>
  <c r="Y69" i="18"/>
  <c r="U69" i="18"/>
  <c r="T69" i="18"/>
  <c r="Q69" i="18"/>
  <c r="P69" i="18"/>
  <c r="Y68" i="18"/>
  <c r="U68" i="18"/>
  <c r="T68" i="18"/>
  <c r="Q68" i="18"/>
  <c r="P68" i="18"/>
  <c r="Y67" i="18"/>
  <c r="U67" i="18"/>
  <c r="T67" i="18"/>
  <c r="Q67" i="18"/>
  <c r="P67" i="18"/>
  <c r="Y66" i="18"/>
  <c r="U66" i="18"/>
  <c r="T66" i="18"/>
  <c r="Q66" i="18"/>
  <c r="P66" i="18"/>
  <c r="Y65" i="18"/>
  <c r="U65" i="18"/>
  <c r="T65" i="18"/>
  <c r="Q65" i="18"/>
  <c r="P65" i="18"/>
  <c r="Y64" i="18"/>
  <c r="U64" i="18"/>
  <c r="T64" i="18"/>
  <c r="Q64" i="18"/>
  <c r="P64" i="18"/>
  <c r="Y63" i="18"/>
  <c r="U63" i="18"/>
  <c r="T63" i="18"/>
  <c r="Q63" i="18"/>
  <c r="P63" i="18"/>
  <c r="Y62" i="18"/>
  <c r="U62" i="18"/>
  <c r="Q62" i="18"/>
  <c r="P62" i="18"/>
  <c r="Y61" i="18"/>
  <c r="U61" i="18"/>
  <c r="Q61" i="18"/>
  <c r="P61" i="18"/>
  <c r="Y60" i="18"/>
  <c r="U60" i="18"/>
  <c r="Q60" i="18"/>
  <c r="P60" i="18"/>
  <c r="Y59" i="18"/>
  <c r="U59" i="18"/>
  <c r="Q59" i="18"/>
  <c r="P59" i="18"/>
  <c r="Y58" i="18"/>
  <c r="U58" i="18"/>
  <c r="Q58" i="18"/>
  <c r="P58" i="18"/>
  <c r="Y57" i="18"/>
  <c r="U57" i="18"/>
  <c r="Q57" i="18"/>
  <c r="P57" i="18"/>
  <c r="Y56" i="18"/>
  <c r="U56" i="18"/>
  <c r="Q56" i="18"/>
  <c r="P56" i="18"/>
  <c r="Y55" i="18"/>
  <c r="U55" i="18"/>
  <c r="Q55" i="18"/>
  <c r="P55" i="18"/>
  <c r="Y54" i="18"/>
  <c r="U54" i="18"/>
  <c r="Q54" i="18"/>
  <c r="P54" i="18"/>
  <c r="Y53" i="18"/>
  <c r="U53" i="18"/>
  <c r="Q53" i="18"/>
  <c r="P53" i="18"/>
  <c r="Y52" i="18"/>
  <c r="U52" i="18"/>
  <c r="Q52" i="18"/>
  <c r="P52" i="18"/>
  <c r="Y51" i="18"/>
  <c r="U51" i="18"/>
  <c r="Q51" i="18"/>
  <c r="P51" i="18"/>
  <c r="Y50" i="18"/>
  <c r="U50" i="18"/>
  <c r="Q50" i="18"/>
  <c r="P50" i="18"/>
  <c r="Y49" i="18"/>
  <c r="U49" i="18"/>
  <c r="Q49" i="18"/>
  <c r="P49" i="18"/>
  <c r="Y48" i="18"/>
  <c r="U48" i="18"/>
  <c r="Q48" i="18"/>
  <c r="P48" i="18"/>
  <c r="Y47" i="18"/>
  <c r="U47" i="18"/>
  <c r="Q47" i="18"/>
  <c r="P47" i="18"/>
  <c r="Y46" i="18"/>
  <c r="U46" i="18"/>
  <c r="Q46" i="18"/>
  <c r="P46" i="18"/>
  <c r="Y45" i="18"/>
  <c r="U45" i="18"/>
  <c r="Q45" i="18"/>
  <c r="P45" i="18"/>
  <c r="Y44" i="18"/>
  <c r="U44" i="18"/>
  <c r="Q44" i="18"/>
  <c r="P44" i="18"/>
  <c r="Y43" i="18"/>
  <c r="U43" i="18"/>
  <c r="Q43" i="18"/>
  <c r="P43" i="18"/>
  <c r="Y42" i="18"/>
  <c r="U42" i="18"/>
  <c r="Q42" i="18"/>
  <c r="P42" i="18"/>
  <c r="Y41" i="18"/>
  <c r="U41" i="18"/>
  <c r="Q41" i="18"/>
  <c r="P41" i="18"/>
  <c r="Y40" i="18"/>
  <c r="U40" i="18"/>
  <c r="Q40" i="18"/>
  <c r="P40" i="18"/>
  <c r="Y39" i="18"/>
  <c r="U39" i="18"/>
  <c r="Q39" i="18"/>
  <c r="P39" i="18"/>
  <c r="Y38" i="18"/>
  <c r="U38" i="18"/>
  <c r="Q38" i="18"/>
  <c r="P38" i="18"/>
  <c r="Y37" i="18"/>
  <c r="U37" i="18"/>
  <c r="Q37" i="18"/>
  <c r="P37" i="18"/>
  <c r="Y36" i="18"/>
  <c r="U36" i="18"/>
  <c r="Q36" i="18"/>
  <c r="P36" i="18"/>
  <c r="Y35" i="18"/>
  <c r="U35" i="18"/>
  <c r="Q35" i="18"/>
  <c r="P35" i="18"/>
  <c r="Y34" i="18"/>
  <c r="U34" i="18"/>
  <c r="Q34" i="18"/>
  <c r="P34" i="18"/>
  <c r="Y33" i="18"/>
  <c r="U33" i="18"/>
  <c r="Q33" i="18"/>
  <c r="P33" i="18"/>
  <c r="Y32" i="18"/>
  <c r="U32" i="18"/>
  <c r="Q32" i="18"/>
  <c r="P32" i="18"/>
  <c r="Y31" i="18"/>
  <c r="U31" i="18"/>
  <c r="T31" i="18"/>
  <c r="Q31" i="18"/>
  <c r="P31" i="18"/>
  <c r="Y30" i="18"/>
  <c r="U30" i="18"/>
  <c r="T30" i="18"/>
  <c r="Q30" i="18"/>
  <c r="P30" i="18"/>
  <c r="Y29" i="18"/>
  <c r="U29" i="18"/>
  <c r="T29" i="18"/>
  <c r="Q29" i="18"/>
  <c r="P29" i="18"/>
  <c r="Y28" i="18"/>
  <c r="U28" i="18"/>
  <c r="T28" i="18"/>
  <c r="Q28" i="18"/>
  <c r="P28" i="18"/>
  <c r="Y27" i="18"/>
  <c r="U27" i="18"/>
  <c r="T27" i="18"/>
  <c r="Q27" i="18"/>
  <c r="P27" i="18"/>
  <c r="Y26" i="18"/>
  <c r="U26" i="18"/>
  <c r="T26" i="18"/>
  <c r="Q26" i="18"/>
  <c r="P26" i="18"/>
  <c r="U23" i="18"/>
  <c r="N5" i="18"/>
  <c r="N2" i="18"/>
  <c r="I2" i="18"/>
  <c r="A1" i="18"/>
  <c r="P183" i="17"/>
  <c r="O183" i="17"/>
  <c r="N183" i="17"/>
  <c r="P182" i="17"/>
  <c r="O182" i="17"/>
  <c r="N182" i="17"/>
  <c r="P181" i="17"/>
  <c r="O181" i="17"/>
  <c r="N181" i="17"/>
  <c r="P180" i="17"/>
  <c r="O180" i="17"/>
  <c r="N180" i="17"/>
  <c r="P179" i="17"/>
  <c r="O179" i="17"/>
  <c r="N179" i="17"/>
  <c r="P178" i="17"/>
  <c r="O178" i="17"/>
  <c r="N178" i="17"/>
  <c r="P177" i="17"/>
  <c r="O177" i="17"/>
  <c r="N177" i="17"/>
  <c r="P176" i="17"/>
  <c r="O176" i="17"/>
  <c r="N176" i="17"/>
  <c r="P175" i="17"/>
  <c r="O175" i="17"/>
  <c r="N175" i="17"/>
  <c r="P174" i="17"/>
  <c r="O174" i="17"/>
  <c r="N174" i="17"/>
  <c r="P173" i="17"/>
  <c r="O173" i="17"/>
  <c r="N173" i="17"/>
  <c r="P172" i="17"/>
  <c r="O172" i="17"/>
  <c r="N172" i="17"/>
  <c r="P171" i="17"/>
  <c r="O171" i="17"/>
  <c r="N171" i="17"/>
  <c r="P170" i="17"/>
  <c r="O170" i="17"/>
  <c r="N170" i="17"/>
  <c r="P169" i="17"/>
  <c r="O169" i="17"/>
  <c r="N169" i="17"/>
  <c r="P168" i="17"/>
  <c r="O168" i="17"/>
  <c r="N168" i="17"/>
  <c r="P167" i="17"/>
  <c r="O167" i="17"/>
  <c r="N167" i="17"/>
  <c r="P166" i="17"/>
  <c r="O166" i="17"/>
  <c r="N166" i="17"/>
  <c r="P165" i="17"/>
  <c r="O165" i="17"/>
  <c r="N165" i="17"/>
  <c r="P164" i="17"/>
  <c r="O164" i="17"/>
  <c r="N164" i="17"/>
  <c r="P163" i="17"/>
  <c r="O163" i="17"/>
  <c r="N163" i="17"/>
  <c r="P162" i="17"/>
  <c r="O162" i="17"/>
  <c r="N162" i="17"/>
  <c r="P161" i="17"/>
  <c r="O161" i="17"/>
  <c r="N161" i="17"/>
  <c r="P160" i="17"/>
  <c r="O160" i="17"/>
  <c r="N160" i="17"/>
  <c r="P159" i="17"/>
  <c r="O159" i="17"/>
  <c r="N159" i="17"/>
  <c r="P158" i="17"/>
  <c r="O158" i="17"/>
  <c r="N158" i="17"/>
  <c r="P157" i="17"/>
  <c r="O157" i="17"/>
  <c r="N157" i="17"/>
  <c r="P156" i="17"/>
  <c r="O156" i="17"/>
  <c r="N156" i="17"/>
  <c r="P155" i="17"/>
  <c r="O155" i="17"/>
  <c r="N155" i="17"/>
  <c r="P154" i="17"/>
  <c r="O154" i="17"/>
  <c r="N154" i="17"/>
  <c r="P153" i="17"/>
  <c r="O153" i="17"/>
  <c r="N153" i="17"/>
  <c r="P152" i="17"/>
  <c r="O152" i="17"/>
  <c r="N152" i="17"/>
  <c r="P151" i="17"/>
  <c r="O151" i="17"/>
  <c r="N151" i="17"/>
  <c r="P150" i="17"/>
  <c r="O150" i="17"/>
  <c r="N150" i="17"/>
  <c r="P149" i="17"/>
  <c r="O149" i="17"/>
  <c r="N149" i="17"/>
  <c r="P148" i="17"/>
  <c r="O148" i="17"/>
  <c r="N148" i="17"/>
  <c r="P147" i="17"/>
  <c r="O147" i="17"/>
  <c r="N147" i="17"/>
  <c r="P146" i="17"/>
  <c r="O146" i="17"/>
  <c r="N146" i="17"/>
  <c r="P145" i="17"/>
  <c r="O145" i="17"/>
  <c r="N145" i="17"/>
  <c r="P144" i="17"/>
  <c r="O144" i="17"/>
  <c r="N144" i="17"/>
  <c r="P143" i="17"/>
  <c r="O143" i="17"/>
  <c r="N143" i="17"/>
  <c r="P142" i="17"/>
  <c r="O142" i="17"/>
  <c r="N142" i="17"/>
  <c r="P141" i="17"/>
  <c r="O141" i="17"/>
  <c r="N141" i="17"/>
  <c r="P140" i="17"/>
  <c r="O140" i="17"/>
  <c r="N140" i="17"/>
  <c r="P139" i="17"/>
  <c r="O139" i="17"/>
  <c r="N139" i="17"/>
  <c r="P138" i="17"/>
  <c r="O138" i="17"/>
  <c r="N138" i="17"/>
  <c r="P137" i="17"/>
  <c r="O137" i="17"/>
  <c r="N137" i="17"/>
  <c r="R136" i="17"/>
  <c r="Q136" i="17"/>
  <c r="P136" i="17"/>
  <c r="N136" i="17"/>
  <c r="K131" i="17"/>
  <c r="J131" i="17"/>
  <c r="I131" i="17"/>
  <c r="H131" i="17"/>
  <c r="O131" i="17" s="1"/>
  <c r="G131" i="17"/>
  <c r="F131" i="17"/>
  <c r="E131" i="17"/>
  <c r="D131" i="17"/>
  <c r="C131" i="17"/>
  <c r="K130" i="17"/>
  <c r="J130" i="17"/>
  <c r="I130" i="17"/>
  <c r="H130" i="17"/>
  <c r="O130" i="17" s="1"/>
  <c r="G130" i="17"/>
  <c r="F130" i="17"/>
  <c r="E130" i="17"/>
  <c r="D130" i="17"/>
  <c r="C130" i="17"/>
  <c r="K129" i="17"/>
  <c r="J129" i="17"/>
  <c r="I129" i="17"/>
  <c r="H129" i="17"/>
  <c r="G129" i="17"/>
  <c r="F129" i="17"/>
  <c r="E129" i="17"/>
  <c r="D129" i="17"/>
  <c r="C129" i="17"/>
  <c r="K128" i="17"/>
  <c r="J128" i="17"/>
  <c r="I128" i="17"/>
  <c r="H128" i="17"/>
  <c r="O128" i="17" s="1"/>
  <c r="G128" i="17"/>
  <c r="F128" i="17"/>
  <c r="E128" i="17"/>
  <c r="D128" i="17"/>
  <c r="C128" i="17"/>
  <c r="K127" i="17"/>
  <c r="J127" i="17"/>
  <c r="I127" i="17"/>
  <c r="H127" i="17"/>
  <c r="O127" i="17" s="1"/>
  <c r="G127" i="17"/>
  <c r="F127" i="17"/>
  <c r="E127" i="17"/>
  <c r="D127" i="17"/>
  <c r="C127" i="17"/>
  <c r="K126" i="17"/>
  <c r="J126" i="17"/>
  <c r="I126" i="17"/>
  <c r="H126" i="17"/>
  <c r="O126" i="17" s="1"/>
  <c r="V126" i="17" s="1"/>
  <c r="G126" i="17"/>
  <c r="F126" i="17"/>
  <c r="E126" i="17"/>
  <c r="D126" i="17"/>
  <c r="C126" i="17"/>
  <c r="K125" i="17"/>
  <c r="J125" i="17"/>
  <c r="I125" i="17"/>
  <c r="H125" i="17"/>
  <c r="O125" i="17" s="1"/>
  <c r="G125" i="17"/>
  <c r="F125" i="17"/>
  <c r="E125" i="17"/>
  <c r="D125" i="17"/>
  <c r="C125" i="17"/>
  <c r="K124" i="17"/>
  <c r="J124" i="17"/>
  <c r="I124" i="17"/>
  <c r="H124" i="17"/>
  <c r="G124" i="17"/>
  <c r="F124" i="17"/>
  <c r="E124" i="17"/>
  <c r="D124" i="17"/>
  <c r="C124" i="17"/>
  <c r="K123" i="17"/>
  <c r="J123" i="17"/>
  <c r="I123" i="17"/>
  <c r="H123" i="17"/>
  <c r="O123" i="17" s="1"/>
  <c r="G123" i="17"/>
  <c r="F123" i="17"/>
  <c r="E123" i="17"/>
  <c r="D123" i="17"/>
  <c r="C123" i="17"/>
  <c r="K122" i="17"/>
  <c r="J122" i="17"/>
  <c r="I122" i="17"/>
  <c r="H122" i="17"/>
  <c r="O122" i="17" s="1"/>
  <c r="G122" i="17"/>
  <c r="F122" i="17"/>
  <c r="E122" i="17"/>
  <c r="D122" i="17"/>
  <c r="C122" i="17"/>
  <c r="K121" i="17"/>
  <c r="J121" i="17"/>
  <c r="I121" i="17"/>
  <c r="H121" i="17"/>
  <c r="G121" i="17"/>
  <c r="F121" i="17"/>
  <c r="E121" i="17"/>
  <c r="D121" i="17"/>
  <c r="C121" i="17"/>
  <c r="K120" i="17"/>
  <c r="J120" i="17"/>
  <c r="I120" i="17"/>
  <c r="H120" i="17"/>
  <c r="O120" i="17" s="1"/>
  <c r="G120" i="17"/>
  <c r="F120" i="17"/>
  <c r="E120" i="17"/>
  <c r="D120" i="17"/>
  <c r="C120" i="17"/>
  <c r="K119" i="17"/>
  <c r="J119" i="17"/>
  <c r="I119" i="17"/>
  <c r="H119" i="17"/>
  <c r="O119" i="17" s="1"/>
  <c r="V119" i="17" s="1"/>
  <c r="G119" i="17"/>
  <c r="F119" i="17"/>
  <c r="E119" i="17"/>
  <c r="D119" i="17"/>
  <c r="C119" i="17"/>
  <c r="K118" i="17"/>
  <c r="J118" i="17"/>
  <c r="I118" i="17"/>
  <c r="H118" i="17"/>
  <c r="O118" i="17" s="1"/>
  <c r="G118" i="17"/>
  <c r="F118" i="17"/>
  <c r="E118" i="17"/>
  <c r="D118" i="17"/>
  <c r="C118" i="17"/>
  <c r="K117" i="17"/>
  <c r="J117" i="17"/>
  <c r="I117" i="17"/>
  <c r="H117" i="17"/>
  <c r="O117" i="17" s="1"/>
  <c r="V117" i="17" s="1"/>
  <c r="G117" i="17"/>
  <c r="F117" i="17"/>
  <c r="E117" i="17"/>
  <c r="D117" i="17"/>
  <c r="C117" i="17"/>
  <c r="K116" i="17"/>
  <c r="J116" i="17"/>
  <c r="I116" i="17"/>
  <c r="H116" i="17"/>
  <c r="G116" i="17"/>
  <c r="F116" i="17"/>
  <c r="E116" i="17"/>
  <c r="D116" i="17"/>
  <c r="C116" i="17"/>
  <c r="K115" i="17"/>
  <c r="J115" i="17"/>
  <c r="I115" i="17"/>
  <c r="H115" i="17"/>
  <c r="O115" i="17" s="1"/>
  <c r="G115" i="17"/>
  <c r="F115" i="17"/>
  <c r="E115" i="17"/>
  <c r="D115" i="17"/>
  <c r="C115" i="17"/>
  <c r="K114" i="17"/>
  <c r="J114" i="17"/>
  <c r="I114" i="17"/>
  <c r="H114" i="17"/>
  <c r="O114" i="17" s="1"/>
  <c r="G114" i="17"/>
  <c r="F114" i="17"/>
  <c r="E114" i="17"/>
  <c r="D114" i="17"/>
  <c r="C114" i="17"/>
  <c r="K113" i="17"/>
  <c r="J113" i="17"/>
  <c r="I113" i="17"/>
  <c r="H113" i="17"/>
  <c r="G113" i="17"/>
  <c r="F113" i="17"/>
  <c r="E113" i="17"/>
  <c r="D113" i="17"/>
  <c r="C113" i="17"/>
  <c r="K112" i="17"/>
  <c r="J112" i="17"/>
  <c r="I112" i="17"/>
  <c r="H112" i="17"/>
  <c r="O112" i="17" s="1"/>
  <c r="G112" i="17"/>
  <c r="F112" i="17"/>
  <c r="E112" i="17"/>
  <c r="D112" i="17"/>
  <c r="C112" i="17"/>
  <c r="K111" i="17"/>
  <c r="J111" i="17"/>
  <c r="I111" i="17"/>
  <c r="H111" i="17"/>
  <c r="O111" i="17" s="1"/>
  <c r="G111" i="17"/>
  <c r="F111" i="17"/>
  <c r="E111" i="17"/>
  <c r="D111" i="17"/>
  <c r="C111" i="17"/>
  <c r="K110" i="17"/>
  <c r="J110" i="17"/>
  <c r="I110" i="17"/>
  <c r="H110" i="17"/>
  <c r="G110" i="17"/>
  <c r="F110" i="17"/>
  <c r="E110" i="17"/>
  <c r="D110" i="17"/>
  <c r="C110" i="17"/>
  <c r="K109" i="17"/>
  <c r="J109" i="17"/>
  <c r="I109" i="17"/>
  <c r="H109" i="17"/>
  <c r="O109" i="17" s="1"/>
  <c r="G109" i="17"/>
  <c r="F109" i="17"/>
  <c r="E109" i="17"/>
  <c r="D109" i="17"/>
  <c r="C109" i="17"/>
  <c r="K108" i="17"/>
  <c r="J108" i="17"/>
  <c r="I108" i="17"/>
  <c r="H108" i="17"/>
  <c r="G108" i="17"/>
  <c r="F108" i="17"/>
  <c r="E108" i="17"/>
  <c r="D108" i="17"/>
  <c r="C108" i="17"/>
  <c r="K107" i="17"/>
  <c r="J107" i="17"/>
  <c r="I107" i="17"/>
  <c r="H107" i="17"/>
  <c r="O107" i="17" s="1"/>
  <c r="G107" i="17"/>
  <c r="F107" i="17"/>
  <c r="E107" i="17"/>
  <c r="D107" i="17"/>
  <c r="C107" i="17"/>
  <c r="K106" i="17"/>
  <c r="J106" i="17"/>
  <c r="I106" i="17"/>
  <c r="H106" i="17"/>
  <c r="O106" i="17" s="1"/>
  <c r="V106" i="17" s="1"/>
  <c r="G106" i="17"/>
  <c r="F106" i="17"/>
  <c r="E106" i="17"/>
  <c r="D106" i="17"/>
  <c r="C106" i="17"/>
  <c r="K105" i="17"/>
  <c r="J105" i="17"/>
  <c r="I105" i="17"/>
  <c r="H105" i="17"/>
  <c r="G105" i="17"/>
  <c r="F105" i="17"/>
  <c r="E105" i="17"/>
  <c r="D105" i="17"/>
  <c r="C105" i="17"/>
  <c r="K104" i="17"/>
  <c r="J104" i="17"/>
  <c r="I104" i="17"/>
  <c r="H104" i="17"/>
  <c r="O104" i="17" s="1"/>
  <c r="G104" i="17"/>
  <c r="F104" i="17"/>
  <c r="E104" i="17"/>
  <c r="D104" i="17"/>
  <c r="C104" i="17"/>
  <c r="K103" i="17"/>
  <c r="J103" i="17"/>
  <c r="I103" i="17"/>
  <c r="H103" i="17"/>
  <c r="O103" i="17" s="1"/>
  <c r="G103" i="17"/>
  <c r="F103" i="17"/>
  <c r="E103" i="17"/>
  <c r="D103" i="17"/>
  <c r="C103" i="17"/>
  <c r="K102" i="17"/>
  <c r="J102" i="17"/>
  <c r="I102" i="17"/>
  <c r="H102" i="17"/>
  <c r="G102" i="17"/>
  <c r="F102" i="17"/>
  <c r="E102" i="17"/>
  <c r="D102" i="17"/>
  <c r="C102" i="17"/>
  <c r="K101" i="17"/>
  <c r="J101" i="17"/>
  <c r="I101" i="17"/>
  <c r="H101" i="17"/>
  <c r="O101" i="17" s="1"/>
  <c r="V101" i="17" s="1"/>
  <c r="G101" i="17"/>
  <c r="F101" i="17"/>
  <c r="E101" i="17"/>
  <c r="D101" i="17"/>
  <c r="C101" i="17"/>
  <c r="K100" i="17"/>
  <c r="J100" i="17"/>
  <c r="I100" i="17"/>
  <c r="H100" i="17"/>
  <c r="G100" i="17"/>
  <c r="F100" i="17"/>
  <c r="E100" i="17"/>
  <c r="D100" i="17"/>
  <c r="C100" i="17"/>
  <c r="K99" i="17"/>
  <c r="J99" i="17"/>
  <c r="I99" i="17"/>
  <c r="H99" i="17"/>
  <c r="G99" i="17"/>
  <c r="F99" i="17"/>
  <c r="E99" i="17"/>
  <c r="D99" i="17"/>
  <c r="C99" i="17"/>
  <c r="K98" i="17"/>
  <c r="J98" i="17"/>
  <c r="I98" i="17"/>
  <c r="H98" i="17"/>
  <c r="O98" i="17" s="1"/>
  <c r="V98" i="17" s="1"/>
  <c r="G98" i="17"/>
  <c r="F98" i="17"/>
  <c r="E98" i="17"/>
  <c r="D98" i="17"/>
  <c r="C98" i="17"/>
  <c r="K97" i="17"/>
  <c r="J97" i="17"/>
  <c r="I97" i="17"/>
  <c r="H97" i="17"/>
  <c r="G97" i="17"/>
  <c r="F97" i="17"/>
  <c r="E97" i="17"/>
  <c r="D97" i="17"/>
  <c r="C97" i="17"/>
  <c r="K96" i="17"/>
  <c r="J96" i="17"/>
  <c r="I96" i="17"/>
  <c r="H96" i="17"/>
  <c r="O96" i="17" s="1"/>
  <c r="G96" i="17"/>
  <c r="F96" i="17"/>
  <c r="E96" i="17"/>
  <c r="D96" i="17"/>
  <c r="C96" i="17"/>
  <c r="K95" i="17"/>
  <c r="J95" i="17"/>
  <c r="I95" i="17"/>
  <c r="H95" i="17"/>
  <c r="O95" i="17" s="1"/>
  <c r="G95" i="17"/>
  <c r="F95" i="17"/>
  <c r="E95" i="17"/>
  <c r="D95" i="17"/>
  <c r="C95" i="17"/>
  <c r="K94" i="17"/>
  <c r="J94" i="17"/>
  <c r="I94" i="17"/>
  <c r="H94" i="17"/>
  <c r="G94" i="17"/>
  <c r="F94" i="17"/>
  <c r="E94" i="17"/>
  <c r="D94" i="17"/>
  <c r="C94" i="17"/>
  <c r="K93" i="17"/>
  <c r="J93" i="17"/>
  <c r="I93" i="17"/>
  <c r="H93" i="17"/>
  <c r="O93" i="17" s="1"/>
  <c r="V93" i="17" s="1"/>
  <c r="G93" i="17"/>
  <c r="F93" i="17"/>
  <c r="E93" i="17"/>
  <c r="D93" i="17"/>
  <c r="C93" i="17"/>
  <c r="K92" i="17"/>
  <c r="J92" i="17"/>
  <c r="I92" i="17"/>
  <c r="H92" i="17"/>
  <c r="G92" i="17"/>
  <c r="F92" i="17"/>
  <c r="E92" i="17"/>
  <c r="D92" i="17"/>
  <c r="C92" i="17"/>
  <c r="K91" i="17"/>
  <c r="J91" i="17"/>
  <c r="I91" i="17"/>
  <c r="H91" i="17"/>
  <c r="O91" i="17" s="1"/>
  <c r="V91" i="17" s="1"/>
  <c r="G91" i="17"/>
  <c r="F91" i="17"/>
  <c r="E91" i="17"/>
  <c r="D91" i="17"/>
  <c r="C91" i="17"/>
  <c r="K90" i="17"/>
  <c r="J90" i="17"/>
  <c r="I90" i="17"/>
  <c r="H90" i="17"/>
  <c r="O90" i="17" s="1"/>
  <c r="G90" i="17"/>
  <c r="F90" i="17"/>
  <c r="E90" i="17"/>
  <c r="D90" i="17"/>
  <c r="C90" i="17"/>
  <c r="K89" i="17"/>
  <c r="J89" i="17"/>
  <c r="I89" i="17"/>
  <c r="H89" i="17"/>
  <c r="G89" i="17"/>
  <c r="F89" i="17"/>
  <c r="E89" i="17"/>
  <c r="D89" i="17"/>
  <c r="C89" i="17"/>
  <c r="K88" i="17"/>
  <c r="J88" i="17"/>
  <c r="I88" i="17"/>
  <c r="H88" i="17"/>
  <c r="O88" i="17" s="1"/>
  <c r="V88" i="17" s="1"/>
  <c r="G88" i="17"/>
  <c r="F88" i="17"/>
  <c r="E88" i="17"/>
  <c r="D88" i="17"/>
  <c r="C88" i="17"/>
  <c r="K87" i="17"/>
  <c r="J87" i="17"/>
  <c r="I87" i="17"/>
  <c r="H87" i="17"/>
  <c r="O87" i="17" s="1"/>
  <c r="G87" i="17"/>
  <c r="F87" i="17"/>
  <c r="E87" i="17"/>
  <c r="D87" i="17"/>
  <c r="C87" i="17"/>
  <c r="K86" i="17"/>
  <c r="J86" i="17"/>
  <c r="I86" i="17"/>
  <c r="H86" i="17"/>
  <c r="O86" i="17" s="1"/>
  <c r="G86" i="17"/>
  <c r="F86" i="17"/>
  <c r="E86" i="17"/>
  <c r="D86" i="17"/>
  <c r="C86" i="17"/>
  <c r="K85" i="17"/>
  <c r="J85" i="17"/>
  <c r="I85" i="17"/>
  <c r="H85" i="17"/>
  <c r="O85" i="17" s="1"/>
  <c r="V85" i="17" s="1"/>
  <c r="X85" i="17" s="1"/>
  <c r="G85" i="17"/>
  <c r="F85" i="17"/>
  <c r="E85" i="17"/>
  <c r="D85" i="17"/>
  <c r="C85" i="17"/>
  <c r="Y84" i="17"/>
  <c r="W84" i="17"/>
  <c r="U84" i="17"/>
  <c r="Y72" i="17"/>
  <c r="U72" i="17"/>
  <c r="T72" i="17"/>
  <c r="Q72" i="17"/>
  <c r="P72" i="17"/>
  <c r="Y71" i="17"/>
  <c r="U71" i="17"/>
  <c r="T71" i="17"/>
  <c r="Q71" i="17"/>
  <c r="P71" i="17"/>
  <c r="Y70" i="17"/>
  <c r="U70" i="17"/>
  <c r="T70" i="17"/>
  <c r="Q70" i="17"/>
  <c r="P70" i="17"/>
  <c r="Y69" i="17"/>
  <c r="U69" i="17"/>
  <c r="T69" i="17"/>
  <c r="Q69" i="17"/>
  <c r="P69" i="17"/>
  <c r="Y68" i="17"/>
  <c r="U68" i="17"/>
  <c r="T68" i="17"/>
  <c r="Q68" i="17"/>
  <c r="P68" i="17"/>
  <c r="Y67" i="17"/>
  <c r="U67" i="17"/>
  <c r="T67" i="17"/>
  <c r="Q67" i="17"/>
  <c r="P67" i="17"/>
  <c r="Y66" i="17"/>
  <c r="U66" i="17"/>
  <c r="T66" i="17"/>
  <c r="Q66" i="17"/>
  <c r="P66" i="17"/>
  <c r="Y65" i="17"/>
  <c r="U65" i="17"/>
  <c r="T65" i="17"/>
  <c r="Q65" i="17"/>
  <c r="P65" i="17"/>
  <c r="Y64" i="17"/>
  <c r="U64" i="17"/>
  <c r="T64" i="17"/>
  <c r="Q64" i="17"/>
  <c r="P64" i="17"/>
  <c r="Y63" i="17"/>
  <c r="U63" i="17"/>
  <c r="T63" i="17"/>
  <c r="Q63" i="17"/>
  <c r="P63" i="17"/>
  <c r="Y62" i="17"/>
  <c r="U62" i="17"/>
  <c r="Q62" i="17"/>
  <c r="P62" i="17"/>
  <c r="Y61" i="17"/>
  <c r="U61" i="17"/>
  <c r="Q61" i="17"/>
  <c r="P61" i="17"/>
  <c r="Y60" i="17"/>
  <c r="U60" i="17"/>
  <c r="Q60" i="17"/>
  <c r="P60" i="17"/>
  <c r="Y59" i="17"/>
  <c r="U59" i="17"/>
  <c r="Q59" i="17"/>
  <c r="P59" i="17"/>
  <c r="Y58" i="17"/>
  <c r="U58" i="17"/>
  <c r="Q58" i="17"/>
  <c r="P58" i="17"/>
  <c r="Y57" i="17"/>
  <c r="U57" i="17"/>
  <c r="Q57" i="17"/>
  <c r="P57" i="17"/>
  <c r="Y56" i="17"/>
  <c r="U56" i="17"/>
  <c r="Q56" i="17"/>
  <c r="P56" i="17"/>
  <c r="Y55" i="17"/>
  <c r="U55" i="17"/>
  <c r="Q55" i="17"/>
  <c r="P55" i="17"/>
  <c r="Y54" i="17"/>
  <c r="U54" i="17"/>
  <c r="Q54" i="17"/>
  <c r="P54" i="17"/>
  <c r="Y53" i="17"/>
  <c r="U53" i="17"/>
  <c r="Q53" i="17"/>
  <c r="P53" i="17"/>
  <c r="Y52" i="17"/>
  <c r="U52" i="17"/>
  <c r="Q52" i="17"/>
  <c r="P52" i="17"/>
  <c r="Y51" i="17"/>
  <c r="U51" i="17"/>
  <c r="Q51" i="17"/>
  <c r="P51" i="17"/>
  <c r="Y50" i="17"/>
  <c r="U50" i="17"/>
  <c r="Q50" i="17"/>
  <c r="P50" i="17"/>
  <c r="Y49" i="17"/>
  <c r="U49" i="17"/>
  <c r="Q49" i="17"/>
  <c r="P49" i="17"/>
  <c r="Y48" i="17"/>
  <c r="U48" i="17"/>
  <c r="Q48" i="17"/>
  <c r="P48" i="17"/>
  <c r="Y47" i="17"/>
  <c r="U47" i="17"/>
  <c r="Q47" i="17"/>
  <c r="P47" i="17"/>
  <c r="Y46" i="17"/>
  <c r="U46" i="17"/>
  <c r="Q46" i="17"/>
  <c r="P46" i="17"/>
  <c r="Y45" i="17"/>
  <c r="U45" i="17"/>
  <c r="Q45" i="17"/>
  <c r="P45" i="17"/>
  <c r="Y44" i="17"/>
  <c r="U44" i="17"/>
  <c r="Q44" i="17"/>
  <c r="P44" i="17"/>
  <c r="Y43" i="17"/>
  <c r="U43" i="17"/>
  <c r="Q43" i="17"/>
  <c r="P43" i="17"/>
  <c r="Y42" i="17"/>
  <c r="U42" i="17"/>
  <c r="Q42" i="17"/>
  <c r="P42" i="17"/>
  <c r="Y41" i="17"/>
  <c r="U41" i="17"/>
  <c r="Q41" i="17"/>
  <c r="P41" i="17"/>
  <c r="Y40" i="17"/>
  <c r="U40" i="17"/>
  <c r="Q40" i="17"/>
  <c r="P40" i="17"/>
  <c r="Y39" i="17"/>
  <c r="U39" i="17"/>
  <c r="Q39" i="17"/>
  <c r="P39" i="17"/>
  <c r="Y38" i="17"/>
  <c r="U38" i="17"/>
  <c r="Q38" i="17"/>
  <c r="P38" i="17"/>
  <c r="Y37" i="17"/>
  <c r="U37" i="17"/>
  <c r="Q37" i="17"/>
  <c r="P37" i="17"/>
  <c r="Y36" i="17"/>
  <c r="U36" i="17"/>
  <c r="Q36" i="17"/>
  <c r="P36" i="17"/>
  <c r="Y35" i="17"/>
  <c r="U35" i="17"/>
  <c r="Q35" i="17"/>
  <c r="P35" i="17"/>
  <c r="Y34" i="17"/>
  <c r="U34" i="17"/>
  <c r="Q34" i="17"/>
  <c r="P34" i="17"/>
  <c r="Y33" i="17"/>
  <c r="U33" i="17"/>
  <c r="Q33" i="17"/>
  <c r="P33" i="17"/>
  <c r="Y32" i="17"/>
  <c r="U32" i="17"/>
  <c r="Q32" i="17"/>
  <c r="P32" i="17"/>
  <c r="Y31" i="17"/>
  <c r="U31" i="17"/>
  <c r="T31" i="17"/>
  <c r="Q31" i="17"/>
  <c r="P31" i="17"/>
  <c r="Y30" i="17"/>
  <c r="U30" i="17"/>
  <c r="T30" i="17"/>
  <c r="Q30" i="17"/>
  <c r="P30" i="17"/>
  <c r="Y29" i="17"/>
  <c r="U29" i="17"/>
  <c r="T29" i="17"/>
  <c r="Q29" i="17"/>
  <c r="P29" i="17"/>
  <c r="Y28" i="17"/>
  <c r="U28" i="17"/>
  <c r="T28" i="17"/>
  <c r="Q28" i="17"/>
  <c r="P28" i="17"/>
  <c r="Y27" i="17"/>
  <c r="U27" i="17"/>
  <c r="T27" i="17"/>
  <c r="Q27" i="17"/>
  <c r="P27" i="17"/>
  <c r="Y26" i="17"/>
  <c r="U26" i="17"/>
  <c r="T26" i="17"/>
  <c r="Q26" i="17"/>
  <c r="P26" i="17"/>
  <c r="U23" i="17"/>
  <c r="N5" i="17"/>
  <c r="N2" i="17"/>
  <c r="I2" i="17"/>
  <c r="A1" i="17"/>
  <c r="P183" i="16"/>
  <c r="O183" i="16"/>
  <c r="N183" i="16"/>
  <c r="P182" i="16"/>
  <c r="O182" i="16"/>
  <c r="N182" i="16"/>
  <c r="P181" i="16"/>
  <c r="O181" i="16"/>
  <c r="N181" i="16"/>
  <c r="P180" i="16"/>
  <c r="O180" i="16"/>
  <c r="N180" i="16"/>
  <c r="Q180" i="16" s="1"/>
  <c r="R180" i="16" s="1"/>
  <c r="P179" i="16"/>
  <c r="O179" i="16"/>
  <c r="N179" i="16"/>
  <c r="P178" i="16"/>
  <c r="O178" i="16"/>
  <c r="N178" i="16"/>
  <c r="P177" i="16"/>
  <c r="O177" i="16"/>
  <c r="N177" i="16"/>
  <c r="P176" i="16"/>
  <c r="O176" i="16"/>
  <c r="N176" i="16"/>
  <c r="P175" i="16"/>
  <c r="O175" i="16"/>
  <c r="N175" i="16"/>
  <c r="P174" i="16"/>
  <c r="O174" i="16"/>
  <c r="N174" i="16"/>
  <c r="P173" i="16"/>
  <c r="O173" i="16"/>
  <c r="N173" i="16"/>
  <c r="P172" i="16"/>
  <c r="O172" i="16"/>
  <c r="N172" i="16"/>
  <c r="Q172" i="16" s="1"/>
  <c r="R172" i="16" s="1"/>
  <c r="P171" i="16"/>
  <c r="O171" i="16"/>
  <c r="N171" i="16"/>
  <c r="P170" i="16"/>
  <c r="O170" i="16"/>
  <c r="N170" i="16"/>
  <c r="P169" i="16"/>
  <c r="O169" i="16"/>
  <c r="N169" i="16"/>
  <c r="P168" i="16"/>
  <c r="O168" i="16"/>
  <c r="N168" i="16"/>
  <c r="P167" i="16"/>
  <c r="O167" i="16"/>
  <c r="N167" i="16"/>
  <c r="P166" i="16"/>
  <c r="O166" i="16"/>
  <c r="N166" i="16"/>
  <c r="P165" i="16"/>
  <c r="O165" i="16"/>
  <c r="N165" i="16"/>
  <c r="P164" i="16"/>
  <c r="O164" i="16"/>
  <c r="N164" i="16"/>
  <c r="Q164" i="16" s="1"/>
  <c r="P163" i="16"/>
  <c r="O163" i="16"/>
  <c r="N163" i="16"/>
  <c r="P162" i="16"/>
  <c r="O162" i="16"/>
  <c r="N162" i="16"/>
  <c r="P161" i="16"/>
  <c r="O161" i="16"/>
  <c r="N161" i="16"/>
  <c r="P160" i="16"/>
  <c r="O160" i="16"/>
  <c r="N160" i="16"/>
  <c r="P159" i="16"/>
  <c r="O159" i="16"/>
  <c r="N159" i="16"/>
  <c r="P158" i="16"/>
  <c r="O158" i="16"/>
  <c r="N158" i="16"/>
  <c r="P157" i="16"/>
  <c r="O157" i="16"/>
  <c r="N157" i="16"/>
  <c r="P156" i="16"/>
  <c r="O156" i="16"/>
  <c r="N156" i="16"/>
  <c r="P155" i="16"/>
  <c r="O155" i="16"/>
  <c r="N155" i="16"/>
  <c r="P154" i="16"/>
  <c r="O154" i="16"/>
  <c r="N154" i="16"/>
  <c r="P153" i="16"/>
  <c r="O153" i="16"/>
  <c r="N153" i="16"/>
  <c r="P152" i="16"/>
  <c r="O152" i="16"/>
  <c r="N152" i="16"/>
  <c r="P151" i="16"/>
  <c r="O151" i="16"/>
  <c r="N151" i="16"/>
  <c r="P150" i="16"/>
  <c r="O150" i="16"/>
  <c r="N150" i="16"/>
  <c r="P149" i="16"/>
  <c r="O149" i="16"/>
  <c r="N149" i="16"/>
  <c r="P148" i="16"/>
  <c r="O148" i="16"/>
  <c r="N148" i="16"/>
  <c r="P147" i="16"/>
  <c r="O147" i="16"/>
  <c r="N147" i="16"/>
  <c r="P146" i="16"/>
  <c r="O146" i="16"/>
  <c r="N146" i="16"/>
  <c r="P145" i="16"/>
  <c r="O145" i="16"/>
  <c r="N145" i="16"/>
  <c r="P144" i="16"/>
  <c r="O144" i="16"/>
  <c r="N144" i="16"/>
  <c r="P143" i="16"/>
  <c r="O143" i="16"/>
  <c r="N143" i="16"/>
  <c r="P142" i="16"/>
  <c r="O142" i="16"/>
  <c r="N142" i="16"/>
  <c r="P141" i="16"/>
  <c r="O141" i="16"/>
  <c r="N141" i="16"/>
  <c r="P140" i="16"/>
  <c r="O140" i="16"/>
  <c r="N140" i="16"/>
  <c r="P139" i="16"/>
  <c r="O139" i="16"/>
  <c r="N139" i="16"/>
  <c r="P138" i="16"/>
  <c r="O138" i="16"/>
  <c r="N138" i="16"/>
  <c r="P137" i="16"/>
  <c r="O137" i="16"/>
  <c r="N137" i="16"/>
  <c r="R136" i="16"/>
  <c r="Q136" i="16"/>
  <c r="P136" i="16"/>
  <c r="N136" i="16"/>
  <c r="K131" i="16"/>
  <c r="J131" i="16"/>
  <c r="I131" i="16"/>
  <c r="H131" i="16"/>
  <c r="O131" i="16" s="1"/>
  <c r="G131" i="16"/>
  <c r="F131" i="16"/>
  <c r="E131" i="16"/>
  <c r="D131" i="16"/>
  <c r="C131" i="16"/>
  <c r="K130" i="16"/>
  <c r="J130" i="16"/>
  <c r="I130" i="16"/>
  <c r="H130" i="16"/>
  <c r="O130" i="16" s="1"/>
  <c r="V130" i="16" s="1"/>
  <c r="G130" i="16"/>
  <c r="F130" i="16"/>
  <c r="E130" i="16"/>
  <c r="D130" i="16"/>
  <c r="C130" i="16"/>
  <c r="K129" i="16"/>
  <c r="J129" i="16"/>
  <c r="I129" i="16"/>
  <c r="H129" i="16"/>
  <c r="G129" i="16"/>
  <c r="F129" i="16"/>
  <c r="E129" i="16"/>
  <c r="D129" i="16"/>
  <c r="C129" i="16"/>
  <c r="K128" i="16"/>
  <c r="J128" i="16"/>
  <c r="I128" i="16"/>
  <c r="H128" i="16"/>
  <c r="G128" i="16"/>
  <c r="F128" i="16"/>
  <c r="E128" i="16"/>
  <c r="D128" i="16"/>
  <c r="C128" i="16"/>
  <c r="K127" i="16"/>
  <c r="J127" i="16"/>
  <c r="I127" i="16"/>
  <c r="H127" i="16"/>
  <c r="O127" i="16" s="1"/>
  <c r="G127" i="16"/>
  <c r="F127" i="16"/>
  <c r="E127" i="16"/>
  <c r="D127" i="16"/>
  <c r="C127" i="16"/>
  <c r="K126" i="16"/>
  <c r="J126" i="16"/>
  <c r="I126" i="16"/>
  <c r="H126" i="16"/>
  <c r="O126" i="16" s="1"/>
  <c r="V126" i="16" s="1"/>
  <c r="G126" i="16"/>
  <c r="F126" i="16"/>
  <c r="E126" i="16"/>
  <c r="D126" i="16"/>
  <c r="C126" i="16"/>
  <c r="K125" i="16"/>
  <c r="J125" i="16"/>
  <c r="I125" i="16"/>
  <c r="H125" i="16"/>
  <c r="O125" i="16" s="1"/>
  <c r="G125" i="16"/>
  <c r="F125" i="16"/>
  <c r="E125" i="16"/>
  <c r="D125" i="16"/>
  <c r="C125" i="16"/>
  <c r="K124" i="16"/>
  <c r="J124" i="16"/>
  <c r="I124" i="16"/>
  <c r="H124" i="16"/>
  <c r="O124" i="16" s="1"/>
  <c r="G124" i="16"/>
  <c r="F124" i="16"/>
  <c r="E124" i="16"/>
  <c r="D124" i="16"/>
  <c r="C124" i="16"/>
  <c r="K123" i="16"/>
  <c r="J123" i="16"/>
  <c r="I123" i="16"/>
  <c r="H123" i="16"/>
  <c r="O123" i="16" s="1"/>
  <c r="G123" i="16"/>
  <c r="F123" i="16"/>
  <c r="E123" i="16"/>
  <c r="D123" i="16"/>
  <c r="C123" i="16"/>
  <c r="K122" i="16"/>
  <c r="J122" i="16"/>
  <c r="I122" i="16"/>
  <c r="H122" i="16"/>
  <c r="G122" i="16"/>
  <c r="F122" i="16"/>
  <c r="E122" i="16"/>
  <c r="D122" i="16"/>
  <c r="C122" i="16"/>
  <c r="K121" i="16"/>
  <c r="J121" i="16"/>
  <c r="I121" i="16"/>
  <c r="H121" i="16"/>
  <c r="O121" i="16" s="1"/>
  <c r="G121" i="16"/>
  <c r="F121" i="16"/>
  <c r="E121" i="16"/>
  <c r="D121" i="16"/>
  <c r="C121" i="16"/>
  <c r="K120" i="16"/>
  <c r="J120" i="16"/>
  <c r="I120" i="16"/>
  <c r="H120" i="16"/>
  <c r="O120" i="16" s="1"/>
  <c r="G120" i="16"/>
  <c r="F120" i="16"/>
  <c r="E120" i="16"/>
  <c r="D120" i="16"/>
  <c r="C120" i="16"/>
  <c r="K119" i="16"/>
  <c r="J119" i="16"/>
  <c r="I119" i="16"/>
  <c r="H119" i="16"/>
  <c r="O119" i="16" s="1"/>
  <c r="G119" i="16"/>
  <c r="F119" i="16"/>
  <c r="E119" i="16"/>
  <c r="D119" i="16"/>
  <c r="C119" i="16"/>
  <c r="K118" i="16"/>
  <c r="J118" i="16"/>
  <c r="I118" i="16"/>
  <c r="H118" i="16"/>
  <c r="O118" i="16" s="1"/>
  <c r="V118" i="16" s="1"/>
  <c r="G118" i="16"/>
  <c r="F118" i="16"/>
  <c r="E118" i="16"/>
  <c r="D118" i="16"/>
  <c r="C118" i="16"/>
  <c r="K117" i="16"/>
  <c r="J117" i="16"/>
  <c r="I117" i="16"/>
  <c r="H117" i="16"/>
  <c r="O117" i="16" s="1"/>
  <c r="G117" i="16"/>
  <c r="F117" i="16"/>
  <c r="E117" i="16"/>
  <c r="D117" i="16"/>
  <c r="C117" i="16"/>
  <c r="K116" i="16"/>
  <c r="J116" i="16"/>
  <c r="I116" i="16"/>
  <c r="H116" i="16"/>
  <c r="O116" i="16" s="1"/>
  <c r="G116" i="16"/>
  <c r="F116" i="16"/>
  <c r="E116" i="16"/>
  <c r="D116" i="16"/>
  <c r="C116" i="16"/>
  <c r="K115" i="16"/>
  <c r="J115" i="16"/>
  <c r="I115" i="16"/>
  <c r="H115" i="16"/>
  <c r="O115" i="16" s="1"/>
  <c r="G115" i="16"/>
  <c r="F115" i="16"/>
  <c r="E115" i="16"/>
  <c r="D115" i="16"/>
  <c r="C115" i="16"/>
  <c r="K114" i="16"/>
  <c r="J114" i="16"/>
  <c r="I114" i="16"/>
  <c r="H114" i="16"/>
  <c r="G114" i="16"/>
  <c r="F114" i="16"/>
  <c r="E114" i="16"/>
  <c r="D114" i="16"/>
  <c r="C114" i="16"/>
  <c r="K113" i="16"/>
  <c r="J113" i="16"/>
  <c r="I113" i="16"/>
  <c r="H113" i="16"/>
  <c r="G113" i="16"/>
  <c r="F113" i="16"/>
  <c r="E113" i="16"/>
  <c r="D113" i="16"/>
  <c r="C113" i="16"/>
  <c r="K112" i="16"/>
  <c r="J112" i="16"/>
  <c r="I112" i="16"/>
  <c r="H112" i="16"/>
  <c r="O112" i="16" s="1"/>
  <c r="G112" i="16"/>
  <c r="F112" i="16"/>
  <c r="E112" i="16"/>
  <c r="D112" i="16"/>
  <c r="C112" i="16"/>
  <c r="K111" i="16"/>
  <c r="J111" i="16"/>
  <c r="I111" i="16"/>
  <c r="H111" i="16"/>
  <c r="O111" i="16" s="1"/>
  <c r="G111" i="16"/>
  <c r="F111" i="16"/>
  <c r="E111" i="16"/>
  <c r="D111" i="16"/>
  <c r="C111" i="16"/>
  <c r="K110" i="16"/>
  <c r="J110" i="16"/>
  <c r="I110" i="16"/>
  <c r="H110" i="16"/>
  <c r="O110" i="16" s="1"/>
  <c r="V110" i="16" s="1"/>
  <c r="G110" i="16"/>
  <c r="F110" i="16"/>
  <c r="E110" i="16"/>
  <c r="D110" i="16"/>
  <c r="C110" i="16"/>
  <c r="K109" i="16"/>
  <c r="J109" i="16"/>
  <c r="I109" i="16"/>
  <c r="H109" i="16"/>
  <c r="O109" i="16" s="1"/>
  <c r="G109" i="16"/>
  <c r="F109" i="16"/>
  <c r="E109" i="16"/>
  <c r="D109" i="16"/>
  <c r="C109" i="16"/>
  <c r="K108" i="16"/>
  <c r="J108" i="16"/>
  <c r="I108" i="16"/>
  <c r="H108" i="16"/>
  <c r="O108" i="16" s="1"/>
  <c r="G108" i="16"/>
  <c r="F108" i="16"/>
  <c r="E108" i="16"/>
  <c r="D108" i="16"/>
  <c r="C108" i="16"/>
  <c r="K107" i="16"/>
  <c r="J107" i="16"/>
  <c r="I107" i="16"/>
  <c r="H107" i="16"/>
  <c r="O107" i="16" s="1"/>
  <c r="G107" i="16"/>
  <c r="F107" i="16"/>
  <c r="E107" i="16"/>
  <c r="D107" i="16"/>
  <c r="C107" i="16"/>
  <c r="K106" i="16"/>
  <c r="J106" i="16"/>
  <c r="I106" i="16"/>
  <c r="H106" i="16"/>
  <c r="G106" i="16"/>
  <c r="F106" i="16"/>
  <c r="E106" i="16"/>
  <c r="D106" i="16"/>
  <c r="C106" i="16"/>
  <c r="K105" i="16"/>
  <c r="J105" i="16"/>
  <c r="I105" i="16"/>
  <c r="H105" i="16"/>
  <c r="G105" i="16"/>
  <c r="F105" i="16"/>
  <c r="E105" i="16"/>
  <c r="D105" i="16"/>
  <c r="C105" i="16"/>
  <c r="K104" i="16"/>
  <c r="J104" i="16"/>
  <c r="I104" i="16"/>
  <c r="H104" i="16"/>
  <c r="O104" i="16" s="1"/>
  <c r="G104" i="16"/>
  <c r="F104" i="16"/>
  <c r="E104" i="16"/>
  <c r="D104" i="16"/>
  <c r="C104" i="16"/>
  <c r="K103" i="16"/>
  <c r="J103" i="16"/>
  <c r="I103" i="16"/>
  <c r="H103" i="16"/>
  <c r="O103" i="16" s="1"/>
  <c r="G103" i="16"/>
  <c r="F103" i="16"/>
  <c r="E103" i="16"/>
  <c r="D103" i="16"/>
  <c r="C103" i="16"/>
  <c r="K102" i="16"/>
  <c r="J102" i="16"/>
  <c r="I102" i="16"/>
  <c r="H102" i="16"/>
  <c r="O102" i="16" s="1"/>
  <c r="V102" i="16" s="1"/>
  <c r="G102" i="16"/>
  <c r="F102" i="16"/>
  <c r="E102" i="16"/>
  <c r="D102" i="16"/>
  <c r="C102" i="16"/>
  <c r="K101" i="16"/>
  <c r="J101" i="16"/>
  <c r="I101" i="16"/>
  <c r="H101" i="16"/>
  <c r="O101" i="16" s="1"/>
  <c r="G101" i="16"/>
  <c r="F101" i="16"/>
  <c r="E101" i="16"/>
  <c r="D101" i="16"/>
  <c r="C101" i="16"/>
  <c r="K100" i="16"/>
  <c r="J100" i="16"/>
  <c r="I100" i="16"/>
  <c r="H100" i="16"/>
  <c r="O100" i="16" s="1"/>
  <c r="G100" i="16"/>
  <c r="F100" i="16"/>
  <c r="E100" i="16"/>
  <c r="D100" i="16"/>
  <c r="C100" i="16"/>
  <c r="K99" i="16"/>
  <c r="J99" i="16"/>
  <c r="I99" i="16"/>
  <c r="H99" i="16"/>
  <c r="O99" i="16" s="1"/>
  <c r="G99" i="16"/>
  <c r="F99" i="16"/>
  <c r="E99" i="16"/>
  <c r="D99" i="16"/>
  <c r="C99" i="16"/>
  <c r="K98" i="16"/>
  <c r="J98" i="16"/>
  <c r="I98" i="16"/>
  <c r="H98" i="16"/>
  <c r="G98" i="16"/>
  <c r="F98" i="16"/>
  <c r="E98" i="16"/>
  <c r="D98" i="16"/>
  <c r="C98" i="16"/>
  <c r="K97" i="16"/>
  <c r="J97" i="16"/>
  <c r="I97" i="16"/>
  <c r="H97" i="16"/>
  <c r="O97" i="16" s="1"/>
  <c r="G97" i="16"/>
  <c r="F97" i="16"/>
  <c r="E97" i="16"/>
  <c r="D97" i="16"/>
  <c r="C97" i="16"/>
  <c r="K96" i="16"/>
  <c r="J96" i="16"/>
  <c r="I96" i="16"/>
  <c r="H96" i="16"/>
  <c r="G96" i="16"/>
  <c r="F96" i="16"/>
  <c r="E96" i="16"/>
  <c r="D96" i="16"/>
  <c r="C96" i="16"/>
  <c r="K95" i="16"/>
  <c r="J95" i="16"/>
  <c r="I95" i="16"/>
  <c r="H95" i="16"/>
  <c r="O95" i="16" s="1"/>
  <c r="V95" i="16" s="1"/>
  <c r="G95" i="16"/>
  <c r="F95" i="16"/>
  <c r="E95" i="16"/>
  <c r="D95" i="16"/>
  <c r="C95" i="16"/>
  <c r="K94" i="16"/>
  <c r="J94" i="16"/>
  <c r="I94" i="16"/>
  <c r="H94" i="16"/>
  <c r="O94" i="16" s="1"/>
  <c r="V94" i="16" s="1"/>
  <c r="G94" i="16"/>
  <c r="F94" i="16"/>
  <c r="E94" i="16"/>
  <c r="D94" i="16"/>
  <c r="C94" i="16"/>
  <c r="K93" i="16"/>
  <c r="J93" i="16"/>
  <c r="I93" i="16"/>
  <c r="H93" i="16"/>
  <c r="O93" i="16" s="1"/>
  <c r="G93" i="16"/>
  <c r="F93" i="16"/>
  <c r="E93" i="16"/>
  <c r="D93" i="16"/>
  <c r="C93" i="16"/>
  <c r="K92" i="16"/>
  <c r="J92" i="16"/>
  <c r="I92" i="16"/>
  <c r="H92" i="16"/>
  <c r="O92" i="16" s="1"/>
  <c r="G92" i="16"/>
  <c r="F92" i="16"/>
  <c r="E92" i="16"/>
  <c r="D92" i="16"/>
  <c r="C92" i="16"/>
  <c r="K91" i="16"/>
  <c r="J91" i="16"/>
  <c r="I91" i="16"/>
  <c r="H91" i="16"/>
  <c r="O91" i="16" s="1"/>
  <c r="V91" i="16" s="1"/>
  <c r="G91" i="16"/>
  <c r="F91" i="16"/>
  <c r="E91" i="16"/>
  <c r="D91" i="16"/>
  <c r="C91" i="16"/>
  <c r="K90" i="16"/>
  <c r="J90" i="16"/>
  <c r="I90" i="16"/>
  <c r="H90" i="16"/>
  <c r="G90" i="16"/>
  <c r="F90" i="16"/>
  <c r="E90" i="16"/>
  <c r="D90" i="16"/>
  <c r="C90" i="16"/>
  <c r="K89" i="16"/>
  <c r="J89" i="16"/>
  <c r="I89" i="16"/>
  <c r="H89" i="16"/>
  <c r="G89" i="16"/>
  <c r="F89" i="16"/>
  <c r="E89" i="16"/>
  <c r="D89" i="16"/>
  <c r="C89" i="16"/>
  <c r="K88" i="16"/>
  <c r="J88" i="16"/>
  <c r="I88" i="16"/>
  <c r="H88" i="16"/>
  <c r="O88" i="16" s="1"/>
  <c r="V88" i="16" s="1"/>
  <c r="G88" i="16"/>
  <c r="F88" i="16"/>
  <c r="E88" i="16"/>
  <c r="D88" i="16"/>
  <c r="C88" i="16"/>
  <c r="K87" i="16"/>
  <c r="J87" i="16"/>
  <c r="I87" i="16"/>
  <c r="H87" i="16"/>
  <c r="O87" i="16" s="1"/>
  <c r="V87" i="16" s="1"/>
  <c r="G87" i="16"/>
  <c r="F87" i="16"/>
  <c r="E87" i="16"/>
  <c r="D87" i="16"/>
  <c r="C87" i="16"/>
  <c r="K86" i="16"/>
  <c r="J86" i="16"/>
  <c r="I86" i="16"/>
  <c r="H86" i="16"/>
  <c r="O86" i="16" s="1"/>
  <c r="V86" i="16" s="1"/>
  <c r="X86" i="16" s="1"/>
  <c r="G86" i="16"/>
  <c r="F86" i="16"/>
  <c r="E86" i="16"/>
  <c r="D86" i="16"/>
  <c r="C86" i="16"/>
  <c r="K85" i="16"/>
  <c r="J85" i="16"/>
  <c r="I85" i="16"/>
  <c r="H85" i="16"/>
  <c r="O85" i="16" s="1"/>
  <c r="G85" i="16"/>
  <c r="F85" i="16"/>
  <c r="E85" i="16"/>
  <c r="D85" i="16"/>
  <c r="C85" i="16"/>
  <c r="Y84" i="16"/>
  <c r="W84" i="16"/>
  <c r="U84" i="16"/>
  <c r="Y72" i="16"/>
  <c r="U72" i="16"/>
  <c r="T72" i="16"/>
  <c r="Q72" i="16"/>
  <c r="Y71" i="16"/>
  <c r="U71" i="16"/>
  <c r="T71" i="16"/>
  <c r="Q71" i="16"/>
  <c r="Y70" i="16"/>
  <c r="U70" i="16"/>
  <c r="T70" i="16"/>
  <c r="Q70" i="16"/>
  <c r="Y69" i="16"/>
  <c r="U69" i="16"/>
  <c r="T69" i="16"/>
  <c r="Q69" i="16"/>
  <c r="Y68" i="16"/>
  <c r="U68" i="16"/>
  <c r="T68" i="16"/>
  <c r="Q68" i="16"/>
  <c r="Y67" i="16"/>
  <c r="U67" i="16"/>
  <c r="T67" i="16"/>
  <c r="Q67" i="16"/>
  <c r="Y66" i="16"/>
  <c r="U66" i="16"/>
  <c r="T66" i="16"/>
  <c r="Q66" i="16"/>
  <c r="Y65" i="16"/>
  <c r="U65" i="16"/>
  <c r="T65" i="16"/>
  <c r="Q65" i="16"/>
  <c r="Y64" i="16"/>
  <c r="U64" i="16"/>
  <c r="T64" i="16"/>
  <c r="Q64" i="16"/>
  <c r="Y63" i="16"/>
  <c r="U63" i="16"/>
  <c r="T63" i="16"/>
  <c r="Q63" i="16"/>
  <c r="Y62" i="16"/>
  <c r="U62" i="16"/>
  <c r="Q62" i="16"/>
  <c r="Y61" i="16"/>
  <c r="U61" i="16"/>
  <c r="Q61" i="16"/>
  <c r="Y60" i="16"/>
  <c r="U60" i="16"/>
  <c r="Q60" i="16"/>
  <c r="Y59" i="16"/>
  <c r="U59" i="16"/>
  <c r="Q59" i="16"/>
  <c r="Y58" i="16"/>
  <c r="U58" i="16"/>
  <c r="Q58" i="16"/>
  <c r="Y57" i="16"/>
  <c r="U57" i="16"/>
  <c r="Q57" i="16"/>
  <c r="Y56" i="16"/>
  <c r="U56" i="16"/>
  <c r="Q56" i="16"/>
  <c r="Y55" i="16"/>
  <c r="U55" i="16"/>
  <c r="Q55" i="16"/>
  <c r="Y54" i="16"/>
  <c r="U54" i="16"/>
  <c r="Q54" i="16"/>
  <c r="Y53" i="16"/>
  <c r="U53" i="16"/>
  <c r="Q53" i="16"/>
  <c r="Y52" i="16"/>
  <c r="U52" i="16"/>
  <c r="Q52" i="16"/>
  <c r="Y51" i="16"/>
  <c r="U51" i="16"/>
  <c r="Q51" i="16"/>
  <c r="Y50" i="16"/>
  <c r="U50" i="16"/>
  <c r="Q50" i="16"/>
  <c r="Y49" i="16"/>
  <c r="U49" i="16"/>
  <c r="Q49" i="16"/>
  <c r="Y48" i="16"/>
  <c r="U48" i="16"/>
  <c r="Q48" i="16"/>
  <c r="Y47" i="16"/>
  <c r="U47" i="16"/>
  <c r="Q47" i="16"/>
  <c r="Y46" i="16"/>
  <c r="U46" i="16"/>
  <c r="Q46" i="16"/>
  <c r="Y45" i="16"/>
  <c r="U45" i="16"/>
  <c r="Q45" i="16"/>
  <c r="Y44" i="16"/>
  <c r="U44" i="16"/>
  <c r="Q44" i="16"/>
  <c r="Y43" i="16"/>
  <c r="U43" i="16"/>
  <c r="Q43" i="16"/>
  <c r="Y42" i="16"/>
  <c r="U42" i="16"/>
  <c r="Q42" i="16"/>
  <c r="Y41" i="16"/>
  <c r="U41" i="16"/>
  <c r="Q41" i="16"/>
  <c r="Y40" i="16"/>
  <c r="U40" i="16"/>
  <c r="Q40" i="16"/>
  <c r="Y39" i="16"/>
  <c r="U39" i="16"/>
  <c r="Q39" i="16"/>
  <c r="Y38" i="16"/>
  <c r="U38" i="16"/>
  <c r="Q38" i="16"/>
  <c r="Y37" i="16"/>
  <c r="U37" i="16"/>
  <c r="Q37" i="16"/>
  <c r="Y36" i="16"/>
  <c r="U36" i="16"/>
  <c r="Q36" i="16"/>
  <c r="Y35" i="16"/>
  <c r="U35" i="16"/>
  <c r="Q35" i="16"/>
  <c r="Y34" i="16"/>
  <c r="U34" i="16"/>
  <c r="Q34" i="16"/>
  <c r="Y33" i="16"/>
  <c r="U33" i="16"/>
  <c r="Q33" i="16"/>
  <c r="Y32" i="16"/>
  <c r="U32" i="16"/>
  <c r="Q32" i="16"/>
  <c r="Y31" i="16"/>
  <c r="U31" i="16"/>
  <c r="T31" i="16"/>
  <c r="Q31" i="16"/>
  <c r="Y30" i="16"/>
  <c r="U30" i="16"/>
  <c r="T30" i="16"/>
  <c r="Q30" i="16"/>
  <c r="Y29" i="16"/>
  <c r="U29" i="16"/>
  <c r="T29" i="16"/>
  <c r="Q29" i="16"/>
  <c r="Y28" i="16"/>
  <c r="U28" i="16"/>
  <c r="T28" i="16"/>
  <c r="Q28" i="16"/>
  <c r="Y27" i="16"/>
  <c r="U27" i="16"/>
  <c r="T27" i="16"/>
  <c r="Q27" i="16"/>
  <c r="P27" i="16"/>
  <c r="Y26" i="16"/>
  <c r="U26" i="16"/>
  <c r="T26" i="16"/>
  <c r="Q26" i="16"/>
  <c r="U23" i="16"/>
  <c r="N5" i="16"/>
  <c r="N2" i="16"/>
  <c r="I2" i="16"/>
  <c r="A1" i="16"/>
  <c r="N114" i="17" l="1"/>
  <c r="N88" i="17"/>
  <c r="U88" i="17" s="1"/>
  <c r="P86" i="16"/>
  <c r="N86" i="16"/>
  <c r="P101" i="16"/>
  <c r="N128" i="17"/>
  <c r="Q141" i="18"/>
  <c r="R141" i="18" s="1"/>
  <c r="Q149" i="18"/>
  <c r="R149" i="18" s="1"/>
  <c r="Q157" i="18"/>
  <c r="R157" i="18" s="1"/>
  <c r="Q165" i="18"/>
  <c r="R165" i="18" s="1"/>
  <c r="Q181" i="18"/>
  <c r="R181" i="18" s="1"/>
  <c r="V109" i="16"/>
  <c r="V89" i="18"/>
  <c r="V125" i="17"/>
  <c r="N93" i="16"/>
  <c r="U93" i="16" s="1"/>
  <c r="V103" i="16"/>
  <c r="V111" i="16"/>
  <c r="V119" i="16"/>
  <c r="V127" i="16"/>
  <c r="V109" i="17"/>
  <c r="P126" i="18"/>
  <c r="W126" i="18" s="1"/>
  <c r="N90" i="17"/>
  <c r="U90" i="17" s="1"/>
  <c r="V127" i="17"/>
  <c r="V87" i="17"/>
  <c r="V103" i="17"/>
  <c r="V111" i="17"/>
  <c r="V92" i="16"/>
  <c r="V100" i="16"/>
  <c r="V108" i="16"/>
  <c r="V116" i="16"/>
  <c r="Q158" i="16"/>
  <c r="R158" i="16" s="1"/>
  <c r="P127" i="16"/>
  <c r="W127" i="16" s="1"/>
  <c r="N128" i="16"/>
  <c r="N102" i="16"/>
  <c r="V121" i="16"/>
  <c r="V97" i="16"/>
  <c r="P100" i="16"/>
  <c r="W100" i="16" s="1"/>
  <c r="P112" i="16"/>
  <c r="W112" i="16" s="1"/>
  <c r="P116" i="16"/>
  <c r="W116" i="16" s="1"/>
  <c r="P120" i="16"/>
  <c r="W120" i="16" s="1"/>
  <c r="Q162" i="18"/>
  <c r="R162" i="18" s="1"/>
  <c r="Q170" i="18"/>
  <c r="R170" i="18" s="1"/>
  <c r="V126" i="18"/>
  <c r="V99" i="18"/>
  <c r="P109" i="18"/>
  <c r="W109" i="18" s="1"/>
  <c r="V107" i="18"/>
  <c r="V115" i="18"/>
  <c r="V123" i="18"/>
  <c r="V131" i="18"/>
  <c r="P108" i="18"/>
  <c r="W108" i="18" s="1"/>
  <c r="Q178" i="18"/>
  <c r="R178" i="18" s="1"/>
  <c r="V91" i="18"/>
  <c r="N102" i="18"/>
  <c r="U102" i="18" s="1"/>
  <c r="N121" i="18"/>
  <c r="U121" i="18" s="1"/>
  <c r="N130" i="17"/>
  <c r="U130" i="17" s="1"/>
  <c r="Q140" i="17"/>
  <c r="R140" i="17" s="1"/>
  <c r="V122" i="17"/>
  <c r="N98" i="17"/>
  <c r="N120" i="17"/>
  <c r="U120" i="17" s="1"/>
  <c r="P125" i="17"/>
  <c r="W125" i="17" s="1"/>
  <c r="V114" i="17"/>
  <c r="V130" i="17"/>
  <c r="V90" i="17"/>
  <c r="P96" i="17"/>
  <c r="N125" i="17"/>
  <c r="V125" i="16"/>
  <c r="V85" i="16"/>
  <c r="X85" i="16" s="1"/>
  <c r="V99" i="16"/>
  <c r="P109" i="16"/>
  <c r="W109" i="16" s="1"/>
  <c r="N99" i="16"/>
  <c r="U99" i="16" s="1"/>
  <c r="N110" i="16"/>
  <c r="U110" i="16" s="1"/>
  <c r="V117" i="16"/>
  <c r="P105" i="16"/>
  <c r="W105" i="16" s="1"/>
  <c r="V107" i="16"/>
  <c r="P113" i="16"/>
  <c r="W113" i="16" s="1"/>
  <c r="P128" i="16"/>
  <c r="W128" i="16" s="1"/>
  <c r="Q145" i="16"/>
  <c r="R145" i="16" s="1"/>
  <c r="V93" i="16"/>
  <c r="N109" i="16"/>
  <c r="U109" i="16" s="1"/>
  <c r="V115" i="16"/>
  <c r="P92" i="16"/>
  <c r="W92" i="16" s="1"/>
  <c r="V104" i="16"/>
  <c r="P114" i="16"/>
  <c r="W114" i="16" s="1"/>
  <c r="N117" i="16"/>
  <c r="U117" i="16" s="1"/>
  <c r="V123" i="16"/>
  <c r="W101" i="16"/>
  <c r="P96" i="16"/>
  <c r="W96" i="16" s="1"/>
  <c r="V101" i="16"/>
  <c r="P107" i="16"/>
  <c r="W107" i="16" s="1"/>
  <c r="V112" i="16"/>
  <c r="V120" i="16"/>
  <c r="V131" i="16"/>
  <c r="Q153" i="16"/>
  <c r="R153" i="16" s="1"/>
  <c r="Q155" i="16"/>
  <c r="R155" i="16" s="1"/>
  <c r="Q163" i="16"/>
  <c r="R163" i="16" s="1"/>
  <c r="P48" i="22"/>
  <c r="P57" i="22"/>
  <c r="P70" i="22"/>
  <c r="P53" i="22"/>
  <c r="P33" i="22"/>
  <c r="P59" i="22"/>
  <c r="P51" i="22"/>
  <c r="P69" i="22"/>
  <c r="P32" i="22"/>
  <c r="P43" i="22"/>
  <c r="P61" i="22"/>
  <c r="P38" i="22"/>
  <c r="P62" i="22"/>
  <c r="P67" i="22"/>
  <c r="P54" i="22"/>
  <c r="P49" i="22"/>
  <c r="P35" i="22"/>
  <c r="P45" i="22"/>
  <c r="P46" i="22"/>
  <c r="P41" i="22"/>
  <c r="P65" i="22"/>
  <c r="P30" i="22"/>
  <c r="X115" i="20"/>
  <c r="Y115" i="20" s="1"/>
  <c r="X101" i="20"/>
  <c r="Y101" i="20" s="1"/>
  <c r="X123" i="20"/>
  <c r="Y123" i="20" s="1"/>
  <c r="X122" i="20"/>
  <c r="Y122" i="20" s="1"/>
  <c r="X108" i="20"/>
  <c r="Y108" i="20" s="1"/>
  <c r="X100" i="20"/>
  <c r="Y100" i="20" s="1"/>
  <c r="X93" i="20"/>
  <c r="Y93" i="20" s="1"/>
  <c r="X114" i="20"/>
  <c r="Y114" i="20" s="1"/>
  <c r="X91" i="20"/>
  <c r="Y91" i="20" s="1"/>
  <c r="X131" i="20"/>
  <c r="Y131" i="20" s="1"/>
  <c r="X106" i="20"/>
  <c r="Y106" i="20" s="1"/>
  <c r="X92" i="20"/>
  <c r="Y92" i="20" s="1"/>
  <c r="X117" i="20"/>
  <c r="Y117" i="20" s="1"/>
  <c r="X107" i="20"/>
  <c r="Y107" i="20" s="1"/>
  <c r="X90" i="20"/>
  <c r="Y90" i="20" s="1"/>
  <c r="X99" i="20"/>
  <c r="Y99" i="20" s="1"/>
  <c r="X124" i="20"/>
  <c r="Y124" i="20" s="1"/>
  <c r="X130" i="20"/>
  <c r="Y130" i="20" s="1"/>
  <c r="X109" i="20"/>
  <c r="Y109" i="20" s="1"/>
  <c r="X125" i="20"/>
  <c r="Y125" i="20" s="1"/>
  <c r="X98" i="20"/>
  <c r="Y98" i="20" s="1"/>
  <c r="X94" i="19"/>
  <c r="Y94" i="19" s="1"/>
  <c r="X116" i="19"/>
  <c r="Y116" i="19" s="1"/>
  <c r="X105" i="19"/>
  <c r="Y105" i="19" s="1"/>
  <c r="X91" i="19"/>
  <c r="Y91" i="19" s="1"/>
  <c r="X115" i="19"/>
  <c r="Y115" i="19" s="1"/>
  <c r="X129" i="19"/>
  <c r="Y129" i="19" s="1"/>
  <c r="X121" i="19"/>
  <c r="Y121" i="19" s="1"/>
  <c r="X97" i="19"/>
  <c r="Y97" i="19" s="1"/>
  <c r="X118" i="19"/>
  <c r="Y118" i="19" s="1"/>
  <c r="X89" i="19"/>
  <c r="Y89" i="19" s="1"/>
  <c r="X92" i="19"/>
  <c r="Y92" i="19" s="1"/>
  <c r="X124" i="19"/>
  <c r="Y124" i="19" s="1"/>
  <c r="X108" i="19"/>
  <c r="Y108" i="19" s="1"/>
  <c r="X100" i="19"/>
  <c r="Y100" i="19" s="1"/>
  <c r="X102" i="19"/>
  <c r="Y102" i="19" s="1"/>
  <c r="X110" i="19"/>
  <c r="Y110" i="19" s="1"/>
  <c r="X126" i="19"/>
  <c r="Y126" i="19" s="1"/>
  <c r="X113" i="19"/>
  <c r="Y113" i="19" s="1"/>
  <c r="X107" i="19"/>
  <c r="Y107" i="19" s="1"/>
  <c r="X99" i="19"/>
  <c r="Y99" i="19" s="1"/>
  <c r="X131" i="19"/>
  <c r="Y131" i="19" s="1"/>
  <c r="P85" i="16"/>
  <c r="N125" i="16"/>
  <c r="U125" i="16" s="1"/>
  <c r="P88" i="16"/>
  <c r="W88" i="16" s="1"/>
  <c r="N94" i="16"/>
  <c r="U94" i="16" s="1"/>
  <c r="N96" i="16"/>
  <c r="U96" i="16" s="1"/>
  <c r="N101" i="16"/>
  <c r="U101" i="16" s="1"/>
  <c r="P108" i="16"/>
  <c r="W108" i="16" s="1"/>
  <c r="P122" i="16"/>
  <c r="W122" i="16" s="1"/>
  <c r="N118" i="16"/>
  <c r="U118" i="16" s="1"/>
  <c r="Q137" i="16"/>
  <c r="R137" i="16" s="1"/>
  <c r="P130" i="16"/>
  <c r="W130" i="16" s="1"/>
  <c r="Q150" i="16"/>
  <c r="R150" i="16" s="1"/>
  <c r="Q169" i="16"/>
  <c r="R169" i="16" s="1"/>
  <c r="Q177" i="16"/>
  <c r="R177" i="16" s="1"/>
  <c r="P89" i="16"/>
  <c r="W89" i="16" s="1"/>
  <c r="P124" i="16"/>
  <c r="W124" i="16" s="1"/>
  <c r="N126" i="16"/>
  <c r="U126" i="16" s="1"/>
  <c r="P131" i="16"/>
  <c r="W131" i="16" s="1"/>
  <c r="Q161" i="16"/>
  <c r="R161" i="16" s="1"/>
  <c r="P104" i="16"/>
  <c r="W104" i="16" s="1"/>
  <c r="Q143" i="16"/>
  <c r="P26" i="16"/>
  <c r="P97" i="16"/>
  <c r="W97" i="16" s="1"/>
  <c r="Q162" i="17"/>
  <c r="R162" i="17" s="1"/>
  <c r="Q170" i="17"/>
  <c r="R170" i="17" s="1"/>
  <c r="V107" i="17"/>
  <c r="N117" i="17"/>
  <c r="U117" i="17" s="1"/>
  <c r="V123" i="17"/>
  <c r="Q156" i="17"/>
  <c r="R156" i="17" s="1"/>
  <c r="P122" i="17"/>
  <c r="W122" i="17" s="1"/>
  <c r="P129" i="17"/>
  <c r="W129" i="17" s="1"/>
  <c r="V112" i="17"/>
  <c r="V115" i="17"/>
  <c r="P110" i="17"/>
  <c r="W110" i="17" s="1"/>
  <c r="N86" i="17"/>
  <c r="N99" i="17"/>
  <c r="U99" i="17" s="1"/>
  <c r="V104" i="17"/>
  <c r="V96" i="17"/>
  <c r="Q151" i="17"/>
  <c r="R151" i="17" s="1"/>
  <c r="P88" i="17"/>
  <c r="W88" i="17" s="1"/>
  <c r="V86" i="17"/>
  <c r="X86" i="17" s="1"/>
  <c r="P94" i="17"/>
  <c r="W94" i="17" s="1"/>
  <c r="P126" i="17"/>
  <c r="W126" i="17" s="1"/>
  <c r="P87" i="17"/>
  <c r="W87" i="17" s="1"/>
  <c r="N96" i="17"/>
  <c r="U96" i="17" s="1"/>
  <c r="N106" i="17"/>
  <c r="U106" i="17" s="1"/>
  <c r="N122" i="17"/>
  <c r="U122" i="17" s="1"/>
  <c r="Q145" i="17"/>
  <c r="R145" i="17" s="1"/>
  <c r="Q143" i="17"/>
  <c r="R143" i="17" s="1"/>
  <c r="Q175" i="17"/>
  <c r="R175" i="17" s="1"/>
  <c r="Q178" i="17"/>
  <c r="R178" i="17" s="1"/>
  <c r="P93" i="17"/>
  <c r="W93" i="17" s="1"/>
  <c r="N93" i="17"/>
  <c r="V95" i="17"/>
  <c r="P102" i="17"/>
  <c r="W102" i="17" s="1"/>
  <c r="N109" i="17"/>
  <c r="U109" i="17" s="1"/>
  <c r="N112" i="17"/>
  <c r="U112" i="17" s="1"/>
  <c r="Q148" i="17"/>
  <c r="R148" i="17" s="1"/>
  <c r="Q161" i="17"/>
  <c r="R161" i="17" s="1"/>
  <c r="Q177" i="17"/>
  <c r="R177" i="17" s="1"/>
  <c r="V120" i="17"/>
  <c r="P123" i="17"/>
  <c r="W123" i="17" s="1"/>
  <c r="V128" i="17"/>
  <c r="V131" i="17"/>
  <c r="P91" i="17"/>
  <c r="W91" i="17" s="1"/>
  <c r="P104" i="17"/>
  <c r="W104" i="17" s="1"/>
  <c r="P115" i="17"/>
  <c r="W115" i="17" s="1"/>
  <c r="V118" i="17"/>
  <c r="P131" i="17"/>
  <c r="W131" i="17" s="1"/>
  <c r="Q164" i="17"/>
  <c r="R164" i="17" s="1"/>
  <c r="Q172" i="17"/>
  <c r="R172" i="17" s="1"/>
  <c r="Q180" i="17"/>
  <c r="R180" i="17" s="1"/>
  <c r="N101" i="17"/>
  <c r="U101" i="17" s="1"/>
  <c r="N104" i="17"/>
  <c r="U104" i="17" s="1"/>
  <c r="P127" i="17"/>
  <c r="W127" i="17" s="1"/>
  <c r="P130" i="17"/>
  <c r="W130" i="17" s="1"/>
  <c r="P85" i="17"/>
  <c r="Q146" i="17"/>
  <c r="R146" i="17" s="1"/>
  <c r="Q153" i="17"/>
  <c r="R153" i="17" s="1"/>
  <c r="Q183" i="17"/>
  <c r="R183" i="17" s="1"/>
  <c r="O99" i="17"/>
  <c r="V99" i="17" s="1"/>
  <c r="P105" i="17"/>
  <c r="W105" i="17" s="1"/>
  <c r="Q154" i="17"/>
  <c r="R154" i="17" s="1"/>
  <c r="N85" i="17"/>
  <c r="P92" i="17"/>
  <c r="W92" i="17" s="1"/>
  <c r="P95" i="17"/>
  <c r="W95" i="17" s="1"/>
  <c r="P108" i="17"/>
  <c r="W108" i="17" s="1"/>
  <c r="P111" i="17"/>
  <c r="W111" i="17" s="1"/>
  <c r="P98" i="17"/>
  <c r="W98" i="17" s="1"/>
  <c r="P100" i="17"/>
  <c r="W100" i="17" s="1"/>
  <c r="P103" i="17"/>
  <c r="W103" i="17" s="1"/>
  <c r="P113" i="17"/>
  <c r="W113" i="17" s="1"/>
  <c r="P118" i="17"/>
  <c r="W118" i="17" s="1"/>
  <c r="P99" i="17"/>
  <c r="W99" i="17" s="1"/>
  <c r="N107" i="17"/>
  <c r="U107" i="17" s="1"/>
  <c r="P109" i="17"/>
  <c r="W109" i="17" s="1"/>
  <c r="P116" i="17"/>
  <c r="W116" i="17" s="1"/>
  <c r="Q137" i="17"/>
  <c r="R137" i="17" s="1"/>
  <c r="Q159" i="17"/>
  <c r="R159" i="17" s="1"/>
  <c r="Q169" i="17"/>
  <c r="R169" i="17" s="1"/>
  <c r="P101" i="17"/>
  <c r="W101" i="17" s="1"/>
  <c r="Q138" i="17"/>
  <c r="R138" i="17" s="1"/>
  <c r="P112" i="17"/>
  <c r="W112" i="17" s="1"/>
  <c r="P119" i="17"/>
  <c r="W119" i="17" s="1"/>
  <c r="P124" i="17"/>
  <c r="W124" i="17" s="1"/>
  <c r="Q167" i="17"/>
  <c r="R167" i="17" s="1"/>
  <c r="N112" i="18"/>
  <c r="U112" i="18" s="1"/>
  <c r="P95" i="18"/>
  <c r="W95" i="18" s="1"/>
  <c r="P127" i="18"/>
  <c r="W127" i="18" s="1"/>
  <c r="V88" i="18"/>
  <c r="Q176" i="18"/>
  <c r="P102" i="18"/>
  <c r="W102" i="18" s="1"/>
  <c r="N120" i="18"/>
  <c r="U120" i="18" s="1"/>
  <c r="V96" i="18"/>
  <c r="V104" i="18"/>
  <c r="V112" i="18"/>
  <c r="P122" i="18"/>
  <c r="W122" i="18" s="1"/>
  <c r="V120" i="18"/>
  <c r="P130" i="18"/>
  <c r="W130" i="18" s="1"/>
  <c r="Q140" i="18"/>
  <c r="R140" i="18" s="1"/>
  <c r="Q172" i="18"/>
  <c r="R172" i="18" s="1"/>
  <c r="AG85" i="18"/>
  <c r="N88" i="18"/>
  <c r="U88" i="18" s="1"/>
  <c r="P103" i="18"/>
  <c r="W103" i="18" s="1"/>
  <c r="P110" i="18"/>
  <c r="W110" i="18" s="1"/>
  <c r="P116" i="18"/>
  <c r="W116" i="18" s="1"/>
  <c r="P125" i="18"/>
  <c r="W125" i="18" s="1"/>
  <c r="Q138" i="18"/>
  <c r="R138" i="18" s="1"/>
  <c r="Q146" i="18"/>
  <c r="V94" i="18"/>
  <c r="P111" i="18"/>
  <c r="W111" i="18" s="1"/>
  <c r="P118" i="18"/>
  <c r="W118" i="18" s="1"/>
  <c r="Q144" i="18"/>
  <c r="R144" i="18" s="1"/>
  <c r="Q152" i="18"/>
  <c r="R152" i="18" s="1"/>
  <c r="N89" i="18"/>
  <c r="U89" i="18" s="1"/>
  <c r="N96" i="18"/>
  <c r="U96" i="18" s="1"/>
  <c r="V102" i="18"/>
  <c r="N128" i="18"/>
  <c r="U128" i="18" s="1"/>
  <c r="P92" i="18"/>
  <c r="W92" i="18" s="1"/>
  <c r="P87" i="18"/>
  <c r="W87" i="18" s="1"/>
  <c r="P94" i="18"/>
  <c r="W94" i="18" s="1"/>
  <c r="N104" i="18"/>
  <c r="U104" i="18" s="1"/>
  <c r="V110" i="18"/>
  <c r="P119" i="18"/>
  <c r="W119" i="18" s="1"/>
  <c r="N97" i="18"/>
  <c r="U97" i="18" s="1"/>
  <c r="N129" i="18"/>
  <c r="U129" i="18" s="1"/>
  <c r="Q143" i="18"/>
  <c r="R143" i="18" s="1"/>
  <c r="Q159" i="18"/>
  <c r="R159" i="18" s="1"/>
  <c r="Q167" i="18"/>
  <c r="R167" i="18" s="1"/>
  <c r="Q175" i="18"/>
  <c r="R175" i="18" s="1"/>
  <c r="Q183" i="18"/>
  <c r="R183" i="18" s="1"/>
  <c r="V86" i="18"/>
  <c r="X86" i="18" s="1"/>
  <c r="P117" i="18"/>
  <c r="W117" i="18" s="1"/>
  <c r="V118" i="18"/>
  <c r="R146" i="18"/>
  <c r="N126" i="18"/>
  <c r="U126" i="18" s="1"/>
  <c r="P86" i="18"/>
  <c r="P90" i="18"/>
  <c r="W90" i="18" s="1"/>
  <c r="N91" i="18"/>
  <c r="U91" i="18" s="1"/>
  <c r="Q148" i="18"/>
  <c r="R148" i="18" s="1"/>
  <c r="N94" i="18"/>
  <c r="P98" i="18"/>
  <c r="W98" i="18" s="1"/>
  <c r="N99" i="18"/>
  <c r="U99" i="18" s="1"/>
  <c r="P129" i="18"/>
  <c r="W129" i="18" s="1"/>
  <c r="V130" i="18"/>
  <c r="P106" i="18"/>
  <c r="W106" i="18" s="1"/>
  <c r="N107" i="18"/>
  <c r="U107" i="18" s="1"/>
  <c r="N110" i="18"/>
  <c r="U110" i="18" s="1"/>
  <c r="P114" i="18"/>
  <c r="W114" i="18" s="1"/>
  <c r="N115" i="18"/>
  <c r="U115" i="18" s="1"/>
  <c r="Q151" i="18"/>
  <c r="R151" i="18" s="1"/>
  <c r="Q160" i="18"/>
  <c r="R160" i="18" s="1"/>
  <c r="P93" i="18"/>
  <c r="W93" i="18" s="1"/>
  <c r="N118" i="18"/>
  <c r="Q173" i="18"/>
  <c r="R173" i="18" s="1"/>
  <c r="P101" i="18"/>
  <c r="W101" i="18" s="1"/>
  <c r="N123" i="18"/>
  <c r="U123" i="18" s="1"/>
  <c r="N131" i="18"/>
  <c r="U131" i="18" s="1"/>
  <c r="Q154" i="18"/>
  <c r="R154" i="18" s="1"/>
  <c r="Q156" i="18"/>
  <c r="R156" i="18" s="1"/>
  <c r="Q168" i="18"/>
  <c r="R168" i="18" s="1"/>
  <c r="Q180" i="18"/>
  <c r="R180" i="18" s="1"/>
  <c r="P85" i="18"/>
  <c r="R176" i="18"/>
  <c r="P100" i="18"/>
  <c r="W100" i="18" s="1"/>
  <c r="N105" i="18"/>
  <c r="U105" i="18" s="1"/>
  <c r="N113" i="18"/>
  <c r="U113" i="18" s="1"/>
  <c r="Q164" i="18"/>
  <c r="R164" i="18" s="1"/>
  <c r="O116" i="18"/>
  <c r="V116" i="18" s="1"/>
  <c r="N116" i="18"/>
  <c r="Q142" i="18"/>
  <c r="R142" i="18" s="1"/>
  <c r="Q155" i="18"/>
  <c r="R155" i="18" s="1"/>
  <c r="O92" i="18"/>
  <c r="V92" i="18" s="1"/>
  <c r="N92" i="18"/>
  <c r="O108" i="18"/>
  <c r="V108" i="18" s="1"/>
  <c r="N108" i="18"/>
  <c r="O124" i="18"/>
  <c r="V124" i="18" s="1"/>
  <c r="N124" i="18"/>
  <c r="Q182" i="18"/>
  <c r="R182" i="18" s="1"/>
  <c r="O100" i="18"/>
  <c r="V100" i="18" s="1"/>
  <c r="N100" i="18"/>
  <c r="Q158" i="18"/>
  <c r="R158" i="18" s="1"/>
  <c r="Q171" i="18"/>
  <c r="R171" i="18" s="1"/>
  <c r="Q147" i="18"/>
  <c r="R147" i="18" s="1"/>
  <c r="O85" i="18"/>
  <c r="V85" i="18" s="1"/>
  <c r="X85" i="18" s="1"/>
  <c r="N85" i="18"/>
  <c r="Q174" i="18"/>
  <c r="R174" i="18" s="1"/>
  <c r="P89" i="18"/>
  <c r="W89" i="18" s="1"/>
  <c r="P91" i="18"/>
  <c r="W91" i="18" s="1"/>
  <c r="P97" i="18"/>
  <c r="W97" i="18" s="1"/>
  <c r="P99" i="18"/>
  <c r="W99" i="18" s="1"/>
  <c r="P105" i="18"/>
  <c r="W105" i="18" s="1"/>
  <c r="P107" i="18"/>
  <c r="W107" i="18" s="1"/>
  <c r="P113" i="18"/>
  <c r="W113" i="18" s="1"/>
  <c r="P115" i="18"/>
  <c r="W115" i="18" s="1"/>
  <c r="U118" i="18"/>
  <c r="P121" i="18"/>
  <c r="W121" i="18" s="1"/>
  <c r="P124" i="18"/>
  <c r="W124" i="18" s="1"/>
  <c r="Q150" i="18"/>
  <c r="R150" i="18" s="1"/>
  <c r="Q163" i="18"/>
  <c r="R163" i="18" s="1"/>
  <c r="O87" i="18"/>
  <c r="V87" i="18" s="1"/>
  <c r="N87" i="18"/>
  <c r="P88" i="18"/>
  <c r="W88" i="18" s="1"/>
  <c r="O95" i="18"/>
  <c r="V95" i="18" s="1"/>
  <c r="N95" i="18"/>
  <c r="P96" i="18"/>
  <c r="W96" i="18" s="1"/>
  <c r="O103" i="18"/>
  <c r="V103" i="18" s="1"/>
  <c r="N103" i="18"/>
  <c r="P104" i="18"/>
  <c r="W104" i="18" s="1"/>
  <c r="O111" i="18"/>
  <c r="V111" i="18" s="1"/>
  <c r="N111" i="18"/>
  <c r="P112" i="18"/>
  <c r="W112" i="18" s="1"/>
  <c r="O119" i="18"/>
  <c r="V119" i="18" s="1"/>
  <c r="N119" i="18"/>
  <c r="P120" i="18"/>
  <c r="W120" i="18" s="1"/>
  <c r="P123" i="18"/>
  <c r="W123" i="18" s="1"/>
  <c r="P131" i="18"/>
  <c r="W131" i="18" s="1"/>
  <c r="Q139" i="18"/>
  <c r="R139" i="18" s="1"/>
  <c r="O127" i="18"/>
  <c r="V127" i="18" s="1"/>
  <c r="N127" i="18"/>
  <c r="P128" i="18"/>
  <c r="W128" i="18" s="1"/>
  <c r="Q166" i="18"/>
  <c r="R166" i="18" s="1"/>
  <c r="Q179" i="18"/>
  <c r="R179" i="18" s="1"/>
  <c r="N86" i="18"/>
  <c r="N93" i="18"/>
  <c r="N101" i="18"/>
  <c r="N109" i="18"/>
  <c r="N117" i="18"/>
  <c r="N125" i="18"/>
  <c r="Q137" i="18"/>
  <c r="R137" i="18" s="1"/>
  <c r="Q145" i="18"/>
  <c r="R145" i="18" s="1"/>
  <c r="Q153" i="18"/>
  <c r="R153" i="18" s="1"/>
  <c r="Q161" i="18"/>
  <c r="R161" i="18" s="1"/>
  <c r="Q169" i="18"/>
  <c r="R169" i="18" s="1"/>
  <c r="Q177" i="18"/>
  <c r="R177" i="18" s="1"/>
  <c r="N90" i="18"/>
  <c r="N98" i="18"/>
  <c r="N106" i="18"/>
  <c r="N114" i="18"/>
  <c r="N122" i="18"/>
  <c r="N130" i="18"/>
  <c r="Q160" i="17"/>
  <c r="R160" i="17" s="1"/>
  <c r="O100" i="17"/>
  <c r="V100" i="17" s="1"/>
  <c r="N100" i="17"/>
  <c r="P107" i="17"/>
  <c r="W107" i="17" s="1"/>
  <c r="Q152" i="17"/>
  <c r="R152" i="17" s="1"/>
  <c r="Q168" i="17"/>
  <c r="R168" i="17" s="1"/>
  <c r="AG85" i="17"/>
  <c r="P97" i="17"/>
  <c r="W97" i="17" s="1"/>
  <c r="O113" i="17"/>
  <c r="V113" i="17" s="1"/>
  <c r="N113" i="17"/>
  <c r="P114" i="17"/>
  <c r="W114" i="17" s="1"/>
  <c r="P121" i="17"/>
  <c r="W121" i="17" s="1"/>
  <c r="O94" i="17"/>
  <c r="V94" i="17" s="1"/>
  <c r="N94" i="17"/>
  <c r="O108" i="17"/>
  <c r="V108" i="17" s="1"/>
  <c r="N108" i="17"/>
  <c r="U114" i="17"/>
  <c r="Q139" i="17"/>
  <c r="R139" i="17" s="1"/>
  <c r="Q155" i="17"/>
  <c r="R155" i="17" s="1"/>
  <c r="Q171" i="17"/>
  <c r="R171" i="17" s="1"/>
  <c r="P128" i="17"/>
  <c r="W128" i="17" s="1"/>
  <c r="P86" i="17"/>
  <c r="O89" i="17"/>
  <c r="V89" i="17" s="1"/>
  <c r="N89" i="17"/>
  <c r="P90" i="17"/>
  <c r="W90" i="17" s="1"/>
  <c r="P117" i="17"/>
  <c r="W117" i="17" s="1"/>
  <c r="P120" i="17"/>
  <c r="W120" i="17" s="1"/>
  <c r="Q150" i="17"/>
  <c r="R150" i="17" s="1"/>
  <c r="Q166" i="17"/>
  <c r="R166" i="17" s="1"/>
  <c r="Q182" i="17"/>
  <c r="R182" i="17" s="1"/>
  <c r="Q176" i="17"/>
  <c r="R176" i="17" s="1"/>
  <c r="O102" i="17"/>
  <c r="V102" i="17" s="1"/>
  <c r="N102" i="17"/>
  <c r="O116" i="17"/>
  <c r="V116" i="17" s="1"/>
  <c r="N116" i="17"/>
  <c r="O97" i="17"/>
  <c r="V97" i="17" s="1"/>
  <c r="N97" i="17"/>
  <c r="N115" i="17"/>
  <c r="O121" i="17"/>
  <c r="V121" i="17" s="1"/>
  <c r="N121" i="17"/>
  <c r="O124" i="17"/>
  <c r="V124" i="17" s="1"/>
  <c r="N124" i="17"/>
  <c r="U125" i="17"/>
  <c r="U128" i="17"/>
  <c r="Q144" i="17"/>
  <c r="R144" i="17" s="1"/>
  <c r="O92" i="17"/>
  <c r="V92" i="17" s="1"/>
  <c r="N92" i="17"/>
  <c r="U98" i="17"/>
  <c r="O110" i="17"/>
  <c r="V110" i="17" s="1"/>
  <c r="N110" i="17"/>
  <c r="O129" i="17"/>
  <c r="V129" i="17" s="1"/>
  <c r="N129" i="17"/>
  <c r="Q147" i="17"/>
  <c r="R147" i="17" s="1"/>
  <c r="Q163" i="17"/>
  <c r="R163" i="17" s="1"/>
  <c r="Q179" i="17"/>
  <c r="R179" i="17" s="1"/>
  <c r="P89" i="17"/>
  <c r="W89" i="17" s="1"/>
  <c r="N91" i="17"/>
  <c r="O105" i="17"/>
  <c r="V105" i="17" s="1"/>
  <c r="N105" i="17"/>
  <c r="P106" i="17"/>
  <c r="W106" i="17" s="1"/>
  <c r="N123" i="17"/>
  <c r="N131" i="17"/>
  <c r="Q142" i="17"/>
  <c r="R142" i="17" s="1"/>
  <c r="Q158" i="17"/>
  <c r="R158" i="17" s="1"/>
  <c r="Q174" i="17"/>
  <c r="R174" i="17" s="1"/>
  <c r="N87" i="17"/>
  <c r="N95" i="17"/>
  <c r="N103" i="17"/>
  <c r="N111" i="17"/>
  <c r="N119" i="17"/>
  <c r="N127" i="17"/>
  <c r="Q141" i="17"/>
  <c r="R141" i="17" s="1"/>
  <c r="Q149" i="17"/>
  <c r="R149" i="17" s="1"/>
  <c r="Q157" i="17"/>
  <c r="R157" i="17" s="1"/>
  <c r="Q165" i="17"/>
  <c r="R165" i="17" s="1"/>
  <c r="Q173" i="17"/>
  <c r="R173" i="17" s="1"/>
  <c r="Q181" i="17"/>
  <c r="R181" i="17" s="1"/>
  <c r="N118" i="17"/>
  <c r="N126" i="17"/>
  <c r="AG85" i="16"/>
  <c r="Q166" i="16"/>
  <c r="R166" i="16" s="1"/>
  <c r="Q171" i="16"/>
  <c r="R171" i="16" s="1"/>
  <c r="N100" i="16"/>
  <c r="U100" i="16" s="1"/>
  <c r="V124" i="16"/>
  <c r="Q139" i="16"/>
  <c r="R139" i="16" s="1"/>
  <c r="Q159" i="16"/>
  <c r="R159" i="16" s="1"/>
  <c r="Q174" i="16"/>
  <c r="R174" i="16" s="1"/>
  <c r="Q179" i="16"/>
  <c r="R179" i="16" s="1"/>
  <c r="N91" i="16"/>
  <c r="U91" i="16" s="1"/>
  <c r="O96" i="16"/>
  <c r="V96" i="16" s="1"/>
  <c r="O128" i="16"/>
  <c r="V128" i="16" s="1"/>
  <c r="Q140" i="16"/>
  <c r="R140" i="16" s="1"/>
  <c r="R164" i="16"/>
  <c r="Q182" i="16"/>
  <c r="R182" i="16" s="1"/>
  <c r="P94" i="16"/>
  <c r="W94" i="16" s="1"/>
  <c r="P103" i="16"/>
  <c r="W103" i="16" s="1"/>
  <c r="Q142" i="16"/>
  <c r="R142" i="16" s="1"/>
  <c r="Q147" i="16"/>
  <c r="R147" i="16" s="1"/>
  <c r="Q151" i="16"/>
  <c r="R151" i="16" s="1"/>
  <c r="N92" i="16"/>
  <c r="U92" i="16" s="1"/>
  <c r="P93" i="16"/>
  <c r="W93" i="16" s="1"/>
  <c r="P110" i="16"/>
  <c r="W110" i="16" s="1"/>
  <c r="N115" i="16"/>
  <c r="U115" i="16" s="1"/>
  <c r="Q148" i="16"/>
  <c r="R148" i="16" s="1"/>
  <c r="N108" i="16"/>
  <c r="U108" i="16" s="1"/>
  <c r="P121" i="16"/>
  <c r="W121" i="16" s="1"/>
  <c r="P129" i="16"/>
  <c r="W129" i="16" s="1"/>
  <c r="Q156" i="16"/>
  <c r="R156" i="16" s="1"/>
  <c r="P91" i="16"/>
  <c r="W91" i="16" s="1"/>
  <c r="P123" i="16"/>
  <c r="W123" i="16" s="1"/>
  <c r="Q152" i="16"/>
  <c r="R152" i="16" s="1"/>
  <c r="N107" i="16"/>
  <c r="N105" i="16"/>
  <c r="O105" i="16"/>
  <c r="V105" i="16" s="1"/>
  <c r="P115" i="16"/>
  <c r="W115" i="16" s="1"/>
  <c r="O90" i="16"/>
  <c r="V90" i="16" s="1"/>
  <c r="N90" i="16"/>
  <c r="P106" i="16"/>
  <c r="W106" i="16" s="1"/>
  <c r="O114" i="16"/>
  <c r="V114" i="16" s="1"/>
  <c r="N114" i="16"/>
  <c r="P118" i="16"/>
  <c r="W118" i="16" s="1"/>
  <c r="O122" i="16"/>
  <c r="V122" i="16" s="1"/>
  <c r="N122" i="16"/>
  <c r="P125" i="16"/>
  <c r="W125" i="16" s="1"/>
  <c r="U128" i="16"/>
  <c r="Q160" i="16"/>
  <c r="R160" i="16" s="1"/>
  <c r="N89" i="16"/>
  <c r="O98" i="16"/>
  <c r="V98" i="16" s="1"/>
  <c r="N98" i="16"/>
  <c r="N104" i="16"/>
  <c r="N113" i="16"/>
  <c r="P117" i="16"/>
  <c r="W117" i="16" s="1"/>
  <c r="R143" i="16"/>
  <c r="P90" i="16"/>
  <c r="W90" i="16" s="1"/>
  <c r="P99" i="16"/>
  <c r="W99" i="16" s="1"/>
  <c r="P102" i="16"/>
  <c r="W102" i="16" s="1"/>
  <c r="N121" i="16"/>
  <c r="Q168" i="16"/>
  <c r="R168" i="16" s="1"/>
  <c r="P87" i="16"/>
  <c r="W87" i="16" s="1"/>
  <c r="N97" i="16"/>
  <c r="P111" i="16"/>
  <c r="W111" i="16" s="1"/>
  <c r="N88" i="16"/>
  <c r="P98" i="16"/>
  <c r="W98" i="16" s="1"/>
  <c r="Q101" i="16"/>
  <c r="R101" i="16" s="1"/>
  <c r="O106" i="16"/>
  <c r="V106" i="16" s="1"/>
  <c r="N106" i="16"/>
  <c r="N112" i="16"/>
  <c r="P119" i="16"/>
  <c r="W119" i="16" s="1"/>
  <c r="P126" i="16"/>
  <c r="Q144" i="16"/>
  <c r="R144" i="16" s="1"/>
  <c r="Q176" i="16"/>
  <c r="R176" i="16" s="1"/>
  <c r="O89" i="16"/>
  <c r="V89" i="16" s="1"/>
  <c r="P95" i="16"/>
  <c r="W95" i="16" s="1"/>
  <c r="O113" i="16"/>
  <c r="V113" i="16" s="1"/>
  <c r="N120" i="16"/>
  <c r="O129" i="16"/>
  <c r="V129" i="16" s="1"/>
  <c r="N129" i="16"/>
  <c r="N130" i="16"/>
  <c r="N85" i="16"/>
  <c r="N87" i="16"/>
  <c r="N95" i="16"/>
  <c r="N103" i="16"/>
  <c r="N111" i="16"/>
  <c r="N119" i="16"/>
  <c r="N127" i="16"/>
  <c r="N116" i="16"/>
  <c r="N124" i="16"/>
  <c r="Q141" i="16"/>
  <c r="R141" i="16" s="1"/>
  <c r="Q149" i="16"/>
  <c r="R149" i="16" s="1"/>
  <c r="Q157" i="16"/>
  <c r="R157" i="16" s="1"/>
  <c r="Q165" i="16"/>
  <c r="R165" i="16" s="1"/>
  <c r="Q173" i="16"/>
  <c r="R173" i="16" s="1"/>
  <c r="Q181" i="16"/>
  <c r="R181" i="16" s="1"/>
  <c r="Q138" i="16"/>
  <c r="R138" i="16" s="1"/>
  <c r="Q146" i="16"/>
  <c r="R146" i="16" s="1"/>
  <c r="Q154" i="16"/>
  <c r="R154" i="16" s="1"/>
  <c r="Q162" i="16"/>
  <c r="R162" i="16" s="1"/>
  <c r="Q170" i="16"/>
  <c r="R170" i="16" s="1"/>
  <c r="Q178" i="16"/>
  <c r="R178" i="16" s="1"/>
  <c r="N123" i="16"/>
  <c r="N131" i="16"/>
  <c r="Q167" i="16"/>
  <c r="R167" i="16" s="1"/>
  <c r="Q175" i="16"/>
  <c r="R175" i="16" s="1"/>
  <c r="Q183" i="16"/>
  <c r="R183" i="16" s="1"/>
  <c r="Q27" i="15"/>
  <c r="Q28" i="15"/>
  <c r="Q29" i="15"/>
  <c r="Q30" i="15"/>
  <c r="Q31" i="15"/>
  <c r="Q32" i="15"/>
  <c r="Q33" i="15"/>
  <c r="Q34" i="15"/>
  <c r="Q35" i="15"/>
  <c r="Q36" i="15"/>
  <c r="Q37" i="15"/>
  <c r="Q38" i="15"/>
  <c r="Q39" i="15"/>
  <c r="Q40" i="15"/>
  <c r="Q41" i="15"/>
  <c r="Q42" i="15"/>
  <c r="Q43" i="15"/>
  <c r="Q44" i="15"/>
  <c r="Q45" i="15"/>
  <c r="Q46" i="15"/>
  <c r="Q47" i="15"/>
  <c r="Q48" i="15"/>
  <c r="Q49" i="15"/>
  <c r="Q50" i="15"/>
  <c r="Q51" i="15"/>
  <c r="Q52" i="15"/>
  <c r="Q53" i="15"/>
  <c r="Q54" i="15"/>
  <c r="Q55" i="15"/>
  <c r="Q56" i="15"/>
  <c r="Q57" i="15"/>
  <c r="Q58" i="15"/>
  <c r="Q59" i="15"/>
  <c r="Q60" i="15"/>
  <c r="Q61" i="15"/>
  <c r="Q62" i="15"/>
  <c r="Q63" i="15"/>
  <c r="Q64" i="15"/>
  <c r="Q65" i="15"/>
  <c r="Q66" i="15"/>
  <c r="Q67" i="15"/>
  <c r="Q68" i="15"/>
  <c r="Q69" i="15"/>
  <c r="Q70" i="15"/>
  <c r="Q71" i="15"/>
  <c r="Q72" i="15"/>
  <c r="Q26"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27" i="15"/>
  <c r="O26" i="15"/>
  <c r="P183" i="15"/>
  <c r="O183" i="15"/>
  <c r="N183" i="15"/>
  <c r="P182" i="15"/>
  <c r="O182" i="15"/>
  <c r="N182" i="15"/>
  <c r="P181" i="15"/>
  <c r="O181" i="15"/>
  <c r="N181" i="15"/>
  <c r="P180" i="15"/>
  <c r="O180" i="15"/>
  <c r="N180" i="15"/>
  <c r="P179" i="15"/>
  <c r="O179" i="15"/>
  <c r="N179" i="15"/>
  <c r="P178" i="15"/>
  <c r="O178" i="15"/>
  <c r="N178" i="15"/>
  <c r="P177" i="15"/>
  <c r="O177" i="15"/>
  <c r="N177" i="15"/>
  <c r="P176" i="15"/>
  <c r="O176" i="15"/>
  <c r="N176" i="15"/>
  <c r="P175" i="15"/>
  <c r="O175" i="15"/>
  <c r="N175" i="15"/>
  <c r="P174" i="15"/>
  <c r="O174" i="15"/>
  <c r="N174" i="15"/>
  <c r="P173" i="15"/>
  <c r="O173" i="15"/>
  <c r="N173" i="15"/>
  <c r="P172" i="15"/>
  <c r="O172" i="15"/>
  <c r="N172" i="15"/>
  <c r="P171" i="15"/>
  <c r="O171" i="15"/>
  <c r="N171" i="15"/>
  <c r="P170" i="15"/>
  <c r="O170" i="15"/>
  <c r="N170" i="15"/>
  <c r="P169" i="15"/>
  <c r="O169" i="15"/>
  <c r="N169" i="15"/>
  <c r="P168" i="15"/>
  <c r="O168" i="15"/>
  <c r="N168" i="15"/>
  <c r="P167" i="15"/>
  <c r="O167" i="15"/>
  <c r="N167" i="15"/>
  <c r="P166" i="15"/>
  <c r="O166" i="15"/>
  <c r="N166" i="15"/>
  <c r="P165" i="15"/>
  <c r="O165" i="15"/>
  <c r="N165" i="15"/>
  <c r="P164" i="15"/>
  <c r="O164" i="15"/>
  <c r="N164" i="15"/>
  <c r="P163" i="15"/>
  <c r="O163" i="15"/>
  <c r="N163" i="15"/>
  <c r="P162" i="15"/>
  <c r="O162" i="15"/>
  <c r="N162" i="15"/>
  <c r="P161" i="15"/>
  <c r="O161" i="15"/>
  <c r="N161" i="15"/>
  <c r="P160" i="15"/>
  <c r="O160" i="15"/>
  <c r="N160" i="15"/>
  <c r="P159" i="15"/>
  <c r="O159" i="15"/>
  <c r="N159" i="15"/>
  <c r="P158" i="15"/>
  <c r="O158" i="15"/>
  <c r="N158" i="15"/>
  <c r="P157" i="15"/>
  <c r="O157" i="15"/>
  <c r="N157" i="15"/>
  <c r="P156" i="15"/>
  <c r="O156" i="15"/>
  <c r="N156" i="15"/>
  <c r="P155" i="15"/>
  <c r="O155" i="15"/>
  <c r="N155" i="15"/>
  <c r="P154" i="15"/>
  <c r="O154" i="15"/>
  <c r="N154" i="15"/>
  <c r="P153" i="15"/>
  <c r="O153" i="15"/>
  <c r="N153" i="15"/>
  <c r="P152" i="15"/>
  <c r="O152" i="15"/>
  <c r="N152" i="15"/>
  <c r="P151" i="15"/>
  <c r="O151" i="15"/>
  <c r="N151" i="15"/>
  <c r="P150" i="15"/>
  <c r="O150" i="15"/>
  <c r="N150" i="15"/>
  <c r="P149" i="15"/>
  <c r="O149" i="15"/>
  <c r="N149" i="15"/>
  <c r="P148" i="15"/>
  <c r="O148" i="15"/>
  <c r="N148" i="15"/>
  <c r="P147" i="15"/>
  <c r="O147" i="15"/>
  <c r="N147" i="15"/>
  <c r="P146" i="15"/>
  <c r="O146" i="15"/>
  <c r="N146" i="15"/>
  <c r="P145" i="15"/>
  <c r="O145" i="15"/>
  <c r="N145" i="15"/>
  <c r="P144" i="15"/>
  <c r="O144" i="15"/>
  <c r="N144" i="15"/>
  <c r="P143" i="15"/>
  <c r="O143" i="15"/>
  <c r="N143" i="15"/>
  <c r="P142" i="15"/>
  <c r="O142" i="15"/>
  <c r="N142" i="15"/>
  <c r="P141" i="15"/>
  <c r="O141" i="15"/>
  <c r="N141" i="15"/>
  <c r="P140" i="15"/>
  <c r="O140" i="15"/>
  <c r="N140" i="15"/>
  <c r="P139" i="15"/>
  <c r="O139" i="15"/>
  <c r="N139" i="15"/>
  <c r="P138" i="15"/>
  <c r="O138" i="15"/>
  <c r="N138" i="15"/>
  <c r="P137" i="15"/>
  <c r="O137" i="15"/>
  <c r="N137" i="15"/>
  <c r="R136" i="15"/>
  <c r="Q136" i="15"/>
  <c r="P136" i="15"/>
  <c r="N136" i="15"/>
  <c r="K131" i="15"/>
  <c r="J131" i="15"/>
  <c r="I131" i="15"/>
  <c r="H131" i="15"/>
  <c r="O131" i="15" s="1"/>
  <c r="G131" i="15"/>
  <c r="F131" i="15"/>
  <c r="E131" i="15"/>
  <c r="D131" i="15"/>
  <c r="C131" i="15"/>
  <c r="K130" i="15"/>
  <c r="J130" i="15"/>
  <c r="I130" i="15"/>
  <c r="H130" i="15"/>
  <c r="O130" i="15" s="1"/>
  <c r="G130" i="15"/>
  <c r="F130" i="15"/>
  <c r="E130" i="15"/>
  <c r="D130" i="15"/>
  <c r="C130" i="15"/>
  <c r="K129" i="15"/>
  <c r="J129" i="15"/>
  <c r="I129" i="15"/>
  <c r="H129" i="15"/>
  <c r="G129" i="15"/>
  <c r="F129" i="15"/>
  <c r="E129" i="15"/>
  <c r="D129" i="15"/>
  <c r="C129" i="15"/>
  <c r="K128" i="15"/>
  <c r="J128" i="15"/>
  <c r="I128" i="15"/>
  <c r="H128" i="15"/>
  <c r="G128" i="15"/>
  <c r="F128" i="15"/>
  <c r="E128" i="15"/>
  <c r="D128" i="15"/>
  <c r="C128" i="15"/>
  <c r="K127" i="15"/>
  <c r="J127" i="15"/>
  <c r="I127" i="15"/>
  <c r="H127" i="15"/>
  <c r="O127" i="15" s="1"/>
  <c r="G127" i="15"/>
  <c r="F127" i="15"/>
  <c r="E127" i="15"/>
  <c r="D127" i="15"/>
  <c r="C127" i="15"/>
  <c r="K126" i="15"/>
  <c r="J126" i="15"/>
  <c r="I126" i="15"/>
  <c r="H126" i="15"/>
  <c r="G126" i="15"/>
  <c r="F126" i="15"/>
  <c r="E126" i="15"/>
  <c r="D126" i="15"/>
  <c r="C126" i="15"/>
  <c r="K125" i="15"/>
  <c r="J125" i="15"/>
  <c r="I125" i="15"/>
  <c r="H125" i="15"/>
  <c r="O125" i="15" s="1"/>
  <c r="G125" i="15"/>
  <c r="F125" i="15"/>
  <c r="E125" i="15"/>
  <c r="D125" i="15"/>
  <c r="C125" i="15"/>
  <c r="K124" i="15"/>
  <c r="J124" i="15"/>
  <c r="I124" i="15"/>
  <c r="H124" i="15"/>
  <c r="O124" i="15" s="1"/>
  <c r="G124" i="15"/>
  <c r="F124" i="15"/>
  <c r="E124" i="15"/>
  <c r="D124" i="15"/>
  <c r="C124" i="15"/>
  <c r="K123" i="15"/>
  <c r="J123" i="15"/>
  <c r="I123" i="15"/>
  <c r="H123" i="15"/>
  <c r="O123" i="15" s="1"/>
  <c r="G123" i="15"/>
  <c r="F123" i="15"/>
  <c r="E123" i="15"/>
  <c r="D123" i="15"/>
  <c r="C123" i="15"/>
  <c r="K122" i="15"/>
  <c r="J122" i="15"/>
  <c r="I122" i="15"/>
  <c r="H122" i="15"/>
  <c r="O122" i="15" s="1"/>
  <c r="G122" i="15"/>
  <c r="F122" i="15"/>
  <c r="E122" i="15"/>
  <c r="D122" i="15"/>
  <c r="C122" i="15"/>
  <c r="K121" i="15"/>
  <c r="J121" i="15"/>
  <c r="I121" i="15"/>
  <c r="H121" i="15"/>
  <c r="G121" i="15"/>
  <c r="F121" i="15"/>
  <c r="E121" i="15"/>
  <c r="D121" i="15"/>
  <c r="C121" i="15"/>
  <c r="K120" i="15"/>
  <c r="J120" i="15"/>
  <c r="I120" i="15"/>
  <c r="H120" i="15"/>
  <c r="O120" i="15" s="1"/>
  <c r="G120" i="15"/>
  <c r="F120" i="15"/>
  <c r="E120" i="15"/>
  <c r="D120" i="15"/>
  <c r="C120" i="15"/>
  <c r="K119" i="15"/>
  <c r="J119" i="15"/>
  <c r="I119" i="15"/>
  <c r="H119" i="15"/>
  <c r="O119" i="15" s="1"/>
  <c r="G119" i="15"/>
  <c r="F119" i="15"/>
  <c r="E119" i="15"/>
  <c r="D119" i="15"/>
  <c r="C119" i="15"/>
  <c r="K118" i="15"/>
  <c r="J118" i="15"/>
  <c r="I118" i="15"/>
  <c r="H118" i="15"/>
  <c r="G118" i="15"/>
  <c r="F118" i="15"/>
  <c r="E118" i="15"/>
  <c r="D118" i="15"/>
  <c r="C118" i="15"/>
  <c r="K117" i="15"/>
  <c r="J117" i="15"/>
  <c r="I117" i="15"/>
  <c r="H117" i="15"/>
  <c r="O117" i="15" s="1"/>
  <c r="G117" i="15"/>
  <c r="F117" i="15"/>
  <c r="E117" i="15"/>
  <c r="D117" i="15"/>
  <c r="C117" i="15"/>
  <c r="K116" i="15"/>
  <c r="J116" i="15"/>
  <c r="I116" i="15"/>
  <c r="H116" i="15"/>
  <c r="O116" i="15" s="1"/>
  <c r="G116" i="15"/>
  <c r="F116" i="15"/>
  <c r="E116" i="15"/>
  <c r="D116" i="15"/>
  <c r="C116" i="15"/>
  <c r="K115" i="15"/>
  <c r="J115" i="15"/>
  <c r="I115" i="15"/>
  <c r="H115" i="15"/>
  <c r="O115" i="15" s="1"/>
  <c r="G115" i="15"/>
  <c r="F115" i="15"/>
  <c r="E115" i="15"/>
  <c r="D115" i="15"/>
  <c r="C115" i="15"/>
  <c r="K114" i="15"/>
  <c r="J114" i="15"/>
  <c r="I114" i="15"/>
  <c r="H114" i="15"/>
  <c r="O114" i="15" s="1"/>
  <c r="G114" i="15"/>
  <c r="F114" i="15"/>
  <c r="E114" i="15"/>
  <c r="D114" i="15"/>
  <c r="C114" i="15"/>
  <c r="K113" i="15"/>
  <c r="J113" i="15"/>
  <c r="I113" i="15"/>
  <c r="H113" i="15"/>
  <c r="G113" i="15"/>
  <c r="F113" i="15"/>
  <c r="E113" i="15"/>
  <c r="D113" i="15"/>
  <c r="C113" i="15"/>
  <c r="K112" i="15"/>
  <c r="J112" i="15"/>
  <c r="I112" i="15"/>
  <c r="H112" i="15"/>
  <c r="O112" i="15" s="1"/>
  <c r="G112" i="15"/>
  <c r="F112" i="15"/>
  <c r="E112" i="15"/>
  <c r="D112" i="15"/>
  <c r="C112" i="15"/>
  <c r="K111" i="15"/>
  <c r="J111" i="15"/>
  <c r="I111" i="15"/>
  <c r="H111" i="15"/>
  <c r="O111" i="15" s="1"/>
  <c r="G111" i="15"/>
  <c r="F111" i="15"/>
  <c r="E111" i="15"/>
  <c r="D111" i="15"/>
  <c r="C111" i="15"/>
  <c r="K110" i="15"/>
  <c r="J110" i="15"/>
  <c r="I110" i="15"/>
  <c r="H110" i="15"/>
  <c r="G110" i="15"/>
  <c r="F110" i="15"/>
  <c r="E110" i="15"/>
  <c r="D110" i="15"/>
  <c r="C110" i="15"/>
  <c r="K109" i="15"/>
  <c r="J109" i="15"/>
  <c r="I109" i="15"/>
  <c r="H109" i="15"/>
  <c r="O109" i="15" s="1"/>
  <c r="G109" i="15"/>
  <c r="F109" i="15"/>
  <c r="E109" i="15"/>
  <c r="D109" i="15"/>
  <c r="C109" i="15"/>
  <c r="K108" i="15"/>
  <c r="J108" i="15"/>
  <c r="I108" i="15"/>
  <c r="H108" i="15"/>
  <c r="O108" i="15" s="1"/>
  <c r="G108" i="15"/>
  <c r="F108" i="15"/>
  <c r="E108" i="15"/>
  <c r="D108" i="15"/>
  <c r="C108" i="15"/>
  <c r="K107" i="15"/>
  <c r="J107" i="15"/>
  <c r="I107" i="15"/>
  <c r="H107" i="15"/>
  <c r="O107" i="15" s="1"/>
  <c r="G107" i="15"/>
  <c r="F107" i="15"/>
  <c r="E107" i="15"/>
  <c r="D107" i="15"/>
  <c r="C107" i="15"/>
  <c r="K106" i="15"/>
  <c r="J106" i="15"/>
  <c r="I106" i="15"/>
  <c r="H106" i="15"/>
  <c r="O106" i="15" s="1"/>
  <c r="G106" i="15"/>
  <c r="F106" i="15"/>
  <c r="E106" i="15"/>
  <c r="D106" i="15"/>
  <c r="C106" i="15"/>
  <c r="K105" i="15"/>
  <c r="J105" i="15"/>
  <c r="I105" i="15"/>
  <c r="H105" i="15"/>
  <c r="G105" i="15"/>
  <c r="F105" i="15"/>
  <c r="E105" i="15"/>
  <c r="D105" i="15"/>
  <c r="C105" i="15"/>
  <c r="K104" i="15"/>
  <c r="J104" i="15"/>
  <c r="I104" i="15"/>
  <c r="H104" i="15"/>
  <c r="O104" i="15" s="1"/>
  <c r="G104" i="15"/>
  <c r="F104" i="15"/>
  <c r="E104" i="15"/>
  <c r="D104" i="15"/>
  <c r="C104" i="15"/>
  <c r="K103" i="15"/>
  <c r="J103" i="15"/>
  <c r="I103" i="15"/>
  <c r="H103" i="15"/>
  <c r="O103" i="15" s="1"/>
  <c r="G103" i="15"/>
  <c r="F103" i="15"/>
  <c r="E103" i="15"/>
  <c r="D103" i="15"/>
  <c r="C103" i="15"/>
  <c r="K102" i="15"/>
  <c r="J102" i="15"/>
  <c r="I102" i="15"/>
  <c r="H102" i="15"/>
  <c r="G102" i="15"/>
  <c r="F102" i="15"/>
  <c r="E102" i="15"/>
  <c r="D102" i="15"/>
  <c r="C102" i="15"/>
  <c r="K101" i="15"/>
  <c r="J101" i="15"/>
  <c r="I101" i="15"/>
  <c r="H101" i="15"/>
  <c r="O101" i="15" s="1"/>
  <c r="G101" i="15"/>
  <c r="F101" i="15"/>
  <c r="E101" i="15"/>
  <c r="D101" i="15"/>
  <c r="C101" i="15"/>
  <c r="K100" i="15"/>
  <c r="J100" i="15"/>
  <c r="I100" i="15"/>
  <c r="H100" i="15"/>
  <c r="O100" i="15" s="1"/>
  <c r="G100" i="15"/>
  <c r="F100" i="15"/>
  <c r="E100" i="15"/>
  <c r="D100" i="15"/>
  <c r="C100" i="15"/>
  <c r="K99" i="15"/>
  <c r="J99" i="15"/>
  <c r="I99" i="15"/>
  <c r="H99" i="15"/>
  <c r="G99" i="15"/>
  <c r="F99" i="15"/>
  <c r="E99" i="15"/>
  <c r="D99" i="15"/>
  <c r="C99" i="15"/>
  <c r="K98" i="15"/>
  <c r="J98" i="15"/>
  <c r="I98" i="15"/>
  <c r="H98" i="15"/>
  <c r="O98" i="15" s="1"/>
  <c r="G98" i="15"/>
  <c r="F98" i="15"/>
  <c r="E98" i="15"/>
  <c r="D98" i="15"/>
  <c r="C98" i="15"/>
  <c r="K97" i="15"/>
  <c r="J97" i="15"/>
  <c r="I97" i="15"/>
  <c r="H97" i="15"/>
  <c r="G97" i="15"/>
  <c r="F97" i="15"/>
  <c r="E97" i="15"/>
  <c r="D97" i="15"/>
  <c r="C97" i="15"/>
  <c r="K96" i="15"/>
  <c r="J96" i="15"/>
  <c r="I96" i="15"/>
  <c r="H96" i="15"/>
  <c r="O96" i="15" s="1"/>
  <c r="G96" i="15"/>
  <c r="F96" i="15"/>
  <c r="E96" i="15"/>
  <c r="D96" i="15"/>
  <c r="C96" i="15"/>
  <c r="K95" i="15"/>
  <c r="J95" i="15"/>
  <c r="I95" i="15"/>
  <c r="H95" i="15"/>
  <c r="O95" i="15" s="1"/>
  <c r="G95" i="15"/>
  <c r="F95" i="15"/>
  <c r="E95" i="15"/>
  <c r="D95" i="15"/>
  <c r="C95" i="15"/>
  <c r="K94" i="15"/>
  <c r="J94" i="15"/>
  <c r="I94" i="15"/>
  <c r="H94" i="15"/>
  <c r="G94" i="15"/>
  <c r="F94" i="15"/>
  <c r="E94" i="15"/>
  <c r="D94" i="15"/>
  <c r="C94" i="15"/>
  <c r="K93" i="15"/>
  <c r="J93" i="15"/>
  <c r="I93" i="15"/>
  <c r="H93" i="15"/>
  <c r="O93" i="15" s="1"/>
  <c r="G93" i="15"/>
  <c r="F93" i="15"/>
  <c r="E93" i="15"/>
  <c r="D93" i="15"/>
  <c r="C93" i="15"/>
  <c r="K92" i="15"/>
  <c r="J92" i="15"/>
  <c r="I92" i="15"/>
  <c r="H92" i="15"/>
  <c r="O92" i="15" s="1"/>
  <c r="G92" i="15"/>
  <c r="F92" i="15"/>
  <c r="E92" i="15"/>
  <c r="D92" i="15"/>
  <c r="C92" i="15"/>
  <c r="K91" i="15"/>
  <c r="J91" i="15"/>
  <c r="I91" i="15"/>
  <c r="H91" i="15"/>
  <c r="G91" i="15"/>
  <c r="F91" i="15"/>
  <c r="E91" i="15"/>
  <c r="D91" i="15"/>
  <c r="C91" i="15"/>
  <c r="K90" i="15"/>
  <c r="J90" i="15"/>
  <c r="I90" i="15"/>
  <c r="H90" i="15"/>
  <c r="O90" i="15" s="1"/>
  <c r="G90" i="15"/>
  <c r="F90" i="15"/>
  <c r="E90" i="15"/>
  <c r="D90" i="15"/>
  <c r="C90" i="15"/>
  <c r="K89" i="15"/>
  <c r="J89" i="15"/>
  <c r="I89" i="15"/>
  <c r="H89" i="15"/>
  <c r="G89" i="15"/>
  <c r="F89" i="15"/>
  <c r="E89" i="15"/>
  <c r="D89" i="15"/>
  <c r="C89" i="15"/>
  <c r="K88" i="15"/>
  <c r="J88" i="15"/>
  <c r="I88" i="15"/>
  <c r="H88" i="15"/>
  <c r="G88" i="15"/>
  <c r="F88" i="15"/>
  <c r="E88" i="15"/>
  <c r="D88" i="15"/>
  <c r="C88" i="15"/>
  <c r="K87" i="15"/>
  <c r="J87" i="15"/>
  <c r="I87" i="15"/>
  <c r="H87" i="15"/>
  <c r="O87" i="15" s="1"/>
  <c r="G87" i="15"/>
  <c r="F87" i="15"/>
  <c r="E87" i="15"/>
  <c r="D87" i="15"/>
  <c r="C87" i="15"/>
  <c r="K86" i="15"/>
  <c r="J86" i="15"/>
  <c r="I86" i="15"/>
  <c r="H86" i="15"/>
  <c r="O86" i="15" s="1"/>
  <c r="G86" i="15"/>
  <c r="F86" i="15"/>
  <c r="E86" i="15"/>
  <c r="D86" i="15"/>
  <c r="C86" i="15"/>
  <c r="K85" i="15"/>
  <c r="J85" i="15"/>
  <c r="I85" i="15"/>
  <c r="H85" i="15"/>
  <c r="O85" i="15" s="1"/>
  <c r="G85" i="15"/>
  <c r="F85" i="15"/>
  <c r="E85" i="15"/>
  <c r="D85" i="15"/>
  <c r="C85" i="15"/>
  <c r="Y84" i="15"/>
  <c r="W84" i="15"/>
  <c r="U84" i="15"/>
  <c r="Y72" i="15"/>
  <c r="U72" i="15"/>
  <c r="T72" i="15"/>
  <c r="Y71" i="15"/>
  <c r="U71" i="15"/>
  <c r="T71" i="15"/>
  <c r="Y70" i="15"/>
  <c r="U70" i="15"/>
  <c r="T70" i="15"/>
  <c r="Y69" i="15"/>
  <c r="U69" i="15"/>
  <c r="T69" i="15"/>
  <c r="Y68" i="15"/>
  <c r="U68" i="15"/>
  <c r="T68" i="15"/>
  <c r="Y67" i="15"/>
  <c r="U67" i="15"/>
  <c r="T67" i="15"/>
  <c r="Y66" i="15"/>
  <c r="U66" i="15"/>
  <c r="T66" i="15"/>
  <c r="Y65" i="15"/>
  <c r="U65" i="15"/>
  <c r="T65" i="15"/>
  <c r="Y64" i="15"/>
  <c r="U64" i="15"/>
  <c r="T64" i="15"/>
  <c r="Y63" i="15"/>
  <c r="U63" i="15"/>
  <c r="T63" i="15"/>
  <c r="Y62" i="15"/>
  <c r="U62" i="15"/>
  <c r="Y61" i="15"/>
  <c r="U61" i="15"/>
  <c r="Y60" i="15"/>
  <c r="U60" i="15"/>
  <c r="Y59" i="15"/>
  <c r="U59" i="15"/>
  <c r="Y58" i="15"/>
  <c r="U58" i="15"/>
  <c r="Y57" i="15"/>
  <c r="U57" i="15"/>
  <c r="Y56" i="15"/>
  <c r="U56" i="15"/>
  <c r="Y55" i="15"/>
  <c r="U55" i="15"/>
  <c r="Y54" i="15"/>
  <c r="U54" i="15"/>
  <c r="Y53" i="15"/>
  <c r="U53" i="15"/>
  <c r="Y52" i="15"/>
  <c r="U52" i="15"/>
  <c r="Y51" i="15"/>
  <c r="U51" i="15"/>
  <c r="Y50" i="15"/>
  <c r="U50" i="15"/>
  <c r="Y49" i="15"/>
  <c r="U49" i="15"/>
  <c r="Y48" i="15"/>
  <c r="U48" i="15"/>
  <c r="Y47" i="15"/>
  <c r="U47" i="15"/>
  <c r="Y46" i="15"/>
  <c r="U46" i="15"/>
  <c r="Y45" i="15"/>
  <c r="U45" i="15"/>
  <c r="Y44" i="15"/>
  <c r="U44" i="15"/>
  <c r="Y43" i="15"/>
  <c r="U43" i="15"/>
  <c r="Y42" i="15"/>
  <c r="U42" i="15"/>
  <c r="Y41" i="15"/>
  <c r="U41" i="15"/>
  <c r="Y40" i="15"/>
  <c r="U40" i="15"/>
  <c r="Y39" i="15"/>
  <c r="U39" i="15"/>
  <c r="Y38" i="15"/>
  <c r="U38" i="15"/>
  <c r="Y37" i="15"/>
  <c r="U37" i="15"/>
  <c r="Y36" i="15"/>
  <c r="U36" i="15"/>
  <c r="Y35" i="15"/>
  <c r="U35" i="15"/>
  <c r="Y34" i="15"/>
  <c r="U34" i="15"/>
  <c r="Y33" i="15"/>
  <c r="U33" i="15"/>
  <c r="Y32" i="15"/>
  <c r="U32" i="15"/>
  <c r="Y31" i="15"/>
  <c r="U31" i="15"/>
  <c r="T31" i="15"/>
  <c r="Y30" i="15"/>
  <c r="U30" i="15"/>
  <c r="T30" i="15"/>
  <c r="Y29" i="15"/>
  <c r="U29" i="15"/>
  <c r="T29" i="15"/>
  <c r="Y28" i="15"/>
  <c r="U28" i="15"/>
  <c r="T28" i="15"/>
  <c r="Y27" i="15"/>
  <c r="U27" i="15"/>
  <c r="T27" i="15"/>
  <c r="Y26" i="15"/>
  <c r="U26" i="15"/>
  <c r="T26" i="15"/>
  <c r="U23" i="15"/>
  <c r="N5" i="15"/>
  <c r="N2" i="15"/>
  <c r="I2" i="15"/>
  <c r="A1" i="15"/>
  <c r="Q86" i="16" l="1"/>
  <c r="R86" i="16" s="1"/>
  <c r="X130" i="17"/>
  <c r="Y130" i="17" s="1"/>
  <c r="Q102" i="16"/>
  <c r="R102" i="16" s="1"/>
  <c r="V85" i="15"/>
  <c r="X85" i="15" s="1"/>
  <c r="V93" i="15"/>
  <c r="V101" i="15"/>
  <c r="V109" i="15"/>
  <c r="V117" i="15"/>
  <c r="V125" i="15"/>
  <c r="Q109" i="16"/>
  <c r="R109" i="16" s="1"/>
  <c r="Q125" i="17"/>
  <c r="R125" i="17" s="1"/>
  <c r="X93" i="16"/>
  <c r="Y93" i="16" s="1"/>
  <c r="Q98" i="17"/>
  <c r="R98" i="17" s="1"/>
  <c r="Q96" i="17"/>
  <c r="R96" i="17" s="1"/>
  <c r="V98" i="15"/>
  <c r="V114" i="15"/>
  <c r="V122" i="15"/>
  <c r="V130" i="15"/>
  <c r="X108" i="16"/>
  <c r="Y108" i="16" s="1"/>
  <c r="W96" i="17"/>
  <c r="X96" i="17" s="1"/>
  <c r="Y96" i="17" s="1"/>
  <c r="Q86" i="17"/>
  <c r="R86" i="17" s="1"/>
  <c r="Q88" i="17"/>
  <c r="R88" i="17" s="1"/>
  <c r="X101" i="16"/>
  <c r="Y101" i="16" s="1"/>
  <c r="U102" i="16"/>
  <c r="X102" i="16" s="1"/>
  <c r="Y102" i="16" s="1"/>
  <c r="Q105" i="18"/>
  <c r="R105" i="18" s="1"/>
  <c r="Q125" i="16"/>
  <c r="R125" i="16" s="1"/>
  <c r="Q110" i="16"/>
  <c r="R110" i="16" s="1"/>
  <c r="N87" i="15"/>
  <c r="U87" i="15" s="1"/>
  <c r="P92" i="15"/>
  <c r="W92" i="15" s="1"/>
  <c r="N103" i="15"/>
  <c r="U103" i="15" s="1"/>
  <c r="Q92" i="16"/>
  <c r="R92" i="16" s="1"/>
  <c r="Q100" i="16"/>
  <c r="R100" i="16" s="1"/>
  <c r="Q108" i="16"/>
  <c r="R108" i="16" s="1"/>
  <c r="Q93" i="17"/>
  <c r="R93" i="17" s="1"/>
  <c r="X122" i="17"/>
  <c r="Y122" i="17" s="1"/>
  <c r="U93" i="17"/>
  <c r="X93" i="17" s="1"/>
  <c r="Y93" i="17" s="1"/>
  <c r="Q104" i="17"/>
  <c r="R104" i="17" s="1"/>
  <c r="Q101" i="17"/>
  <c r="R101" i="17" s="1"/>
  <c r="Q128" i="17"/>
  <c r="R128" i="17" s="1"/>
  <c r="Q122" i="17"/>
  <c r="R122" i="17" s="1"/>
  <c r="Q90" i="17"/>
  <c r="R90" i="17" s="1"/>
  <c r="Q112" i="17"/>
  <c r="R112" i="17" s="1"/>
  <c r="Q85" i="17"/>
  <c r="R85" i="17" s="1"/>
  <c r="Q130" i="17"/>
  <c r="R130" i="17" s="1"/>
  <c r="Q99" i="17"/>
  <c r="R99" i="17" s="1"/>
  <c r="Q114" i="17"/>
  <c r="R114" i="17" s="1"/>
  <c r="Q109" i="17"/>
  <c r="R109" i="17" s="1"/>
  <c r="Q117" i="17"/>
  <c r="R117" i="17" s="1"/>
  <c r="Q102" i="18"/>
  <c r="R102" i="18" s="1"/>
  <c r="Q88" i="18"/>
  <c r="R88" i="18" s="1"/>
  <c r="Q126" i="18"/>
  <c r="R126" i="18" s="1"/>
  <c r="Q118" i="18"/>
  <c r="R118" i="18" s="1"/>
  <c r="Q94" i="18"/>
  <c r="R94" i="18" s="1"/>
  <c r="Q113" i="18"/>
  <c r="R113" i="18" s="1"/>
  <c r="U94" i="18"/>
  <c r="X94" i="18" s="1"/>
  <c r="Y94" i="18" s="1"/>
  <c r="Q96" i="18"/>
  <c r="R96" i="18" s="1"/>
  <c r="Q121" i="18"/>
  <c r="R121" i="18" s="1"/>
  <c r="Q129" i="18"/>
  <c r="R129" i="18" s="1"/>
  <c r="Q110" i="18"/>
  <c r="R110" i="18" s="1"/>
  <c r="Q97" i="18"/>
  <c r="R97" i="18" s="1"/>
  <c r="Q112" i="18"/>
  <c r="R112" i="18" s="1"/>
  <c r="Q99" i="18"/>
  <c r="R99" i="18" s="1"/>
  <c r="Q120" i="18"/>
  <c r="R120" i="18" s="1"/>
  <c r="Q89" i="18"/>
  <c r="R89" i="18" s="1"/>
  <c r="Q104" i="18"/>
  <c r="R104" i="18" s="1"/>
  <c r="Q114" i="18"/>
  <c r="R114" i="18" s="1"/>
  <c r="U114" i="18"/>
  <c r="X120" i="18"/>
  <c r="Y120" i="18" s="1"/>
  <c r="X118" i="18"/>
  <c r="Y118" i="18" s="1"/>
  <c r="Q85" i="18"/>
  <c r="R85" i="18" s="1"/>
  <c r="X126" i="18"/>
  <c r="Y126" i="18" s="1"/>
  <c r="X128" i="18"/>
  <c r="Y128" i="18" s="1"/>
  <c r="X123" i="18"/>
  <c r="Y123" i="18" s="1"/>
  <c r="Q86" i="18"/>
  <c r="R86" i="18" s="1"/>
  <c r="Q106" i="18"/>
  <c r="R106" i="18" s="1"/>
  <c r="U106" i="18"/>
  <c r="Q127" i="18"/>
  <c r="R127" i="18" s="1"/>
  <c r="U127" i="18"/>
  <c r="X96" i="18"/>
  <c r="Y96" i="18" s="1"/>
  <c r="X89" i="18"/>
  <c r="Y89" i="18" s="1"/>
  <c r="U100" i="18"/>
  <c r="Q100" i="18"/>
  <c r="R100" i="18" s="1"/>
  <c r="U124" i="18"/>
  <c r="Q124" i="18"/>
  <c r="R124" i="18" s="1"/>
  <c r="U116" i="18"/>
  <c r="Q116" i="18"/>
  <c r="R116" i="18" s="1"/>
  <c r="Q115" i="18"/>
  <c r="R115" i="18" s="1"/>
  <c r="X99" i="18"/>
  <c r="Y99" i="18" s="1"/>
  <c r="Q119" i="18"/>
  <c r="R119" i="18" s="1"/>
  <c r="U119" i="18"/>
  <c r="Q98" i="18"/>
  <c r="R98" i="18" s="1"/>
  <c r="U98" i="18"/>
  <c r="U125" i="18"/>
  <c r="Q125" i="18"/>
  <c r="R125" i="18" s="1"/>
  <c r="X97" i="18"/>
  <c r="Y97" i="18" s="1"/>
  <c r="Q90" i="18"/>
  <c r="R90" i="18" s="1"/>
  <c r="U90" i="18"/>
  <c r="U117" i="18"/>
  <c r="Q117" i="18"/>
  <c r="R117" i="18" s="1"/>
  <c r="X112" i="18"/>
  <c r="Y112" i="18" s="1"/>
  <c r="X105" i="18"/>
  <c r="Y105" i="18" s="1"/>
  <c r="Q87" i="18"/>
  <c r="R87" i="18" s="1"/>
  <c r="U87" i="18"/>
  <c r="U108" i="18"/>
  <c r="Q108" i="18"/>
  <c r="R108" i="18" s="1"/>
  <c r="Q131" i="18"/>
  <c r="R131" i="18" s="1"/>
  <c r="X115" i="18"/>
  <c r="Y115" i="18" s="1"/>
  <c r="Q91" i="18"/>
  <c r="R91" i="18" s="1"/>
  <c r="Q122" i="18"/>
  <c r="R122" i="18" s="1"/>
  <c r="U122" i="18"/>
  <c r="U109" i="18"/>
  <c r="Q109" i="18"/>
  <c r="R109" i="18" s="1"/>
  <c r="X88" i="18"/>
  <c r="Y88" i="18" s="1"/>
  <c r="X113" i="18"/>
  <c r="Y113" i="18" s="1"/>
  <c r="Q95" i="18"/>
  <c r="R95" i="18" s="1"/>
  <c r="U95" i="18"/>
  <c r="Q107" i="18"/>
  <c r="R107" i="18" s="1"/>
  <c r="X129" i="18"/>
  <c r="Y129" i="18" s="1"/>
  <c r="X110" i="18"/>
  <c r="Y110" i="18" s="1"/>
  <c r="U101" i="18"/>
  <c r="Q101" i="18"/>
  <c r="R101" i="18" s="1"/>
  <c r="X121" i="18"/>
  <c r="Y121" i="18" s="1"/>
  <c r="Q103" i="18"/>
  <c r="R103" i="18" s="1"/>
  <c r="U103" i="18"/>
  <c r="U92" i="18"/>
  <c r="Q92" i="18"/>
  <c r="R92" i="18" s="1"/>
  <c r="X131" i="18"/>
  <c r="Y131" i="18" s="1"/>
  <c r="X91" i="18"/>
  <c r="Y91" i="18" s="1"/>
  <c r="Q130" i="18"/>
  <c r="R130" i="18" s="1"/>
  <c r="U130" i="18"/>
  <c r="U93" i="18"/>
  <c r="Q93" i="18"/>
  <c r="R93" i="18" s="1"/>
  <c r="X104" i="18"/>
  <c r="Y104" i="18" s="1"/>
  <c r="Q111" i="18"/>
  <c r="R111" i="18" s="1"/>
  <c r="U111" i="18"/>
  <c r="X102" i="18"/>
  <c r="Y102" i="18" s="1"/>
  <c r="Q128" i="18"/>
  <c r="R128" i="18" s="1"/>
  <c r="Q123" i="18"/>
  <c r="R123" i="18" s="1"/>
  <c r="X107" i="18"/>
  <c r="Y107" i="18" s="1"/>
  <c r="U126" i="17"/>
  <c r="Q126" i="17"/>
  <c r="R126" i="17" s="1"/>
  <c r="X98" i="17"/>
  <c r="Y98" i="17" s="1"/>
  <c r="X128" i="17"/>
  <c r="Y128" i="17" s="1"/>
  <c r="X107" i="17"/>
  <c r="Y107" i="17" s="1"/>
  <c r="Q108" i="17"/>
  <c r="R108" i="17" s="1"/>
  <c r="U108" i="17"/>
  <c r="X106" i="17"/>
  <c r="Y106" i="17" s="1"/>
  <c r="X101" i="17"/>
  <c r="Y101" i="17" s="1"/>
  <c r="Q127" i="17"/>
  <c r="R127" i="17" s="1"/>
  <c r="U127" i="17"/>
  <c r="U110" i="17"/>
  <c r="Q110" i="17"/>
  <c r="R110" i="17" s="1"/>
  <c r="Q92" i="17"/>
  <c r="R92" i="17" s="1"/>
  <c r="U92" i="17"/>
  <c r="X125" i="17"/>
  <c r="Y125" i="17" s="1"/>
  <c r="U102" i="17"/>
  <c r="Q102" i="17"/>
  <c r="R102" i="17" s="1"/>
  <c r="U118" i="17"/>
  <c r="Q118" i="17"/>
  <c r="R118" i="17" s="1"/>
  <c r="Q119" i="17"/>
  <c r="R119" i="17" s="1"/>
  <c r="U119" i="17"/>
  <c r="U131" i="17"/>
  <c r="Q131" i="17"/>
  <c r="R131" i="17" s="1"/>
  <c r="Q124" i="17"/>
  <c r="R124" i="17" s="1"/>
  <c r="U124" i="17"/>
  <c r="U115" i="17"/>
  <c r="Q115" i="17"/>
  <c r="R115" i="17" s="1"/>
  <c r="Q100" i="17"/>
  <c r="R100" i="17" s="1"/>
  <c r="U100" i="17"/>
  <c r="Q111" i="17"/>
  <c r="R111" i="17" s="1"/>
  <c r="U111" i="17"/>
  <c r="U123" i="17"/>
  <c r="Q123" i="17"/>
  <c r="R123" i="17" s="1"/>
  <c r="U129" i="17"/>
  <c r="Q129" i="17"/>
  <c r="R129" i="17" s="1"/>
  <c r="X90" i="17"/>
  <c r="Y90" i="17" s="1"/>
  <c r="Q89" i="17"/>
  <c r="R89" i="17" s="1"/>
  <c r="U89" i="17"/>
  <c r="Q107" i="17"/>
  <c r="R107" i="17" s="1"/>
  <c r="Q103" i="17"/>
  <c r="R103" i="17" s="1"/>
  <c r="U103" i="17"/>
  <c r="Q95" i="17"/>
  <c r="R95" i="17" s="1"/>
  <c r="U95" i="17"/>
  <c r="U91" i="17"/>
  <c r="Q91" i="17"/>
  <c r="R91" i="17" s="1"/>
  <c r="X112" i="17"/>
  <c r="Y112" i="17" s="1"/>
  <c r="Q116" i="17"/>
  <c r="R116" i="17" s="1"/>
  <c r="U116" i="17"/>
  <c r="X117" i="17"/>
  <c r="Y117" i="17" s="1"/>
  <c r="X99" i="17"/>
  <c r="Y99" i="17" s="1"/>
  <c r="Q120" i="17"/>
  <c r="R120" i="17" s="1"/>
  <c r="X104" i="17"/>
  <c r="Y104" i="17" s="1"/>
  <c r="Q87" i="17"/>
  <c r="R87" i="17" s="1"/>
  <c r="U87" i="17"/>
  <c r="U121" i="17"/>
  <c r="Q121" i="17"/>
  <c r="R121" i="17" s="1"/>
  <c r="U94" i="17"/>
  <c r="Q94" i="17"/>
  <c r="R94" i="17" s="1"/>
  <c r="Q106" i="17"/>
  <c r="R106" i="17" s="1"/>
  <c r="X88" i="17"/>
  <c r="Y88" i="17" s="1"/>
  <c r="U105" i="17"/>
  <c r="Q105" i="17"/>
  <c r="R105" i="17" s="1"/>
  <c r="U97" i="17"/>
  <c r="Q97" i="17"/>
  <c r="R97" i="17" s="1"/>
  <c r="X114" i="17"/>
  <c r="Y114" i="17" s="1"/>
  <c r="U113" i="17"/>
  <c r="Q113" i="17"/>
  <c r="R113" i="17" s="1"/>
  <c r="X120" i="17"/>
  <c r="Y120" i="17" s="1"/>
  <c r="X109" i="17"/>
  <c r="Y109" i="17" s="1"/>
  <c r="Q128" i="16"/>
  <c r="R128" i="16" s="1"/>
  <c r="Q117" i="16"/>
  <c r="R117" i="16" s="1"/>
  <c r="Q93" i="16"/>
  <c r="R93" i="16" s="1"/>
  <c r="Q91" i="16"/>
  <c r="R91" i="16" s="1"/>
  <c r="Q94" i="16"/>
  <c r="R94" i="16" s="1"/>
  <c r="Q118" i="16"/>
  <c r="R118" i="16" s="1"/>
  <c r="Q96" i="16"/>
  <c r="R96" i="16" s="1"/>
  <c r="U123" i="16"/>
  <c r="Q123" i="16"/>
  <c r="R123" i="16" s="1"/>
  <c r="U119" i="16"/>
  <c r="Q119" i="16"/>
  <c r="R119" i="16" s="1"/>
  <c r="U120" i="16"/>
  <c r="Q120" i="16"/>
  <c r="R120" i="16" s="1"/>
  <c r="X117" i="16"/>
  <c r="Y117" i="16" s="1"/>
  <c r="Q97" i="16"/>
  <c r="R97" i="16" s="1"/>
  <c r="U97" i="16"/>
  <c r="Q121" i="16"/>
  <c r="R121" i="16" s="1"/>
  <c r="U121" i="16"/>
  <c r="Q113" i="16"/>
  <c r="R113" i="16" s="1"/>
  <c r="U113" i="16"/>
  <c r="X118" i="16"/>
  <c r="Y118" i="16" s="1"/>
  <c r="X110" i="16"/>
  <c r="Y110" i="16" s="1"/>
  <c r="X100" i="16"/>
  <c r="Y100" i="16" s="1"/>
  <c r="U111" i="16"/>
  <c r="Q111" i="16"/>
  <c r="R111" i="16" s="1"/>
  <c r="X109" i="16"/>
  <c r="Y109" i="16" s="1"/>
  <c r="U103" i="16"/>
  <c r="Q103" i="16"/>
  <c r="R103" i="16" s="1"/>
  <c r="U112" i="16"/>
  <c r="Q112" i="16"/>
  <c r="R112" i="16" s="1"/>
  <c r="U104" i="16"/>
  <c r="Q104" i="16"/>
  <c r="R104" i="16" s="1"/>
  <c r="X94" i="16"/>
  <c r="Y94" i="16" s="1"/>
  <c r="Q105" i="16"/>
  <c r="R105" i="16" s="1"/>
  <c r="U105" i="16"/>
  <c r="U95" i="16"/>
  <c r="Q95" i="16"/>
  <c r="R95" i="16" s="1"/>
  <c r="X128" i="16"/>
  <c r="Y128" i="16" s="1"/>
  <c r="U87" i="16"/>
  <c r="Q87" i="16"/>
  <c r="R87" i="16" s="1"/>
  <c r="Q129" i="16"/>
  <c r="R129" i="16" s="1"/>
  <c r="U129" i="16"/>
  <c r="Q115" i="16"/>
  <c r="R115" i="16" s="1"/>
  <c r="U122" i="16"/>
  <c r="Q122" i="16"/>
  <c r="R122" i="16" s="1"/>
  <c r="X92" i="16"/>
  <c r="Y92" i="16" s="1"/>
  <c r="U107" i="16"/>
  <c r="Q107" i="16"/>
  <c r="R107" i="16" s="1"/>
  <c r="Q124" i="16"/>
  <c r="R124" i="16" s="1"/>
  <c r="U124" i="16"/>
  <c r="Q85" i="16"/>
  <c r="R85" i="16" s="1"/>
  <c r="W126" i="16"/>
  <c r="X126" i="16" s="1"/>
  <c r="Y126" i="16" s="1"/>
  <c r="Q126" i="16"/>
  <c r="R126" i="16" s="1"/>
  <c r="Q99" i="16"/>
  <c r="R99" i="16" s="1"/>
  <c r="X91" i="16"/>
  <c r="Y91" i="16" s="1"/>
  <c r="U90" i="16"/>
  <c r="Q90" i="16"/>
  <c r="R90" i="16" s="1"/>
  <c r="Q116" i="16"/>
  <c r="R116" i="16" s="1"/>
  <c r="U116" i="16"/>
  <c r="U130" i="16"/>
  <c r="Q130" i="16"/>
  <c r="R130" i="16" s="1"/>
  <c r="U88" i="16"/>
  <c r="Q88" i="16"/>
  <c r="R88" i="16" s="1"/>
  <c r="X115" i="16"/>
  <c r="Y115" i="16" s="1"/>
  <c r="Q89" i="16"/>
  <c r="R89" i="16" s="1"/>
  <c r="U89" i="16"/>
  <c r="X125" i="16"/>
  <c r="Y125" i="16" s="1"/>
  <c r="U131" i="16"/>
  <c r="Q131" i="16"/>
  <c r="R131" i="16" s="1"/>
  <c r="U127" i="16"/>
  <c r="Q127" i="16"/>
  <c r="R127" i="16" s="1"/>
  <c r="U106" i="16"/>
  <c r="Q106" i="16"/>
  <c r="R106" i="16" s="1"/>
  <c r="X99" i="16"/>
  <c r="Y99" i="16" s="1"/>
  <c r="U98" i="16"/>
  <c r="Q98" i="16"/>
  <c r="R98" i="16" s="1"/>
  <c r="U114" i="16"/>
  <c r="Q114" i="16"/>
  <c r="R114" i="16" s="1"/>
  <c r="X96" i="16"/>
  <c r="Y96" i="16" s="1"/>
  <c r="V119" i="15"/>
  <c r="V127" i="15"/>
  <c r="V87" i="15"/>
  <c r="V92" i="15"/>
  <c r="V108" i="15"/>
  <c r="N130" i="15"/>
  <c r="U130" i="15" s="1"/>
  <c r="N85" i="15"/>
  <c r="V86" i="15"/>
  <c r="X86" i="15" s="1"/>
  <c r="N100" i="15"/>
  <c r="U100" i="15" s="1"/>
  <c r="N114" i="15"/>
  <c r="U114" i="15" s="1"/>
  <c r="V96" i="15"/>
  <c r="V115" i="15"/>
  <c r="N98" i="15"/>
  <c r="U98" i="15" s="1"/>
  <c r="V104" i="15"/>
  <c r="N109" i="15"/>
  <c r="U109" i="15" s="1"/>
  <c r="N117" i="15"/>
  <c r="U117" i="15" s="1"/>
  <c r="N125" i="15"/>
  <c r="U125" i="15" s="1"/>
  <c r="Q137" i="15"/>
  <c r="R137" i="15" s="1"/>
  <c r="V116" i="15"/>
  <c r="V120" i="15"/>
  <c r="N92" i="15"/>
  <c r="U92" i="15" s="1"/>
  <c r="V123" i="15"/>
  <c r="P129" i="15"/>
  <c r="W129" i="15" s="1"/>
  <c r="V100" i="15"/>
  <c r="P108" i="15"/>
  <c r="W108" i="15" s="1"/>
  <c r="P119" i="15"/>
  <c r="W119" i="15" s="1"/>
  <c r="Q158" i="15"/>
  <c r="R158" i="15" s="1"/>
  <c r="Q174" i="15"/>
  <c r="R174" i="15" s="1"/>
  <c r="N93" i="15"/>
  <c r="U93" i="15" s="1"/>
  <c r="P94" i="15"/>
  <c r="W94" i="15" s="1"/>
  <c r="N119" i="15"/>
  <c r="U119" i="15" s="1"/>
  <c r="P126" i="15"/>
  <c r="W126" i="15" s="1"/>
  <c r="P130" i="15"/>
  <c r="W130" i="15" s="1"/>
  <c r="V131" i="15"/>
  <c r="Q145" i="15"/>
  <c r="R145" i="15" s="1"/>
  <c r="Q161" i="15"/>
  <c r="R161" i="15" s="1"/>
  <c r="P120" i="15"/>
  <c r="W120" i="15" s="1"/>
  <c r="Q172" i="15"/>
  <c r="R172" i="15" s="1"/>
  <c r="Q180" i="15"/>
  <c r="R180" i="15" s="1"/>
  <c r="N116" i="15"/>
  <c r="U116" i="15" s="1"/>
  <c r="V124" i="15"/>
  <c r="N106" i="15"/>
  <c r="U106" i="15" s="1"/>
  <c r="P88" i="15"/>
  <c r="W88" i="15" s="1"/>
  <c r="P104" i="15"/>
  <c r="W104" i="15" s="1"/>
  <c r="N128" i="15"/>
  <c r="U128" i="15" s="1"/>
  <c r="Q142" i="15"/>
  <c r="R142" i="15" s="1"/>
  <c r="Q148" i="15"/>
  <c r="R148" i="15" s="1"/>
  <c r="V90" i="15"/>
  <c r="V103" i="15"/>
  <c r="V106" i="15"/>
  <c r="N122" i="15"/>
  <c r="U122" i="15" s="1"/>
  <c r="P89" i="15"/>
  <c r="W89" i="15" s="1"/>
  <c r="P96" i="15"/>
  <c r="W96" i="15" s="1"/>
  <c r="P105" i="15"/>
  <c r="W105" i="15" s="1"/>
  <c r="P112" i="15"/>
  <c r="W112" i="15" s="1"/>
  <c r="P124" i="15"/>
  <c r="W124" i="15" s="1"/>
  <c r="Q169" i="15"/>
  <c r="R169" i="15" s="1"/>
  <c r="N95" i="15"/>
  <c r="U95" i="15" s="1"/>
  <c r="P99" i="15"/>
  <c r="W99" i="15" s="1"/>
  <c r="N108" i="15"/>
  <c r="U108" i="15" s="1"/>
  <c r="N111" i="15"/>
  <c r="U111" i="15" s="1"/>
  <c r="P115" i="15"/>
  <c r="W115" i="15" s="1"/>
  <c r="N127" i="15"/>
  <c r="U127" i="15" s="1"/>
  <c r="P128" i="15"/>
  <c r="W128" i="15" s="1"/>
  <c r="P101" i="15"/>
  <c r="W101" i="15" s="1"/>
  <c r="P103" i="15"/>
  <c r="W103" i="15" s="1"/>
  <c r="P121" i="15"/>
  <c r="W121" i="15" s="1"/>
  <c r="N124" i="15"/>
  <c r="U124" i="15" s="1"/>
  <c r="N88" i="15"/>
  <c r="U88" i="15" s="1"/>
  <c r="V112" i="15"/>
  <c r="Q150" i="15"/>
  <c r="R150" i="15" s="1"/>
  <c r="P91" i="15"/>
  <c r="W91" i="15" s="1"/>
  <c r="P131" i="15"/>
  <c r="W131" i="15" s="1"/>
  <c r="O128" i="15"/>
  <c r="V128" i="15" s="1"/>
  <c r="Q153" i="15"/>
  <c r="R153" i="15" s="1"/>
  <c r="Q156" i="15"/>
  <c r="R156" i="15" s="1"/>
  <c r="P97" i="15"/>
  <c r="W97" i="15" s="1"/>
  <c r="P107" i="15"/>
  <c r="W107" i="15" s="1"/>
  <c r="P111" i="15"/>
  <c r="W111" i="15" s="1"/>
  <c r="P113" i="15"/>
  <c r="W113" i="15" s="1"/>
  <c r="P123" i="15"/>
  <c r="W123" i="15" s="1"/>
  <c r="P127" i="15"/>
  <c r="W127" i="15" s="1"/>
  <c r="V111" i="15"/>
  <c r="Q177" i="15"/>
  <c r="R177" i="15" s="1"/>
  <c r="Q182" i="15"/>
  <c r="R182" i="15" s="1"/>
  <c r="V95" i="15"/>
  <c r="P86" i="15"/>
  <c r="O88" i="15"/>
  <c r="V88" i="15" s="1"/>
  <c r="N90" i="15"/>
  <c r="U90" i="15" s="1"/>
  <c r="P100" i="15"/>
  <c r="W100" i="15" s="1"/>
  <c r="V107" i="15"/>
  <c r="N112" i="15"/>
  <c r="U112" i="15" s="1"/>
  <c r="P116" i="15"/>
  <c r="W116" i="15" s="1"/>
  <c r="P118" i="15"/>
  <c r="W118" i="15" s="1"/>
  <c r="N86" i="15"/>
  <c r="P93" i="15"/>
  <c r="W93" i="15" s="1"/>
  <c r="N101" i="15"/>
  <c r="U101" i="15" s="1"/>
  <c r="Q140" i="15"/>
  <c r="R140" i="15" s="1"/>
  <c r="Q164" i="15"/>
  <c r="R164" i="15" s="1"/>
  <c r="Q166" i="15"/>
  <c r="R166" i="15" s="1"/>
  <c r="P85" i="15"/>
  <c r="AG85" i="15"/>
  <c r="P106" i="15"/>
  <c r="W106" i="15" s="1"/>
  <c r="O97" i="15"/>
  <c r="V97" i="15" s="1"/>
  <c r="N97" i="15"/>
  <c r="P98" i="15"/>
  <c r="W98" i="15" s="1"/>
  <c r="P114" i="15"/>
  <c r="W114" i="15" s="1"/>
  <c r="Q147" i="15"/>
  <c r="R147" i="15" s="1"/>
  <c r="Q163" i="15"/>
  <c r="R163" i="15" s="1"/>
  <c r="Q179" i="15"/>
  <c r="R179" i="15" s="1"/>
  <c r="O102" i="15"/>
  <c r="V102" i="15" s="1"/>
  <c r="N102" i="15"/>
  <c r="O105" i="15"/>
  <c r="V105" i="15" s="1"/>
  <c r="N105" i="15"/>
  <c r="P109" i="15"/>
  <c r="W109" i="15" s="1"/>
  <c r="O91" i="15"/>
  <c r="V91" i="15" s="1"/>
  <c r="N91" i="15"/>
  <c r="N96" i="15"/>
  <c r="N104" i="15"/>
  <c r="O110" i="15"/>
  <c r="V110" i="15" s="1"/>
  <c r="N110" i="15"/>
  <c r="O113" i="15"/>
  <c r="V113" i="15" s="1"/>
  <c r="N113" i="15"/>
  <c r="P117" i="15"/>
  <c r="W117" i="15" s="1"/>
  <c r="Q141" i="15"/>
  <c r="R141" i="15" s="1"/>
  <c r="Q157" i="15"/>
  <c r="R157" i="15" s="1"/>
  <c r="Q173" i="15"/>
  <c r="R173" i="15" s="1"/>
  <c r="Q152" i="15"/>
  <c r="R152" i="15" s="1"/>
  <c r="P87" i="15"/>
  <c r="W87" i="15" s="1"/>
  <c r="P102" i="15"/>
  <c r="W102" i="15" s="1"/>
  <c r="P122" i="15"/>
  <c r="W122" i="15" s="1"/>
  <c r="O118" i="15"/>
  <c r="V118" i="15" s="1"/>
  <c r="N118" i="15"/>
  <c r="O121" i="15"/>
  <c r="V121" i="15" s="1"/>
  <c r="N121" i="15"/>
  <c r="P125" i="15"/>
  <c r="W125" i="15" s="1"/>
  <c r="Q144" i="15"/>
  <c r="R144" i="15" s="1"/>
  <c r="Q160" i="15"/>
  <c r="R160" i="15" s="1"/>
  <c r="Q176" i="15"/>
  <c r="R176" i="15" s="1"/>
  <c r="Q168" i="15"/>
  <c r="R168" i="15" s="1"/>
  <c r="O99" i="15"/>
  <c r="V99" i="15" s="1"/>
  <c r="N99" i="15"/>
  <c r="P110" i="15"/>
  <c r="W110" i="15" s="1"/>
  <c r="Q139" i="15"/>
  <c r="R139" i="15" s="1"/>
  <c r="Q155" i="15"/>
  <c r="R155" i="15" s="1"/>
  <c r="Q171" i="15"/>
  <c r="R171" i="15" s="1"/>
  <c r="O89" i="15"/>
  <c r="V89" i="15" s="1"/>
  <c r="N89" i="15"/>
  <c r="P90" i="15"/>
  <c r="W90" i="15" s="1"/>
  <c r="O94" i="15"/>
  <c r="V94" i="15" s="1"/>
  <c r="N94" i="15"/>
  <c r="P95" i="15"/>
  <c r="W95" i="15" s="1"/>
  <c r="N120" i="15"/>
  <c r="O126" i="15"/>
  <c r="V126" i="15" s="1"/>
  <c r="N126" i="15"/>
  <c r="O129" i="15"/>
  <c r="V129" i="15" s="1"/>
  <c r="N129" i="15"/>
  <c r="Q149" i="15"/>
  <c r="R149" i="15" s="1"/>
  <c r="Q165" i="15"/>
  <c r="R165" i="15" s="1"/>
  <c r="Q181" i="15"/>
  <c r="R181" i="15" s="1"/>
  <c r="Q138" i="15"/>
  <c r="R138" i="15" s="1"/>
  <c r="Q146" i="15"/>
  <c r="R146" i="15" s="1"/>
  <c r="Q154" i="15"/>
  <c r="R154" i="15" s="1"/>
  <c r="Q162" i="15"/>
  <c r="R162" i="15" s="1"/>
  <c r="Q170" i="15"/>
  <c r="R170" i="15" s="1"/>
  <c r="Q178" i="15"/>
  <c r="R178" i="15" s="1"/>
  <c r="N107" i="15"/>
  <c r="N115" i="15"/>
  <c r="N123" i="15"/>
  <c r="N131" i="15"/>
  <c r="Q143" i="15"/>
  <c r="R143" i="15" s="1"/>
  <c r="Q151" i="15"/>
  <c r="R151" i="15" s="1"/>
  <c r="Q159" i="15"/>
  <c r="R159" i="15" s="1"/>
  <c r="Q167" i="15"/>
  <c r="R167" i="15" s="1"/>
  <c r="Q175" i="15"/>
  <c r="R175" i="15" s="1"/>
  <c r="Q183" i="15"/>
  <c r="R183" i="15" s="1"/>
  <c r="X119" i="15" l="1"/>
  <c r="Y119" i="15" s="1"/>
  <c r="Q130" i="15"/>
  <c r="R130" i="15" s="1"/>
  <c r="Q85" i="15"/>
  <c r="R85" i="15" s="1"/>
  <c r="X108" i="18"/>
  <c r="Y108" i="18" s="1"/>
  <c r="X103" i="18"/>
  <c r="Y103" i="18" s="1"/>
  <c r="X124" i="18"/>
  <c r="Y124" i="18" s="1"/>
  <c r="X87" i="18"/>
  <c r="Y87" i="18" s="1"/>
  <c r="X117" i="18"/>
  <c r="Y117" i="18" s="1"/>
  <c r="X125" i="18"/>
  <c r="Y125" i="18" s="1"/>
  <c r="X127" i="18"/>
  <c r="Y127" i="18" s="1"/>
  <c r="X93" i="18"/>
  <c r="Y93" i="18" s="1"/>
  <c r="X90" i="18"/>
  <c r="Y90" i="18" s="1"/>
  <c r="X98" i="18"/>
  <c r="Y98" i="18" s="1"/>
  <c r="X130" i="18"/>
  <c r="Y130" i="18" s="1"/>
  <c r="X100" i="18"/>
  <c r="Y100" i="18" s="1"/>
  <c r="X106" i="18"/>
  <c r="Y106" i="18" s="1"/>
  <c r="X111" i="18"/>
  <c r="Y111" i="18" s="1"/>
  <c r="X92" i="18"/>
  <c r="Y92" i="18" s="1"/>
  <c r="X114" i="18"/>
  <c r="Y114" i="18" s="1"/>
  <c r="X95" i="18"/>
  <c r="Y95" i="18" s="1"/>
  <c r="X109" i="18"/>
  <c r="Y109" i="18" s="1"/>
  <c r="X116" i="18"/>
  <c r="Y116" i="18" s="1"/>
  <c r="X101" i="18"/>
  <c r="Y101" i="18" s="1"/>
  <c r="X122" i="18"/>
  <c r="Y122" i="18" s="1"/>
  <c r="X119" i="18"/>
  <c r="Y119" i="18" s="1"/>
  <c r="X121" i="17"/>
  <c r="Y121" i="17" s="1"/>
  <c r="X129" i="17"/>
  <c r="Y129" i="17" s="1"/>
  <c r="X124" i="17"/>
  <c r="Y124" i="17" s="1"/>
  <c r="X102" i="17"/>
  <c r="Y102" i="17" s="1"/>
  <c r="X110" i="17"/>
  <c r="Y110" i="17" s="1"/>
  <c r="X115" i="17"/>
  <c r="Y115" i="17" s="1"/>
  <c r="X113" i="17"/>
  <c r="Y113" i="17" s="1"/>
  <c r="X87" i="17"/>
  <c r="Y87" i="17" s="1"/>
  <c r="X127" i="17"/>
  <c r="Y127" i="17" s="1"/>
  <c r="X108" i="17"/>
  <c r="Y108" i="17" s="1"/>
  <c r="X91" i="17"/>
  <c r="Y91" i="17" s="1"/>
  <c r="X103" i="17"/>
  <c r="Y103" i="17" s="1"/>
  <c r="X123" i="17"/>
  <c r="Y123" i="17" s="1"/>
  <c r="X126" i="17"/>
  <c r="Y126" i="17" s="1"/>
  <c r="X89" i="17"/>
  <c r="Y89" i="17" s="1"/>
  <c r="X97" i="17"/>
  <c r="Y97" i="17" s="1"/>
  <c r="X116" i="17"/>
  <c r="Y116" i="17" s="1"/>
  <c r="X95" i="17"/>
  <c r="Y95" i="17" s="1"/>
  <c r="X111" i="17"/>
  <c r="Y111" i="17" s="1"/>
  <c r="X131" i="17"/>
  <c r="Y131" i="17" s="1"/>
  <c r="X92" i="17"/>
  <c r="Y92" i="17" s="1"/>
  <c r="X105" i="17"/>
  <c r="Y105" i="17" s="1"/>
  <c r="X100" i="17"/>
  <c r="Y100" i="17" s="1"/>
  <c r="X118" i="17"/>
  <c r="Y118" i="17" s="1"/>
  <c r="X94" i="17"/>
  <c r="Y94" i="17" s="1"/>
  <c r="X119" i="17"/>
  <c r="Y119" i="17" s="1"/>
  <c r="X112" i="16"/>
  <c r="Y112" i="16" s="1"/>
  <c r="X107" i="16"/>
  <c r="Y107" i="16" s="1"/>
  <c r="X90" i="16"/>
  <c r="Y90" i="16" s="1"/>
  <c r="X124" i="16"/>
  <c r="Y124" i="16" s="1"/>
  <c r="X103" i="16"/>
  <c r="Y103" i="16" s="1"/>
  <c r="X122" i="16"/>
  <c r="Y122" i="16" s="1"/>
  <c r="X105" i="16"/>
  <c r="Y105" i="16" s="1"/>
  <c r="X87" i="16"/>
  <c r="Y87" i="16" s="1"/>
  <c r="X119" i="16"/>
  <c r="Y119" i="16" s="1"/>
  <c r="X106" i="16"/>
  <c r="Y106" i="16" s="1"/>
  <c r="X113" i="16"/>
  <c r="Y113" i="16" s="1"/>
  <c r="X89" i="16"/>
  <c r="Y89" i="16" s="1"/>
  <c r="X129" i="16"/>
  <c r="Y129" i="16" s="1"/>
  <c r="X123" i="16"/>
  <c r="Y123" i="16" s="1"/>
  <c r="X97" i="16"/>
  <c r="Y97" i="16" s="1"/>
  <c r="X114" i="16"/>
  <c r="Y114" i="16" s="1"/>
  <c r="X88" i="16"/>
  <c r="Y88" i="16" s="1"/>
  <c r="X111" i="16"/>
  <c r="Y111" i="16" s="1"/>
  <c r="X98" i="16"/>
  <c r="Y98" i="16" s="1"/>
  <c r="X127" i="16"/>
  <c r="Y127" i="16" s="1"/>
  <c r="X130" i="16"/>
  <c r="Y130" i="16" s="1"/>
  <c r="X95" i="16"/>
  <c r="Y95" i="16" s="1"/>
  <c r="X104" i="16"/>
  <c r="Y104" i="16" s="1"/>
  <c r="X121" i="16"/>
  <c r="Y121" i="16" s="1"/>
  <c r="X131" i="16"/>
  <c r="Y131" i="16" s="1"/>
  <c r="X116" i="16"/>
  <c r="Y116" i="16" s="1"/>
  <c r="P42" i="16"/>
  <c r="P34" i="16"/>
  <c r="X120" i="16"/>
  <c r="Y120" i="16" s="1"/>
  <c r="P49" i="16"/>
  <c r="Q108" i="15"/>
  <c r="R108" i="15" s="1"/>
  <c r="Q119" i="15"/>
  <c r="R119" i="15" s="1"/>
  <c r="X111" i="15"/>
  <c r="Y111" i="15" s="1"/>
  <c r="Q112" i="15"/>
  <c r="R112" i="15" s="1"/>
  <c r="Q100" i="15"/>
  <c r="R100" i="15" s="1"/>
  <c r="Q111" i="15"/>
  <c r="R111" i="15" s="1"/>
  <c r="Q116" i="15"/>
  <c r="R116" i="15" s="1"/>
  <c r="Q103" i="15"/>
  <c r="R103" i="15" s="1"/>
  <c r="X108" i="15"/>
  <c r="Y108" i="15" s="1"/>
  <c r="Q124" i="15"/>
  <c r="R124" i="15" s="1"/>
  <c r="X92" i="15"/>
  <c r="Y92" i="15" s="1"/>
  <c r="Q92" i="15"/>
  <c r="R92" i="15" s="1"/>
  <c r="X124" i="15"/>
  <c r="Y124" i="15" s="1"/>
  <c r="X100" i="15"/>
  <c r="Y100" i="15" s="1"/>
  <c r="Q128" i="15"/>
  <c r="R128" i="15" s="1"/>
  <c r="X103" i="15"/>
  <c r="Y103" i="15" s="1"/>
  <c r="Q86" i="15"/>
  <c r="R86" i="15" s="1"/>
  <c r="X127" i="15"/>
  <c r="Y127" i="15" s="1"/>
  <c r="Q101" i="15"/>
  <c r="R101" i="15" s="1"/>
  <c r="Q93" i="15"/>
  <c r="R93" i="15" s="1"/>
  <c r="Q106" i="15"/>
  <c r="R106" i="15" s="1"/>
  <c r="Q98" i="15"/>
  <c r="R98" i="15" s="1"/>
  <c r="Q122" i="15"/>
  <c r="R122" i="15" s="1"/>
  <c r="Q117" i="15"/>
  <c r="R117" i="15" s="1"/>
  <c r="Q127" i="15"/>
  <c r="R127" i="15" s="1"/>
  <c r="Q88" i="15"/>
  <c r="R88" i="15" s="1"/>
  <c r="X130" i="15"/>
  <c r="Y130" i="15" s="1"/>
  <c r="Q89" i="15"/>
  <c r="R89" i="15" s="1"/>
  <c r="U89" i="15"/>
  <c r="X109" i="15"/>
  <c r="Y109" i="15" s="1"/>
  <c r="X122" i="15"/>
  <c r="Y122" i="15" s="1"/>
  <c r="U104" i="15"/>
  <c r="Q104" i="15"/>
  <c r="R104" i="15" s="1"/>
  <c r="X93" i="15"/>
  <c r="Y93" i="15" s="1"/>
  <c r="U131" i="15"/>
  <c r="Q131" i="15"/>
  <c r="R131" i="15" s="1"/>
  <c r="Q129" i="15"/>
  <c r="R129" i="15" s="1"/>
  <c r="U129" i="15"/>
  <c r="X116" i="15"/>
  <c r="Y116" i="15" s="1"/>
  <c r="Q121" i="15"/>
  <c r="R121" i="15" s="1"/>
  <c r="U121" i="15"/>
  <c r="X112" i="15"/>
  <c r="Y112" i="15" s="1"/>
  <c r="X114" i="15"/>
  <c r="Y114" i="15" s="1"/>
  <c r="U91" i="15"/>
  <c r="Q91" i="15"/>
  <c r="R91" i="15" s="1"/>
  <c r="X88" i="15"/>
  <c r="Y88" i="15" s="1"/>
  <c r="U107" i="15"/>
  <c r="Q107" i="15"/>
  <c r="R107" i="15" s="1"/>
  <c r="Q113" i="15"/>
  <c r="R113" i="15" s="1"/>
  <c r="U113" i="15"/>
  <c r="Q125" i="15"/>
  <c r="R125" i="15" s="1"/>
  <c r="X106" i="15"/>
  <c r="Y106" i="15" s="1"/>
  <c r="U123" i="15"/>
  <c r="Q123" i="15"/>
  <c r="R123" i="15" s="1"/>
  <c r="U94" i="15"/>
  <c r="Q94" i="15"/>
  <c r="R94" i="15" s="1"/>
  <c r="U99" i="15"/>
  <c r="Q99" i="15"/>
  <c r="R99" i="15" s="1"/>
  <c r="X117" i="15"/>
  <c r="Y117" i="15" s="1"/>
  <c r="X98" i="15"/>
  <c r="Y98" i="15" s="1"/>
  <c r="X125" i="15"/>
  <c r="Y125" i="15" s="1"/>
  <c r="U126" i="15"/>
  <c r="Q126" i="15"/>
  <c r="R126" i="15" s="1"/>
  <c r="U118" i="15"/>
  <c r="Q118" i="15"/>
  <c r="R118" i="15" s="1"/>
  <c r="Q87" i="15"/>
  <c r="R87" i="15" s="1"/>
  <c r="U96" i="15"/>
  <c r="Q96" i="15"/>
  <c r="R96" i="15" s="1"/>
  <c r="Q105" i="15"/>
  <c r="R105" i="15" s="1"/>
  <c r="U105" i="15"/>
  <c r="Q97" i="15"/>
  <c r="R97" i="15" s="1"/>
  <c r="U97" i="15"/>
  <c r="Q95" i="15"/>
  <c r="R95" i="15" s="1"/>
  <c r="Q90" i="15"/>
  <c r="R90" i="15" s="1"/>
  <c r="Q109" i="15"/>
  <c r="R109" i="15" s="1"/>
  <c r="U110" i="15"/>
  <c r="Q110" i="15"/>
  <c r="R110" i="15" s="1"/>
  <c r="U115" i="15"/>
  <c r="Q115" i="15"/>
  <c r="R115" i="15" s="1"/>
  <c r="U120" i="15"/>
  <c r="Q120" i="15"/>
  <c r="R120" i="15" s="1"/>
  <c r="X87" i="15"/>
  <c r="Y87" i="15" s="1"/>
  <c r="Q114" i="15"/>
  <c r="R114" i="15" s="1"/>
  <c r="U102" i="15"/>
  <c r="Q102" i="15"/>
  <c r="R102" i="15" s="1"/>
  <c r="X95" i="15"/>
  <c r="Y95" i="15" s="1"/>
  <c r="X128" i="15"/>
  <c r="Y128" i="15" s="1"/>
  <c r="X101" i="15"/>
  <c r="Y101" i="15" s="1"/>
  <c r="X90" i="15"/>
  <c r="Y90" i="15" s="1"/>
  <c r="D287" i="12"/>
  <c r="C287" i="12"/>
  <c r="B287" i="12"/>
  <c r="D286" i="12"/>
  <c r="C286" i="12"/>
  <c r="B286" i="12"/>
  <c r="D285" i="12"/>
  <c r="C285" i="12"/>
  <c r="B285" i="12"/>
  <c r="D284" i="12"/>
  <c r="C284" i="12"/>
  <c r="B284" i="12"/>
  <c r="D283" i="12"/>
  <c r="C283" i="12"/>
  <c r="B283" i="12"/>
  <c r="D282" i="12"/>
  <c r="C282" i="12"/>
  <c r="B282" i="12"/>
  <c r="D281" i="12"/>
  <c r="C281" i="12"/>
  <c r="B281" i="12"/>
  <c r="D280" i="12"/>
  <c r="C280" i="12"/>
  <c r="B280" i="12"/>
  <c r="D279" i="12"/>
  <c r="C279" i="12"/>
  <c r="B279" i="12"/>
  <c r="D278" i="12"/>
  <c r="C278" i="12"/>
  <c r="B278" i="12"/>
  <c r="D277" i="12"/>
  <c r="C277" i="12"/>
  <c r="B277" i="12"/>
  <c r="D276" i="12"/>
  <c r="C276" i="12"/>
  <c r="B276" i="12"/>
  <c r="D275" i="12"/>
  <c r="C275" i="12"/>
  <c r="B275" i="12"/>
  <c r="D274" i="12"/>
  <c r="C274" i="12"/>
  <c r="B274" i="12"/>
  <c r="D273" i="12"/>
  <c r="C273" i="12"/>
  <c r="B273" i="12"/>
  <c r="D272" i="12"/>
  <c r="C272" i="12"/>
  <c r="B272" i="12"/>
  <c r="D271" i="12"/>
  <c r="C271" i="12"/>
  <c r="B271" i="12"/>
  <c r="D270" i="12"/>
  <c r="C270" i="12"/>
  <c r="B270" i="12"/>
  <c r="D269" i="12"/>
  <c r="C269" i="12"/>
  <c r="B269" i="12"/>
  <c r="D268" i="12"/>
  <c r="C268" i="12"/>
  <c r="B268" i="12"/>
  <c r="D267" i="12"/>
  <c r="C267" i="12"/>
  <c r="B267" i="12"/>
  <c r="D266" i="12"/>
  <c r="C266" i="12"/>
  <c r="B266" i="12"/>
  <c r="D265" i="12"/>
  <c r="C265" i="12"/>
  <c r="B265" i="12"/>
  <c r="D264" i="12"/>
  <c r="C264" i="12"/>
  <c r="B264" i="12"/>
  <c r="D263" i="12"/>
  <c r="C263" i="12"/>
  <c r="B263" i="12"/>
  <c r="D262" i="12"/>
  <c r="C262" i="12"/>
  <c r="B262" i="12"/>
  <c r="D261" i="12"/>
  <c r="C261" i="12"/>
  <c r="B261" i="12"/>
  <c r="D260" i="12"/>
  <c r="C260" i="12"/>
  <c r="B260" i="12"/>
  <c r="D259" i="12"/>
  <c r="C259" i="12"/>
  <c r="B259" i="12"/>
  <c r="D258" i="12"/>
  <c r="C258" i="12"/>
  <c r="B258" i="12"/>
  <c r="D257" i="12"/>
  <c r="C257" i="12"/>
  <c r="B257" i="12"/>
  <c r="D256" i="12"/>
  <c r="C256" i="12"/>
  <c r="B256" i="12"/>
  <c r="D255" i="12"/>
  <c r="C255" i="12"/>
  <c r="B255" i="12"/>
  <c r="D254" i="12"/>
  <c r="C254" i="12"/>
  <c r="B254" i="12"/>
  <c r="D253" i="12"/>
  <c r="C253" i="12"/>
  <c r="B253" i="12"/>
  <c r="D252" i="12"/>
  <c r="C252" i="12"/>
  <c r="B252" i="12"/>
  <c r="D251" i="12"/>
  <c r="C251" i="12"/>
  <c r="B251" i="12"/>
  <c r="D250" i="12"/>
  <c r="C250" i="12"/>
  <c r="B250" i="12"/>
  <c r="D249" i="12"/>
  <c r="C249" i="12"/>
  <c r="B249" i="12"/>
  <c r="D248" i="12"/>
  <c r="C248" i="12"/>
  <c r="B248" i="12"/>
  <c r="D247" i="12"/>
  <c r="C247" i="12"/>
  <c r="B247" i="12"/>
  <c r="D246" i="12"/>
  <c r="C246" i="12"/>
  <c r="B246" i="12"/>
  <c r="D245" i="12"/>
  <c r="C245" i="12"/>
  <c r="B245" i="12"/>
  <c r="D244" i="12"/>
  <c r="C244" i="12"/>
  <c r="B244" i="12"/>
  <c r="D243" i="12"/>
  <c r="C243" i="12"/>
  <c r="B243" i="12"/>
  <c r="D242" i="12"/>
  <c r="C242" i="12"/>
  <c r="B242" i="12"/>
  <c r="B241" i="12"/>
  <c r="S177" i="12"/>
  <c r="AD176" i="12"/>
  <c r="AB176" i="12"/>
  <c r="AD175" i="12"/>
  <c r="AB175" i="12"/>
  <c r="S175" i="12"/>
  <c r="T175" i="12" s="1"/>
  <c r="R175" i="12"/>
  <c r="T174" i="12"/>
  <c r="R173" i="12"/>
  <c r="U173" i="12" s="1"/>
  <c r="Q173" i="12"/>
  <c r="T173" i="12" s="1"/>
  <c r="T172" i="12"/>
  <c r="R172" i="12"/>
  <c r="U172" i="12" s="1"/>
  <c r="R171" i="12"/>
  <c r="U171" i="12" s="1"/>
  <c r="Q171" i="12"/>
  <c r="T171" i="12" s="1"/>
  <c r="R164" i="12"/>
  <c r="R163" i="12"/>
  <c r="R162" i="12"/>
  <c r="S155" i="12"/>
  <c r="S153" i="12"/>
  <c r="Q153" i="12"/>
  <c r="S151" i="12"/>
  <c r="S150" i="12"/>
  <c r="T150" i="12" s="1"/>
  <c r="Q150" i="12"/>
  <c r="S149" i="12"/>
  <c r="S141" i="12"/>
  <c r="AD140" i="12"/>
  <c r="AB140" i="12"/>
  <c r="AD139" i="12"/>
  <c r="R139" i="12" s="1"/>
  <c r="U139" i="12" s="1"/>
  <c r="AB139" i="12"/>
  <c r="S138" i="12"/>
  <c r="T138" i="12" s="1"/>
  <c r="R138" i="12"/>
  <c r="R137" i="12"/>
  <c r="U137" i="12" s="1"/>
  <c r="T136" i="12"/>
  <c r="R136" i="12"/>
  <c r="U136" i="12" s="1"/>
  <c r="R135" i="12"/>
  <c r="U135" i="12" s="1"/>
  <c r="Q135" i="12"/>
  <c r="T135" i="12" s="1"/>
  <c r="X124" i="12"/>
  <c r="Y123" i="12"/>
  <c r="X123" i="12"/>
  <c r="X116" i="12"/>
  <c r="Y115" i="12"/>
  <c r="X115" i="12"/>
  <c r="X108" i="12"/>
  <c r="V108" i="12"/>
  <c r="Y107" i="12"/>
  <c r="X107" i="12"/>
  <c r="Z100" i="12"/>
  <c r="W100" i="12"/>
  <c r="X100" i="12" s="1"/>
  <c r="X99" i="12"/>
  <c r="AG72" i="12"/>
  <c r="T49" i="12"/>
  <c r="S49" i="12"/>
  <c r="R49" i="12"/>
  <c r="T46" i="12"/>
  <c r="S46" i="12"/>
  <c r="R46" i="12"/>
  <c r="T43" i="12"/>
  <c r="S43" i="12"/>
  <c r="R43" i="12"/>
  <c r="T42" i="12"/>
  <c r="S42" i="12"/>
  <c r="R42" i="12"/>
  <c r="T41" i="12"/>
  <c r="S41" i="12"/>
  <c r="R41" i="12"/>
  <c r="R40" i="12"/>
  <c r="T39" i="12"/>
  <c r="S39" i="12"/>
  <c r="R39" i="12"/>
  <c r="T38" i="12"/>
  <c r="S38" i="12"/>
  <c r="R38" i="12"/>
  <c r="Q38" i="12"/>
  <c r="T37" i="12"/>
  <c r="S37" i="12"/>
  <c r="R37" i="12"/>
  <c r="Q37" i="12"/>
  <c r="X18" i="12" s="1"/>
  <c r="T36" i="12"/>
  <c r="S36" i="12"/>
  <c r="R36" i="12"/>
  <c r="V30" i="12"/>
  <c r="T29" i="12"/>
  <c r="S29" i="12"/>
  <c r="R29" i="12"/>
  <c r="Q163" i="12" s="1"/>
  <c r="T163" i="12" s="1"/>
  <c r="T28" i="12"/>
  <c r="S28" i="12"/>
  <c r="R28" i="12"/>
  <c r="Q162" i="12" s="1"/>
  <c r="T162" i="12" s="1"/>
  <c r="T27" i="12"/>
  <c r="S27" i="12"/>
  <c r="R27" i="12"/>
  <c r="T26" i="12"/>
  <c r="S26" i="12"/>
  <c r="R26" i="12"/>
  <c r="T25" i="12"/>
  <c r="S25" i="12"/>
  <c r="R25" i="12"/>
  <c r="Q164" i="12" s="1"/>
  <c r="T164" i="12" s="1"/>
  <c r="Z24" i="12"/>
  <c r="T24" i="12"/>
  <c r="S24" i="12"/>
  <c r="R24" i="12"/>
  <c r="Z23" i="12"/>
  <c r="T23" i="12"/>
  <c r="S23" i="12"/>
  <c r="R23" i="12"/>
  <c r="Z22" i="12"/>
  <c r="T22" i="12"/>
  <c r="S22" i="12"/>
  <c r="R22" i="12"/>
  <c r="Z21" i="12"/>
  <c r="T21" i="12"/>
  <c r="S21" i="12"/>
  <c r="R21" i="12"/>
  <c r="A1" i="12"/>
  <c r="A4" i="12" s="1"/>
  <c r="P183" i="11"/>
  <c r="O183" i="11"/>
  <c r="N183" i="11"/>
  <c r="P182" i="11"/>
  <c r="O182" i="11"/>
  <c r="N182" i="11"/>
  <c r="P181" i="11"/>
  <c r="O181" i="11"/>
  <c r="N181" i="11"/>
  <c r="P180" i="11"/>
  <c r="O180" i="11"/>
  <c r="N180" i="11"/>
  <c r="P179" i="11"/>
  <c r="O179" i="11"/>
  <c r="N179" i="11"/>
  <c r="P178" i="11"/>
  <c r="O178" i="11"/>
  <c r="N178" i="11"/>
  <c r="P177" i="11"/>
  <c r="O177" i="11"/>
  <c r="N177" i="11"/>
  <c r="P176" i="11"/>
  <c r="O176" i="11"/>
  <c r="N176" i="11"/>
  <c r="P175" i="11"/>
  <c r="O175" i="11"/>
  <c r="N175" i="11"/>
  <c r="P174" i="11"/>
  <c r="O174" i="11"/>
  <c r="N174" i="11"/>
  <c r="P173" i="11"/>
  <c r="O173" i="11"/>
  <c r="N173" i="11"/>
  <c r="P172" i="11"/>
  <c r="O172" i="11"/>
  <c r="N172" i="11"/>
  <c r="P171" i="11"/>
  <c r="O171" i="11"/>
  <c r="N171" i="11"/>
  <c r="P170" i="11"/>
  <c r="O170" i="11"/>
  <c r="N170" i="11"/>
  <c r="P169" i="11"/>
  <c r="O169" i="11"/>
  <c r="N169" i="11"/>
  <c r="P168" i="11"/>
  <c r="O168" i="11"/>
  <c r="N168" i="11"/>
  <c r="P167" i="11"/>
  <c r="O167" i="11"/>
  <c r="N167" i="11"/>
  <c r="P166" i="11"/>
  <c r="O166" i="11"/>
  <c r="N166" i="11"/>
  <c r="P165" i="11"/>
  <c r="O165" i="11"/>
  <c r="N165" i="11"/>
  <c r="P164" i="11"/>
  <c r="O164" i="11"/>
  <c r="N164" i="11"/>
  <c r="P163" i="11"/>
  <c r="O163" i="11"/>
  <c r="N163" i="11"/>
  <c r="P162" i="11"/>
  <c r="O162" i="11"/>
  <c r="N162" i="11"/>
  <c r="P161" i="11"/>
  <c r="O161" i="11"/>
  <c r="N161" i="11"/>
  <c r="P160" i="11"/>
  <c r="O160" i="11"/>
  <c r="N160" i="11"/>
  <c r="P159" i="11"/>
  <c r="O159" i="11"/>
  <c r="N159" i="11"/>
  <c r="P158" i="11"/>
  <c r="O158" i="11"/>
  <c r="N158" i="11"/>
  <c r="P157" i="11"/>
  <c r="O157" i="11"/>
  <c r="N157" i="11"/>
  <c r="P156" i="11"/>
  <c r="O156" i="11"/>
  <c r="N156" i="11"/>
  <c r="P155" i="11"/>
  <c r="O155" i="11"/>
  <c r="N155" i="11"/>
  <c r="P154" i="11"/>
  <c r="O154" i="11"/>
  <c r="N154" i="11"/>
  <c r="P153" i="11"/>
  <c r="O153" i="11"/>
  <c r="N153" i="11"/>
  <c r="P152" i="11"/>
  <c r="O152" i="11"/>
  <c r="N152" i="11"/>
  <c r="P151" i="11"/>
  <c r="O151" i="11"/>
  <c r="N151" i="11"/>
  <c r="P150" i="11"/>
  <c r="O150" i="11"/>
  <c r="N150" i="11"/>
  <c r="P149" i="11"/>
  <c r="O149" i="11"/>
  <c r="N149" i="11"/>
  <c r="P148" i="11"/>
  <c r="O148" i="11"/>
  <c r="N148" i="11"/>
  <c r="P147" i="11"/>
  <c r="O147" i="11"/>
  <c r="N147" i="11"/>
  <c r="P146" i="11"/>
  <c r="O146" i="11"/>
  <c r="N146" i="11"/>
  <c r="P145" i="11"/>
  <c r="O145" i="11"/>
  <c r="N145" i="11"/>
  <c r="P144" i="11"/>
  <c r="O144" i="11"/>
  <c r="N144" i="11"/>
  <c r="P143" i="11"/>
  <c r="O143" i="11"/>
  <c r="N143" i="11"/>
  <c r="P142" i="11"/>
  <c r="O142" i="11"/>
  <c r="N142" i="11"/>
  <c r="P141" i="11"/>
  <c r="O141" i="11"/>
  <c r="N141" i="11"/>
  <c r="P140" i="11"/>
  <c r="O140" i="11"/>
  <c r="N140" i="11"/>
  <c r="P139" i="11"/>
  <c r="O139" i="11"/>
  <c r="N139" i="11"/>
  <c r="P138" i="11"/>
  <c r="O138" i="11"/>
  <c r="N138" i="11"/>
  <c r="P137" i="11"/>
  <c r="O137" i="11"/>
  <c r="N137" i="11"/>
  <c r="R136" i="11"/>
  <c r="Q136" i="11"/>
  <c r="P136" i="11"/>
  <c r="N136" i="11"/>
  <c r="K131" i="11"/>
  <c r="J131" i="11"/>
  <c r="I131" i="11"/>
  <c r="H131" i="11"/>
  <c r="O131" i="11" s="1"/>
  <c r="G131" i="11"/>
  <c r="F131" i="11"/>
  <c r="E131" i="11"/>
  <c r="D131" i="11"/>
  <c r="C131" i="11"/>
  <c r="K130" i="11"/>
  <c r="J130" i="11"/>
  <c r="I130" i="11"/>
  <c r="H130" i="11"/>
  <c r="O130" i="11" s="1"/>
  <c r="G130" i="11"/>
  <c r="F130" i="11"/>
  <c r="E130" i="11"/>
  <c r="D130" i="11"/>
  <c r="C130" i="11"/>
  <c r="K129" i="11"/>
  <c r="J129" i="11"/>
  <c r="I129" i="11"/>
  <c r="H129" i="11"/>
  <c r="G129" i="11"/>
  <c r="F129" i="11"/>
  <c r="E129" i="11"/>
  <c r="D129" i="11"/>
  <c r="C129" i="11"/>
  <c r="K128" i="11"/>
  <c r="J128" i="11"/>
  <c r="I128" i="11"/>
  <c r="H128" i="11"/>
  <c r="G128" i="11"/>
  <c r="F128" i="11"/>
  <c r="E128" i="11"/>
  <c r="D128" i="11"/>
  <c r="C128" i="11"/>
  <c r="K127" i="11"/>
  <c r="J127" i="11"/>
  <c r="I127" i="11"/>
  <c r="H127" i="11"/>
  <c r="O127" i="11" s="1"/>
  <c r="G127" i="11"/>
  <c r="F127" i="11"/>
  <c r="E127" i="11"/>
  <c r="D127" i="11"/>
  <c r="C127" i="11"/>
  <c r="K126" i="11"/>
  <c r="J126" i="11"/>
  <c r="I126" i="11"/>
  <c r="H126" i="11"/>
  <c r="G126" i="11"/>
  <c r="F126" i="11"/>
  <c r="E126" i="11"/>
  <c r="D126" i="11"/>
  <c r="C126" i="11"/>
  <c r="K125" i="11"/>
  <c r="J125" i="11"/>
  <c r="I125" i="11"/>
  <c r="H125" i="11"/>
  <c r="O125" i="11" s="1"/>
  <c r="G125" i="11"/>
  <c r="F125" i="11"/>
  <c r="E125" i="11"/>
  <c r="D125" i="11"/>
  <c r="C125" i="11"/>
  <c r="K124" i="11"/>
  <c r="J124" i="11"/>
  <c r="I124" i="11"/>
  <c r="H124" i="11"/>
  <c r="O124" i="11" s="1"/>
  <c r="G124" i="11"/>
  <c r="F124" i="11"/>
  <c r="E124" i="11"/>
  <c r="D124" i="11"/>
  <c r="C124" i="11"/>
  <c r="K123" i="11"/>
  <c r="J123" i="11"/>
  <c r="I123" i="11"/>
  <c r="H123" i="11"/>
  <c r="O123" i="11" s="1"/>
  <c r="G123" i="11"/>
  <c r="F123" i="11"/>
  <c r="E123" i="11"/>
  <c r="D123" i="11"/>
  <c r="C123" i="11"/>
  <c r="K122" i="11"/>
  <c r="J122" i="11"/>
  <c r="I122" i="11"/>
  <c r="H122" i="11"/>
  <c r="O122" i="11" s="1"/>
  <c r="G122" i="11"/>
  <c r="F122" i="11"/>
  <c r="E122" i="11"/>
  <c r="D122" i="11"/>
  <c r="C122" i="11"/>
  <c r="K121" i="11"/>
  <c r="J121" i="11"/>
  <c r="I121" i="11"/>
  <c r="H121" i="11"/>
  <c r="G121" i="11"/>
  <c r="F121" i="11"/>
  <c r="E121" i="11"/>
  <c r="D121" i="11"/>
  <c r="C121" i="11"/>
  <c r="K120" i="11"/>
  <c r="J120" i="11"/>
  <c r="I120" i="11"/>
  <c r="H120" i="11"/>
  <c r="O120" i="11" s="1"/>
  <c r="G120" i="11"/>
  <c r="F120" i="11"/>
  <c r="E120" i="11"/>
  <c r="D120" i="11"/>
  <c r="C120" i="11"/>
  <c r="K119" i="11"/>
  <c r="J119" i="11"/>
  <c r="I119" i="11"/>
  <c r="H119" i="11"/>
  <c r="O119" i="11" s="1"/>
  <c r="G119" i="11"/>
  <c r="F119" i="11"/>
  <c r="E119" i="11"/>
  <c r="D119" i="11"/>
  <c r="C119" i="11"/>
  <c r="K118" i="11"/>
  <c r="J118" i="11"/>
  <c r="I118" i="11"/>
  <c r="H118" i="11"/>
  <c r="G118" i="11"/>
  <c r="F118" i="11"/>
  <c r="E118" i="11"/>
  <c r="D118" i="11"/>
  <c r="C118" i="11"/>
  <c r="K117" i="11"/>
  <c r="J117" i="11"/>
  <c r="I117" i="11"/>
  <c r="H117" i="11"/>
  <c r="O117" i="11" s="1"/>
  <c r="G117" i="11"/>
  <c r="F117" i="11"/>
  <c r="E117" i="11"/>
  <c r="D117" i="11"/>
  <c r="C117" i="11"/>
  <c r="K116" i="11"/>
  <c r="J116" i="11"/>
  <c r="I116" i="11"/>
  <c r="H116" i="11"/>
  <c r="O116" i="11" s="1"/>
  <c r="G116" i="11"/>
  <c r="F116" i="11"/>
  <c r="E116" i="11"/>
  <c r="D116" i="11"/>
  <c r="C116" i="11"/>
  <c r="K115" i="11"/>
  <c r="J115" i="11"/>
  <c r="I115" i="11"/>
  <c r="H115" i="11"/>
  <c r="O115" i="11" s="1"/>
  <c r="G115" i="11"/>
  <c r="F115" i="11"/>
  <c r="E115" i="11"/>
  <c r="D115" i="11"/>
  <c r="C115" i="11"/>
  <c r="K114" i="11"/>
  <c r="J114" i="11"/>
  <c r="I114" i="11"/>
  <c r="H114" i="11"/>
  <c r="O114" i="11" s="1"/>
  <c r="G114" i="11"/>
  <c r="F114" i="11"/>
  <c r="E114" i="11"/>
  <c r="D114" i="11"/>
  <c r="C114" i="11"/>
  <c r="K113" i="11"/>
  <c r="J113" i="11"/>
  <c r="I113" i="11"/>
  <c r="H113" i="11"/>
  <c r="G113" i="11"/>
  <c r="F113" i="11"/>
  <c r="E113" i="11"/>
  <c r="D113" i="11"/>
  <c r="C113" i="11"/>
  <c r="K112" i="11"/>
  <c r="J112" i="11"/>
  <c r="I112" i="11"/>
  <c r="H112" i="11"/>
  <c r="O112" i="11" s="1"/>
  <c r="G112" i="11"/>
  <c r="F112" i="11"/>
  <c r="E112" i="11"/>
  <c r="D112" i="11"/>
  <c r="C112" i="11"/>
  <c r="K111" i="11"/>
  <c r="J111" i="11"/>
  <c r="I111" i="11"/>
  <c r="H111" i="11"/>
  <c r="O111" i="11" s="1"/>
  <c r="G111" i="11"/>
  <c r="F111" i="11"/>
  <c r="E111" i="11"/>
  <c r="D111" i="11"/>
  <c r="C111" i="11"/>
  <c r="K110" i="11"/>
  <c r="J110" i="11"/>
  <c r="I110" i="11"/>
  <c r="H110" i="11"/>
  <c r="G110" i="11"/>
  <c r="F110" i="11"/>
  <c r="E110" i="11"/>
  <c r="D110" i="11"/>
  <c r="C110" i="11"/>
  <c r="K109" i="11"/>
  <c r="J109" i="11"/>
  <c r="I109" i="11"/>
  <c r="H109" i="11"/>
  <c r="O109" i="11" s="1"/>
  <c r="G109" i="11"/>
  <c r="F109" i="11"/>
  <c r="E109" i="11"/>
  <c r="D109" i="11"/>
  <c r="C109" i="11"/>
  <c r="K108" i="11"/>
  <c r="J108" i="11"/>
  <c r="I108" i="11"/>
  <c r="H108" i="11"/>
  <c r="O108" i="11" s="1"/>
  <c r="G108" i="11"/>
  <c r="F108" i="11"/>
  <c r="E108" i="11"/>
  <c r="D108" i="11"/>
  <c r="C108" i="11"/>
  <c r="K107" i="11"/>
  <c r="J107" i="11"/>
  <c r="I107" i="11"/>
  <c r="H107" i="11"/>
  <c r="G107" i="11"/>
  <c r="F107" i="11"/>
  <c r="E107" i="11"/>
  <c r="D107" i="11"/>
  <c r="C107" i="11"/>
  <c r="K106" i="11"/>
  <c r="J106" i="11"/>
  <c r="I106" i="11"/>
  <c r="H106" i="11"/>
  <c r="O106" i="11" s="1"/>
  <c r="G106" i="11"/>
  <c r="F106" i="11"/>
  <c r="E106" i="11"/>
  <c r="D106" i="11"/>
  <c r="C106" i="11"/>
  <c r="K105" i="11"/>
  <c r="J105" i="11"/>
  <c r="I105" i="11"/>
  <c r="H105" i="11"/>
  <c r="G105" i="11"/>
  <c r="F105" i="11"/>
  <c r="E105" i="11"/>
  <c r="D105" i="11"/>
  <c r="C105" i="11"/>
  <c r="K104" i="11"/>
  <c r="J104" i="11"/>
  <c r="I104" i="11"/>
  <c r="H104" i="11"/>
  <c r="O104" i="11" s="1"/>
  <c r="G104" i="11"/>
  <c r="F104" i="11"/>
  <c r="E104" i="11"/>
  <c r="D104" i="11"/>
  <c r="C104" i="11"/>
  <c r="K103" i="11"/>
  <c r="J103" i="11"/>
  <c r="I103" i="11"/>
  <c r="H103" i="11"/>
  <c r="O103" i="11" s="1"/>
  <c r="G103" i="11"/>
  <c r="F103" i="11"/>
  <c r="E103" i="11"/>
  <c r="D103" i="11"/>
  <c r="C103" i="11"/>
  <c r="K102" i="11"/>
  <c r="J102" i="11"/>
  <c r="I102" i="11"/>
  <c r="H102" i="11"/>
  <c r="G102" i="11"/>
  <c r="F102" i="11"/>
  <c r="E102" i="11"/>
  <c r="D102" i="11"/>
  <c r="C102" i="11"/>
  <c r="K101" i="11"/>
  <c r="J101" i="11"/>
  <c r="I101" i="11"/>
  <c r="H101" i="11"/>
  <c r="O101" i="11" s="1"/>
  <c r="G101" i="11"/>
  <c r="F101" i="11"/>
  <c r="E101" i="11"/>
  <c r="D101" i="11"/>
  <c r="C101" i="11"/>
  <c r="K100" i="11"/>
  <c r="J100" i="11"/>
  <c r="I100" i="11"/>
  <c r="H100" i="11"/>
  <c r="O100" i="11" s="1"/>
  <c r="G100" i="11"/>
  <c r="F100" i="11"/>
  <c r="E100" i="11"/>
  <c r="D100" i="11"/>
  <c r="C100" i="11"/>
  <c r="K99" i="11"/>
  <c r="J99" i="11"/>
  <c r="I99" i="11"/>
  <c r="H99" i="11"/>
  <c r="G99" i="11"/>
  <c r="F99" i="11"/>
  <c r="E99" i="11"/>
  <c r="D99" i="11"/>
  <c r="C99" i="11"/>
  <c r="K98" i="11"/>
  <c r="J98" i="11"/>
  <c r="I98" i="11"/>
  <c r="H98" i="11"/>
  <c r="O98" i="11" s="1"/>
  <c r="G98" i="11"/>
  <c r="F98" i="11"/>
  <c r="E98" i="11"/>
  <c r="D98" i="11"/>
  <c r="C98" i="11"/>
  <c r="K97" i="11"/>
  <c r="J97" i="11"/>
  <c r="I97" i="11"/>
  <c r="H97" i="11"/>
  <c r="G97" i="11"/>
  <c r="F97" i="11"/>
  <c r="E97" i="11"/>
  <c r="D97" i="11"/>
  <c r="C97" i="11"/>
  <c r="K96" i="11"/>
  <c r="J96" i="11"/>
  <c r="I96" i="11"/>
  <c r="H96" i="11"/>
  <c r="O96" i="11" s="1"/>
  <c r="G96" i="11"/>
  <c r="F96" i="11"/>
  <c r="E96" i="11"/>
  <c r="D96" i="11"/>
  <c r="C96" i="11"/>
  <c r="K95" i="11"/>
  <c r="J95" i="11"/>
  <c r="I95" i="11"/>
  <c r="H95" i="11"/>
  <c r="O95" i="11" s="1"/>
  <c r="G95" i="11"/>
  <c r="F95" i="11"/>
  <c r="E95" i="11"/>
  <c r="D95" i="11"/>
  <c r="C95" i="11"/>
  <c r="K94" i="11"/>
  <c r="J94" i="11"/>
  <c r="I94" i="11"/>
  <c r="H94" i="11"/>
  <c r="G94" i="11"/>
  <c r="F94" i="11"/>
  <c r="E94" i="11"/>
  <c r="D94" i="11"/>
  <c r="C94" i="11"/>
  <c r="K93" i="11"/>
  <c r="J93" i="11"/>
  <c r="I93" i="11"/>
  <c r="H93" i="11"/>
  <c r="O93" i="11" s="1"/>
  <c r="G93" i="11"/>
  <c r="F93" i="11"/>
  <c r="E93" i="11"/>
  <c r="D93" i="11"/>
  <c r="C93" i="11"/>
  <c r="K92" i="11"/>
  <c r="J92" i="11"/>
  <c r="I92" i="11"/>
  <c r="H92" i="11"/>
  <c r="O92" i="11" s="1"/>
  <c r="G92" i="11"/>
  <c r="F92" i="11"/>
  <c r="E92" i="11"/>
  <c r="D92" i="11"/>
  <c r="C92" i="11"/>
  <c r="K91" i="11"/>
  <c r="J91" i="11"/>
  <c r="I91" i="11"/>
  <c r="H91" i="11"/>
  <c r="G91" i="11"/>
  <c r="F91" i="11"/>
  <c r="E91" i="11"/>
  <c r="D91" i="11"/>
  <c r="C91" i="11"/>
  <c r="K90" i="11"/>
  <c r="J90" i="11"/>
  <c r="I90" i="11"/>
  <c r="H90" i="11"/>
  <c r="O90" i="11" s="1"/>
  <c r="G90" i="11"/>
  <c r="F90" i="11"/>
  <c r="E90" i="11"/>
  <c r="D90" i="11"/>
  <c r="C90" i="11"/>
  <c r="K89" i="11"/>
  <c r="J89" i="11"/>
  <c r="I89" i="11"/>
  <c r="H89" i="11"/>
  <c r="G89" i="11"/>
  <c r="F89" i="11"/>
  <c r="E89" i="11"/>
  <c r="D89" i="11"/>
  <c r="C89" i="11"/>
  <c r="K88" i="11"/>
  <c r="J88" i="11"/>
  <c r="I88" i="11"/>
  <c r="H88" i="11"/>
  <c r="O88" i="11" s="1"/>
  <c r="G88" i="11"/>
  <c r="F88" i="11"/>
  <c r="E88" i="11"/>
  <c r="D88" i="11"/>
  <c r="C88" i="11"/>
  <c r="K87" i="11"/>
  <c r="J87" i="11"/>
  <c r="I87" i="11"/>
  <c r="H87" i="11"/>
  <c r="O87" i="11" s="1"/>
  <c r="G87" i="11"/>
  <c r="F87" i="11"/>
  <c r="E87" i="11"/>
  <c r="D87" i="11"/>
  <c r="C87" i="11"/>
  <c r="K86" i="11"/>
  <c r="J86" i="11"/>
  <c r="I86" i="11"/>
  <c r="H86" i="11"/>
  <c r="O86" i="11" s="1"/>
  <c r="V86" i="11" s="1"/>
  <c r="X86" i="11" s="1"/>
  <c r="G86" i="11"/>
  <c r="F86" i="11"/>
  <c r="E86" i="11"/>
  <c r="D86" i="11"/>
  <c r="C86" i="11"/>
  <c r="K85" i="11"/>
  <c r="J85" i="11"/>
  <c r="I85" i="11"/>
  <c r="H85" i="11"/>
  <c r="O85" i="11" s="1"/>
  <c r="G85" i="11"/>
  <c r="F85" i="11"/>
  <c r="E85" i="11"/>
  <c r="D85" i="11"/>
  <c r="C85" i="11"/>
  <c r="Y84" i="11"/>
  <c r="W84" i="11"/>
  <c r="U84" i="11"/>
  <c r="U72" i="11"/>
  <c r="T72" i="11"/>
  <c r="U71" i="11"/>
  <c r="T71" i="11"/>
  <c r="U70" i="11"/>
  <c r="T70" i="11"/>
  <c r="U69" i="11"/>
  <c r="T69" i="11"/>
  <c r="U68" i="11"/>
  <c r="T68" i="11"/>
  <c r="U67" i="11"/>
  <c r="T67" i="11"/>
  <c r="U66" i="11"/>
  <c r="T66" i="11"/>
  <c r="U65" i="11"/>
  <c r="T65" i="11"/>
  <c r="U64" i="11"/>
  <c r="T64" i="11"/>
  <c r="U63" i="11"/>
  <c r="T63" i="11"/>
  <c r="U31" i="11"/>
  <c r="T31" i="11"/>
  <c r="U30" i="11"/>
  <c r="T30" i="11"/>
  <c r="U29" i="11"/>
  <c r="T29" i="11"/>
  <c r="U28" i="11"/>
  <c r="T28" i="11"/>
  <c r="Y27" i="11"/>
  <c r="U27" i="11"/>
  <c r="T27" i="11"/>
  <c r="Y26" i="11"/>
  <c r="U26" i="11"/>
  <c r="T26" i="11"/>
  <c r="U23" i="11"/>
  <c r="I2" i="11"/>
  <c r="A1" i="11"/>
  <c r="B52" i="12" l="1"/>
  <c r="P235" i="46"/>
  <c r="U235" i="46" s="1"/>
  <c r="Z235" i="46" s="1"/>
  <c r="P235" i="45"/>
  <c r="AJ176" i="46"/>
  <c r="AO176" i="46" s="1"/>
  <c r="AX176" i="46" s="1"/>
  <c r="P235" i="50"/>
  <c r="AJ176" i="45"/>
  <c r="AO176" i="45" s="1"/>
  <c r="AX176" i="45" s="1"/>
  <c r="AJ176" i="50"/>
  <c r="AO176" i="50" s="1"/>
  <c r="AX176" i="50" s="1"/>
  <c r="W176" i="50"/>
  <c r="AB176" i="50" s="1"/>
  <c r="AU176" i="50" s="1"/>
  <c r="W176" i="45"/>
  <c r="AB176" i="45" s="1"/>
  <c r="P235" i="47"/>
  <c r="U235" i="47" s="1"/>
  <c r="Z235" i="47" s="1"/>
  <c r="P235" i="42"/>
  <c r="U235" i="42" s="1"/>
  <c r="Z235" i="42" s="1"/>
  <c r="W176" i="46"/>
  <c r="AB176" i="46" s="1"/>
  <c r="AU176" i="46" s="1"/>
  <c r="W176" i="42"/>
  <c r="AB176" i="42" s="1"/>
  <c r="AJ176" i="42"/>
  <c r="AO176" i="42" s="1"/>
  <c r="AX176" i="42" s="1"/>
  <c r="AJ176" i="47"/>
  <c r="AO176" i="47" s="1"/>
  <c r="AX176" i="47" s="1"/>
  <c r="W176" i="47"/>
  <c r="AB176" i="47" s="1"/>
  <c r="AU176" i="47" s="1"/>
  <c r="P235" i="51"/>
  <c r="U235" i="51" s="1"/>
  <c r="Z235" i="51" s="1"/>
  <c r="W176" i="51"/>
  <c r="AB176" i="51" s="1"/>
  <c r="AU176" i="51" s="1"/>
  <c r="BA176" i="51" s="1"/>
  <c r="AJ176" i="51"/>
  <c r="AO176" i="51" s="1"/>
  <c r="AX176" i="51" s="1"/>
  <c r="P235" i="41"/>
  <c r="U235" i="41" s="1"/>
  <c r="Z235" i="41" s="1"/>
  <c r="AJ176" i="41"/>
  <c r="AO176" i="41" s="1"/>
  <c r="AX176" i="41" s="1"/>
  <c r="W176" i="41"/>
  <c r="AB176" i="41" s="1"/>
  <c r="B25" i="12"/>
  <c r="R174" i="12"/>
  <c r="U174" i="12" s="1"/>
  <c r="U138" i="12"/>
  <c r="U143" i="12" s="1"/>
  <c r="V33" i="12" s="1"/>
  <c r="U175" i="12"/>
  <c r="B14" i="12"/>
  <c r="B22" i="12"/>
  <c r="B35" i="12"/>
  <c r="B48" i="12"/>
  <c r="B41" i="12"/>
  <c r="B49" i="12"/>
  <c r="B23" i="12"/>
  <c r="B19" i="12"/>
  <c r="B29" i="12"/>
  <c r="B44" i="12"/>
  <c r="B21" i="12"/>
  <c r="B27" i="12"/>
  <c r="B37" i="12"/>
  <c r="B45" i="12"/>
  <c r="B12" i="12"/>
  <c r="B20" i="12"/>
  <c r="B28" i="12"/>
  <c r="B36" i="12"/>
  <c r="B53" i="12"/>
  <c r="B13" i="12"/>
  <c r="B32" i="12"/>
  <c r="B56" i="12"/>
  <c r="B17" i="12"/>
  <c r="B33" i="12"/>
  <c r="B57" i="12"/>
  <c r="T153" i="12"/>
  <c r="B30" i="12"/>
  <c r="B38" i="12"/>
  <c r="B46" i="12"/>
  <c r="Q149" i="12"/>
  <c r="T149" i="12" s="1"/>
  <c r="B31" i="12"/>
  <c r="B39" i="12"/>
  <c r="B47" i="12"/>
  <c r="B55" i="12"/>
  <c r="B18" i="12"/>
  <c r="B26" i="12"/>
  <c r="B34" i="12"/>
  <c r="B42" i="12"/>
  <c r="B50" i="12"/>
  <c r="V93" i="11"/>
  <c r="B15" i="12"/>
  <c r="B40" i="12"/>
  <c r="B51" i="12"/>
  <c r="B16" i="12"/>
  <c r="B43" i="12"/>
  <c r="B24" i="12"/>
  <c r="U142" i="12"/>
  <c r="V34" i="12" s="1"/>
  <c r="B54" i="12"/>
  <c r="V119" i="11"/>
  <c r="U178" i="12"/>
  <c r="V35" i="12" s="1"/>
  <c r="N114" i="11"/>
  <c r="U114" i="11" s="1"/>
  <c r="V120" i="11"/>
  <c r="P32" i="16"/>
  <c r="P69" i="16"/>
  <c r="P35" i="16"/>
  <c r="P66" i="16"/>
  <c r="P51" i="16"/>
  <c r="P50" i="16"/>
  <c r="P67" i="16"/>
  <c r="P37" i="16"/>
  <c r="P41" i="16"/>
  <c r="P33" i="16"/>
  <c r="P58" i="16"/>
  <c r="P40" i="16"/>
  <c r="P56" i="16"/>
  <c r="P43" i="16"/>
  <c r="P59" i="16"/>
  <c r="X131" i="15"/>
  <c r="Y131" i="15" s="1"/>
  <c r="X99" i="15"/>
  <c r="Y99" i="15" s="1"/>
  <c r="X120" i="15"/>
  <c r="Y120" i="15" s="1"/>
  <c r="X91" i="15"/>
  <c r="Y91" i="15" s="1"/>
  <c r="X126" i="15"/>
  <c r="Y126" i="15" s="1"/>
  <c r="X94" i="15"/>
  <c r="Y94" i="15" s="1"/>
  <c r="X107" i="15"/>
  <c r="Y107" i="15" s="1"/>
  <c r="X102" i="15"/>
  <c r="Y102" i="15" s="1"/>
  <c r="X96" i="15"/>
  <c r="Y96" i="15" s="1"/>
  <c r="X118" i="15"/>
  <c r="Y118" i="15" s="1"/>
  <c r="X115" i="15"/>
  <c r="Y115" i="15" s="1"/>
  <c r="X97" i="15"/>
  <c r="Y97" i="15" s="1"/>
  <c r="X129" i="15"/>
  <c r="Y129" i="15" s="1"/>
  <c r="X105" i="15"/>
  <c r="Y105" i="15" s="1"/>
  <c r="X113" i="15"/>
  <c r="Y113" i="15" s="1"/>
  <c r="X104" i="15"/>
  <c r="Y104" i="15" s="1"/>
  <c r="X89" i="15"/>
  <c r="Y89" i="15" s="1"/>
  <c r="X110" i="15"/>
  <c r="Y110" i="15" s="1"/>
  <c r="X123" i="15"/>
  <c r="Y123" i="15" s="1"/>
  <c r="X121" i="15"/>
  <c r="Y121" i="15" s="1"/>
  <c r="A7" i="12"/>
  <c r="A231" i="12"/>
  <c r="A5" i="12"/>
  <c r="T178" i="12"/>
  <c r="R35" i="12" s="1"/>
  <c r="T156" i="12"/>
  <c r="R32" i="12" s="1"/>
  <c r="T165" i="12"/>
  <c r="R30" i="12" s="1"/>
  <c r="N125" i="11"/>
  <c r="Q140" i="11"/>
  <c r="R140" i="11" s="1"/>
  <c r="Q156" i="11"/>
  <c r="R156" i="11" s="1"/>
  <c r="Q172" i="11"/>
  <c r="R172" i="11" s="1"/>
  <c r="Q180" i="11"/>
  <c r="R180" i="11" s="1"/>
  <c r="A6" i="12"/>
  <c r="X17" i="12"/>
  <c r="A62" i="12"/>
  <c r="Q137" i="12"/>
  <c r="T137" i="12" s="1"/>
  <c r="T142" i="12" s="1"/>
  <c r="R34" i="12" s="1"/>
  <c r="N87" i="11"/>
  <c r="U87" i="11" s="1"/>
  <c r="P88" i="11"/>
  <c r="W88" i="11" s="1"/>
  <c r="P92" i="11"/>
  <c r="W92" i="11" s="1"/>
  <c r="N103" i="11"/>
  <c r="U103" i="11" s="1"/>
  <c r="P104" i="11"/>
  <c r="W104" i="11" s="1"/>
  <c r="P108" i="11"/>
  <c r="W108" i="11" s="1"/>
  <c r="P112" i="11"/>
  <c r="W112" i="11" s="1"/>
  <c r="N100" i="11"/>
  <c r="U100" i="11" s="1"/>
  <c r="A174" i="12"/>
  <c r="A3" i="12"/>
  <c r="A118" i="12"/>
  <c r="N108" i="11"/>
  <c r="U108" i="11" s="1"/>
  <c r="V112" i="11"/>
  <c r="V115" i="11"/>
  <c r="V123" i="11"/>
  <c r="V131" i="11"/>
  <c r="Q169" i="11"/>
  <c r="R169" i="11" s="1"/>
  <c r="N85" i="11"/>
  <c r="V114" i="11"/>
  <c r="V109" i="11"/>
  <c r="V98" i="11"/>
  <c r="V106" i="11"/>
  <c r="N111" i="11"/>
  <c r="U111" i="11" s="1"/>
  <c r="N122" i="11"/>
  <c r="U122" i="11" s="1"/>
  <c r="V125" i="11"/>
  <c r="P128" i="11"/>
  <c r="W128" i="11" s="1"/>
  <c r="N127" i="11"/>
  <c r="U127" i="11" s="1"/>
  <c r="V130" i="11"/>
  <c r="V88" i="11"/>
  <c r="V96" i="11"/>
  <c r="V104" i="11"/>
  <c r="P129" i="11"/>
  <c r="W129" i="11" s="1"/>
  <c r="Q142" i="11"/>
  <c r="R142" i="11" s="1"/>
  <c r="Q150" i="11"/>
  <c r="R150" i="11" s="1"/>
  <c r="Q158" i="11"/>
  <c r="R158" i="11" s="1"/>
  <c r="Q166" i="11"/>
  <c r="R166" i="11" s="1"/>
  <c r="P105" i="11"/>
  <c r="W105" i="11" s="1"/>
  <c r="P127" i="11"/>
  <c r="W127" i="11" s="1"/>
  <c r="V92" i="11"/>
  <c r="N119" i="11"/>
  <c r="U119" i="11" s="1"/>
  <c r="V116" i="11"/>
  <c r="P91" i="11"/>
  <c r="W91" i="11" s="1"/>
  <c r="V124" i="11"/>
  <c r="N98" i="11"/>
  <c r="U98" i="11" s="1"/>
  <c r="V100" i="11"/>
  <c r="P115" i="11"/>
  <c r="W115" i="11" s="1"/>
  <c r="N116" i="11"/>
  <c r="U116" i="11" s="1"/>
  <c r="V122" i="11"/>
  <c r="P86" i="11"/>
  <c r="P89" i="11"/>
  <c r="W89" i="11" s="1"/>
  <c r="N95" i="11"/>
  <c r="U95" i="11" s="1"/>
  <c r="P99" i="11"/>
  <c r="W99" i="11" s="1"/>
  <c r="V127" i="11"/>
  <c r="Q137" i="11"/>
  <c r="R137" i="11" s="1"/>
  <c r="Q153" i="11"/>
  <c r="R153" i="11" s="1"/>
  <c r="Q174" i="11"/>
  <c r="R174" i="11" s="1"/>
  <c r="V85" i="11"/>
  <c r="X85" i="11" s="1"/>
  <c r="N86" i="11"/>
  <c r="P96" i="11"/>
  <c r="W96" i="11" s="1"/>
  <c r="P119" i="11"/>
  <c r="W119" i="11" s="1"/>
  <c r="P131" i="11"/>
  <c r="W131" i="11" s="1"/>
  <c r="V103" i="11"/>
  <c r="V90" i="11"/>
  <c r="V101" i="11"/>
  <c r="V108" i="11"/>
  <c r="N109" i="11"/>
  <c r="U109" i="11" s="1"/>
  <c r="V117" i="11"/>
  <c r="N130" i="11"/>
  <c r="U130" i="11" s="1"/>
  <c r="P120" i="11"/>
  <c r="W120" i="11" s="1"/>
  <c r="N92" i="11"/>
  <c r="U92" i="11" s="1"/>
  <c r="N93" i="11"/>
  <c r="U93" i="11" s="1"/>
  <c r="P107" i="11"/>
  <c r="W107" i="11" s="1"/>
  <c r="N128" i="11"/>
  <c r="U128" i="11" s="1"/>
  <c r="V111" i="11"/>
  <c r="V87" i="11"/>
  <c r="P109" i="11"/>
  <c r="W109" i="11" s="1"/>
  <c r="N117" i="11"/>
  <c r="U117" i="11" s="1"/>
  <c r="N120" i="11"/>
  <c r="U120" i="11" s="1"/>
  <c r="P121" i="11"/>
  <c r="W121" i="11" s="1"/>
  <c r="P124" i="11"/>
  <c r="W124" i="11" s="1"/>
  <c r="V95" i="11"/>
  <c r="Q177" i="11"/>
  <c r="R177" i="11" s="1"/>
  <c r="Q182" i="11"/>
  <c r="R182" i="11" s="1"/>
  <c r="P101" i="11"/>
  <c r="W101" i="11" s="1"/>
  <c r="P113" i="11"/>
  <c r="W113" i="11" s="1"/>
  <c r="N124" i="11"/>
  <c r="U124" i="11" s="1"/>
  <c r="Q161" i="11"/>
  <c r="R161" i="11" s="1"/>
  <c r="Q164" i="11"/>
  <c r="R164" i="11" s="1"/>
  <c r="N90" i="11"/>
  <c r="U90" i="11" s="1"/>
  <c r="P97" i="11"/>
  <c r="W97" i="11" s="1"/>
  <c r="P100" i="11"/>
  <c r="W100" i="11" s="1"/>
  <c r="N101" i="11"/>
  <c r="U101" i="11" s="1"/>
  <c r="N106" i="11"/>
  <c r="U106" i="11" s="1"/>
  <c r="P116" i="11"/>
  <c r="W116" i="11" s="1"/>
  <c r="P123" i="11"/>
  <c r="W123" i="11" s="1"/>
  <c r="P126" i="11"/>
  <c r="W126" i="11" s="1"/>
  <c r="Q145" i="11"/>
  <c r="R145" i="11" s="1"/>
  <c r="Q148" i="11"/>
  <c r="R148" i="11" s="1"/>
  <c r="P93" i="11"/>
  <c r="W93" i="11" s="1"/>
  <c r="P102" i="11"/>
  <c r="W102" i="11" s="1"/>
  <c r="P118" i="11"/>
  <c r="W118" i="11" s="1"/>
  <c r="O128" i="11"/>
  <c r="V128" i="11" s="1"/>
  <c r="P125" i="11"/>
  <c r="W125" i="11" s="1"/>
  <c r="U125" i="11"/>
  <c r="Q168" i="11"/>
  <c r="R168" i="11" s="1"/>
  <c r="Q152" i="11"/>
  <c r="R152" i="11" s="1"/>
  <c r="O113" i="11"/>
  <c r="V113" i="11" s="1"/>
  <c r="N113" i="11"/>
  <c r="P117" i="11"/>
  <c r="W117" i="11" s="1"/>
  <c r="Q147" i="11"/>
  <c r="R147" i="11" s="1"/>
  <c r="Q163" i="11"/>
  <c r="R163" i="11" s="1"/>
  <c r="Q179" i="11"/>
  <c r="R179" i="11" s="1"/>
  <c r="O91" i="11"/>
  <c r="V91" i="11" s="1"/>
  <c r="N91" i="11"/>
  <c r="P94" i="11"/>
  <c r="W94" i="11" s="1"/>
  <c r="O97" i="11"/>
  <c r="V97" i="11" s="1"/>
  <c r="N97" i="11"/>
  <c r="P98" i="11"/>
  <c r="W98" i="11" s="1"/>
  <c r="O107" i="11"/>
  <c r="V107" i="11" s="1"/>
  <c r="N107" i="11"/>
  <c r="P110" i="11"/>
  <c r="W110" i="11" s="1"/>
  <c r="N112" i="11"/>
  <c r="P122" i="11"/>
  <c r="W122" i="11" s="1"/>
  <c r="Q141" i="11"/>
  <c r="R141" i="11" s="1"/>
  <c r="Q157" i="11"/>
  <c r="R157" i="11" s="1"/>
  <c r="Q173" i="11"/>
  <c r="R173" i="11" s="1"/>
  <c r="P87" i="11"/>
  <c r="W87" i="11" s="1"/>
  <c r="N96" i="11"/>
  <c r="O102" i="11"/>
  <c r="V102" i="11" s="1"/>
  <c r="N102" i="11"/>
  <c r="P103" i="11"/>
  <c r="W103" i="11" s="1"/>
  <c r="O118" i="11"/>
  <c r="V118" i="11" s="1"/>
  <c r="N118" i="11"/>
  <c r="O121" i="11"/>
  <c r="V121" i="11" s="1"/>
  <c r="N121" i="11"/>
  <c r="Q144" i="11"/>
  <c r="R144" i="11" s="1"/>
  <c r="Q160" i="11"/>
  <c r="R160" i="11" s="1"/>
  <c r="Q176" i="11"/>
  <c r="R176" i="11" s="1"/>
  <c r="P130" i="11"/>
  <c r="W130" i="11" s="1"/>
  <c r="Q139" i="11"/>
  <c r="R139" i="11" s="1"/>
  <c r="Q155" i="11"/>
  <c r="R155" i="11" s="1"/>
  <c r="Q171" i="11"/>
  <c r="R171" i="11" s="1"/>
  <c r="O89" i="11"/>
  <c r="V89" i="11" s="1"/>
  <c r="N89" i="11"/>
  <c r="P90" i="11"/>
  <c r="W90" i="11" s="1"/>
  <c r="O99" i="11"/>
  <c r="V99" i="11" s="1"/>
  <c r="N99" i="11"/>
  <c r="O105" i="11"/>
  <c r="V105" i="11" s="1"/>
  <c r="N105" i="11"/>
  <c r="P106" i="11"/>
  <c r="W106" i="11" s="1"/>
  <c r="O126" i="11"/>
  <c r="V126" i="11" s="1"/>
  <c r="N126" i="11"/>
  <c r="O129" i="11"/>
  <c r="V129" i="11" s="1"/>
  <c r="N129" i="11"/>
  <c r="Q149" i="11"/>
  <c r="R149" i="11" s="1"/>
  <c r="Q165" i="11"/>
  <c r="R165" i="11" s="1"/>
  <c r="Q181" i="11"/>
  <c r="R181" i="11" s="1"/>
  <c r="P85" i="11"/>
  <c r="AG85" i="11"/>
  <c r="N88" i="11"/>
  <c r="O94" i="11"/>
  <c r="V94" i="11" s="1"/>
  <c r="N94" i="11"/>
  <c r="P95" i="11"/>
  <c r="W95" i="11" s="1"/>
  <c r="N104" i="11"/>
  <c r="O110" i="11"/>
  <c r="V110" i="11" s="1"/>
  <c r="N110" i="11"/>
  <c r="P111" i="11"/>
  <c r="W111" i="11" s="1"/>
  <c r="P114" i="11"/>
  <c r="W114" i="11" s="1"/>
  <c r="Q138" i="11"/>
  <c r="R138" i="11" s="1"/>
  <c r="Q146" i="11"/>
  <c r="R146" i="11" s="1"/>
  <c r="Q154" i="11"/>
  <c r="R154" i="11" s="1"/>
  <c r="Q162" i="11"/>
  <c r="R162" i="11" s="1"/>
  <c r="Q170" i="11"/>
  <c r="R170" i="11" s="1"/>
  <c r="Q178" i="11"/>
  <c r="R178" i="11" s="1"/>
  <c r="N115" i="11"/>
  <c r="N123" i="11"/>
  <c r="N131" i="11"/>
  <c r="Q143" i="11"/>
  <c r="R143" i="11" s="1"/>
  <c r="Q151" i="11"/>
  <c r="R151" i="11" s="1"/>
  <c r="Q159" i="11"/>
  <c r="R159" i="11" s="1"/>
  <c r="Q167" i="11"/>
  <c r="R167" i="11" s="1"/>
  <c r="Q175" i="11"/>
  <c r="R175" i="11" s="1"/>
  <c r="Q183" i="11"/>
  <c r="R183" i="11" s="1"/>
  <c r="Q54" i="1"/>
  <c r="R54" i="1"/>
  <c r="S54" i="1"/>
  <c r="T54" i="1"/>
  <c r="H54" i="1"/>
  <c r="G54" i="1"/>
  <c r="F54" i="1"/>
  <c r="E54" i="1"/>
  <c r="P183" i="10"/>
  <c r="O183" i="10"/>
  <c r="N183" i="10"/>
  <c r="P182" i="10"/>
  <c r="O182" i="10"/>
  <c r="N182" i="10"/>
  <c r="P181" i="10"/>
  <c r="O181" i="10"/>
  <c r="N181" i="10"/>
  <c r="P180" i="10"/>
  <c r="O180" i="10"/>
  <c r="N180" i="10"/>
  <c r="P179" i="10"/>
  <c r="O179" i="10"/>
  <c r="N179" i="10"/>
  <c r="P178" i="10"/>
  <c r="O178" i="10"/>
  <c r="N178" i="10"/>
  <c r="P177" i="10"/>
  <c r="O177" i="10"/>
  <c r="N177" i="10"/>
  <c r="P176" i="10"/>
  <c r="O176" i="10"/>
  <c r="N176" i="10"/>
  <c r="P175" i="10"/>
  <c r="O175" i="10"/>
  <c r="N175" i="10"/>
  <c r="P174" i="10"/>
  <c r="O174" i="10"/>
  <c r="N174" i="10"/>
  <c r="P173" i="10"/>
  <c r="O173" i="10"/>
  <c r="N173" i="10"/>
  <c r="P172" i="10"/>
  <c r="O172" i="10"/>
  <c r="N172" i="10"/>
  <c r="P171" i="10"/>
  <c r="O171" i="10"/>
  <c r="N171" i="10"/>
  <c r="P170" i="10"/>
  <c r="O170" i="10"/>
  <c r="N170" i="10"/>
  <c r="P169" i="10"/>
  <c r="O169" i="10"/>
  <c r="N169" i="10"/>
  <c r="P168" i="10"/>
  <c r="O168" i="10"/>
  <c r="N168" i="10"/>
  <c r="P167" i="10"/>
  <c r="O167" i="10"/>
  <c r="N167" i="10"/>
  <c r="P166" i="10"/>
  <c r="O166" i="10"/>
  <c r="N166" i="10"/>
  <c r="P165" i="10"/>
  <c r="O165" i="10"/>
  <c r="N165" i="10"/>
  <c r="P164" i="10"/>
  <c r="O164" i="10"/>
  <c r="N164" i="10"/>
  <c r="P163" i="10"/>
  <c r="O163" i="10"/>
  <c r="N163" i="10"/>
  <c r="P162" i="10"/>
  <c r="O162" i="10"/>
  <c r="N162" i="10"/>
  <c r="P161" i="10"/>
  <c r="O161" i="10"/>
  <c r="N161" i="10"/>
  <c r="P160" i="10"/>
  <c r="O160" i="10"/>
  <c r="N160" i="10"/>
  <c r="P159" i="10"/>
  <c r="O159" i="10"/>
  <c r="N159" i="10"/>
  <c r="P158" i="10"/>
  <c r="O158" i="10"/>
  <c r="N158" i="10"/>
  <c r="P157" i="10"/>
  <c r="O157" i="10"/>
  <c r="N157" i="10"/>
  <c r="P156" i="10"/>
  <c r="O156" i="10"/>
  <c r="N156" i="10"/>
  <c r="P155" i="10"/>
  <c r="O155" i="10"/>
  <c r="N155" i="10"/>
  <c r="P154" i="10"/>
  <c r="O154" i="10"/>
  <c r="N154" i="10"/>
  <c r="P153" i="10"/>
  <c r="O153" i="10"/>
  <c r="N153" i="10"/>
  <c r="P152" i="10"/>
  <c r="O152" i="10"/>
  <c r="N152" i="10"/>
  <c r="P151" i="10"/>
  <c r="O151" i="10"/>
  <c r="N151" i="10"/>
  <c r="P150" i="10"/>
  <c r="O150" i="10"/>
  <c r="N150" i="10"/>
  <c r="P149" i="10"/>
  <c r="O149" i="10"/>
  <c r="N149" i="10"/>
  <c r="P148" i="10"/>
  <c r="O148" i="10"/>
  <c r="N148" i="10"/>
  <c r="P147" i="10"/>
  <c r="O147" i="10"/>
  <c r="N147" i="10"/>
  <c r="P146" i="10"/>
  <c r="O146" i="10"/>
  <c r="N146" i="10"/>
  <c r="P145" i="10"/>
  <c r="O145" i="10"/>
  <c r="N145" i="10"/>
  <c r="P144" i="10"/>
  <c r="O144" i="10"/>
  <c r="N144" i="10"/>
  <c r="P143" i="10"/>
  <c r="O143" i="10"/>
  <c r="N143" i="10"/>
  <c r="P142" i="10"/>
  <c r="O142" i="10"/>
  <c r="N142" i="10"/>
  <c r="P141" i="10"/>
  <c r="O141" i="10"/>
  <c r="N141" i="10"/>
  <c r="P140" i="10"/>
  <c r="O140" i="10"/>
  <c r="N140" i="10"/>
  <c r="P139" i="10"/>
  <c r="O139" i="10"/>
  <c r="N139" i="10"/>
  <c r="P138" i="10"/>
  <c r="O138" i="10"/>
  <c r="N138" i="10"/>
  <c r="P137" i="10"/>
  <c r="O137" i="10"/>
  <c r="N137" i="10"/>
  <c r="R136" i="10"/>
  <c r="Q136" i="10"/>
  <c r="P136" i="10"/>
  <c r="N136" i="10"/>
  <c r="K131" i="10"/>
  <c r="J131" i="10"/>
  <c r="I131" i="10"/>
  <c r="H131" i="10"/>
  <c r="O131" i="10" s="1"/>
  <c r="G131" i="10"/>
  <c r="F131" i="10"/>
  <c r="E131" i="10"/>
  <c r="D131" i="10"/>
  <c r="C131" i="10"/>
  <c r="K130" i="10"/>
  <c r="J130" i="10"/>
  <c r="I130" i="10"/>
  <c r="H130" i="10"/>
  <c r="G130" i="10"/>
  <c r="F130" i="10"/>
  <c r="E130" i="10"/>
  <c r="D130" i="10"/>
  <c r="C130" i="10"/>
  <c r="K129" i="10"/>
  <c r="J129" i="10"/>
  <c r="I129" i="10"/>
  <c r="H129" i="10"/>
  <c r="O129" i="10" s="1"/>
  <c r="G129" i="10"/>
  <c r="F129" i="10"/>
  <c r="E129" i="10"/>
  <c r="D129" i="10"/>
  <c r="C129" i="10"/>
  <c r="K128" i="10"/>
  <c r="J128" i="10"/>
  <c r="I128" i="10"/>
  <c r="H128" i="10"/>
  <c r="G128" i="10"/>
  <c r="F128" i="10"/>
  <c r="E128" i="10"/>
  <c r="D128" i="10"/>
  <c r="C128" i="10"/>
  <c r="K127" i="10"/>
  <c r="J127" i="10"/>
  <c r="I127" i="10"/>
  <c r="H127" i="10"/>
  <c r="O127" i="10" s="1"/>
  <c r="G127" i="10"/>
  <c r="F127" i="10"/>
  <c r="E127" i="10"/>
  <c r="D127" i="10"/>
  <c r="C127" i="10"/>
  <c r="K126" i="10"/>
  <c r="J126" i="10"/>
  <c r="I126" i="10"/>
  <c r="H126" i="10"/>
  <c r="G126" i="10"/>
  <c r="F126" i="10"/>
  <c r="E126" i="10"/>
  <c r="D126" i="10"/>
  <c r="C126" i="10"/>
  <c r="K125" i="10"/>
  <c r="J125" i="10"/>
  <c r="I125" i="10"/>
  <c r="H125" i="10"/>
  <c r="O125" i="10" s="1"/>
  <c r="G125" i="10"/>
  <c r="F125" i="10"/>
  <c r="E125" i="10"/>
  <c r="D125" i="10"/>
  <c r="C125" i="10"/>
  <c r="K124" i="10"/>
  <c r="J124" i="10"/>
  <c r="I124" i="10"/>
  <c r="H124" i="10"/>
  <c r="G124" i="10"/>
  <c r="F124" i="10"/>
  <c r="E124" i="10"/>
  <c r="D124" i="10"/>
  <c r="C124" i="10"/>
  <c r="K123" i="10"/>
  <c r="J123" i="10"/>
  <c r="I123" i="10"/>
  <c r="H123" i="10"/>
  <c r="O123" i="10" s="1"/>
  <c r="V123" i="10" s="1"/>
  <c r="G123" i="10"/>
  <c r="F123" i="10"/>
  <c r="E123" i="10"/>
  <c r="D123" i="10"/>
  <c r="C123" i="10"/>
  <c r="K122" i="10"/>
  <c r="J122" i="10"/>
  <c r="I122" i="10"/>
  <c r="H122" i="10"/>
  <c r="G122" i="10"/>
  <c r="F122" i="10"/>
  <c r="E122" i="10"/>
  <c r="D122" i="10"/>
  <c r="C122" i="10"/>
  <c r="K121" i="10"/>
  <c r="J121" i="10"/>
  <c r="I121" i="10"/>
  <c r="H121" i="10"/>
  <c r="O121" i="10" s="1"/>
  <c r="G121" i="10"/>
  <c r="F121" i="10"/>
  <c r="E121" i="10"/>
  <c r="D121" i="10"/>
  <c r="C121" i="10"/>
  <c r="K120" i="10"/>
  <c r="J120" i="10"/>
  <c r="I120" i="10"/>
  <c r="H120" i="10"/>
  <c r="G120" i="10"/>
  <c r="F120" i="10"/>
  <c r="E120" i="10"/>
  <c r="D120" i="10"/>
  <c r="C120" i="10"/>
  <c r="K119" i="10"/>
  <c r="J119" i="10"/>
  <c r="I119" i="10"/>
  <c r="H119" i="10"/>
  <c r="O119" i="10" s="1"/>
  <c r="G119" i="10"/>
  <c r="F119" i="10"/>
  <c r="E119" i="10"/>
  <c r="D119" i="10"/>
  <c r="C119" i="10"/>
  <c r="K118" i="10"/>
  <c r="J118" i="10"/>
  <c r="I118" i="10"/>
  <c r="H118" i="10"/>
  <c r="G118" i="10"/>
  <c r="F118" i="10"/>
  <c r="E118" i="10"/>
  <c r="D118" i="10"/>
  <c r="C118" i="10"/>
  <c r="K117" i="10"/>
  <c r="J117" i="10"/>
  <c r="I117" i="10"/>
  <c r="H117" i="10"/>
  <c r="O117" i="10" s="1"/>
  <c r="G117" i="10"/>
  <c r="F117" i="10"/>
  <c r="E117" i="10"/>
  <c r="D117" i="10"/>
  <c r="C117" i="10"/>
  <c r="K116" i="10"/>
  <c r="J116" i="10"/>
  <c r="I116" i="10"/>
  <c r="H116" i="10"/>
  <c r="G116" i="10"/>
  <c r="F116" i="10"/>
  <c r="E116" i="10"/>
  <c r="D116" i="10"/>
  <c r="C116" i="10"/>
  <c r="K115" i="10"/>
  <c r="J115" i="10"/>
  <c r="I115" i="10"/>
  <c r="H115" i="10"/>
  <c r="O115" i="10" s="1"/>
  <c r="G115" i="10"/>
  <c r="F115" i="10"/>
  <c r="E115" i="10"/>
  <c r="D115" i="10"/>
  <c r="C115" i="10"/>
  <c r="K114" i="10"/>
  <c r="J114" i="10"/>
  <c r="I114" i="10"/>
  <c r="H114" i="10"/>
  <c r="G114" i="10"/>
  <c r="F114" i="10"/>
  <c r="E114" i="10"/>
  <c r="D114" i="10"/>
  <c r="C114" i="10"/>
  <c r="K113" i="10"/>
  <c r="J113" i="10"/>
  <c r="I113" i="10"/>
  <c r="H113" i="10"/>
  <c r="O113" i="10" s="1"/>
  <c r="G113" i="10"/>
  <c r="F113" i="10"/>
  <c r="E113" i="10"/>
  <c r="D113" i="10"/>
  <c r="C113" i="10"/>
  <c r="K112" i="10"/>
  <c r="J112" i="10"/>
  <c r="I112" i="10"/>
  <c r="H112" i="10"/>
  <c r="G112" i="10"/>
  <c r="F112" i="10"/>
  <c r="E112" i="10"/>
  <c r="D112" i="10"/>
  <c r="C112" i="10"/>
  <c r="K111" i="10"/>
  <c r="J111" i="10"/>
  <c r="I111" i="10"/>
  <c r="H111" i="10"/>
  <c r="O111" i="10" s="1"/>
  <c r="G111" i="10"/>
  <c r="F111" i="10"/>
  <c r="E111" i="10"/>
  <c r="D111" i="10"/>
  <c r="C111" i="10"/>
  <c r="K110" i="10"/>
  <c r="J110" i="10"/>
  <c r="I110" i="10"/>
  <c r="H110" i="10"/>
  <c r="G110" i="10"/>
  <c r="F110" i="10"/>
  <c r="E110" i="10"/>
  <c r="D110" i="10"/>
  <c r="C110" i="10"/>
  <c r="K109" i="10"/>
  <c r="J109" i="10"/>
  <c r="I109" i="10"/>
  <c r="H109" i="10"/>
  <c r="O109" i="10" s="1"/>
  <c r="G109" i="10"/>
  <c r="F109" i="10"/>
  <c r="E109" i="10"/>
  <c r="D109" i="10"/>
  <c r="C109" i="10"/>
  <c r="K108" i="10"/>
  <c r="J108" i="10"/>
  <c r="I108" i="10"/>
  <c r="H108" i="10"/>
  <c r="G108" i="10"/>
  <c r="F108" i="10"/>
  <c r="E108" i="10"/>
  <c r="D108" i="10"/>
  <c r="C108" i="10"/>
  <c r="K107" i="10"/>
  <c r="J107" i="10"/>
  <c r="I107" i="10"/>
  <c r="H107" i="10"/>
  <c r="O107" i="10" s="1"/>
  <c r="G107" i="10"/>
  <c r="F107" i="10"/>
  <c r="E107" i="10"/>
  <c r="D107" i="10"/>
  <c r="C107" i="10"/>
  <c r="K106" i="10"/>
  <c r="J106" i="10"/>
  <c r="I106" i="10"/>
  <c r="H106" i="10"/>
  <c r="G106" i="10"/>
  <c r="F106" i="10"/>
  <c r="E106" i="10"/>
  <c r="D106" i="10"/>
  <c r="C106" i="10"/>
  <c r="K105" i="10"/>
  <c r="J105" i="10"/>
  <c r="I105" i="10"/>
  <c r="H105" i="10"/>
  <c r="O105" i="10" s="1"/>
  <c r="G105" i="10"/>
  <c r="F105" i="10"/>
  <c r="E105" i="10"/>
  <c r="D105" i="10"/>
  <c r="C105" i="10"/>
  <c r="K104" i="10"/>
  <c r="J104" i="10"/>
  <c r="I104" i="10"/>
  <c r="H104" i="10"/>
  <c r="G104" i="10"/>
  <c r="F104" i="10"/>
  <c r="E104" i="10"/>
  <c r="D104" i="10"/>
  <c r="C104" i="10"/>
  <c r="K103" i="10"/>
  <c r="J103" i="10"/>
  <c r="I103" i="10"/>
  <c r="H103" i="10"/>
  <c r="O103" i="10" s="1"/>
  <c r="G103" i="10"/>
  <c r="F103" i="10"/>
  <c r="E103" i="10"/>
  <c r="D103" i="10"/>
  <c r="C103" i="10"/>
  <c r="K102" i="10"/>
  <c r="J102" i="10"/>
  <c r="I102" i="10"/>
  <c r="H102" i="10"/>
  <c r="G102" i="10"/>
  <c r="F102" i="10"/>
  <c r="E102" i="10"/>
  <c r="D102" i="10"/>
  <c r="C102" i="10"/>
  <c r="K101" i="10"/>
  <c r="J101" i="10"/>
  <c r="I101" i="10"/>
  <c r="H101" i="10"/>
  <c r="O101" i="10" s="1"/>
  <c r="G101" i="10"/>
  <c r="F101" i="10"/>
  <c r="E101" i="10"/>
  <c r="D101" i="10"/>
  <c r="C101" i="10"/>
  <c r="K100" i="10"/>
  <c r="J100" i="10"/>
  <c r="I100" i="10"/>
  <c r="H100" i="10"/>
  <c r="G100" i="10"/>
  <c r="F100" i="10"/>
  <c r="E100" i="10"/>
  <c r="D100" i="10"/>
  <c r="C100" i="10"/>
  <c r="K99" i="10"/>
  <c r="J99" i="10"/>
  <c r="I99" i="10"/>
  <c r="H99" i="10"/>
  <c r="O99" i="10" s="1"/>
  <c r="G99" i="10"/>
  <c r="F99" i="10"/>
  <c r="E99" i="10"/>
  <c r="D99" i="10"/>
  <c r="C99" i="10"/>
  <c r="K98" i="10"/>
  <c r="J98" i="10"/>
  <c r="I98" i="10"/>
  <c r="H98" i="10"/>
  <c r="G98" i="10"/>
  <c r="F98" i="10"/>
  <c r="E98" i="10"/>
  <c r="D98" i="10"/>
  <c r="C98" i="10"/>
  <c r="K97" i="10"/>
  <c r="J97" i="10"/>
  <c r="I97" i="10"/>
  <c r="H97" i="10"/>
  <c r="O97" i="10" s="1"/>
  <c r="G97" i="10"/>
  <c r="F97" i="10"/>
  <c r="E97" i="10"/>
  <c r="D97" i="10"/>
  <c r="C97" i="10"/>
  <c r="K96" i="10"/>
  <c r="J96" i="10"/>
  <c r="I96" i="10"/>
  <c r="H96" i="10"/>
  <c r="G96" i="10"/>
  <c r="F96" i="10"/>
  <c r="E96" i="10"/>
  <c r="D96" i="10"/>
  <c r="C96" i="10"/>
  <c r="K95" i="10"/>
  <c r="J95" i="10"/>
  <c r="I95" i="10"/>
  <c r="H95" i="10"/>
  <c r="O95" i="10" s="1"/>
  <c r="G95" i="10"/>
  <c r="F95" i="10"/>
  <c r="E95" i="10"/>
  <c r="D95" i="10"/>
  <c r="C95" i="10"/>
  <c r="K94" i="10"/>
  <c r="J94" i="10"/>
  <c r="I94" i="10"/>
  <c r="H94" i="10"/>
  <c r="G94" i="10"/>
  <c r="F94" i="10"/>
  <c r="E94" i="10"/>
  <c r="D94" i="10"/>
  <c r="C94" i="10"/>
  <c r="K93" i="10"/>
  <c r="J93" i="10"/>
  <c r="I93" i="10"/>
  <c r="H93" i="10"/>
  <c r="O93" i="10" s="1"/>
  <c r="G93" i="10"/>
  <c r="F93" i="10"/>
  <c r="E93" i="10"/>
  <c r="D93" i="10"/>
  <c r="C93" i="10"/>
  <c r="K92" i="10"/>
  <c r="J92" i="10"/>
  <c r="I92" i="10"/>
  <c r="H92" i="10"/>
  <c r="G92" i="10"/>
  <c r="F92" i="10"/>
  <c r="E92" i="10"/>
  <c r="D92" i="10"/>
  <c r="C92" i="10"/>
  <c r="K91" i="10"/>
  <c r="J91" i="10"/>
  <c r="I91" i="10"/>
  <c r="H91" i="10"/>
  <c r="O91" i="10" s="1"/>
  <c r="G91" i="10"/>
  <c r="F91" i="10"/>
  <c r="E91" i="10"/>
  <c r="D91" i="10"/>
  <c r="C91" i="10"/>
  <c r="K90" i="10"/>
  <c r="J90" i="10"/>
  <c r="I90" i="10"/>
  <c r="H90" i="10"/>
  <c r="O90" i="10" s="1"/>
  <c r="G90" i="10"/>
  <c r="F90" i="10"/>
  <c r="E90" i="10"/>
  <c r="D90" i="10"/>
  <c r="C90" i="10"/>
  <c r="K89" i="10"/>
  <c r="J89" i="10"/>
  <c r="I89" i="10"/>
  <c r="H89" i="10"/>
  <c r="G89" i="10"/>
  <c r="F89" i="10"/>
  <c r="E89" i="10"/>
  <c r="D89" i="10"/>
  <c r="C89" i="10"/>
  <c r="K88" i="10"/>
  <c r="J88" i="10"/>
  <c r="I88" i="10"/>
  <c r="H88" i="10"/>
  <c r="O88" i="10" s="1"/>
  <c r="G88" i="10"/>
  <c r="F88" i="10"/>
  <c r="E88" i="10"/>
  <c r="D88" i="10"/>
  <c r="C88" i="10"/>
  <c r="K87" i="10"/>
  <c r="J87" i="10"/>
  <c r="I87" i="10"/>
  <c r="H87" i="10"/>
  <c r="G87" i="10"/>
  <c r="F87" i="10"/>
  <c r="E87" i="10"/>
  <c r="D87" i="10"/>
  <c r="C87" i="10"/>
  <c r="K86" i="10"/>
  <c r="J86" i="10"/>
  <c r="I86" i="10"/>
  <c r="H86" i="10"/>
  <c r="O86" i="10" s="1"/>
  <c r="G86" i="10"/>
  <c r="F86" i="10"/>
  <c r="E86" i="10"/>
  <c r="D86" i="10"/>
  <c r="C86" i="10"/>
  <c r="K85" i="10"/>
  <c r="J85" i="10"/>
  <c r="I85" i="10"/>
  <c r="H85" i="10"/>
  <c r="O85" i="10" s="1"/>
  <c r="G85" i="10"/>
  <c r="F85" i="10"/>
  <c r="E85" i="10"/>
  <c r="D85" i="10"/>
  <c r="C85" i="10"/>
  <c r="Y84" i="10"/>
  <c r="W84" i="10"/>
  <c r="U84" i="10"/>
  <c r="U72" i="10"/>
  <c r="T72" i="10"/>
  <c r="U71" i="10"/>
  <c r="T71" i="10"/>
  <c r="U70" i="10"/>
  <c r="T70" i="10"/>
  <c r="U69" i="10"/>
  <c r="T69" i="10"/>
  <c r="U68" i="10"/>
  <c r="T68" i="10"/>
  <c r="U67" i="10"/>
  <c r="T67" i="10"/>
  <c r="U66" i="10"/>
  <c r="T66" i="10"/>
  <c r="U65" i="10"/>
  <c r="T65" i="10"/>
  <c r="U64" i="10"/>
  <c r="T64" i="10"/>
  <c r="U63" i="10"/>
  <c r="T63" i="10"/>
  <c r="U31" i="10"/>
  <c r="T31" i="10"/>
  <c r="U30" i="10"/>
  <c r="T30" i="10"/>
  <c r="U29" i="10"/>
  <c r="T29" i="10"/>
  <c r="U28" i="10"/>
  <c r="T28" i="10"/>
  <c r="U27" i="10"/>
  <c r="T27" i="10"/>
  <c r="U26" i="10"/>
  <c r="T26" i="10"/>
  <c r="U23" i="10"/>
  <c r="I2" i="10"/>
  <c r="A1" i="10"/>
  <c r="AF28" i="3"/>
  <c r="AR28" i="3" s="1"/>
  <c r="AG28" i="3"/>
  <c r="AS28" i="3" s="1"/>
  <c r="AH28" i="3"/>
  <c r="AT28" i="3" s="1"/>
  <c r="AI28" i="3"/>
  <c r="AU28" i="3" s="1"/>
  <c r="AF29" i="3"/>
  <c r="AR29" i="3" s="1"/>
  <c r="AG29" i="3"/>
  <c r="AS29" i="3" s="1"/>
  <c r="AH29" i="3"/>
  <c r="AT29" i="3" s="1"/>
  <c r="AI29" i="3"/>
  <c r="AU29" i="3" s="1"/>
  <c r="AF30" i="3"/>
  <c r="AR30" i="3" s="1"/>
  <c r="AG30" i="3"/>
  <c r="AS30" i="3" s="1"/>
  <c r="AH30" i="3"/>
  <c r="AT30" i="3" s="1"/>
  <c r="AI30" i="3"/>
  <c r="AU30" i="3" s="1"/>
  <c r="AF31" i="3"/>
  <c r="AG31" i="3"/>
  <c r="AS31" i="3" s="1"/>
  <c r="AH31" i="3"/>
  <c r="AT31" i="3" s="1"/>
  <c r="AI31" i="3"/>
  <c r="AU31" i="3" s="1"/>
  <c r="AF32" i="3"/>
  <c r="AR32" i="3" s="1"/>
  <c r="AG32" i="3"/>
  <c r="AS32" i="3" s="1"/>
  <c r="AH32" i="3"/>
  <c r="AT32" i="3" s="1"/>
  <c r="AI32" i="3"/>
  <c r="AU32" i="3" s="1"/>
  <c r="AF33" i="3"/>
  <c r="AR33" i="3" s="1"/>
  <c r="AG33" i="3"/>
  <c r="AS33" i="3" s="1"/>
  <c r="AH33" i="3"/>
  <c r="AT33" i="3" s="1"/>
  <c r="AI33" i="3"/>
  <c r="AU33" i="3" s="1"/>
  <c r="AF34" i="3"/>
  <c r="AR34" i="3" s="1"/>
  <c r="AG34" i="3"/>
  <c r="AS34" i="3" s="1"/>
  <c r="AH34" i="3"/>
  <c r="AT34" i="3" s="1"/>
  <c r="AI34" i="3"/>
  <c r="AU34" i="3" s="1"/>
  <c r="AF35" i="3"/>
  <c r="AR35" i="3" s="1"/>
  <c r="AG35" i="3"/>
  <c r="AS35" i="3" s="1"/>
  <c r="AH35" i="3"/>
  <c r="AT35" i="3" s="1"/>
  <c r="AI35" i="3"/>
  <c r="AU35" i="3" s="1"/>
  <c r="AF36" i="3"/>
  <c r="AR36" i="3" s="1"/>
  <c r="AG36" i="3"/>
  <c r="AS36" i="3" s="1"/>
  <c r="AH36" i="3"/>
  <c r="AT36" i="3" s="1"/>
  <c r="AI36" i="3"/>
  <c r="AU36" i="3" s="1"/>
  <c r="AF37" i="3"/>
  <c r="AR37" i="3" s="1"/>
  <c r="AG37" i="3"/>
  <c r="AS37" i="3" s="1"/>
  <c r="AH37" i="3"/>
  <c r="AT37" i="3" s="1"/>
  <c r="AI37" i="3"/>
  <c r="AU37" i="3" s="1"/>
  <c r="AF38" i="3"/>
  <c r="AR38" i="3" s="1"/>
  <c r="AG38" i="3"/>
  <c r="AS38" i="3" s="1"/>
  <c r="AH38" i="3"/>
  <c r="AT38" i="3" s="1"/>
  <c r="AI38" i="3"/>
  <c r="AU38" i="3" s="1"/>
  <c r="AF39" i="3"/>
  <c r="AR39" i="3" s="1"/>
  <c r="AG39" i="3"/>
  <c r="AS39" i="3" s="1"/>
  <c r="AH39" i="3"/>
  <c r="AT39" i="3" s="1"/>
  <c r="AI39" i="3"/>
  <c r="AU39" i="3" s="1"/>
  <c r="AF40" i="3"/>
  <c r="AR40" i="3" s="1"/>
  <c r="AG40" i="3"/>
  <c r="AS40" i="3" s="1"/>
  <c r="AH40" i="3"/>
  <c r="AT40" i="3" s="1"/>
  <c r="AI40" i="3"/>
  <c r="AU40" i="3" s="1"/>
  <c r="AF41" i="3"/>
  <c r="AR41" i="3" s="1"/>
  <c r="AG41" i="3"/>
  <c r="AS41" i="3" s="1"/>
  <c r="AH41" i="3"/>
  <c r="AT41" i="3" s="1"/>
  <c r="AI41" i="3"/>
  <c r="AU41" i="3" s="1"/>
  <c r="AF42" i="3"/>
  <c r="AR42" i="3" s="1"/>
  <c r="AG42" i="3"/>
  <c r="AS42" i="3" s="1"/>
  <c r="AH42" i="3"/>
  <c r="AT42" i="3" s="1"/>
  <c r="AI42" i="3"/>
  <c r="AU42" i="3" s="1"/>
  <c r="AF43" i="3"/>
  <c r="AR43" i="3" s="1"/>
  <c r="AG43" i="3"/>
  <c r="AS43" i="3" s="1"/>
  <c r="AH43" i="3"/>
  <c r="AT43" i="3" s="1"/>
  <c r="AI43" i="3"/>
  <c r="AU43" i="3" s="1"/>
  <c r="AF44" i="3"/>
  <c r="AR44" i="3" s="1"/>
  <c r="AG44" i="3"/>
  <c r="AS44" i="3" s="1"/>
  <c r="AH44" i="3"/>
  <c r="AT44" i="3" s="1"/>
  <c r="AI44" i="3"/>
  <c r="AU44" i="3" s="1"/>
  <c r="AF45" i="3"/>
  <c r="AR45" i="3" s="1"/>
  <c r="AG45" i="3"/>
  <c r="AS45" i="3" s="1"/>
  <c r="AH45" i="3"/>
  <c r="AT45" i="3" s="1"/>
  <c r="AI45" i="3"/>
  <c r="AU45" i="3" s="1"/>
  <c r="AF46" i="3"/>
  <c r="AR46" i="3" s="1"/>
  <c r="AG46" i="3"/>
  <c r="AS46" i="3" s="1"/>
  <c r="AH46" i="3"/>
  <c r="AT46" i="3" s="1"/>
  <c r="AI46" i="3"/>
  <c r="AU46" i="3" s="1"/>
  <c r="AF47" i="3"/>
  <c r="AR47" i="3" s="1"/>
  <c r="AG47" i="3"/>
  <c r="AS47" i="3" s="1"/>
  <c r="AH47" i="3"/>
  <c r="AT47" i="3" s="1"/>
  <c r="AI47" i="3"/>
  <c r="AU47" i="3" s="1"/>
  <c r="AF48" i="3"/>
  <c r="AR48" i="3" s="1"/>
  <c r="AG48" i="3"/>
  <c r="AS48" i="3" s="1"/>
  <c r="AH48" i="3"/>
  <c r="AT48" i="3" s="1"/>
  <c r="AI48" i="3"/>
  <c r="AU48" i="3" s="1"/>
  <c r="AF49" i="3"/>
  <c r="AR49" i="3" s="1"/>
  <c r="AG49" i="3"/>
  <c r="AS49" i="3" s="1"/>
  <c r="AH49" i="3"/>
  <c r="AT49" i="3" s="1"/>
  <c r="AI49" i="3"/>
  <c r="AU49" i="3" s="1"/>
  <c r="AF50" i="3"/>
  <c r="AR50" i="3" s="1"/>
  <c r="AG50" i="3"/>
  <c r="AS50" i="3" s="1"/>
  <c r="AH50" i="3"/>
  <c r="AT50" i="3" s="1"/>
  <c r="AI50" i="3"/>
  <c r="AU50" i="3" s="1"/>
  <c r="AF51" i="3"/>
  <c r="AR51" i="3" s="1"/>
  <c r="AG51" i="3"/>
  <c r="AS51" i="3" s="1"/>
  <c r="AH51" i="3"/>
  <c r="AT51" i="3" s="1"/>
  <c r="AI51" i="3"/>
  <c r="AU51" i="3" s="1"/>
  <c r="AF52" i="3"/>
  <c r="AR52" i="3" s="1"/>
  <c r="AG52" i="3"/>
  <c r="AS52" i="3" s="1"/>
  <c r="AH52" i="3"/>
  <c r="AT52" i="3" s="1"/>
  <c r="AI52" i="3"/>
  <c r="AU52" i="3" s="1"/>
  <c r="AF53" i="3"/>
  <c r="AR53" i="3" s="1"/>
  <c r="AG53" i="3"/>
  <c r="AS53" i="3" s="1"/>
  <c r="AH53" i="3"/>
  <c r="AT53" i="3" s="1"/>
  <c r="AI53" i="3"/>
  <c r="AU53" i="3" s="1"/>
  <c r="AF54" i="3"/>
  <c r="AR54" i="3" s="1"/>
  <c r="AG54" i="3"/>
  <c r="AS54" i="3" s="1"/>
  <c r="AH54" i="3"/>
  <c r="AT54" i="3" s="1"/>
  <c r="AI54" i="3"/>
  <c r="AU54" i="3" s="1"/>
  <c r="AF55" i="3"/>
  <c r="AR55" i="3" s="1"/>
  <c r="AG55" i="3"/>
  <c r="AS55" i="3" s="1"/>
  <c r="AH55" i="3"/>
  <c r="AT55" i="3" s="1"/>
  <c r="AI55" i="3"/>
  <c r="AU55" i="3" s="1"/>
  <c r="AF56" i="3"/>
  <c r="AR56" i="3" s="1"/>
  <c r="AG56" i="3"/>
  <c r="AS56" i="3" s="1"/>
  <c r="AH56" i="3"/>
  <c r="AT56" i="3" s="1"/>
  <c r="AI56" i="3"/>
  <c r="AU56" i="3" s="1"/>
  <c r="AF57" i="3"/>
  <c r="AR57" i="3" s="1"/>
  <c r="AG57" i="3"/>
  <c r="AS57" i="3" s="1"/>
  <c r="AH57" i="3"/>
  <c r="AT57" i="3" s="1"/>
  <c r="AI57" i="3"/>
  <c r="AU57" i="3" s="1"/>
  <c r="AF58" i="3"/>
  <c r="AR58" i="3" s="1"/>
  <c r="AG58" i="3"/>
  <c r="AS58" i="3" s="1"/>
  <c r="AH58" i="3"/>
  <c r="AT58" i="3" s="1"/>
  <c r="AI58" i="3"/>
  <c r="AU58" i="3" s="1"/>
  <c r="AF59" i="3"/>
  <c r="AR59" i="3" s="1"/>
  <c r="AG59" i="3"/>
  <c r="AS59" i="3" s="1"/>
  <c r="AH59" i="3"/>
  <c r="AT59" i="3" s="1"/>
  <c r="AI59" i="3"/>
  <c r="AU59" i="3" s="1"/>
  <c r="AF60" i="3"/>
  <c r="AR60" i="3" s="1"/>
  <c r="AG60" i="3"/>
  <c r="AS60" i="3" s="1"/>
  <c r="AH60" i="3"/>
  <c r="AT60" i="3" s="1"/>
  <c r="AI60" i="3"/>
  <c r="AU60" i="3" s="1"/>
  <c r="AF61" i="3"/>
  <c r="AR61" i="3" s="1"/>
  <c r="AG61" i="3"/>
  <c r="AS61" i="3" s="1"/>
  <c r="AH61" i="3"/>
  <c r="AT61" i="3" s="1"/>
  <c r="AI61" i="3"/>
  <c r="AU61" i="3" s="1"/>
  <c r="AF62" i="3"/>
  <c r="AR62" i="3" s="1"/>
  <c r="AG62" i="3"/>
  <c r="AS62" i="3" s="1"/>
  <c r="AH62" i="3"/>
  <c r="AT62" i="3" s="1"/>
  <c r="AI62" i="3"/>
  <c r="AU62" i="3" s="1"/>
  <c r="AF63" i="3"/>
  <c r="AR63" i="3" s="1"/>
  <c r="AG63" i="3"/>
  <c r="AS63" i="3" s="1"/>
  <c r="AH63" i="3"/>
  <c r="AT63" i="3" s="1"/>
  <c r="AI63" i="3"/>
  <c r="AU63" i="3" s="1"/>
  <c r="AF64" i="3"/>
  <c r="AR64" i="3" s="1"/>
  <c r="AG64" i="3"/>
  <c r="AS64" i="3" s="1"/>
  <c r="AH64" i="3"/>
  <c r="AT64" i="3" s="1"/>
  <c r="AI64" i="3"/>
  <c r="AU64" i="3" s="1"/>
  <c r="AF65" i="3"/>
  <c r="AR65" i="3" s="1"/>
  <c r="AG65" i="3"/>
  <c r="AS65" i="3" s="1"/>
  <c r="AH65" i="3"/>
  <c r="AT65" i="3" s="1"/>
  <c r="AI65" i="3"/>
  <c r="AU65" i="3" s="1"/>
  <c r="AF66" i="3"/>
  <c r="AR66" i="3" s="1"/>
  <c r="AG66" i="3"/>
  <c r="AS66" i="3" s="1"/>
  <c r="AH66" i="3"/>
  <c r="AT66" i="3" s="1"/>
  <c r="AI66" i="3"/>
  <c r="AU66" i="3" s="1"/>
  <c r="AF67" i="3"/>
  <c r="AR67" i="3" s="1"/>
  <c r="AG67" i="3"/>
  <c r="AS67" i="3" s="1"/>
  <c r="AH67" i="3"/>
  <c r="AT67" i="3" s="1"/>
  <c r="AI67" i="3"/>
  <c r="AU67" i="3" s="1"/>
  <c r="AF68" i="3"/>
  <c r="AR68" i="3" s="1"/>
  <c r="AG68" i="3"/>
  <c r="AS68" i="3" s="1"/>
  <c r="AH68" i="3"/>
  <c r="AT68" i="3" s="1"/>
  <c r="AI68" i="3"/>
  <c r="AU68" i="3" s="1"/>
  <c r="AF69" i="3"/>
  <c r="AR69" i="3" s="1"/>
  <c r="AG69" i="3"/>
  <c r="AS69" i="3" s="1"/>
  <c r="AH69" i="3"/>
  <c r="AT69" i="3" s="1"/>
  <c r="AI69" i="3"/>
  <c r="AU69" i="3" s="1"/>
  <c r="AF70" i="3"/>
  <c r="AR70" i="3" s="1"/>
  <c r="AG70" i="3"/>
  <c r="AS70" i="3" s="1"/>
  <c r="AH70" i="3"/>
  <c r="AT70" i="3" s="1"/>
  <c r="AI70" i="3"/>
  <c r="AU70" i="3" s="1"/>
  <c r="AF71" i="3"/>
  <c r="AR71" i="3" s="1"/>
  <c r="AG71" i="3"/>
  <c r="AS71" i="3" s="1"/>
  <c r="AH71" i="3"/>
  <c r="AT71" i="3" s="1"/>
  <c r="AI71" i="3"/>
  <c r="AU71" i="3" s="1"/>
  <c r="AF72" i="3"/>
  <c r="AR72" i="3" s="1"/>
  <c r="AG72" i="3"/>
  <c r="AS72" i="3" s="1"/>
  <c r="AH72" i="3"/>
  <c r="AT72" i="3" s="1"/>
  <c r="AI72" i="3"/>
  <c r="AU72" i="3" s="1"/>
  <c r="AF73" i="3"/>
  <c r="AR73" i="3" s="1"/>
  <c r="AG73" i="3"/>
  <c r="AS73" i="3" s="1"/>
  <c r="AH73" i="3"/>
  <c r="AT73" i="3" s="1"/>
  <c r="AI73" i="3"/>
  <c r="AU73" i="3" s="1"/>
  <c r="AF27" i="3"/>
  <c r="AR27" i="3" s="1"/>
  <c r="AG27" i="3"/>
  <c r="AS27" i="3" s="1"/>
  <c r="AH27" i="3"/>
  <c r="AT27" i="3" s="1"/>
  <c r="AI27" i="3"/>
  <c r="AU27" i="3" s="1"/>
  <c r="Z73" i="3"/>
  <c r="AL73" i="3" s="1"/>
  <c r="AV49" i="1"/>
  <c r="AU49" i="1"/>
  <c r="AT49" i="1"/>
  <c r="AS49" i="1"/>
  <c r="AR49" i="1"/>
  <c r="AQ49" i="1"/>
  <c r="AP49" i="1"/>
  <c r="AO49" i="1"/>
  <c r="AN49" i="1"/>
  <c r="AJ49" i="1"/>
  <c r="AI49" i="1"/>
  <c r="AG49" i="1"/>
  <c r="AF49" i="1"/>
  <c r="AE49" i="1"/>
  <c r="AD49" i="1"/>
  <c r="AC49" i="1"/>
  <c r="AB49" i="1"/>
  <c r="Z72" i="3"/>
  <c r="AL72" i="3" s="1"/>
  <c r="AV48" i="1"/>
  <c r="AU48" i="1"/>
  <c r="AT48" i="1"/>
  <c r="AS48" i="1"/>
  <c r="AR48" i="1"/>
  <c r="AQ48" i="1"/>
  <c r="AP48" i="1"/>
  <c r="AO48" i="1"/>
  <c r="AN48" i="1"/>
  <c r="AJ48" i="1"/>
  <c r="AI48" i="1"/>
  <c r="AH48" i="1"/>
  <c r="AG48" i="1"/>
  <c r="AF48" i="1"/>
  <c r="AE48" i="1"/>
  <c r="AD48" i="1"/>
  <c r="AC48" i="1"/>
  <c r="AB48" i="1"/>
  <c r="Z71" i="3"/>
  <c r="AL71" i="3" s="1"/>
  <c r="AV47" i="1"/>
  <c r="AU47" i="1"/>
  <c r="AT47" i="1"/>
  <c r="AS47" i="1"/>
  <c r="AR47" i="1"/>
  <c r="AQ47" i="1"/>
  <c r="AP47" i="1"/>
  <c r="AO47" i="1"/>
  <c r="AN47" i="1"/>
  <c r="AJ47" i="1"/>
  <c r="AI47" i="1"/>
  <c r="AH47" i="1"/>
  <c r="AG47" i="1"/>
  <c r="AF47" i="1"/>
  <c r="AE47" i="1"/>
  <c r="AD47" i="1"/>
  <c r="AC47" i="1"/>
  <c r="AB47" i="1"/>
  <c r="Z70" i="3"/>
  <c r="AL70" i="3" s="1"/>
  <c r="AV46" i="1"/>
  <c r="AU46" i="1"/>
  <c r="AT46" i="1"/>
  <c r="AS46" i="1"/>
  <c r="AR46" i="1"/>
  <c r="AQ46" i="1"/>
  <c r="AP46" i="1"/>
  <c r="AO46" i="1"/>
  <c r="AN46" i="1"/>
  <c r="AJ46" i="1"/>
  <c r="AI46" i="1"/>
  <c r="AH46" i="1"/>
  <c r="AG46" i="1"/>
  <c r="AF46" i="1"/>
  <c r="AE46" i="1"/>
  <c r="AD46" i="1"/>
  <c r="AC46" i="1"/>
  <c r="AB46" i="1"/>
  <c r="Z69" i="3"/>
  <c r="AL69" i="3" s="1"/>
  <c r="AV45" i="1"/>
  <c r="AU45" i="1"/>
  <c r="AT45" i="1"/>
  <c r="AS45" i="1"/>
  <c r="AR45" i="1"/>
  <c r="AQ45" i="1"/>
  <c r="AP45" i="1"/>
  <c r="AO45" i="1"/>
  <c r="AN45" i="1"/>
  <c r="AJ45" i="1"/>
  <c r="AI45" i="1"/>
  <c r="AH45" i="1"/>
  <c r="AG45" i="1"/>
  <c r="AF45" i="1"/>
  <c r="AE45" i="1"/>
  <c r="AD45" i="1"/>
  <c r="AC45" i="1"/>
  <c r="AB45" i="1"/>
  <c r="Z68" i="3"/>
  <c r="AL68" i="3" s="1"/>
  <c r="AV44" i="1"/>
  <c r="AU44" i="1"/>
  <c r="AT44" i="1"/>
  <c r="AS44" i="1"/>
  <c r="AR44" i="1"/>
  <c r="AQ44" i="1"/>
  <c r="AP44" i="1"/>
  <c r="AO44" i="1"/>
  <c r="AN44" i="1"/>
  <c r="AJ44" i="1"/>
  <c r="AI44" i="1"/>
  <c r="AH44" i="1"/>
  <c r="AG44" i="1"/>
  <c r="AF44" i="1"/>
  <c r="AE44" i="1"/>
  <c r="AD44" i="1"/>
  <c r="AC44" i="1"/>
  <c r="AB44" i="1"/>
  <c r="AV43" i="1"/>
  <c r="AU43" i="1"/>
  <c r="AT43" i="1"/>
  <c r="AS43" i="1"/>
  <c r="AR43" i="1"/>
  <c r="AQ43" i="1"/>
  <c r="AP43" i="1"/>
  <c r="AO43" i="1"/>
  <c r="AN43" i="1"/>
  <c r="AJ43" i="1"/>
  <c r="AI43" i="1"/>
  <c r="AH43" i="1"/>
  <c r="AG43" i="1"/>
  <c r="AF43" i="1"/>
  <c r="AE43" i="1"/>
  <c r="AD43" i="1"/>
  <c r="AC43" i="1"/>
  <c r="AB43" i="1"/>
  <c r="Z66" i="3"/>
  <c r="AL66" i="3" s="1"/>
  <c r="AV42" i="1"/>
  <c r="AU42" i="1"/>
  <c r="AT42" i="1"/>
  <c r="AS42" i="1"/>
  <c r="AR42" i="1"/>
  <c r="AQ42" i="1"/>
  <c r="AP42" i="1"/>
  <c r="AO42" i="1"/>
  <c r="AN42" i="1"/>
  <c r="AJ42" i="1"/>
  <c r="AI42" i="1"/>
  <c r="AH42" i="1"/>
  <c r="AG42" i="1"/>
  <c r="AF42" i="1"/>
  <c r="AE42" i="1"/>
  <c r="AD42" i="1"/>
  <c r="AC42" i="1"/>
  <c r="AB42" i="1"/>
  <c r="Z65" i="3"/>
  <c r="AL65" i="3" s="1"/>
  <c r="AV41" i="1"/>
  <c r="AU41" i="1"/>
  <c r="AT41" i="1"/>
  <c r="AS41" i="1"/>
  <c r="AR41" i="1"/>
  <c r="AQ41" i="1"/>
  <c r="AP41" i="1"/>
  <c r="AO41" i="1"/>
  <c r="AN41" i="1"/>
  <c r="AJ41" i="1"/>
  <c r="AI41" i="1"/>
  <c r="AH41" i="1"/>
  <c r="AG41" i="1"/>
  <c r="AF41" i="1"/>
  <c r="AE41" i="1"/>
  <c r="AD41" i="1"/>
  <c r="AC41" i="1"/>
  <c r="AB41" i="1"/>
  <c r="Z64" i="3"/>
  <c r="AL64" i="3" s="1"/>
  <c r="AV40" i="1"/>
  <c r="AU40" i="1"/>
  <c r="AT40" i="1"/>
  <c r="AS40" i="1"/>
  <c r="AR40" i="1"/>
  <c r="AQ40" i="1"/>
  <c r="AP40" i="1"/>
  <c r="AO40" i="1"/>
  <c r="AN40" i="1"/>
  <c r="AJ40" i="1"/>
  <c r="AI40" i="1"/>
  <c r="AH40" i="1"/>
  <c r="AG40" i="1"/>
  <c r="AF40" i="1"/>
  <c r="AE40" i="1"/>
  <c r="AD40" i="1"/>
  <c r="AC40" i="1"/>
  <c r="AB40" i="1"/>
  <c r="Z63" i="3"/>
  <c r="AL63" i="3" s="1"/>
  <c r="AV39" i="1"/>
  <c r="AU39" i="1"/>
  <c r="AT39" i="1"/>
  <c r="AS39" i="1"/>
  <c r="AR39" i="1"/>
  <c r="AQ39" i="1"/>
  <c r="AP39" i="1"/>
  <c r="AO39" i="1"/>
  <c r="AN39" i="1"/>
  <c r="AJ39" i="1"/>
  <c r="AI39" i="1"/>
  <c r="AH39" i="1"/>
  <c r="AG39" i="1"/>
  <c r="AF39" i="1"/>
  <c r="AE39" i="1"/>
  <c r="AD39" i="1"/>
  <c r="AC39" i="1"/>
  <c r="AB39" i="1"/>
  <c r="Z62" i="3"/>
  <c r="AL62" i="3" s="1"/>
  <c r="AV38" i="1"/>
  <c r="AU38" i="1"/>
  <c r="AT38" i="1"/>
  <c r="AS38" i="1"/>
  <c r="AR38" i="1"/>
  <c r="AQ38" i="1"/>
  <c r="AP38" i="1"/>
  <c r="AO38" i="1"/>
  <c r="AN38" i="1"/>
  <c r="AJ38" i="1"/>
  <c r="AI38" i="1"/>
  <c r="AH38" i="1"/>
  <c r="AG38" i="1"/>
  <c r="AF38" i="1"/>
  <c r="AE38" i="1"/>
  <c r="AD38" i="1"/>
  <c r="AC38" i="1"/>
  <c r="AB38" i="1"/>
  <c r="Z61" i="3"/>
  <c r="AL61" i="3" s="1"/>
  <c r="AV37" i="1"/>
  <c r="AU37" i="1"/>
  <c r="AT37" i="1"/>
  <c r="AS37" i="1"/>
  <c r="AR37" i="1"/>
  <c r="AQ37" i="1"/>
  <c r="AP37" i="1"/>
  <c r="AO37" i="1"/>
  <c r="AN37" i="1"/>
  <c r="AJ37" i="1"/>
  <c r="AI37" i="1"/>
  <c r="AH37" i="1"/>
  <c r="AG37" i="1"/>
  <c r="AF37" i="1"/>
  <c r="AE37" i="1"/>
  <c r="AD37" i="1"/>
  <c r="AC37" i="1"/>
  <c r="AB37" i="1"/>
  <c r="Z60" i="3"/>
  <c r="AL60" i="3" s="1"/>
  <c r="AV36" i="1"/>
  <c r="AU36" i="1"/>
  <c r="AT36" i="1"/>
  <c r="AS36" i="1"/>
  <c r="AR36" i="1"/>
  <c r="AQ36" i="1"/>
  <c r="AP36" i="1"/>
  <c r="AO36" i="1"/>
  <c r="AN36" i="1"/>
  <c r="AJ36" i="1"/>
  <c r="AI36" i="1"/>
  <c r="AH36" i="1"/>
  <c r="AG36" i="1"/>
  <c r="AF36" i="1"/>
  <c r="AE36" i="1"/>
  <c r="AD36" i="1"/>
  <c r="AC36" i="1"/>
  <c r="AB36" i="1"/>
  <c r="Z59" i="3"/>
  <c r="AL59" i="3" s="1"/>
  <c r="AV35" i="1"/>
  <c r="AU35" i="1"/>
  <c r="AT35" i="1"/>
  <c r="AS35" i="1"/>
  <c r="AR35" i="1"/>
  <c r="AQ35" i="1"/>
  <c r="AP35" i="1"/>
  <c r="AO35" i="1"/>
  <c r="AN35" i="1"/>
  <c r="AJ35" i="1"/>
  <c r="AI35" i="1"/>
  <c r="AH35" i="1"/>
  <c r="AG35" i="1"/>
  <c r="AF35" i="1"/>
  <c r="AE35" i="1"/>
  <c r="AD35" i="1"/>
  <c r="AC35" i="1"/>
  <c r="AB35" i="1"/>
  <c r="Z58" i="3"/>
  <c r="AL58" i="3" s="1"/>
  <c r="AV34" i="1"/>
  <c r="AU34" i="1"/>
  <c r="AT34" i="1"/>
  <c r="AS34" i="1"/>
  <c r="AR34" i="1"/>
  <c r="AQ34" i="1"/>
  <c r="AP34" i="1"/>
  <c r="AO34" i="1"/>
  <c r="AN34" i="1"/>
  <c r="AJ34" i="1"/>
  <c r="AI34" i="1"/>
  <c r="AH34" i="1"/>
  <c r="AG34" i="1"/>
  <c r="AF34" i="1"/>
  <c r="AE34" i="1"/>
  <c r="AD34" i="1"/>
  <c r="AC34" i="1"/>
  <c r="AB34" i="1"/>
  <c r="Z57" i="3"/>
  <c r="AL57" i="3" s="1"/>
  <c r="AV33" i="1"/>
  <c r="AU33" i="1"/>
  <c r="AT33" i="1"/>
  <c r="AS33" i="1"/>
  <c r="AR33" i="1"/>
  <c r="AQ33" i="1"/>
  <c r="AP33" i="1"/>
  <c r="AO33" i="1"/>
  <c r="AN33" i="1"/>
  <c r="AJ33" i="1"/>
  <c r="AI33" i="1"/>
  <c r="AH33" i="1"/>
  <c r="AG33" i="1"/>
  <c r="AF33" i="1"/>
  <c r="AE33" i="1"/>
  <c r="AD33" i="1"/>
  <c r="AC33" i="1"/>
  <c r="AB33" i="1"/>
  <c r="Z56" i="3"/>
  <c r="AL56" i="3" s="1"/>
  <c r="AV32" i="1"/>
  <c r="AU32" i="1"/>
  <c r="AT32" i="1"/>
  <c r="AS32" i="1"/>
  <c r="AR32" i="1"/>
  <c r="AQ32" i="1"/>
  <c r="AP32" i="1"/>
  <c r="AO32" i="1"/>
  <c r="AN32" i="1"/>
  <c r="AJ32" i="1"/>
  <c r="AI32" i="1"/>
  <c r="AH32" i="1"/>
  <c r="AG32" i="1"/>
  <c r="AF32" i="1"/>
  <c r="AE32" i="1"/>
  <c r="AD32" i="1"/>
  <c r="AC32" i="1"/>
  <c r="AB32" i="1"/>
  <c r="AV31" i="1"/>
  <c r="AU31" i="1"/>
  <c r="AT31" i="1"/>
  <c r="AS31" i="1"/>
  <c r="AR31" i="1"/>
  <c r="AQ31" i="1"/>
  <c r="AP31" i="1"/>
  <c r="AO31" i="1"/>
  <c r="AN31" i="1"/>
  <c r="AJ31" i="1"/>
  <c r="AI31" i="1"/>
  <c r="AH31" i="1"/>
  <c r="AG31" i="1"/>
  <c r="AF31" i="1"/>
  <c r="AE31" i="1"/>
  <c r="AD31" i="1"/>
  <c r="AC31" i="1"/>
  <c r="AB31" i="1"/>
  <c r="Z54" i="3"/>
  <c r="AV30" i="1"/>
  <c r="AU30" i="1"/>
  <c r="AT30" i="1"/>
  <c r="AS30" i="1"/>
  <c r="AR30" i="1"/>
  <c r="AQ30" i="1"/>
  <c r="AP30" i="1"/>
  <c r="AO30" i="1"/>
  <c r="AN30" i="1"/>
  <c r="AJ30" i="1"/>
  <c r="AI30" i="1"/>
  <c r="AH30" i="1"/>
  <c r="AG30" i="1"/>
  <c r="AF30" i="1"/>
  <c r="AE30" i="1"/>
  <c r="AD30" i="1"/>
  <c r="AC30" i="1"/>
  <c r="AB30" i="1"/>
  <c r="Z53" i="3"/>
  <c r="AL53" i="3" s="1"/>
  <c r="AV29" i="1"/>
  <c r="AU29" i="1"/>
  <c r="AT29" i="1"/>
  <c r="AS29" i="1"/>
  <c r="AR29" i="1"/>
  <c r="AQ29" i="1"/>
  <c r="AP29" i="1"/>
  <c r="AO29" i="1"/>
  <c r="AN29" i="1"/>
  <c r="AJ29" i="1"/>
  <c r="AI29" i="1"/>
  <c r="AH29" i="1"/>
  <c r="AG29" i="1"/>
  <c r="AF29" i="1"/>
  <c r="AE29" i="1"/>
  <c r="AD29" i="1"/>
  <c r="AC29" i="1"/>
  <c r="AB29" i="1"/>
  <c r="Z52" i="3"/>
  <c r="AL52" i="3" s="1"/>
  <c r="AV28" i="1"/>
  <c r="AU28" i="1"/>
  <c r="AT28" i="1"/>
  <c r="AS28" i="1"/>
  <c r="AR28" i="1"/>
  <c r="AQ28" i="1"/>
  <c r="AP28" i="1"/>
  <c r="AO28" i="1"/>
  <c r="AN28" i="1"/>
  <c r="AJ28" i="1"/>
  <c r="AI28" i="1"/>
  <c r="AH28" i="1"/>
  <c r="AG28" i="1"/>
  <c r="AF28" i="1"/>
  <c r="AE28" i="1"/>
  <c r="AD28" i="1"/>
  <c r="AC28" i="1"/>
  <c r="AB28" i="1"/>
  <c r="Z51" i="3"/>
  <c r="AL51" i="3" s="1"/>
  <c r="AV27" i="1"/>
  <c r="AU27" i="1"/>
  <c r="AT27" i="1"/>
  <c r="AS27" i="1"/>
  <c r="AR27" i="1"/>
  <c r="AQ27" i="1"/>
  <c r="AP27" i="1"/>
  <c r="AO27" i="1"/>
  <c r="AN27" i="1"/>
  <c r="AJ27" i="1"/>
  <c r="AI27" i="1"/>
  <c r="AH27" i="1"/>
  <c r="AG27" i="1"/>
  <c r="AF27" i="1"/>
  <c r="AE27" i="1"/>
  <c r="AD27" i="1"/>
  <c r="AC27" i="1"/>
  <c r="AB27" i="1"/>
  <c r="Z50" i="3"/>
  <c r="AL50" i="3" s="1"/>
  <c r="AV26" i="1"/>
  <c r="AU26" i="1"/>
  <c r="AT26" i="1"/>
  <c r="AS26" i="1"/>
  <c r="AR26" i="1"/>
  <c r="AQ26" i="1"/>
  <c r="AP26" i="1"/>
  <c r="AO26" i="1"/>
  <c r="AN26" i="1"/>
  <c r="AJ26" i="1"/>
  <c r="AI26" i="1"/>
  <c r="AH26" i="1"/>
  <c r="AG26" i="1"/>
  <c r="AF26" i="1"/>
  <c r="AE26" i="1"/>
  <c r="AD26" i="1"/>
  <c r="AC26" i="1"/>
  <c r="AB26" i="1"/>
  <c r="Z49" i="3"/>
  <c r="AL49" i="3" s="1"/>
  <c r="AV25" i="1"/>
  <c r="AU25" i="1"/>
  <c r="AT25" i="1"/>
  <c r="AS25" i="1"/>
  <c r="AR25" i="1"/>
  <c r="AQ25" i="1"/>
  <c r="AP25" i="1"/>
  <c r="AO25" i="1"/>
  <c r="AN25" i="1"/>
  <c r="AJ25" i="1"/>
  <c r="AI25" i="1"/>
  <c r="AH25" i="1"/>
  <c r="AG25" i="1"/>
  <c r="AF25" i="1"/>
  <c r="AE25" i="1"/>
  <c r="AD25" i="1"/>
  <c r="AC25" i="1"/>
  <c r="AB25" i="1"/>
  <c r="Z48" i="3"/>
  <c r="AL48" i="3" s="1"/>
  <c r="AV24" i="1"/>
  <c r="AU24" i="1"/>
  <c r="AT24" i="1"/>
  <c r="AS24" i="1"/>
  <c r="AR24" i="1"/>
  <c r="AQ24" i="1"/>
  <c r="AP24" i="1"/>
  <c r="AO24" i="1"/>
  <c r="AN24" i="1"/>
  <c r="AJ24" i="1"/>
  <c r="AI24" i="1"/>
  <c r="AH24" i="1"/>
  <c r="AG24" i="1"/>
  <c r="AF24" i="1"/>
  <c r="AE24" i="1"/>
  <c r="AD24" i="1"/>
  <c r="AC24" i="1"/>
  <c r="AB24" i="1"/>
  <c r="Z47" i="3"/>
  <c r="AL47" i="3" s="1"/>
  <c r="AV23" i="1"/>
  <c r="AU23" i="1"/>
  <c r="AT23" i="1"/>
  <c r="AS23" i="1"/>
  <c r="AR23" i="1"/>
  <c r="AQ23" i="1"/>
  <c r="AP23" i="1"/>
  <c r="AO23" i="1"/>
  <c r="AN23" i="1"/>
  <c r="AJ23" i="1"/>
  <c r="AI23" i="1"/>
  <c r="AH23" i="1"/>
  <c r="AG23" i="1"/>
  <c r="AF23" i="1"/>
  <c r="AE23" i="1"/>
  <c r="AD23" i="1"/>
  <c r="AC23" i="1"/>
  <c r="AB23" i="1"/>
  <c r="Z46" i="3"/>
  <c r="AL46" i="3" s="1"/>
  <c r="AV22" i="1"/>
  <c r="AU22" i="1"/>
  <c r="AT22" i="1"/>
  <c r="AS22" i="1"/>
  <c r="AR22" i="1"/>
  <c r="AQ22" i="1"/>
  <c r="AP22" i="1"/>
  <c r="AO22" i="1"/>
  <c r="AN22" i="1"/>
  <c r="AJ22" i="1"/>
  <c r="AI22" i="1"/>
  <c r="AH22" i="1"/>
  <c r="AG22" i="1"/>
  <c r="AF22" i="1"/>
  <c r="AE22" i="1"/>
  <c r="AD22" i="1"/>
  <c r="AC22" i="1"/>
  <c r="AB22" i="1"/>
  <c r="Z45" i="3"/>
  <c r="AL45" i="3" s="1"/>
  <c r="AV21" i="1"/>
  <c r="AU21" i="1"/>
  <c r="AT21" i="1"/>
  <c r="AS21" i="1"/>
  <c r="AR21" i="1"/>
  <c r="AQ21" i="1"/>
  <c r="AP21" i="1"/>
  <c r="AO21" i="1"/>
  <c r="AN21" i="1"/>
  <c r="AJ21" i="1"/>
  <c r="AI21" i="1"/>
  <c r="AH21" i="1"/>
  <c r="AG21" i="1"/>
  <c r="AF21" i="1"/>
  <c r="AE21" i="1"/>
  <c r="AD21" i="1"/>
  <c r="AC21" i="1"/>
  <c r="AB21" i="1"/>
  <c r="Z44" i="3"/>
  <c r="AL44" i="3" s="1"/>
  <c r="AV20" i="1"/>
  <c r="AU20" i="1"/>
  <c r="AT20" i="1"/>
  <c r="AS20" i="1"/>
  <c r="AR20" i="1"/>
  <c r="AQ20" i="1"/>
  <c r="AP20" i="1"/>
  <c r="AO20" i="1"/>
  <c r="AN20" i="1"/>
  <c r="AJ20" i="1"/>
  <c r="AI20" i="1"/>
  <c r="AH20" i="1"/>
  <c r="AG20" i="1"/>
  <c r="AF20" i="1"/>
  <c r="AE20" i="1"/>
  <c r="AC20" i="1"/>
  <c r="AB20" i="1"/>
  <c r="Z43" i="3"/>
  <c r="AL43" i="3" s="1"/>
  <c r="AV19" i="1"/>
  <c r="AU19" i="1"/>
  <c r="AT19" i="1"/>
  <c r="AS19" i="1"/>
  <c r="AR19" i="1"/>
  <c r="AQ19" i="1"/>
  <c r="AP19" i="1"/>
  <c r="AO19" i="1"/>
  <c r="AN19" i="1"/>
  <c r="AJ19" i="1"/>
  <c r="AI19" i="1"/>
  <c r="AH19" i="1"/>
  <c r="AG19" i="1"/>
  <c r="AF19" i="1"/>
  <c r="AE19" i="1"/>
  <c r="AD19" i="1"/>
  <c r="AC19" i="1"/>
  <c r="AB19" i="1"/>
  <c r="Z42" i="3"/>
  <c r="AL42" i="3" s="1"/>
  <c r="AV18" i="1"/>
  <c r="AU18" i="1"/>
  <c r="AT18" i="1"/>
  <c r="AS18" i="1"/>
  <c r="AR18" i="1"/>
  <c r="AQ18" i="1"/>
  <c r="AP18" i="1"/>
  <c r="AO18" i="1"/>
  <c r="AN18" i="1"/>
  <c r="AJ18" i="1"/>
  <c r="AI18" i="1"/>
  <c r="AH18" i="1"/>
  <c r="AG18" i="1"/>
  <c r="AF18" i="1"/>
  <c r="AE18" i="1"/>
  <c r="AD18" i="1"/>
  <c r="AC18" i="1"/>
  <c r="AB18" i="1"/>
  <c r="Z41" i="3"/>
  <c r="AL41" i="3" s="1"/>
  <c r="AV17" i="1"/>
  <c r="AU17" i="1"/>
  <c r="AT17" i="1"/>
  <c r="AS17" i="1"/>
  <c r="AR17" i="1"/>
  <c r="AQ17" i="1"/>
  <c r="AP17" i="1"/>
  <c r="AO17" i="1"/>
  <c r="AN17" i="1"/>
  <c r="AJ17" i="1"/>
  <c r="AI17" i="1"/>
  <c r="AH17" i="1"/>
  <c r="AG17" i="1"/>
  <c r="AF17" i="1"/>
  <c r="AE17" i="1"/>
  <c r="AD17" i="1"/>
  <c r="AC17" i="1"/>
  <c r="AB17" i="1"/>
  <c r="Z40" i="3"/>
  <c r="AL40" i="3" s="1"/>
  <c r="AV16" i="1"/>
  <c r="AU16" i="1"/>
  <c r="AT16" i="1"/>
  <c r="AS16" i="1"/>
  <c r="AR16" i="1"/>
  <c r="AQ16" i="1"/>
  <c r="AP16" i="1"/>
  <c r="AO16" i="1"/>
  <c r="AN16" i="1"/>
  <c r="AJ16" i="1"/>
  <c r="AI16" i="1"/>
  <c r="AH16" i="1"/>
  <c r="AG16" i="1"/>
  <c r="AF16" i="1"/>
  <c r="AE16" i="1"/>
  <c r="AD16" i="1"/>
  <c r="AC16" i="1"/>
  <c r="AB16" i="1"/>
  <c r="Z39" i="3"/>
  <c r="AL39" i="3" s="1"/>
  <c r="AV15" i="1"/>
  <c r="AU15" i="1"/>
  <c r="AT15" i="1"/>
  <c r="AS15" i="1"/>
  <c r="AR15" i="1"/>
  <c r="AQ15" i="1"/>
  <c r="AP15" i="1"/>
  <c r="AO15" i="1"/>
  <c r="AN15" i="1"/>
  <c r="AJ15" i="1"/>
  <c r="AI15" i="1"/>
  <c r="AH15" i="1"/>
  <c r="AG15" i="1"/>
  <c r="AF15" i="1"/>
  <c r="AE15" i="1"/>
  <c r="AD15" i="1"/>
  <c r="AC15" i="1"/>
  <c r="AB15" i="1"/>
  <c r="Z38" i="3"/>
  <c r="AL38" i="3" s="1"/>
  <c r="AV14" i="1"/>
  <c r="AU14" i="1"/>
  <c r="AT14" i="1"/>
  <c r="AS14" i="1"/>
  <c r="AR14" i="1"/>
  <c r="AQ14" i="1"/>
  <c r="AP14" i="1"/>
  <c r="AO14" i="1"/>
  <c r="AN14" i="1"/>
  <c r="AJ14" i="1"/>
  <c r="AI14" i="1"/>
  <c r="AH14" i="1"/>
  <c r="AG14" i="1"/>
  <c r="AF14" i="1"/>
  <c r="AE14" i="1"/>
  <c r="AD14" i="1"/>
  <c r="AC14" i="1"/>
  <c r="AB14" i="1"/>
  <c r="Z37" i="3"/>
  <c r="AL37" i="3" s="1"/>
  <c r="AV13" i="1"/>
  <c r="AU13" i="1"/>
  <c r="AT13" i="1"/>
  <c r="AS13" i="1"/>
  <c r="AR13" i="1"/>
  <c r="AQ13" i="1"/>
  <c r="AP13" i="1"/>
  <c r="AO13" i="1"/>
  <c r="AN13" i="1"/>
  <c r="AJ13" i="1"/>
  <c r="AI13" i="1"/>
  <c r="AH13" i="1"/>
  <c r="AG13" i="1"/>
  <c r="AF13" i="1"/>
  <c r="AE13" i="1"/>
  <c r="AD13" i="1"/>
  <c r="AC13" i="1"/>
  <c r="AB13" i="1"/>
  <c r="Z36" i="3"/>
  <c r="AL36" i="3" s="1"/>
  <c r="AV12" i="1"/>
  <c r="AU12" i="1"/>
  <c r="AT12" i="1"/>
  <c r="AS12" i="1"/>
  <c r="AR12" i="1"/>
  <c r="AQ12" i="1"/>
  <c r="AP12" i="1"/>
  <c r="AO12" i="1"/>
  <c r="AN12" i="1"/>
  <c r="AJ12" i="1"/>
  <c r="AI12" i="1"/>
  <c r="AH12" i="1"/>
  <c r="AG12" i="1"/>
  <c r="AF12" i="1"/>
  <c r="AE12" i="1"/>
  <c r="AD12" i="1"/>
  <c r="AC12" i="1"/>
  <c r="AB12" i="1"/>
  <c r="Z35" i="3"/>
  <c r="AL35" i="3" s="1"/>
  <c r="AV11" i="1"/>
  <c r="AU11" i="1"/>
  <c r="AT11" i="1"/>
  <c r="AS11" i="1"/>
  <c r="AR11" i="1"/>
  <c r="AQ11" i="1"/>
  <c r="AP11" i="1"/>
  <c r="AO11" i="1"/>
  <c r="AN11" i="1"/>
  <c r="AJ11" i="1"/>
  <c r="AI11" i="1"/>
  <c r="AH11" i="1"/>
  <c r="AG11" i="1"/>
  <c r="AF11" i="1"/>
  <c r="AE11" i="1"/>
  <c r="AD11" i="1"/>
  <c r="AC11" i="1"/>
  <c r="AB11" i="1"/>
  <c r="Z34" i="3"/>
  <c r="AL34" i="3" s="1"/>
  <c r="AV10" i="1"/>
  <c r="AU10" i="1"/>
  <c r="AT10" i="1"/>
  <c r="AS10" i="1"/>
  <c r="AR10" i="1"/>
  <c r="AQ10" i="1"/>
  <c r="AP10" i="1"/>
  <c r="AO10" i="1"/>
  <c r="AN10" i="1"/>
  <c r="AJ10" i="1"/>
  <c r="AI10" i="1"/>
  <c r="AH10" i="1"/>
  <c r="AG10" i="1"/>
  <c r="AF10" i="1"/>
  <c r="AE10" i="1"/>
  <c r="AD10" i="1"/>
  <c r="AC10" i="1"/>
  <c r="AB10" i="1"/>
  <c r="Z33" i="3"/>
  <c r="AL33" i="3" s="1"/>
  <c r="AV9" i="1"/>
  <c r="AU9" i="1"/>
  <c r="AT9" i="1"/>
  <c r="AS9" i="1"/>
  <c r="AR9" i="1"/>
  <c r="AQ9" i="1"/>
  <c r="AP9" i="1"/>
  <c r="AO9" i="1"/>
  <c r="AN9" i="1"/>
  <c r="AJ9" i="1"/>
  <c r="AI9" i="1"/>
  <c r="AH9" i="1"/>
  <c r="AG9" i="1"/>
  <c r="AF9" i="1"/>
  <c r="AE9" i="1"/>
  <c r="AC9" i="1"/>
  <c r="AB9" i="1"/>
  <c r="Z32" i="3"/>
  <c r="AL32" i="3" s="1"/>
  <c r="AV8" i="1"/>
  <c r="AU8" i="1"/>
  <c r="AT8" i="1"/>
  <c r="AS8" i="1"/>
  <c r="AR8" i="1"/>
  <c r="AQ8" i="1"/>
  <c r="AP8" i="1"/>
  <c r="AO8" i="1"/>
  <c r="AN8" i="1"/>
  <c r="AJ8" i="1"/>
  <c r="AI8" i="1"/>
  <c r="AH8" i="1"/>
  <c r="AG8" i="1"/>
  <c r="AF8" i="1"/>
  <c r="AE8" i="1"/>
  <c r="AD8" i="1"/>
  <c r="AC8" i="1"/>
  <c r="AB8" i="1"/>
  <c r="AV7" i="1"/>
  <c r="AU7" i="1"/>
  <c r="AT7" i="1"/>
  <c r="AS7" i="1"/>
  <c r="AR7" i="1"/>
  <c r="AQ7" i="1"/>
  <c r="AP7" i="1"/>
  <c r="AO7" i="1"/>
  <c r="AN7" i="1"/>
  <c r="Z30" i="3"/>
  <c r="AL30" i="3" s="1"/>
  <c r="AV6" i="1"/>
  <c r="AU6" i="1"/>
  <c r="AT6" i="1"/>
  <c r="AS6" i="1"/>
  <c r="AR6" i="1"/>
  <c r="AQ6" i="1"/>
  <c r="AP6" i="1"/>
  <c r="AO6" i="1"/>
  <c r="AN6" i="1"/>
  <c r="Z29" i="3"/>
  <c r="AL29" i="3" s="1"/>
  <c r="AV5" i="1"/>
  <c r="AU5" i="1"/>
  <c r="AT5" i="1"/>
  <c r="AS5" i="1"/>
  <c r="AR5" i="1"/>
  <c r="AQ5" i="1"/>
  <c r="AP5" i="1"/>
  <c r="AO5" i="1"/>
  <c r="AN5" i="1"/>
  <c r="AJ5" i="1"/>
  <c r="AI5" i="1"/>
  <c r="AH5" i="1"/>
  <c r="AG5" i="1"/>
  <c r="AF5" i="1"/>
  <c r="AE5" i="1"/>
  <c r="AD5" i="1"/>
  <c r="AC5" i="1"/>
  <c r="AB5" i="1"/>
  <c r="Z28" i="3"/>
  <c r="AL28" i="3" s="1"/>
  <c r="AF3" i="1"/>
  <c r="AR3" i="1" s="1"/>
  <c r="AD3" i="1"/>
  <c r="AP3" i="1" s="1"/>
  <c r="AH3" i="1"/>
  <c r="AT3" i="1" s="1"/>
  <c r="AG3" i="1"/>
  <c r="AS3" i="1" s="1"/>
  <c r="AA3" i="1"/>
  <c r="AM3" i="1" s="1"/>
  <c r="AJ3" i="1"/>
  <c r="AV3" i="1" s="1"/>
  <c r="AI3" i="1"/>
  <c r="AU3" i="1" s="1"/>
  <c r="AE3" i="1"/>
  <c r="AQ3" i="1" s="1"/>
  <c r="AC3" i="1"/>
  <c r="AO3" i="1" s="1"/>
  <c r="AB3" i="1"/>
  <c r="AN3" i="1" s="1"/>
  <c r="AV2" i="1"/>
  <c r="AU2" i="1"/>
  <c r="AT2" i="1"/>
  <c r="AS2" i="1"/>
  <c r="AR2" i="1"/>
  <c r="AQ2" i="1"/>
  <c r="AP2" i="1"/>
  <c r="AO2" i="1"/>
  <c r="AN2" i="1"/>
  <c r="AJ2" i="1"/>
  <c r="AI2" i="1"/>
  <c r="AH2" i="1"/>
  <c r="AG2" i="1"/>
  <c r="AF2" i="1"/>
  <c r="AE2" i="1"/>
  <c r="AD2" i="1"/>
  <c r="AC2" i="1"/>
  <c r="AB2" i="1"/>
  <c r="D124" i="3"/>
  <c r="C124" i="3"/>
  <c r="B124" i="3"/>
  <c r="D123" i="3"/>
  <c r="C123" i="3"/>
  <c r="B123" i="3"/>
  <c r="D122" i="3"/>
  <c r="C122" i="3"/>
  <c r="B122" i="3"/>
  <c r="D121" i="3"/>
  <c r="C121" i="3"/>
  <c r="B121" i="3"/>
  <c r="D120" i="3"/>
  <c r="C120" i="3"/>
  <c r="B120" i="3"/>
  <c r="D119" i="3"/>
  <c r="C119" i="3"/>
  <c r="B119" i="3"/>
  <c r="D118" i="3"/>
  <c r="C118" i="3"/>
  <c r="B118" i="3"/>
  <c r="D117" i="3"/>
  <c r="C117" i="3"/>
  <c r="B117" i="3"/>
  <c r="D116" i="3"/>
  <c r="C116" i="3"/>
  <c r="B116" i="3"/>
  <c r="D115" i="3"/>
  <c r="C115" i="3"/>
  <c r="B115" i="3"/>
  <c r="D114" i="3"/>
  <c r="C114" i="3"/>
  <c r="B114" i="3"/>
  <c r="D113" i="3"/>
  <c r="C113" i="3"/>
  <c r="B113" i="3"/>
  <c r="D112" i="3"/>
  <c r="C112" i="3"/>
  <c r="B112" i="3"/>
  <c r="D111" i="3"/>
  <c r="C111" i="3"/>
  <c r="B111" i="3"/>
  <c r="D110" i="3"/>
  <c r="C110" i="3"/>
  <c r="B110" i="3"/>
  <c r="D109" i="3"/>
  <c r="C109" i="3"/>
  <c r="B109" i="3"/>
  <c r="D108" i="3"/>
  <c r="C108" i="3"/>
  <c r="B108" i="3"/>
  <c r="D107" i="3"/>
  <c r="C107" i="3"/>
  <c r="B107" i="3"/>
  <c r="D106" i="3"/>
  <c r="C106" i="3"/>
  <c r="B106" i="3"/>
  <c r="D105" i="3"/>
  <c r="C105" i="3"/>
  <c r="B105" i="3"/>
  <c r="D104" i="3"/>
  <c r="C104" i="3"/>
  <c r="B104" i="3"/>
  <c r="D103" i="3"/>
  <c r="C103" i="3"/>
  <c r="B103" i="3"/>
  <c r="D102" i="3"/>
  <c r="C102" i="3"/>
  <c r="B102" i="3"/>
  <c r="D101" i="3"/>
  <c r="C101" i="3"/>
  <c r="B101" i="3"/>
  <c r="D100" i="3"/>
  <c r="C100" i="3"/>
  <c r="B100" i="3"/>
  <c r="D99" i="3"/>
  <c r="C99" i="3"/>
  <c r="B99" i="3"/>
  <c r="D98" i="3"/>
  <c r="C98" i="3"/>
  <c r="B98" i="3"/>
  <c r="D97" i="3"/>
  <c r="C97" i="3"/>
  <c r="B97" i="3"/>
  <c r="D96" i="3"/>
  <c r="C96" i="3"/>
  <c r="B96" i="3"/>
  <c r="D95" i="3"/>
  <c r="C95" i="3"/>
  <c r="B95" i="3"/>
  <c r="D94" i="3"/>
  <c r="C94" i="3"/>
  <c r="B94" i="3"/>
  <c r="D93" i="3"/>
  <c r="C93" i="3"/>
  <c r="B93" i="3"/>
  <c r="D92" i="3"/>
  <c r="C92" i="3"/>
  <c r="B92" i="3"/>
  <c r="D91" i="3"/>
  <c r="C91" i="3"/>
  <c r="B91" i="3"/>
  <c r="D90" i="3"/>
  <c r="C90" i="3"/>
  <c r="B90" i="3"/>
  <c r="D89" i="3"/>
  <c r="C89" i="3"/>
  <c r="B89" i="3"/>
  <c r="D88" i="3"/>
  <c r="C88" i="3"/>
  <c r="B88" i="3"/>
  <c r="D87" i="3"/>
  <c r="C87" i="3"/>
  <c r="B87" i="3"/>
  <c r="D86" i="3"/>
  <c r="C86" i="3"/>
  <c r="B86" i="3"/>
  <c r="D85" i="3"/>
  <c r="C85" i="3"/>
  <c r="B85" i="3"/>
  <c r="D84" i="3"/>
  <c r="C84" i="3"/>
  <c r="B84" i="3"/>
  <c r="D83" i="3"/>
  <c r="C83" i="3"/>
  <c r="B83" i="3"/>
  <c r="D82" i="3"/>
  <c r="C82" i="3"/>
  <c r="B82" i="3"/>
  <c r="D81" i="3"/>
  <c r="C81" i="3"/>
  <c r="B81" i="3"/>
  <c r="D80" i="3"/>
  <c r="C80" i="3"/>
  <c r="B80" i="3"/>
  <c r="D79" i="3"/>
  <c r="C79" i="3"/>
  <c r="B79" i="3"/>
  <c r="D78" i="3"/>
  <c r="C78" i="3"/>
  <c r="F77" i="3"/>
  <c r="E77" i="3"/>
  <c r="AA133" i="3"/>
  <c r="AT133" i="3" s="1"/>
  <c r="AZ133" i="3" s="1"/>
  <c r="A1" i="3"/>
  <c r="AU176" i="45" l="1"/>
  <c r="BE176" i="47"/>
  <c r="Q86" i="11"/>
  <c r="R86" i="11" s="1"/>
  <c r="AU176" i="41"/>
  <c r="BE176" i="41" s="1"/>
  <c r="BE176" i="45"/>
  <c r="P234" i="46"/>
  <c r="U234" i="46" s="1"/>
  <c r="Z234" i="46" s="1"/>
  <c r="P234" i="51"/>
  <c r="U234" i="51" s="1"/>
  <c r="Z234" i="51" s="1"/>
  <c r="W175" i="46"/>
  <c r="AB175" i="46" s="1"/>
  <c r="P234" i="50"/>
  <c r="W175" i="45"/>
  <c r="AB175" i="45" s="1"/>
  <c r="AJ175" i="45"/>
  <c r="AO175" i="45" s="1"/>
  <c r="AX175" i="45" s="1"/>
  <c r="AJ175" i="46"/>
  <c r="AO175" i="46" s="1"/>
  <c r="AX175" i="46" s="1"/>
  <c r="W175" i="51"/>
  <c r="AB175" i="51" s="1"/>
  <c r="P234" i="42"/>
  <c r="U234" i="42" s="1"/>
  <c r="Z234" i="42" s="1"/>
  <c r="AJ175" i="50"/>
  <c r="AO175" i="50" s="1"/>
  <c r="AX175" i="50" s="1"/>
  <c r="P234" i="47"/>
  <c r="U234" i="47" s="1"/>
  <c r="Z234" i="47" s="1"/>
  <c r="AJ175" i="42"/>
  <c r="AO175" i="42" s="1"/>
  <c r="AX175" i="42" s="1"/>
  <c r="AJ175" i="51"/>
  <c r="AO175" i="51" s="1"/>
  <c r="AX175" i="51" s="1"/>
  <c r="W175" i="42"/>
  <c r="AB175" i="42" s="1"/>
  <c r="W175" i="50"/>
  <c r="AB175" i="50" s="1"/>
  <c r="P234" i="45"/>
  <c r="W175" i="47"/>
  <c r="AB175" i="47" s="1"/>
  <c r="AJ175" i="47"/>
  <c r="AO175" i="47" s="1"/>
  <c r="AX175" i="47" s="1"/>
  <c r="P234" i="41"/>
  <c r="U234" i="41" s="1"/>
  <c r="Z234" i="41" s="1"/>
  <c r="W175" i="41"/>
  <c r="AB175" i="41" s="1"/>
  <c r="AJ175" i="41"/>
  <c r="AO175" i="41" s="1"/>
  <c r="AX175" i="41" s="1"/>
  <c r="P233" i="45"/>
  <c r="P233" i="50"/>
  <c r="AJ174" i="50"/>
  <c r="AO174" i="50" s="1"/>
  <c r="AX174" i="50" s="1"/>
  <c r="P233" i="47"/>
  <c r="U233" i="47" s="1"/>
  <c r="Z233" i="47" s="1"/>
  <c r="W174" i="45"/>
  <c r="AB174" i="45" s="1"/>
  <c r="P233" i="42"/>
  <c r="U233" i="42" s="1"/>
  <c r="Z233" i="42" s="1"/>
  <c r="P233" i="46"/>
  <c r="U233" i="46" s="1"/>
  <c r="Z233" i="46" s="1"/>
  <c r="W174" i="50"/>
  <c r="AB174" i="50" s="1"/>
  <c r="AJ174" i="45"/>
  <c r="AO174" i="45" s="1"/>
  <c r="AX174" i="45" s="1"/>
  <c r="W174" i="42"/>
  <c r="AB174" i="42" s="1"/>
  <c r="AJ174" i="42"/>
  <c r="AO174" i="42" s="1"/>
  <c r="AX174" i="42" s="1"/>
  <c r="P233" i="51"/>
  <c r="U233" i="51" s="1"/>
  <c r="Z233" i="51" s="1"/>
  <c r="W174" i="47"/>
  <c r="AB174" i="47" s="1"/>
  <c r="AJ174" i="46"/>
  <c r="AO174" i="46" s="1"/>
  <c r="AX174" i="46" s="1"/>
  <c r="W174" i="46"/>
  <c r="AB174" i="46" s="1"/>
  <c r="AJ174" i="47"/>
  <c r="AO174" i="47" s="1"/>
  <c r="AX174" i="47" s="1"/>
  <c r="W174" i="51"/>
  <c r="AB174" i="51" s="1"/>
  <c r="AJ174" i="51"/>
  <c r="AO174" i="51" s="1"/>
  <c r="AX174" i="51" s="1"/>
  <c r="P233" i="41"/>
  <c r="U233" i="41" s="1"/>
  <c r="Z233" i="41" s="1"/>
  <c r="AJ174" i="41"/>
  <c r="AO174" i="41" s="1"/>
  <c r="AX174" i="41" s="1"/>
  <c r="W174" i="41"/>
  <c r="AB174" i="41" s="1"/>
  <c r="P201" i="50"/>
  <c r="P201" i="45"/>
  <c r="P201" i="46"/>
  <c r="U201" i="46" s="1"/>
  <c r="Z201" i="46" s="1"/>
  <c r="P201" i="47"/>
  <c r="U201" i="47" s="1"/>
  <c r="Z201" i="47" s="1"/>
  <c r="AJ142" i="50"/>
  <c r="AO142" i="50" s="1"/>
  <c r="AX142" i="50" s="1"/>
  <c r="AJ142" i="51"/>
  <c r="AO142" i="51" s="1"/>
  <c r="AX142" i="51" s="1"/>
  <c r="W142" i="50"/>
  <c r="AB142" i="50" s="1"/>
  <c r="AJ142" i="45"/>
  <c r="AO142" i="45" s="1"/>
  <c r="AX142" i="45" s="1"/>
  <c r="P201" i="51"/>
  <c r="U201" i="51" s="1"/>
  <c r="Z201" i="51" s="1"/>
  <c r="W142" i="45"/>
  <c r="AB142" i="45" s="1"/>
  <c r="W142" i="46"/>
  <c r="AB142" i="46" s="1"/>
  <c r="AJ142" i="46"/>
  <c r="AO142" i="46" s="1"/>
  <c r="AX142" i="46" s="1"/>
  <c r="AJ142" i="42"/>
  <c r="AO142" i="42" s="1"/>
  <c r="AX142" i="42" s="1"/>
  <c r="W142" i="42"/>
  <c r="AB142" i="42" s="1"/>
  <c r="W142" i="51"/>
  <c r="AB142" i="51" s="1"/>
  <c r="P201" i="42"/>
  <c r="U201" i="42" s="1"/>
  <c r="Z201" i="42" s="1"/>
  <c r="AJ142" i="47"/>
  <c r="AO142" i="47" s="1"/>
  <c r="AX142" i="47" s="1"/>
  <c r="W142" i="47"/>
  <c r="AB142" i="47" s="1"/>
  <c r="P201" i="41"/>
  <c r="U201" i="41" s="1"/>
  <c r="Z201" i="41" s="1"/>
  <c r="AJ142" i="41"/>
  <c r="AO142" i="41" s="1"/>
  <c r="AX142" i="41" s="1"/>
  <c r="W142" i="41"/>
  <c r="AB142" i="41" s="1"/>
  <c r="P214" i="50"/>
  <c r="P214" i="46"/>
  <c r="U214" i="46" s="1"/>
  <c r="Z214" i="46" s="1"/>
  <c r="AJ155" i="42"/>
  <c r="AO155" i="42" s="1"/>
  <c r="AX155" i="42" s="1"/>
  <c r="W155" i="50"/>
  <c r="AB155" i="50" s="1"/>
  <c r="AJ155" i="46"/>
  <c r="AO155" i="46" s="1"/>
  <c r="AX155" i="46" s="1"/>
  <c r="W155" i="46"/>
  <c r="AB155" i="46" s="1"/>
  <c r="AJ155" i="47"/>
  <c r="AO155" i="47" s="1"/>
  <c r="AX155" i="47" s="1"/>
  <c r="P214" i="45"/>
  <c r="AJ155" i="50"/>
  <c r="AO155" i="50" s="1"/>
  <c r="AX155" i="50" s="1"/>
  <c r="AJ155" i="45"/>
  <c r="AO155" i="45" s="1"/>
  <c r="W155" i="45"/>
  <c r="AB155" i="45" s="1"/>
  <c r="P214" i="47"/>
  <c r="U214" i="47" s="1"/>
  <c r="Z214" i="47" s="1"/>
  <c r="W155" i="42"/>
  <c r="AB155" i="42" s="1"/>
  <c r="P214" i="42"/>
  <c r="U214" i="42" s="1"/>
  <c r="Z214" i="42" s="1"/>
  <c r="W155" i="47"/>
  <c r="AB155" i="47" s="1"/>
  <c r="AU155" i="47" s="1"/>
  <c r="W155" i="51"/>
  <c r="AB155" i="51" s="1"/>
  <c r="P214" i="51"/>
  <c r="U214" i="51" s="1"/>
  <c r="Z214" i="51" s="1"/>
  <c r="AJ155" i="51"/>
  <c r="AO155" i="51" s="1"/>
  <c r="AX155" i="51" s="1"/>
  <c r="W155" i="41"/>
  <c r="AB155" i="41" s="1"/>
  <c r="P214" i="41"/>
  <c r="U214" i="41" s="1"/>
  <c r="Z214" i="41" s="1"/>
  <c r="AJ155" i="41"/>
  <c r="AO155" i="41" s="1"/>
  <c r="AX155" i="41" s="1"/>
  <c r="P213" i="45"/>
  <c r="P213" i="51"/>
  <c r="U213" i="51" s="1"/>
  <c r="Z213" i="51" s="1"/>
  <c r="P213" i="50"/>
  <c r="AJ154" i="51"/>
  <c r="AO154" i="51" s="1"/>
  <c r="AX154" i="51" s="1"/>
  <c r="W154" i="45"/>
  <c r="AB154" i="45" s="1"/>
  <c r="W154" i="50"/>
  <c r="AB154" i="50" s="1"/>
  <c r="P213" i="46"/>
  <c r="U213" i="46" s="1"/>
  <c r="Z213" i="46" s="1"/>
  <c r="W154" i="51"/>
  <c r="AB154" i="51" s="1"/>
  <c r="AU154" i="51" s="1"/>
  <c r="BA154" i="51" s="1"/>
  <c r="AJ154" i="50"/>
  <c r="AO154" i="50" s="1"/>
  <c r="AX154" i="50" s="1"/>
  <c r="AJ154" i="45"/>
  <c r="AO154" i="45" s="1"/>
  <c r="AX154" i="45" s="1"/>
  <c r="P213" i="42"/>
  <c r="U213" i="42" s="1"/>
  <c r="Z213" i="42" s="1"/>
  <c r="AJ154" i="47"/>
  <c r="AO154" i="47" s="1"/>
  <c r="AX154" i="47" s="1"/>
  <c r="P213" i="47"/>
  <c r="U213" i="47" s="1"/>
  <c r="Z213" i="47" s="1"/>
  <c r="W154" i="46"/>
  <c r="AB154" i="46" s="1"/>
  <c r="W154" i="42"/>
  <c r="AB154" i="42" s="1"/>
  <c r="AJ154" i="42"/>
  <c r="AO154" i="42" s="1"/>
  <c r="AX154" i="42" s="1"/>
  <c r="W154" i="47"/>
  <c r="AB154" i="47" s="1"/>
  <c r="AJ154" i="46"/>
  <c r="AO154" i="46" s="1"/>
  <c r="AX154" i="46" s="1"/>
  <c r="P213" i="41"/>
  <c r="U213" i="41" s="1"/>
  <c r="Z213" i="41" s="1"/>
  <c r="AJ154" i="41"/>
  <c r="AO154" i="41" s="1"/>
  <c r="AX154" i="41" s="1"/>
  <c r="W154" i="41"/>
  <c r="AB154" i="41" s="1"/>
  <c r="P200" i="51"/>
  <c r="U200" i="51" s="1"/>
  <c r="Z200" i="51" s="1"/>
  <c r="P200" i="46"/>
  <c r="U200" i="46" s="1"/>
  <c r="Z200" i="46" s="1"/>
  <c r="P200" i="50"/>
  <c r="W141" i="46"/>
  <c r="AB141" i="46" s="1"/>
  <c r="AJ141" i="46"/>
  <c r="AO141" i="46" s="1"/>
  <c r="AX141" i="46" s="1"/>
  <c r="P200" i="47"/>
  <c r="U200" i="47" s="1"/>
  <c r="Z200" i="47" s="1"/>
  <c r="W141" i="51"/>
  <c r="AB141" i="51" s="1"/>
  <c r="W141" i="42"/>
  <c r="AB141" i="42" s="1"/>
  <c r="AJ141" i="51"/>
  <c r="AO141" i="51" s="1"/>
  <c r="AX141" i="51" s="1"/>
  <c r="AJ141" i="50"/>
  <c r="AO141" i="50" s="1"/>
  <c r="AX141" i="50" s="1"/>
  <c r="W141" i="50"/>
  <c r="AB141" i="50" s="1"/>
  <c r="P200" i="45"/>
  <c r="AJ141" i="42"/>
  <c r="AO141" i="42" s="1"/>
  <c r="AX141" i="42" s="1"/>
  <c r="AJ141" i="45"/>
  <c r="AO141" i="45" s="1"/>
  <c r="AX141" i="45" s="1"/>
  <c r="W141" i="45"/>
  <c r="AB141" i="45" s="1"/>
  <c r="P200" i="42"/>
  <c r="U200" i="42" s="1"/>
  <c r="Z200" i="42" s="1"/>
  <c r="AJ141" i="47"/>
  <c r="AO141" i="47" s="1"/>
  <c r="AX141" i="47" s="1"/>
  <c r="W141" i="47"/>
  <c r="AB141" i="47" s="1"/>
  <c r="W141" i="41"/>
  <c r="AB141" i="41" s="1"/>
  <c r="P200" i="41"/>
  <c r="U200" i="41" s="1"/>
  <c r="Z200" i="41" s="1"/>
  <c r="AJ141" i="41"/>
  <c r="AO141" i="41" s="1"/>
  <c r="AX141" i="41" s="1"/>
  <c r="P236" i="50"/>
  <c r="P236" i="46"/>
  <c r="U236" i="46" s="1"/>
  <c r="Z236" i="46" s="1"/>
  <c r="P236" i="47"/>
  <c r="U236" i="47" s="1"/>
  <c r="Z236" i="47" s="1"/>
  <c r="W177" i="50"/>
  <c r="AB177" i="50" s="1"/>
  <c r="AJ177" i="50"/>
  <c r="AO177" i="50" s="1"/>
  <c r="AX177" i="50" s="1"/>
  <c r="P236" i="42"/>
  <c r="U236" i="42" s="1"/>
  <c r="Z236" i="42" s="1"/>
  <c r="P236" i="45"/>
  <c r="W177" i="46"/>
  <c r="AB177" i="46" s="1"/>
  <c r="AJ177" i="46"/>
  <c r="AO177" i="46" s="1"/>
  <c r="AX177" i="46" s="1"/>
  <c r="W177" i="42"/>
  <c r="AB177" i="42" s="1"/>
  <c r="P236" i="51"/>
  <c r="U236" i="51" s="1"/>
  <c r="Z236" i="51" s="1"/>
  <c r="AJ177" i="45"/>
  <c r="AO177" i="45" s="1"/>
  <c r="AX177" i="45" s="1"/>
  <c r="W177" i="45"/>
  <c r="AB177" i="45" s="1"/>
  <c r="AJ177" i="51"/>
  <c r="AO177" i="51" s="1"/>
  <c r="AX177" i="51" s="1"/>
  <c r="W177" i="51"/>
  <c r="AB177" i="51" s="1"/>
  <c r="AJ177" i="47"/>
  <c r="AO177" i="47" s="1"/>
  <c r="AX177" i="47" s="1"/>
  <c r="AJ177" i="42"/>
  <c r="AO177" i="42" s="1"/>
  <c r="AX177" i="42" s="1"/>
  <c r="W177" i="47"/>
  <c r="AB177" i="47" s="1"/>
  <c r="P236" i="41"/>
  <c r="U236" i="41" s="1"/>
  <c r="Z236" i="41" s="1"/>
  <c r="AJ177" i="41"/>
  <c r="AO177" i="41" s="1"/>
  <c r="AX177" i="41" s="1"/>
  <c r="W177" i="41"/>
  <c r="AB177" i="41" s="1"/>
  <c r="W136" i="46"/>
  <c r="AB136" i="46" s="1"/>
  <c r="W136" i="45"/>
  <c r="AB136" i="45" s="1"/>
  <c r="W136" i="51"/>
  <c r="AB136" i="51" s="1"/>
  <c r="W136" i="50"/>
  <c r="AB136" i="50" s="1"/>
  <c r="W136" i="47"/>
  <c r="AB136" i="47" s="1"/>
  <c r="W136" i="42"/>
  <c r="AB136" i="42" s="1"/>
  <c r="P195" i="46"/>
  <c r="U195" i="46" s="1"/>
  <c r="Z195" i="46" s="1"/>
  <c r="AJ136" i="50"/>
  <c r="AO136" i="50" s="1"/>
  <c r="AX136" i="50" s="1"/>
  <c r="AJ136" i="45"/>
  <c r="AO136" i="45" s="1"/>
  <c r="AX136" i="45" s="1"/>
  <c r="AJ136" i="51"/>
  <c r="AO136" i="51" s="1"/>
  <c r="AX136" i="51" s="1"/>
  <c r="P195" i="45"/>
  <c r="P195" i="42"/>
  <c r="U195" i="42" s="1"/>
  <c r="Z195" i="42" s="1"/>
  <c r="W136" i="41"/>
  <c r="AB136" i="41" s="1"/>
  <c r="P195" i="51"/>
  <c r="U195" i="51" s="1"/>
  <c r="Z195" i="51" s="1"/>
  <c r="AJ136" i="47"/>
  <c r="AO136" i="47" s="1"/>
  <c r="AX136" i="47" s="1"/>
  <c r="AJ136" i="42"/>
  <c r="AO136" i="42" s="1"/>
  <c r="AX136" i="42" s="1"/>
  <c r="P195" i="50"/>
  <c r="AJ136" i="46"/>
  <c r="AO136" i="46" s="1"/>
  <c r="AX136" i="46" s="1"/>
  <c r="P195" i="47"/>
  <c r="U195" i="47" s="1"/>
  <c r="Z195" i="47" s="1"/>
  <c r="P195" i="41"/>
  <c r="U195" i="41" s="1"/>
  <c r="Z195" i="41" s="1"/>
  <c r="AJ136" i="41"/>
  <c r="AO136" i="41" s="1"/>
  <c r="AX136" i="41" s="1"/>
  <c r="P204" i="50"/>
  <c r="W145" i="46"/>
  <c r="AB145" i="46" s="1"/>
  <c r="P204" i="46"/>
  <c r="U204" i="46" s="1"/>
  <c r="Z204" i="46" s="1"/>
  <c r="W145" i="45"/>
  <c r="AB145" i="45" s="1"/>
  <c r="P204" i="51"/>
  <c r="U204" i="51" s="1"/>
  <c r="Z204" i="51" s="1"/>
  <c r="W145" i="51"/>
  <c r="AB145" i="51" s="1"/>
  <c r="P204" i="42"/>
  <c r="U204" i="42" s="1"/>
  <c r="Z204" i="42" s="1"/>
  <c r="AJ145" i="51"/>
  <c r="AO145" i="51" s="1"/>
  <c r="AX145" i="51" s="1"/>
  <c r="W145" i="50"/>
  <c r="AB145" i="50" s="1"/>
  <c r="P204" i="45"/>
  <c r="AJ145" i="45"/>
  <c r="AO145" i="45" s="1"/>
  <c r="AX145" i="45" s="1"/>
  <c r="AJ145" i="50"/>
  <c r="AO145" i="50" s="1"/>
  <c r="AX145" i="50" s="1"/>
  <c r="AJ145" i="46"/>
  <c r="AO145" i="46" s="1"/>
  <c r="AX145" i="46" s="1"/>
  <c r="W145" i="47"/>
  <c r="AB145" i="47" s="1"/>
  <c r="P204" i="47"/>
  <c r="U204" i="47" s="1"/>
  <c r="Z204" i="47" s="1"/>
  <c r="W145" i="42"/>
  <c r="AB145" i="42" s="1"/>
  <c r="AJ145" i="42"/>
  <c r="AO145" i="42" s="1"/>
  <c r="AX145" i="42" s="1"/>
  <c r="AJ145" i="47"/>
  <c r="AO145" i="47" s="1"/>
  <c r="AX145" i="47" s="1"/>
  <c r="P204" i="41"/>
  <c r="U204" i="41" s="1"/>
  <c r="Z204" i="41" s="1"/>
  <c r="W145" i="41"/>
  <c r="AB145" i="41" s="1"/>
  <c r="AJ145" i="41"/>
  <c r="AO145" i="41" s="1"/>
  <c r="AX145" i="41" s="1"/>
  <c r="W147" i="46"/>
  <c r="AB147" i="46" s="1"/>
  <c r="P206" i="46"/>
  <c r="U206" i="46" s="1"/>
  <c r="Z206" i="46" s="1"/>
  <c r="P206" i="50"/>
  <c r="AJ147" i="45"/>
  <c r="AO147" i="45" s="1"/>
  <c r="AX147" i="45" s="1"/>
  <c r="P206" i="42"/>
  <c r="U206" i="42" s="1"/>
  <c r="Z206" i="42" s="1"/>
  <c r="P206" i="47"/>
  <c r="U206" i="47" s="1"/>
  <c r="Z206" i="47" s="1"/>
  <c r="AJ147" i="50"/>
  <c r="AO147" i="50" s="1"/>
  <c r="AX147" i="50" s="1"/>
  <c r="AJ147" i="46"/>
  <c r="AO147" i="46" s="1"/>
  <c r="AX147" i="46" s="1"/>
  <c r="P206" i="45"/>
  <c r="W147" i="50"/>
  <c r="AB147" i="50" s="1"/>
  <c r="W147" i="45"/>
  <c r="AB147" i="45" s="1"/>
  <c r="W147" i="42"/>
  <c r="AB147" i="42" s="1"/>
  <c r="P206" i="51"/>
  <c r="U206" i="51" s="1"/>
  <c r="Z206" i="51" s="1"/>
  <c r="AJ147" i="42"/>
  <c r="AO147" i="42" s="1"/>
  <c r="AX147" i="42" s="1"/>
  <c r="W147" i="47"/>
  <c r="AB147" i="47" s="1"/>
  <c r="AJ147" i="47"/>
  <c r="AO147" i="47" s="1"/>
  <c r="AX147" i="47" s="1"/>
  <c r="P206" i="41"/>
  <c r="U206" i="41" s="1"/>
  <c r="Z206" i="41" s="1"/>
  <c r="AJ147" i="51"/>
  <c r="AO147" i="51" s="1"/>
  <c r="AX147" i="51" s="1"/>
  <c r="W147" i="51"/>
  <c r="AB147" i="51" s="1"/>
  <c r="AJ147" i="41"/>
  <c r="AO147" i="41" s="1"/>
  <c r="AX147" i="41" s="1"/>
  <c r="W147" i="41"/>
  <c r="AB147" i="41" s="1"/>
  <c r="P218" i="51"/>
  <c r="U218" i="51" s="1"/>
  <c r="Z218" i="51" s="1"/>
  <c r="AJ159" i="50"/>
  <c r="AO159" i="50" s="1"/>
  <c r="AX159" i="50" s="1"/>
  <c r="AJ159" i="46"/>
  <c r="AO159" i="46" s="1"/>
  <c r="AX159" i="46" s="1"/>
  <c r="P218" i="42"/>
  <c r="U218" i="42" s="1"/>
  <c r="Z218" i="42" s="1"/>
  <c r="W159" i="46"/>
  <c r="AB159" i="46" s="1"/>
  <c r="AJ159" i="51"/>
  <c r="AO159" i="51" s="1"/>
  <c r="AX159" i="51" s="1"/>
  <c r="P218" i="47"/>
  <c r="U218" i="47" s="1"/>
  <c r="Z218" i="47" s="1"/>
  <c r="W159" i="50"/>
  <c r="AB159" i="50" s="1"/>
  <c r="P218" i="46"/>
  <c r="U218" i="46" s="1"/>
  <c r="Z218" i="46" s="1"/>
  <c r="W159" i="51"/>
  <c r="AB159" i="51" s="1"/>
  <c r="AU159" i="51" s="1"/>
  <c r="BA159" i="51" s="1"/>
  <c r="AJ159" i="45"/>
  <c r="AO159" i="45" s="1"/>
  <c r="AX159" i="45" s="1"/>
  <c r="AJ159" i="42"/>
  <c r="AO159" i="42" s="1"/>
  <c r="AX159" i="42" s="1"/>
  <c r="P218" i="50"/>
  <c r="W159" i="42"/>
  <c r="AB159" i="42" s="1"/>
  <c r="W159" i="45"/>
  <c r="AB159" i="45" s="1"/>
  <c r="AU159" i="45" s="1"/>
  <c r="P218" i="45"/>
  <c r="W159" i="47"/>
  <c r="AB159" i="47" s="1"/>
  <c r="AJ159" i="47"/>
  <c r="AO159" i="47" s="1"/>
  <c r="AX159" i="47" s="1"/>
  <c r="P218" i="41"/>
  <c r="U218" i="41" s="1"/>
  <c r="Z218" i="41" s="1"/>
  <c r="W159" i="41"/>
  <c r="AB159" i="41" s="1"/>
  <c r="AJ159" i="41"/>
  <c r="AO159" i="41" s="1"/>
  <c r="AX159" i="41" s="1"/>
  <c r="AJ235" i="51"/>
  <c r="AF235" i="51"/>
  <c r="AU176" i="42"/>
  <c r="BE176" i="42" s="1"/>
  <c r="P45" i="14"/>
  <c r="BA176" i="45"/>
  <c r="P207" i="50"/>
  <c r="P207" i="45"/>
  <c r="W148" i="46"/>
  <c r="AB148" i="46" s="1"/>
  <c r="P207" i="46"/>
  <c r="U207" i="46" s="1"/>
  <c r="Z207" i="46" s="1"/>
  <c r="P207" i="51"/>
  <c r="U207" i="51" s="1"/>
  <c r="Z207" i="51" s="1"/>
  <c r="AJ148" i="45"/>
  <c r="AO148" i="45" s="1"/>
  <c r="AX148" i="45" s="1"/>
  <c r="AJ148" i="50"/>
  <c r="AO148" i="50" s="1"/>
  <c r="AX148" i="50" s="1"/>
  <c r="P207" i="47"/>
  <c r="U207" i="47" s="1"/>
  <c r="Z207" i="47" s="1"/>
  <c r="P207" i="42"/>
  <c r="U207" i="42" s="1"/>
  <c r="Z207" i="42" s="1"/>
  <c r="AJ148" i="46"/>
  <c r="AO148" i="46" s="1"/>
  <c r="AX148" i="46" s="1"/>
  <c r="W148" i="51"/>
  <c r="AB148" i="51" s="1"/>
  <c r="W148" i="45"/>
  <c r="AB148" i="45" s="1"/>
  <c r="W148" i="50"/>
  <c r="AB148" i="50" s="1"/>
  <c r="AJ148" i="51"/>
  <c r="AO148" i="51" s="1"/>
  <c r="AX148" i="51" s="1"/>
  <c r="W148" i="42"/>
  <c r="AB148" i="42" s="1"/>
  <c r="AJ148" i="42"/>
  <c r="AO148" i="42" s="1"/>
  <c r="AX148" i="42" s="1"/>
  <c r="AJ148" i="47"/>
  <c r="AO148" i="47" s="1"/>
  <c r="AX148" i="47" s="1"/>
  <c r="W148" i="47"/>
  <c r="AB148" i="47" s="1"/>
  <c r="P207" i="41"/>
  <c r="U207" i="41" s="1"/>
  <c r="Z207" i="41" s="1"/>
  <c r="AJ148" i="41"/>
  <c r="AO148" i="41" s="1"/>
  <c r="AX148" i="41" s="1"/>
  <c r="W148" i="41"/>
  <c r="AB148" i="41" s="1"/>
  <c r="P223" i="51"/>
  <c r="U223" i="51" s="1"/>
  <c r="Z223" i="51" s="1"/>
  <c r="P223" i="45"/>
  <c r="P223" i="50"/>
  <c r="W164" i="45"/>
  <c r="AB164" i="45" s="1"/>
  <c r="W164" i="50"/>
  <c r="AB164" i="50" s="1"/>
  <c r="AJ164" i="50"/>
  <c r="AO164" i="50" s="1"/>
  <c r="AX164" i="50" s="1"/>
  <c r="AJ164" i="51"/>
  <c r="AO164" i="51" s="1"/>
  <c r="AX164" i="51" s="1"/>
  <c r="P223" i="47"/>
  <c r="U223" i="47" s="1"/>
  <c r="Z223" i="47" s="1"/>
  <c r="P223" i="42"/>
  <c r="U223" i="42" s="1"/>
  <c r="Z223" i="42" s="1"/>
  <c r="AJ164" i="45"/>
  <c r="AO164" i="45" s="1"/>
  <c r="P223" i="46"/>
  <c r="U223" i="46" s="1"/>
  <c r="Z223" i="46" s="1"/>
  <c r="W164" i="51"/>
  <c r="AB164" i="51" s="1"/>
  <c r="W164" i="42"/>
  <c r="AB164" i="42" s="1"/>
  <c r="AJ164" i="42"/>
  <c r="AO164" i="42" s="1"/>
  <c r="AX164" i="42" s="1"/>
  <c r="AJ164" i="47"/>
  <c r="AO164" i="47" s="1"/>
  <c r="AX164" i="47" s="1"/>
  <c r="AJ164" i="46"/>
  <c r="AO164" i="46" s="1"/>
  <c r="AX164" i="46" s="1"/>
  <c r="W164" i="47"/>
  <c r="AB164" i="47" s="1"/>
  <c r="W164" i="46"/>
  <c r="AB164" i="46" s="1"/>
  <c r="P223" i="41"/>
  <c r="U223" i="41" s="1"/>
  <c r="Z223" i="41" s="1"/>
  <c r="AJ164" i="41"/>
  <c r="AO164" i="41" s="1"/>
  <c r="AX164" i="41" s="1"/>
  <c r="W164" i="41"/>
  <c r="AB164" i="41" s="1"/>
  <c r="P225" i="46"/>
  <c r="U225" i="46" s="1"/>
  <c r="Z225" i="46" s="1"/>
  <c r="P225" i="50"/>
  <c r="P225" i="42"/>
  <c r="U225" i="42" s="1"/>
  <c r="Z225" i="42" s="1"/>
  <c r="W166" i="50"/>
  <c r="AB166" i="50" s="1"/>
  <c r="AJ166" i="50"/>
  <c r="AO166" i="50" s="1"/>
  <c r="AX166" i="50" s="1"/>
  <c r="W166" i="46"/>
  <c r="AB166" i="46" s="1"/>
  <c r="AJ166" i="45"/>
  <c r="AO166" i="45" s="1"/>
  <c r="AX166" i="45" s="1"/>
  <c r="P225" i="47"/>
  <c r="U225" i="47" s="1"/>
  <c r="Z225" i="47" s="1"/>
  <c r="AJ166" i="46"/>
  <c r="AO166" i="46" s="1"/>
  <c r="AX166" i="46" s="1"/>
  <c r="W166" i="45"/>
  <c r="AB166" i="45" s="1"/>
  <c r="P225" i="45"/>
  <c r="W166" i="42"/>
  <c r="AB166" i="42" s="1"/>
  <c r="W166" i="47"/>
  <c r="AB166" i="47" s="1"/>
  <c r="AJ166" i="47"/>
  <c r="AO166" i="47" s="1"/>
  <c r="AX166" i="47" s="1"/>
  <c r="AJ166" i="42"/>
  <c r="AO166" i="42" s="1"/>
  <c r="AX166" i="42" s="1"/>
  <c r="AJ166" i="51"/>
  <c r="AO166" i="51" s="1"/>
  <c r="AX166" i="51" s="1"/>
  <c r="P225" i="41"/>
  <c r="U225" i="41" s="1"/>
  <c r="Z225" i="41" s="1"/>
  <c r="W166" i="51"/>
  <c r="AB166" i="51" s="1"/>
  <c r="P225" i="51"/>
  <c r="U225" i="51" s="1"/>
  <c r="Z225" i="51" s="1"/>
  <c r="W166" i="41"/>
  <c r="AB166" i="41" s="1"/>
  <c r="AJ166" i="41"/>
  <c r="AO166" i="41" s="1"/>
  <c r="AX166" i="41" s="1"/>
  <c r="W179" i="46"/>
  <c r="AB179" i="46" s="1"/>
  <c r="P238" i="50"/>
  <c r="AJ179" i="50"/>
  <c r="AO179" i="50" s="1"/>
  <c r="AX179" i="50" s="1"/>
  <c r="P238" i="42"/>
  <c r="U238" i="42" s="1"/>
  <c r="Z238" i="42" s="1"/>
  <c r="W179" i="50"/>
  <c r="AB179" i="50" s="1"/>
  <c r="P238" i="45"/>
  <c r="AJ179" i="46"/>
  <c r="AO179" i="46" s="1"/>
  <c r="AX179" i="46" s="1"/>
  <c r="AJ179" i="45"/>
  <c r="AO179" i="45" s="1"/>
  <c r="AX179" i="45" s="1"/>
  <c r="W179" i="42"/>
  <c r="AB179" i="42" s="1"/>
  <c r="P238" i="46"/>
  <c r="U238" i="46" s="1"/>
  <c r="Z238" i="46" s="1"/>
  <c r="P238" i="47"/>
  <c r="U238" i="47" s="1"/>
  <c r="Z238" i="47" s="1"/>
  <c r="W179" i="45"/>
  <c r="AB179" i="45" s="1"/>
  <c r="AU179" i="45" s="1"/>
  <c r="W179" i="47"/>
  <c r="AB179" i="47" s="1"/>
  <c r="AJ179" i="42"/>
  <c r="AO179" i="42" s="1"/>
  <c r="AX179" i="42" s="1"/>
  <c r="AJ179" i="47"/>
  <c r="AO179" i="47" s="1"/>
  <c r="AX179" i="47" s="1"/>
  <c r="P238" i="51"/>
  <c r="U238" i="51" s="1"/>
  <c r="Z238" i="51" s="1"/>
  <c r="AJ179" i="51"/>
  <c r="AO179" i="51" s="1"/>
  <c r="AX179" i="51" s="1"/>
  <c r="W179" i="51"/>
  <c r="AB179" i="51" s="1"/>
  <c r="P238" i="41"/>
  <c r="U238" i="41" s="1"/>
  <c r="Z238" i="41" s="1"/>
  <c r="W179" i="41"/>
  <c r="AB179" i="41" s="1"/>
  <c r="AJ179" i="41"/>
  <c r="AO179" i="41" s="1"/>
  <c r="AX179" i="41" s="1"/>
  <c r="P239" i="50"/>
  <c r="W180" i="46"/>
  <c r="AB180" i="46" s="1"/>
  <c r="AJ180" i="46"/>
  <c r="AO180" i="46" s="1"/>
  <c r="AX180" i="46" s="1"/>
  <c r="P239" i="46"/>
  <c r="U239" i="46" s="1"/>
  <c r="Z239" i="46" s="1"/>
  <c r="P239" i="47"/>
  <c r="U239" i="47" s="1"/>
  <c r="Z239" i="47" s="1"/>
  <c r="W180" i="51"/>
  <c r="AB180" i="51" s="1"/>
  <c r="P239" i="42"/>
  <c r="U239" i="42" s="1"/>
  <c r="Z239" i="42" s="1"/>
  <c r="AJ180" i="42"/>
  <c r="AO180" i="42" s="1"/>
  <c r="AX180" i="42" s="1"/>
  <c r="W180" i="50"/>
  <c r="AB180" i="50" s="1"/>
  <c r="AJ180" i="50"/>
  <c r="AO180" i="50" s="1"/>
  <c r="AX180" i="50" s="1"/>
  <c r="P239" i="51"/>
  <c r="U239" i="51" s="1"/>
  <c r="Z239" i="51" s="1"/>
  <c r="W180" i="42"/>
  <c r="AB180" i="42" s="1"/>
  <c r="AU180" i="42" s="1"/>
  <c r="AJ180" i="51"/>
  <c r="AO180" i="51" s="1"/>
  <c r="AX180" i="51" s="1"/>
  <c r="P239" i="45"/>
  <c r="AJ180" i="45"/>
  <c r="AO180" i="45" s="1"/>
  <c r="AX180" i="45" s="1"/>
  <c r="W180" i="45"/>
  <c r="AB180" i="45" s="1"/>
  <c r="W180" i="47"/>
  <c r="AB180" i="47" s="1"/>
  <c r="AJ180" i="47"/>
  <c r="AO180" i="47" s="1"/>
  <c r="AX180" i="47" s="1"/>
  <c r="P239" i="41"/>
  <c r="U239" i="41" s="1"/>
  <c r="Z239" i="41" s="1"/>
  <c r="W180" i="41"/>
  <c r="AB180" i="41" s="1"/>
  <c r="AJ180" i="41"/>
  <c r="AO180" i="41" s="1"/>
  <c r="AX180" i="41" s="1"/>
  <c r="P219" i="50"/>
  <c r="P219" i="46"/>
  <c r="U219" i="46" s="1"/>
  <c r="Z219" i="46" s="1"/>
  <c r="AJ160" i="42"/>
  <c r="AO160" i="42" s="1"/>
  <c r="AX160" i="42" s="1"/>
  <c r="AJ160" i="50"/>
  <c r="AO160" i="50" s="1"/>
  <c r="AX160" i="50" s="1"/>
  <c r="P219" i="47"/>
  <c r="U219" i="47" s="1"/>
  <c r="Z219" i="47" s="1"/>
  <c r="W160" i="50"/>
  <c r="AB160" i="50" s="1"/>
  <c r="W160" i="42"/>
  <c r="AB160" i="42" s="1"/>
  <c r="P219" i="42"/>
  <c r="U219" i="42" s="1"/>
  <c r="Z219" i="42" s="1"/>
  <c r="P219" i="45"/>
  <c r="AJ160" i="46"/>
  <c r="AO160" i="46" s="1"/>
  <c r="AX160" i="46" s="1"/>
  <c r="W160" i="46"/>
  <c r="AB160" i="46" s="1"/>
  <c r="W160" i="51"/>
  <c r="AB160" i="51" s="1"/>
  <c r="W160" i="45"/>
  <c r="AB160" i="45" s="1"/>
  <c r="AJ160" i="45"/>
  <c r="AO160" i="45" s="1"/>
  <c r="AX160" i="45" s="1"/>
  <c r="AJ160" i="51"/>
  <c r="AO160" i="51" s="1"/>
  <c r="AX160" i="51" s="1"/>
  <c r="AJ160" i="47"/>
  <c r="AO160" i="47" s="1"/>
  <c r="AX160" i="47" s="1"/>
  <c r="W160" i="47"/>
  <c r="AB160" i="47" s="1"/>
  <c r="P219" i="51"/>
  <c r="U219" i="51" s="1"/>
  <c r="Z219" i="51" s="1"/>
  <c r="P219" i="41"/>
  <c r="U219" i="41" s="1"/>
  <c r="Z219" i="41" s="1"/>
  <c r="W160" i="41"/>
  <c r="AB160" i="41" s="1"/>
  <c r="AJ160" i="41"/>
  <c r="AO160" i="41" s="1"/>
  <c r="AX160" i="41" s="1"/>
  <c r="P228" i="45"/>
  <c r="P228" i="51"/>
  <c r="U228" i="51" s="1"/>
  <c r="Z228" i="51" s="1"/>
  <c r="P228" i="46"/>
  <c r="U228" i="46" s="1"/>
  <c r="Z228" i="46" s="1"/>
  <c r="AJ169" i="50"/>
  <c r="AO169" i="50" s="1"/>
  <c r="AX169" i="50" s="1"/>
  <c r="AJ169" i="45"/>
  <c r="AO169" i="45" s="1"/>
  <c r="AX169" i="45" s="1"/>
  <c r="W169" i="50"/>
  <c r="AB169" i="50" s="1"/>
  <c r="AJ169" i="51"/>
  <c r="AO169" i="51" s="1"/>
  <c r="AX169" i="51" s="1"/>
  <c r="AJ169" i="46"/>
  <c r="AO169" i="46" s="1"/>
  <c r="AX169" i="46" s="1"/>
  <c r="W169" i="46"/>
  <c r="AB169" i="46" s="1"/>
  <c r="W169" i="45"/>
  <c r="AB169" i="45" s="1"/>
  <c r="P228" i="42"/>
  <c r="U228" i="42" s="1"/>
  <c r="Z228" i="42" s="1"/>
  <c r="W169" i="51"/>
  <c r="AB169" i="51" s="1"/>
  <c r="AJ169" i="47"/>
  <c r="AO169" i="47" s="1"/>
  <c r="AX169" i="47" s="1"/>
  <c r="P228" i="50"/>
  <c r="AJ169" i="42"/>
  <c r="AO169" i="42" s="1"/>
  <c r="AX169" i="42" s="1"/>
  <c r="W169" i="42"/>
  <c r="AB169" i="42" s="1"/>
  <c r="W169" i="47"/>
  <c r="AB169" i="47" s="1"/>
  <c r="AU169" i="47" s="1"/>
  <c r="P228" i="47"/>
  <c r="U228" i="47" s="1"/>
  <c r="Z228" i="47" s="1"/>
  <c r="P228" i="41"/>
  <c r="U228" i="41" s="1"/>
  <c r="Z228" i="41" s="1"/>
  <c r="W169" i="41"/>
  <c r="AB169" i="41" s="1"/>
  <c r="AJ169" i="41"/>
  <c r="AO169" i="41" s="1"/>
  <c r="AX169" i="41" s="1"/>
  <c r="P227" i="50"/>
  <c r="P227" i="46"/>
  <c r="U227" i="46" s="1"/>
  <c r="Z227" i="46" s="1"/>
  <c r="W168" i="46"/>
  <c r="AB168" i="46" s="1"/>
  <c r="AJ168" i="42"/>
  <c r="AO168" i="42" s="1"/>
  <c r="AX168" i="42" s="1"/>
  <c r="P227" i="42"/>
  <c r="U227" i="42" s="1"/>
  <c r="Z227" i="42" s="1"/>
  <c r="W168" i="50"/>
  <c r="AB168" i="50" s="1"/>
  <c r="AJ168" i="46"/>
  <c r="AO168" i="46" s="1"/>
  <c r="AX168" i="46" s="1"/>
  <c r="P227" i="47"/>
  <c r="U227" i="47" s="1"/>
  <c r="Z227" i="47" s="1"/>
  <c r="P227" i="51"/>
  <c r="U227" i="51" s="1"/>
  <c r="Z227" i="51" s="1"/>
  <c r="W168" i="51"/>
  <c r="AB168" i="51" s="1"/>
  <c r="AJ168" i="50"/>
  <c r="AO168" i="50" s="1"/>
  <c r="AX168" i="50" s="1"/>
  <c r="AJ168" i="51"/>
  <c r="AO168" i="51" s="1"/>
  <c r="AX168" i="51" s="1"/>
  <c r="W168" i="42"/>
  <c r="AB168" i="42" s="1"/>
  <c r="W168" i="45"/>
  <c r="AB168" i="45" s="1"/>
  <c r="W168" i="47"/>
  <c r="AB168" i="47" s="1"/>
  <c r="AJ168" i="45"/>
  <c r="AO168" i="45" s="1"/>
  <c r="AX168" i="45" s="1"/>
  <c r="AJ168" i="47"/>
  <c r="AO168" i="47" s="1"/>
  <c r="AX168" i="47" s="1"/>
  <c r="P227" i="45"/>
  <c r="P227" i="41"/>
  <c r="U227" i="41" s="1"/>
  <c r="Z227" i="41" s="1"/>
  <c r="W168" i="41"/>
  <c r="AB168" i="41" s="1"/>
  <c r="AJ168" i="41"/>
  <c r="AO168" i="41" s="1"/>
  <c r="AX168" i="41" s="1"/>
  <c r="P232" i="50"/>
  <c r="W173" i="42"/>
  <c r="AB173" i="42" s="1"/>
  <c r="AJ173" i="42"/>
  <c r="AO173" i="42" s="1"/>
  <c r="AX173" i="42" s="1"/>
  <c r="P232" i="42"/>
  <c r="U232" i="42" s="1"/>
  <c r="Z232" i="42" s="1"/>
  <c r="P232" i="51"/>
  <c r="U232" i="51" s="1"/>
  <c r="Z232" i="51" s="1"/>
  <c r="P232" i="45"/>
  <c r="AJ173" i="45"/>
  <c r="AO173" i="45" s="1"/>
  <c r="AX173" i="45" s="1"/>
  <c r="AJ173" i="50"/>
  <c r="AO173" i="50" s="1"/>
  <c r="AX173" i="50" s="1"/>
  <c r="P232" i="47"/>
  <c r="U232" i="47" s="1"/>
  <c r="Z232" i="47" s="1"/>
  <c r="P232" i="46"/>
  <c r="U232" i="46" s="1"/>
  <c r="Z232" i="46" s="1"/>
  <c r="W173" i="45"/>
  <c r="AB173" i="45" s="1"/>
  <c r="AU173" i="45" s="1"/>
  <c r="W173" i="50"/>
  <c r="AB173" i="50" s="1"/>
  <c r="AU173" i="50" s="1"/>
  <c r="W173" i="51"/>
  <c r="AB173" i="51" s="1"/>
  <c r="AJ173" i="51"/>
  <c r="AO173" i="51" s="1"/>
  <c r="AX173" i="51" s="1"/>
  <c r="AJ173" i="47"/>
  <c r="AO173" i="47" s="1"/>
  <c r="AX173" i="47" s="1"/>
  <c r="AJ173" i="46"/>
  <c r="AO173" i="46" s="1"/>
  <c r="AX173" i="46" s="1"/>
  <c r="W173" i="47"/>
  <c r="AB173" i="47" s="1"/>
  <c r="W173" i="46"/>
  <c r="AB173" i="46" s="1"/>
  <c r="P232" i="41"/>
  <c r="U232" i="41" s="1"/>
  <c r="Z232" i="41" s="1"/>
  <c r="AJ173" i="41"/>
  <c r="AO173" i="41" s="1"/>
  <c r="AX173" i="41" s="1"/>
  <c r="W173" i="41"/>
  <c r="AB173" i="41" s="1"/>
  <c r="P205" i="45"/>
  <c r="P205" i="50"/>
  <c r="W146" i="46"/>
  <c r="AB146" i="46" s="1"/>
  <c r="P205" i="46"/>
  <c r="U205" i="46" s="1"/>
  <c r="Z205" i="46" s="1"/>
  <c r="W146" i="45"/>
  <c r="AB146" i="45" s="1"/>
  <c r="AJ146" i="50"/>
  <c r="AO146" i="50" s="1"/>
  <c r="AX146" i="50" s="1"/>
  <c r="W146" i="50"/>
  <c r="AB146" i="50" s="1"/>
  <c r="AJ146" i="46"/>
  <c r="AO146" i="46" s="1"/>
  <c r="AX146" i="46" s="1"/>
  <c r="AJ146" i="45"/>
  <c r="AO146" i="45" s="1"/>
  <c r="AX146" i="45" s="1"/>
  <c r="P205" i="51"/>
  <c r="U205" i="51" s="1"/>
  <c r="Z205" i="51" s="1"/>
  <c r="AJ146" i="42"/>
  <c r="AO146" i="42" s="1"/>
  <c r="AX146" i="42" s="1"/>
  <c r="W146" i="51"/>
  <c r="AB146" i="51" s="1"/>
  <c r="P205" i="47"/>
  <c r="U205" i="47" s="1"/>
  <c r="Z205" i="47" s="1"/>
  <c r="P205" i="42"/>
  <c r="U205" i="42" s="1"/>
  <c r="Z205" i="42" s="1"/>
  <c r="AJ146" i="51"/>
  <c r="AO146" i="51" s="1"/>
  <c r="AX146" i="51" s="1"/>
  <c r="AJ146" i="47"/>
  <c r="AO146" i="47" s="1"/>
  <c r="AX146" i="47" s="1"/>
  <c r="W146" i="42"/>
  <c r="AB146" i="42" s="1"/>
  <c r="W146" i="47"/>
  <c r="AB146" i="47" s="1"/>
  <c r="P205" i="41"/>
  <c r="U205" i="41" s="1"/>
  <c r="Z205" i="41" s="1"/>
  <c r="W146" i="41"/>
  <c r="AB146" i="41" s="1"/>
  <c r="AJ146" i="41"/>
  <c r="AO146" i="41" s="1"/>
  <c r="AX146" i="41" s="1"/>
  <c r="L45" i="14"/>
  <c r="AJ235" i="41"/>
  <c r="AF235" i="41"/>
  <c r="BA176" i="47"/>
  <c r="T45" i="14"/>
  <c r="BE176" i="46"/>
  <c r="BA176" i="46"/>
  <c r="R45" i="14"/>
  <c r="AE45" i="14"/>
  <c r="BA176" i="50"/>
  <c r="P226" i="50"/>
  <c r="AJ167" i="51"/>
  <c r="AO167" i="51" s="1"/>
  <c r="AX167" i="51" s="1"/>
  <c r="AJ167" i="46"/>
  <c r="AO167" i="46" s="1"/>
  <c r="AX167" i="46" s="1"/>
  <c r="P226" i="51"/>
  <c r="U226" i="51" s="1"/>
  <c r="Z226" i="51" s="1"/>
  <c r="P226" i="46"/>
  <c r="U226" i="46" s="1"/>
  <c r="Z226" i="46" s="1"/>
  <c r="W167" i="42"/>
  <c r="AB167" i="42" s="1"/>
  <c r="W167" i="51"/>
  <c r="AB167" i="51" s="1"/>
  <c r="P226" i="45"/>
  <c r="W167" i="50"/>
  <c r="AB167" i="50" s="1"/>
  <c r="P226" i="47"/>
  <c r="U226" i="47" s="1"/>
  <c r="Z226" i="47" s="1"/>
  <c r="W167" i="46"/>
  <c r="AB167" i="46" s="1"/>
  <c r="AU167" i="46" s="1"/>
  <c r="AJ167" i="50"/>
  <c r="AO167" i="50" s="1"/>
  <c r="AX167" i="50" s="1"/>
  <c r="AJ167" i="45"/>
  <c r="AO167" i="45" s="1"/>
  <c r="AX167" i="45" s="1"/>
  <c r="W167" i="45"/>
  <c r="AB167" i="45" s="1"/>
  <c r="AJ167" i="42"/>
  <c r="AO167" i="42" s="1"/>
  <c r="AX167" i="42" s="1"/>
  <c r="P226" i="42"/>
  <c r="U226" i="42" s="1"/>
  <c r="Z226" i="42" s="1"/>
  <c r="W167" i="47"/>
  <c r="AB167" i="47" s="1"/>
  <c r="AJ167" i="47"/>
  <c r="AO167" i="47" s="1"/>
  <c r="AX167" i="47" s="1"/>
  <c r="P226" i="41"/>
  <c r="U226" i="41" s="1"/>
  <c r="Z226" i="41" s="1"/>
  <c r="W167" i="41"/>
  <c r="AB167" i="41" s="1"/>
  <c r="AJ167" i="41"/>
  <c r="AO167" i="41" s="1"/>
  <c r="AX167" i="41" s="1"/>
  <c r="W139" i="46"/>
  <c r="AB139" i="46" s="1"/>
  <c r="P198" i="46"/>
  <c r="U198" i="46" s="1"/>
  <c r="Z198" i="46" s="1"/>
  <c r="AJ139" i="46"/>
  <c r="AO139" i="46" s="1"/>
  <c r="AX139" i="46" s="1"/>
  <c r="AJ139" i="50"/>
  <c r="AO139" i="50" s="1"/>
  <c r="AX139" i="50" s="1"/>
  <c r="P198" i="45"/>
  <c r="W139" i="50"/>
  <c r="AB139" i="50" s="1"/>
  <c r="P198" i="47"/>
  <c r="U198" i="47" s="1"/>
  <c r="Z198" i="47" s="1"/>
  <c r="P198" i="42"/>
  <c r="U198" i="42" s="1"/>
  <c r="Z198" i="42" s="1"/>
  <c r="P198" i="50"/>
  <c r="W139" i="42"/>
  <c r="AB139" i="42" s="1"/>
  <c r="P198" i="51"/>
  <c r="U198" i="51" s="1"/>
  <c r="Z198" i="51" s="1"/>
  <c r="AJ139" i="45"/>
  <c r="AO139" i="45" s="1"/>
  <c r="AX139" i="45" s="1"/>
  <c r="AJ139" i="47"/>
  <c r="AO139" i="47" s="1"/>
  <c r="AX139" i="47" s="1"/>
  <c r="W139" i="47"/>
  <c r="AB139" i="47" s="1"/>
  <c r="AJ139" i="42"/>
  <c r="AO139" i="42" s="1"/>
  <c r="AX139" i="42" s="1"/>
  <c r="W139" i="45"/>
  <c r="AB139" i="45" s="1"/>
  <c r="AU139" i="45" s="1"/>
  <c r="AJ139" i="51"/>
  <c r="AO139" i="51" s="1"/>
  <c r="AX139" i="51" s="1"/>
  <c r="P198" i="41"/>
  <c r="U198" i="41" s="1"/>
  <c r="Z198" i="41" s="1"/>
  <c r="W139" i="51"/>
  <c r="AB139" i="51" s="1"/>
  <c r="W139" i="41"/>
  <c r="AB139" i="41" s="1"/>
  <c r="AJ139" i="41"/>
  <c r="AO139" i="41" s="1"/>
  <c r="AX139" i="41" s="1"/>
  <c r="P217" i="50"/>
  <c r="P217" i="51"/>
  <c r="U217" i="51" s="1"/>
  <c r="Z217" i="51" s="1"/>
  <c r="P217" i="46"/>
  <c r="U217" i="46" s="1"/>
  <c r="Z217" i="46" s="1"/>
  <c r="W158" i="50"/>
  <c r="AB158" i="50" s="1"/>
  <c r="AJ158" i="51"/>
  <c r="AO158" i="51" s="1"/>
  <c r="AX158" i="51" s="1"/>
  <c r="AJ158" i="42"/>
  <c r="AO158" i="42" s="1"/>
  <c r="AX158" i="42" s="1"/>
  <c r="P217" i="42"/>
  <c r="U217" i="42" s="1"/>
  <c r="Z217" i="42" s="1"/>
  <c r="AJ158" i="50"/>
  <c r="AO158" i="50" s="1"/>
  <c r="AX158" i="50" s="1"/>
  <c r="W158" i="42"/>
  <c r="AB158" i="42" s="1"/>
  <c r="W158" i="51"/>
  <c r="AB158" i="51" s="1"/>
  <c r="P217" i="45"/>
  <c r="AJ158" i="46"/>
  <c r="AO158" i="46" s="1"/>
  <c r="AX158" i="46" s="1"/>
  <c r="W158" i="46"/>
  <c r="AB158" i="46" s="1"/>
  <c r="W158" i="45"/>
  <c r="AB158" i="45" s="1"/>
  <c r="P217" i="47"/>
  <c r="U217" i="47" s="1"/>
  <c r="Z217" i="47" s="1"/>
  <c r="AJ158" i="45"/>
  <c r="AO158" i="45" s="1"/>
  <c r="AX158" i="45" s="1"/>
  <c r="AJ158" i="47"/>
  <c r="AO158" i="47" s="1"/>
  <c r="AX158" i="47" s="1"/>
  <c r="W158" i="47"/>
  <c r="AB158" i="47" s="1"/>
  <c r="P217" i="41"/>
  <c r="U217" i="41" s="1"/>
  <c r="Z217" i="41" s="1"/>
  <c r="AJ158" i="41"/>
  <c r="AO158" i="41" s="1"/>
  <c r="AX158" i="41" s="1"/>
  <c r="W158" i="41"/>
  <c r="AB158" i="41" s="1"/>
  <c r="P230" i="45"/>
  <c r="P230" i="50"/>
  <c r="AJ171" i="50"/>
  <c r="AO171" i="50" s="1"/>
  <c r="AX171" i="50" s="1"/>
  <c r="W171" i="50"/>
  <c r="AB171" i="50" s="1"/>
  <c r="P230" i="51"/>
  <c r="U230" i="51" s="1"/>
  <c r="Z230" i="51" s="1"/>
  <c r="AJ171" i="45"/>
  <c r="AO171" i="45" s="1"/>
  <c r="AX171" i="45" s="1"/>
  <c r="W171" i="45"/>
  <c r="AB171" i="45" s="1"/>
  <c r="P230" i="47"/>
  <c r="U230" i="47" s="1"/>
  <c r="Z230" i="47" s="1"/>
  <c r="AJ171" i="51"/>
  <c r="AO171" i="51" s="1"/>
  <c r="AX171" i="51" s="1"/>
  <c r="AJ171" i="47"/>
  <c r="AO171" i="47" s="1"/>
  <c r="AX171" i="47" s="1"/>
  <c r="W171" i="47"/>
  <c r="AB171" i="47" s="1"/>
  <c r="P230" i="46"/>
  <c r="U230" i="46" s="1"/>
  <c r="Z230" i="46" s="1"/>
  <c r="W171" i="46"/>
  <c r="AB171" i="46" s="1"/>
  <c r="AJ171" i="46"/>
  <c r="AO171" i="46" s="1"/>
  <c r="AX171" i="46" s="1"/>
  <c r="AJ171" i="42"/>
  <c r="AO171" i="42" s="1"/>
  <c r="AX171" i="42" s="1"/>
  <c r="W171" i="42"/>
  <c r="AB171" i="42" s="1"/>
  <c r="P230" i="42"/>
  <c r="U230" i="42" s="1"/>
  <c r="Z230" i="42" s="1"/>
  <c r="W171" i="51"/>
  <c r="AB171" i="51" s="1"/>
  <c r="P230" i="41"/>
  <c r="U230" i="41" s="1"/>
  <c r="Z230" i="41" s="1"/>
  <c r="AJ171" i="41"/>
  <c r="AO171" i="41" s="1"/>
  <c r="AX171" i="41" s="1"/>
  <c r="W171" i="41"/>
  <c r="AB171" i="41" s="1"/>
  <c r="P229" i="50"/>
  <c r="P229" i="45"/>
  <c r="P229" i="51"/>
  <c r="U229" i="51" s="1"/>
  <c r="Z229" i="51" s="1"/>
  <c r="P229" i="46"/>
  <c r="U229" i="46" s="1"/>
  <c r="Z229" i="46" s="1"/>
  <c r="P229" i="47"/>
  <c r="U229" i="47" s="1"/>
  <c r="Z229" i="47" s="1"/>
  <c r="AJ170" i="51"/>
  <c r="AO170" i="51" s="1"/>
  <c r="AX170" i="51" s="1"/>
  <c r="AJ170" i="50"/>
  <c r="AO170" i="50" s="1"/>
  <c r="AX170" i="50" s="1"/>
  <c r="W170" i="46"/>
  <c r="AB170" i="46" s="1"/>
  <c r="P229" i="42"/>
  <c r="U229" i="42" s="1"/>
  <c r="Z229" i="42" s="1"/>
  <c r="W170" i="50"/>
  <c r="AB170" i="50" s="1"/>
  <c r="W170" i="45"/>
  <c r="AB170" i="45" s="1"/>
  <c r="AJ170" i="46"/>
  <c r="AO170" i="46" s="1"/>
  <c r="AX170" i="46" s="1"/>
  <c r="W170" i="51"/>
  <c r="AB170" i="51" s="1"/>
  <c r="AJ170" i="45"/>
  <c r="AO170" i="45" s="1"/>
  <c r="AX170" i="45" s="1"/>
  <c r="W170" i="42"/>
  <c r="AB170" i="42" s="1"/>
  <c r="AJ170" i="42"/>
  <c r="AO170" i="42" s="1"/>
  <c r="AX170" i="42" s="1"/>
  <c r="W170" i="47"/>
  <c r="AB170" i="47" s="1"/>
  <c r="AJ170" i="47"/>
  <c r="AO170" i="47" s="1"/>
  <c r="AX170" i="47" s="1"/>
  <c r="P229" i="41"/>
  <c r="U229" i="41" s="1"/>
  <c r="Z229" i="41" s="1"/>
  <c r="W170" i="41"/>
  <c r="AB170" i="41" s="1"/>
  <c r="AJ170" i="41"/>
  <c r="AO170" i="41" s="1"/>
  <c r="AX170" i="41" s="1"/>
  <c r="P240" i="46"/>
  <c r="U240" i="46" s="1"/>
  <c r="Z240" i="46" s="1"/>
  <c r="AJ181" i="50"/>
  <c r="AO181" i="50" s="1"/>
  <c r="AX181" i="50" s="1"/>
  <c r="AJ181" i="46"/>
  <c r="AO181" i="46" s="1"/>
  <c r="AX181" i="46" s="1"/>
  <c r="AJ181" i="42"/>
  <c r="AO181" i="42" s="1"/>
  <c r="AX181" i="42" s="1"/>
  <c r="P240" i="42"/>
  <c r="U240" i="42" s="1"/>
  <c r="Z240" i="42" s="1"/>
  <c r="W181" i="51"/>
  <c r="AB181" i="51" s="1"/>
  <c r="P240" i="51"/>
  <c r="U240" i="51" s="1"/>
  <c r="Z240" i="51" s="1"/>
  <c r="P240" i="50"/>
  <c r="W181" i="42"/>
  <c r="AB181" i="42" s="1"/>
  <c r="W181" i="50"/>
  <c r="AB181" i="50" s="1"/>
  <c r="AU181" i="50" s="1"/>
  <c r="W181" i="46"/>
  <c r="AB181" i="46" s="1"/>
  <c r="AU181" i="46" s="1"/>
  <c r="P240" i="47"/>
  <c r="U240" i="47" s="1"/>
  <c r="Z240" i="47" s="1"/>
  <c r="AJ181" i="51"/>
  <c r="AO181" i="51" s="1"/>
  <c r="AX181" i="51" s="1"/>
  <c r="AJ181" i="45"/>
  <c r="AO181" i="45" s="1"/>
  <c r="AX181" i="45" s="1"/>
  <c r="W181" i="45"/>
  <c r="AB181" i="45" s="1"/>
  <c r="AJ181" i="47"/>
  <c r="AO181" i="47" s="1"/>
  <c r="AX181" i="47" s="1"/>
  <c r="W181" i="47"/>
  <c r="AB181" i="47" s="1"/>
  <c r="P240" i="45"/>
  <c r="P240" i="41"/>
  <c r="U240" i="41" s="1"/>
  <c r="Z240" i="41" s="1"/>
  <c r="AJ181" i="41"/>
  <c r="AO181" i="41" s="1"/>
  <c r="AX181" i="41" s="1"/>
  <c r="W181" i="41"/>
  <c r="AB181" i="41" s="1"/>
  <c r="P215" i="51"/>
  <c r="U215" i="51" s="1"/>
  <c r="Z215" i="51" s="1"/>
  <c r="AJ156" i="50"/>
  <c r="AO156" i="50" s="1"/>
  <c r="AX156" i="50" s="1"/>
  <c r="P215" i="46"/>
  <c r="U215" i="46" s="1"/>
  <c r="Z215" i="46" s="1"/>
  <c r="W156" i="45"/>
  <c r="AB156" i="45" s="1"/>
  <c r="W156" i="50"/>
  <c r="AB156" i="50" s="1"/>
  <c r="W156" i="51"/>
  <c r="AB156" i="51" s="1"/>
  <c r="P215" i="50"/>
  <c r="P215" i="42"/>
  <c r="U215" i="42" s="1"/>
  <c r="Z215" i="42" s="1"/>
  <c r="W156" i="47"/>
  <c r="AB156" i="47" s="1"/>
  <c r="AJ156" i="46"/>
  <c r="AO156" i="46" s="1"/>
  <c r="AX156" i="46" s="1"/>
  <c r="AJ156" i="51"/>
  <c r="AO156" i="51" s="1"/>
  <c r="AX156" i="51" s="1"/>
  <c r="W156" i="46"/>
  <c r="AB156" i="46" s="1"/>
  <c r="AJ156" i="42"/>
  <c r="AO156" i="42" s="1"/>
  <c r="AX156" i="42" s="1"/>
  <c r="P215" i="47"/>
  <c r="U215" i="47" s="1"/>
  <c r="Z215" i="47" s="1"/>
  <c r="W156" i="42"/>
  <c r="AB156" i="42" s="1"/>
  <c r="AJ156" i="45"/>
  <c r="AO156" i="45" s="1"/>
  <c r="AX156" i="45" s="1"/>
  <c r="P215" i="45"/>
  <c r="AJ156" i="47"/>
  <c r="AO156" i="47" s="1"/>
  <c r="AX156" i="47" s="1"/>
  <c r="P215" i="41"/>
  <c r="U215" i="41" s="1"/>
  <c r="Z215" i="41" s="1"/>
  <c r="AJ156" i="41"/>
  <c r="AO156" i="41" s="1"/>
  <c r="AX156" i="41" s="1"/>
  <c r="W156" i="41"/>
  <c r="AB156" i="41" s="1"/>
  <c r="P211" i="51"/>
  <c r="U211" i="51" s="1"/>
  <c r="Z211" i="51" s="1"/>
  <c r="P211" i="50"/>
  <c r="W152" i="50"/>
  <c r="AB152" i="50" s="1"/>
  <c r="P211" i="45"/>
  <c r="AJ152" i="51"/>
  <c r="AO152" i="51" s="1"/>
  <c r="AX152" i="51" s="1"/>
  <c r="P211" i="47"/>
  <c r="U211" i="47" s="1"/>
  <c r="Z211" i="47" s="1"/>
  <c r="W152" i="51"/>
  <c r="AB152" i="51" s="1"/>
  <c r="AJ152" i="50"/>
  <c r="AO152" i="50" s="1"/>
  <c r="AX152" i="50" s="1"/>
  <c r="W152" i="42"/>
  <c r="AB152" i="42" s="1"/>
  <c r="AJ152" i="45"/>
  <c r="AO152" i="45" s="1"/>
  <c r="AX152" i="45" s="1"/>
  <c r="W152" i="45"/>
  <c r="AB152" i="45" s="1"/>
  <c r="P211" i="46"/>
  <c r="U211" i="46" s="1"/>
  <c r="Z211" i="46" s="1"/>
  <c r="AJ152" i="46"/>
  <c r="AO152" i="46" s="1"/>
  <c r="AX152" i="46" s="1"/>
  <c r="W152" i="46"/>
  <c r="AB152" i="46" s="1"/>
  <c r="AJ152" i="42"/>
  <c r="AO152" i="42" s="1"/>
  <c r="AX152" i="42" s="1"/>
  <c r="P211" i="42"/>
  <c r="U211" i="42" s="1"/>
  <c r="Z211" i="42" s="1"/>
  <c r="AJ152" i="47"/>
  <c r="AO152" i="47" s="1"/>
  <c r="AX152" i="47" s="1"/>
  <c r="W152" i="47"/>
  <c r="AB152" i="47" s="1"/>
  <c r="P211" i="41"/>
  <c r="U211" i="41" s="1"/>
  <c r="Z211" i="41" s="1"/>
  <c r="W152" i="41"/>
  <c r="AB152" i="41" s="1"/>
  <c r="AJ152" i="41"/>
  <c r="AO152" i="41" s="1"/>
  <c r="AX152" i="41" s="1"/>
  <c r="P220" i="46"/>
  <c r="U220" i="46" s="1"/>
  <c r="Z220" i="46" s="1"/>
  <c r="AJ161" i="50"/>
  <c r="AO161" i="50" s="1"/>
  <c r="AX161" i="50" s="1"/>
  <c r="W161" i="46"/>
  <c r="AB161" i="46" s="1"/>
  <c r="P220" i="50"/>
  <c r="W161" i="50"/>
  <c r="AB161" i="50" s="1"/>
  <c r="P220" i="47"/>
  <c r="U220" i="47" s="1"/>
  <c r="Z220" i="47" s="1"/>
  <c r="P220" i="45"/>
  <c r="AJ161" i="46"/>
  <c r="AO161" i="46" s="1"/>
  <c r="AX161" i="46" s="1"/>
  <c r="W161" i="45"/>
  <c r="AB161" i="45" s="1"/>
  <c r="AJ161" i="45"/>
  <c r="AO161" i="45" s="1"/>
  <c r="AX161" i="45" s="1"/>
  <c r="W161" i="42"/>
  <c r="AB161" i="42" s="1"/>
  <c r="P220" i="42"/>
  <c r="U220" i="42" s="1"/>
  <c r="Z220" i="42" s="1"/>
  <c r="AJ161" i="42"/>
  <c r="AO161" i="42" s="1"/>
  <c r="AX161" i="42" s="1"/>
  <c r="P220" i="51"/>
  <c r="U220" i="51" s="1"/>
  <c r="Z220" i="51" s="1"/>
  <c r="W161" i="47"/>
  <c r="AB161" i="47" s="1"/>
  <c r="AJ161" i="47"/>
  <c r="AO161" i="47" s="1"/>
  <c r="AX161" i="47" s="1"/>
  <c r="P220" i="41"/>
  <c r="U220" i="41" s="1"/>
  <c r="Z220" i="41" s="1"/>
  <c r="W161" i="51"/>
  <c r="AB161" i="51" s="1"/>
  <c r="AJ161" i="51"/>
  <c r="AO161" i="51" s="1"/>
  <c r="AX161" i="51" s="1"/>
  <c r="AJ161" i="41"/>
  <c r="AO161" i="41" s="1"/>
  <c r="AX161" i="41" s="1"/>
  <c r="W161" i="41"/>
  <c r="AB161" i="41" s="1"/>
  <c r="P212" i="50"/>
  <c r="P212" i="51"/>
  <c r="U212" i="51" s="1"/>
  <c r="Z212" i="51" s="1"/>
  <c r="P212" i="46"/>
  <c r="U212" i="46" s="1"/>
  <c r="Z212" i="46" s="1"/>
  <c r="P212" i="42"/>
  <c r="U212" i="42" s="1"/>
  <c r="Z212" i="42" s="1"/>
  <c r="W153" i="42"/>
  <c r="AB153" i="42" s="1"/>
  <c r="AJ153" i="50"/>
  <c r="AO153" i="50" s="1"/>
  <c r="AX153" i="50" s="1"/>
  <c r="W153" i="51"/>
  <c r="AB153" i="51" s="1"/>
  <c r="AJ153" i="45"/>
  <c r="AO153" i="45" s="1"/>
  <c r="AX153" i="45" s="1"/>
  <c r="AJ153" i="51"/>
  <c r="AO153" i="51" s="1"/>
  <c r="AX153" i="51" s="1"/>
  <c r="W153" i="50"/>
  <c r="AB153" i="50" s="1"/>
  <c r="AU153" i="50" s="1"/>
  <c r="AJ153" i="47"/>
  <c r="AO153" i="47" s="1"/>
  <c r="AX153" i="47" s="1"/>
  <c r="W153" i="46"/>
  <c r="AB153" i="46" s="1"/>
  <c r="AJ153" i="46"/>
  <c r="AO153" i="46" s="1"/>
  <c r="AX153" i="46" s="1"/>
  <c r="P212" i="45"/>
  <c r="AJ153" i="42"/>
  <c r="AO153" i="42" s="1"/>
  <c r="AX153" i="42" s="1"/>
  <c r="W153" i="45"/>
  <c r="AB153" i="45" s="1"/>
  <c r="AU153" i="45" s="1"/>
  <c r="P212" i="47"/>
  <c r="U212" i="47" s="1"/>
  <c r="Z212" i="47" s="1"/>
  <c r="W153" i="47"/>
  <c r="AB153" i="47" s="1"/>
  <c r="W153" i="41"/>
  <c r="AB153" i="41" s="1"/>
  <c r="P212" i="41"/>
  <c r="U212" i="41" s="1"/>
  <c r="Z212" i="41" s="1"/>
  <c r="AJ153" i="41"/>
  <c r="AO153" i="41" s="1"/>
  <c r="AX153" i="41" s="1"/>
  <c r="P224" i="51"/>
  <c r="U224" i="51" s="1"/>
  <c r="Z224" i="51" s="1"/>
  <c r="W165" i="46"/>
  <c r="AB165" i="46" s="1"/>
  <c r="P224" i="50"/>
  <c r="AJ165" i="50"/>
  <c r="AO165" i="50" s="1"/>
  <c r="AX165" i="50" s="1"/>
  <c r="AJ165" i="51"/>
  <c r="AO165" i="51" s="1"/>
  <c r="AX165" i="51" s="1"/>
  <c r="P224" i="42"/>
  <c r="U224" i="42" s="1"/>
  <c r="Z224" i="42" s="1"/>
  <c r="AJ165" i="46"/>
  <c r="AO165" i="46" s="1"/>
  <c r="AX165" i="46" s="1"/>
  <c r="W165" i="45"/>
  <c r="AB165" i="45" s="1"/>
  <c r="P224" i="47"/>
  <c r="U224" i="47" s="1"/>
  <c r="Z224" i="47" s="1"/>
  <c r="W165" i="51"/>
  <c r="AB165" i="51" s="1"/>
  <c r="P224" i="45"/>
  <c r="W165" i="50"/>
  <c r="AB165" i="50" s="1"/>
  <c r="AU165" i="50" s="1"/>
  <c r="AJ165" i="45"/>
  <c r="AO165" i="45" s="1"/>
  <c r="AX165" i="45" s="1"/>
  <c r="P224" i="46"/>
  <c r="U224" i="46" s="1"/>
  <c r="Z224" i="46" s="1"/>
  <c r="AJ165" i="42"/>
  <c r="AO165" i="42" s="1"/>
  <c r="AX165" i="42" s="1"/>
  <c r="W165" i="42"/>
  <c r="AB165" i="42" s="1"/>
  <c r="AJ165" i="47"/>
  <c r="AO165" i="47" s="1"/>
  <c r="AX165" i="47" s="1"/>
  <c r="W165" i="47"/>
  <c r="AB165" i="47" s="1"/>
  <c r="P224" i="41"/>
  <c r="U224" i="41" s="1"/>
  <c r="Z224" i="41" s="1"/>
  <c r="AJ165" i="41"/>
  <c r="AO165" i="41" s="1"/>
  <c r="AX165" i="41" s="1"/>
  <c r="W165" i="41"/>
  <c r="AB165" i="41" s="1"/>
  <c r="P197" i="50"/>
  <c r="AJ138" i="51"/>
  <c r="AO138" i="51" s="1"/>
  <c r="AX138" i="51" s="1"/>
  <c r="P197" i="47"/>
  <c r="U197" i="47" s="1"/>
  <c r="Z197" i="47" s="1"/>
  <c r="P197" i="46"/>
  <c r="U197" i="46" s="1"/>
  <c r="Z197" i="46" s="1"/>
  <c r="P197" i="42"/>
  <c r="U197" i="42" s="1"/>
  <c r="Z197" i="42" s="1"/>
  <c r="AJ138" i="50"/>
  <c r="AO138" i="50" s="1"/>
  <c r="AX138" i="50" s="1"/>
  <c r="W138" i="50"/>
  <c r="AB138" i="50" s="1"/>
  <c r="W138" i="47"/>
  <c r="AB138" i="47" s="1"/>
  <c r="AJ138" i="47"/>
  <c r="AO138" i="47" s="1"/>
  <c r="AX138" i="47" s="1"/>
  <c r="W138" i="46"/>
  <c r="AB138" i="46" s="1"/>
  <c r="AJ138" i="46"/>
  <c r="AO138" i="46" s="1"/>
  <c r="AX138" i="46" s="1"/>
  <c r="W138" i="51"/>
  <c r="AB138" i="51" s="1"/>
  <c r="P197" i="51"/>
  <c r="U197" i="51" s="1"/>
  <c r="Z197" i="51" s="1"/>
  <c r="AJ138" i="42"/>
  <c r="AO138" i="42" s="1"/>
  <c r="AX138" i="42" s="1"/>
  <c r="AJ138" i="45"/>
  <c r="AO138" i="45" s="1"/>
  <c r="AX138" i="45" s="1"/>
  <c r="P197" i="45"/>
  <c r="W138" i="45"/>
  <c r="AB138" i="45" s="1"/>
  <c r="W138" i="42"/>
  <c r="AB138" i="42" s="1"/>
  <c r="AU138" i="42" s="1"/>
  <c r="P197" i="41"/>
  <c r="U197" i="41" s="1"/>
  <c r="Z197" i="41" s="1"/>
  <c r="AJ138" i="41"/>
  <c r="AO138" i="41" s="1"/>
  <c r="AX138" i="41" s="1"/>
  <c r="W138" i="41"/>
  <c r="AB138" i="41" s="1"/>
  <c r="P208" i="51"/>
  <c r="U208" i="51" s="1"/>
  <c r="Z208" i="51" s="1"/>
  <c r="P208" i="45"/>
  <c r="P208" i="47"/>
  <c r="U208" i="47" s="1"/>
  <c r="Z208" i="47" s="1"/>
  <c r="AJ149" i="51"/>
  <c r="AO149" i="51" s="1"/>
  <c r="AX149" i="51" s="1"/>
  <c r="W149" i="51"/>
  <c r="AB149" i="51" s="1"/>
  <c r="P208" i="50"/>
  <c r="P208" i="46"/>
  <c r="U208" i="46" s="1"/>
  <c r="Z208" i="46" s="1"/>
  <c r="P208" i="42"/>
  <c r="U208" i="42" s="1"/>
  <c r="Z208" i="42" s="1"/>
  <c r="AJ149" i="45"/>
  <c r="AO149" i="45" s="1"/>
  <c r="AX149" i="45" s="1"/>
  <c r="AJ149" i="42"/>
  <c r="AO149" i="42" s="1"/>
  <c r="AX149" i="42" s="1"/>
  <c r="AJ149" i="46"/>
  <c r="AO149" i="46" s="1"/>
  <c r="AX149" i="46" s="1"/>
  <c r="W149" i="50"/>
  <c r="AB149" i="50" s="1"/>
  <c r="AJ149" i="50"/>
  <c r="AO149" i="50" s="1"/>
  <c r="AX149" i="50" s="1"/>
  <c r="W149" i="46"/>
  <c r="AB149" i="46" s="1"/>
  <c r="W149" i="45"/>
  <c r="AB149" i="45" s="1"/>
  <c r="W149" i="42"/>
  <c r="AB149" i="42" s="1"/>
  <c r="W149" i="47"/>
  <c r="AB149" i="47" s="1"/>
  <c r="AJ149" i="47"/>
  <c r="AO149" i="47" s="1"/>
  <c r="AX149" i="47" s="1"/>
  <c r="P208" i="41"/>
  <c r="U208" i="41" s="1"/>
  <c r="Z208" i="41" s="1"/>
  <c r="AJ149" i="41"/>
  <c r="AO149" i="41" s="1"/>
  <c r="AX149" i="41" s="1"/>
  <c r="W149" i="41"/>
  <c r="AB149" i="41" s="1"/>
  <c r="BE176" i="51"/>
  <c r="N45" i="14"/>
  <c r="AF235" i="42"/>
  <c r="AJ235" i="42"/>
  <c r="BE176" i="50"/>
  <c r="P237" i="50"/>
  <c r="W178" i="51"/>
  <c r="AB178" i="51" s="1"/>
  <c r="P237" i="51"/>
  <c r="U237" i="51" s="1"/>
  <c r="Z237" i="51" s="1"/>
  <c r="AJ178" i="51"/>
  <c r="AO178" i="51" s="1"/>
  <c r="AX178" i="51" s="1"/>
  <c r="P237" i="42"/>
  <c r="U237" i="42" s="1"/>
  <c r="Z237" i="42" s="1"/>
  <c r="AJ178" i="50"/>
  <c r="AO178" i="50" s="1"/>
  <c r="AX178" i="50" s="1"/>
  <c r="P237" i="47"/>
  <c r="U237" i="47" s="1"/>
  <c r="Z237" i="47" s="1"/>
  <c r="W178" i="46"/>
  <c r="AB178" i="46" s="1"/>
  <c r="AJ178" i="42"/>
  <c r="AO178" i="42" s="1"/>
  <c r="AX178" i="42" s="1"/>
  <c r="W178" i="42"/>
  <c r="AB178" i="42" s="1"/>
  <c r="P237" i="46"/>
  <c r="U237" i="46" s="1"/>
  <c r="Z237" i="46" s="1"/>
  <c r="W178" i="50"/>
  <c r="AB178" i="50" s="1"/>
  <c r="P237" i="45"/>
  <c r="AJ178" i="45"/>
  <c r="AO178" i="45" s="1"/>
  <c r="AX178" i="45" s="1"/>
  <c r="AJ178" i="46"/>
  <c r="AO178" i="46" s="1"/>
  <c r="AX178" i="46" s="1"/>
  <c r="W178" i="47"/>
  <c r="AB178" i="47" s="1"/>
  <c r="AJ178" i="47"/>
  <c r="AO178" i="47" s="1"/>
  <c r="AX178" i="47" s="1"/>
  <c r="W178" i="45"/>
  <c r="AB178" i="45" s="1"/>
  <c r="P237" i="41"/>
  <c r="U237" i="41" s="1"/>
  <c r="Z237" i="41" s="1"/>
  <c r="AJ178" i="41"/>
  <c r="AO178" i="41" s="1"/>
  <c r="AX178" i="41" s="1"/>
  <c r="W178" i="41"/>
  <c r="AB178" i="41" s="1"/>
  <c r="P199" i="51"/>
  <c r="U199" i="51" s="1"/>
  <c r="Z199" i="51" s="1"/>
  <c r="AJ140" i="51"/>
  <c r="AO140" i="51" s="1"/>
  <c r="AX140" i="51" s="1"/>
  <c r="P199" i="46"/>
  <c r="U199" i="46" s="1"/>
  <c r="Z199" i="46" s="1"/>
  <c r="W140" i="50"/>
  <c r="AB140" i="50" s="1"/>
  <c r="W140" i="46"/>
  <c r="AB140" i="46" s="1"/>
  <c r="AJ140" i="50"/>
  <c r="AO140" i="50" s="1"/>
  <c r="AX140" i="50" s="1"/>
  <c r="P199" i="45"/>
  <c r="W140" i="42"/>
  <c r="AB140" i="42" s="1"/>
  <c r="P199" i="50"/>
  <c r="P199" i="47"/>
  <c r="U199" i="47" s="1"/>
  <c r="Z199" i="47" s="1"/>
  <c r="W140" i="51"/>
  <c r="AB140" i="51" s="1"/>
  <c r="AJ140" i="46"/>
  <c r="AO140" i="46" s="1"/>
  <c r="AX140" i="46" s="1"/>
  <c r="W140" i="45"/>
  <c r="AB140" i="45" s="1"/>
  <c r="AJ140" i="47"/>
  <c r="AO140" i="47" s="1"/>
  <c r="AX140" i="47" s="1"/>
  <c r="W140" i="47"/>
  <c r="AB140" i="47" s="1"/>
  <c r="AJ140" i="42"/>
  <c r="AO140" i="42" s="1"/>
  <c r="AX140" i="42" s="1"/>
  <c r="AJ140" i="45"/>
  <c r="AO140" i="45" s="1"/>
  <c r="AX140" i="45" s="1"/>
  <c r="P199" i="42"/>
  <c r="U199" i="42" s="1"/>
  <c r="Z199" i="42" s="1"/>
  <c r="P199" i="41"/>
  <c r="U199" i="41" s="1"/>
  <c r="Z199" i="41" s="1"/>
  <c r="W140" i="41"/>
  <c r="AB140" i="41" s="1"/>
  <c r="AJ140" i="41"/>
  <c r="AO140" i="41" s="1"/>
  <c r="AX140" i="41" s="1"/>
  <c r="AJ150" i="45"/>
  <c r="AO150" i="45" s="1"/>
  <c r="AX150" i="45" s="1"/>
  <c r="P209" i="50"/>
  <c r="P209" i="46"/>
  <c r="U209" i="46" s="1"/>
  <c r="Z209" i="46" s="1"/>
  <c r="AJ150" i="51"/>
  <c r="AO150" i="51" s="1"/>
  <c r="AX150" i="51" s="1"/>
  <c r="P209" i="42"/>
  <c r="U209" i="42" s="1"/>
  <c r="Z209" i="42" s="1"/>
  <c r="P209" i="45"/>
  <c r="P209" i="47"/>
  <c r="U209" i="47" s="1"/>
  <c r="Z209" i="47" s="1"/>
  <c r="W150" i="50"/>
  <c r="AB150" i="50" s="1"/>
  <c r="W150" i="51"/>
  <c r="AB150" i="51" s="1"/>
  <c r="AJ150" i="50"/>
  <c r="AO150" i="50" s="1"/>
  <c r="AX150" i="50" s="1"/>
  <c r="W150" i="46"/>
  <c r="AB150" i="46" s="1"/>
  <c r="P209" i="51"/>
  <c r="U209" i="51" s="1"/>
  <c r="Z209" i="51" s="1"/>
  <c r="AJ150" i="46"/>
  <c r="AO150" i="46" s="1"/>
  <c r="AX150" i="46" s="1"/>
  <c r="W150" i="45"/>
  <c r="AB150" i="45" s="1"/>
  <c r="W150" i="42"/>
  <c r="AB150" i="42" s="1"/>
  <c r="AJ150" i="42"/>
  <c r="AO150" i="42" s="1"/>
  <c r="AX150" i="42" s="1"/>
  <c r="W150" i="47"/>
  <c r="AB150" i="47" s="1"/>
  <c r="AJ150" i="47"/>
  <c r="AO150" i="47" s="1"/>
  <c r="AX150" i="47" s="1"/>
  <c r="AJ150" i="41"/>
  <c r="AO150" i="41" s="1"/>
  <c r="AX150" i="41" s="1"/>
  <c r="W150" i="41"/>
  <c r="AB150" i="41" s="1"/>
  <c r="P209" i="41"/>
  <c r="U209" i="41" s="1"/>
  <c r="Z209" i="41" s="1"/>
  <c r="P222" i="50"/>
  <c r="W163" i="50"/>
  <c r="AB163" i="50" s="1"/>
  <c r="P222" i="51"/>
  <c r="U222" i="51" s="1"/>
  <c r="Z222" i="51" s="1"/>
  <c r="P222" i="42"/>
  <c r="U222" i="42" s="1"/>
  <c r="Z222" i="42" s="1"/>
  <c r="AJ163" i="50"/>
  <c r="AO163" i="50" s="1"/>
  <c r="AX163" i="50" s="1"/>
  <c r="AJ163" i="46"/>
  <c r="AO163" i="46" s="1"/>
  <c r="AX163" i="46" s="1"/>
  <c r="P222" i="45"/>
  <c r="AJ163" i="45"/>
  <c r="AO163" i="45" s="1"/>
  <c r="AX163" i="45" s="1"/>
  <c r="P222" i="46"/>
  <c r="U222" i="46" s="1"/>
  <c r="Z222" i="46" s="1"/>
  <c r="P222" i="47"/>
  <c r="U222" i="47" s="1"/>
  <c r="Z222" i="47" s="1"/>
  <c r="W163" i="46"/>
  <c r="AB163" i="46" s="1"/>
  <c r="AJ163" i="51"/>
  <c r="AO163" i="51" s="1"/>
  <c r="AX163" i="51" s="1"/>
  <c r="W163" i="42"/>
  <c r="AB163" i="42" s="1"/>
  <c r="W163" i="51"/>
  <c r="AB163" i="51" s="1"/>
  <c r="AJ163" i="42"/>
  <c r="AO163" i="42" s="1"/>
  <c r="AX163" i="42" s="1"/>
  <c r="AJ163" i="47"/>
  <c r="AO163" i="47" s="1"/>
  <c r="AX163" i="47" s="1"/>
  <c r="W163" i="47"/>
  <c r="AB163" i="47" s="1"/>
  <c r="W163" i="45"/>
  <c r="AB163" i="45" s="1"/>
  <c r="W163" i="41"/>
  <c r="AB163" i="41" s="1"/>
  <c r="AJ163" i="41"/>
  <c r="AO163" i="41" s="1"/>
  <c r="AX163" i="41" s="1"/>
  <c r="P222" i="41"/>
  <c r="U222" i="41" s="1"/>
  <c r="Z222" i="41" s="1"/>
  <c r="P221" i="50"/>
  <c r="AJ162" i="46"/>
  <c r="AO162" i="46" s="1"/>
  <c r="AX162" i="46" s="1"/>
  <c r="P221" i="51"/>
  <c r="U221" i="51" s="1"/>
  <c r="Z221" i="51" s="1"/>
  <c r="P221" i="46"/>
  <c r="U221" i="46" s="1"/>
  <c r="Z221" i="46" s="1"/>
  <c r="P221" i="45"/>
  <c r="P221" i="47"/>
  <c r="U221" i="47" s="1"/>
  <c r="Z221" i="47" s="1"/>
  <c r="AJ162" i="50"/>
  <c r="AO162" i="50" s="1"/>
  <c r="AX162" i="50" s="1"/>
  <c r="AJ162" i="45"/>
  <c r="AO162" i="45" s="1"/>
  <c r="AX162" i="45" s="1"/>
  <c r="P221" i="42"/>
  <c r="U221" i="42" s="1"/>
  <c r="Z221" i="42" s="1"/>
  <c r="W162" i="50"/>
  <c r="AB162" i="50" s="1"/>
  <c r="AJ162" i="51"/>
  <c r="AO162" i="51" s="1"/>
  <c r="AX162" i="51" s="1"/>
  <c r="W162" i="51"/>
  <c r="AB162" i="51" s="1"/>
  <c r="W162" i="45"/>
  <c r="AB162" i="45" s="1"/>
  <c r="W162" i="46"/>
  <c r="AB162" i="46" s="1"/>
  <c r="AU162" i="46" s="1"/>
  <c r="AJ162" i="42"/>
  <c r="AO162" i="42" s="1"/>
  <c r="AX162" i="42" s="1"/>
  <c r="W162" i="47"/>
  <c r="AB162" i="47" s="1"/>
  <c r="W162" i="42"/>
  <c r="AB162" i="42" s="1"/>
  <c r="AJ162" i="47"/>
  <c r="AO162" i="47" s="1"/>
  <c r="AX162" i="47" s="1"/>
  <c r="P221" i="41"/>
  <c r="U221" i="41" s="1"/>
  <c r="Z221" i="41" s="1"/>
  <c r="AJ162" i="41"/>
  <c r="AO162" i="41" s="1"/>
  <c r="AX162" i="41" s="1"/>
  <c r="W162" i="41"/>
  <c r="AB162" i="41" s="1"/>
  <c r="P216" i="51"/>
  <c r="U216" i="51" s="1"/>
  <c r="Z216" i="51" s="1"/>
  <c r="P216" i="46"/>
  <c r="U216" i="46" s="1"/>
  <c r="Z216" i="46" s="1"/>
  <c r="W157" i="51"/>
  <c r="AB157" i="51" s="1"/>
  <c r="W157" i="45"/>
  <c r="AB157" i="45" s="1"/>
  <c r="P216" i="42"/>
  <c r="U216" i="42" s="1"/>
  <c r="Z216" i="42" s="1"/>
  <c r="P216" i="50"/>
  <c r="AJ157" i="45"/>
  <c r="AO157" i="45" s="1"/>
  <c r="AX157" i="45" s="1"/>
  <c r="AJ157" i="51"/>
  <c r="AO157" i="51" s="1"/>
  <c r="AX157" i="51" s="1"/>
  <c r="AJ157" i="46"/>
  <c r="AO157" i="46" s="1"/>
  <c r="AX157" i="46" s="1"/>
  <c r="P216" i="45"/>
  <c r="W157" i="46"/>
  <c r="AB157" i="46" s="1"/>
  <c r="W157" i="42"/>
  <c r="AB157" i="42" s="1"/>
  <c r="P216" i="47"/>
  <c r="U216" i="47" s="1"/>
  <c r="Z216" i="47" s="1"/>
  <c r="AJ157" i="42"/>
  <c r="AO157" i="42" s="1"/>
  <c r="AX157" i="42" s="1"/>
  <c r="AJ157" i="50"/>
  <c r="AO157" i="50" s="1"/>
  <c r="AX157" i="50" s="1"/>
  <c r="AJ157" i="47"/>
  <c r="AO157" i="47" s="1"/>
  <c r="AX157" i="47" s="1"/>
  <c r="W157" i="50"/>
  <c r="AB157" i="50" s="1"/>
  <c r="W157" i="47"/>
  <c r="AB157" i="47" s="1"/>
  <c r="W157" i="41"/>
  <c r="AB157" i="41" s="1"/>
  <c r="AJ157" i="41"/>
  <c r="AO157" i="41" s="1"/>
  <c r="AX157" i="41" s="1"/>
  <c r="P216" i="41"/>
  <c r="U216" i="41" s="1"/>
  <c r="Z216" i="41" s="1"/>
  <c r="W137" i="50"/>
  <c r="AB137" i="50" s="1"/>
  <c r="P196" i="51"/>
  <c r="U196" i="51" s="1"/>
  <c r="Z196" i="51" s="1"/>
  <c r="P196" i="46"/>
  <c r="U196" i="46" s="1"/>
  <c r="Z196" i="46" s="1"/>
  <c r="P196" i="47"/>
  <c r="U196" i="47" s="1"/>
  <c r="Z196" i="47" s="1"/>
  <c r="AJ137" i="50"/>
  <c r="AO137" i="50" s="1"/>
  <c r="AX137" i="50" s="1"/>
  <c r="W137" i="46"/>
  <c r="AB137" i="46" s="1"/>
  <c r="W137" i="51"/>
  <c r="AB137" i="51" s="1"/>
  <c r="AJ137" i="51"/>
  <c r="AO137" i="51" s="1"/>
  <c r="AX137" i="51" s="1"/>
  <c r="AJ137" i="46"/>
  <c r="AO137" i="46" s="1"/>
  <c r="AX137" i="46" s="1"/>
  <c r="P196" i="45"/>
  <c r="P196" i="50"/>
  <c r="AJ137" i="45"/>
  <c r="AO137" i="45" s="1"/>
  <c r="AX137" i="45" s="1"/>
  <c r="W137" i="42"/>
  <c r="AB137" i="42" s="1"/>
  <c r="P196" i="42"/>
  <c r="U196" i="42" s="1"/>
  <c r="Z196" i="42" s="1"/>
  <c r="W137" i="45"/>
  <c r="AB137" i="45" s="1"/>
  <c r="AJ137" i="47"/>
  <c r="AO137" i="47" s="1"/>
  <c r="AX137" i="47" s="1"/>
  <c r="W137" i="47"/>
  <c r="AB137" i="47" s="1"/>
  <c r="AJ137" i="42"/>
  <c r="AO137" i="42" s="1"/>
  <c r="AX137" i="42" s="1"/>
  <c r="W137" i="41"/>
  <c r="AB137" i="41" s="1"/>
  <c r="P196" i="41"/>
  <c r="U196" i="41" s="1"/>
  <c r="Z196" i="41" s="1"/>
  <c r="AJ137" i="41"/>
  <c r="AO137" i="41" s="1"/>
  <c r="AX137" i="41" s="1"/>
  <c r="P203" i="50"/>
  <c r="P203" i="45"/>
  <c r="P203" i="47"/>
  <c r="U203" i="47" s="1"/>
  <c r="Z203" i="47" s="1"/>
  <c r="AJ144" i="50"/>
  <c r="AO144" i="50" s="1"/>
  <c r="AX144" i="50" s="1"/>
  <c r="AJ144" i="45"/>
  <c r="AO144" i="45" s="1"/>
  <c r="AX144" i="45" s="1"/>
  <c r="W144" i="50"/>
  <c r="AB144" i="50" s="1"/>
  <c r="AJ144" i="46"/>
  <c r="AO144" i="46" s="1"/>
  <c r="AX144" i="46" s="1"/>
  <c r="W144" i="45"/>
  <c r="AB144" i="45" s="1"/>
  <c r="W144" i="46"/>
  <c r="AB144" i="46" s="1"/>
  <c r="P203" i="51"/>
  <c r="U203" i="51" s="1"/>
  <c r="Z203" i="51" s="1"/>
  <c r="P203" i="46"/>
  <c r="U203" i="46" s="1"/>
  <c r="Z203" i="46" s="1"/>
  <c r="P203" i="42"/>
  <c r="U203" i="42" s="1"/>
  <c r="Z203" i="42" s="1"/>
  <c r="AJ144" i="51"/>
  <c r="AO144" i="51" s="1"/>
  <c r="AX144" i="51" s="1"/>
  <c r="W144" i="42"/>
  <c r="AB144" i="42" s="1"/>
  <c r="AJ144" i="42"/>
  <c r="AO144" i="42" s="1"/>
  <c r="AX144" i="42" s="1"/>
  <c r="W144" i="51"/>
  <c r="AB144" i="51" s="1"/>
  <c r="AJ144" i="47"/>
  <c r="AO144" i="47" s="1"/>
  <c r="AX144" i="47" s="1"/>
  <c r="W144" i="47"/>
  <c r="AB144" i="47" s="1"/>
  <c r="P203" i="41"/>
  <c r="U203" i="41" s="1"/>
  <c r="Z203" i="41" s="1"/>
  <c r="W144" i="41"/>
  <c r="AB144" i="41" s="1"/>
  <c r="AJ144" i="41"/>
  <c r="AO144" i="41" s="1"/>
  <c r="AX144" i="41" s="1"/>
  <c r="P210" i="46"/>
  <c r="U210" i="46" s="1"/>
  <c r="Z210" i="46" s="1"/>
  <c r="P210" i="51"/>
  <c r="U210" i="51" s="1"/>
  <c r="Z210" i="51" s="1"/>
  <c r="P210" i="50"/>
  <c r="AJ151" i="46"/>
  <c r="AO151" i="46" s="1"/>
  <c r="AX151" i="46" s="1"/>
  <c r="W151" i="45"/>
  <c r="AB151" i="45" s="1"/>
  <c r="W151" i="50"/>
  <c r="AB151" i="50" s="1"/>
  <c r="AJ151" i="51"/>
  <c r="AO151" i="51" s="1"/>
  <c r="AX151" i="51" s="1"/>
  <c r="P210" i="47"/>
  <c r="U210" i="47" s="1"/>
  <c r="Z210" i="47" s="1"/>
  <c r="AJ151" i="45"/>
  <c r="AO151" i="45" s="1"/>
  <c r="AX151" i="45" s="1"/>
  <c r="P210" i="42"/>
  <c r="U210" i="42" s="1"/>
  <c r="Z210" i="42" s="1"/>
  <c r="AJ151" i="50"/>
  <c r="AO151" i="50" s="1"/>
  <c r="AX151" i="50" s="1"/>
  <c r="W151" i="51"/>
  <c r="AB151" i="51" s="1"/>
  <c r="W151" i="46"/>
  <c r="AB151" i="46" s="1"/>
  <c r="AJ151" i="42"/>
  <c r="AO151" i="42" s="1"/>
  <c r="AX151" i="42" s="1"/>
  <c r="P210" i="45"/>
  <c r="AJ151" i="47"/>
  <c r="AO151" i="47" s="1"/>
  <c r="AX151" i="47" s="1"/>
  <c r="W151" i="42"/>
  <c r="AB151" i="42" s="1"/>
  <c r="W151" i="47"/>
  <c r="AB151" i="47" s="1"/>
  <c r="W151" i="41"/>
  <c r="AB151" i="41" s="1"/>
  <c r="AJ151" i="41"/>
  <c r="AO151" i="41" s="1"/>
  <c r="AX151" i="41" s="1"/>
  <c r="P210" i="41"/>
  <c r="U210" i="41" s="1"/>
  <c r="Z210" i="41" s="1"/>
  <c r="AJ143" i="46"/>
  <c r="AO143" i="46" s="1"/>
  <c r="AX143" i="46" s="1"/>
  <c r="P202" i="50"/>
  <c r="AJ143" i="51"/>
  <c r="AO143" i="51" s="1"/>
  <c r="AX143" i="51" s="1"/>
  <c r="P202" i="46"/>
  <c r="U202" i="46" s="1"/>
  <c r="Z202" i="46" s="1"/>
  <c r="W143" i="42"/>
  <c r="AB143" i="42" s="1"/>
  <c r="AJ143" i="50"/>
  <c r="AO143" i="50" s="1"/>
  <c r="AX143" i="50" s="1"/>
  <c r="W143" i="51"/>
  <c r="AB143" i="51" s="1"/>
  <c r="AU143" i="51" s="1"/>
  <c r="BA143" i="51" s="1"/>
  <c r="W143" i="45"/>
  <c r="AB143" i="45" s="1"/>
  <c r="W143" i="50"/>
  <c r="AB143" i="50" s="1"/>
  <c r="P202" i="51"/>
  <c r="U202" i="51" s="1"/>
  <c r="Z202" i="51" s="1"/>
  <c r="P202" i="42"/>
  <c r="U202" i="42" s="1"/>
  <c r="Z202" i="42" s="1"/>
  <c r="W143" i="46"/>
  <c r="AB143" i="46" s="1"/>
  <c r="AJ143" i="42"/>
  <c r="AO143" i="42" s="1"/>
  <c r="AX143" i="42" s="1"/>
  <c r="P202" i="47"/>
  <c r="U202" i="47" s="1"/>
  <c r="Z202" i="47" s="1"/>
  <c r="P202" i="45"/>
  <c r="AJ143" i="45"/>
  <c r="AO143" i="45" s="1"/>
  <c r="AX143" i="45" s="1"/>
  <c r="W143" i="47"/>
  <c r="AB143" i="47" s="1"/>
  <c r="AJ143" i="47"/>
  <c r="AO143" i="47" s="1"/>
  <c r="AX143" i="47" s="1"/>
  <c r="W143" i="41"/>
  <c r="AB143" i="41" s="1"/>
  <c r="P202" i="41"/>
  <c r="U202" i="41" s="1"/>
  <c r="Z202" i="41" s="1"/>
  <c r="AJ143" i="41"/>
  <c r="AO143" i="41" s="1"/>
  <c r="AX143" i="41" s="1"/>
  <c r="P231" i="50"/>
  <c r="P231" i="46"/>
  <c r="U231" i="46" s="1"/>
  <c r="Z231" i="46" s="1"/>
  <c r="W172" i="51"/>
  <c r="AB172" i="51" s="1"/>
  <c r="P231" i="47"/>
  <c r="U231" i="47" s="1"/>
  <c r="Z231" i="47" s="1"/>
  <c r="AJ172" i="50"/>
  <c r="AO172" i="50" s="1"/>
  <c r="AX172" i="50" s="1"/>
  <c r="P231" i="42"/>
  <c r="U231" i="42" s="1"/>
  <c r="Z231" i="42" s="1"/>
  <c r="W172" i="50"/>
  <c r="AB172" i="50" s="1"/>
  <c r="AJ172" i="51"/>
  <c r="AO172" i="51" s="1"/>
  <c r="AX172" i="51" s="1"/>
  <c r="AJ172" i="46"/>
  <c r="AO172" i="46" s="1"/>
  <c r="AX172" i="46" s="1"/>
  <c r="W172" i="46"/>
  <c r="AB172" i="46" s="1"/>
  <c r="P231" i="51"/>
  <c r="U231" i="51" s="1"/>
  <c r="Z231" i="51" s="1"/>
  <c r="P231" i="45"/>
  <c r="W172" i="42"/>
  <c r="AB172" i="42" s="1"/>
  <c r="AJ172" i="42"/>
  <c r="AO172" i="42" s="1"/>
  <c r="AX172" i="42" s="1"/>
  <c r="W172" i="45"/>
  <c r="AB172" i="45" s="1"/>
  <c r="AJ172" i="45"/>
  <c r="AO172" i="45" s="1"/>
  <c r="AX172" i="45" s="1"/>
  <c r="AJ172" i="47"/>
  <c r="AO172" i="47" s="1"/>
  <c r="AX172" i="47" s="1"/>
  <c r="W172" i="47"/>
  <c r="AB172" i="47" s="1"/>
  <c r="P231" i="41"/>
  <c r="U231" i="41" s="1"/>
  <c r="Z231" i="41" s="1"/>
  <c r="W172" i="41"/>
  <c r="AB172" i="41" s="1"/>
  <c r="AJ172" i="41"/>
  <c r="AO172" i="41" s="1"/>
  <c r="AX172" i="41" s="1"/>
  <c r="K45" i="14"/>
  <c r="U45" i="14"/>
  <c r="AJ235" i="47"/>
  <c r="AF235" i="47"/>
  <c r="S45" i="14"/>
  <c r="AJ235" i="46"/>
  <c r="AF235" i="46"/>
  <c r="AD189" i="3"/>
  <c r="AA189" i="3"/>
  <c r="W189" i="3"/>
  <c r="AV130" i="3"/>
  <c r="AR130" i="3"/>
  <c r="AY130" i="3"/>
  <c r="AL54" i="3"/>
  <c r="AX54" i="3" s="1"/>
  <c r="AX28" i="3"/>
  <c r="AX29" i="3"/>
  <c r="AX30" i="3"/>
  <c r="AX32" i="3"/>
  <c r="AX33" i="3"/>
  <c r="AX34" i="3"/>
  <c r="AX35" i="3"/>
  <c r="AX36" i="3"/>
  <c r="AX37" i="3"/>
  <c r="AX38" i="3"/>
  <c r="AX39" i="3"/>
  <c r="AX40" i="3"/>
  <c r="AX41" i="3"/>
  <c r="AX42" i="3"/>
  <c r="AX43" i="3"/>
  <c r="AX44" i="3"/>
  <c r="AX45" i="3"/>
  <c r="AX46" i="3"/>
  <c r="AX47" i="3"/>
  <c r="AX48" i="3"/>
  <c r="AX49" i="3"/>
  <c r="AX50" i="3"/>
  <c r="AX51" i="3"/>
  <c r="AX52" i="3"/>
  <c r="AX53" i="3"/>
  <c r="AX56" i="3"/>
  <c r="AX57" i="3"/>
  <c r="AX58" i="3"/>
  <c r="AX59" i="3"/>
  <c r="AX60" i="3"/>
  <c r="AX61" i="3"/>
  <c r="AX62" i="3"/>
  <c r="AX63" i="3"/>
  <c r="AX64" i="3"/>
  <c r="AX65" i="3"/>
  <c r="AX66" i="3"/>
  <c r="AX68" i="3"/>
  <c r="AX69" i="3"/>
  <c r="AX70" i="3"/>
  <c r="AX71" i="3"/>
  <c r="AX72" i="3"/>
  <c r="AX73" i="3"/>
  <c r="AR31" i="3"/>
  <c r="L82" i="3"/>
  <c r="K78" i="3"/>
  <c r="X78" i="3" s="1"/>
  <c r="K124" i="3"/>
  <c r="X124" i="3" s="1"/>
  <c r="K123" i="3"/>
  <c r="X123" i="3" s="1"/>
  <c r="K122" i="3"/>
  <c r="X122" i="3" s="1"/>
  <c r="K121" i="3"/>
  <c r="X121" i="3" s="1"/>
  <c r="K120" i="3"/>
  <c r="X120" i="3" s="1"/>
  <c r="K119" i="3"/>
  <c r="X119" i="3" s="1"/>
  <c r="K118" i="3"/>
  <c r="X118" i="3" s="1"/>
  <c r="K117" i="3"/>
  <c r="X117" i="3" s="1"/>
  <c r="K116" i="3"/>
  <c r="X116" i="3" s="1"/>
  <c r="K115" i="3"/>
  <c r="X115" i="3" s="1"/>
  <c r="K114" i="3"/>
  <c r="X114" i="3" s="1"/>
  <c r="K113" i="3"/>
  <c r="X113" i="3" s="1"/>
  <c r="K112" i="3"/>
  <c r="X112" i="3" s="1"/>
  <c r="K111" i="3"/>
  <c r="X111" i="3" s="1"/>
  <c r="K110" i="3"/>
  <c r="X110" i="3" s="1"/>
  <c r="K109" i="3"/>
  <c r="X109" i="3" s="1"/>
  <c r="K108" i="3"/>
  <c r="X108" i="3" s="1"/>
  <c r="K107" i="3"/>
  <c r="X107" i="3" s="1"/>
  <c r="K106" i="3"/>
  <c r="X106" i="3" s="1"/>
  <c r="K105" i="3"/>
  <c r="X105" i="3" s="1"/>
  <c r="K104" i="3"/>
  <c r="X104" i="3" s="1"/>
  <c r="K103" i="3"/>
  <c r="X103" i="3" s="1"/>
  <c r="K102" i="3"/>
  <c r="X102" i="3" s="1"/>
  <c r="K101" i="3"/>
  <c r="X101" i="3" s="1"/>
  <c r="K100" i="3"/>
  <c r="X100" i="3" s="1"/>
  <c r="K99" i="3"/>
  <c r="X99" i="3" s="1"/>
  <c r="K98" i="3"/>
  <c r="X98" i="3" s="1"/>
  <c r="K97" i="3"/>
  <c r="X97" i="3" s="1"/>
  <c r="K96" i="3"/>
  <c r="X96" i="3" s="1"/>
  <c r="K95" i="3"/>
  <c r="X95" i="3" s="1"/>
  <c r="K94" i="3"/>
  <c r="X94" i="3" s="1"/>
  <c r="K93" i="3"/>
  <c r="X93" i="3" s="1"/>
  <c r="K92" i="3"/>
  <c r="X92" i="3" s="1"/>
  <c r="K91" i="3"/>
  <c r="X91" i="3" s="1"/>
  <c r="K90" i="3"/>
  <c r="X90" i="3" s="1"/>
  <c r="K89" i="3"/>
  <c r="X89" i="3" s="1"/>
  <c r="K88" i="3"/>
  <c r="X88" i="3" s="1"/>
  <c r="K87" i="3"/>
  <c r="X87" i="3" s="1"/>
  <c r="K86" i="3"/>
  <c r="X86" i="3" s="1"/>
  <c r="K85" i="3"/>
  <c r="X85" i="3" s="1"/>
  <c r="L84" i="3"/>
  <c r="K83" i="3"/>
  <c r="X83" i="3" s="1"/>
  <c r="K82" i="3"/>
  <c r="X82" i="3" s="1"/>
  <c r="K81" i="3"/>
  <c r="X81" i="3" s="1"/>
  <c r="K80" i="3"/>
  <c r="X80" i="3" s="1"/>
  <c r="L79" i="3"/>
  <c r="B89" i="10"/>
  <c r="Z31" i="3"/>
  <c r="AL31" i="3" s="1"/>
  <c r="B113" i="10"/>
  <c r="Z55" i="3"/>
  <c r="AL55" i="3" s="1"/>
  <c r="B125" i="10"/>
  <c r="Z67" i="3"/>
  <c r="AL67" i="3" s="1"/>
  <c r="B85" i="10"/>
  <c r="Q56" i="1"/>
  <c r="K79" i="3"/>
  <c r="X79" i="3" s="1"/>
  <c r="K84" i="3"/>
  <c r="X84" i="3" s="1"/>
  <c r="AA12" i="1"/>
  <c r="AA14" i="1"/>
  <c r="AA16" i="1"/>
  <c r="AA18" i="1"/>
  <c r="AA22" i="1"/>
  <c r="AA23" i="1"/>
  <c r="AA38" i="1"/>
  <c r="L78" i="3"/>
  <c r="B87" i="10"/>
  <c r="B87" i="38"/>
  <c r="B87" i="37"/>
  <c r="B87" i="34"/>
  <c r="B87" i="32"/>
  <c r="B87" i="33"/>
  <c r="B87" i="31"/>
  <c r="B87" i="30"/>
  <c r="B87" i="29"/>
  <c r="B87" i="28"/>
  <c r="B87" i="27"/>
  <c r="B87" i="26"/>
  <c r="B87" i="25"/>
  <c r="B87" i="24"/>
  <c r="B87" i="23"/>
  <c r="B87" i="22"/>
  <c r="B87" i="21"/>
  <c r="B87" i="19"/>
  <c r="B87" i="20"/>
  <c r="B87" i="18"/>
  <c r="B87" i="17"/>
  <c r="B87" i="16"/>
  <c r="B87" i="15"/>
  <c r="B89" i="38"/>
  <c r="B89" i="37"/>
  <c r="B89" i="34"/>
  <c r="B89" i="33"/>
  <c r="B89" i="32"/>
  <c r="B89" i="30"/>
  <c r="B89" i="31"/>
  <c r="B89" i="29"/>
  <c r="B89" i="28"/>
  <c r="B89" i="26"/>
  <c r="B89" i="27"/>
  <c r="B89" i="25"/>
  <c r="B89" i="24"/>
  <c r="B89" i="23"/>
  <c r="B89" i="22"/>
  <c r="B89" i="21"/>
  <c r="B89" i="20"/>
  <c r="B89" i="19"/>
  <c r="B89" i="16"/>
  <c r="B89" i="18"/>
  <c r="B89" i="17"/>
  <c r="B89" i="15"/>
  <c r="AC89" i="15" s="1"/>
  <c r="B91" i="10"/>
  <c r="B91" i="38"/>
  <c r="B91" i="37"/>
  <c r="B91" i="34"/>
  <c r="B91" i="32"/>
  <c r="B91" i="33"/>
  <c r="B91" i="31"/>
  <c r="B91" i="30"/>
  <c r="B91" i="29"/>
  <c r="B91" i="28"/>
  <c r="B91" i="27"/>
  <c r="B91" i="26"/>
  <c r="B91" i="25"/>
  <c r="B91" i="24"/>
  <c r="B91" i="23"/>
  <c r="B91" i="22"/>
  <c r="B91" i="21"/>
  <c r="B91" i="20"/>
  <c r="B91" i="19"/>
  <c r="B91" i="18"/>
  <c r="B91" i="17"/>
  <c r="B91" i="16"/>
  <c r="B91" i="15"/>
  <c r="AC91" i="15" s="1"/>
  <c r="B93" i="11"/>
  <c r="AC93" i="11" s="1"/>
  <c r="B93" i="38"/>
  <c r="B93" i="37"/>
  <c r="B93" i="34"/>
  <c r="B93" i="33"/>
  <c r="B93" i="32"/>
  <c r="B93" i="31"/>
  <c r="B93" i="30"/>
  <c r="B93" i="29"/>
  <c r="B93" i="28"/>
  <c r="B93" i="26"/>
  <c r="B93" i="27"/>
  <c r="B93" i="25"/>
  <c r="B93" i="24"/>
  <c r="B93" i="23"/>
  <c r="B93" i="22"/>
  <c r="B93" i="21"/>
  <c r="B93" i="20"/>
  <c r="B93" i="19"/>
  <c r="B93" i="16"/>
  <c r="B93" i="18"/>
  <c r="B93" i="17"/>
  <c r="B93" i="15"/>
  <c r="B95" i="11"/>
  <c r="AC95" i="11" s="1"/>
  <c r="B95" i="38"/>
  <c r="B95" i="37"/>
  <c r="B95" i="34"/>
  <c r="B95" i="33"/>
  <c r="B95" i="32"/>
  <c r="B95" i="31"/>
  <c r="B95" i="30"/>
  <c r="B95" i="29"/>
  <c r="B95" i="28"/>
  <c r="B95" i="27"/>
  <c r="B95" i="26"/>
  <c r="B95" i="25"/>
  <c r="B95" i="24"/>
  <c r="B95" i="23"/>
  <c r="B95" i="22"/>
  <c r="B95" i="21"/>
  <c r="B95" i="20"/>
  <c r="B95" i="19"/>
  <c r="B95" i="18"/>
  <c r="B95" i="17"/>
  <c r="B95" i="16"/>
  <c r="B95" i="15"/>
  <c r="B97" i="10"/>
  <c r="B97" i="38"/>
  <c r="B97" i="37"/>
  <c r="B97" i="34"/>
  <c r="B97" i="33"/>
  <c r="B97" i="32"/>
  <c r="B97" i="31"/>
  <c r="B97" i="30"/>
  <c r="B97" i="29"/>
  <c r="B97" i="28"/>
  <c r="B97" i="26"/>
  <c r="B97" i="27"/>
  <c r="B97" i="25"/>
  <c r="B97" i="24"/>
  <c r="B97" i="23"/>
  <c r="B97" i="22"/>
  <c r="B97" i="21"/>
  <c r="B97" i="20"/>
  <c r="B97" i="19"/>
  <c r="B97" i="16"/>
  <c r="B97" i="18"/>
  <c r="B97" i="17"/>
  <c r="B97" i="15"/>
  <c r="AC97" i="15" s="1"/>
  <c r="B99" i="11"/>
  <c r="AC99" i="11" s="1"/>
  <c r="B99" i="38"/>
  <c r="B99" i="37"/>
  <c r="B99" i="34"/>
  <c r="B99" i="33"/>
  <c r="B99" i="32"/>
  <c r="B99" i="31"/>
  <c r="B99" i="30"/>
  <c r="B99" i="29"/>
  <c r="B99" i="28"/>
  <c r="B99" i="27"/>
  <c r="B99" i="26"/>
  <c r="B99" i="25"/>
  <c r="B99" i="24"/>
  <c r="E40" i="24" s="1"/>
  <c r="B99" i="23"/>
  <c r="B99" i="22"/>
  <c r="B99" i="21"/>
  <c r="B99" i="20"/>
  <c r="B99" i="19"/>
  <c r="B99" i="18"/>
  <c r="B99" i="17"/>
  <c r="B99" i="16"/>
  <c r="B99" i="15"/>
  <c r="AC99" i="15" s="1"/>
  <c r="B101" i="38"/>
  <c r="B101" i="37"/>
  <c r="B101" i="34"/>
  <c r="B101" i="33"/>
  <c r="B101" i="32"/>
  <c r="B101" i="31"/>
  <c r="B101" i="30"/>
  <c r="B101" i="29"/>
  <c r="B101" i="28"/>
  <c r="B101" i="26"/>
  <c r="B101" i="27"/>
  <c r="B101" i="25"/>
  <c r="B101" i="24"/>
  <c r="B101" i="23"/>
  <c r="B101" i="22"/>
  <c r="B101" i="21"/>
  <c r="B101" i="20"/>
  <c r="B101" i="19"/>
  <c r="B101" i="16"/>
  <c r="B101" i="18"/>
  <c r="B101" i="17"/>
  <c r="B101" i="15"/>
  <c r="B103" i="10"/>
  <c r="B103" i="38"/>
  <c r="B103" i="37"/>
  <c r="B103" i="34"/>
  <c r="B103" i="33"/>
  <c r="B103" i="32"/>
  <c r="B103" i="30"/>
  <c r="B103" i="31"/>
  <c r="B103" i="29"/>
  <c r="B103" i="28"/>
  <c r="B103" i="27"/>
  <c r="B103" i="26"/>
  <c r="B103" i="25"/>
  <c r="B103" i="24"/>
  <c r="B103" i="23"/>
  <c r="B103" i="22"/>
  <c r="B103" i="21"/>
  <c r="B103" i="20"/>
  <c r="B103" i="19"/>
  <c r="B103" i="18"/>
  <c r="B103" i="17"/>
  <c r="B103" i="16"/>
  <c r="B103" i="15"/>
  <c r="AA39" i="1"/>
  <c r="B105" i="38"/>
  <c r="B105" i="37"/>
  <c r="B105" i="34"/>
  <c r="B105" i="33"/>
  <c r="B105" i="32"/>
  <c r="B105" i="31"/>
  <c r="B105" i="30"/>
  <c r="B105" i="29"/>
  <c r="B105" i="28"/>
  <c r="B105" i="26"/>
  <c r="B105" i="27"/>
  <c r="B105" i="25"/>
  <c r="B105" i="24"/>
  <c r="B105" i="23"/>
  <c r="B105" i="22"/>
  <c r="B105" i="21"/>
  <c r="B105" i="20"/>
  <c r="B105" i="19"/>
  <c r="B105" i="16"/>
  <c r="B105" i="18"/>
  <c r="B105" i="17"/>
  <c r="B105" i="15"/>
  <c r="AC105" i="15" s="1"/>
  <c r="B107" i="38"/>
  <c r="B107" i="37"/>
  <c r="B107" i="34"/>
  <c r="B107" i="32"/>
  <c r="B107" i="33"/>
  <c r="B107" i="30"/>
  <c r="B107" i="31"/>
  <c r="B107" i="29"/>
  <c r="B107" i="28"/>
  <c r="B107" i="27"/>
  <c r="B107" i="26"/>
  <c r="B107" i="25"/>
  <c r="B107" i="24"/>
  <c r="B107" i="23"/>
  <c r="B107" i="22"/>
  <c r="B107" i="21"/>
  <c r="B107" i="20"/>
  <c r="B107" i="19"/>
  <c r="B107" i="18"/>
  <c r="B107" i="17"/>
  <c r="B107" i="16"/>
  <c r="B107" i="15"/>
  <c r="AC107" i="15" s="1"/>
  <c r="B109" i="38"/>
  <c r="B109" i="37"/>
  <c r="B109" i="34"/>
  <c r="B109" i="33"/>
  <c r="B109" i="32"/>
  <c r="B109" i="31"/>
  <c r="B109" i="30"/>
  <c r="B109" i="29"/>
  <c r="B109" i="28"/>
  <c r="B109" i="26"/>
  <c r="B109" i="27"/>
  <c r="B109" i="25"/>
  <c r="B109" i="24"/>
  <c r="B109" i="23"/>
  <c r="B109" i="22"/>
  <c r="B109" i="21"/>
  <c r="B109" i="20"/>
  <c r="B109" i="19"/>
  <c r="B109" i="16"/>
  <c r="B109" i="17"/>
  <c r="B109" i="18"/>
  <c r="B109" i="15"/>
  <c r="B111" i="38"/>
  <c r="B111" i="37"/>
  <c r="B111" i="34"/>
  <c r="B111" i="32"/>
  <c r="B111" i="33"/>
  <c r="B111" i="30"/>
  <c r="B111" i="31"/>
  <c r="B111" i="29"/>
  <c r="B111" i="28"/>
  <c r="B111" i="27"/>
  <c r="B111" i="26"/>
  <c r="B111" i="25"/>
  <c r="B111" i="24"/>
  <c r="B111" i="23"/>
  <c r="B111" i="22"/>
  <c r="B111" i="21"/>
  <c r="B111" i="20"/>
  <c r="B111" i="19"/>
  <c r="B111" i="17"/>
  <c r="B111" i="18"/>
  <c r="B111" i="16"/>
  <c r="B111" i="15"/>
  <c r="B113" i="38"/>
  <c r="B113" i="37"/>
  <c r="B113" i="34"/>
  <c r="B113" i="32"/>
  <c r="B113" i="33"/>
  <c r="B113" i="31"/>
  <c r="B113" i="30"/>
  <c r="B113" i="29"/>
  <c r="B113" i="28"/>
  <c r="B113" i="26"/>
  <c r="B113" i="27"/>
  <c r="B113" i="25"/>
  <c r="B113" i="24"/>
  <c r="B113" i="23"/>
  <c r="B113" i="22"/>
  <c r="B113" i="21"/>
  <c r="B113" i="20"/>
  <c r="B113" i="19"/>
  <c r="B113" i="16"/>
  <c r="B113" i="17"/>
  <c r="B113" i="18"/>
  <c r="B113" i="15"/>
  <c r="AC113" i="15" s="1"/>
  <c r="B115" i="38"/>
  <c r="B115" i="37"/>
  <c r="B115" i="34"/>
  <c r="B115" i="32"/>
  <c r="B115" i="33"/>
  <c r="B115" i="31"/>
  <c r="B115" i="30"/>
  <c r="B115" i="29"/>
  <c r="B115" i="28"/>
  <c r="B115" i="27"/>
  <c r="B115" i="26"/>
  <c r="B115" i="25"/>
  <c r="B115" i="24"/>
  <c r="B115" i="23"/>
  <c r="B115" i="22"/>
  <c r="B115" i="21"/>
  <c r="B115" i="20"/>
  <c r="B115" i="19"/>
  <c r="B115" i="18"/>
  <c r="B115" i="16"/>
  <c r="B115" i="17"/>
  <c r="B115" i="15"/>
  <c r="AC115" i="15" s="1"/>
  <c r="B117" i="38"/>
  <c r="B117" i="37"/>
  <c r="B117" i="34"/>
  <c r="B117" i="32"/>
  <c r="B117" i="33"/>
  <c r="B117" i="31"/>
  <c r="B117" i="30"/>
  <c r="B117" i="29"/>
  <c r="B117" i="28"/>
  <c r="B117" i="26"/>
  <c r="B117" i="27"/>
  <c r="B117" i="25"/>
  <c r="B117" i="24"/>
  <c r="B117" i="23"/>
  <c r="B117" i="22"/>
  <c r="B117" i="21"/>
  <c r="B117" i="20"/>
  <c r="B117" i="19"/>
  <c r="B117" i="16"/>
  <c r="B117" i="17"/>
  <c r="B117" i="18"/>
  <c r="B117" i="15"/>
  <c r="B119" i="38"/>
  <c r="B119" i="37"/>
  <c r="B119" i="34"/>
  <c r="B119" i="33"/>
  <c r="B119" i="32"/>
  <c r="B119" i="31"/>
  <c r="B119" i="30"/>
  <c r="B119" i="29"/>
  <c r="B119" i="28"/>
  <c r="B119" i="27"/>
  <c r="B119" i="26"/>
  <c r="B119" i="25"/>
  <c r="B119" i="24"/>
  <c r="B119" i="23"/>
  <c r="B119" i="22"/>
  <c r="B119" i="21"/>
  <c r="B119" i="20"/>
  <c r="B119" i="19"/>
  <c r="B119" i="18"/>
  <c r="B119" i="16"/>
  <c r="B119" i="17"/>
  <c r="B119" i="15"/>
  <c r="B121" i="38"/>
  <c r="B121" i="37"/>
  <c r="B121" i="34"/>
  <c r="B121" i="33"/>
  <c r="B121" i="32"/>
  <c r="B121" i="31"/>
  <c r="B121" i="30"/>
  <c r="B121" i="29"/>
  <c r="B121" i="28"/>
  <c r="B121" i="26"/>
  <c r="B121" i="27"/>
  <c r="B121" i="25"/>
  <c r="B121" i="24"/>
  <c r="B121" i="23"/>
  <c r="B121" i="22"/>
  <c r="B121" i="21"/>
  <c r="B121" i="20"/>
  <c r="B121" i="19"/>
  <c r="B121" i="16"/>
  <c r="B121" i="17"/>
  <c r="B121" i="18"/>
  <c r="B121" i="15"/>
  <c r="AC121" i="15" s="1"/>
  <c r="B123" i="11"/>
  <c r="AC123" i="11" s="1"/>
  <c r="B123" i="38"/>
  <c r="B123" i="37"/>
  <c r="B123" i="34"/>
  <c r="B123" i="32"/>
  <c r="B123" i="33"/>
  <c r="B123" i="31"/>
  <c r="B123" i="30"/>
  <c r="B123" i="29"/>
  <c r="B123" i="28"/>
  <c r="B123" i="27"/>
  <c r="B123" i="26"/>
  <c r="B123" i="25"/>
  <c r="B123" i="24"/>
  <c r="B123" i="23"/>
  <c r="B123" i="22"/>
  <c r="B123" i="21"/>
  <c r="B123" i="20"/>
  <c r="B123" i="19"/>
  <c r="B123" i="18"/>
  <c r="B123" i="16"/>
  <c r="B123" i="17"/>
  <c r="B123" i="15"/>
  <c r="AC123" i="15" s="1"/>
  <c r="B125" i="11"/>
  <c r="AC125" i="11" s="1"/>
  <c r="B125" i="38"/>
  <c r="B125" i="37"/>
  <c r="B125" i="34"/>
  <c r="B125" i="33"/>
  <c r="B125" i="32"/>
  <c r="B125" i="30"/>
  <c r="B125" i="31"/>
  <c r="B125" i="29"/>
  <c r="B125" i="28"/>
  <c r="B125" i="26"/>
  <c r="B125" i="27"/>
  <c r="B125" i="25"/>
  <c r="B125" i="24"/>
  <c r="B125" i="23"/>
  <c r="B125" i="22"/>
  <c r="B125" i="21"/>
  <c r="B125" i="20"/>
  <c r="B125" i="19"/>
  <c r="B125" i="16"/>
  <c r="B125" i="17"/>
  <c r="B125" i="18"/>
  <c r="B125" i="15"/>
  <c r="B127" i="11"/>
  <c r="AC127" i="11" s="1"/>
  <c r="B127" i="38"/>
  <c r="B127" i="37"/>
  <c r="B127" i="34"/>
  <c r="B127" i="32"/>
  <c r="B127" i="33"/>
  <c r="B127" i="30"/>
  <c r="B127" i="31"/>
  <c r="B127" i="29"/>
  <c r="B127" i="28"/>
  <c r="B127" i="27"/>
  <c r="B127" i="26"/>
  <c r="B127" i="25"/>
  <c r="B127" i="24"/>
  <c r="B127" i="23"/>
  <c r="B127" i="22"/>
  <c r="B127" i="21"/>
  <c r="B127" i="20"/>
  <c r="B127" i="19"/>
  <c r="B127" i="18"/>
  <c r="B127" i="17"/>
  <c r="B127" i="16"/>
  <c r="B127" i="15"/>
  <c r="B129" i="38"/>
  <c r="B129" i="37"/>
  <c r="B129" i="34"/>
  <c r="B129" i="33"/>
  <c r="B129" i="32"/>
  <c r="B129" i="30"/>
  <c r="B129" i="31"/>
  <c r="B129" i="29"/>
  <c r="B129" i="28"/>
  <c r="B129" i="26"/>
  <c r="B129" i="27"/>
  <c r="B129" i="25"/>
  <c r="B129" i="24"/>
  <c r="B129" i="23"/>
  <c r="B129" i="22"/>
  <c r="B129" i="21"/>
  <c r="B129" i="20"/>
  <c r="B129" i="19"/>
  <c r="B129" i="17"/>
  <c r="B129" i="16"/>
  <c r="B129" i="18"/>
  <c r="B129" i="15"/>
  <c r="AC129" i="15" s="1"/>
  <c r="B131" i="38"/>
  <c r="B131" i="37"/>
  <c r="B131" i="34"/>
  <c r="B131" i="32"/>
  <c r="B131" i="33"/>
  <c r="B131" i="31"/>
  <c r="B131" i="30"/>
  <c r="B131" i="29"/>
  <c r="B131" i="28"/>
  <c r="B131" i="27"/>
  <c r="B131" i="26"/>
  <c r="B131" i="25"/>
  <c r="B131" i="24"/>
  <c r="B131" i="23"/>
  <c r="B131" i="22"/>
  <c r="B131" i="21"/>
  <c r="B131" i="20"/>
  <c r="B131" i="19"/>
  <c r="B131" i="18"/>
  <c r="B131" i="17"/>
  <c r="B131" i="16"/>
  <c r="B131" i="15"/>
  <c r="AC131" i="15" s="1"/>
  <c r="B121" i="10"/>
  <c r="L89" i="3"/>
  <c r="B109" i="10"/>
  <c r="E48" i="15"/>
  <c r="P48" i="15" s="1"/>
  <c r="B86" i="38"/>
  <c r="B86" i="37"/>
  <c r="B86" i="34"/>
  <c r="B86" i="33"/>
  <c r="B86" i="32"/>
  <c r="B86" i="31"/>
  <c r="B86" i="30"/>
  <c r="B86" i="29"/>
  <c r="B86" i="28"/>
  <c r="B86" i="26"/>
  <c r="B86" i="27"/>
  <c r="B86" i="25"/>
  <c r="B86" i="24"/>
  <c r="B86" i="23"/>
  <c r="B86" i="22"/>
  <c r="B86" i="21"/>
  <c r="B86" i="19"/>
  <c r="B86" i="20"/>
  <c r="B86" i="16"/>
  <c r="B86" i="18"/>
  <c r="B86" i="17"/>
  <c r="B86" i="15"/>
  <c r="B88" i="11"/>
  <c r="B88" i="38"/>
  <c r="B88" i="37"/>
  <c r="B88" i="34"/>
  <c r="B88" i="32"/>
  <c r="B88" i="33"/>
  <c r="B88" i="30"/>
  <c r="B88" i="31"/>
  <c r="B88" i="29"/>
  <c r="B88" i="28"/>
  <c r="B88" i="27"/>
  <c r="B88" i="26"/>
  <c r="B88" i="25"/>
  <c r="B88" i="24"/>
  <c r="B88" i="23"/>
  <c r="B88" i="22"/>
  <c r="B88" i="21"/>
  <c r="B88" i="20"/>
  <c r="B88" i="19"/>
  <c r="B88" i="18"/>
  <c r="B88" i="17"/>
  <c r="B88" i="16"/>
  <c r="B88" i="15"/>
  <c r="B90" i="11"/>
  <c r="AC90" i="11" s="1"/>
  <c r="B90" i="38"/>
  <c r="B90" i="37"/>
  <c r="B90" i="34"/>
  <c r="B90" i="32"/>
  <c r="B90" i="33"/>
  <c r="B90" i="31"/>
  <c r="B90" i="30"/>
  <c r="B90" i="29"/>
  <c r="B90" i="28"/>
  <c r="B90" i="26"/>
  <c r="B90" i="27"/>
  <c r="B90" i="25"/>
  <c r="B90" i="24"/>
  <c r="B90" i="23"/>
  <c r="B90" i="22"/>
  <c r="B90" i="21"/>
  <c r="B90" i="19"/>
  <c r="B90" i="20"/>
  <c r="B90" i="16"/>
  <c r="B90" i="18"/>
  <c r="B90" i="17"/>
  <c r="B90" i="15"/>
  <c r="B92" i="11"/>
  <c r="AC92" i="11" s="1"/>
  <c r="B92" i="38"/>
  <c r="B92" i="37"/>
  <c r="B92" i="34"/>
  <c r="B92" i="32"/>
  <c r="B92" i="33"/>
  <c r="B92" i="30"/>
  <c r="B92" i="31"/>
  <c r="B92" i="29"/>
  <c r="B92" i="28"/>
  <c r="B92" i="27"/>
  <c r="B92" i="26"/>
  <c r="B92" i="25"/>
  <c r="B92" i="24"/>
  <c r="B92" i="23"/>
  <c r="B92" i="22"/>
  <c r="B92" i="21"/>
  <c r="B92" i="20"/>
  <c r="B92" i="19"/>
  <c r="B92" i="18"/>
  <c r="B92" i="17"/>
  <c r="B92" i="16"/>
  <c r="B92" i="15"/>
  <c r="B94" i="10"/>
  <c r="B94" i="38"/>
  <c r="B94" i="37"/>
  <c r="B94" i="34"/>
  <c r="B94" i="33"/>
  <c r="B94" i="32"/>
  <c r="B94" i="31"/>
  <c r="B94" i="30"/>
  <c r="B94" i="29"/>
  <c r="B94" i="28"/>
  <c r="B94" i="26"/>
  <c r="B94" i="27"/>
  <c r="B94" i="25"/>
  <c r="B94" i="24"/>
  <c r="B94" i="23"/>
  <c r="B94" i="22"/>
  <c r="B94" i="21"/>
  <c r="B94" i="19"/>
  <c r="B94" i="20"/>
  <c r="B94" i="16"/>
  <c r="B94" i="18"/>
  <c r="B94" i="17"/>
  <c r="B94" i="15"/>
  <c r="AC94" i="15" s="1"/>
  <c r="B96" i="38"/>
  <c r="B96" i="37"/>
  <c r="B96" i="34"/>
  <c r="B96" i="33"/>
  <c r="B96" i="32"/>
  <c r="B96" i="30"/>
  <c r="B96" i="31"/>
  <c r="B96" i="29"/>
  <c r="B96" i="28"/>
  <c r="B96" i="27"/>
  <c r="B96" i="26"/>
  <c r="B96" i="25"/>
  <c r="B96" i="24"/>
  <c r="B96" i="23"/>
  <c r="B96" i="22"/>
  <c r="B96" i="21"/>
  <c r="B96" i="20"/>
  <c r="B96" i="19"/>
  <c r="B96" i="18"/>
  <c r="B96" i="17"/>
  <c r="B96" i="16"/>
  <c r="B96" i="15"/>
  <c r="AC96" i="15" s="1"/>
  <c r="B98" i="10"/>
  <c r="B98" i="38"/>
  <c r="B98" i="37"/>
  <c r="B98" i="34"/>
  <c r="B98" i="33"/>
  <c r="B98" i="32"/>
  <c r="B98" i="31"/>
  <c r="B98" i="30"/>
  <c r="B98" i="29"/>
  <c r="B98" i="28"/>
  <c r="B98" i="26"/>
  <c r="B98" i="27"/>
  <c r="B98" i="25"/>
  <c r="B98" i="24"/>
  <c r="B98" i="23"/>
  <c r="B98" i="22"/>
  <c r="B98" i="21"/>
  <c r="B98" i="19"/>
  <c r="B98" i="20"/>
  <c r="B98" i="18"/>
  <c r="B98" i="17"/>
  <c r="B98" i="16"/>
  <c r="B98" i="15"/>
  <c r="B100" i="38"/>
  <c r="B100" i="37"/>
  <c r="B100" i="34"/>
  <c r="B100" i="32"/>
  <c r="B100" i="33"/>
  <c r="B100" i="31"/>
  <c r="B100" i="30"/>
  <c r="B100" i="29"/>
  <c r="B100" i="28"/>
  <c r="B100" i="27"/>
  <c r="B100" i="26"/>
  <c r="B100" i="25"/>
  <c r="B100" i="24"/>
  <c r="B100" i="23"/>
  <c r="B100" i="22"/>
  <c r="B100" i="21"/>
  <c r="B100" i="20"/>
  <c r="B100" i="19"/>
  <c r="B100" i="18"/>
  <c r="B100" i="17"/>
  <c r="B100" i="16"/>
  <c r="B100" i="15"/>
  <c r="B102" i="10"/>
  <c r="B102" i="38"/>
  <c r="B102" i="37"/>
  <c r="B102" i="34"/>
  <c r="B102" i="33"/>
  <c r="B102" i="32"/>
  <c r="B102" i="31"/>
  <c r="B102" i="30"/>
  <c r="B102" i="29"/>
  <c r="B102" i="28"/>
  <c r="B102" i="26"/>
  <c r="B102" i="27"/>
  <c r="B102" i="25"/>
  <c r="B102" i="24"/>
  <c r="B102" i="23"/>
  <c r="B102" i="22"/>
  <c r="B102" i="21"/>
  <c r="B102" i="19"/>
  <c r="B102" i="20"/>
  <c r="B102" i="18"/>
  <c r="B102" i="17"/>
  <c r="B102" i="16"/>
  <c r="B102" i="15"/>
  <c r="AC102" i="15" s="1"/>
  <c r="B85" i="11"/>
  <c r="B85" i="38"/>
  <c r="B85" i="37"/>
  <c r="B85" i="34"/>
  <c r="B85" i="33"/>
  <c r="B85" i="32"/>
  <c r="B85" i="30"/>
  <c r="B85" i="31"/>
  <c r="B85" i="29"/>
  <c r="B85" i="28"/>
  <c r="B85" i="26"/>
  <c r="B85" i="27"/>
  <c r="B85" i="25"/>
  <c r="B85" i="24"/>
  <c r="B85" i="23"/>
  <c r="B85" i="22"/>
  <c r="B85" i="21"/>
  <c r="B85" i="20"/>
  <c r="B85" i="19"/>
  <c r="B85" i="16"/>
  <c r="B85" i="18"/>
  <c r="B85" i="17"/>
  <c r="B85" i="15"/>
  <c r="B129" i="10"/>
  <c r="B104" i="11"/>
  <c r="AC104" i="11" s="1"/>
  <c r="B104" i="38"/>
  <c r="B104" i="37"/>
  <c r="B104" i="34"/>
  <c r="B104" i="33"/>
  <c r="B104" i="32"/>
  <c r="B104" i="31"/>
  <c r="B104" i="30"/>
  <c r="B104" i="29"/>
  <c r="B104" i="28"/>
  <c r="B104" i="27"/>
  <c r="B104" i="26"/>
  <c r="B104" i="25"/>
  <c r="B104" i="24"/>
  <c r="B104" i="23"/>
  <c r="B104" i="22"/>
  <c r="B104" i="21"/>
  <c r="B104" i="20"/>
  <c r="B104" i="19"/>
  <c r="B104" i="18"/>
  <c r="B104" i="17"/>
  <c r="B104" i="16"/>
  <c r="B104" i="15"/>
  <c r="AC104" i="15" s="1"/>
  <c r="B106" i="11"/>
  <c r="AC106" i="11" s="1"/>
  <c r="B106" i="38"/>
  <c r="B106" i="37"/>
  <c r="B106" i="34"/>
  <c r="B106" i="33"/>
  <c r="B106" i="32"/>
  <c r="B106" i="31"/>
  <c r="B106" i="30"/>
  <c r="B106" i="29"/>
  <c r="B106" i="28"/>
  <c r="B106" i="26"/>
  <c r="B106" i="27"/>
  <c r="B106" i="25"/>
  <c r="B106" i="24"/>
  <c r="B106" i="23"/>
  <c r="B106" i="22"/>
  <c r="B106" i="21"/>
  <c r="B106" i="19"/>
  <c r="B106" i="20"/>
  <c r="B106" i="18"/>
  <c r="B106" i="17"/>
  <c r="B106" i="16"/>
  <c r="B106" i="15"/>
  <c r="B108" i="11"/>
  <c r="AC108" i="11" s="1"/>
  <c r="B108" i="38"/>
  <c r="B108" i="37"/>
  <c r="B108" i="34"/>
  <c r="B108" i="33"/>
  <c r="B108" i="32"/>
  <c r="B108" i="31"/>
  <c r="B108" i="30"/>
  <c r="B108" i="29"/>
  <c r="B108" i="28"/>
  <c r="B108" i="27"/>
  <c r="B108" i="26"/>
  <c r="B108" i="25"/>
  <c r="B108" i="24"/>
  <c r="B108" i="23"/>
  <c r="B108" i="22"/>
  <c r="B108" i="21"/>
  <c r="B108" i="20"/>
  <c r="B108" i="19"/>
  <c r="B108" i="18"/>
  <c r="B108" i="16"/>
  <c r="B108" i="17"/>
  <c r="B108" i="15"/>
  <c r="B110" i="38"/>
  <c r="B110" i="37"/>
  <c r="B110" i="34"/>
  <c r="B110" i="32"/>
  <c r="B110" i="33"/>
  <c r="B110" i="31"/>
  <c r="B110" i="30"/>
  <c r="B110" i="29"/>
  <c r="B110" i="28"/>
  <c r="B110" i="26"/>
  <c r="B110" i="27"/>
  <c r="B110" i="25"/>
  <c r="B110" i="24"/>
  <c r="B110" i="23"/>
  <c r="B110" i="22"/>
  <c r="B110" i="21"/>
  <c r="B110" i="19"/>
  <c r="B110" i="20"/>
  <c r="B110" i="17"/>
  <c r="B110" i="18"/>
  <c r="B110" i="16"/>
  <c r="B110" i="15"/>
  <c r="AC110" i="15" s="1"/>
  <c r="B112" i="38"/>
  <c r="B112" i="37"/>
  <c r="B112" i="34"/>
  <c r="B112" i="33"/>
  <c r="B112" i="32"/>
  <c r="B112" i="31"/>
  <c r="B112" i="30"/>
  <c r="B112" i="29"/>
  <c r="B112" i="28"/>
  <c r="B112" i="27"/>
  <c r="B112" i="26"/>
  <c r="B112" i="25"/>
  <c r="B112" i="24"/>
  <c r="B112" i="23"/>
  <c r="B112" i="22"/>
  <c r="B112" i="21"/>
  <c r="B112" i="20"/>
  <c r="B112" i="19"/>
  <c r="B112" i="18"/>
  <c r="B112" i="16"/>
  <c r="B112" i="17"/>
  <c r="B112" i="15"/>
  <c r="B114" i="38"/>
  <c r="B114" i="37"/>
  <c r="B114" i="34"/>
  <c r="B114" i="32"/>
  <c r="B114" i="33"/>
  <c r="B114" i="31"/>
  <c r="B114" i="30"/>
  <c r="B114" i="29"/>
  <c r="B114" i="28"/>
  <c r="B114" i="26"/>
  <c r="B114" i="27"/>
  <c r="B114" i="25"/>
  <c r="B114" i="24"/>
  <c r="B114" i="23"/>
  <c r="B114" i="22"/>
  <c r="B114" i="21"/>
  <c r="B114" i="19"/>
  <c r="B114" i="20"/>
  <c r="B114" i="17"/>
  <c r="B114" i="18"/>
  <c r="B114" i="16"/>
  <c r="B114" i="15"/>
  <c r="B116" i="38"/>
  <c r="B116" i="37"/>
  <c r="B116" i="34"/>
  <c r="B116" i="33"/>
  <c r="B116" i="32"/>
  <c r="B116" i="31"/>
  <c r="B116" i="30"/>
  <c r="B116" i="29"/>
  <c r="B116" i="28"/>
  <c r="B116" i="27"/>
  <c r="B116" i="26"/>
  <c r="B116" i="25"/>
  <c r="B116" i="24"/>
  <c r="B116" i="23"/>
  <c r="B116" i="22"/>
  <c r="B116" i="21"/>
  <c r="B116" i="20"/>
  <c r="B116" i="19"/>
  <c r="B116" i="18"/>
  <c r="B116" i="16"/>
  <c r="B116" i="17"/>
  <c r="B116" i="15"/>
  <c r="B118" i="38"/>
  <c r="B118" i="37"/>
  <c r="B118" i="34"/>
  <c r="B118" i="33"/>
  <c r="B118" i="32"/>
  <c r="B118" i="31"/>
  <c r="B118" i="30"/>
  <c r="B118" i="29"/>
  <c r="B118" i="28"/>
  <c r="B118" i="27"/>
  <c r="B118" i="26"/>
  <c r="B118" i="25"/>
  <c r="B118" i="24"/>
  <c r="B118" i="23"/>
  <c r="B118" i="22"/>
  <c r="B118" i="21"/>
  <c r="B118" i="19"/>
  <c r="B118" i="20"/>
  <c r="B118" i="17"/>
  <c r="B118" i="18"/>
  <c r="B118" i="16"/>
  <c r="B118" i="15"/>
  <c r="AC118" i="15" s="1"/>
  <c r="B120" i="11"/>
  <c r="AC120" i="11" s="1"/>
  <c r="B120" i="38"/>
  <c r="B120" i="37"/>
  <c r="B120" i="34"/>
  <c r="B120" i="33"/>
  <c r="B120" i="32"/>
  <c r="B120" i="31"/>
  <c r="B120" i="30"/>
  <c r="B120" i="29"/>
  <c r="B120" i="28"/>
  <c r="B120" i="27"/>
  <c r="B120" i="26"/>
  <c r="B120" i="25"/>
  <c r="B120" i="24"/>
  <c r="B120" i="23"/>
  <c r="B120" i="22"/>
  <c r="B120" i="21"/>
  <c r="B120" i="20"/>
  <c r="B120" i="19"/>
  <c r="B120" i="18"/>
  <c r="B120" i="16"/>
  <c r="B120" i="17"/>
  <c r="B120" i="15"/>
  <c r="AC120" i="15" s="1"/>
  <c r="B122" i="11"/>
  <c r="AC122" i="11" s="1"/>
  <c r="B122" i="38"/>
  <c r="B122" i="37"/>
  <c r="B122" i="34"/>
  <c r="B122" i="33"/>
  <c r="B122" i="32"/>
  <c r="B122" i="31"/>
  <c r="B122" i="30"/>
  <c r="B122" i="29"/>
  <c r="B122" i="28"/>
  <c r="B122" i="27"/>
  <c r="B122" i="26"/>
  <c r="B122" i="25"/>
  <c r="B122" i="24"/>
  <c r="B122" i="23"/>
  <c r="B122" i="22"/>
  <c r="B122" i="21"/>
  <c r="B122" i="19"/>
  <c r="B122" i="20"/>
  <c r="B122" i="17"/>
  <c r="B122" i="18"/>
  <c r="B122" i="16"/>
  <c r="B122" i="15"/>
  <c r="B124" i="10"/>
  <c r="B124" i="38"/>
  <c r="B124" i="37"/>
  <c r="B124" i="34"/>
  <c r="B124" i="33"/>
  <c r="B124" i="32"/>
  <c r="B124" i="30"/>
  <c r="B124" i="31"/>
  <c r="B124" i="29"/>
  <c r="B124" i="28"/>
  <c r="B124" i="27"/>
  <c r="B124" i="26"/>
  <c r="B124" i="25"/>
  <c r="B124" i="24"/>
  <c r="B124" i="23"/>
  <c r="B124" i="22"/>
  <c r="B124" i="21"/>
  <c r="B124" i="20"/>
  <c r="B124" i="19"/>
  <c r="B124" i="18"/>
  <c r="B124" i="16"/>
  <c r="B124" i="17"/>
  <c r="B124" i="15"/>
  <c r="B126" i="38"/>
  <c r="B126" i="37"/>
  <c r="B126" i="34"/>
  <c r="B126" i="33"/>
  <c r="B126" i="32"/>
  <c r="B126" i="30"/>
  <c r="B126" i="31"/>
  <c r="B126" i="29"/>
  <c r="B126" i="28"/>
  <c r="B126" i="27"/>
  <c r="B126" i="26"/>
  <c r="B126" i="25"/>
  <c r="B126" i="24"/>
  <c r="B126" i="23"/>
  <c r="B126" i="22"/>
  <c r="B126" i="21"/>
  <c r="B126" i="19"/>
  <c r="B126" i="20"/>
  <c r="B126" i="18"/>
  <c r="B126" i="17"/>
  <c r="B126" i="16"/>
  <c r="B126" i="15"/>
  <c r="AC126" i="15" s="1"/>
  <c r="B128" i="11"/>
  <c r="AC128" i="11" s="1"/>
  <c r="B128" i="38"/>
  <c r="B128" i="37"/>
  <c r="B128" i="34"/>
  <c r="B128" i="33"/>
  <c r="B128" i="32"/>
  <c r="B128" i="30"/>
  <c r="B128" i="31"/>
  <c r="B128" i="29"/>
  <c r="B128" i="28"/>
  <c r="B128" i="27"/>
  <c r="B128" i="26"/>
  <c r="B128" i="25"/>
  <c r="B128" i="24"/>
  <c r="B128" i="23"/>
  <c r="B128" i="22"/>
  <c r="B128" i="21"/>
  <c r="B128" i="20"/>
  <c r="B128" i="19"/>
  <c r="B128" i="18"/>
  <c r="B128" i="17"/>
  <c r="B128" i="16"/>
  <c r="B128" i="15"/>
  <c r="B130" i="11"/>
  <c r="AC130" i="11" s="1"/>
  <c r="B130" i="38"/>
  <c r="B130" i="37"/>
  <c r="B130" i="34"/>
  <c r="B130" i="32"/>
  <c r="B130" i="33"/>
  <c r="B130" i="31"/>
  <c r="B130" i="30"/>
  <c r="B130" i="29"/>
  <c r="B130" i="28"/>
  <c r="B130" i="27"/>
  <c r="B130" i="26"/>
  <c r="B130" i="25"/>
  <c r="B130" i="24"/>
  <c r="B130" i="23"/>
  <c r="B130" i="22"/>
  <c r="B130" i="21"/>
  <c r="B130" i="19"/>
  <c r="B130" i="20"/>
  <c r="B130" i="18"/>
  <c r="B130" i="17"/>
  <c r="B130" i="16"/>
  <c r="B130" i="15"/>
  <c r="B117" i="10"/>
  <c r="V91" i="10"/>
  <c r="X108" i="11"/>
  <c r="Y108" i="11" s="1"/>
  <c r="Q108" i="11"/>
  <c r="R108" i="11" s="1"/>
  <c r="B26" i="11"/>
  <c r="C26" i="11" s="1"/>
  <c r="E26" i="11"/>
  <c r="O26" i="11" s="1"/>
  <c r="AF85" i="11"/>
  <c r="AH85" i="11" s="1"/>
  <c r="AI85" i="11" s="1"/>
  <c r="AC85" i="11"/>
  <c r="P29" i="16"/>
  <c r="P45" i="16"/>
  <c r="P61" i="16"/>
  <c r="P48" i="16"/>
  <c r="P64" i="16"/>
  <c r="P39" i="16"/>
  <c r="P70" i="16"/>
  <c r="P60" i="16"/>
  <c r="P28" i="16"/>
  <c r="P72" i="16"/>
  <c r="P36" i="16"/>
  <c r="P52" i="16"/>
  <c r="P55" i="16"/>
  <c r="P53" i="16"/>
  <c r="P38" i="16"/>
  <c r="P71" i="16"/>
  <c r="P47" i="16"/>
  <c r="P44" i="16"/>
  <c r="P31" i="16"/>
  <c r="P46" i="16"/>
  <c r="P62" i="16"/>
  <c r="P30" i="16"/>
  <c r="P54" i="16"/>
  <c r="P63" i="16"/>
  <c r="P65" i="16"/>
  <c r="P57" i="16"/>
  <c r="P68" i="16"/>
  <c r="B70" i="15"/>
  <c r="B56" i="15"/>
  <c r="B40" i="15"/>
  <c r="B62" i="15"/>
  <c r="B64" i="15"/>
  <c r="B46" i="15"/>
  <c r="B32" i="15"/>
  <c r="B43" i="15"/>
  <c r="B61" i="15"/>
  <c r="B54" i="15"/>
  <c r="B48" i="15"/>
  <c r="B51" i="15"/>
  <c r="B93" i="10"/>
  <c r="AM23" i="1"/>
  <c r="B105" i="11"/>
  <c r="AC105" i="11" s="1"/>
  <c r="B86" i="11"/>
  <c r="E27" i="11" s="1"/>
  <c r="B109" i="11"/>
  <c r="AC109" i="11" s="1"/>
  <c r="B111" i="11"/>
  <c r="AC111" i="11" s="1"/>
  <c r="AM31" i="1"/>
  <c r="B113" i="11"/>
  <c r="AC113" i="11" s="1"/>
  <c r="B115" i="11"/>
  <c r="AC115" i="11" s="1"/>
  <c r="AM35" i="1"/>
  <c r="B117" i="11"/>
  <c r="AC117" i="11" s="1"/>
  <c r="AM37" i="1"/>
  <c r="B119" i="11"/>
  <c r="AC119" i="11" s="1"/>
  <c r="B86" i="10"/>
  <c r="E27" i="10" s="1"/>
  <c r="B90" i="10"/>
  <c r="B106" i="10"/>
  <c r="B110" i="10"/>
  <c r="B114" i="10"/>
  <c r="B118" i="10"/>
  <c r="B122" i="10"/>
  <c r="B126" i="10"/>
  <c r="B130" i="10"/>
  <c r="AM19" i="1"/>
  <c r="B101" i="11"/>
  <c r="AC101" i="11" s="1"/>
  <c r="E56" i="1"/>
  <c r="Q85" i="11"/>
  <c r="R85" i="11" s="1"/>
  <c r="AM15" i="1"/>
  <c r="B97" i="11"/>
  <c r="AC97" i="11" s="1"/>
  <c r="AM25" i="1"/>
  <c r="B107" i="11"/>
  <c r="AC107" i="11" s="1"/>
  <c r="AM12" i="1"/>
  <c r="B94" i="11"/>
  <c r="AC94" i="11" s="1"/>
  <c r="B96" i="11"/>
  <c r="AC96" i="11" s="1"/>
  <c r="AM16" i="1"/>
  <c r="B98" i="11"/>
  <c r="AC98" i="11" s="1"/>
  <c r="B100" i="11"/>
  <c r="AC100" i="11" s="1"/>
  <c r="B102" i="11"/>
  <c r="AC102" i="11" s="1"/>
  <c r="AA26" i="1"/>
  <c r="AM47" i="1"/>
  <c r="B129" i="11"/>
  <c r="AC129" i="11" s="1"/>
  <c r="B131" i="11"/>
  <c r="AC131" i="11" s="1"/>
  <c r="E134" i="3"/>
  <c r="V134" i="3" s="1"/>
  <c r="B95" i="10"/>
  <c r="B99" i="10"/>
  <c r="B107" i="10"/>
  <c r="B111" i="10"/>
  <c r="B115" i="10"/>
  <c r="B119" i="10"/>
  <c r="B123" i="10"/>
  <c r="B127" i="10"/>
  <c r="B131" i="10"/>
  <c r="X24" i="12"/>
  <c r="Y21" i="12"/>
  <c r="Y22" i="12"/>
  <c r="X21" i="12"/>
  <c r="Y23" i="12"/>
  <c r="X22" i="12"/>
  <c r="Y24" i="12"/>
  <c r="X23" i="12"/>
  <c r="T143" i="12"/>
  <c r="R33" i="12" s="1"/>
  <c r="AM21" i="1"/>
  <c r="B103" i="11"/>
  <c r="AC103" i="11" s="1"/>
  <c r="B101" i="10"/>
  <c r="AM11" i="1"/>
  <c r="AA28" i="1"/>
  <c r="AA30" i="1"/>
  <c r="AA32" i="1"/>
  <c r="AA34" i="1"/>
  <c r="AM46" i="1"/>
  <c r="AM39" i="1"/>
  <c r="B121" i="11"/>
  <c r="AC121" i="11" s="1"/>
  <c r="AM5" i="1"/>
  <c r="B87" i="11"/>
  <c r="AC87" i="11" s="1"/>
  <c r="AM28" i="1"/>
  <c r="B110" i="11"/>
  <c r="AC110" i="11" s="1"/>
  <c r="B112" i="11"/>
  <c r="AC112" i="11" s="1"/>
  <c r="AM32" i="1"/>
  <c r="B114" i="11"/>
  <c r="AC114" i="11" s="1"/>
  <c r="B116" i="11"/>
  <c r="AC116" i="11" s="1"/>
  <c r="B118" i="11"/>
  <c r="AC118" i="11" s="1"/>
  <c r="AA42" i="1"/>
  <c r="AA44" i="1"/>
  <c r="B88" i="10"/>
  <c r="B92" i="10"/>
  <c r="B96" i="10"/>
  <c r="B100" i="10"/>
  <c r="B104" i="10"/>
  <c r="B108" i="10"/>
  <c r="B112" i="10"/>
  <c r="B116" i="10"/>
  <c r="B120" i="10"/>
  <c r="B128" i="10"/>
  <c r="B105" i="10"/>
  <c r="AM7" i="1"/>
  <c r="B89" i="11"/>
  <c r="AC89" i="11" s="1"/>
  <c r="AM9" i="1"/>
  <c r="B91" i="11"/>
  <c r="AC91" i="11" s="1"/>
  <c r="AM27" i="1"/>
  <c r="AM42" i="1"/>
  <c r="B124" i="11"/>
  <c r="AC124" i="11" s="1"/>
  <c r="AM44" i="1"/>
  <c r="B126" i="11"/>
  <c r="AC126" i="11" s="1"/>
  <c r="AA46" i="1"/>
  <c r="X119" i="11"/>
  <c r="Y119" i="11" s="1"/>
  <c r="X127" i="11"/>
  <c r="Y127" i="11" s="1"/>
  <c r="E68" i="11" s="1"/>
  <c r="P68" i="11" s="1"/>
  <c r="Q127" i="11"/>
  <c r="R127" i="11" s="1"/>
  <c r="N101" i="10"/>
  <c r="U101" i="10" s="1"/>
  <c r="Q164" i="10"/>
  <c r="R164" i="10" s="1"/>
  <c r="Q172" i="10"/>
  <c r="R172" i="10" s="1"/>
  <c r="Q180" i="10"/>
  <c r="R180" i="10" s="1"/>
  <c r="Q116" i="11"/>
  <c r="R116" i="11" s="1"/>
  <c r="Q120" i="11"/>
  <c r="R120" i="11" s="1"/>
  <c r="Q122" i="11"/>
  <c r="R122" i="11" s="1"/>
  <c r="Q109" i="11"/>
  <c r="R109" i="11" s="1"/>
  <c r="Q119" i="11"/>
  <c r="R119" i="11" s="1"/>
  <c r="X124" i="11"/>
  <c r="Y124" i="11" s="1"/>
  <c r="Q130" i="11"/>
  <c r="R130" i="11" s="1"/>
  <c r="Q95" i="11"/>
  <c r="R95" i="11" s="1"/>
  <c r="Q124" i="11"/>
  <c r="R124" i="11" s="1"/>
  <c r="X111" i="11"/>
  <c r="Y111" i="11" s="1"/>
  <c r="E52" i="11" s="1"/>
  <c r="P52" i="11" s="1"/>
  <c r="Q103" i="11"/>
  <c r="R103" i="11" s="1"/>
  <c r="X92" i="11"/>
  <c r="Y92" i="11" s="1"/>
  <c r="E33" i="11" s="1"/>
  <c r="P33" i="11" s="1"/>
  <c r="Q101" i="11"/>
  <c r="R101" i="11" s="1"/>
  <c r="Q106" i="11"/>
  <c r="R106" i="11" s="1"/>
  <c r="Q128" i="11"/>
  <c r="R128" i="11" s="1"/>
  <c r="Q100" i="11"/>
  <c r="R100" i="11" s="1"/>
  <c r="Q93" i="11"/>
  <c r="R93" i="11" s="1"/>
  <c r="Q92" i="11"/>
  <c r="R92" i="11" s="1"/>
  <c r="U88" i="11"/>
  <c r="Q88" i="11"/>
  <c r="R88" i="11" s="1"/>
  <c r="U126" i="11"/>
  <c r="Q126" i="11"/>
  <c r="R126" i="11" s="1"/>
  <c r="Q105" i="11"/>
  <c r="R105" i="11" s="1"/>
  <c r="U105" i="11"/>
  <c r="Q97" i="11"/>
  <c r="R97" i="11" s="1"/>
  <c r="U97" i="11"/>
  <c r="X87" i="11"/>
  <c r="Y87" i="11" s="1"/>
  <c r="Q90" i="11"/>
  <c r="R90" i="11" s="1"/>
  <c r="X101" i="11"/>
  <c r="Y101" i="11" s="1"/>
  <c r="U115" i="11"/>
  <c r="Q115" i="11"/>
  <c r="R115" i="11" s="1"/>
  <c r="U118" i="11"/>
  <c r="Q118" i="11"/>
  <c r="R118" i="11" s="1"/>
  <c r="U112" i="11"/>
  <c r="Q112" i="11"/>
  <c r="R112" i="11" s="1"/>
  <c r="X114" i="11"/>
  <c r="Y114" i="11" s="1"/>
  <c r="U110" i="11"/>
  <c r="Q110" i="11"/>
  <c r="R110" i="11" s="1"/>
  <c r="Q89" i="11"/>
  <c r="R89" i="11" s="1"/>
  <c r="U89" i="11"/>
  <c r="X95" i="11"/>
  <c r="Y95" i="11" s="1"/>
  <c r="E36" i="11" s="1"/>
  <c r="P36" i="11" s="1"/>
  <c r="X106" i="11"/>
  <c r="Y106" i="11" s="1"/>
  <c r="E47" i="11" s="1"/>
  <c r="P47" i="11" s="1"/>
  <c r="Q98" i="11"/>
  <c r="R98" i="11" s="1"/>
  <c r="X90" i="11"/>
  <c r="Y90" i="11" s="1"/>
  <c r="X128" i="11"/>
  <c r="Y128" i="11" s="1"/>
  <c r="U131" i="11"/>
  <c r="Q131" i="11"/>
  <c r="R131" i="11" s="1"/>
  <c r="X130" i="11"/>
  <c r="Y130" i="11" s="1"/>
  <c r="U99" i="11"/>
  <c r="Q99" i="11"/>
  <c r="R99" i="11" s="1"/>
  <c r="U107" i="11"/>
  <c r="Q107" i="11"/>
  <c r="R107" i="11" s="1"/>
  <c r="Q125" i="11"/>
  <c r="R125" i="11" s="1"/>
  <c r="U104" i="11"/>
  <c r="Q104" i="11"/>
  <c r="R104" i="11" s="1"/>
  <c r="Q129" i="11"/>
  <c r="R129" i="11" s="1"/>
  <c r="U129" i="11"/>
  <c r="X122" i="11"/>
  <c r="Y122" i="11" s="1"/>
  <c r="U91" i="11"/>
  <c r="Q91" i="11"/>
  <c r="R91" i="11" s="1"/>
  <c r="X98" i="11"/>
  <c r="Y98" i="11" s="1"/>
  <c r="X93" i="11"/>
  <c r="Y93" i="11" s="1"/>
  <c r="Q121" i="11"/>
  <c r="R121" i="11" s="1"/>
  <c r="U121" i="11"/>
  <c r="Q102" i="11"/>
  <c r="R102" i="11" s="1"/>
  <c r="U102" i="11"/>
  <c r="Q117" i="11"/>
  <c r="R117" i="11" s="1"/>
  <c r="X100" i="11"/>
  <c r="Y100" i="11" s="1"/>
  <c r="X116" i="11"/>
  <c r="Y116" i="11" s="1"/>
  <c r="X125" i="11"/>
  <c r="Y125" i="11" s="1"/>
  <c r="E66" i="11" s="1"/>
  <c r="P66" i="11" s="1"/>
  <c r="U123" i="11"/>
  <c r="Q123" i="11"/>
  <c r="R123" i="11" s="1"/>
  <c r="Q111" i="11"/>
  <c r="R111" i="11" s="1"/>
  <c r="U94" i="11"/>
  <c r="Q94" i="11"/>
  <c r="R94" i="11" s="1"/>
  <c r="X120" i="11"/>
  <c r="Y120" i="11" s="1"/>
  <c r="E61" i="11" s="1"/>
  <c r="P61" i="11" s="1"/>
  <c r="Q87" i="11"/>
  <c r="R87" i="11" s="1"/>
  <c r="Q113" i="11"/>
  <c r="R113" i="11" s="1"/>
  <c r="U113" i="11"/>
  <c r="X109" i="11"/>
  <c r="Y109" i="11" s="1"/>
  <c r="U96" i="11"/>
  <c r="Q96" i="11"/>
  <c r="R96" i="11" s="1"/>
  <c r="X117" i="11"/>
  <c r="Y117" i="11" s="1"/>
  <c r="X103" i="11"/>
  <c r="Y103" i="11" s="1"/>
  <c r="Q114" i="11"/>
  <c r="R114" i="11" s="1"/>
  <c r="AM43" i="1"/>
  <c r="AA11" i="1"/>
  <c r="AA20" i="1"/>
  <c r="AA27" i="1"/>
  <c r="AA36" i="1"/>
  <c r="AA48" i="1"/>
  <c r="AM2" i="1"/>
  <c r="AM13" i="1"/>
  <c r="AM20" i="1"/>
  <c r="AM29" i="1"/>
  <c r="AM36" i="1"/>
  <c r="AA43" i="1"/>
  <c r="AM48" i="1"/>
  <c r="AA15" i="1"/>
  <c r="AA24" i="1"/>
  <c r="AA31" i="1"/>
  <c r="AA40" i="1"/>
  <c r="AM8" i="1"/>
  <c r="AM17" i="1"/>
  <c r="AM24" i="1"/>
  <c r="AM33" i="1"/>
  <c r="AM40" i="1"/>
  <c r="AA19" i="1"/>
  <c r="AA35" i="1"/>
  <c r="AA47" i="1"/>
  <c r="AM10" i="1"/>
  <c r="AM14" i="1"/>
  <c r="AM18" i="1"/>
  <c r="AA21" i="1"/>
  <c r="AM22" i="1"/>
  <c r="AA25" i="1"/>
  <c r="AM26" i="1"/>
  <c r="AA29" i="1"/>
  <c r="AM30" i="1"/>
  <c r="AA33" i="1"/>
  <c r="AM34" i="1"/>
  <c r="AA37" i="1"/>
  <c r="AM38" i="1"/>
  <c r="AA41" i="1"/>
  <c r="AA45" i="1"/>
  <c r="AA49" i="1"/>
  <c r="AM6" i="1"/>
  <c r="AA13" i="1"/>
  <c r="AA17" i="1"/>
  <c r="AM41" i="1"/>
  <c r="AM45" i="1"/>
  <c r="AM49" i="1"/>
  <c r="V95" i="10"/>
  <c r="P123" i="10"/>
  <c r="W123" i="10" s="1"/>
  <c r="V111" i="10"/>
  <c r="V97" i="10"/>
  <c r="V105" i="10"/>
  <c r="V113" i="10"/>
  <c r="V121" i="10"/>
  <c r="V129" i="10"/>
  <c r="V103" i="10"/>
  <c r="V127" i="10"/>
  <c r="N115" i="10"/>
  <c r="U115" i="10" s="1"/>
  <c r="P116" i="10"/>
  <c r="W116" i="10" s="1"/>
  <c r="P120" i="10"/>
  <c r="W120" i="10" s="1"/>
  <c r="N127" i="10"/>
  <c r="U127" i="10" s="1"/>
  <c r="N97" i="10"/>
  <c r="U97" i="10" s="1"/>
  <c r="V88" i="10"/>
  <c r="P98" i="10"/>
  <c r="W98" i="10" s="1"/>
  <c r="N86" i="10"/>
  <c r="P87" i="10"/>
  <c r="W87" i="10" s="1"/>
  <c r="P102" i="10"/>
  <c r="W102" i="10" s="1"/>
  <c r="N109" i="10"/>
  <c r="U109" i="10" s="1"/>
  <c r="V99" i="10"/>
  <c r="N91" i="10"/>
  <c r="U91" i="10" s="1"/>
  <c r="V131" i="10"/>
  <c r="Q169" i="10"/>
  <c r="R169" i="10" s="1"/>
  <c r="V85" i="10"/>
  <c r="X85" i="10" s="1"/>
  <c r="V109" i="10"/>
  <c r="V125" i="10"/>
  <c r="V101" i="10"/>
  <c r="P106" i="10"/>
  <c r="W106" i="10" s="1"/>
  <c r="P112" i="10"/>
  <c r="W112" i="10" s="1"/>
  <c r="V86" i="10"/>
  <c r="X86" i="10" s="1"/>
  <c r="P92" i="10"/>
  <c r="W92" i="10" s="1"/>
  <c r="P96" i="10"/>
  <c r="W96" i="10" s="1"/>
  <c r="N103" i="10"/>
  <c r="U103" i="10" s="1"/>
  <c r="P107" i="10"/>
  <c r="W107" i="10" s="1"/>
  <c r="V115" i="10"/>
  <c r="Q138" i="10"/>
  <c r="R138" i="10" s="1"/>
  <c r="Q146" i="10"/>
  <c r="R146" i="10" s="1"/>
  <c r="Q153" i="10"/>
  <c r="R153" i="10" s="1"/>
  <c r="P88" i="10"/>
  <c r="W88" i="10" s="1"/>
  <c r="V93" i="10"/>
  <c r="P100" i="10"/>
  <c r="W100" i="10" s="1"/>
  <c r="N121" i="10"/>
  <c r="U121" i="10" s="1"/>
  <c r="P129" i="10"/>
  <c r="W129" i="10" s="1"/>
  <c r="N107" i="10"/>
  <c r="P126" i="10"/>
  <c r="W126" i="10" s="1"/>
  <c r="Q182" i="10"/>
  <c r="R182" i="10" s="1"/>
  <c r="Q166" i="10"/>
  <c r="R166" i="10" s="1"/>
  <c r="P113" i="10"/>
  <c r="W113" i="10" s="1"/>
  <c r="P104" i="10"/>
  <c r="W104" i="10" s="1"/>
  <c r="P110" i="10"/>
  <c r="W110" i="10" s="1"/>
  <c r="P117" i="10"/>
  <c r="W117" i="10" s="1"/>
  <c r="V119" i="10"/>
  <c r="P127" i="10"/>
  <c r="W127" i="10" s="1"/>
  <c r="Q154" i="10"/>
  <c r="R154" i="10" s="1"/>
  <c r="Q151" i="10"/>
  <c r="R151" i="10" s="1"/>
  <c r="P89" i="10"/>
  <c r="W89" i="10" s="1"/>
  <c r="P99" i="10"/>
  <c r="W99" i="10" s="1"/>
  <c r="P105" i="10"/>
  <c r="W105" i="10" s="1"/>
  <c r="P114" i="10"/>
  <c r="W114" i="10" s="1"/>
  <c r="P118" i="10"/>
  <c r="W118" i="10" s="1"/>
  <c r="P124" i="10"/>
  <c r="W124" i="10" s="1"/>
  <c r="P130" i="10"/>
  <c r="W130" i="10" s="1"/>
  <c r="Q162" i="10"/>
  <c r="R162" i="10" s="1"/>
  <c r="Q175" i="10"/>
  <c r="R175" i="10" s="1"/>
  <c r="Q156" i="10"/>
  <c r="R156" i="10" s="1"/>
  <c r="P86" i="10"/>
  <c r="N88" i="10"/>
  <c r="U88" i="10" s="1"/>
  <c r="P108" i="10"/>
  <c r="W108" i="10" s="1"/>
  <c r="P125" i="10"/>
  <c r="W125" i="10" s="1"/>
  <c r="Q170" i="10"/>
  <c r="R170" i="10" s="1"/>
  <c r="Q178" i="10"/>
  <c r="R178" i="10" s="1"/>
  <c r="V107" i="10"/>
  <c r="P97" i="10"/>
  <c r="W97" i="10" s="1"/>
  <c r="N111" i="10"/>
  <c r="U111" i="10" s="1"/>
  <c r="P119" i="10"/>
  <c r="W119" i="10" s="1"/>
  <c r="P122" i="10"/>
  <c r="W122" i="10" s="1"/>
  <c r="Q140" i="10"/>
  <c r="R140" i="10" s="1"/>
  <c r="N93" i="10"/>
  <c r="U93" i="10" s="1"/>
  <c r="P94" i="10"/>
  <c r="W94" i="10" s="1"/>
  <c r="V117" i="10"/>
  <c r="P128" i="10"/>
  <c r="W128" i="10" s="1"/>
  <c r="Q148" i="10"/>
  <c r="R148" i="10" s="1"/>
  <c r="P109" i="10"/>
  <c r="W109" i="10" s="1"/>
  <c r="Q143" i="10"/>
  <c r="R143" i="10" s="1"/>
  <c r="Q161" i="10"/>
  <c r="R161" i="10" s="1"/>
  <c r="Q177" i="10"/>
  <c r="R177" i="10" s="1"/>
  <c r="P101" i="10"/>
  <c r="W101" i="10" s="1"/>
  <c r="P103" i="10"/>
  <c r="W103" i="10" s="1"/>
  <c r="P121" i="10"/>
  <c r="W121" i="10" s="1"/>
  <c r="N125" i="10"/>
  <c r="U125" i="10" s="1"/>
  <c r="Q150" i="10"/>
  <c r="R150" i="10" s="1"/>
  <c r="Q159" i="10"/>
  <c r="R159" i="10" s="1"/>
  <c r="N129" i="10"/>
  <c r="U129" i="10" s="1"/>
  <c r="Q174" i="10"/>
  <c r="R174" i="10" s="1"/>
  <c r="P85" i="10"/>
  <c r="P90" i="10"/>
  <c r="W90" i="10" s="1"/>
  <c r="P93" i="10"/>
  <c r="W93" i="10" s="1"/>
  <c r="N99" i="10"/>
  <c r="U99" i="10" s="1"/>
  <c r="Q183" i="10"/>
  <c r="R183" i="10" s="1"/>
  <c r="N113" i="10"/>
  <c r="U113" i="10" s="1"/>
  <c r="N85" i="10"/>
  <c r="N90" i="10"/>
  <c r="U90" i="10" s="1"/>
  <c r="P95" i="10"/>
  <c r="W95" i="10" s="1"/>
  <c r="N119" i="10"/>
  <c r="Q137" i="10"/>
  <c r="R137" i="10" s="1"/>
  <c r="Q145" i="10"/>
  <c r="R145" i="10" s="1"/>
  <c r="P91" i="10"/>
  <c r="W91" i="10" s="1"/>
  <c r="N95" i="10"/>
  <c r="U95" i="10" s="1"/>
  <c r="P131" i="10"/>
  <c r="W131" i="10" s="1"/>
  <c r="Q142" i="10"/>
  <c r="R142" i="10" s="1"/>
  <c r="Q167" i="10"/>
  <c r="R167" i="10" s="1"/>
  <c r="P111" i="10"/>
  <c r="W111" i="10" s="1"/>
  <c r="P115" i="10"/>
  <c r="W115" i="10" s="1"/>
  <c r="N117" i="10"/>
  <c r="U117" i="10" s="1"/>
  <c r="N131" i="10"/>
  <c r="U131" i="10" s="1"/>
  <c r="Q158" i="10"/>
  <c r="R158" i="10" s="1"/>
  <c r="Q160" i="10"/>
  <c r="R160" i="10" s="1"/>
  <c r="O114" i="10"/>
  <c r="V114" i="10" s="1"/>
  <c r="N114" i="10"/>
  <c r="V90" i="10"/>
  <c r="Q179" i="10"/>
  <c r="R179" i="10" s="1"/>
  <c r="Q181" i="10"/>
  <c r="R181" i="10" s="1"/>
  <c r="O87" i="10"/>
  <c r="V87" i="10" s="1"/>
  <c r="N87" i="10"/>
  <c r="O120" i="10"/>
  <c r="V120" i="10" s="1"/>
  <c r="N120" i="10"/>
  <c r="N123" i="10"/>
  <c r="O124" i="10"/>
  <c r="V124" i="10" s="1"/>
  <c r="N124" i="10"/>
  <c r="Q152" i="10"/>
  <c r="R152" i="10" s="1"/>
  <c r="O108" i="10"/>
  <c r="V108" i="10" s="1"/>
  <c r="N108" i="10"/>
  <c r="O100" i="10"/>
  <c r="V100" i="10" s="1"/>
  <c r="N100" i="10"/>
  <c r="Q168" i="10"/>
  <c r="R168" i="10" s="1"/>
  <c r="Q144" i="10"/>
  <c r="R144" i="10" s="1"/>
  <c r="O89" i="10"/>
  <c r="V89" i="10" s="1"/>
  <c r="N89" i="10"/>
  <c r="O92" i="10"/>
  <c r="V92" i="10" s="1"/>
  <c r="N92" i="10"/>
  <c r="N105" i="10"/>
  <c r="O130" i="10"/>
  <c r="V130" i="10" s="1"/>
  <c r="N130" i="10"/>
  <c r="O98" i="10"/>
  <c r="V98" i="10" s="1"/>
  <c r="N98" i="10"/>
  <c r="O106" i="10"/>
  <c r="V106" i="10" s="1"/>
  <c r="N106" i="10"/>
  <c r="O118" i="10"/>
  <c r="V118" i="10" s="1"/>
  <c r="N118" i="10"/>
  <c r="O112" i="10"/>
  <c r="V112" i="10" s="1"/>
  <c r="N112" i="10"/>
  <c r="O128" i="10"/>
  <c r="V128" i="10" s="1"/>
  <c r="N128" i="10"/>
  <c r="Q171" i="10"/>
  <c r="R171" i="10" s="1"/>
  <c r="Q173" i="10"/>
  <c r="R173" i="10" s="1"/>
  <c r="O96" i="10"/>
  <c r="V96" i="10" s="1"/>
  <c r="N96" i="10"/>
  <c r="O104" i="10"/>
  <c r="V104" i="10" s="1"/>
  <c r="N104" i="10"/>
  <c r="O122" i="10"/>
  <c r="V122" i="10" s="1"/>
  <c r="N122" i="10"/>
  <c r="O116" i="10"/>
  <c r="V116" i="10" s="1"/>
  <c r="N116" i="10"/>
  <c r="Q139" i="10"/>
  <c r="R139" i="10" s="1"/>
  <c r="Q141" i="10"/>
  <c r="R141" i="10" s="1"/>
  <c r="Q147" i="10"/>
  <c r="R147" i="10" s="1"/>
  <c r="Q149" i="10"/>
  <c r="R149" i="10" s="1"/>
  <c r="Q155" i="10"/>
  <c r="R155" i="10" s="1"/>
  <c r="Q157" i="10"/>
  <c r="R157" i="10" s="1"/>
  <c r="Q163" i="10"/>
  <c r="R163" i="10" s="1"/>
  <c r="Q165" i="10"/>
  <c r="R165" i="10" s="1"/>
  <c r="O94" i="10"/>
  <c r="V94" i="10" s="1"/>
  <c r="N94" i="10"/>
  <c r="O102" i="10"/>
  <c r="V102" i="10" s="1"/>
  <c r="N102" i="10"/>
  <c r="O110" i="10"/>
  <c r="V110" i="10" s="1"/>
  <c r="N110" i="10"/>
  <c r="O126" i="10"/>
  <c r="V126" i="10" s="1"/>
  <c r="N126" i="10"/>
  <c r="Q176" i="10"/>
  <c r="R176" i="10" s="1"/>
  <c r="L110" i="3"/>
  <c r="L102" i="3"/>
  <c r="L94" i="3"/>
  <c r="L124" i="3"/>
  <c r="M78" i="3"/>
  <c r="L108" i="3"/>
  <c r="L92" i="3"/>
  <c r="E88" i="3"/>
  <c r="F88" i="3" s="1"/>
  <c r="L118" i="3"/>
  <c r="L86" i="3"/>
  <c r="M122" i="3"/>
  <c r="Y122" i="3" s="1"/>
  <c r="L121" i="3"/>
  <c r="M118" i="3"/>
  <c r="Y118" i="3" s="1"/>
  <c r="L117" i="3"/>
  <c r="M114" i="3"/>
  <c r="Y114" i="3" s="1"/>
  <c r="L113" i="3"/>
  <c r="M110" i="3"/>
  <c r="Y110" i="3" s="1"/>
  <c r="L109" i="3"/>
  <c r="M106" i="3"/>
  <c r="Y106" i="3" s="1"/>
  <c r="L105" i="3"/>
  <c r="M102" i="3"/>
  <c r="Y102" i="3" s="1"/>
  <c r="L101" i="3"/>
  <c r="M98" i="3"/>
  <c r="Y98" i="3" s="1"/>
  <c r="L97" i="3"/>
  <c r="M94" i="3"/>
  <c r="Y94" i="3" s="1"/>
  <c r="L93" i="3"/>
  <c r="M90" i="3"/>
  <c r="Y90" i="3" s="1"/>
  <c r="M86" i="3"/>
  <c r="Y86" i="3" s="1"/>
  <c r="L85" i="3"/>
  <c r="M82" i="3"/>
  <c r="Y82" i="3" s="1"/>
  <c r="L81" i="3"/>
  <c r="L116" i="3"/>
  <c r="M113" i="3"/>
  <c r="Y113" i="3" s="1"/>
  <c r="L100" i="3"/>
  <c r="M97" i="3"/>
  <c r="Y97" i="3" s="1"/>
  <c r="M81" i="3"/>
  <c r="Y81" i="3" s="1"/>
  <c r="M123" i="3"/>
  <c r="Y123" i="3" s="1"/>
  <c r="M119" i="3"/>
  <c r="Y119" i="3" s="1"/>
  <c r="M115" i="3"/>
  <c r="Y115" i="3" s="1"/>
  <c r="M111" i="3"/>
  <c r="Y111" i="3" s="1"/>
  <c r="M107" i="3"/>
  <c r="Y107" i="3" s="1"/>
  <c r="M103" i="3"/>
  <c r="Y103" i="3" s="1"/>
  <c r="M99" i="3"/>
  <c r="Y99" i="3" s="1"/>
  <c r="M95" i="3"/>
  <c r="Y95" i="3" s="1"/>
  <c r="M91" i="3"/>
  <c r="Y91" i="3" s="1"/>
  <c r="M87" i="3"/>
  <c r="Y87" i="3" s="1"/>
  <c r="M83" i="3"/>
  <c r="Y83" i="3" s="1"/>
  <c r="L114" i="3"/>
  <c r="L90" i="3"/>
  <c r="M121" i="3"/>
  <c r="Y121" i="3" s="1"/>
  <c r="L98" i="3"/>
  <c r="L106" i="3"/>
  <c r="L122" i="3"/>
  <c r="M105" i="3"/>
  <c r="Y105" i="3" s="1"/>
  <c r="M89" i="3"/>
  <c r="Y89" i="3" s="1"/>
  <c r="E81" i="3"/>
  <c r="F81" i="3" s="1"/>
  <c r="M124" i="3"/>
  <c r="Y124" i="3" s="1"/>
  <c r="M120" i="3"/>
  <c r="Y120" i="3" s="1"/>
  <c r="M116" i="3"/>
  <c r="Y116" i="3" s="1"/>
  <c r="M112" i="3"/>
  <c r="Y112" i="3" s="1"/>
  <c r="M108" i="3"/>
  <c r="Y108" i="3" s="1"/>
  <c r="M104" i="3"/>
  <c r="Y104" i="3" s="1"/>
  <c r="M100" i="3"/>
  <c r="Y100" i="3" s="1"/>
  <c r="M96" i="3"/>
  <c r="Y96" i="3" s="1"/>
  <c r="M92" i="3"/>
  <c r="Y92" i="3" s="1"/>
  <c r="M88" i="3"/>
  <c r="Y88" i="3" s="1"/>
  <c r="M84" i="3"/>
  <c r="Y84" i="3" s="1"/>
  <c r="M80" i="3"/>
  <c r="Y80" i="3" s="1"/>
  <c r="L120" i="3"/>
  <c r="M117" i="3"/>
  <c r="Y117" i="3" s="1"/>
  <c r="L112" i="3"/>
  <c r="M109" i="3"/>
  <c r="Y109" i="3" s="1"/>
  <c r="L104" i="3"/>
  <c r="M101" i="3"/>
  <c r="Y101" i="3" s="1"/>
  <c r="L96" i="3"/>
  <c r="M93" i="3"/>
  <c r="Y93" i="3" s="1"/>
  <c r="L88" i="3"/>
  <c r="M85" i="3"/>
  <c r="Y85" i="3" s="1"/>
  <c r="L80" i="3"/>
  <c r="L87" i="3"/>
  <c r="L103" i="3"/>
  <c r="L119" i="3"/>
  <c r="L95" i="3"/>
  <c r="L111" i="3"/>
  <c r="L83" i="3"/>
  <c r="L91" i="3"/>
  <c r="L99" i="3"/>
  <c r="L107" i="3"/>
  <c r="L115" i="3"/>
  <c r="L123" i="3"/>
  <c r="E99" i="3"/>
  <c r="F99" i="3" s="1"/>
  <c r="E83" i="3"/>
  <c r="F83" i="3" s="1"/>
  <c r="E91" i="3"/>
  <c r="F91" i="3" s="1"/>
  <c r="E78" i="3"/>
  <c r="F78" i="3" s="1"/>
  <c r="E110" i="3"/>
  <c r="F110" i="3" s="1"/>
  <c r="E96" i="3"/>
  <c r="F96" i="3" s="1"/>
  <c r="E97" i="3"/>
  <c r="F97" i="3" s="1"/>
  <c r="E105" i="3"/>
  <c r="F105" i="3" s="1"/>
  <c r="E118" i="3"/>
  <c r="F118" i="3" s="1"/>
  <c r="E120" i="3"/>
  <c r="F120" i="3" s="1"/>
  <c r="E94" i="3"/>
  <c r="F94" i="3" s="1"/>
  <c r="E107" i="3"/>
  <c r="F107" i="3" s="1"/>
  <c r="E113" i="3"/>
  <c r="F113" i="3" s="1"/>
  <c r="E115" i="3"/>
  <c r="F115" i="3" s="1"/>
  <c r="E121" i="3"/>
  <c r="F121" i="3" s="1"/>
  <c r="E123" i="3"/>
  <c r="F123" i="3" s="1"/>
  <c r="E104" i="3"/>
  <c r="F104" i="3" s="1"/>
  <c r="E102" i="3"/>
  <c r="F102" i="3" s="1"/>
  <c r="E86" i="3"/>
  <c r="F86" i="3" s="1"/>
  <c r="E89" i="3"/>
  <c r="F89" i="3" s="1"/>
  <c r="E112" i="3"/>
  <c r="F112" i="3" s="1"/>
  <c r="E106" i="3"/>
  <c r="F106" i="3" s="1"/>
  <c r="E80" i="3"/>
  <c r="F80" i="3" s="1"/>
  <c r="E95" i="3"/>
  <c r="F95" i="3" s="1"/>
  <c r="E93" i="3"/>
  <c r="F93" i="3" s="1"/>
  <c r="E85" i="3"/>
  <c r="F85" i="3" s="1"/>
  <c r="E87" i="3"/>
  <c r="F87" i="3" s="1"/>
  <c r="E117" i="3"/>
  <c r="F117" i="3" s="1"/>
  <c r="E119" i="3"/>
  <c r="F119" i="3" s="1"/>
  <c r="E98" i="3"/>
  <c r="F98" i="3" s="1"/>
  <c r="E79" i="3"/>
  <c r="F79" i="3" s="1"/>
  <c r="E109" i="3"/>
  <c r="F109" i="3" s="1"/>
  <c r="E111" i="3"/>
  <c r="F111" i="3" s="1"/>
  <c r="E90" i="3"/>
  <c r="F90" i="3" s="1"/>
  <c r="E122" i="3"/>
  <c r="F122" i="3" s="1"/>
  <c r="E101" i="3"/>
  <c r="F101" i="3" s="1"/>
  <c r="E103" i="3"/>
  <c r="F103" i="3" s="1"/>
  <c r="E82" i="3"/>
  <c r="F82" i="3" s="1"/>
  <c r="E114" i="3"/>
  <c r="F114" i="3" s="1"/>
  <c r="E84" i="3"/>
  <c r="F84" i="3" s="1"/>
  <c r="E92" i="3"/>
  <c r="F92" i="3" s="1"/>
  <c r="E100" i="3"/>
  <c r="F100" i="3" s="1"/>
  <c r="E108" i="3"/>
  <c r="F108" i="3" s="1"/>
  <c r="E116" i="3"/>
  <c r="F116" i="3" s="1"/>
  <c r="E124" i="3"/>
  <c r="F124" i="3" s="1"/>
  <c r="AU158" i="45" l="1"/>
  <c r="AU139" i="51"/>
  <c r="BA139" i="51" s="1"/>
  <c r="AU148" i="45"/>
  <c r="BA176" i="41"/>
  <c r="AU138" i="51"/>
  <c r="BA138" i="51" s="1"/>
  <c r="AU159" i="42"/>
  <c r="AU177" i="47"/>
  <c r="E69" i="11"/>
  <c r="P69" i="11" s="1"/>
  <c r="E56" i="15"/>
  <c r="P56" i="15" s="1"/>
  <c r="E40" i="15"/>
  <c r="P40" i="15" s="1"/>
  <c r="AU143" i="41"/>
  <c r="BA143" i="41" s="1"/>
  <c r="AU157" i="46"/>
  <c r="AU162" i="47"/>
  <c r="AU178" i="50"/>
  <c r="AU156" i="46"/>
  <c r="BA156" i="46" s="1"/>
  <c r="AU164" i="47"/>
  <c r="AU159" i="46"/>
  <c r="AU178" i="45"/>
  <c r="AU160" i="42"/>
  <c r="AU155" i="41"/>
  <c r="AU142" i="50"/>
  <c r="E31" i="11"/>
  <c r="P31" i="11" s="1"/>
  <c r="B37" i="15"/>
  <c r="B45" i="15"/>
  <c r="E45" i="15"/>
  <c r="P45" i="15" s="1"/>
  <c r="E38" i="15"/>
  <c r="P38" i="15" s="1"/>
  <c r="E64" i="15"/>
  <c r="P64" i="15" s="1"/>
  <c r="AU172" i="47"/>
  <c r="AU172" i="46"/>
  <c r="AU151" i="51"/>
  <c r="BA151" i="51" s="1"/>
  <c r="AU144" i="46"/>
  <c r="AU137" i="46"/>
  <c r="AU157" i="41"/>
  <c r="AU157" i="51"/>
  <c r="BA157" i="51" s="1"/>
  <c r="AU162" i="51"/>
  <c r="BA162" i="51" s="1"/>
  <c r="AU163" i="47"/>
  <c r="AU163" i="42"/>
  <c r="AU150" i="45"/>
  <c r="P19" i="14" s="1"/>
  <c r="AU140" i="47"/>
  <c r="BE140" i="47" s="1"/>
  <c r="AU140" i="51"/>
  <c r="BA140" i="51" s="1"/>
  <c r="AU178" i="47"/>
  <c r="AU178" i="46"/>
  <c r="R47" i="14" s="1"/>
  <c r="AU149" i="46"/>
  <c r="BE149" i="46" s="1"/>
  <c r="AU138" i="50"/>
  <c r="AU165" i="42"/>
  <c r="AU165" i="45"/>
  <c r="P34" i="14" s="1"/>
  <c r="AU161" i="51"/>
  <c r="BA161" i="51" s="1"/>
  <c r="AU152" i="45"/>
  <c r="AU152" i="51"/>
  <c r="BA152" i="51" s="1"/>
  <c r="AU152" i="50"/>
  <c r="BE152" i="50" s="1"/>
  <c r="AU181" i="41"/>
  <c r="AU181" i="47"/>
  <c r="AU181" i="42"/>
  <c r="AU170" i="50"/>
  <c r="AE39" i="14" s="1"/>
  <c r="AU171" i="47"/>
  <c r="AU171" i="45"/>
  <c r="AU167" i="45"/>
  <c r="AU167" i="42"/>
  <c r="BE167" i="42" s="1"/>
  <c r="AU173" i="42"/>
  <c r="M42" i="14" s="1"/>
  <c r="AU169" i="41"/>
  <c r="AU169" i="42"/>
  <c r="AU169" i="51"/>
  <c r="BA169" i="51" s="1"/>
  <c r="AU160" i="47"/>
  <c r="AU160" i="45"/>
  <c r="AU180" i="51"/>
  <c r="BA180" i="51" s="1"/>
  <c r="AU180" i="46"/>
  <c r="BA180" i="46" s="1"/>
  <c r="AU166" i="41"/>
  <c r="AU166" i="42"/>
  <c r="AU166" i="50"/>
  <c r="AU164" i="41"/>
  <c r="K33" i="14" s="1"/>
  <c r="AU164" i="42"/>
  <c r="AU164" i="50"/>
  <c r="AU148" i="47"/>
  <c r="AU159" i="47"/>
  <c r="BA159" i="47" s="1"/>
  <c r="AU147" i="50"/>
  <c r="AU177" i="41"/>
  <c r="AU177" i="45"/>
  <c r="AU141" i="47"/>
  <c r="T10" i="14" s="1"/>
  <c r="AU154" i="42"/>
  <c r="AU155" i="50"/>
  <c r="AU142" i="41"/>
  <c r="AU174" i="42"/>
  <c r="BE174" i="42" s="1"/>
  <c r="AU175" i="50"/>
  <c r="B49" i="11"/>
  <c r="AU157" i="47"/>
  <c r="AU156" i="42"/>
  <c r="BE156" i="42" s="1"/>
  <c r="AU173" i="47"/>
  <c r="AU168" i="45"/>
  <c r="AU168" i="51"/>
  <c r="BA168" i="51" s="1"/>
  <c r="AU148" i="50"/>
  <c r="AE17" i="14" s="1"/>
  <c r="AU159" i="50"/>
  <c r="AU145" i="51"/>
  <c r="BA145" i="51" s="1"/>
  <c r="AU175" i="42"/>
  <c r="E63" i="11"/>
  <c r="P63" i="11" s="1"/>
  <c r="B38" i="15"/>
  <c r="B30" i="15"/>
  <c r="E49" i="11"/>
  <c r="E70" i="15"/>
  <c r="P70" i="15" s="1"/>
  <c r="AU162" i="50"/>
  <c r="AU163" i="41"/>
  <c r="AU163" i="46"/>
  <c r="AU150" i="41"/>
  <c r="K19" i="14" s="1"/>
  <c r="AU140" i="46"/>
  <c r="BE140" i="46" s="1"/>
  <c r="AU178" i="42"/>
  <c r="BE178" i="42" s="1"/>
  <c r="AU149" i="50"/>
  <c r="AU138" i="41"/>
  <c r="BA138" i="41" s="1"/>
  <c r="AU165" i="47"/>
  <c r="BE165" i="47" s="1"/>
  <c r="AU165" i="51"/>
  <c r="BA165" i="51" s="1"/>
  <c r="AU165" i="46"/>
  <c r="AU156" i="51"/>
  <c r="BA156" i="51" s="1"/>
  <c r="AU181" i="45"/>
  <c r="BE181" i="45" s="1"/>
  <c r="AU170" i="41"/>
  <c r="AU171" i="41"/>
  <c r="AU171" i="46"/>
  <c r="BA171" i="46" s="1"/>
  <c r="AU158" i="47"/>
  <c r="BE158" i="47" s="1"/>
  <c r="AU158" i="51"/>
  <c r="BA158" i="51" s="1"/>
  <c r="AU167" i="41"/>
  <c r="AU146" i="50"/>
  <c r="BA146" i="50" s="1"/>
  <c r="AU146" i="46"/>
  <c r="AU168" i="42"/>
  <c r="AU169" i="45"/>
  <c r="AU160" i="46"/>
  <c r="BE160" i="46" s="1"/>
  <c r="AU180" i="41"/>
  <c r="AU180" i="45"/>
  <c r="AU179" i="42"/>
  <c r="AU166" i="45"/>
  <c r="P35" i="14" s="1"/>
  <c r="AU166" i="46"/>
  <c r="AU145" i="50"/>
  <c r="AU136" i="45"/>
  <c r="AU177" i="51"/>
  <c r="BA177" i="51" s="1"/>
  <c r="AU141" i="42"/>
  <c r="AU141" i="46"/>
  <c r="AU154" i="41"/>
  <c r="AU154" i="47"/>
  <c r="BE154" i="47" s="1"/>
  <c r="AU154" i="45"/>
  <c r="AU155" i="46"/>
  <c r="AU142" i="51"/>
  <c r="BA142" i="51" s="1"/>
  <c r="AU142" i="46"/>
  <c r="BE142" i="46" s="1"/>
  <c r="AU174" i="50"/>
  <c r="AU175" i="47"/>
  <c r="AU175" i="45"/>
  <c r="L41" i="14"/>
  <c r="AF231" i="41"/>
  <c r="AJ231" i="41"/>
  <c r="AU172" i="45"/>
  <c r="BE172" i="45" s="1"/>
  <c r="AJ231" i="51"/>
  <c r="AF231" i="51"/>
  <c r="AU172" i="50"/>
  <c r="AU172" i="51"/>
  <c r="BA172" i="51" s="1"/>
  <c r="AF202" i="41"/>
  <c r="AJ202" i="41"/>
  <c r="L12" i="14"/>
  <c r="AU143" i="46"/>
  <c r="BE143" i="46" s="1"/>
  <c r="AU143" i="45"/>
  <c r="BE143" i="45" s="1"/>
  <c r="S12" i="14"/>
  <c r="AF202" i="46"/>
  <c r="AJ202" i="46"/>
  <c r="L20" i="14"/>
  <c r="AF210" i="41"/>
  <c r="AJ210" i="41"/>
  <c r="AU151" i="42"/>
  <c r="AU151" i="46"/>
  <c r="BE151" i="46" s="1"/>
  <c r="AU151" i="45"/>
  <c r="BE151" i="45" s="1"/>
  <c r="S20" i="14"/>
  <c r="AJ210" i="46"/>
  <c r="AF210" i="46"/>
  <c r="AU144" i="47"/>
  <c r="BE144" i="47" s="1"/>
  <c r="AU144" i="42"/>
  <c r="BE144" i="42" s="1"/>
  <c r="AF203" i="51"/>
  <c r="AJ203" i="51"/>
  <c r="AU144" i="50"/>
  <c r="AU137" i="41"/>
  <c r="AU137" i="45"/>
  <c r="BE137" i="45" s="1"/>
  <c r="AU137" i="51"/>
  <c r="BA137" i="51" s="1"/>
  <c r="S6" i="14"/>
  <c r="AJ196" i="46"/>
  <c r="AF196" i="46"/>
  <c r="BE157" i="41"/>
  <c r="BE157" i="47"/>
  <c r="AU157" i="42"/>
  <c r="AU157" i="45"/>
  <c r="AU162" i="41"/>
  <c r="BE162" i="41" s="1"/>
  <c r="AU162" i="42"/>
  <c r="BE162" i="42" s="1"/>
  <c r="AU162" i="45"/>
  <c r="N31" i="14"/>
  <c r="AJ221" i="42"/>
  <c r="AF221" i="42"/>
  <c r="AU163" i="45"/>
  <c r="BE163" i="45" s="1"/>
  <c r="AU163" i="51"/>
  <c r="BA163" i="51" s="1"/>
  <c r="U32" i="14"/>
  <c r="AF222" i="47"/>
  <c r="AJ222" i="47"/>
  <c r="BE163" i="46"/>
  <c r="AU163" i="50"/>
  <c r="AU150" i="42"/>
  <c r="AU150" i="46"/>
  <c r="BE150" i="46" s="1"/>
  <c r="U19" i="14"/>
  <c r="AJ209" i="47"/>
  <c r="AF209" i="47"/>
  <c r="S19" i="14"/>
  <c r="AJ209" i="46"/>
  <c r="AF209" i="46"/>
  <c r="AU140" i="41"/>
  <c r="AU140" i="42"/>
  <c r="BE140" i="42" s="1"/>
  <c r="AU140" i="50"/>
  <c r="AU178" i="41"/>
  <c r="BE178" i="47"/>
  <c r="N47" i="14"/>
  <c r="AF237" i="42"/>
  <c r="AJ237" i="42"/>
  <c r="L18" i="14"/>
  <c r="AJ208" i="41"/>
  <c r="AF208" i="41"/>
  <c r="AU149" i="45"/>
  <c r="BE149" i="45" s="1"/>
  <c r="S18" i="14"/>
  <c r="AJ208" i="46"/>
  <c r="AF208" i="46"/>
  <c r="U18" i="14"/>
  <c r="AJ208" i="47"/>
  <c r="AF208" i="47"/>
  <c r="AU138" i="47"/>
  <c r="S7" i="14"/>
  <c r="AJ197" i="46"/>
  <c r="AF197" i="46"/>
  <c r="AU165" i="41"/>
  <c r="BE165" i="41" s="1"/>
  <c r="U34" i="14"/>
  <c r="AF224" i="47"/>
  <c r="AJ224" i="47"/>
  <c r="AJ224" i="51"/>
  <c r="AF224" i="51"/>
  <c r="AU153" i="47"/>
  <c r="BE153" i="47" s="1"/>
  <c r="BA153" i="50"/>
  <c r="AE22" i="14"/>
  <c r="BE153" i="50"/>
  <c r="AJ212" i="51"/>
  <c r="AF212" i="51"/>
  <c r="AU161" i="47"/>
  <c r="AU161" i="42"/>
  <c r="BE161" i="42" s="1"/>
  <c r="AU161" i="46"/>
  <c r="AU152" i="41"/>
  <c r="BE152" i="41" s="1"/>
  <c r="N21" i="14"/>
  <c r="AJ211" i="42"/>
  <c r="AF211" i="42"/>
  <c r="S21" i="14"/>
  <c r="AF211" i="46"/>
  <c r="AJ211" i="46"/>
  <c r="AU156" i="41"/>
  <c r="AU156" i="47"/>
  <c r="AU156" i="50"/>
  <c r="AF215" i="51"/>
  <c r="AJ215" i="51"/>
  <c r="BA181" i="50"/>
  <c r="AE50" i="14"/>
  <c r="AU181" i="51"/>
  <c r="BA181" i="51" s="1"/>
  <c r="BE181" i="50"/>
  <c r="L39" i="14"/>
  <c r="AF229" i="41"/>
  <c r="AJ229" i="41"/>
  <c r="AU170" i="42"/>
  <c r="BE170" i="42" s="1"/>
  <c r="AU170" i="45"/>
  <c r="AJ229" i="51"/>
  <c r="AF229" i="51"/>
  <c r="BE171" i="41"/>
  <c r="AU171" i="42"/>
  <c r="BE171" i="42" s="1"/>
  <c r="S40" i="14"/>
  <c r="AJ230" i="46"/>
  <c r="AF230" i="46"/>
  <c r="AJ230" i="47"/>
  <c r="U40" i="14"/>
  <c r="AF230" i="47"/>
  <c r="AU171" i="50"/>
  <c r="BE171" i="50" s="1"/>
  <c r="AU158" i="41"/>
  <c r="AU158" i="46"/>
  <c r="BE158" i="46" s="1"/>
  <c r="AU158" i="42"/>
  <c r="BE158" i="42" s="1"/>
  <c r="BE158" i="51"/>
  <c r="L8" i="14"/>
  <c r="AF198" i="41"/>
  <c r="AJ198" i="41"/>
  <c r="BA172" i="47"/>
  <c r="T41" i="14"/>
  <c r="BA172" i="46"/>
  <c r="R41" i="14"/>
  <c r="AJ231" i="42"/>
  <c r="N41" i="14"/>
  <c r="AF231" i="42"/>
  <c r="S41" i="14"/>
  <c r="AJ231" i="46"/>
  <c r="AF231" i="46"/>
  <c r="K12" i="14"/>
  <c r="N12" i="14"/>
  <c r="AJ202" i="42"/>
  <c r="AF202" i="42"/>
  <c r="BE143" i="51"/>
  <c r="U20" i="14"/>
  <c r="AJ210" i="47"/>
  <c r="AF210" i="47"/>
  <c r="BA144" i="46"/>
  <c r="R13" i="14"/>
  <c r="AF196" i="42"/>
  <c r="N6" i="14"/>
  <c r="AJ196" i="42"/>
  <c r="BA137" i="46"/>
  <c r="R6" i="14"/>
  <c r="AJ196" i="51"/>
  <c r="AF196" i="51"/>
  <c r="K26" i="14"/>
  <c r="BA157" i="41"/>
  <c r="BA157" i="46"/>
  <c r="R26" i="14"/>
  <c r="BE157" i="45"/>
  <c r="BA162" i="47"/>
  <c r="T31" i="14"/>
  <c r="BE162" i="45"/>
  <c r="S31" i="14"/>
  <c r="AJ221" i="46"/>
  <c r="AF221" i="46"/>
  <c r="L32" i="14"/>
  <c r="AJ222" i="41"/>
  <c r="AF222" i="41"/>
  <c r="BA163" i="47"/>
  <c r="T32" i="14"/>
  <c r="BA163" i="42"/>
  <c r="M32" i="14"/>
  <c r="S32" i="14"/>
  <c r="AF222" i="46"/>
  <c r="AJ222" i="46"/>
  <c r="BE163" i="50"/>
  <c r="BA150" i="45"/>
  <c r="L9" i="14"/>
  <c r="AF199" i="41"/>
  <c r="AJ199" i="41"/>
  <c r="T9" i="14"/>
  <c r="BA140" i="47"/>
  <c r="S9" i="14"/>
  <c r="AF199" i="46"/>
  <c r="AJ199" i="46"/>
  <c r="BE178" i="41"/>
  <c r="BA178" i="47"/>
  <c r="T47" i="14"/>
  <c r="AE47" i="14"/>
  <c r="BA178" i="50"/>
  <c r="BA149" i="46"/>
  <c r="L7" i="14"/>
  <c r="AJ197" i="41"/>
  <c r="AF197" i="41"/>
  <c r="BA138" i="50"/>
  <c r="AE7" i="14"/>
  <c r="U7" i="14"/>
  <c r="AJ197" i="47"/>
  <c r="AF197" i="47"/>
  <c r="BA165" i="42"/>
  <c r="M34" i="14"/>
  <c r="AE34" i="14"/>
  <c r="BA165" i="50"/>
  <c r="BA165" i="45"/>
  <c r="BE165" i="50"/>
  <c r="U22" i="14"/>
  <c r="AJ212" i="47"/>
  <c r="AF212" i="47"/>
  <c r="AU153" i="42"/>
  <c r="BE153" i="42" s="1"/>
  <c r="AJ220" i="51"/>
  <c r="AF220" i="51"/>
  <c r="U30" i="14"/>
  <c r="AJ220" i="47"/>
  <c r="AF220" i="47"/>
  <c r="L21" i="14"/>
  <c r="AJ211" i="41"/>
  <c r="AF211" i="41"/>
  <c r="BA152" i="45"/>
  <c r="P21" i="14"/>
  <c r="BA152" i="50"/>
  <c r="BE156" i="41"/>
  <c r="R25" i="14"/>
  <c r="N25" i="14"/>
  <c r="AF215" i="42"/>
  <c r="AJ215" i="42"/>
  <c r="AU156" i="45"/>
  <c r="BA181" i="41"/>
  <c r="K50" i="14"/>
  <c r="BA181" i="47"/>
  <c r="T50" i="14"/>
  <c r="BA181" i="42"/>
  <c r="M50" i="14"/>
  <c r="N50" i="14"/>
  <c r="AF240" i="42"/>
  <c r="AJ240" i="42"/>
  <c r="S50" i="14"/>
  <c r="AJ240" i="46"/>
  <c r="AF240" i="46"/>
  <c r="BE170" i="45"/>
  <c r="BA170" i="50"/>
  <c r="L40" i="14"/>
  <c r="AF230" i="41"/>
  <c r="AJ230" i="41"/>
  <c r="BA171" i="47"/>
  <c r="T40" i="14"/>
  <c r="P40" i="14"/>
  <c r="BA171" i="45"/>
  <c r="BE158" i="41"/>
  <c r="BE158" i="45"/>
  <c r="AU158" i="50"/>
  <c r="BE139" i="51"/>
  <c r="AU139" i="46"/>
  <c r="BE139" i="46" s="1"/>
  <c r="P36" i="14"/>
  <c r="BA167" i="45"/>
  <c r="U36" i="14"/>
  <c r="AJ226" i="47"/>
  <c r="AF226" i="47"/>
  <c r="AU146" i="42"/>
  <c r="U15" i="14"/>
  <c r="AJ205" i="47"/>
  <c r="AF205" i="47"/>
  <c r="AU146" i="45"/>
  <c r="AU173" i="46"/>
  <c r="BE173" i="46" s="1"/>
  <c r="S42" i="14"/>
  <c r="AF232" i="46"/>
  <c r="AJ232" i="46"/>
  <c r="BA173" i="42"/>
  <c r="BE172" i="47"/>
  <c r="AU172" i="42"/>
  <c r="BE172" i="46"/>
  <c r="BE172" i="50"/>
  <c r="U12" i="14"/>
  <c r="AF202" i="47"/>
  <c r="AJ202" i="47"/>
  <c r="AF202" i="51"/>
  <c r="AJ202" i="51"/>
  <c r="AU151" i="41"/>
  <c r="BE151" i="41" s="1"/>
  <c r="BE151" i="51"/>
  <c r="AU144" i="41"/>
  <c r="AU144" i="51"/>
  <c r="N13" i="14"/>
  <c r="AF203" i="42"/>
  <c r="AJ203" i="42"/>
  <c r="AU144" i="45"/>
  <c r="BE144" i="50"/>
  <c r="BE137" i="41"/>
  <c r="AU137" i="47"/>
  <c r="BE137" i="47" s="1"/>
  <c r="AU137" i="42"/>
  <c r="BE137" i="46"/>
  <c r="AU137" i="50"/>
  <c r="BE137" i="50" s="1"/>
  <c r="BA157" i="47"/>
  <c r="T26" i="14"/>
  <c r="BE157" i="42"/>
  <c r="S26" i="14"/>
  <c r="AF216" i="46"/>
  <c r="AJ216" i="46"/>
  <c r="L31" i="14"/>
  <c r="AF221" i="41"/>
  <c r="AJ221" i="41"/>
  <c r="BE162" i="51"/>
  <c r="BE162" i="50"/>
  <c r="AF221" i="51"/>
  <c r="AJ221" i="51"/>
  <c r="BE163" i="41"/>
  <c r="BE163" i="47"/>
  <c r="BE163" i="51"/>
  <c r="N32" i="14"/>
  <c r="AJ222" i="42"/>
  <c r="AF222" i="42"/>
  <c r="L19" i="14"/>
  <c r="AJ209" i="41"/>
  <c r="AF209" i="41"/>
  <c r="AU150" i="47"/>
  <c r="AU150" i="51"/>
  <c r="BA150" i="51" s="1"/>
  <c r="N19" i="14"/>
  <c r="AF209" i="42"/>
  <c r="AJ209" i="42"/>
  <c r="BE150" i="45"/>
  <c r="AJ199" i="42"/>
  <c r="N9" i="14"/>
  <c r="AF199" i="42"/>
  <c r="U9" i="14"/>
  <c r="AJ199" i="47"/>
  <c r="AF199" i="47"/>
  <c r="BE140" i="50"/>
  <c r="BE140" i="51"/>
  <c r="L47" i="14"/>
  <c r="AF237" i="41"/>
  <c r="AJ237" i="41"/>
  <c r="S47" i="14"/>
  <c r="AF237" i="46"/>
  <c r="AJ237" i="46"/>
  <c r="U47" i="14"/>
  <c r="AJ237" i="47"/>
  <c r="AF237" i="47"/>
  <c r="AF237" i="51"/>
  <c r="AJ237" i="51"/>
  <c r="AU149" i="41"/>
  <c r="BE149" i="41" s="1"/>
  <c r="AU149" i="47"/>
  <c r="BE149" i="50"/>
  <c r="AU149" i="51"/>
  <c r="BA149" i="51" s="1"/>
  <c r="AJ208" i="51"/>
  <c r="AF208" i="51"/>
  <c r="BA138" i="42"/>
  <c r="M7" i="14"/>
  <c r="BE138" i="42"/>
  <c r="AU138" i="46"/>
  <c r="BE138" i="50"/>
  <c r="BE138" i="51"/>
  <c r="L34" i="14"/>
  <c r="AF224" i="41"/>
  <c r="AJ224" i="41"/>
  <c r="BE165" i="42"/>
  <c r="BE165" i="46"/>
  <c r="L22" i="14"/>
  <c r="AF212" i="41"/>
  <c r="AJ212" i="41"/>
  <c r="BA153" i="45"/>
  <c r="P22" i="14"/>
  <c r="AU153" i="46"/>
  <c r="BE153" i="45"/>
  <c r="AF212" i="42"/>
  <c r="AJ212" i="42"/>
  <c r="N22" i="14"/>
  <c r="AU161" i="41"/>
  <c r="BE161" i="41" s="1"/>
  <c r="L30" i="14"/>
  <c r="AJ220" i="41"/>
  <c r="AF220" i="41"/>
  <c r="AU161" i="45"/>
  <c r="AU161" i="50"/>
  <c r="BE161" i="50" s="1"/>
  <c r="S30" i="14"/>
  <c r="AJ220" i="46"/>
  <c r="AF220" i="46"/>
  <c r="AU152" i="47"/>
  <c r="BE152" i="47" s="1"/>
  <c r="AU152" i="46"/>
  <c r="BE152" i="45"/>
  <c r="U21" i="14"/>
  <c r="AF211" i="47"/>
  <c r="AJ211" i="47"/>
  <c r="L25" i="14"/>
  <c r="AF215" i="41"/>
  <c r="AJ215" i="41"/>
  <c r="S25" i="14"/>
  <c r="AJ215" i="46"/>
  <c r="AF215" i="46"/>
  <c r="BE181" i="41"/>
  <c r="BE181" i="47"/>
  <c r="U50" i="14"/>
  <c r="AJ240" i="47"/>
  <c r="AF240" i="47"/>
  <c r="BE181" i="42"/>
  <c r="BE170" i="41"/>
  <c r="AU170" i="47"/>
  <c r="AU170" i="51"/>
  <c r="BA170" i="51" s="1"/>
  <c r="AJ229" i="42"/>
  <c r="AF229" i="42"/>
  <c r="N39" i="14"/>
  <c r="U39" i="14"/>
  <c r="AF229" i="47"/>
  <c r="AJ229" i="47"/>
  <c r="AU171" i="51"/>
  <c r="BA171" i="51" s="1"/>
  <c r="BE171" i="47"/>
  <c r="BE171" i="45"/>
  <c r="L27" i="14"/>
  <c r="AJ217" i="41"/>
  <c r="AF217" i="41"/>
  <c r="U27" i="14"/>
  <c r="AF217" i="47"/>
  <c r="AJ217" i="47"/>
  <c r="N27" i="14"/>
  <c r="AF217" i="42"/>
  <c r="AJ217" i="42"/>
  <c r="S27" i="14"/>
  <c r="AF217" i="46"/>
  <c r="AJ217" i="46"/>
  <c r="AU139" i="41"/>
  <c r="BE139" i="41" s="1"/>
  <c r="P8" i="14"/>
  <c r="BA139" i="45"/>
  <c r="AU172" i="41"/>
  <c r="BE172" i="41" s="1"/>
  <c r="BE172" i="51"/>
  <c r="U41" i="14"/>
  <c r="AJ231" i="47"/>
  <c r="AF231" i="47"/>
  <c r="BE143" i="41"/>
  <c r="AU143" i="47"/>
  <c r="AU143" i="50"/>
  <c r="AU143" i="42"/>
  <c r="AU151" i="47"/>
  <c r="BE151" i="42"/>
  <c r="N20" i="14"/>
  <c r="AJ210" i="42"/>
  <c r="AF210" i="42"/>
  <c r="AU151" i="50"/>
  <c r="BE151" i="50" s="1"/>
  <c r="AF210" i="51"/>
  <c r="AJ210" i="51"/>
  <c r="L13" i="14"/>
  <c r="AJ203" i="41"/>
  <c r="AF203" i="41"/>
  <c r="S13" i="14"/>
  <c r="AF203" i="46"/>
  <c r="AJ203" i="46"/>
  <c r="BE144" i="46"/>
  <c r="U13" i="14"/>
  <c r="AF203" i="47"/>
  <c r="AJ203" i="47"/>
  <c r="L6" i="14"/>
  <c r="AJ196" i="41"/>
  <c r="AF196" i="41"/>
  <c r="BE137" i="51"/>
  <c r="U6" i="14"/>
  <c r="AF196" i="47"/>
  <c r="AJ196" i="47"/>
  <c r="AF216" i="41"/>
  <c r="L26" i="14"/>
  <c r="AJ216" i="41"/>
  <c r="AU157" i="50"/>
  <c r="U26" i="14"/>
  <c r="AF216" i="47"/>
  <c r="AJ216" i="47"/>
  <c r="BE157" i="46"/>
  <c r="AF216" i="42"/>
  <c r="AJ216" i="42"/>
  <c r="N26" i="14"/>
  <c r="AJ216" i="51"/>
  <c r="AF216" i="51"/>
  <c r="BE162" i="47"/>
  <c r="R31" i="14"/>
  <c r="BA162" i="46"/>
  <c r="BA162" i="50"/>
  <c r="AE31" i="14"/>
  <c r="U31" i="14"/>
  <c r="AJ221" i="47"/>
  <c r="AF221" i="47"/>
  <c r="BE162" i="46"/>
  <c r="BA163" i="41"/>
  <c r="K32" i="14"/>
  <c r="BE163" i="42"/>
  <c r="R32" i="14"/>
  <c r="BA163" i="46"/>
  <c r="AJ222" i="51"/>
  <c r="AF222" i="51"/>
  <c r="BA150" i="41"/>
  <c r="BE150" i="42"/>
  <c r="AJ209" i="51"/>
  <c r="AF209" i="51"/>
  <c r="AU150" i="50"/>
  <c r="BE140" i="41"/>
  <c r="AU140" i="45"/>
  <c r="BE140" i="45" s="1"/>
  <c r="BA140" i="46"/>
  <c r="R9" i="14"/>
  <c r="AF199" i="51"/>
  <c r="AJ199" i="51"/>
  <c r="P47" i="14"/>
  <c r="BA178" i="45"/>
  <c r="BE178" i="45"/>
  <c r="M47" i="14"/>
  <c r="BA178" i="42"/>
  <c r="BE178" i="50"/>
  <c r="AU178" i="51"/>
  <c r="BA178" i="51" s="1"/>
  <c r="AU149" i="42"/>
  <c r="AE18" i="14"/>
  <c r="BA149" i="50"/>
  <c r="N18" i="14"/>
  <c r="AF208" i="42"/>
  <c r="AJ208" i="42"/>
  <c r="AU138" i="45"/>
  <c r="AF197" i="51"/>
  <c r="AJ197" i="51"/>
  <c r="BE138" i="47"/>
  <c r="N7" i="14"/>
  <c r="AF197" i="42"/>
  <c r="AJ197" i="42"/>
  <c r="BA165" i="47"/>
  <c r="T34" i="14"/>
  <c r="S34" i="14"/>
  <c r="AF224" i="46"/>
  <c r="AJ224" i="46"/>
  <c r="N34" i="14"/>
  <c r="AJ224" i="42"/>
  <c r="AF224" i="42"/>
  <c r="BA165" i="46"/>
  <c r="R34" i="14"/>
  <c r="AU153" i="41"/>
  <c r="BE153" i="41" s="1"/>
  <c r="AU153" i="51"/>
  <c r="BA153" i="51" s="1"/>
  <c r="S22" i="14"/>
  <c r="AJ212" i="46"/>
  <c r="AF212" i="46"/>
  <c r="BE161" i="47"/>
  <c r="N30" i="14"/>
  <c r="AF220" i="42"/>
  <c r="AJ220" i="42"/>
  <c r="BE161" i="46"/>
  <c r="BE152" i="46"/>
  <c r="AU152" i="42"/>
  <c r="BE152" i="42" s="1"/>
  <c r="BE152" i="51"/>
  <c r="AJ211" i="51"/>
  <c r="AF211" i="51"/>
  <c r="BE156" i="47"/>
  <c r="U25" i="14"/>
  <c r="AJ215" i="47"/>
  <c r="AF215" i="47"/>
  <c r="BE156" i="46"/>
  <c r="BE156" i="50"/>
  <c r="L50" i="14"/>
  <c r="AF240" i="41"/>
  <c r="AJ240" i="41"/>
  <c r="BA181" i="45"/>
  <c r="P50" i="14"/>
  <c r="R50" i="14"/>
  <c r="BA181" i="46"/>
  <c r="AJ240" i="51"/>
  <c r="AF240" i="51"/>
  <c r="BE181" i="46"/>
  <c r="K39" i="14"/>
  <c r="BA170" i="41"/>
  <c r="AU170" i="46"/>
  <c r="S39" i="14"/>
  <c r="AJ229" i="46"/>
  <c r="AF229" i="46"/>
  <c r="BA171" i="41"/>
  <c r="K40" i="14"/>
  <c r="N40" i="14"/>
  <c r="AJ230" i="42"/>
  <c r="AF230" i="42"/>
  <c r="BE171" i="46"/>
  <c r="AJ230" i="51"/>
  <c r="AF230" i="51"/>
  <c r="T27" i="14"/>
  <c r="BA158" i="47"/>
  <c r="P27" i="14"/>
  <c r="BA158" i="45"/>
  <c r="AJ217" i="51"/>
  <c r="AF217" i="51"/>
  <c r="AJ198" i="51"/>
  <c r="AF198" i="51"/>
  <c r="U8" i="14"/>
  <c r="AJ198" i="47"/>
  <c r="AF198" i="47"/>
  <c r="BE167" i="41"/>
  <c r="BA167" i="41"/>
  <c r="K36" i="14"/>
  <c r="N36" i="14"/>
  <c r="AJ226" i="42"/>
  <c r="AF226" i="42"/>
  <c r="AF226" i="51"/>
  <c r="AJ226" i="51"/>
  <c r="L15" i="14"/>
  <c r="AJ205" i="41"/>
  <c r="AF205" i="41"/>
  <c r="BE146" i="42"/>
  <c r="AE15" i="14"/>
  <c r="BA146" i="46"/>
  <c r="R15" i="14"/>
  <c r="AE42" i="14"/>
  <c r="BA173" i="50"/>
  <c r="BE173" i="50"/>
  <c r="N42" i="14"/>
  <c r="AJ232" i="42"/>
  <c r="AF232" i="42"/>
  <c r="M37" i="14"/>
  <c r="BA168" i="42"/>
  <c r="AJ227" i="51"/>
  <c r="AF227" i="51"/>
  <c r="N37" i="14"/>
  <c r="AJ227" i="42"/>
  <c r="AF227" i="42"/>
  <c r="U38" i="14"/>
  <c r="AF228" i="47"/>
  <c r="AJ228" i="47"/>
  <c r="BA169" i="45"/>
  <c r="P38" i="14"/>
  <c r="AU139" i="47"/>
  <c r="AU139" i="42"/>
  <c r="AU139" i="50"/>
  <c r="BE139" i="50" s="1"/>
  <c r="S8" i="14"/>
  <c r="AF198" i="46"/>
  <c r="AJ198" i="46"/>
  <c r="L36" i="14"/>
  <c r="AF226" i="41"/>
  <c r="AJ226" i="41"/>
  <c r="BA167" i="46"/>
  <c r="R36" i="14"/>
  <c r="AU167" i="51"/>
  <c r="BA167" i="51" s="1"/>
  <c r="BE167" i="46"/>
  <c r="AU146" i="47"/>
  <c r="BE146" i="47" s="1"/>
  <c r="N15" i="14"/>
  <c r="AF205" i="42"/>
  <c r="AJ205" i="42"/>
  <c r="AJ205" i="51"/>
  <c r="AF205" i="51"/>
  <c r="L42" i="14"/>
  <c r="AJ232" i="41"/>
  <c r="AF232" i="41"/>
  <c r="BE173" i="47"/>
  <c r="P42" i="14"/>
  <c r="BA173" i="45"/>
  <c r="BE173" i="45"/>
  <c r="BE173" i="42"/>
  <c r="AU168" i="41"/>
  <c r="BE168" i="45"/>
  <c r="BE168" i="51"/>
  <c r="U37" i="14"/>
  <c r="AF227" i="47"/>
  <c r="AJ227" i="47"/>
  <c r="BE168" i="42"/>
  <c r="BE169" i="41"/>
  <c r="T38" i="14"/>
  <c r="BA169" i="47"/>
  <c r="BE169" i="47"/>
  <c r="AU169" i="46"/>
  <c r="BE169" i="45"/>
  <c r="AJ219" i="51"/>
  <c r="AF219" i="51"/>
  <c r="BE160" i="45"/>
  <c r="AU160" i="50"/>
  <c r="S29" i="14"/>
  <c r="AJ219" i="46"/>
  <c r="AF219" i="46"/>
  <c r="L49" i="14"/>
  <c r="AJ239" i="41"/>
  <c r="AF239" i="41"/>
  <c r="BE180" i="45"/>
  <c r="AF239" i="51"/>
  <c r="AJ239" i="51"/>
  <c r="N49" i="14"/>
  <c r="AJ239" i="42"/>
  <c r="AF239" i="42"/>
  <c r="AU179" i="41"/>
  <c r="AJ238" i="51"/>
  <c r="AF238" i="51"/>
  <c r="BA179" i="45"/>
  <c r="P48" i="14"/>
  <c r="BE179" i="45"/>
  <c r="AJ238" i="42"/>
  <c r="N48" i="14"/>
  <c r="AF238" i="42"/>
  <c r="BE166" i="41"/>
  <c r="L35" i="14"/>
  <c r="AF225" i="41"/>
  <c r="AJ225" i="41"/>
  <c r="AU166" i="47"/>
  <c r="BE166" i="47" s="1"/>
  <c r="BE166" i="46"/>
  <c r="BE166" i="50"/>
  <c r="S35" i="14"/>
  <c r="AJ225" i="46"/>
  <c r="AF225" i="46"/>
  <c r="AU164" i="46"/>
  <c r="BE164" i="46" s="1"/>
  <c r="BE164" i="42"/>
  <c r="AU164" i="45"/>
  <c r="AX164" i="45"/>
  <c r="BE164" i="50"/>
  <c r="L17" i="14"/>
  <c r="AF207" i="41"/>
  <c r="AJ207" i="41"/>
  <c r="AU148" i="42"/>
  <c r="BE148" i="42" s="1"/>
  <c r="AU148" i="51"/>
  <c r="BA148" i="51" s="1"/>
  <c r="AU148" i="46"/>
  <c r="BE148" i="46" s="1"/>
  <c r="BE159" i="47"/>
  <c r="BA159" i="42"/>
  <c r="M28" i="14"/>
  <c r="BE159" i="51"/>
  <c r="BE159" i="50"/>
  <c r="AU147" i="51"/>
  <c r="BA147" i="51" s="1"/>
  <c r="AU147" i="47"/>
  <c r="AU147" i="45"/>
  <c r="BE147" i="45" s="1"/>
  <c r="BE147" i="50"/>
  <c r="AU145" i="41"/>
  <c r="AU145" i="42"/>
  <c r="BE145" i="50"/>
  <c r="AU145" i="45"/>
  <c r="AU136" i="41"/>
  <c r="BE136" i="45"/>
  <c r="AU136" i="47"/>
  <c r="BE136" i="47" s="1"/>
  <c r="AU136" i="46"/>
  <c r="T46" i="14"/>
  <c r="BA177" i="47"/>
  <c r="AU177" i="42"/>
  <c r="BE177" i="42" s="1"/>
  <c r="AJ236" i="42"/>
  <c r="AF236" i="42"/>
  <c r="N46" i="14"/>
  <c r="S46" i="14"/>
  <c r="AJ236" i="46"/>
  <c r="AF236" i="46"/>
  <c r="AU141" i="41"/>
  <c r="AU141" i="45"/>
  <c r="BE141" i="45" s="1"/>
  <c r="AU141" i="50"/>
  <c r="AU141" i="51"/>
  <c r="BE154" i="41"/>
  <c r="BE154" i="42"/>
  <c r="BE154" i="51"/>
  <c r="BE155" i="41"/>
  <c r="AJ214" i="51"/>
  <c r="AF214" i="51"/>
  <c r="AU155" i="42"/>
  <c r="BE155" i="50"/>
  <c r="BE155" i="46"/>
  <c r="AU142" i="47"/>
  <c r="BE142" i="47" s="1"/>
  <c r="AU142" i="42"/>
  <c r="AU142" i="45"/>
  <c r="BE142" i="51"/>
  <c r="L43" i="14"/>
  <c r="AF233" i="41"/>
  <c r="AJ233" i="41"/>
  <c r="AU174" i="46"/>
  <c r="BE174" i="46" s="1"/>
  <c r="S43" i="14"/>
  <c r="AJ233" i="46"/>
  <c r="AF233" i="46"/>
  <c r="BE174" i="50"/>
  <c r="AU175" i="41"/>
  <c r="BE175" i="42"/>
  <c r="AU175" i="51"/>
  <c r="BA175" i="51" s="1"/>
  <c r="L37" i="14"/>
  <c r="AF227" i="41"/>
  <c r="AJ227" i="41"/>
  <c r="AU168" i="47"/>
  <c r="AU168" i="46"/>
  <c r="BE168" i="46" s="1"/>
  <c r="BA169" i="41"/>
  <c r="K38" i="14"/>
  <c r="BA169" i="42"/>
  <c r="M38" i="14"/>
  <c r="BE169" i="46"/>
  <c r="BA160" i="47"/>
  <c r="T29" i="14"/>
  <c r="P29" i="14"/>
  <c r="BA160" i="45"/>
  <c r="U29" i="14"/>
  <c r="AJ219" i="47"/>
  <c r="AF219" i="47"/>
  <c r="R49" i="14"/>
  <c r="L48" i="14"/>
  <c r="AJ238" i="41"/>
  <c r="AF238" i="41"/>
  <c r="U48" i="14"/>
  <c r="AJ238" i="47"/>
  <c r="AF238" i="47"/>
  <c r="K35" i="14"/>
  <c r="BA166" i="41"/>
  <c r="M35" i="14"/>
  <c r="BA166" i="42"/>
  <c r="U35" i="14"/>
  <c r="AF225" i="47"/>
  <c r="AJ225" i="47"/>
  <c r="BA166" i="50"/>
  <c r="AE35" i="14"/>
  <c r="BA164" i="41"/>
  <c r="T33" i="14"/>
  <c r="BA164" i="47"/>
  <c r="BA164" i="42"/>
  <c r="M33" i="14"/>
  <c r="AJ223" i="42"/>
  <c r="N33" i="14"/>
  <c r="AF223" i="42"/>
  <c r="BA164" i="50"/>
  <c r="AE33" i="14"/>
  <c r="AF223" i="51"/>
  <c r="AJ223" i="51"/>
  <c r="BA148" i="47"/>
  <c r="T17" i="14"/>
  <c r="BE148" i="45"/>
  <c r="M45" i="14"/>
  <c r="BA176" i="42"/>
  <c r="T28" i="14"/>
  <c r="S28" i="14"/>
  <c r="AJ218" i="46"/>
  <c r="AF218" i="46"/>
  <c r="BA159" i="46"/>
  <c r="R28" i="14"/>
  <c r="AJ218" i="51"/>
  <c r="AF218" i="51"/>
  <c r="BE147" i="51"/>
  <c r="BA147" i="50"/>
  <c r="AE16" i="14"/>
  <c r="U16" i="14"/>
  <c r="AJ206" i="47"/>
  <c r="AF206" i="47"/>
  <c r="S16" i="14"/>
  <c r="AF206" i="46"/>
  <c r="AJ206" i="46"/>
  <c r="L14" i="14"/>
  <c r="AJ204" i="41"/>
  <c r="AF204" i="41"/>
  <c r="U14" i="14"/>
  <c r="AJ204" i="47"/>
  <c r="AF204" i="47"/>
  <c r="BE145" i="45"/>
  <c r="AF204" i="42"/>
  <c r="N14" i="14"/>
  <c r="AJ204" i="42"/>
  <c r="S14" i="14"/>
  <c r="AF204" i="46"/>
  <c r="AJ204" i="46"/>
  <c r="L5" i="14"/>
  <c r="AF195" i="41"/>
  <c r="AJ195" i="41"/>
  <c r="O8" i="41"/>
  <c r="N5" i="14"/>
  <c r="AF195" i="42"/>
  <c r="AJ195" i="42"/>
  <c r="O8" i="42"/>
  <c r="AU136" i="50"/>
  <c r="K46" i="14"/>
  <c r="BA177" i="41"/>
  <c r="P46" i="14"/>
  <c r="BA177" i="45"/>
  <c r="BE141" i="50"/>
  <c r="U10" i="14"/>
  <c r="AF200" i="47"/>
  <c r="AJ200" i="47"/>
  <c r="N8" i="47"/>
  <c r="S10" i="14"/>
  <c r="AF200" i="46"/>
  <c r="AJ200" i="46"/>
  <c r="N8" i="46"/>
  <c r="L23" i="14"/>
  <c r="AF213" i="41"/>
  <c r="AJ213" i="41"/>
  <c r="BA154" i="42"/>
  <c r="M23" i="14"/>
  <c r="N23" i="14"/>
  <c r="AJ213" i="42"/>
  <c r="AF213" i="42"/>
  <c r="S23" i="14"/>
  <c r="AJ213" i="46"/>
  <c r="AF213" i="46"/>
  <c r="L24" i="14"/>
  <c r="AJ214" i="41"/>
  <c r="AF214" i="41"/>
  <c r="AU155" i="51"/>
  <c r="BA155" i="51" s="1"/>
  <c r="U24" i="14"/>
  <c r="AJ214" i="47"/>
  <c r="AF214" i="47"/>
  <c r="BA155" i="50"/>
  <c r="AE24" i="14"/>
  <c r="BA142" i="41"/>
  <c r="K11" i="14"/>
  <c r="BE142" i="42"/>
  <c r="AJ201" i="51"/>
  <c r="AF201" i="51"/>
  <c r="M43" i="14"/>
  <c r="AF233" i="42"/>
  <c r="N43" i="14"/>
  <c r="AJ233" i="42"/>
  <c r="L44" i="14"/>
  <c r="AF234" i="41"/>
  <c r="AJ234" i="41"/>
  <c r="BA175" i="50"/>
  <c r="AE44" i="14"/>
  <c r="U44" i="14"/>
  <c r="AJ234" i="47"/>
  <c r="AF234" i="47"/>
  <c r="AU175" i="46"/>
  <c r="BE139" i="45"/>
  <c r="N8" i="14"/>
  <c r="AF198" i="42"/>
  <c r="AJ198" i="42"/>
  <c r="AU167" i="47"/>
  <c r="BE167" i="45"/>
  <c r="AU167" i="50"/>
  <c r="S36" i="14"/>
  <c r="AJ226" i="46"/>
  <c r="AF226" i="46"/>
  <c r="AU146" i="41"/>
  <c r="AU146" i="51"/>
  <c r="BA146" i="51" s="1"/>
  <c r="BE146" i="46"/>
  <c r="S15" i="14"/>
  <c r="AJ205" i="46"/>
  <c r="AF205" i="46"/>
  <c r="AU173" i="41"/>
  <c r="T42" i="14"/>
  <c r="BA173" i="47"/>
  <c r="AU173" i="51"/>
  <c r="BA173" i="51" s="1"/>
  <c r="U42" i="14"/>
  <c r="AJ232" i="47"/>
  <c r="AF232" i="47"/>
  <c r="AJ232" i="51"/>
  <c r="AF232" i="51"/>
  <c r="P37" i="14"/>
  <c r="BA168" i="45"/>
  <c r="AU168" i="50"/>
  <c r="S37" i="14"/>
  <c r="AF227" i="46"/>
  <c r="AJ227" i="46"/>
  <c r="L38" i="14"/>
  <c r="AF228" i="41"/>
  <c r="AJ228" i="41"/>
  <c r="BE169" i="42"/>
  <c r="N38" i="14"/>
  <c r="AF228" i="42"/>
  <c r="AJ228" i="42"/>
  <c r="S38" i="14"/>
  <c r="AJ228" i="46"/>
  <c r="AF228" i="46"/>
  <c r="AU160" i="41"/>
  <c r="BE160" i="41" s="1"/>
  <c r="BE160" i="47"/>
  <c r="AU160" i="51"/>
  <c r="BA160" i="51" s="1"/>
  <c r="N29" i="14"/>
  <c r="AJ219" i="42"/>
  <c r="AF219" i="42"/>
  <c r="BE160" i="50"/>
  <c r="BE180" i="41"/>
  <c r="AU180" i="47"/>
  <c r="BE180" i="47" s="1"/>
  <c r="BE180" i="51"/>
  <c r="AU180" i="50"/>
  <c r="U49" i="14"/>
  <c r="AJ239" i="47"/>
  <c r="AF239" i="47"/>
  <c r="AU179" i="51"/>
  <c r="BA179" i="51" s="1"/>
  <c r="BE179" i="42"/>
  <c r="S48" i="14"/>
  <c r="AF238" i="46"/>
  <c r="AJ238" i="46"/>
  <c r="AJ225" i="51"/>
  <c r="AF225" i="51"/>
  <c r="BE166" i="42"/>
  <c r="BE166" i="45"/>
  <c r="AF225" i="42"/>
  <c r="AJ225" i="42"/>
  <c r="N35" i="14"/>
  <c r="BE164" i="41"/>
  <c r="AU164" i="51"/>
  <c r="BA164" i="51" s="1"/>
  <c r="U33" i="14"/>
  <c r="AJ223" i="47"/>
  <c r="AF223" i="47"/>
  <c r="AU148" i="41"/>
  <c r="BE148" i="47"/>
  <c r="BA148" i="50"/>
  <c r="AJ207" i="42"/>
  <c r="AF207" i="42"/>
  <c r="N17" i="14"/>
  <c r="AF207" i="51"/>
  <c r="AJ207" i="51"/>
  <c r="AU159" i="41"/>
  <c r="BE159" i="42"/>
  <c r="AE28" i="14"/>
  <c r="BA159" i="50"/>
  <c r="N28" i="14"/>
  <c r="AJ218" i="42"/>
  <c r="AF218" i="42"/>
  <c r="AU147" i="41"/>
  <c r="L16" i="14"/>
  <c r="AF206" i="41"/>
  <c r="AJ206" i="41"/>
  <c r="AF206" i="51"/>
  <c r="AJ206" i="51"/>
  <c r="N16" i="14"/>
  <c r="AF206" i="42"/>
  <c r="AJ206" i="42"/>
  <c r="AU147" i="46"/>
  <c r="AU145" i="47"/>
  <c r="AU145" i="46"/>
  <c r="U5" i="14"/>
  <c r="AF195" i="47"/>
  <c r="AJ195" i="47"/>
  <c r="O8" i="47"/>
  <c r="S5" i="14"/>
  <c r="AF195" i="46"/>
  <c r="AJ195" i="46"/>
  <c r="O8" i="46"/>
  <c r="AU136" i="51"/>
  <c r="BE177" i="41"/>
  <c r="BE177" i="47"/>
  <c r="BE177" i="45"/>
  <c r="AU177" i="46"/>
  <c r="AU177" i="50"/>
  <c r="BE141" i="41"/>
  <c r="BE141" i="42"/>
  <c r="BE141" i="46"/>
  <c r="AJ200" i="51"/>
  <c r="AF200" i="51"/>
  <c r="N8" i="51"/>
  <c r="AU154" i="46"/>
  <c r="BE154" i="45"/>
  <c r="AU154" i="50"/>
  <c r="BE154" i="50" s="1"/>
  <c r="AJ213" i="51"/>
  <c r="AF213" i="51"/>
  <c r="BA155" i="41"/>
  <c r="K24" i="14"/>
  <c r="T24" i="14"/>
  <c r="BA155" i="47"/>
  <c r="BE155" i="47"/>
  <c r="BE155" i="42"/>
  <c r="BE142" i="41"/>
  <c r="N11" i="14"/>
  <c r="AJ201" i="42"/>
  <c r="AF201" i="42"/>
  <c r="BE142" i="45"/>
  <c r="U11" i="14"/>
  <c r="AF201" i="47"/>
  <c r="AJ201" i="47"/>
  <c r="AU174" i="41"/>
  <c r="BE174" i="41" s="1"/>
  <c r="AU174" i="51"/>
  <c r="BA174" i="51" s="1"/>
  <c r="AU174" i="47"/>
  <c r="BE174" i="47" s="1"/>
  <c r="AU174" i="45"/>
  <c r="BE175" i="47"/>
  <c r="BA175" i="42"/>
  <c r="M44" i="14"/>
  <c r="BE175" i="50"/>
  <c r="BE175" i="45"/>
  <c r="AF234" i="51"/>
  <c r="AJ234" i="51"/>
  <c r="AU169" i="50"/>
  <c r="AF228" i="51"/>
  <c r="AJ228" i="51"/>
  <c r="L29" i="14"/>
  <c r="AF219" i="41"/>
  <c r="AJ219" i="41"/>
  <c r="BA160" i="42"/>
  <c r="M29" i="14"/>
  <c r="BE160" i="42"/>
  <c r="K49" i="14"/>
  <c r="BA180" i="41"/>
  <c r="P49" i="14"/>
  <c r="BA180" i="45"/>
  <c r="BA180" i="42"/>
  <c r="M49" i="14"/>
  <c r="BE180" i="42"/>
  <c r="S49" i="14"/>
  <c r="AF239" i="46"/>
  <c r="AJ239" i="46"/>
  <c r="BE179" i="41"/>
  <c r="AU179" i="47"/>
  <c r="BE179" i="47" s="1"/>
  <c r="M48" i="14"/>
  <c r="BA179" i="42"/>
  <c r="AU179" i="50"/>
  <c r="AU179" i="46"/>
  <c r="BE179" i="46" s="1"/>
  <c r="AU166" i="51"/>
  <c r="BA166" i="51" s="1"/>
  <c r="BA166" i="46"/>
  <c r="R35" i="14"/>
  <c r="L33" i="14"/>
  <c r="AF223" i="41"/>
  <c r="AJ223" i="41"/>
  <c r="BE164" i="47"/>
  <c r="S33" i="14"/>
  <c r="AJ223" i="46"/>
  <c r="AF223" i="46"/>
  <c r="BE148" i="41"/>
  <c r="P17" i="14"/>
  <c r="BA148" i="45"/>
  <c r="U17" i="14"/>
  <c r="AJ207" i="47"/>
  <c r="AF207" i="47"/>
  <c r="S17" i="14"/>
  <c r="AJ207" i="46"/>
  <c r="AF207" i="46"/>
  <c r="L28" i="14"/>
  <c r="AJ218" i="41"/>
  <c r="AF218" i="41"/>
  <c r="BA159" i="45"/>
  <c r="P28" i="14"/>
  <c r="BE159" i="45"/>
  <c r="U28" i="14"/>
  <c r="AJ218" i="47"/>
  <c r="AF218" i="47"/>
  <c r="BE159" i="46"/>
  <c r="BE147" i="41"/>
  <c r="BE147" i="47"/>
  <c r="AU147" i="42"/>
  <c r="BE145" i="41"/>
  <c r="BE145" i="42"/>
  <c r="BA145" i="50"/>
  <c r="AE14" i="14"/>
  <c r="AJ204" i="51"/>
  <c r="AF204" i="51"/>
  <c r="BE136" i="46"/>
  <c r="AJ195" i="51"/>
  <c r="AF195" i="51"/>
  <c r="O8" i="51"/>
  <c r="BE136" i="51"/>
  <c r="AU136" i="42"/>
  <c r="P5" i="14"/>
  <c r="BA136" i="45"/>
  <c r="L46" i="14"/>
  <c r="AJ236" i="41"/>
  <c r="AF236" i="41"/>
  <c r="AF236" i="51"/>
  <c r="AJ236" i="51"/>
  <c r="U46" i="14"/>
  <c r="AJ236" i="47"/>
  <c r="AF236" i="47"/>
  <c r="L10" i="14"/>
  <c r="N8" i="41"/>
  <c r="AJ200" i="41"/>
  <c r="AF200" i="41"/>
  <c r="AJ200" i="42"/>
  <c r="N10" i="14"/>
  <c r="AF200" i="42"/>
  <c r="N8" i="42"/>
  <c r="M10" i="14"/>
  <c r="BA141" i="42"/>
  <c r="R10" i="14"/>
  <c r="BA141" i="46"/>
  <c r="K23" i="14"/>
  <c r="BA154" i="41"/>
  <c r="BA154" i="47"/>
  <c r="AF213" i="47"/>
  <c r="AJ213" i="47"/>
  <c r="U23" i="14"/>
  <c r="P23" i="14"/>
  <c r="BA154" i="45"/>
  <c r="BE155" i="51"/>
  <c r="N24" i="14"/>
  <c r="AF214" i="42"/>
  <c r="AJ214" i="42"/>
  <c r="AU155" i="45"/>
  <c r="AX155" i="45"/>
  <c r="BA155" i="46"/>
  <c r="R24" i="14"/>
  <c r="S24" i="14"/>
  <c r="AF214" i="46"/>
  <c r="AJ214" i="46"/>
  <c r="L11" i="14"/>
  <c r="AJ201" i="41"/>
  <c r="AF201" i="41"/>
  <c r="BE142" i="50"/>
  <c r="BA142" i="50"/>
  <c r="AE11" i="14"/>
  <c r="S11" i="14"/>
  <c r="AJ201" i="46"/>
  <c r="AF201" i="46"/>
  <c r="AJ233" i="51"/>
  <c r="AF233" i="51"/>
  <c r="BA174" i="50"/>
  <c r="AE43" i="14"/>
  <c r="U43" i="14"/>
  <c r="AJ233" i="47"/>
  <c r="AF233" i="47"/>
  <c r="BE175" i="41"/>
  <c r="T44" i="14"/>
  <c r="BA175" i="47"/>
  <c r="N44" i="14"/>
  <c r="AJ234" i="42"/>
  <c r="AF234" i="42"/>
  <c r="P44" i="14"/>
  <c r="BA175" i="45"/>
  <c r="S44" i="14"/>
  <c r="AJ234" i="46"/>
  <c r="AF234" i="46"/>
  <c r="B72" i="15"/>
  <c r="E30" i="15"/>
  <c r="P30" i="15" s="1"/>
  <c r="E34" i="11"/>
  <c r="P34" i="11" s="1"/>
  <c r="E62" i="15"/>
  <c r="P62" i="15" s="1"/>
  <c r="AX67" i="3"/>
  <c r="AX55" i="3"/>
  <c r="AX31" i="3"/>
  <c r="Z79" i="3"/>
  <c r="AC79" i="3" s="1"/>
  <c r="AG123" i="3"/>
  <c r="AF123" i="3"/>
  <c r="AG107" i="3"/>
  <c r="AF107" i="3"/>
  <c r="AG91" i="3"/>
  <c r="AF91" i="3"/>
  <c r="AG111" i="3"/>
  <c r="AF111" i="3"/>
  <c r="AG119" i="3"/>
  <c r="AF119" i="3"/>
  <c r="AG87" i="3"/>
  <c r="AF87" i="3"/>
  <c r="AG106" i="3"/>
  <c r="AF106" i="3"/>
  <c r="AG82" i="3"/>
  <c r="AF82" i="3"/>
  <c r="AG81" i="3"/>
  <c r="AF81" i="3"/>
  <c r="AG85" i="3"/>
  <c r="AF85" i="3"/>
  <c r="AG118" i="3"/>
  <c r="AF118" i="3"/>
  <c r="AG92" i="3"/>
  <c r="AF92" i="3"/>
  <c r="AG94" i="3"/>
  <c r="AF94" i="3"/>
  <c r="AG110" i="3"/>
  <c r="AF110" i="3"/>
  <c r="AG78" i="3"/>
  <c r="AF78" i="3"/>
  <c r="AG84" i="3"/>
  <c r="AF84" i="3"/>
  <c r="AG115" i="3"/>
  <c r="AF115" i="3"/>
  <c r="AG99" i="3"/>
  <c r="AF99" i="3"/>
  <c r="AG83" i="3"/>
  <c r="AF83" i="3"/>
  <c r="AG95" i="3"/>
  <c r="AF95" i="3"/>
  <c r="AG103" i="3"/>
  <c r="AF103" i="3"/>
  <c r="AG80" i="3"/>
  <c r="AF80" i="3"/>
  <c r="AG88" i="3"/>
  <c r="AF88" i="3"/>
  <c r="AG96" i="3"/>
  <c r="AF96" i="3"/>
  <c r="AG104" i="3"/>
  <c r="AF104" i="3"/>
  <c r="AG112" i="3"/>
  <c r="AF112" i="3"/>
  <c r="AG120" i="3"/>
  <c r="AF120" i="3"/>
  <c r="AG122" i="3"/>
  <c r="AF122" i="3"/>
  <c r="AG98" i="3"/>
  <c r="AF98" i="3"/>
  <c r="AG90" i="3"/>
  <c r="AF90" i="3"/>
  <c r="AG114" i="3"/>
  <c r="AF114" i="3"/>
  <c r="AG100" i="3"/>
  <c r="AF100" i="3"/>
  <c r="AG116" i="3"/>
  <c r="AF116" i="3"/>
  <c r="AG93" i="3"/>
  <c r="AF93" i="3"/>
  <c r="AG97" i="3"/>
  <c r="AF97" i="3"/>
  <c r="AG101" i="3"/>
  <c r="AF101" i="3"/>
  <c r="AG105" i="3"/>
  <c r="AF105" i="3"/>
  <c r="AG109" i="3"/>
  <c r="AF109" i="3"/>
  <c r="AG113" i="3"/>
  <c r="AF113" i="3"/>
  <c r="AG117" i="3"/>
  <c r="AF117" i="3"/>
  <c r="AG121" i="3"/>
  <c r="AF121" i="3"/>
  <c r="AG86" i="3"/>
  <c r="AF86" i="3"/>
  <c r="AG108" i="3"/>
  <c r="AF108" i="3"/>
  <c r="AG124" i="3"/>
  <c r="AF124" i="3"/>
  <c r="AG102" i="3"/>
  <c r="AF102" i="3"/>
  <c r="AG89" i="3"/>
  <c r="AF89" i="3"/>
  <c r="AG79" i="3"/>
  <c r="AF79" i="3"/>
  <c r="W123" i="3"/>
  <c r="W107" i="3"/>
  <c r="W91" i="3"/>
  <c r="Z91" i="3" s="1"/>
  <c r="AD91" i="3" s="1"/>
  <c r="E205" i="3" s="1"/>
  <c r="O205" i="3" s="1"/>
  <c r="W111" i="3"/>
  <c r="W119" i="3"/>
  <c r="Z119" i="3" s="1"/>
  <c r="AD119" i="3" s="1"/>
  <c r="E233" i="3" s="1"/>
  <c r="O233" i="3" s="1"/>
  <c r="W87" i="3"/>
  <c r="W106" i="3"/>
  <c r="Z106" i="3" s="1"/>
  <c r="AD106" i="3" s="1"/>
  <c r="E220" i="3" s="1"/>
  <c r="O220" i="3" s="1"/>
  <c r="W82" i="3"/>
  <c r="Z82" i="3" s="1"/>
  <c r="AA82" i="3" s="1"/>
  <c r="W85" i="3"/>
  <c r="W118" i="3"/>
  <c r="W92" i="3"/>
  <c r="W94" i="3"/>
  <c r="W110" i="3"/>
  <c r="W84" i="3"/>
  <c r="W115" i="3"/>
  <c r="W99" i="3"/>
  <c r="W83" i="3"/>
  <c r="W95" i="3"/>
  <c r="W103" i="3"/>
  <c r="W80" i="3"/>
  <c r="W88" i="3"/>
  <c r="W96" i="3"/>
  <c r="W104" i="3"/>
  <c r="Z104" i="3" s="1"/>
  <c r="AD104" i="3" s="1"/>
  <c r="E218" i="3" s="1"/>
  <c r="O218" i="3" s="1"/>
  <c r="W112" i="3"/>
  <c r="W120" i="3"/>
  <c r="W122" i="3"/>
  <c r="W98" i="3"/>
  <c r="W90" i="3"/>
  <c r="W114" i="3"/>
  <c r="W100" i="3"/>
  <c r="W116" i="3"/>
  <c r="W93" i="3"/>
  <c r="W97" i="3"/>
  <c r="W101" i="3"/>
  <c r="W105" i="3"/>
  <c r="Z105" i="3" s="1"/>
  <c r="AD105" i="3" s="1"/>
  <c r="E219" i="3" s="1"/>
  <c r="O219" i="3" s="1"/>
  <c r="W109" i="3"/>
  <c r="Z109" i="3" s="1"/>
  <c r="AD109" i="3" s="1"/>
  <c r="E223" i="3" s="1"/>
  <c r="O223" i="3" s="1"/>
  <c r="W113" i="3"/>
  <c r="W117" i="3"/>
  <c r="W121" i="3"/>
  <c r="W86" i="3"/>
  <c r="W108" i="3"/>
  <c r="W124" i="3"/>
  <c r="W102" i="3"/>
  <c r="W89" i="3"/>
  <c r="W81" i="3"/>
  <c r="Q81" i="3"/>
  <c r="S81" i="3" s="1"/>
  <c r="T81" i="3" s="1"/>
  <c r="Q79" i="3"/>
  <c r="G133" i="3"/>
  <c r="V133" i="3"/>
  <c r="P27" i="11"/>
  <c r="E46" i="15"/>
  <c r="P46" i="15" s="1"/>
  <c r="G134" i="3"/>
  <c r="Z108" i="3"/>
  <c r="AD108" i="3" s="1"/>
  <c r="E222" i="3" s="1"/>
  <c r="O222" i="3" s="1"/>
  <c r="Q78" i="3"/>
  <c r="E71" i="11"/>
  <c r="P71" i="11" s="1"/>
  <c r="B35" i="15"/>
  <c r="E35" i="15"/>
  <c r="P35" i="15" s="1"/>
  <c r="B67" i="15"/>
  <c r="E67" i="15"/>
  <c r="P67" i="15" s="1"/>
  <c r="B59" i="15"/>
  <c r="E59" i="15"/>
  <c r="P59" i="15" s="1"/>
  <c r="P26" i="11"/>
  <c r="AC130" i="16"/>
  <c r="B71" i="16"/>
  <c r="E71" i="16"/>
  <c r="AC130" i="24"/>
  <c r="E71" i="24"/>
  <c r="B71" i="24"/>
  <c r="AC130" i="33"/>
  <c r="B71" i="33"/>
  <c r="E71" i="33"/>
  <c r="AC128" i="17"/>
  <c r="E69" i="17"/>
  <c r="B69" i="17"/>
  <c r="AC128" i="25"/>
  <c r="B69" i="25"/>
  <c r="E69" i="25"/>
  <c r="AC128" i="33"/>
  <c r="E69" i="33"/>
  <c r="B69" i="33"/>
  <c r="AC126" i="18"/>
  <c r="E67" i="18"/>
  <c r="B67" i="18"/>
  <c r="B67" i="26"/>
  <c r="E67" i="26"/>
  <c r="AC126" i="26"/>
  <c r="AC126" i="34"/>
  <c r="B67" i="34"/>
  <c r="E67" i="34"/>
  <c r="AC124" i="19"/>
  <c r="E65" i="19"/>
  <c r="B65" i="19"/>
  <c r="AC124" i="27"/>
  <c r="B65" i="27"/>
  <c r="E65" i="27"/>
  <c r="AC124" i="37"/>
  <c r="B65" i="37"/>
  <c r="E65" i="37"/>
  <c r="AC122" i="19"/>
  <c r="E63" i="19"/>
  <c r="B63" i="19"/>
  <c r="E63" i="28"/>
  <c r="B63" i="28"/>
  <c r="AC122" i="28"/>
  <c r="AC122" i="38"/>
  <c r="B63" i="38"/>
  <c r="E63" i="38"/>
  <c r="AC120" i="21"/>
  <c r="B61" i="21"/>
  <c r="E61" i="21"/>
  <c r="E61" i="29"/>
  <c r="B61" i="29"/>
  <c r="AC120" i="29"/>
  <c r="AC118" i="22"/>
  <c r="B59" i="22"/>
  <c r="E59" i="22"/>
  <c r="AC118" i="30"/>
  <c r="B59" i="30"/>
  <c r="E59" i="30"/>
  <c r="AC116" i="15"/>
  <c r="E57" i="15"/>
  <c r="B57" i="15"/>
  <c r="C57" i="15" s="1"/>
  <c r="AC116" i="23"/>
  <c r="B57" i="23"/>
  <c r="E57" i="23"/>
  <c r="AC116" i="31"/>
  <c r="B57" i="31"/>
  <c r="E57" i="31"/>
  <c r="AC114" i="18"/>
  <c r="E55" i="18"/>
  <c r="B55" i="18"/>
  <c r="AC114" i="25"/>
  <c r="E55" i="25"/>
  <c r="B55" i="25"/>
  <c r="AC114" i="32"/>
  <c r="B55" i="32"/>
  <c r="E55" i="32"/>
  <c r="AC112" i="18"/>
  <c r="B53" i="18"/>
  <c r="E53" i="18"/>
  <c r="E53" i="26"/>
  <c r="AC112" i="26"/>
  <c r="B53" i="26"/>
  <c r="AC112" i="34"/>
  <c r="B53" i="34"/>
  <c r="E53" i="34"/>
  <c r="AC110" i="19"/>
  <c r="E51" i="19"/>
  <c r="B51" i="19"/>
  <c r="AC110" i="28"/>
  <c r="B51" i="28"/>
  <c r="E51" i="28"/>
  <c r="AC110" i="38"/>
  <c r="E51" i="38"/>
  <c r="B51" i="38"/>
  <c r="AC108" i="21"/>
  <c r="E49" i="21"/>
  <c r="B49" i="21"/>
  <c r="AC108" i="29"/>
  <c r="E49" i="29"/>
  <c r="B49" i="29"/>
  <c r="AC106" i="22"/>
  <c r="E47" i="22"/>
  <c r="B47" i="22"/>
  <c r="AC106" i="30"/>
  <c r="B47" i="30"/>
  <c r="E47" i="30"/>
  <c r="AC104" i="23"/>
  <c r="E45" i="23"/>
  <c r="B45" i="23"/>
  <c r="AC104" i="31"/>
  <c r="B45" i="31"/>
  <c r="E45" i="31"/>
  <c r="E26" i="19"/>
  <c r="AF85" i="19"/>
  <c r="AH85" i="19" s="1"/>
  <c r="AI85" i="19" s="1"/>
  <c r="B26" i="19"/>
  <c r="C26" i="19" s="1"/>
  <c r="AC85" i="19"/>
  <c r="AF85" i="26"/>
  <c r="AH85" i="26" s="1"/>
  <c r="AI85" i="26" s="1"/>
  <c r="AC85" i="26"/>
  <c r="B26" i="26"/>
  <c r="C26" i="26" s="1"/>
  <c r="E26" i="26"/>
  <c r="AF85" i="37"/>
  <c r="AH85" i="37" s="1"/>
  <c r="AI85" i="37" s="1"/>
  <c r="B26" i="37"/>
  <c r="C26" i="37" s="1"/>
  <c r="AC85" i="37"/>
  <c r="E26" i="37"/>
  <c r="AC102" i="19"/>
  <c r="E43" i="19"/>
  <c r="B43" i="19"/>
  <c r="AC102" i="28"/>
  <c r="E43" i="28"/>
  <c r="B43" i="28"/>
  <c r="AC102" i="38"/>
  <c r="E43" i="38"/>
  <c r="B43" i="38"/>
  <c r="AC100" i="21"/>
  <c r="B41" i="21"/>
  <c r="E41" i="21"/>
  <c r="E41" i="29"/>
  <c r="B41" i="29"/>
  <c r="AC100" i="29"/>
  <c r="AC98" i="15"/>
  <c r="E39" i="15"/>
  <c r="F39" i="15" s="1"/>
  <c r="B39" i="15"/>
  <c r="AC98" i="23"/>
  <c r="E39" i="23"/>
  <c r="B39" i="23"/>
  <c r="AC98" i="31"/>
  <c r="B39" i="31"/>
  <c r="E39" i="31"/>
  <c r="AC96" i="16"/>
  <c r="E37" i="16"/>
  <c r="B37" i="16"/>
  <c r="AC96" i="24"/>
  <c r="B37" i="24"/>
  <c r="E37" i="24"/>
  <c r="AC96" i="32"/>
  <c r="B37" i="32"/>
  <c r="E37" i="32"/>
  <c r="AC94" i="16"/>
  <c r="E35" i="16"/>
  <c r="B35" i="16"/>
  <c r="AC94" i="27"/>
  <c r="B35" i="27"/>
  <c r="E35" i="27"/>
  <c r="AC94" i="34"/>
  <c r="B35" i="34"/>
  <c r="E35" i="34"/>
  <c r="AC92" i="19"/>
  <c r="B33" i="19"/>
  <c r="E33" i="19"/>
  <c r="AC92" i="27"/>
  <c r="B33" i="27"/>
  <c r="E33" i="27"/>
  <c r="AC92" i="37"/>
  <c r="B33" i="37"/>
  <c r="E33" i="37"/>
  <c r="AC90" i="19"/>
  <c r="B31" i="19"/>
  <c r="E31" i="19"/>
  <c r="AC90" i="28"/>
  <c r="E31" i="28"/>
  <c r="B31" i="28"/>
  <c r="AC90" i="38"/>
  <c r="E31" i="38"/>
  <c r="B31" i="38"/>
  <c r="AC88" i="21"/>
  <c r="B29" i="21"/>
  <c r="E29" i="21"/>
  <c r="B29" i="29"/>
  <c r="E29" i="29"/>
  <c r="AC88" i="29"/>
  <c r="AC88" i="11"/>
  <c r="B27" i="22"/>
  <c r="AC86" i="22"/>
  <c r="E27" i="22"/>
  <c r="E27" i="30"/>
  <c r="AC86" i="30"/>
  <c r="B27" i="30"/>
  <c r="AC131" i="18"/>
  <c r="B72" i="18"/>
  <c r="E72" i="18"/>
  <c r="B72" i="26"/>
  <c r="E72" i="26"/>
  <c r="AC131" i="26"/>
  <c r="AC131" i="34"/>
  <c r="B72" i="34"/>
  <c r="E72" i="34"/>
  <c r="AC129" i="20"/>
  <c r="E70" i="20"/>
  <c r="B70" i="20"/>
  <c r="E70" i="28"/>
  <c r="B70" i="28"/>
  <c r="AC129" i="28"/>
  <c r="AC129" i="38"/>
  <c r="B70" i="38"/>
  <c r="E70" i="38"/>
  <c r="AC127" i="22"/>
  <c r="B68" i="22"/>
  <c r="E68" i="22"/>
  <c r="AC127" i="31"/>
  <c r="B68" i="31"/>
  <c r="E68" i="31"/>
  <c r="AC125" i="15"/>
  <c r="E66" i="15"/>
  <c r="F67" i="15" s="1"/>
  <c r="B66" i="15"/>
  <c r="AC125" i="23"/>
  <c r="B66" i="23"/>
  <c r="E66" i="23"/>
  <c r="AC125" i="30"/>
  <c r="B66" i="30"/>
  <c r="E66" i="30"/>
  <c r="AC123" i="17"/>
  <c r="E64" i="17"/>
  <c r="B64" i="17"/>
  <c r="AC123" i="24"/>
  <c r="E64" i="24"/>
  <c r="B64" i="24"/>
  <c r="AC123" i="33"/>
  <c r="E64" i="33"/>
  <c r="B64" i="33"/>
  <c r="AC121" i="17"/>
  <c r="E62" i="17"/>
  <c r="B62" i="17"/>
  <c r="AC121" i="25"/>
  <c r="E62" i="25"/>
  <c r="B62" i="25"/>
  <c r="AC121" i="33"/>
  <c r="B62" i="33"/>
  <c r="E62" i="33"/>
  <c r="AC119" i="19"/>
  <c r="E60" i="19"/>
  <c r="B60" i="19"/>
  <c r="AC119" i="27"/>
  <c r="E60" i="27"/>
  <c r="B60" i="27"/>
  <c r="AC119" i="37"/>
  <c r="E60" i="37"/>
  <c r="B60" i="37"/>
  <c r="AC117" i="21"/>
  <c r="B58" i="21"/>
  <c r="E58" i="21"/>
  <c r="E58" i="29"/>
  <c r="B58" i="29"/>
  <c r="AC117" i="29"/>
  <c r="AC115" i="23"/>
  <c r="E56" i="23"/>
  <c r="B56" i="23"/>
  <c r="AC115" i="31"/>
  <c r="E56" i="31"/>
  <c r="B56" i="31"/>
  <c r="AC113" i="17"/>
  <c r="B54" i="17"/>
  <c r="E54" i="17"/>
  <c r="AC113" i="25"/>
  <c r="E54" i="25"/>
  <c r="B54" i="25"/>
  <c r="AC113" i="32"/>
  <c r="E54" i="32"/>
  <c r="B54" i="32"/>
  <c r="AC111" i="19"/>
  <c r="B52" i="19"/>
  <c r="C52" i="19" s="1"/>
  <c r="E52" i="19"/>
  <c r="AC111" i="27"/>
  <c r="E52" i="27"/>
  <c r="B52" i="27"/>
  <c r="AC111" i="37"/>
  <c r="E52" i="37"/>
  <c r="B52" i="37"/>
  <c r="AC109" i="21"/>
  <c r="E50" i="21"/>
  <c r="B50" i="21"/>
  <c r="E50" i="29"/>
  <c r="B50" i="29"/>
  <c r="C50" i="29" s="1"/>
  <c r="AC109" i="29"/>
  <c r="AC107" i="23"/>
  <c r="E48" i="23"/>
  <c r="B48" i="23"/>
  <c r="AC107" i="30"/>
  <c r="E48" i="30"/>
  <c r="B48" i="30"/>
  <c r="AC105" i="17"/>
  <c r="B46" i="17"/>
  <c r="E46" i="17"/>
  <c r="AC105" i="24"/>
  <c r="B46" i="24"/>
  <c r="E46" i="24"/>
  <c r="AC105" i="32"/>
  <c r="B46" i="32"/>
  <c r="E46" i="32"/>
  <c r="AC103" i="15"/>
  <c r="E44" i="15"/>
  <c r="B44" i="15"/>
  <c r="C45" i="15" s="1"/>
  <c r="AC103" i="23"/>
  <c r="B44" i="23"/>
  <c r="E44" i="23"/>
  <c r="AC103" i="30"/>
  <c r="B44" i="30"/>
  <c r="E44" i="30"/>
  <c r="AC101" i="17"/>
  <c r="E42" i="17"/>
  <c r="B42" i="17"/>
  <c r="AC101" i="24"/>
  <c r="E42" i="24"/>
  <c r="B42" i="24"/>
  <c r="AC101" i="32"/>
  <c r="B42" i="32"/>
  <c r="E42" i="32"/>
  <c r="AC99" i="18"/>
  <c r="B40" i="18"/>
  <c r="E40" i="18"/>
  <c r="B40" i="26"/>
  <c r="E40" i="26"/>
  <c r="AC99" i="26"/>
  <c r="AC99" i="34"/>
  <c r="B40" i="34"/>
  <c r="E40" i="34"/>
  <c r="AC97" i="19"/>
  <c r="E38" i="19"/>
  <c r="B38" i="19"/>
  <c r="E38" i="26"/>
  <c r="B38" i="26"/>
  <c r="AC97" i="26"/>
  <c r="AC97" i="37"/>
  <c r="B38" i="37"/>
  <c r="E38" i="37"/>
  <c r="AC95" i="20"/>
  <c r="E36" i="20"/>
  <c r="B36" i="20"/>
  <c r="E36" i="28"/>
  <c r="B36" i="28"/>
  <c r="AC95" i="28"/>
  <c r="AC95" i="38"/>
  <c r="B36" i="38"/>
  <c r="E36" i="38"/>
  <c r="AC93" i="21"/>
  <c r="B34" i="21"/>
  <c r="E34" i="21"/>
  <c r="E34" i="29"/>
  <c r="B34" i="29"/>
  <c r="AC93" i="29"/>
  <c r="AC91" i="22"/>
  <c r="E32" i="22"/>
  <c r="O32" i="22" s="1"/>
  <c r="B32" i="22"/>
  <c r="AC91" i="30"/>
  <c r="E32" i="30"/>
  <c r="B32" i="30"/>
  <c r="AC89" i="23"/>
  <c r="E30" i="23"/>
  <c r="B30" i="23"/>
  <c r="AC89" i="30"/>
  <c r="E30" i="30"/>
  <c r="B30" i="30"/>
  <c r="AC87" i="16"/>
  <c r="E28" i="16"/>
  <c r="B28" i="16"/>
  <c r="AC87" i="24"/>
  <c r="E28" i="24"/>
  <c r="B28" i="24"/>
  <c r="AC87" i="33"/>
  <c r="E28" i="33"/>
  <c r="B28" i="33"/>
  <c r="AC130" i="17"/>
  <c r="B71" i="17"/>
  <c r="E71" i="17"/>
  <c r="AC130" i="25"/>
  <c r="E71" i="25"/>
  <c r="B71" i="25"/>
  <c r="AC130" i="32"/>
  <c r="E71" i="32"/>
  <c r="B71" i="32"/>
  <c r="AC128" i="18"/>
  <c r="E69" i="18"/>
  <c r="B69" i="18"/>
  <c r="E69" i="26"/>
  <c r="AC128" i="26"/>
  <c r="B69" i="26"/>
  <c r="AC128" i="34"/>
  <c r="E69" i="34"/>
  <c r="B69" i="34"/>
  <c r="AC126" i="20"/>
  <c r="B67" i="20"/>
  <c r="E67" i="20"/>
  <c r="AC126" i="27"/>
  <c r="E67" i="27"/>
  <c r="B67" i="27"/>
  <c r="AC126" i="37"/>
  <c r="B67" i="37"/>
  <c r="E67" i="37"/>
  <c r="AC124" i="20"/>
  <c r="E65" i="20"/>
  <c r="B65" i="20"/>
  <c r="E65" i="28"/>
  <c r="B65" i="28"/>
  <c r="AC124" i="28"/>
  <c r="AC124" i="38"/>
  <c r="E65" i="38"/>
  <c r="B65" i="38"/>
  <c r="AC122" i="21"/>
  <c r="B63" i="21"/>
  <c r="E63" i="21"/>
  <c r="B63" i="29"/>
  <c r="E63" i="29"/>
  <c r="AC122" i="29"/>
  <c r="AC120" i="22"/>
  <c r="E61" i="22"/>
  <c r="B61" i="22"/>
  <c r="AC120" i="30"/>
  <c r="B61" i="30"/>
  <c r="E61" i="30"/>
  <c r="AC118" i="23"/>
  <c r="B59" i="23"/>
  <c r="E59" i="23"/>
  <c r="AC118" i="31"/>
  <c r="B59" i="31"/>
  <c r="E59" i="31"/>
  <c r="AC116" i="17"/>
  <c r="B57" i="17"/>
  <c r="E57" i="17"/>
  <c r="AC116" i="24"/>
  <c r="E57" i="24"/>
  <c r="B57" i="24"/>
  <c r="AC116" i="32"/>
  <c r="B57" i="32"/>
  <c r="E57" i="32"/>
  <c r="AC114" i="17"/>
  <c r="E55" i="17"/>
  <c r="B55" i="17"/>
  <c r="AC114" i="27"/>
  <c r="B55" i="27"/>
  <c r="E55" i="27"/>
  <c r="AC114" i="34"/>
  <c r="B55" i="34"/>
  <c r="E55" i="34"/>
  <c r="AC112" i="19"/>
  <c r="B53" i="19"/>
  <c r="E53" i="19"/>
  <c r="AC112" i="27"/>
  <c r="E53" i="27"/>
  <c r="B53" i="27"/>
  <c r="AC112" i="37"/>
  <c r="B53" i="37"/>
  <c r="E53" i="37"/>
  <c r="AC110" i="21"/>
  <c r="B51" i="21"/>
  <c r="C51" i="21" s="1"/>
  <c r="E51" i="21"/>
  <c r="E51" i="29"/>
  <c r="B51" i="29"/>
  <c r="AC110" i="29"/>
  <c r="AC108" i="22"/>
  <c r="B49" i="22"/>
  <c r="E49" i="22"/>
  <c r="AC108" i="30"/>
  <c r="E49" i="30"/>
  <c r="B49" i="30"/>
  <c r="AC106" i="15"/>
  <c r="E47" i="15"/>
  <c r="B47" i="15"/>
  <c r="C47" i="15" s="1"/>
  <c r="AC106" i="23"/>
  <c r="E47" i="23"/>
  <c r="B47" i="23"/>
  <c r="AC106" i="31"/>
  <c r="B47" i="31"/>
  <c r="E47" i="31"/>
  <c r="AC104" i="16"/>
  <c r="E45" i="16"/>
  <c r="B45" i="16"/>
  <c r="AC104" i="24"/>
  <c r="E45" i="24"/>
  <c r="B45" i="24"/>
  <c r="AC104" i="32"/>
  <c r="E45" i="32"/>
  <c r="B45" i="32"/>
  <c r="B26" i="20"/>
  <c r="C26" i="20" s="1"/>
  <c r="AC85" i="20"/>
  <c r="AF85" i="20"/>
  <c r="AH85" i="20" s="1"/>
  <c r="AI85" i="20" s="1"/>
  <c r="E26" i="20"/>
  <c r="O26" i="20" s="1"/>
  <c r="AF85" i="28"/>
  <c r="AH85" i="28" s="1"/>
  <c r="AI85" i="28" s="1"/>
  <c r="E26" i="28"/>
  <c r="B26" i="28"/>
  <c r="C26" i="28" s="1"/>
  <c r="AC85" i="28"/>
  <c r="AF85" i="38"/>
  <c r="AH85" i="38" s="1"/>
  <c r="AI85" i="38" s="1"/>
  <c r="B26" i="38"/>
  <c r="C26" i="38" s="1"/>
  <c r="AC85" i="38"/>
  <c r="E26" i="38"/>
  <c r="AC102" i="21"/>
  <c r="B43" i="21"/>
  <c r="E43" i="21"/>
  <c r="E43" i="29"/>
  <c r="B43" i="29"/>
  <c r="AC102" i="29"/>
  <c r="AC100" i="22"/>
  <c r="B41" i="22"/>
  <c r="E41" i="22"/>
  <c r="AC100" i="30"/>
  <c r="E41" i="30"/>
  <c r="B41" i="30"/>
  <c r="AC98" i="16"/>
  <c r="E39" i="16"/>
  <c r="B39" i="16"/>
  <c r="AC98" i="24"/>
  <c r="E39" i="24"/>
  <c r="B39" i="24"/>
  <c r="AC98" i="32"/>
  <c r="B39" i="32"/>
  <c r="E39" i="32"/>
  <c r="AC96" i="17"/>
  <c r="E37" i="17"/>
  <c r="B37" i="17"/>
  <c r="AC96" i="25"/>
  <c r="E37" i="25"/>
  <c r="B37" i="25"/>
  <c r="AC96" i="33"/>
  <c r="B37" i="33"/>
  <c r="E37" i="33"/>
  <c r="AC94" i="20"/>
  <c r="E35" i="20"/>
  <c r="B35" i="20"/>
  <c r="E35" i="26"/>
  <c r="B35" i="26"/>
  <c r="AC94" i="26"/>
  <c r="AC94" i="37"/>
  <c r="B35" i="37"/>
  <c r="E35" i="37"/>
  <c r="AC92" i="20"/>
  <c r="E33" i="20"/>
  <c r="B33" i="20"/>
  <c r="E33" i="28"/>
  <c r="B33" i="28"/>
  <c r="AC92" i="28"/>
  <c r="AC92" i="38"/>
  <c r="E33" i="38"/>
  <c r="B33" i="38"/>
  <c r="AC90" i="21"/>
  <c r="B31" i="21"/>
  <c r="E31" i="21"/>
  <c r="B31" i="29"/>
  <c r="AC90" i="29"/>
  <c r="E31" i="29"/>
  <c r="AC88" i="22"/>
  <c r="E29" i="22"/>
  <c r="B29" i="22"/>
  <c r="AC88" i="31"/>
  <c r="B29" i="31"/>
  <c r="E29" i="31"/>
  <c r="E27" i="15"/>
  <c r="AC86" i="15"/>
  <c r="B27" i="15"/>
  <c r="E27" i="23"/>
  <c r="AC86" i="23"/>
  <c r="B27" i="23"/>
  <c r="E27" i="31"/>
  <c r="B27" i="31"/>
  <c r="AC86" i="31"/>
  <c r="AC131" i="19"/>
  <c r="B72" i="19"/>
  <c r="E72" i="19"/>
  <c r="AC131" i="27"/>
  <c r="B72" i="27"/>
  <c r="E72" i="27"/>
  <c r="AC131" i="37"/>
  <c r="E72" i="37"/>
  <c r="B72" i="37"/>
  <c r="AC129" i="21"/>
  <c r="E70" i="21"/>
  <c r="B70" i="21"/>
  <c r="E70" i="29"/>
  <c r="B70" i="29"/>
  <c r="AC129" i="29"/>
  <c r="AC127" i="15"/>
  <c r="E68" i="15"/>
  <c r="F68" i="15" s="1"/>
  <c r="B68" i="15"/>
  <c r="AC127" i="23"/>
  <c r="B68" i="23"/>
  <c r="E68" i="23"/>
  <c r="AC127" i="30"/>
  <c r="E68" i="30"/>
  <c r="B68" i="30"/>
  <c r="AC125" i="18"/>
  <c r="B66" i="18"/>
  <c r="E66" i="18"/>
  <c r="AC125" i="24"/>
  <c r="B66" i="24"/>
  <c r="E66" i="24"/>
  <c r="AC125" i="32"/>
  <c r="E66" i="32"/>
  <c r="B66" i="32"/>
  <c r="AC123" i="16"/>
  <c r="E64" i="16"/>
  <c r="B64" i="16"/>
  <c r="AC123" i="25"/>
  <c r="E64" i="25"/>
  <c r="B64" i="25"/>
  <c r="AC123" i="32"/>
  <c r="E64" i="32"/>
  <c r="B64" i="32"/>
  <c r="AC121" i="16"/>
  <c r="E62" i="16"/>
  <c r="B62" i="16"/>
  <c r="AC121" i="27"/>
  <c r="B62" i="27"/>
  <c r="E62" i="27"/>
  <c r="AC121" i="34"/>
  <c r="B62" i="34"/>
  <c r="E62" i="34"/>
  <c r="AC119" i="20"/>
  <c r="E60" i="20"/>
  <c r="B60" i="20"/>
  <c r="E60" i="28"/>
  <c r="B60" i="28"/>
  <c r="AC119" i="28"/>
  <c r="AC119" i="38"/>
  <c r="B60" i="38"/>
  <c r="E60" i="38"/>
  <c r="AC117" i="22"/>
  <c r="E58" i="22"/>
  <c r="B58" i="22"/>
  <c r="AC117" i="30"/>
  <c r="B58" i="30"/>
  <c r="E58" i="30"/>
  <c r="AC115" i="17"/>
  <c r="E56" i="17"/>
  <c r="B56" i="17"/>
  <c r="C56" i="17" s="1"/>
  <c r="AC115" i="24"/>
  <c r="E56" i="24"/>
  <c r="B56" i="24"/>
  <c r="AC115" i="33"/>
  <c r="E56" i="33"/>
  <c r="B56" i="33"/>
  <c r="AC113" i="16"/>
  <c r="E54" i="16"/>
  <c r="B54" i="16"/>
  <c r="AC113" i="27"/>
  <c r="E54" i="27"/>
  <c r="B54" i="27"/>
  <c r="C54" i="27" s="1"/>
  <c r="AC113" i="34"/>
  <c r="B54" i="34"/>
  <c r="E54" i="34"/>
  <c r="AC111" i="20"/>
  <c r="E52" i="20"/>
  <c r="B52" i="20"/>
  <c r="E52" i="28"/>
  <c r="B52" i="28"/>
  <c r="C52" i="28" s="1"/>
  <c r="AC111" i="28"/>
  <c r="AC111" i="38"/>
  <c r="B52" i="38"/>
  <c r="C52" i="38" s="1"/>
  <c r="E52" i="38"/>
  <c r="AC109" i="22"/>
  <c r="B50" i="22"/>
  <c r="E50" i="22"/>
  <c r="AC109" i="30"/>
  <c r="B50" i="30"/>
  <c r="E50" i="30"/>
  <c r="AC107" i="16"/>
  <c r="B48" i="16"/>
  <c r="E48" i="16"/>
  <c r="AC107" i="24"/>
  <c r="B48" i="24"/>
  <c r="E48" i="24"/>
  <c r="AC107" i="33"/>
  <c r="E48" i="33"/>
  <c r="B48" i="33"/>
  <c r="AC105" i="18"/>
  <c r="E46" i="18"/>
  <c r="B46" i="18"/>
  <c r="AC105" i="25"/>
  <c r="E46" i="25"/>
  <c r="B46" i="25"/>
  <c r="AC105" i="33"/>
  <c r="B46" i="33"/>
  <c r="E46" i="33"/>
  <c r="AC103" i="16"/>
  <c r="B44" i="16"/>
  <c r="E44" i="16"/>
  <c r="AC103" i="24"/>
  <c r="E44" i="24"/>
  <c r="B44" i="24"/>
  <c r="AC103" i="32"/>
  <c r="E44" i="32"/>
  <c r="B44" i="32"/>
  <c r="AC101" i="18"/>
  <c r="B42" i="18"/>
  <c r="E42" i="18"/>
  <c r="AC101" i="25"/>
  <c r="E42" i="25"/>
  <c r="B42" i="25"/>
  <c r="AC101" i="33"/>
  <c r="E42" i="33"/>
  <c r="B42" i="33"/>
  <c r="AC99" i="19"/>
  <c r="B40" i="19"/>
  <c r="E40" i="19"/>
  <c r="AC99" i="27"/>
  <c r="B40" i="27"/>
  <c r="E40" i="27"/>
  <c r="AC99" i="37"/>
  <c r="B40" i="37"/>
  <c r="E40" i="37"/>
  <c r="AC97" i="20"/>
  <c r="E38" i="20"/>
  <c r="B38" i="20"/>
  <c r="E38" i="28"/>
  <c r="B38" i="28"/>
  <c r="AC97" i="28"/>
  <c r="AC97" i="38"/>
  <c r="B38" i="38"/>
  <c r="E38" i="38"/>
  <c r="AC95" i="21"/>
  <c r="E36" i="21"/>
  <c r="B36" i="21"/>
  <c r="E36" i="29"/>
  <c r="B36" i="29"/>
  <c r="AC95" i="29"/>
  <c r="AC93" i="22"/>
  <c r="B34" i="22"/>
  <c r="E34" i="22"/>
  <c r="AC93" i="30"/>
  <c r="B34" i="30"/>
  <c r="E34" i="30"/>
  <c r="AC91" i="23"/>
  <c r="E32" i="23"/>
  <c r="B32" i="23"/>
  <c r="AC91" i="31"/>
  <c r="B32" i="31"/>
  <c r="E32" i="31"/>
  <c r="AC89" i="17"/>
  <c r="B30" i="17"/>
  <c r="E30" i="17"/>
  <c r="AC89" i="24"/>
  <c r="E30" i="24"/>
  <c r="B30" i="24"/>
  <c r="AC89" i="32"/>
  <c r="B30" i="32"/>
  <c r="E30" i="32"/>
  <c r="AC87" i="17"/>
  <c r="E28" i="17"/>
  <c r="B28" i="17"/>
  <c r="AC87" i="25"/>
  <c r="B28" i="25"/>
  <c r="E28" i="25"/>
  <c r="AC87" i="32"/>
  <c r="E28" i="32"/>
  <c r="B28" i="32"/>
  <c r="AC130" i="18"/>
  <c r="E71" i="18"/>
  <c r="B71" i="18"/>
  <c r="B71" i="26"/>
  <c r="E71" i="26"/>
  <c r="AC130" i="26"/>
  <c r="AC130" i="34"/>
  <c r="B71" i="34"/>
  <c r="E71" i="34"/>
  <c r="AC128" i="19"/>
  <c r="B69" i="19"/>
  <c r="E69" i="19"/>
  <c r="AC128" i="27"/>
  <c r="E69" i="27"/>
  <c r="B69" i="27"/>
  <c r="AC128" i="37"/>
  <c r="E69" i="37"/>
  <c r="B69" i="37"/>
  <c r="AC126" i="19"/>
  <c r="E67" i="19"/>
  <c r="B67" i="19"/>
  <c r="E67" i="28"/>
  <c r="B67" i="28"/>
  <c r="AC126" i="28"/>
  <c r="AC126" i="38"/>
  <c r="E67" i="38"/>
  <c r="B67" i="38"/>
  <c r="AC124" i="21"/>
  <c r="E65" i="21"/>
  <c r="B65" i="21"/>
  <c r="B65" i="29"/>
  <c r="E65" i="29"/>
  <c r="AC124" i="29"/>
  <c r="AC122" i="22"/>
  <c r="B63" i="22"/>
  <c r="E63" i="22"/>
  <c r="AC122" i="30"/>
  <c r="B63" i="30"/>
  <c r="E63" i="30"/>
  <c r="AC120" i="23"/>
  <c r="E61" i="23"/>
  <c r="B61" i="23"/>
  <c r="AC120" i="31"/>
  <c r="B61" i="31"/>
  <c r="E61" i="31"/>
  <c r="AC118" i="16"/>
  <c r="B59" i="16"/>
  <c r="E59" i="16"/>
  <c r="AC118" i="24"/>
  <c r="E59" i="24"/>
  <c r="B59" i="24"/>
  <c r="AC118" i="32"/>
  <c r="E59" i="32"/>
  <c r="B59" i="32"/>
  <c r="AC116" i="16"/>
  <c r="B57" i="16"/>
  <c r="E57" i="16"/>
  <c r="AC116" i="25"/>
  <c r="E57" i="25"/>
  <c r="B57" i="25"/>
  <c r="AC116" i="33"/>
  <c r="E57" i="33"/>
  <c r="B57" i="33"/>
  <c r="AC114" i="20"/>
  <c r="B55" i="20"/>
  <c r="E55" i="20"/>
  <c r="B55" i="26"/>
  <c r="AC114" i="26"/>
  <c r="E55" i="26"/>
  <c r="AC114" i="37"/>
  <c r="B55" i="37"/>
  <c r="E55" i="37"/>
  <c r="AC112" i="20"/>
  <c r="E53" i="20"/>
  <c r="B53" i="20"/>
  <c r="E53" i="28"/>
  <c r="B53" i="28"/>
  <c r="AC112" i="28"/>
  <c r="AC112" i="38"/>
  <c r="B53" i="38"/>
  <c r="E53" i="38"/>
  <c r="AC110" i="22"/>
  <c r="E51" i="22"/>
  <c r="B51" i="22"/>
  <c r="AC110" i="30"/>
  <c r="E51" i="30"/>
  <c r="B51" i="30"/>
  <c r="C51" i="30" s="1"/>
  <c r="AC108" i="15"/>
  <c r="B49" i="15"/>
  <c r="E49" i="15"/>
  <c r="F49" i="15" s="1"/>
  <c r="AC108" i="23"/>
  <c r="B49" i="23"/>
  <c r="E49" i="23"/>
  <c r="AC108" i="31"/>
  <c r="B49" i="31"/>
  <c r="E49" i="31"/>
  <c r="AC106" i="16"/>
  <c r="B47" i="16"/>
  <c r="E47" i="16"/>
  <c r="AC106" i="24"/>
  <c r="B47" i="24"/>
  <c r="E47" i="24"/>
  <c r="AC106" i="32"/>
  <c r="B47" i="32"/>
  <c r="E47" i="32"/>
  <c r="AC104" i="17"/>
  <c r="E45" i="17"/>
  <c r="B45" i="17"/>
  <c r="AC104" i="25"/>
  <c r="E45" i="25"/>
  <c r="B45" i="25"/>
  <c r="AC104" i="33"/>
  <c r="B45" i="33"/>
  <c r="E45" i="33"/>
  <c r="E26" i="21"/>
  <c r="AC85" i="21"/>
  <c r="B26" i="21"/>
  <c r="C26" i="21" s="1"/>
  <c r="AF85" i="21"/>
  <c r="AH85" i="21" s="1"/>
  <c r="AI85" i="21" s="1"/>
  <c r="AF85" i="29"/>
  <c r="AH85" i="29" s="1"/>
  <c r="AI85" i="29" s="1"/>
  <c r="E26" i="29"/>
  <c r="Q26" i="29" s="1"/>
  <c r="B26" i="29"/>
  <c r="C26" i="29" s="1"/>
  <c r="AC85" i="29"/>
  <c r="AC102" i="22"/>
  <c r="B43" i="22"/>
  <c r="E43" i="22"/>
  <c r="AC102" i="30"/>
  <c r="B43" i="30"/>
  <c r="E43" i="30"/>
  <c r="AC100" i="15"/>
  <c r="E41" i="15"/>
  <c r="B41" i="15"/>
  <c r="C41" i="15" s="1"/>
  <c r="AC100" i="23"/>
  <c r="E41" i="23"/>
  <c r="B41" i="23"/>
  <c r="AC100" i="31"/>
  <c r="B41" i="31"/>
  <c r="E41" i="31"/>
  <c r="AC98" i="17"/>
  <c r="E39" i="17"/>
  <c r="B39" i="17"/>
  <c r="E39" i="25"/>
  <c r="B39" i="25"/>
  <c r="AC98" i="25"/>
  <c r="AC98" i="33"/>
  <c r="B39" i="33"/>
  <c r="E39" i="33"/>
  <c r="AC96" i="18"/>
  <c r="E37" i="18"/>
  <c r="B37" i="18"/>
  <c r="E37" i="26"/>
  <c r="AC96" i="26"/>
  <c r="B37" i="26"/>
  <c r="AC96" i="34"/>
  <c r="B37" i="34"/>
  <c r="E37" i="34"/>
  <c r="AC94" i="19"/>
  <c r="B35" i="19"/>
  <c r="E35" i="19"/>
  <c r="AC94" i="28"/>
  <c r="E35" i="28"/>
  <c r="B35" i="28"/>
  <c r="AC94" i="38"/>
  <c r="B35" i="38"/>
  <c r="E35" i="38"/>
  <c r="AC92" i="21"/>
  <c r="E33" i="21"/>
  <c r="B33" i="21"/>
  <c r="B33" i="29"/>
  <c r="AC92" i="29"/>
  <c r="E33" i="29"/>
  <c r="AC90" i="22"/>
  <c r="E31" i="22"/>
  <c r="O31" i="22" s="1"/>
  <c r="B31" i="22"/>
  <c r="AC90" i="30"/>
  <c r="B31" i="30"/>
  <c r="E31" i="30"/>
  <c r="AC88" i="15"/>
  <c r="E29" i="15"/>
  <c r="B29" i="15"/>
  <c r="C30" i="15" s="1"/>
  <c r="AC88" i="23"/>
  <c r="E29" i="23"/>
  <c r="B29" i="23"/>
  <c r="AC88" i="30"/>
  <c r="B29" i="30"/>
  <c r="E29" i="30"/>
  <c r="E27" i="17"/>
  <c r="B27" i="17"/>
  <c r="AC86" i="17"/>
  <c r="E27" i="24"/>
  <c r="B27" i="24"/>
  <c r="AC86" i="24"/>
  <c r="E27" i="32"/>
  <c r="AC86" i="32"/>
  <c r="B27" i="32"/>
  <c r="E51" i="15"/>
  <c r="P51" i="15" s="1"/>
  <c r="E37" i="15"/>
  <c r="P37" i="15" s="1"/>
  <c r="AC131" i="20"/>
  <c r="B72" i="20"/>
  <c r="E72" i="20"/>
  <c r="E72" i="28"/>
  <c r="B72" i="28"/>
  <c r="AC131" i="28"/>
  <c r="AC131" i="38"/>
  <c r="B72" i="38"/>
  <c r="E72" i="38"/>
  <c r="AC129" i="22"/>
  <c r="B70" i="22"/>
  <c r="E70" i="22"/>
  <c r="AC129" i="31"/>
  <c r="B70" i="31"/>
  <c r="E70" i="31"/>
  <c r="AC127" i="16"/>
  <c r="E68" i="16"/>
  <c r="B68" i="16"/>
  <c r="AC127" i="24"/>
  <c r="E68" i="24"/>
  <c r="B68" i="24"/>
  <c r="AC127" i="33"/>
  <c r="B68" i="33"/>
  <c r="E68" i="33"/>
  <c r="AC125" i="17"/>
  <c r="B66" i="17"/>
  <c r="E66" i="17"/>
  <c r="AC125" i="25"/>
  <c r="B66" i="25"/>
  <c r="E66" i="25"/>
  <c r="AC125" i="33"/>
  <c r="E66" i="33"/>
  <c r="B66" i="33"/>
  <c r="AC123" i="18"/>
  <c r="B64" i="18"/>
  <c r="E64" i="18"/>
  <c r="B64" i="26"/>
  <c r="E64" i="26"/>
  <c r="AC123" i="26"/>
  <c r="AC123" i="34"/>
  <c r="E64" i="34"/>
  <c r="B64" i="34"/>
  <c r="AC121" i="19"/>
  <c r="B62" i="19"/>
  <c r="E62" i="19"/>
  <c r="E62" i="26"/>
  <c r="AC121" i="26"/>
  <c r="B62" i="26"/>
  <c r="AC121" i="37"/>
  <c r="B62" i="37"/>
  <c r="E62" i="37"/>
  <c r="AC119" i="21"/>
  <c r="B60" i="21"/>
  <c r="E60" i="21"/>
  <c r="E60" i="29"/>
  <c r="B60" i="29"/>
  <c r="AC119" i="29"/>
  <c r="AC117" i="15"/>
  <c r="E58" i="15"/>
  <c r="B58" i="15"/>
  <c r="C58" i="15" s="1"/>
  <c r="AC117" i="23"/>
  <c r="E58" i="23"/>
  <c r="B58" i="23"/>
  <c r="AC117" i="31"/>
  <c r="E58" i="31"/>
  <c r="B58" i="31"/>
  <c r="C58" i="31" s="1"/>
  <c r="AC115" i="16"/>
  <c r="B56" i="16"/>
  <c r="E56" i="16"/>
  <c r="AC115" i="25"/>
  <c r="E56" i="25"/>
  <c r="B56" i="25"/>
  <c r="C56" i="25" s="1"/>
  <c r="AC115" i="32"/>
  <c r="E56" i="32"/>
  <c r="B56" i="32"/>
  <c r="AC113" i="19"/>
  <c r="E54" i="19"/>
  <c r="B54" i="19"/>
  <c r="C54" i="19" s="1"/>
  <c r="E54" i="26"/>
  <c r="AC113" i="26"/>
  <c r="B54" i="26"/>
  <c r="C54" i="26" s="1"/>
  <c r="AC113" i="37"/>
  <c r="E54" i="37"/>
  <c r="B54" i="37"/>
  <c r="AC111" i="21"/>
  <c r="B52" i="21"/>
  <c r="C52" i="21" s="1"/>
  <c r="E52" i="21"/>
  <c r="E52" i="29"/>
  <c r="AC111" i="29"/>
  <c r="B52" i="29"/>
  <c r="AC109" i="15"/>
  <c r="E50" i="15"/>
  <c r="B50" i="15"/>
  <c r="C50" i="15" s="1"/>
  <c r="AC109" i="23"/>
  <c r="E50" i="23"/>
  <c r="B50" i="23"/>
  <c r="AC109" i="31"/>
  <c r="E50" i="31"/>
  <c r="B50" i="31"/>
  <c r="C50" i="31" s="1"/>
  <c r="AC107" i="17"/>
  <c r="E48" i="17"/>
  <c r="B48" i="17"/>
  <c r="AC107" i="25"/>
  <c r="E48" i="25"/>
  <c r="B48" i="25"/>
  <c r="AC107" i="32"/>
  <c r="E48" i="32"/>
  <c r="B48" i="32"/>
  <c r="C48" i="32" s="1"/>
  <c r="AC105" i="16"/>
  <c r="E46" i="16"/>
  <c r="B46" i="16"/>
  <c r="AC105" i="27"/>
  <c r="E46" i="27"/>
  <c r="B46" i="27"/>
  <c r="AC105" i="34"/>
  <c r="B46" i="34"/>
  <c r="E46" i="34"/>
  <c r="AC103" i="17"/>
  <c r="B44" i="17"/>
  <c r="E44" i="17"/>
  <c r="AC103" i="25"/>
  <c r="E44" i="25"/>
  <c r="B44" i="25"/>
  <c r="AC103" i="33"/>
  <c r="B44" i="33"/>
  <c r="E44" i="33"/>
  <c r="AC101" i="16"/>
  <c r="B42" i="16"/>
  <c r="E42" i="16"/>
  <c r="AC101" i="27"/>
  <c r="B42" i="27"/>
  <c r="E42" i="27"/>
  <c r="AC101" i="34"/>
  <c r="E42" i="34"/>
  <c r="B42" i="34"/>
  <c r="AC99" i="20"/>
  <c r="E40" i="20"/>
  <c r="B40" i="20"/>
  <c r="E40" i="28"/>
  <c r="B40" i="28"/>
  <c r="AC99" i="28"/>
  <c r="AC99" i="38"/>
  <c r="E40" i="38"/>
  <c r="B40" i="38"/>
  <c r="AC97" i="21"/>
  <c r="B38" i="21"/>
  <c r="E38" i="21"/>
  <c r="B38" i="29"/>
  <c r="AC97" i="29"/>
  <c r="E38" i="29"/>
  <c r="AC95" i="22"/>
  <c r="B36" i="22"/>
  <c r="E36" i="22"/>
  <c r="AC95" i="30"/>
  <c r="E36" i="30"/>
  <c r="B36" i="30"/>
  <c r="AC93" i="15"/>
  <c r="E34" i="15"/>
  <c r="F35" i="15" s="1"/>
  <c r="B34" i="15"/>
  <c r="AC93" i="23"/>
  <c r="E34" i="23"/>
  <c r="B34" i="23"/>
  <c r="AC93" i="31"/>
  <c r="E34" i="31"/>
  <c r="B34" i="31"/>
  <c r="AC91" i="16"/>
  <c r="E32" i="16"/>
  <c r="B32" i="16"/>
  <c r="AC91" i="24"/>
  <c r="E32" i="24"/>
  <c r="B32" i="24"/>
  <c r="AC91" i="33"/>
  <c r="E32" i="33"/>
  <c r="B32" i="33"/>
  <c r="AC89" i="18"/>
  <c r="B30" i="18"/>
  <c r="E30" i="18"/>
  <c r="AC89" i="25"/>
  <c r="E30" i="25"/>
  <c r="B30" i="25"/>
  <c r="AC89" i="33"/>
  <c r="B30" i="33"/>
  <c r="E30" i="33"/>
  <c r="AC87" i="18"/>
  <c r="E28" i="18"/>
  <c r="B28" i="18"/>
  <c r="E28" i="26"/>
  <c r="AC87" i="26"/>
  <c r="B28" i="26"/>
  <c r="AC87" i="34"/>
  <c r="E28" i="34"/>
  <c r="B28" i="34"/>
  <c r="AC130" i="20"/>
  <c r="B71" i="20"/>
  <c r="E71" i="20"/>
  <c r="AC130" i="27"/>
  <c r="E71" i="27"/>
  <c r="B71" i="27"/>
  <c r="AC130" i="37"/>
  <c r="E71" i="37"/>
  <c r="B71" i="37"/>
  <c r="AC128" i="20"/>
  <c r="B69" i="20"/>
  <c r="E69" i="20"/>
  <c r="E69" i="28"/>
  <c r="B69" i="28"/>
  <c r="AC128" i="28"/>
  <c r="AC128" i="38"/>
  <c r="B69" i="38"/>
  <c r="E69" i="38"/>
  <c r="AC126" i="21"/>
  <c r="E67" i="21"/>
  <c r="B67" i="21"/>
  <c r="E67" i="29"/>
  <c r="B67" i="29"/>
  <c r="AC126" i="29"/>
  <c r="AC124" i="22"/>
  <c r="E65" i="22"/>
  <c r="B65" i="22"/>
  <c r="AC124" i="31"/>
  <c r="B65" i="31"/>
  <c r="E65" i="31"/>
  <c r="AC122" i="15"/>
  <c r="E63" i="15"/>
  <c r="F64" i="15" s="1"/>
  <c r="B63" i="15"/>
  <c r="C63" i="15" s="1"/>
  <c r="AC122" i="23"/>
  <c r="E63" i="23"/>
  <c r="B63" i="23"/>
  <c r="AC122" i="31"/>
  <c r="B63" i="31"/>
  <c r="E63" i="31"/>
  <c r="AC120" i="17"/>
  <c r="E61" i="17"/>
  <c r="B61" i="17"/>
  <c r="AC120" i="24"/>
  <c r="B61" i="24"/>
  <c r="E61" i="24"/>
  <c r="AC120" i="32"/>
  <c r="E61" i="32"/>
  <c r="B61" i="32"/>
  <c r="AC118" i="18"/>
  <c r="E59" i="18"/>
  <c r="B59" i="18"/>
  <c r="AC118" i="25"/>
  <c r="E59" i="25"/>
  <c r="B59" i="25"/>
  <c r="AC118" i="33"/>
  <c r="B59" i="33"/>
  <c r="E59" i="33"/>
  <c r="AC116" i="18"/>
  <c r="B57" i="18"/>
  <c r="E57" i="18"/>
  <c r="B57" i="26"/>
  <c r="AC116" i="26"/>
  <c r="E57" i="26"/>
  <c r="AC116" i="34"/>
  <c r="B57" i="34"/>
  <c r="E57" i="34"/>
  <c r="AC114" i="19"/>
  <c r="B55" i="19"/>
  <c r="E55" i="19"/>
  <c r="AC114" i="28"/>
  <c r="E55" i="28"/>
  <c r="B55" i="28"/>
  <c r="AC114" i="38"/>
  <c r="E55" i="38"/>
  <c r="B55" i="38"/>
  <c r="AC112" i="21"/>
  <c r="E53" i="21"/>
  <c r="B53" i="21"/>
  <c r="C53" i="21" s="1"/>
  <c r="E53" i="29"/>
  <c r="B53" i="29"/>
  <c r="AC112" i="29"/>
  <c r="AC110" i="23"/>
  <c r="B51" i="23"/>
  <c r="E51" i="23"/>
  <c r="AC110" i="31"/>
  <c r="B51" i="31"/>
  <c r="E51" i="31"/>
  <c r="AC108" i="17"/>
  <c r="B49" i="17"/>
  <c r="E49" i="17"/>
  <c r="AC108" i="24"/>
  <c r="B49" i="24"/>
  <c r="E49" i="24"/>
  <c r="AC108" i="32"/>
  <c r="E49" i="32"/>
  <c r="B49" i="32"/>
  <c r="C49" i="32" s="1"/>
  <c r="AC106" i="17"/>
  <c r="E47" i="17"/>
  <c r="B47" i="17"/>
  <c r="AC106" i="25"/>
  <c r="E47" i="25"/>
  <c r="B47" i="25"/>
  <c r="C47" i="25" s="1"/>
  <c r="AC106" i="33"/>
  <c r="B47" i="33"/>
  <c r="E47" i="33"/>
  <c r="AC104" i="18"/>
  <c r="E45" i="18"/>
  <c r="B45" i="18"/>
  <c r="E45" i="26"/>
  <c r="B45" i="26"/>
  <c r="AC104" i="26"/>
  <c r="AC104" i="34"/>
  <c r="B45" i="34"/>
  <c r="E45" i="34"/>
  <c r="AC85" i="22"/>
  <c r="B26" i="22"/>
  <c r="AF85" i="22"/>
  <c r="AH85" i="22" s="1"/>
  <c r="AI85" i="22" s="1"/>
  <c r="E26" i="22"/>
  <c r="AF85" i="31"/>
  <c r="AH85" i="31" s="1"/>
  <c r="AI85" i="31" s="1"/>
  <c r="B26" i="31"/>
  <c r="C26" i="31" s="1"/>
  <c r="AC85" i="31"/>
  <c r="E26" i="31"/>
  <c r="AC102" i="23"/>
  <c r="E43" i="23"/>
  <c r="B43" i="23"/>
  <c r="AC102" i="31"/>
  <c r="B43" i="31"/>
  <c r="E43" i="31"/>
  <c r="AC100" i="16"/>
  <c r="B41" i="16"/>
  <c r="E41" i="16"/>
  <c r="AC100" i="24"/>
  <c r="B41" i="24"/>
  <c r="E41" i="24"/>
  <c r="AC100" i="33"/>
  <c r="E41" i="33"/>
  <c r="B41" i="33"/>
  <c r="AC98" i="18"/>
  <c r="B39" i="18"/>
  <c r="E39" i="18"/>
  <c r="AC98" i="27"/>
  <c r="E39" i="27"/>
  <c r="B39" i="27"/>
  <c r="AC98" i="34"/>
  <c r="B39" i="34"/>
  <c r="E39" i="34"/>
  <c r="AC96" i="19"/>
  <c r="E37" i="19"/>
  <c r="B37" i="19"/>
  <c r="AC96" i="27"/>
  <c r="E37" i="27"/>
  <c r="B37" i="27"/>
  <c r="AC96" i="37"/>
  <c r="E37" i="37"/>
  <c r="B37" i="37"/>
  <c r="AC94" i="21"/>
  <c r="E35" i="21"/>
  <c r="B35" i="21"/>
  <c r="C35" i="21" s="1"/>
  <c r="E35" i="29"/>
  <c r="AC94" i="29"/>
  <c r="B35" i="29"/>
  <c r="C35" i="29" s="1"/>
  <c r="AC92" i="22"/>
  <c r="B33" i="22"/>
  <c r="C33" i="22" s="1"/>
  <c r="E33" i="22"/>
  <c r="AC92" i="31"/>
  <c r="B33" i="31"/>
  <c r="C33" i="31" s="1"/>
  <c r="E33" i="31"/>
  <c r="AC90" i="15"/>
  <c r="E31" i="15"/>
  <c r="B31" i="15"/>
  <c r="AC90" i="23"/>
  <c r="E31" i="23"/>
  <c r="B31" i="23"/>
  <c r="C31" i="23" s="1"/>
  <c r="AC90" i="31"/>
  <c r="B31" i="31"/>
  <c r="E31" i="31"/>
  <c r="AC88" i="16"/>
  <c r="B29" i="16"/>
  <c r="C29" i="16" s="1"/>
  <c r="E29" i="16"/>
  <c r="AC88" i="24"/>
  <c r="B29" i="24"/>
  <c r="E29" i="24"/>
  <c r="AC88" i="33"/>
  <c r="B29" i="33"/>
  <c r="E29" i="33"/>
  <c r="E27" i="18"/>
  <c r="B27" i="18"/>
  <c r="AC86" i="18"/>
  <c r="E27" i="25"/>
  <c r="B27" i="25"/>
  <c r="AC86" i="25"/>
  <c r="E27" i="33"/>
  <c r="B27" i="33"/>
  <c r="AC86" i="33"/>
  <c r="AC131" i="21"/>
  <c r="B72" i="21"/>
  <c r="E72" i="21"/>
  <c r="E72" i="29"/>
  <c r="B72" i="29"/>
  <c r="AC131" i="29"/>
  <c r="AC129" i="23"/>
  <c r="E70" i="23"/>
  <c r="B70" i="23"/>
  <c r="AC129" i="30"/>
  <c r="B70" i="30"/>
  <c r="E70" i="30"/>
  <c r="AC127" i="17"/>
  <c r="E68" i="17"/>
  <c r="B68" i="17"/>
  <c r="AC127" i="25"/>
  <c r="B68" i="25"/>
  <c r="E68" i="25"/>
  <c r="AC127" i="32"/>
  <c r="B68" i="32"/>
  <c r="E68" i="32"/>
  <c r="AC125" i="16"/>
  <c r="B66" i="16"/>
  <c r="E66" i="16"/>
  <c r="AC125" i="27"/>
  <c r="B66" i="27"/>
  <c r="C66" i="27" s="1"/>
  <c r="E66" i="27"/>
  <c r="AC125" i="34"/>
  <c r="B66" i="34"/>
  <c r="E66" i="34"/>
  <c r="AC123" i="19"/>
  <c r="B64" i="19"/>
  <c r="C64" i="19" s="1"/>
  <c r="E64" i="19"/>
  <c r="AC123" i="27"/>
  <c r="E64" i="27"/>
  <c r="B64" i="27"/>
  <c r="AC123" i="37"/>
  <c r="B64" i="37"/>
  <c r="E64" i="37"/>
  <c r="AC121" i="20"/>
  <c r="E62" i="20"/>
  <c r="B62" i="20"/>
  <c r="E62" i="28"/>
  <c r="B62" i="28"/>
  <c r="AC121" i="28"/>
  <c r="AC121" i="38"/>
  <c r="B62" i="38"/>
  <c r="E62" i="38"/>
  <c r="AC119" i="22"/>
  <c r="E60" i="22"/>
  <c r="B60" i="22"/>
  <c r="C60" i="22" s="1"/>
  <c r="AC119" i="30"/>
  <c r="E60" i="30"/>
  <c r="B60" i="30"/>
  <c r="C60" i="30" s="1"/>
  <c r="AC117" i="18"/>
  <c r="B58" i="18"/>
  <c r="E58" i="18"/>
  <c r="AC117" i="24"/>
  <c r="B58" i="24"/>
  <c r="C58" i="24" s="1"/>
  <c r="E58" i="24"/>
  <c r="AC117" i="33"/>
  <c r="B58" i="33"/>
  <c r="E58" i="33"/>
  <c r="AC115" i="18"/>
  <c r="E56" i="18"/>
  <c r="B56" i="18"/>
  <c r="C56" i="18" s="1"/>
  <c r="B56" i="26"/>
  <c r="E56" i="26"/>
  <c r="AC115" i="26"/>
  <c r="AC115" i="34"/>
  <c r="B56" i="34"/>
  <c r="E56" i="34"/>
  <c r="AC113" i="20"/>
  <c r="B54" i="20"/>
  <c r="E54" i="20"/>
  <c r="B54" i="28"/>
  <c r="C54" i="28" s="1"/>
  <c r="E54" i="28"/>
  <c r="AC113" i="28"/>
  <c r="AC113" i="38"/>
  <c r="B54" i="38"/>
  <c r="E54" i="38"/>
  <c r="AC111" i="22"/>
  <c r="B52" i="22"/>
  <c r="E52" i="22"/>
  <c r="AC111" i="31"/>
  <c r="B52" i="31"/>
  <c r="E52" i="31"/>
  <c r="AC109" i="18"/>
  <c r="B50" i="18"/>
  <c r="E50" i="18"/>
  <c r="AC109" i="24"/>
  <c r="E50" i="24"/>
  <c r="B50" i="24"/>
  <c r="AC109" i="32"/>
  <c r="B50" i="32"/>
  <c r="E50" i="32"/>
  <c r="AC107" i="18"/>
  <c r="B48" i="18"/>
  <c r="E48" i="18"/>
  <c r="B48" i="26"/>
  <c r="E48" i="26"/>
  <c r="AC107" i="26"/>
  <c r="AC107" i="34"/>
  <c r="B48" i="34"/>
  <c r="E48" i="34"/>
  <c r="AC105" i="19"/>
  <c r="B46" i="19"/>
  <c r="E46" i="19"/>
  <c r="E46" i="26"/>
  <c r="B46" i="26"/>
  <c r="AC105" i="26"/>
  <c r="AC105" i="37"/>
  <c r="B46" i="37"/>
  <c r="E46" i="37"/>
  <c r="AC103" i="18"/>
  <c r="B44" i="18"/>
  <c r="E44" i="18"/>
  <c r="E44" i="26"/>
  <c r="B44" i="26"/>
  <c r="AC103" i="26"/>
  <c r="AC103" i="34"/>
  <c r="E44" i="34"/>
  <c r="B44" i="34"/>
  <c r="AC101" i="19"/>
  <c r="E42" i="19"/>
  <c r="B42" i="19"/>
  <c r="B42" i="26"/>
  <c r="E42" i="26"/>
  <c r="AC101" i="26"/>
  <c r="AC101" i="37"/>
  <c r="B42" i="37"/>
  <c r="E42" i="37"/>
  <c r="AC99" i="21"/>
  <c r="B40" i="21"/>
  <c r="E40" i="21"/>
  <c r="B40" i="29"/>
  <c r="E40" i="29"/>
  <c r="AC99" i="29"/>
  <c r="AC97" i="22"/>
  <c r="B38" i="22"/>
  <c r="E38" i="22"/>
  <c r="AC97" i="30"/>
  <c r="B38" i="30"/>
  <c r="E38" i="30"/>
  <c r="AC95" i="15"/>
  <c r="E36" i="15"/>
  <c r="F36" i="15" s="1"/>
  <c r="B36" i="15"/>
  <c r="C37" i="15" s="1"/>
  <c r="AC95" i="23"/>
  <c r="E36" i="23"/>
  <c r="B36" i="23"/>
  <c r="AC95" i="31"/>
  <c r="E36" i="31"/>
  <c r="B36" i="31"/>
  <c r="AC93" i="17"/>
  <c r="B34" i="17"/>
  <c r="E34" i="17"/>
  <c r="AC93" i="24"/>
  <c r="E34" i="24"/>
  <c r="B34" i="24"/>
  <c r="AC93" i="32"/>
  <c r="E34" i="32"/>
  <c r="B34" i="32"/>
  <c r="AC91" i="17"/>
  <c r="B32" i="17"/>
  <c r="E32" i="17"/>
  <c r="AC91" i="25"/>
  <c r="E32" i="25"/>
  <c r="B32" i="25"/>
  <c r="AC91" i="32"/>
  <c r="B32" i="32"/>
  <c r="E32" i="32"/>
  <c r="AC89" i="16"/>
  <c r="E30" i="16"/>
  <c r="B30" i="16"/>
  <c r="AC89" i="27"/>
  <c r="B30" i="27"/>
  <c r="E30" i="27"/>
  <c r="AC89" i="34"/>
  <c r="B30" i="34"/>
  <c r="E30" i="34"/>
  <c r="AC87" i="20"/>
  <c r="B28" i="20"/>
  <c r="E28" i="20"/>
  <c r="AC87" i="27"/>
  <c r="B28" i="27"/>
  <c r="E28" i="27"/>
  <c r="AC87" i="37"/>
  <c r="B28" i="37"/>
  <c r="E28" i="37"/>
  <c r="AC130" i="19"/>
  <c r="B71" i="19"/>
  <c r="E71" i="19"/>
  <c r="E71" i="28"/>
  <c r="B71" i="28"/>
  <c r="AC130" i="28"/>
  <c r="AC130" i="38"/>
  <c r="B71" i="38"/>
  <c r="C71" i="38" s="1"/>
  <c r="E71" i="38"/>
  <c r="AC128" i="21"/>
  <c r="E69" i="21"/>
  <c r="B69" i="21"/>
  <c r="AC128" i="29"/>
  <c r="B69" i="29"/>
  <c r="E69" i="29"/>
  <c r="AC126" i="22"/>
  <c r="E67" i="22"/>
  <c r="B67" i="22"/>
  <c r="AC126" i="31"/>
  <c r="B67" i="31"/>
  <c r="E67" i="31"/>
  <c r="AC124" i="15"/>
  <c r="E65" i="15"/>
  <c r="F65" i="15" s="1"/>
  <c r="B65" i="15"/>
  <c r="C65" i="15" s="1"/>
  <c r="AC124" i="23"/>
  <c r="E65" i="23"/>
  <c r="B65" i="23"/>
  <c r="AC124" i="30"/>
  <c r="E65" i="30"/>
  <c r="B65" i="30"/>
  <c r="AC122" i="16"/>
  <c r="E63" i="16"/>
  <c r="B63" i="16"/>
  <c r="C63" i="16" s="1"/>
  <c r="AC122" i="24"/>
  <c r="E63" i="24"/>
  <c r="B63" i="24"/>
  <c r="AC122" i="32"/>
  <c r="E63" i="32"/>
  <c r="B63" i="32"/>
  <c r="AC120" i="16"/>
  <c r="E61" i="16"/>
  <c r="B61" i="16"/>
  <c r="AC120" i="25"/>
  <c r="E61" i="25"/>
  <c r="B61" i="25"/>
  <c r="AC120" i="33"/>
  <c r="B61" i="33"/>
  <c r="E61" i="33"/>
  <c r="AC118" i="17"/>
  <c r="E59" i="17"/>
  <c r="B59" i="17"/>
  <c r="E59" i="26"/>
  <c r="B59" i="26"/>
  <c r="AC118" i="26"/>
  <c r="AC118" i="34"/>
  <c r="B59" i="34"/>
  <c r="E59" i="34"/>
  <c r="AC116" i="19"/>
  <c r="B57" i="19"/>
  <c r="E57" i="19"/>
  <c r="AC116" i="27"/>
  <c r="E57" i="27"/>
  <c r="B57" i="27"/>
  <c r="AC116" i="37"/>
  <c r="E57" i="37"/>
  <c r="B57" i="37"/>
  <c r="AC114" i="21"/>
  <c r="E55" i="21"/>
  <c r="B55" i="21"/>
  <c r="E55" i="29"/>
  <c r="B55" i="29"/>
  <c r="AC114" i="29"/>
  <c r="AC112" i="22"/>
  <c r="E53" i="22"/>
  <c r="B53" i="22"/>
  <c r="C53" i="22" s="1"/>
  <c r="AC112" i="30"/>
  <c r="E53" i="30"/>
  <c r="B53" i="30"/>
  <c r="AC110" i="16"/>
  <c r="E51" i="16"/>
  <c r="B51" i="16"/>
  <c r="AC110" i="24"/>
  <c r="E51" i="24"/>
  <c r="B51" i="24"/>
  <c r="AC110" i="33"/>
  <c r="E51" i="33"/>
  <c r="B51" i="33"/>
  <c r="AC108" i="16"/>
  <c r="B49" i="16"/>
  <c r="C49" i="16" s="1"/>
  <c r="E49" i="16"/>
  <c r="AC108" i="25"/>
  <c r="E49" i="25"/>
  <c r="B49" i="25"/>
  <c r="AC108" i="33"/>
  <c r="B49" i="33"/>
  <c r="C49" i="33" s="1"/>
  <c r="E49" i="33"/>
  <c r="AC106" i="18"/>
  <c r="E47" i="18"/>
  <c r="B47" i="18"/>
  <c r="C47" i="18" s="1"/>
  <c r="AC106" i="27"/>
  <c r="E47" i="27"/>
  <c r="B47" i="27"/>
  <c r="AC106" i="34"/>
  <c r="E47" i="34"/>
  <c r="B47" i="34"/>
  <c r="C47" i="34" s="1"/>
  <c r="AC104" i="19"/>
  <c r="E45" i="19"/>
  <c r="B45" i="19"/>
  <c r="AC104" i="27"/>
  <c r="E45" i="27"/>
  <c r="B45" i="27"/>
  <c r="AC104" i="37"/>
  <c r="B45" i="37"/>
  <c r="E45" i="37"/>
  <c r="E26" i="15"/>
  <c r="P26" i="15" s="1"/>
  <c r="B26" i="15"/>
  <c r="C26" i="15" s="1"/>
  <c r="AF85" i="15"/>
  <c r="AH85" i="15" s="1"/>
  <c r="AI85" i="15" s="1"/>
  <c r="AC85" i="15"/>
  <c r="E26" i="23"/>
  <c r="AF85" i="23"/>
  <c r="AH85" i="23" s="1"/>
  <c r="AI85" i="23" s="1"/>
  <c r="B26" i="23"/>
  <c r="C26" i="23" s="1"/>
  <c r="AC85" i="23"/>
  <c r="E26" i="30"/>
  <c r="AF85" i="30"/>
  <c r="AH85" i="30" s="1"/>
  <c r="AI85" i="30" s="1"/>
  <c r="B26" i="30"/>
  <c r="C26" i="30" s="1"/>
  <c r="AC85" i="30"/>
  <c r="AC102" i="16"/>
  <c r="B43" i="16"/>
  <c r="E43" i="16"/>
  <c r="AC102" i="24"/>
  <c r="E43" i="24"/>
  <c r="B43" i="24"/>
  <c r="AC102" i="32"/>
  <c r="E43" i="32"/>
  <c r="B43" i="32"/>
  <c r="AC100" i="17"/>
  <c r="B41" i="17"/>
  <c r="E41" i="17"/>
  <c r="AC100" i="25"/>
  <c r="E41" i="25"/>
  <c r="B41" i="25"/>
  <c r="AC100" i="32"/>
  <c r="E41" i="32"/>
  <c r="B41" i="32"/>
  <c r="AC98" i="20"/>
  <c r="E39" i="20"/>
  <c r="B39" i="20"/>
  <c r="C39" i="20" s="1"/>
  <c r="E39" i="26"/>
  <c r="AC98" i="26"/>
  <c r="B39" i="26"/>
  <c r="AC98" i="37"/>
  <c r="B39" i="37"/>
  <c r="E39" i="37"/>
  <c r="AC96" i="20"/>
  <c r="E37" i="20"/>
  <c r="B37" i="20"/>
  <c r="E37" i="28"/>
  <c r="B37" i="28"/>
  <c r="AC96" i="28"/>
  <c r="AC96" i="38"/>
  <c r="B37" i="38"/>
  <c r="C37" i="38" s="1"/>
  <c r="E37" i="38"/>
  <c r="AC94" i="22"/>
  <c r="B35" i="22"/>
  <c r="E35" i="22"/>
  <c r="AC94" i="30"/>
  <c r="B35" i="30"/>
  <c r="C35" i="30" s="1"/>
  <c r="E35" i="30"/>
  <c r="AC92" i="15"/>
  <c r="E33" i="15"/>
  <c r="B33" i="15"/>
  <c r="AC92" i="23"/>
  <c r="B33" i="23"/>
  <c r="E33" i="23"/>
  <c r="AC92" i="30"/>
  <c r="B33" i="30"/>
  <c r="E33" i="30"/>
  <c r="AC90" i="17"/>
  <c r="E31" i="17"/>
  <c r="B31" i="17"/>
  <c r="AC90" i="24"/>
  <c r="B31" i="24"/>
  <c r="E31" i="24"/>
  <c r="AC90" i="33"/>
  <c r="B31" i="33"/>
  <c r="E31" i="33"/>
  <c r="AC88" i="17"/>
  <c r="E29" i="17"/>
  <c r="B29" i="17"/>
  <c r="AC88" i="25"/>
  <c r="E29" i="25"/>
  <c r="B29" i="25"/>
  <c r="AC88" i="32"/>
  <c r="E29" i="32"/>
  <c r="B29" i="32"/>
  <c r="B27" i="16"/>
  <c r="E27" i="16"/>
  <c r="AC86" i="16"/>
  <c r="E27" i="27"/>
  <c r="B27" i="27"/>
  <c r="AC86" i="27"/>
  <c r="E27" i="34"/>
  <c r="AC86" i="34"/>
  <c r="B27" i="34"/>
  <c r="AC131" i="22"/>
  <c r="E72" i="22"/>
  <c r="B72" i="22"/>
  <c r="AC131" i="30"/>
  <c r="E72" i="30"/>
  <c r="B72" i="30"/>
  <c r="AC129" i="18"/>
  <c r="E70" i="18"/>
  <c r="B70" i="18"/>
  <c r="C70" i="18" s="1"/>
  <c r="AC129" i="24"/>
  <c r="B70" i="24"/>
  <c r="E70" i="24"/>
  <c r="AC129" i="32"/>
  <c r="E70" i="32"/>
  <c r="B70" i="32"/>
  <c r="AC127" i="18"/>
  <c r="E68" i="18"/>
  <c r="B68" i="18"/>
  <c r="C68" i="18" s="1"/>
  <c r="B68" i="26"/>
  <c r="C68" i="26" s="1"/>
  <c r="E68" i="26"/>
  <c r="AC127" i="26"/>
  <c r="AC127" i="34"/>
  <c r="B68" i="34"/>
  <c r="C68" i="34" s="1"/>
  <c r="E68" i="34"/>
  <c r="AC125" i="19"/>
  <c r="E66" i="19"/>
  <c r="B66" i="19"/>
  <c r="C66" i="19" s="1"/>
  <c r="E66" i="26"/>
  <c r="B66" i="26"/>
  <c r="AC125" i="26"/>
  <c r="AC125" i="37"/>
  <c r="E66" i="37"/>
  <c r="B66" i="37"/>
  <c r="AC123" i="20"/>
  <c r="B64" i="20"/>
  <c r="E64" i="20"/>
  <c r="E64" i="28"/>
  <c r="B64" i="28"/>
  <c r="C64" i="28" s="1"/>
  <c r="AC123" i="28"/>
  <c r="AC123" i="38"/>
  <c r="B64" i="38"/>
  <c r="C64" i="38" s="1"/>
  <c r="E64" i="38"/>
  <c r="AC121" i="21"/>
  <c r="E62" i="21"/>
  <c r="B62" i="21"/>
  <c r="C62" i="21" s="1"/>
  <c r="B62" i="29"/>
  <c r="E62" i="29"/>
  <c r="AC121" i="29"/>
  <c r="AC119" i="15"/>
  <c r="B60" i="15"/>
  <c r="C61" i="15" s="1"/>
  <c r="E60" i="15"/>
  <c r="AC119" i="23"/>
  <c r="E60" i="23"/>
  <c r="B60" i="23"/>
  <c r="C60" i="23" s="1"/>
  <c r="AC119" i="31"/>
  <c r="E60" i="31"/>
  <c r="B60" i="31"/>
  <c r="C60" i="31" s="1"/>
  <c r="AC117" i="17"/>
  <c r="B58" i="17"/>
  <c r="E58" i="17"/>
  <c r="AC117" i="25"/>
  <c r="B58" i="25"/>
  <c r="E58" i="25"/>
  <c r="AC117" i="32"/>
  <c r="E58" i="32"/>
  <c r="B58" i="32"/>
  <c r="C58" i="32" s="1"/>
  <c r="AC115" i="19"/>
  <c r="E56" i="19"/>
  <c r="B56" i="19"/>
  <c r="C56" i="19" s="1"/>
  <c r="AC115" i="27"/>
  <c r="B56" i="27"/>
  <c r="C56" i="27" s="1"/>
  <c r="E56" i="27"/>
  <c r="AC115" i="37"/>
  <c r="E56" i="37"/>
  <c r="B56" i="37"/>
  <c r="C56" i="37" s="1"/>
  <c r="AC113" i="21"/>
  <c r="E54" i="21"/>
  <c r="B54" i="21"/>
  <c r="E54" i="29"/>
  <c r="AC113" i="29"/>
  <c r="B54" i="29"/>
  <c r="AC111" i="15"/>
  <c r="B52" i="15"/>
  <c r="C52" i="15" s="1"/>
  <c r="E52" i="15"/>
  <c r="F52" i="15" s="1"/>
  <c r="AC111" i="23"/>
  <c r="B52" i="23"/>
  <c r="E52" i="23"/>
  <c r="AC111" i="30"/>
  <c r="E52" i="30"/>
  <c r="B52" i="30"/>
  <c r="C52" i="30" s="1"/>
  <c r="AC109" i="17"/>
  <c r="B50" i="17"/>
  <c r="C50" i="17" s="1"/>
  <c r="E50" i="17"/>
  <c r="AC109" i="25"/>
  <c r="E50" i="25"/>
  <c r="B50" i="25"/>
  <c r="AC109" i="33"/>
  <c r="E50" i="33"/>
  <c r="B50" i="33"/>
  <c r="C50" i="33" s="1"/>
  <c r="AC107" i="19"/>
  <c r="B48" i="19"/>
  <c r="E48" i="19"/>
  <c r="AC107" i="27"/>
  <c r="E48" i="27"/>
  <c r="B48" i="27"/>
  <c r="C48" i="27" s="1"/>
  <c r="AC107" i="37"/>
  <c r="E48" i="37"/>
  <c r="B48" i="37"/>
  <c r="AC105" i="20"/>
  <c r="E46" i="20"/>
  <c r="B46" i="20"/>
  <c r="E46" i="28"/>
  <c r="B46" i="28"/>
  <c r="AC105" i="28"/>
  <c r="AC105" i="38"/>
  <c r="B46" i="38"/>
  <c r="E46" i="38"/>
  <c r="AC103" i="19"/>
  <c r="E44" i="19"/>
  <c r="B44" i="19"/>
  <c r="AC103" i="27"/>
  <c r="E44" i="27"/>
  <c r="B44" i="27"/>
  <c r="AC103" i="37"/>
  <c r="E44" i="37"/>
  <c r="B44" i="37"/>
  <c r="AC101" i="20"/>
  <c r="B42" i="20"/>
  <c r="E42" i="20"/>
  <c r="E42" i="28"/>
  <c r="AC101" i="28"/>
  <c r="B42" i="28"/>
  <c r="AC101" i="38"/>
  <c r="B42" i="38"/>
  <c r="E42" i="38"/>
  <c r="AC99" i="22"/>
  <c r="E40" i="22"/>
  <c r="B40" i="22"/>
  <c r="AC99" i="30"/>
  <c r="E40" i="30"/>
  <c r="B40" i="30"/>
  <c r="AC97" i="23"/>
  <c r="E38" i="23"/>
  <c r="B38" i="23"/>
  <c r="AC97" i="31"/>
  <c r="B38" i="31"/>
  <c r="E38" i="31"/>
  <c r="AC95" i="16"/>
  <c r="E36" i="16"/>
  <c r="B36" i="16"/>
  <c r="C36" i="16" s="1"/>
  <c r="AC95" i="24"/>
  <c r="B36" i="24"/>
  <c r="E36" i="24"/>
  <c r="AC95" i="32"/>
  <c r="B36" i="32"/>
  <c r="E36" i="32"/>
  <c r="AC93" i="18"/>
  <c r="E34" i="18"/>
  <c r="B34" i="18"/>
  <c r="AC93" i="25"/>
  <c r="B34" i="25"/>
  <c r="E34" i="25"/>
  <c r="AC93" i="33"/>
  <c r="E34" i="33"/>
  <c r="B34" i="33"/>
  <c r="AC91" i="18"/>
  <c r="B32" i="18"/>
  <c r="E32" i="18"/>
  <c r="B32" i="26"/>
  <c r="AC91" i="26"/>
  <c r="E32" i="26"/>
  <c r="AC91" i="34"/>
  <c r="B32" i="34"/>
  <c r="E32" i="34"/>
  <c r="AC89" i="19"/>
  <c r="B30" i="19"/>
  <c r="E30" i="19"/>
  <c r="B30" i="26"/>
  <c r="E30" i="26"/>
  <c r="AC89" i="26"/>
  <c r="AC89" i="37"/>
  <c r="E30" i="37"/>
  <c r="B30" i="37"/>
  <c r="AC87" i="19"/>
  <c r="B28" i="19"/>
  <c r="E28" i="19"/>
  <c r="B28" i="28"/>
  <c r="E28" i="28"/>
  <c r="AC87" i="28"/>
  <c r="AC87" i="38"/>
  <c r="B28" i="38"/>
  <c r="E28" i="38"/>
  <c r="AC130" i="21"/>
  <c r="B71" i="21"/>
  <c r="C71" i="21" s="1"/>
  <c r="E71" i="21"/>
  <c r="B71" i="29"/>
  <c r="C71" i="29" s="1"/>
  <c r="AC130" i="29"/>
  <c r="E71" i="29"/>
  <c r="AC128" i="22"/>
  <c r="E69" i="22"/>
  <c r="B69" i="22"/>
  <c r="C69" i="22" s="1"/>
  <c r="AC128" i="31"/>
  <c r="E69" i="31"/>
  <c r="B69" i="31"/>
  <c r="C69" i="31" s="1"/>
  <c r="AC126" i="23"/>
  <c r="B67" i="23"/>
  <c r="C67" i="23" s="1"/>
  <c r="E67" i="23"/>
  <c r="AC126" i="30"/>
  <c r="B67" i="30"/>
  <c r="C67" i="30" s="1"/>
  <c r="E67" i="30"/>
  <c r="AC124" i="17"/>
  <c r="E65" i="17"/>
  <c r="B65" i="17"/>
  <c r="C65" i="17" s="1"/>
  <c r="AC124" i="24"/>
  <c r="E65" i="24"/>
  <c r="B65" i="24"/>
  <c r="AC124" i="32"/>
  <c r="E65" i="32"/>
  <c r="B65" i="32"/>
  <c r="C65" i="32" s="1"/>
  <c r="AC122" i="18"/>
  <c r="E63" i="18"/>
  <c r="B63" i="18"/>
  <c r="AC122" i="25"/>
  <c r="E63" i="25"/>
  <c r="B63" i="25"/>
  <c r="AC122" i="33"/>
  <c r="E63" i="33"/>
  <c r="B63" i="33"/>
  <c r="AC120" i="18"/>
  <c r="B61" i="18"/>
  <c r="E61" i="18"/>
  <c r="B61" i="26"/>
  <c r="AC120" i="26"/>
  <c r="E61" i="26"/>
  <c r="AC120" i="34"/>
  <c r="B61" i="34"/>
  <c r="E61" i="34"/>
  <c r="AC118" i="20"/>
  <c r="B59" i="20"/>
  <c r="E59" i="20"/>
  <c r="AC118" i="27"/>
  <c r="B59" i="27"/>
  <c r="E59" i="27"/>
  <c r="AC118" i="37"/>
  <c r="B59" i="37"/>
  <c r="E59" i="37"/>
  <c r="AC116" i="20"/>
  <c r="B57" i="20"/>
  <c r="E57" i="20"/>
  <c r="E57" i="28"/>
  <c r="B57" i="28"/>
  <c r="AC116" i="28"/>
  <c r="AC116" i="38"/>
  <c r="E57" i="38"/>
  <c r="B57" i="38"/>
  <c r="AC114" i="22"/>
  <c r="E55" i="22"/>
  <c r="B55" i="22"/>
  <c r="AC114" i="30"/>
  <c r="E55" i="30"/>
  <c r="B55" i="30"/>
  <c r="AC112" i="15"/>
  <c r="E53" i="15"/>
  <c r="B53" i="15"/>
  <c r="AC112" i="23"/>
  <c r="B53" i="23"/>
  <c r="C53" i="23" s="1"/>
  <c r="E53" i="23"/>
  <c r="AC112" i="31"/>
  <c r="B53" i="31"/>
  <c r="C53" i="31" s="1"/>
  <c r="E53" i="31"/>
  <c r="AC110" i="18"/>
  <c r="E51" i="18"/>
  <c r="B51" i="18"/>
  <c r="AC110" i="25"/>
  <c r="E51" i="25"/>
  <c r="B51" i="25"/>
  <c r="C51" i="25" s="1"/>
  <c r="AC110" i="32"/>
  <c r="B51" i="32"/>
  <c r="E51" i="32"/>
  <c r="AC108" i="18"/>
  <c r="E49" i="18"/>
  <c r="B49" i="18"/>
  <c r="E49" i="26"/>
  <c r="AC108" i="26"/>
  <c r="B49" i="26"/>
  <c r="AC108" i="34"/>
  <c r="B49" i="34"/>
  <c r="C49" i="34" s="1"/>
  <c r="E49" i="34"/>
  <c r="AC106" i="20"/>
  <c r="B47" i="20"/>
  <c r="E47" i="20"/>
  <c r="E47" i="26"/>
  <c r="B47" i="26"/>
  <c r="C47" i="26" s="1"/>
  <c r="AC106" i="26"/>
  <c r="AC106" i="37"/>
  <c r="E47" i="37"/>
  <c r="B47" i="37"/>
  <c r="AC104" i="20"/>
  <c r="E45" i="20"/>
  <c r="B45" i="20"/>
  <c r="E45" i="28"/>
  <c r="B45" i="28"/>
  <c r="AC104" i="28"/>
  <c r="AC104" i="38"/>
  <c r="E45" i="38"/>
  <c r="B45" i="38"/>
  <c r="E26" i="17"/>
  <c r="B26" i="17"/>
  <c r="C26" i="17" s="1"/>
  <c r="AC85" i="17"/>
  <c r="AF85" i="17"/>
  <c r="AH85" i="17" s="1"/>
  <c r="AI85" i="17" s="1"/>
  <c r="E26" i="24"/>
  <c r="AC85" i="24"/>
  <c r="B26" i="24"/>
  <c r="C26" i="24" s="1"/>
  <c r="AF85" i="24"/>
  <c r="AH85" i="24" s="1"/>
  <c r="AI85" i="24" s="1"/>
  <c r="E26" i="32"/>
  <c r="O26" i="32" s="1"/>
  <c r="B26" i="32"/>
  <c r="C26" i="32" s="1"/>
  <c r="AF85" i="32"/>
  <c r="AH85" i="32" s="1"/>
  <c r="AI85" i="32" s="1"/>
  <c r="AC85" i="32"/>
  <c r="AC102" i="17"/>
  <c r="B43" i="17"/>
  <c r="C43" i="17" s="1"/>
  <c r="E43" i="17"/>
  <c r="AC102" i="25"/>
  <c r="E43" i="25"/>
  <c r="B43" i="25"/>
  <c r="C43" i="25" s="1"/>
  <c r="AC102" i="33"/>
  <c r="B43" i="33"/>
  <c r="E43" i="33"/>
  <c r="AC100" i="18"/>
  <c r="E41" i="18"/>
  <c r="B41" i="18"/>
  <c r="C41" i="18" s="1"/>
  <c r="B41" i="26"/>
  <c r="C41" i="26" s="1"/>
  <c r="E41" i="26"/>
  <c r="AC100" i="26"/>
  <c r="AC100" i="34"/>
  <c r="B41" i="34"/>
  <c r="C41" i="34" s="1"/>
  <c r="E41" i="34"/>
  <c r="AC98" i="19"/>
  <c r="B39" i="19"/>
  <c r="C39" i="19" s="1"/>
  <c r="E39" i="19"/>
  <c r="AC98" i="28"/>
  <c r="B39" i="28"/>
  <c r="C39" i="28" s="1"/>
  <c r="E39" i="28"/>
  <c r="AC98" i="38"/>
  <c r="E39" i="38"/>
  <c r="B39" i="38"/>
  <c r="AC96" i="21"/>
  <c r="B37" i="21"/>
  <c r="C37" i="21" s="1"/>
  <c r="E37" i="21"/>
  <c r="E37" i="29"/>
  <c r="B37" i="29"/>
  <c r="C37" i="29" s="1"/>
  <c r="AC96" i="29"/>
  <c r="AC94" i="23"/>
  <c r="E35" i="23"/>
  <c r="B35" i="23"/>
  <c r="AC94" i="31"/>
  <c r="B35" i="31"/>
  <c r="C35" i="31" s="1"/>
  <c r="E35" i="31"/>
  <c r="AC92" i="16"/>
  <c r="B33" i="16"/>
  <c r="E33" i="16"/>
  <c r="AC92" i="24"/>
  <c r="E33" i="24"/>
  <c r="B33" i="24"/>
  <c r="C33" i="24" s="1"/>
  <c r="AC92" i="33"/>
  <c r="E33" i="33"/>
  <c r="B33" i="33"/>
  <c r="AC90" i="18"/>
  <c r="E31" i="18"/>
  <c r="B31" i="18"/>
  <c r="C31" i="18" s="1"/>
  <c r="AC90" i="25"/>
  <c r="E31" i="25"/>
  <c r="B31" i="25"/>
  <c r="AC90" i="32"/>
  <c r="E31" i="32"/>
  <c r="B31" i="32"/>
  <c r="C31" i="32" s="1"/>
  <c r="AC88" i="18"/>
  <c r="B29" i="18"/>
  <c r="E29" i="18"/>
  <c r="E29" i="26"/>
  <c r="B29" i="26"/>
  <c r="C29" i="26" s="1"/>
  <c r="AC88" i="26"/>
  <c r="AC88" i="34"/>
  <c r="E29" i="34"/>
  <c r="B29" i="34"/>
  <c r="E27" i="20"/>
  <c r="AC86" i="20"/>
  <c r="B27" i="20"/>
  <c r="B27" i="26"/>
  <c r="E27" i="26"/>
  <c r="AC86" i="26"/>
  <c r="E27" i="37"/>
  <c r="B27" i="37"/>
  <c r="C27" i="37" s="1"/>
  <c r="AC86" i="37"/>
  <c r="AC131" i="23"/>
  <c r="B72" i="23"/>
  <c r="E72" i="23"/>
  <c r="AC131" i="31"/>
  <c r="E72" i="31"/>
  <c r="B72" i="31"/>
  <c r="AC129" i="16"/>
  <c r="B70" i="16"/>
  <c r="E70" i="16"/>
  <c r="AC129" i="25"/>
  <c r="E70" i="25"/>
  <c r="B70" i="25"/>
  <c r="AC129" i="33"/>
  <c r="B70" i="33"/>
  <c r="C70" i="33" s="1"/>
  <c r="E70" i="33"/>
  <c r="AC127" i="19"/>
  <c r="B68" i="19"/>
  <c r="C68" i="19" s="1"/>
  <c r="E68" i="19"/>
  <c r="AC127" i="27"/>
  <c r="E68" i="27"/>
  <c r="B68" i="27"/>
  <c r="AC127" i="37"/>
  <c r="B68" i="37"/>
  <c r="C68" i="37" s="1"/>
  <c r="E68" i="37"/>
  <c r="AC125" i="20"/>
  <c r="E66" i="20"/>
  <c r="B66" i="20"/>
  <c r="E66" i="28"/>
  <c r="AC125" i="28"/>
  <c r="B66" i="28"/>
  <c r="AC125" i="38"/>
  <c r="B66" i="38"/>
  <c r="C66" i="38" s="1"/>
  <c r="E66" i="38"/>
  <c r="AC123" i="21"/>
  <c r="E64" i="21"/>
  <c r="B64" i="21"/>
  <c r="C64" i="21" s="1"/>
  <c r="B64" i="29"/>
  <c r="E64" i="29"/>
  <c r="AC123" i="29"/>
  <c r="AC121" i="22"/>
  <c r="E62" i="22"/>
  <c r="B62" i="22"/>
  <c r="AC121" i="30"/>
  <c r="B62" i="30"/>
  <c r="E62" i="30"/>
  <c r="AC119" i="17"/>
  <c r="B60" i="17"/>
  <c r="E60" i="17"/>
  <c r="AC119" i="24"/>
  <c r="B60" i="24"/>
  <c r="E60" i="24"/>
  <c r="AC119" i="32"/>
  <c r="E60" i="32"/>
  <c r="B60" i="32"/>
  <c r="C60" i="32" s="1"/>
  <c r="AC117" i="16"/>
  <c r="E58" i="16"/>
  <c r="B58" i="16"/>
  <c r="AC117" i="27"/>
  <c r="B58" i="27"/>
  <c r="E58" i="27"/>
  <c r="AC117" i="34"/>
  <c r="B58" i="34"/>
  <c r="C58" i="34" s="1"/>
  <c r="E58" i="34"/>
  <c r="AC115" i="20"/>
  <c r="E56" i="20"/>
  <c r="B56" i="20"/>
  <c r="C56" i="20" s="1"/>
  <c r="E56" i="28"/>
  <c r="B56" i="28"/>
  <c r="C56" i="28" s="1"/>
  <c r="AC115" i="28"/>
  <c r="AC115" i="38"/>
  <c r="B56" i="38"/>
  <c r="C56" i="38" s="1"/>
  <c r="E56" i="38"/>
  <c r="AC113" i="22"/>
  <c r="B54" i="22"/>
  <c r="E54" i="22"/>
  <c r="AC113" i="30"/>
  <c r="B54" i="30"/>
  <c r="C54" i="30" s="1"/>
  <c r="E54" i="30"/>
  <c r="AC111" i="16"/>
  <c r="E52" i="16"/>
  <c r="B52" i="16"/>
  <c r="AC111" i="24"/>
  <c r="B52" i="24"/>
  <c r="C52" i="24" s="1"/>
  <c r="E52" i="24"/>
  <c r="AC111" i="33"/>
  <c r="B52" i="33"/>
  <c r="C52" i="33" s="1"/>
  <c r="E52" i="33"/>
  <c r="AC109" i="16"/>
  <c r="E50" i="16"/>
  <c r="B50" i="16"/>
  <c r="AC109" i="27"/>
  <c r="E50" i="27"/>
  <c r="B50" i="27"/>
  <c r="AC109" i="34"/>
  <c r="B50" i="34"/>
  <c r="E50" i="34"/>
  <c r="AC107" i="20"/>
  <c r="B48" i="20"/>
  <c r="E48" i="20"/>
  <c r="E48" i="28"/>
  <c r="B48" i="28"/>
  <c r="AC107" i="28"/>
  <c r="AC107" i="38"/>
  <c r="B48" i="38"/>
  <c r="E48" i="38"/>
  <c r="AC105" i="21"/>
  <c r="E46" i="21"/>
  <c r="B46" i="21"/>
  <c r="E46" i="29"/>
  <c r="B46" i="29"/>
  <c r="AC105" i="29"/>
  <c r="E61" i="15"/>
  <c r="P61" i="15" s="1"/>
  <c r="AC103" i="20"/>
  <c r="E44" i="20"/>
  <c r="B44" i="20"/>
  <c r="B44" i="28"/>
  <c r="C44" i="28" s="1"/>
  <c r="E44" i="28"/>
  <c r="AC103" i="28"/>
  <c r="AC103" i="38"/>
  <c r="B44" i="38"/>
  <c r="C44" i="38" s="1"/>
  <c r="E44" i="38"/>
  <c r="AC101" i="21"/>
  <c r="B42" i="21"/>
  <c r="C42" i="21" s="1"/>
  <c r="E42" i="21"/>
  <c r="E42" i="29"/>
  <c r="AC101" i="29"/>
  <c r="B42" i="29"/>
  <c r="C42" i="29" s="1"/>
  <c r="AC99" i="23"/>
  <c r="E40" i="23"/>
  <c r="B40" i="23"/>
  <c r="AC99" i="31"/>
  <c r="B40" i="31"/>
  <c r="E40" i="31"/>
  <c r="AC97" i="17"/>
  <c r="E38" i="17"/>
  <c r="B38" i="17"/>
  <c r="AC97" i="24"/>
  <c r="B38" i="24"/>
  <c r="E38" i="24"/>
  <c r="AC97" i="32"/>
  <c r="B38" i="32"/>
  <c r="E38" i="32"/>
  <c r="AC95" i="17"/>
  <c r="E36" i="17"/>
  <c r="B36" i="17"/>
  <c r="AC95" i="25"/>
  <c r="E36" i="25"/>
  <c r="B36" i="25"/>
  <c r="AC95" i="33"/>
  <c r="B36" i="33"/>
  <c r="E36" i="33"/>
  <c r="AC93" i="16"/>
  <c r="E34" i="16"/>
  <c r="B34" i="16"/>
  <c r="AC93" i="27"/>
  <c r="B34" i="27"/>
  <c r="E34" i="27"/>
  <c r="AC93" i="34"/>
  <c r="B34" i="34"/>
  <c r="E34" i="34"/>
  <c r="AC91" i="19"/>
  <c r="E32" i="19"/>
  <c r="B32" i="19"/>
  <c r="AC91" i="27"/>
  <c r="E32" i="27"/>
  <c r="B32" i="27"/>
  <c r="AC91" i="37"/>
  <c r="E32" i="37"/>
  <c r="B32" i="37"/>
  <c r="AC89" i="20"/>
  <c r="E30" i="20"/>
  <c r="B30" i="20"/>
  <c r="E30" i="28"/>
  <c r="B30" i="28"/>
  <c r="AC89" i="28"/>
  <c r="AC89" i="38"/>
  <c r="E30" i="38"/>
  <c r="B30" i="38"/>
  <c r="AC87" i="21"/>
  <c r="E28" i="21"/>
  <c r="B28" i="21"/>
  <c r="B28" i="29"/>
  <c r="E28" i="29"/>
  <c r="AC87" i="29"/>
  <c r="AC130" i="22"/>
  <c r="E71" i="22"/>
  <c r="B71" i="22"/>
  <c r="C71" i="22" s="1"/>
  <c r="AC130" i="30"/>
  <c r="E71" i="30"/>
  <c r="B71" i="30"/>
  <c r="C71" i="30" s="1"/>
  <c r="AC128" i="15"/>
  <c r="E69" i="15"/>
  <c r="B69" i="15"/>
  <c r="AC128" i="23"/>
  <c r="B69" i="23"/>
  <c r="C69" i="23" s="1"/>
  <c r="E69" i="23"/>
  <c r="AC128" i="30"/>
  <c r="B69" i="30"/>
  <c r="E69" i="30"/>
  <c r="AC126" i="16"/>
  <c r="B67" i="16"/>
  <c r="C67" i="16" s="1"/>
  <c r="E67" i="16"/>
  <c r="AC126" i="24"/>
  <c r="E67" i="24"/>
  <c r="B67" i="24"/>
  <c r="AC126" i="32"/>
  <c r="B67" i="32"/>
  <c r="E67" i="32"/>
  <c r="AC124" i="16"/>
  <c r="E65" i="16"/>
  <c r="B65" i="16"/>
  <c r="AC124" i="25"/>
  <c r="E65" i="25"/>
  <c r="B65" i="25"/>
  <c r="AC124" i="33"/>
  <c r="E65" i="33"/>
  <c r="B65" i="33"/>
  <c r="AC122" i="17"/>
  <c r="B63" i="17"/>
  <c r="C63" i="17" s="1"/>
  <c r="E63" i="17"/>
  <c r="E63" i="26"/>
  <c r="B63" i="26"/>
  <c r="AC122" i="26"/>
  <c r="AC122" i="34"/>
  <c r="B63" i="34"/>
  <c r="C63" i="34" s="1"/>
  <c r="E63" i="34"/>
  <c r="AC120" i="19"/>
  <c r="E61" i="19"/>
  <c r="B61" i="19"/>
  <c r="AC120" i="27"/>
  <c r="E61" i="27"/>
  <c r="B61" i="27"/>
  <c r="C61" i="27" s="1"/>
  <c r="AC120" i="37"/>
  <c r="B61" i="37"/>
  <c r="E61" i="37"/>
  <c r="AC118" i="19"/>
  <c r="B59" i="19"/>
  <c r="E59" i="19"/>
  <c r="E59" i="28"/>
  <c r="AC118" i="28"/>
  <c r="B59" i="28"/>
  <c r="AC118" i="38"/>
  <c r="B59" i="38"/>
  <c r="E59" i="38"/>
  <c r="AC116" i="21"/>
  <c r="E57" i="21"/>
  <c r="B57" i="21"/>
  <c r="E57" i="29"/>
  <c r="B57" i="29"/>
  <c r="AC116" i="29"/>
  <c r="AC114" i="15"/>
  <c r="E55" i="15"/>
  <c r="F56" i="15" s="1"/>
  <c r="B55" i="15"/>
  <c r="C56" i="15" s="1"/>
  <c r="AC114" i="23"/>
  <c r="E55" i="23"/>
  <c r="B55" i="23"/>
  <c r="AC114" i="31"/>
  <c r="B55" i="31"/>
  <c r="E55" i="31"/>
  <c r="AC112" i="17"/>
  <c r="E53" i="17"/>
  <c r="B53" i="17"/>
  <c r="AC112" i="24"/>
  <c r="B53" i="24"/>
  <c r="E53" i="24"/>
  <c r="AC112" i="32"/>
  <c r="B53" i="32"/>
  <c r="E53" i="32"/>
  <c r="AC110" i="17"/>
  <c r="E51" i="17"/>
  <c r="B51" i="17"/>
  <c r="AC110" i="27"/>
  <c r="B51" i="27"/>
  <c r="C51" i="27" s="1"/>
  <c r="E51" i="27"/>
  <c r="AC110" i="34"/>
  <c r="B51" i="34"/>
  <c r="E51" i="34"/>
  <c r="AC108" i="19"/>
  <c r="E49" i="19"/>
  <c r="B49" i="19"/>
  <c r="C49" i="19" s="1"/>
  <c r="AC108" i="27"/>
  <c r="B49" i="27"/>
  <c r="E49" i="27"/>
  <c r="AC108" i="37"/>
  <c r="E49" i="37"/>
  <c r="B49" i="37"/>
  <c r="AC106" i="19"/>
  <c r="B47" i="19"/>
  <c r="C47" i="19" s="1"/>
  <c r="E47" i="19"/>
  <c r="AC106" i="28"/>
  <c r="E47" i="28"/>
  <c r="B47" i="28"/>
  <c r="C47" i="28" s="1"/>
  <c r="AC106" i="38"/>
  <c r="B47" i="38"/>
  <c r="E47" i="38"/>
  <c r="AC104" i="21"/>
  <c r="E45" i="21"/>
  <c r="B45" i="21"/>
  <c r="E45" i="29"/>
  <c r="B45" i="29"/>
  <c r="AC104" i="29"/>
  <c r="E26" i="18"/>
  <c r="O26" i="18" s="1"/>
  <c r="AC85" i="18"/>
  <c r="AF85" i="18"/>
  <c r="AH85" i="18" s="1"/>
  <c r="AI85" i="18" s="1"/>
  <c r="B26" i="18"/>
  <c r="E26" i="25"/>
  <c r="B26" i="25"/>
  <c r="C26" i="25" s="1"/>
  <c r="AF85" i="25"/>
  <c r="AH85" i="25" s="1"/>
  <c r="AI85" i="25" s="1"/>
  <c r="AC85" i="25"/>
  <c r="E26" i="33"/>
  <c r="B26" i="33"/>
  <c r="C26" i="33" s="1"/>
  <c r="AC85" i="33"/>
  <c r="AF85" i="33"/>
  <c r="AH85" i="33" s="1"/>
  <c r="AI85" i="33" s="1"/>
  <c r="AC102" i="18"/>
  <c r="E43" i="18"/>
  <c r="B43" i="18"/>
  <c r="AC102" i="27"/>
  <c r="E43" i="27"/>
  <c r="B43" i="27"/>
  <c r="C43" i="27" s="1"/>
  <c r="AC102" i="34"/>
  <c r="B43" i="34"/>
  <c r="E43" i="34"/>
  <c r="AC100" i="19"/>
  <c r="E41" i="19"/>
  <c r="B41" i="19"/>
  <c r="AC100" i="27"/>
  <c r="B41" i="27"/>
  <c r="C41" i="27" s="1"/>
  <c r="E41" i="27"/>
  <c r="AC100" i="37"/>
  <c r="E41" i="37"/>
  <c r="B41" i="37"/>
  <c r="C41" i="37" s="1"/>
  <c r="AC98" i="21"/>
  <c r="E39" i="21"/>
  <c r="B39" i="21"/>
  <c r="C39" i="21" s="1"/>
  <c r="E39" i="29"/>
  <c r="B39" i="29"/>
  <c r="C39" i="29" s="1"/>
  <c r="AC98" i="29"/>
  <c r="AC96" i="22"/>
  <c r="B37" i="22"/>
  <c r="E37" i="22"/>
  <c r="AC96" i="31"/>
  <c r="B37" i="31"/>
  <c r="C37" i="31" s="1"/>
  <c r="E37" i="31"/>
  <c r="AC94" i="17"/>
  <c r="E35" i="17"/>
  <c r="B35" i="17"/>
  <c r="C35" i="17" s="1"/>
  <c r="AC94" i="24"/>
  <c r="B35" i="24"/>
  <c r="C35" i="24" s="1"/>
  <c r="E35" i="24"/>
  <c r="AC94" i="32"/>
  <c r="E35" i="32"/>
  <c r="B35" i="32"/>
  <c r="C35" i="32" s="1"/>
  <c r="AC92" i="17"/>
  <c r="B33" i="17"/>
  <c r="E33" i="17"/>
  <c r="AC92" i="25"/>
  <c r="E33" i="25"/>
  <c r="B33" i="25"/>
  <c r="AC92" i="32"/>
  <c r="E33" i="32"/>
  <c r="B33" i="32"/>
  <c r="AC90" i="16"/>
  <c r="E31" i="16"/>
  <c r="B31" i="16"/>
  <c r="C31" i="16" s="1"/>
  <c r="AC90" i="27"/>
  <c r="E31" i="27"/>
  <c r="B31" i="27"/>
  <c r="AC90" i="34"/>
  <c r="B31" i="34"/>
  <c r="C31" i="34" s="1"/>
  <c r="E31" i="34"/>
  <c r="AC88" i="19"/>
  <c r="E29" i="19"/>
  <c r="B29" i="19"/>
  <c r="AC88" i="27"/>
  <c r="E29" i="27"/>
  <c r="B29" i="27"/>
  <c r="AC88" i="37"/>
  <c r="B29" i="37"/>
  <c r="C29" i="37" s="1"/>
  <c r="E29" i="37"/>
  <c r="B27" i="19"/>
  <c r="E27" i="19"/>
  <c r="AC86" i="19"/>
  <c r="AC86" i="28"/>
  <c r="E27" i="28"/>
  <c r="B27" i="28"/>
  <c r="C27" i="28" s="1"/>
  <c r="E27" i="38"/>
  <c r="B27" i="38"/>
  <c r="AC86" i="38"/>
  <c r="AC131" i="16"/>
  <c r="B72" i="16"/>
  <c r="C72" i="16" s="1"/>
  <c r="E72" i="16"/>
  <c r="O72" i="16" s="1"/>
  <c r="AC131" i="24"/>
  <c r="B72" i="24"/>
  <c r="E72" i="24"/>
  <c r="AC131" i="33"/>
  <c r="B72" i="33"/>
  <c r="C72" i="33" s="1"/>
  <c r="E72" i="33"/>
  <c r="AC129" i="17"/>
  <c r="E70" i="17"/>
  <c r="B70" i="17"/>
  <c r="C70" i="17" s="1"/>
  <c r="AC129" i="27"/>
  <c r="B70" i="27"/>
  <c r="C70" i="27" s="1"/>
  <c r="E70" i="27"/>
  <c r="AC129" i="34"/>
  <c r="B70" i="34"/>
  <c r="C70" i="34" s="1"/>
  <c r="E70" i="34"/>
  <c r="AC127" i="20"/>
  <c r="E68" i="20"/>
  <c r="B68" i="20"/>
  <c r="C68" i="20" s="1"/>
  <c r="E68" i="28"/>
  <c r="B68" i="28"/>
  <c r="C68" i="28" s="1"/>
  <c r="AC127" i="28"/>
  <c r="AC127" i="38"/>
  <c r="B68" i="38"/>
  <c r="E68" i="38"/>
  <c r="AC125" i="21"/>
  <c r="B66" i="21"/>
  <c r="E66" i="21"/>
  <c r="E66" i="29"/>
  <c r="B66" i="29"/>
  <c r="C66" i="29" s="1"/>
  <c r="AC125" i="29"/>
  <c r="AC123" i="22"/>
  <c r="B64" i="22"/>
  <c r="E64" i="22"/>
  <c r="AC123" i="30"/>
  <c r="B64" i="30"/>
  <c r="C64" i="30" s="1"/>
  <c r="E64" i="30"/>
  <c r="AC121" i="23"/>
  <c r="B62" i="23"/>
  <c r="E62" i="23"/>
  <c r="AC121" i="31"/>
  <c r="B62" i="31"/>
  <c r="C62" i="31" s="1"/>
  <c r="E62" i="31"/>
  <c r="AC119" i="16"/>
  <c r="E60" i="16"/>
  <c r="B60" i="16"/>
  <c r="C60" i="16" s="1"/>
  <c r="E60" i="25"/>
  <c r="AC119" i="25"/>
  <c r="B60" i="25"/>
  <c r="C60" i="25" s="1"/>
  <c r="AC119" i="33"/>
  <c r="B60" i="33"/>
  <c r="E60" i="33"/>
  <c r="AC117" i="19"/>
  <c r="B58" i="19"/>
  <c r="E58" i="19"/>
  <c r="E58" i="26"/>
  <c r="AC117" i="26"/>
  <c r="B58" i="26"/>
  <c r="AC117" i="37"/>
  <c r="B58" i="37"/>
  <c r="C58" i="37" s="1"/>
  <c r="E58" i="37"/>
  <c r="AC115" i="21"/>
  <c r="E56" i="21"/>
  <c r="B56" i="21"/>
  <c r="E56" i="29"/>
  <c r="B56" i="29"/>
  <c r="AC115" i="29"/>
  <c r="AC113" i="23"/>
  <c r="E54" i="23"/>
  <c r="B54" i="23"/>
  <c r="AC113" i="31"/>
  <c r="B54" i="31"/>
  <c r="E54" i="31"/>
  <c r="AC111" i="18"/>
  <c r="B52" i="18"/>
  <c r="E52" i="18"/>
  <c r="AC111" i="25"/>
  <c r="B52" i="25"/>
  <c r="E52" i="25"/>
  <c r="AC111" i="32"/>
  <c r="E52" i="32"/>
  <c r="B52" i="32"/>
  <c r="AC109" i="19"/>
  <c r="E50" i="19"/>
  <c r="B50" i="19"/>
  <c r="E50" i="26"/>
  <c r="B50" i="26"/>
  <c r="AC109" i="26"/>
  <c r="AC109" i="37"/>
  <c r="E50" i="37"/>
  <c r="B50" i="37"/>
  <c r="AC107" i="21"/>
  <c r="B48" i="21"/>
  <c r="E48" i="21"/>
  <c r="B48" i="29"/>
  <c r="E48" i="29"/>
  <c r="AC107" i="29"/>
  <c r="AC105" i="22"/>
  <c r="E46" i="22"/>
  <c r="B46" i="22"/>
  <c r="AC105" i="30"/>
  <c r="E46" i="30"/>
  <c r="B46" i="30"/>
  <c r="AC103" i="21"/>
  <c r="B44" i="21"/>
  <c r="E44" i="21"/>
  <c r="B44" i="29"/>
  <c r="AC103" i="29"/>
  <c r="E44" i="29"/>
  <c r="AC101" i="22"/>
  <c r="B42" i="22"/>
  <c r="E42" i="22"/>
  <c r="AC101" i="30"/>
  <c r="E42" i="30"/>
  <c r="B42" i="30"/>
  <c r="AC99" i="16"/>
  <c r="E40" i="16"/>
  <c r="B40" i="16"/>
  <c r="C40" i="16" s="1"/>
  <c r="AC99" i="24"/>
  <c r="B40" i="24"/>
  <c r="AC99" i="32"/>
  <c r="B40" i="32"/>
  <c r="E40" i="32"/>
  <c r="AC97" i="18"/>
  <c r="E38" i="18"/>
  <c r="B38" i="18"/>
  <c r="C38" i="18" s="1"/>
  <c r="AC97" i="25"/>
  <c r="E38" i="25"/>
  <c r="B38" i="25"/>
  <c r="C38" i="25" s="1"/>
  <c r="AC97" i="33"/>
  <c r="B38" i="33"/>
  <c r="E38" i="33"/>
  <c r="AC95" i="18"/>
  <c r="E36" i="18"/>
  <c r="B36" i="18"/>
  <c r="E36" i="26"/>
  <c r="AC95" i="26"/>
  <c r="B36" i="26"/>
  <c r="AC95" i="34"/>
  <c r="B36" i="34"/>
  <c r="E36" i="34"/>
  <c r="AC93" i="19"/>
  <c r="E34" i="19"/>
  <c r="B34" i="19"/>
  <c r="C34" i="19" s="1"/>
  <c r="E34" i="26"/>
  <c r="B34" i="26"/>
  <c r="AC93" i="26"/>
  <c r="AC93" i="37"/>
  <c r="B34" i="37"/>
  <c r="C34" i="37" s="1"/>
  <c r="E34" i="37"/>
  <c r="AC91" i="20"/>
  <c r="E32" i="20"/>
  <c r="B32" i="20"/>
  <c r="E32" i="28"/>
  <c r="B32" i="28"/>
  <c r="AC91" i="28"/>
  <c r="AC91" i="38"/>
  <c r="B32" i="38"/>
  <c r="C32" i="38" s="1"/>
  <c r="E32" i="38"/>
  <c r="AC89" i="21"/>
  <c r="E30" i="21"/>
  <c r="B30" i="21"/>
  <c r="C30" i="21" s="1"/>
  <c r="AC89" i="29"/>
  <c r="E30" i="29"/>
  <c r="B30" i="29"/>
  <c r="AC87" i="22"/>
  <c r="E28" i="22"/>
  <c r="O28" i="22" s="1"/>
  <c r="B28" i="22"/>
  <c r="C28" i="22" s="1"/>
  <c r="AC87" i="30"/>
  <c r="B28" i="30"/>
  <c r="C28" i="30" s="1"/>
  <c r="E28" i="30"/>
  <c r="E32" i="15"/>
  <c r="P32" i="15" s="1"/>
  <c r="AC130" i="15"/>
  <c r="E71" i="15"/>
  <c r="F71" i="15" s="1"/>
  <c r="B71" i="15"/>
  <c r="C72" i="15" s="1"/>
  <c r="AC130" i="23"/>
  <c r="B71" i="23"/>
  <c r="C71" i="23" s="1"/>
  <c r="E71" i="23"/>
  <c r="AC130" i="31"/>
  <c r="B71" i="31"/>
  <c r="C71" i="31" s="1"/>
  <c r="E71" i="31"/>
  <c r="AC128" i="16"/>
  <c r="B69" i="16"/>
  <c r="E69" i="16"/>
  <c r="AC128" i="24"/>
  <c r="B69" i="24"/>
  <c r="C69" i="24" s="1"/>
  <c r="E69" i="24"/>
  <c r="AC128" i="32"/>
  <c r="B69" i="32"/>
  <c r="C69" i="32" s="1"/>
  <c r="E69" i="32"/>
  <c r="AC126" i="17"/>
  <c r="E67" i="17"/>
  <c r="B67" i="17"/>
  <c r="C67" i="17" s="1"/>
  <c r="AC126" i="25"/>
  <c r="E67" i="25"/>
  <c r="B67" i="25"/>
  <c r="C67" i="25" s="1"/>
  <c r="AC126" i="33"/>
  <c r="E67" i="33"/>
  <c r="B67" i="33"/>
  <c r="C67" i="33" s="1"/>
  <c r="AC124" i="18"/>
  <c r="E65" i="18"/>
  <c r="B65" i="18"/>
  <c r="C65" i="18" s="1"/>
  <c r="B65" i="26"/>
  <c r="C65" i="26" s="1"/>
  <c r="E65" i="26"/>
  <c r="AC124" i="26"/>
  <c r="AC124" i="34"/>
  <c r="E65" i="34"/>
  <c r="B65" i="34"/>
  <c r="C65" i="34" s="1"/>
  <c r="AC122" i="20"/>
  <c r="E63" i="20"/>
  <c r="B63" i="20"/>
  <c r="AC122" i="27"/>
  <c r="B63" i="27"/>
  <c r="C63" i="27" s="1"/>
  <c r="E63" i="27"/>
  <c r="AC122" i="37"/>
  <c r="B63" i="37"/>
  <c r="C63" i="37" s="1"/>
  <c r="E63" i="37"/>
  <c r="AC120" i="20"/>
  <c r="B61" i="20"/>
  <c r="C61" i="20" s="1"/>
  <c r="E61" i="20"/>
  <c r="E61" i="28"/>
  <c r="B61" i="28"/>
  <c r="AC120" i="28"/>
  <c r="AC120" i="38"/>
  <c r="B61" i="38"/>
  <c r="C61" i="38" s="1"/>
  <c r="E61" i="38"/>
  <c r="AC118" i="21"/>
  <c r="E59" i="21"/>
  <c r="B59" i="21"/>
  <c r="C59" i="21" s="1"/>
  <c r="AC118" i="29"/>
  <c r="B59" i="29"/>
  <c r="C59" i="29" s="1"/>
  <c r="E59" i="29"/>
  <c r="AC116" i="22"/>
  <c r="B57" i="22"/>
  <c r="E57" i="22"/>
  <c r="AC116" i="30"/>
  <c r="E57" i="30"/>
  <c r="B57" i="30"/>
  <c r="AC114" i="16"/>
  <c r="E55" i="16"/>
  <c r="B55" i="16"/>
  <c r="C55" i="16" s="1"/>
  <c r="AC114" i="24"/>
  <c r="E55" i="24"/>
  <c r="B55" i="24"/>
  <c r="AC114" i="33"/>
  <c r="B55" i="33"/>
  <c r="E55" i="33"/>
  <c r="AC112" i="16"/>
  <c r="E53" i="16"/>
  <c r="B53" i="16"/>
  <c r="C53" i="16" s="1"/>
  <c r="AC112" i="25"/>
  <c r="E53" i="25"/>
  <c r="B53" i="25"/>
  <c r="AC112" i="33"/>
  <c r="B53" i="33"/>
  <c r="E53" i="33"/>
  <c r="AC110" i="20"/>
  <c r="E51" i="20"/>
  <c r="B51" i="20"/>
  <c r="E51" i="26"/>
  <c r="AC110" i="26"/>
  <c r="B51" i="26"/>
  <c r="C51" i="26" s="1"/>
  <c r="AC110" i="37"/>
  <c r="B51" i="37"/>
  <c r="C51" i="37" s="1"/>
  <c r="E51" i="37"/>
  <c r="AC108" i="20"/>
  <c r="B49" i="20"/>
  <c r="E49" i="20"/>
  <c r="B49" i="28"/>
  <c r="C49" i="28" s="1"/>
  <c r="E49" i="28"/>
  <c r="AC108" i="28"/>
  <c r="AC108" i="38"/>
  <c r="E49" i="38"/>
  <c r="B49" i="38"/>
  <c r="C49" i="38" s="1"/>
  <c r="AC106" i="21"/>
  <c r="B47" i="21"/>
  <c r="E47" i="21"/>
  <c r="E47" i="29"/>
  <c r="B47" i="29"/>
  <c r="AC106" i="29"/>
  <c r="AC104" i="22"/>
  <c r="E45" i="22"/>
  <c r="B45" i="22"/>
  <c r="AC104" i="30"/>
  <c r="E45" i="30"/>
  <c r="B45" i="30"/>
  <c r="C45" i="30" s="1"/>
  <c r="E26" i="16"/>
  <c r="O26" i="16" s="1"/>
  <c r="B26" i="16"/>
  <c r="C26" i="16" s="1"/>
  <c r="AF85" i="16"/>
  <c r="AH85" i="16" s="1"/>
  <c r="AI85" i="16" s="1"/>
  <c r="AC85" i="16"/>
  <c r="AF85" i="27"/>
  <c r="AH85" i="27" s="1"/>
  <c r="AI85" i="27" s="1"/>
  <c r="AC85" i="27"/>
  <c r="E26" i="27"/>
  <c r="B26" i="27"/>
  <c r="C26" i="27" s="1"/>
  <c r="AF85" i="34"/>
  <c r="AH85" i="34" s="1"/>
  <c r="AI85" i="34" s="1"/>
  <c r="B26" i="34"/>
  <c r="C26" i="34" s="1"/>
  <c r="E26" i="34"/>
  <c r="AC85" i="34"/>
  <c r="AC102" i="20"/>
  <c r="E43" i="20"/>
  <c r="B43" i="20"/>
  <c r="C43" i="20" s="1"/>
  <c r="B43" i="26"/>
  <c r="C43" i="26" s="1"/>
  <c r="AC102" i="26"/>
  <c r="E43" i="26"/>
  <c r="AC102" i="37"/>
  <c r="E43" i="37"/>
  <c r="B43" i="37"/>
  <c r="C43" i="37" s="1"/>
  <c r="AC100" i="20"/>
  <c r="E41" i="20"/>
  <c r="B41" i="20"/>
  <c r="E41" i="28"/>
  <c r="B41" i="28"/>
  <c r="AC100" i="28"/>
  <c r="AC100" i="38"/>
  <c r="E41" i="38"/>
  <c r="B41" i="38"/>
  <c r="AC98" i="22"/>
  <c r="E39" i="22"/>
  <c r="B39" i="22"/>
  <c r="AC98" i="30"/>
  <c r="E39" i="30"/>
  <c r="B39" i="30"/>
  <c r="C39" i="30" s="1"/>
  <c r="AC96" i="23"/>
  <c r="E37" i="23"/>
  <c r="B37" i="23"/>
  <c r="AC96" i="30"/>
  <c r="E37" i="30"/>
  <c r="B37" i="30"/>
  <c r="AC94" i="18"/>
  <c r="E35" i="18"/>
  <c r="B35" i="18"/>
  <c r="AC94" i="25"/>
  <c r="E35" i="25"/>
  <c r="B35" i="25"/>
  <c r="C35" i="25" s="1"/>
  <c r="AC94" i="33"/>
  <c r="B35" i="33"/>
  <c r="E35" i="33"/>
  <c r="AC92" i="18"/>
  <c r="B33" i="18"/>
  <c r="E33" i="18"/>
  <c r="E33" i="26"/>
  <c r="B33" i="26"/>
  <c r="C33" i="26" s="1"/>
  <c r="AC92" i="26"/>
  <c r="AC92" i="34"/>
  <c r="E33" i="34"/>
  <c r="B33" i="34"/>
  <c r="C33" i="34" s="1"/>
  <c r="AC90" i="20"/>
  <c r="E31" i="20"/>
  <c r="B31" i="20"/>
  <c r="E31" i="26"/>
  <c r="AC90" i="26"/>
  <c r="B31" i="26"/>
  <c r="AC90" i="37"/>
  <c r="E31" i="37"/>
  <c r="B31" i="37"/>
  <c r="AC88" i="20"/>
  <c r="B29" i="20"/>
  <c r="E29" i="20"/>
  <c r="E29" i="28"/>
  <c r="B29" i="28"/>
  <c r="C29" i="28" s="1"/>
  <c r="AC88" i="28"/>
  <c r="AC88" i="38"/>
  <c r="B29" i="38"/>
  <c r="E29" i="38"/>
  <c r="AC86" i="21"/>
  <c r="E27" i="21"/>
  <c r="B27" i="21"/>
  <c r="C27" i="21" s="1"/>
  <c r="B27" i="29"/>
  <c r="C27" i="29" s="1"/>
  <c r="E27" i="29"/>
  <c r="AC86" i="29"/>
  <c r="E72" i="15"/>
  <c r="P72" i="15" s="1"/>
  <c r="E43" i="15"/>
  <c r="P43" i="15" s="1"/>
  <c r="AC131" i="17"/>
  <c r="E72" i="17"/>
  <c r="B72" i="17"/>
  <c r="C72" i="17" s="1"/>
  <c r="AC131" i="25"/>
  <c r="E72" i="25"/>
  <c r="B72" i="25"/>
  <c r="C72" i="25" s="1"/>
  <c r="AC131" i="32"/>
  <c r="E72" i="32"/>
  <c r="B72" i="32"/>
  <c r="AC129" i="19"/>
  <c r="B70" i="19"/>
  <c r="E70" i="19"/>
  <c r="E70" i="26"/>
  <c r="B70" i="26"/>
  <c r="AC129" i="26"/>
  <c r="AC129" i="37"/>
  <c r="E70" i="37"/>
  <c r="B70" i="37"/>
  <c r="AC127" i="21"/>
  <c r="B68" i="21"/>
  <c r="C68" i="21" s="1"/>
  <c r="E68" i="21"/>
  <c r="B68" i="29"/>
  <c r="AC127" i="29"/>
  <c r="E68" i="29"/>
  <c r="AC125" i="22"/>
  <c r="E66" i="22"/>
  <c r="B66" i="22"/>
  <c r="C66" i="22" s="1"/>
  <c r="AC125" i="31"/>
  <c r="E66" i="31"/>
  <c r="B66" i="31"/>
  <c r="C66" i="31" s="1"/>
  <c r="AC123" i="23"/>
  <c r="B64" i="23"/>
  <c r="E64" i="23"/>
  <c r="AC123" i="31"/>
  <c r="E64" i="31"/>
  <c r="B64" i="31"/>
  <c r="C64" i="31" s="1"/>
  <c r="AC121" i="18"/>
  <c r="E62" i="18"/>
  <c r="B62" i="18"/>
  <c r="C62" i="18" s="1"/>
  <c r="AC121" i="24"/>
  <c r="E62" i="24"/>
  <c r="B62" i="24"/>
  <c r="AC121" i="32"/>
  <c r="B62" i="32"/>
  <c r="E62" i="32"/>
  <c r="AC119" i="18"/>
  <c r="B60" i="18"/>
  <c r="C60" i="18" s="1"/>
  <c r="E60" i="18"/>
  <c r="E60" i="26"/>
  <c r="AC119" i="26"/>
  <c r="B60" i="26"/>
  <c r="AC119" i="34"/>
  <c r="E60" i="34"/>
  <c r="B60" i="34"/>
  <c r="AC117" i="20"/>
  <c r="E58" i="20"/>
  <c r="B58" i="20"/>
  <c r="C58" i="20" s="1"/>
  <c r="E58" i="28"/>
  <c r="B58" i="28"/>
  <c r="AC117" i="28"/>
  <c r="AC117" i="38"/>
  <c r="B58" i="38"/>
  <c r="E58" i="38"/>
  <c r="AC115" i="22"/>
  <c r="E56" i="22"/>
  <c r="B56" i="22"/>
  <c r="C56" i="22" s="1"/>
  <c r="AC115" i="30"/>
  <c r="E56" i="30"/>
  <c r="B56" i="30"/>
  <c r="AC113" i="18"/>
  <c r="E54" i="18"/>
  <c r="B54" i="18"/>
  <c r="C54" i="18" s="1"/>
  <c r="AC113" i="24"/>
  <c r="B54" i="24"/>
  <c r="C54" i="24" s="1"/>
  <c r="E54" i="24"/>
  <c r="AC113" i="33"/>
  <c r="B54" i="33"/>
  <c r="E54" i="33"/>
  <c r="AC111" i="17"/>
  <c r="B52" i="17"/>
  <c r="E52" i="17"/>
  <c r="E52" i="26"/>
  <c r="AC111" i="26"/>
  <c r="B52" i="26"/>
  <c r="AC111" i="34"/>
  <c r="E52" i="34"/>
  <c r="B52" i="34"/>
  <c r="AC109" i="20"/>
  <c r="B50" i="20"/>
  <c r="C50" i="20" s="1"/>
  <c r="E50" i="20"/>
  <c r="E50" i="28"/>
  <c r="B50" i="28"/>
  <c r="AC109" i="28"/>
  <c r="AC109" i="38"/>
  <c r="B50" i="38"/>
  <c r="E50" i="38"/>
  <c r="AC107" i="22"/>
  <c r="E48" i="22"/>
  <c r="B48" i="22"/>
  <c r="AC107" i="31"/>
  <c r="B48" i="31"/>
  <c r="E48" i="31"/>
  <c r="AC105" i="23"/>
  <c r="B46" i="23"/>
  <c r="E46" i="23"/>
  <c r="AC105" i="31"/>
  <c r="B46" i="31"/>
  <c r="E46" i="31"/>
  <c r="AC103" i="22"/>
  <c r="E44" i="22"/>
  <c r="B44" i="22"/>
  <c r="AC103" i="31"/>
  <c r="B44" i="31"/>
  <c r="E44" i="31"/>
  <c r="AC101" i="15"/>
  <c r="E42" i="15"/>
  <c r="B42" i="15"/>
  <c r="AC101" i="23"/>
  <c r="B42" i="23"/>
  <c r="E42" i="23"/>
  <c r="AC101" i="31"/>
  <c r="E42" i="31"/>
  <c r="B42" i="31"/>
  <c r="AC99" i="17"/>
  <c r="B40" i="17"/>
  <c r="E40" i="17"/>
  <c r="AC99" i="25"/>
  <c r="E40" i="25"/>
  <c r="B40" i="25"/>
  <c r="C40" i="25" s="1"/>
  <c r="AC99" i="33"/>
  <c r="E40" i="33"/>
  <c r="B40" i="33"/>
  <c r="C40" i="33" s="1"/>
  <c r="AC97" i="16"/>
  <c r="E38" i="16"/>
  <c r="B38" i="16"/>
  <c r="AC97" i="27"/>
  <c r="B38" i="27"/>
  <c r="E38" i="27"/>
  <c r="AC97" i="34"/>
  <c r="B38" i="34"/>
  <c r="C38" i="34" s="1"/>
  <c r="E38" i="34"/>
  <c r="AC95" i="19"/>
  <c r="B36" i="19"/>
  <c r="C36" i="19" s="1"/>
  <c r="E36" i="19"/>
  <c r="AC95" i="27"/>
  <c r="E36" i="27"/>
  <c r="B36" i="27"/>
  <c r="C36" i="27" s="1"/>
  <c r="E36" i="37"/>
  <c r="B36" i="37"/>
  <c r="AC95" i="37"/>
  <c r="AC93" i="20"/>
  <c r="B34" i="20"/>
  <c r="E34" i="20"/>
  <c r="E34" i="28"/>
  <c r="B34" i="28"/>
  <c r="AC93" i="28"/>
  <c r="AC93" i="38"/>
  <c r="E34" i="38"/>
  <c r="B34" i="38"/>
  <c r="AC91" i="21"/>
  <c r="E32" i="21"/>
  <c r="B32" i="21"/>
  <c r="C32" i="21" s="1"/>
  <c r="E32" i="29"/>
  <c r="B32" i="29"/>
  <c r="AC91" i="29"/>
  <c r="AC89" i="22"/>
  <c r="E30" i="22"/>
  <c r="O30" i="22" s="1"/>
  <c r="B30" i="22"/>
  <c r="C30" i="22" s="1"/>
  <c r="AC89" i="31"/>
  <c r="E30" i="31"/>
  <c r="B30" i="31"/>
  <c r="C30" i="31" s="1"/>
  <c r="AC87" i="15"/>
  <c r="E28" i="15"/>
  <c r="B28" i="15"/>
  <c r="C28" i="15" s="1"/>
  <c r="AC87" i="23"/>
  <c r="E28" i="23"/>
  <c r="B28" i="23"/>
  <c r="AC87" i="31"/>
  <c r="B28" i="31"/>
  <c r="E28" i="31"/>
  <c r="E54" i="15"/>
  <c r="P54" i="15" s="1"/>
  <c r="E57" i="11"/>
  <c r="P57" i="11" s="1"/>
  <c r="O49" i="11"/>
  <c r="P49" i="11"/>
  <c r="B27" i="10"/>
  <c r="C27" i="10" s="1"/>
  <c r="F133" i="3"/>
  <c r="O71" i="11"/>
  <c r="O27" i="11"/>
  <c r="O66" i="11"/>
  <c r="O68" i="11"/>
  <c r="O34" i="11"/>
  <c r="O47" i="11"/>
  <c r="O57" i="11"/>
  <c r="O61" i="11"/>
  <c r="O69" i="11"/>
  <c r="O52" i="11"/>
  <c r="O36" i="11"/>
  <c r="O33" i="11"/>
  <c r="E58" i="11"/>
  <c r="P58" i="11" s="1"/>
  <c r="E39" i="11"/>
  <c r="P39" i="11" s="1"/>
  <c r="E42" i="11"/>
  <c r="P42" i="11" s="1"/>
  <c r="B60" i="11"/>
  <c r="E28" i="11"/>
  <c r="P28" i="11" s="1"/>
  <c r="E50" i="11"/>
  <c r="P50" i="11" s="1"/>
  <c r="G26" i="11"/>
  <c r="E60" i="11"/>
  <c r="P60" i="11" s="1"/>
  <c r="F26" i="11"/>
  <c r="E41" i="11"/>
  <c r="P41" i="11" s="1"/>
  <c r="E55" i="11"/>
  <c r="P55" i="11" s="1"/>
  <c r="B65" i="11"/>
  <c r="E65" i="11"/>
  <c r="P65" i="11" s="1"/>
  <c r="E44" i="11"/>
  <c r="P44" i="11" s="1"/>
  <c r="C46" i="15"/>
  <c r="C38" i="15"/>
  <c r="C31" i="15"/>
  <c r="F31" i="15"/>
  <c r="F57" i="15"/>
  <c r="C39" i="15"/>
  <c r="G59" i="15"/>
  <c r="F59" i="15"/>
  <c r="F60" i="15"/>
  <c r="G51" i="15"/>
  <c r="C60" i="15"/>
  <c r="C51" i="15"/>
  <c r="G56" i="15"/>
  <c r="G35" i="15"/>
  <c r="G48" i="15"/>
  <c r="F48" i="15"/>
  <c r="G67" i="15"/>
  <c r="X67" i="15"/>
  <c r="C55" i="15"/>
  <c r="G37" i="15"/>
  <c r="C48" i="15"/>
  <c r="C49" i="15"/>
  <c r="F46" i="15"/>
  <c r="C64" i="15"/>
  <c r="C62" i="15"/>
  <c r="X30" i="15"/>
  <c r="G64" i="15"/>
  <c r="G62" i="15"/>
  <c r="F45" i="15"/>
  <c r="G45" i="15"/>
  <c r="C32" i="15"/>
  <c r="C33" i="15"/>
  <c r="G40" i="15"/>
  <c r="F41" i="15"/>
  <c r="G72" i="15"/>
  <c r="X72" i="15"/>
  <c r="C40" i="15"/>
  <c r="X70" i="15"/>
  <c r="AC86" i="11"/>
  <c r="B27" i="11"/>
  <c r="B52" i="11"/>
  <c r="G27" i="10"/>
  <c r="O27" i="10"/>
  <c r="X26" i="10"/>
  <c r="Q113" i="10"/>
  <c r="R113" i="10" s="1"/>
  <c r="Q127" i="10"/>
  <c r="R127" i="10" s="1"/>
  <c r="Q86" i="10"/>
  <c r="R86" i="10" s="1"/>
  <c r="J26" i="10"/>
  <c r="Y26" i="10" s="1"/>
  <c r="G68" i="11"/>
  <c r="B68" i="11"/>
  <c r="B33" i="11"/>
  <c r="B55" i="11"/>
  <c r="B50" i="11"/>
  <c r="B34" i="11"/>
  <c r="B44" i="11"/>
  <c r="B71" i="11"/>
  <c r="B47" i="11"/>
  <c r="B39" i="11"/>
  <c r="B36" i="11"/>
  <c r="B28" i="11"/>
  <c r="B57" i="11"/>
  <c r="X96" i="11"/>
  <c r="Y96" i="11" s="1"/>
  <c r="E37" i="11" s="1"/>
  <c r="P37" i="11" s="1"/>
  <c r="B61" i="11"/>
  <c r="X102" i="11"/>
  <c r="Y102" i="11" s="1"/>
  <c r="E43" i="11" s="1"/>
  <c r="P43" i="11" s="1"/>
  <c r="X110" i="11"/>
  <c r="Y110" i="11" s="1"/>
  <c r="E51" i="11" s="1"/>
  <c r="P51" i="11" s="1"/>
  <c r="X118" i="11"/>
  <c r="Y118" i="11" s="1"/>
  <c r="E59" i="11" s="1"/>
  <c r="P59" i="11" s="1"/>
  <c r="X123" i="11"/>
  <c r="Y123" i="11" s="1"/>
  <c r="E64" i="11" s="1"/>
  <c r="P64" i="11" s="1"/>
  <c r="G33" i="11"/>
  <c r="B66" i="11"/>
  <c r="X129" i="11"/>
  <c r="Y129" i="11" s="1"/>
  <c r="E70" i="11" s="1"/>
  <c r="P70" i="11" s="1"/>
  <c r="X107" i="11"/>
  <c r="Y107" i="11" s="1"/>
  <c r="E48" i="11" s="1"/>
  <c r="P48" i="11" s="1"/>
  <c r="X131" i="11"/>
  <c r="Y131" i="11" s="1"/>
  <c r="E72" i="11" s="1"/>
  <c r="P72" i="11" s="1"/>
  <c r="X126" i="11"/>
  <c r="Y126" i="11" s="1"/>
  <c r="E67" i="11" s="1"/>
  <c r="P67" i="11" s="1"/>
  <c r="X121" i="11"/>
  <c r="Y121" i="11" s="1"/>
  <c r="E62" i="11" s="1"/>
  <c r="P62" i="11" s="1"/>
  <c r="B69" i="11"/>
  <c r="X88" i="11"/>
  <c r="Y88" i="11" s="1"/>
  <c r="B63" i="11"/>
  <c r="B58" i="11"/>
  <c r="X94" i="11"/>
  <c r="Y94" i="11" s="1"/>
  <c r="E35" i="11" s="1"/>
  <c r="P35" i="11" s="1"/>
  <c r="X115" i="11"/>
  <c r="Y115" i="11" s="1"/>
  <c r="E56" i="11" s="1"/>
  <c r="P56" i="11" s="1"/>
  <c r="X105" i="11"/>
  <c r="Y105" i="11" s="1"/>
  <c r="E46" i="11" s="1"/>
  <c r="P46" i="11" s="1"/>
  <c r="G52" i="11"/>
  <c r="X113" i="11"/>
  <c r="Y113" i="11" s="1"/>
  <c r="E54" i="11" s="1"/>
  <c r="P54" i="11" s="1"/>
  <c r="X99" i="11"/>
  <c r="Y99" i="11" s="1"/>
  <c r="E40" i="11" s="1"/>
  <c r="P40" i="11" s="1"/>
  <c r="X89" i="11"/>
  <c r="Y89" i="11" s="1"/>
  <c r="E30" i="11" s="1"/>
  <c r="B41" i="11"/>
  <c r="X91" i="11"/>
  <c r="Y91" i="11" s="1"/>
  <c r="E32" i="11" s="1"/>
  <c r="P32" i="11" s="1"/>
  <c r="X104" i="11"/>
  <c r="Y104" i="11" s="1"/>
  <c r="E45" i="11" s="1"/>
  <c r="P45" i="11" s="1"/>
  <c r="B31" i="11"/>
  <c r="X112" i="11"/>
  <c r="Y112" i="11" s="1"/>
  <c r="E53" i="11" s="1"/>
  <c r="P53" i="11" s="1"/>
  <c r="B42" i="11"/>
  <c r="G49" i="11"/>
  <c r="X97" i="11"/>
  <c r="Y97" i="11" s="1"/>
  <c r="E38" i="11" s="1"/>
  <c r="P38" i="11" s="1"/>
  <c r="Q101" i="10"/>
  <c r="R101" i="10" s="1"/>
  <c r="Q103" i="10"/>
  <c r="R103" i="10" s="1"/>
  <c r="Q107" i="10"/>
  <c r="R107" i="10" s="1"/>
  <c r="Q91" i="10"/>
  <c r="R91" i="10" s="1"/>
  <c r="U107" i="10"/>
  <c r="X107" i="10" s="1"/>
  <c r="Y107" i="10" s="1"/>
  <c r="E48" i="10" s="1"/>
  <c r="Q97" i="10"/>
  <c r="R97" i="10" s="1"/>
  <c r="Q125" i="10"/>
  <c r="R125" i="10" s="1"/>
  <c r="Q99" i="10"/>
  <c r="R99" i="10" s="1"/>
  <c r="Q119" i="10"/>
  <c r="R119" i="10" s="1"/>
  <c r="Q88" i="10"/>
  <c r="R88" i="10" s="1"/>
  <c r="Q117" i="10"/>
  <c r="R117" i="10" s="1"/>
  <c r="Q109" i="10"/>
  <c r="R109" i="10" s="1"/>
  <c r="Q93" i="10"/>
  <c r="R93" i="10" s="1"/>
  <c r="Q111" i="10"/>
  <c r="R111" i="10" s="1"/>
  <c r="Q85" i="10"/>
  <c r="R85" i="10" s="1"/>
  <c r="Q121" i="10"/>
  <c r="R121" i="10" s="1"/>
  <c r="U119" i="10"/>
  <c r="X119" i="10" s="1"/>
  <c r="Y119" i="10" s="1"/>
  <c r="E60" i="10" s="1"/>
  <c r="Q129" i="10"/>
  <c r="R129" i="10" s="1"/>
  <c r="Q95" i="10"/>
  <c r="R95" i="10" s="1"/>
  <c r="Q131" i="10"/>
  <c r="R131" i="10" s="1"/>
  <c r="Q90" i="10"/>
  <c r="R90" i="10" s="1"/>
  <c r="Q115" i="10"/>
  <c r="R115" i="10" s="1"/>
  <c r="X97" i="10"/>
  <c r="Y97" i="10" s="1"/>
  <c r="E38" i="10" s="1"/>
  <c r="Q122" i="10"/>
  <c r="R122" i="10" s="1"/>
  <c r="U122" i="10"/>
  <c r="X99" i="10"/>
  <c r="Y99" i="10" s="1"/>
  <c r="E40" i="10" s="1"/>
  <c r="X113" i="10"/>
  <c r="Y113" i="10" s="1"/>
  <c r="E54" i="10" s="1"/>
  <c r="X101" i="10"/>
  <c r="Y101" i="10" s="1"/>
  <c r="E42" i="10" s="1"/>
  <c r="Q130" i="10"/>
  <c r="R130" i="10" s="1"/>
  <c r="U130" i="10"/>
  <c r="X127" i="10"/>
  <c r="Y127" i="10" s="1"/>
  <c r="E68" i="10" s="1"/>
  <c r="X131" i="10"/>
  <c r="Y131" i="10" s="1"/>
  <c r="E72" i="10" s="1"/>
  <c r="Q126" i="10"/>
  <c r="R126" i="10" s="1"/>
  <c r="U126" i="10"/>
  <c r="X93" i="10"/>
  <c r="Y93" i="10" s="1"/>
  <c r="E34" i="10" s="1"/>
  <c r="X103" i="10"/>
  <c r="Y103" i="10" s="1"/>
  <c r="E44" i="10" s="1"/>
  <c r="Q112" i="10"/>
  <c r="R112" i="10" s="1"/>
  <c r="U112" i="10"/>
  <c r="Q102" i="10"/>
  <c r="R102" i="10" s="1"/>
  <c r="U102" i="10"/>
  <c r="U92" i="10"/>
  <c r="Q92" i="10"/>
  <c r="R92" i="10" s="1"/>
  <c r="X125" i="10"/>
  <c r="Y125" i="10" s="1"/>
  <c r="E66" i="10" s="1"/>
  <c r="X91" i="10"/>
  <c r="Y91" i="10" s="1"/>
  <c r="E32" i="10" s="1"/>
  <c r="Q108" i="10"/>
  <c r="R108" i="10" s="1"/>
  <c r="U108" i="10"/>
  <c r="U123" i="10"/>
  <c r="Q123" i="10"/>
  <c r="R123" i="10" s="1"/>
  <c r="X88" i="10"/>
  <c r="Y88" i="10" s="1"/>
  <c r="E29" i="10" s="1"/>
  <c r="Q124" i="10"/>
  <c r="R124" i="10" s="1"/>
  <c r="U124" i="10"/>
  <c r="X109" i="10"/>
  <c r="Y109" i="10" s="1"/>
  <c r="E50" i="10" s="1"/>
  <c r="Q98" i="10"/>
  <c r="R98" i="10" s="1"/>
  <c r="U98" i="10"/>
  <c r="Q120" i="10"/>
  <c r="R120" i="10" s="1"/>
  <c r="U120" i="10"/>
  <c r="Q87" i="10"/>
  <c r="R87" i="10" s="1"/>
  <c r="U87" i="10"/>
  <c r="X117" i="10"/>
  <c r="Y117" i="10" s="1"/>
  <c r="E58" i="10" s="1"/>
  <c r="Q114" i="10"/>
  <c r="R114" i="10" s="1"/>
  <c r="U114" i="10"/>
  <c r="Q110" i="10"/>
  <c r="R110" i="10" s="1"/>
  <c r="U110" i="10"/>
  <c r="Q116" i="10"/>
  <c r="R116" i="10" s="1"/>
  <c r="U116" i="10"/>
  <c r="Q89" i="10"/>
  <c r="R89" i="10" s="1"/>
  <c r="U89" i="10"/>
  <c r="F27" i="10"/>
  <c r="X95" i="10"/>
  <c r="Y95" i="10" s="1"/>
  <c r="E36" i="10" s="1"/>
  <c r="X115" i="10"/>
  <c r="Y115" i="10" s="1"/>
  <c r="E56" i="10" s="1"/>
  <c r="Q100" i="10"/>
  <c r="R100" i="10" s="1"/>
  <c r="U100" i="10"/>
  <c r="Q104" i="10"/>
  <c r="R104" i="10" s="1"/>
  <c r="U104" i="10"/>
  <c r="X111" i="10"/>
  <c r="Y111" i="10" s="1"/>
  <c r="E52" i="10" s="1"/>
  <c r="Q94" i="10"/>
  <c r="R94" i="10" s="1"/>
  <c r="U94" i="10"/>
  <c r="U105" i="10"/>
  <c r="Q105" i="10"/>
  <c r="R105" i="10" s="1"/>
  <c r="Q96" i="10"/>
  <c r="R96" i="10" s="1"/>
  <c r="U96" i="10"/>
  <c r="Q128" i="10"/>
  <c r="R128" i="10" s="1"/>
  <c r="U128" i="10"/>
  <c r="Q118" i="10"/>
  <c r="R118" i="10" s="1"/>
  <c r="U118" i="10"/>
  <c r="Q106" i="10"/>
  <c r="R106" i="10" s="1"/>
  <c r="U106" i="10"/>
  <c r="X129" i="10"/>
  <c r="Y129" i="10" s="1"/>
  <c r="E70" i="10" s="1"/>
  <c r="X121" i="10"/>
  <c r="Y121" i="10" s="1"/>
  <c r="E62" i="10" s="1"/>
  <c r="X90" i="10"/>
  <c r="Y90" i="10" s="1"/>
  <c r="E31" i="10" s="1"/>
  <c r="Q92" i="3"/>
  <c r="Q114" i="3"/>
  <c r="Q110" i="3"/>
  <c r="Q83" i="3"/>
  <c r="Q90" i="3"/>
  <c r="Q91" i="3"/>
  <c r="Q106" i="3"/>
  <c r="Q109" i="3"/>
  <c r="Q94" i="3"/>
  <c r="Q95" i="3"/>
  <c r="Q93" i="3"/>
  <c r="Q89" i="3"/>
  <c r="Q121" i="3"/>
  <c r="Q124" i="3"/>
  <c r="Q102" i="3"/>
  <c r="Q119" i="3"/>
  <c r="Q86" i="3"/>
  <c r="Q105" i="3"/>
  <c r="Q108" i="3"/>
  <c r="Q117" i="3"/>
  <c r="Q84" i="3"/>
  <c r="Q101" i="3"/>
  <c r="Q122" i="3"/>
  <c r="Q88" i="3"/>
  <c r="Q100" i="3"/>
  <c r="Q118" i="3"/>
  <c r="Q113" i="3"/>
  <c r="Q85" i="3"/>
  <c r="Q103" i="3"/>
  <c r="Q99" i="3"/>
  <c r="Q82" i="3"/>
  <c r="Q80" i="3"/>
  <c r="Q112" i="3"/>
  <c r="Q120" i="3"/>
  <c r="Q116" i="3"/>
  <c r="Q98" i="3"/>
  <c r="Q111" i="3"/>
  <c r="Q97" i="3"/>
  <c r="Q96" i="3"/>
  <c r="Q87" i="3"/>
  <c r="Q104" i="3"/>
  <c r="Q107" i="3"/>
  <c r="Q123" i="3"/>
  <c r="Q115" i="3"/>
  <c r="R18" i="14" l="1"/>
  <c r="BE161" i="51"/>
  <c r="BE181" i="51"/>
  <c r="C50" i="28"/>
  <c r="C68" i="15"/>
  <c r="BE149" i="51"/>
  <c r="N5" i="47"/>
  <c r="N12" i="47" s="1"/>
  <c r="BE148" i="51"/>
  <c r="BE150" i="41"/>
  <c r="O5" i="45"/>
  <c r="F72" i="15"/>
  <c r="C62" i="32"/>
  <c r="C36" i="34"/>
  <c r="C54" i="31"/>
  <c r="C61" i="37"/>
  <c r="C40" i="23"/>
  <c r="C29" i="32"/>
  <c r="C43" i="32"/>
  <c r="C54" i="38"/>
  <c r="C71" i="20"/>
  <c r="F30" i="15"/>
  <c r="C50" i="22"/>
  <c r="C48" i="30"/>
  <c r="BE175" i="51"/>
  <c r="BA142" i="46"/>
  <c r="N5" i="42"/>
  <c r="N12" i="42" s="1"/>
  <c r="BA166" i="45"/>
  <c r="BE179" i="51"/>
  <c r="R29" i="14"/>
  <c r="BE141" i="47"/>
  <c r="BE169" i="51"/>
  <c r="BA141" i="47"/>
  <c r="BE180" i="46"/>
  <c r="BE148" i="50"/>
  <c r="BE146" i="50"/>
  <c r="R40" i="14"/>
  <c r="K7" i="14"/>
  <c r="BE150" i="51"/>
  <c r="M25" i="14"/>
  <c r="M36" i="14"/>
  <c r="BA178" i="46"/>
  <c r="BE170" i="50"/>
  <c r="BE138" i="41"/>
  <c r="F38" i="15"/>
  <c r="C67" i="15"/>
  <c r="G61" i="15"/>
  <c r="O31" i="11"/>
  <c r="C34" i="20"/>
  <c r="C46" i="23"/>
  <c r="C52" i="26"/>
  <c r="C64" i="23"/>
  <c r="C35" i="33"/>
  <c r="C37" i="30"/>
  <c r="C41" i="28"/>
  <c r="C47" i="21"/>
  <c r="C40" i="24"/>
  <c r="C56" i="21"/>
  <c r="C63" i="26"/>
  <c r="C62" i="22"/>
  <c r="C33" i="16"/>
  <c r="F70" i="15"/>
  <c r="F62" i="15"/>
  <c r="G30" i="15"/>
  <c r="G38" i="15"/>
  <c r="F47" i="15"/>
  <c r="F63" i="15"/>
  <c r="O63" i="11"/>
  <c r="C42" i="31"/>
  <c r="C44" i="22"/>
  <c r="C60" i="26"/>
  <c r="C63" i="20"/>
  <c r="C32" i="28"/>
  <c r="C60" i="33"/>
  <c r="C33" i="32"/>
  <c r="C67" i="24"/>
  <c r="C58" i="16"/>
  <c r="C49" i="18"/>
  <c r="C58" i="25"/>
  <c r="C31" i="24"/>
  <c r="C37" i="28"/>
  <c r="C52" i="22"/>
  <c r="C29" i="24"/>
  <c r="C53" i="28"/>
  <c r="T23" i="14"/>
  <c r="N5" i="46"/>
  <c r="N12" i="46" s="1"/>
  <c r="BE164" i="51"/>
  <c r="BE160" i="51"/>
  <c r="BA174" i="42"/>
  <c r="BA156" i="42"/>
  <c r="BE178" i="46"/>
  <c r="BA167" i="42"/>
  <c r="AE21" i="14"/>
  <c r="BE165" i="51"/>
  <c r="BE165" i="45"/>
  <c r="BE157" i="51"/>
  <c r="G70" i="15"/>
  <c r="F40" i="15"/>
  <c r="G46" i="15"/>
  <c r="F37" i="15"/>
  <c r="C59" i="15"/>
  <c r="C28" i="23"/>
  <c r="C36" i="37"/>
  <c r="C38" i="27"/>
  <c r="C40" i="17"/>
  <c r="C48" i="31"/>
  <c r="C56" i="30"/>
  <c r="C72" i="32"/>
  <c r="C29" i="20"/>
  <c r="C37" i="23"/>
  <c r="C44" i="21"/>
  <c r="C27" i="38"/>
  <c r="C31" i="27"/>
  <c r="C37" i="22"/>
  <c r="C67" i="32"/>
  <c r="C32" i="19"/>
  <c r="C29" i="34"/>
  <c r="C31" i="25"/>
  <c r="C29" i="25"/>
  <c r="C31" i="17"/>
  <c r="C33" i="30"/>
  <c r="C35" i="22"/>
  <c r="C43" i="16"/>
  <c r="C47" i="17"/>
  <c r="C46" i="16"/>
  <c r="AB79" i="3"/>
  <c r="M134" i="3" s="1"/>
  <c r="AI134" i="3" s="1"/>
  <c r="AM134" i="3" s="1"/>
  <c r="AV134" i="3" s="1"/>
  <c r="R11" i="14"/>
  <c r="BA160" i="46"/>
  <c r="BE177" i="51"/>
  <c r="BE171" i="51"/>
  <c r="BE156" i="51"/>
  <c r="BE145" i="51"/>
  <c r="G32" i="15"/>
  <c r="C31" i="20"/>
  <c r="C53" i="25"/>
  <c r="C50" i="24"/>
  <c r="C51" i="23"/>
  <c r="BA147" i="42"/>
  <c r="M16" i="14"/>
  <c r="BE147" i="46"/>
  <c r="BA147" i="46"/>
  <c r="R16" i="14"/>
  <c r="BA159" i="41"/>
  <c r="K28" i="14"/>
  <c r="BA168" i="50"/>
  <c r="AE37" i="14"/>
  <c r="T36" i="14"/>
  <c r="BA167" i="47"/>
  <c r="BE159" i="41"/>
  <c r="BE166" i="51"/>
  <c r="BA175" i="41"/>
  <c r="K44" i="14"/>
  <c r="BA142" i="42"/>
  <c r="M11" i="14"/>
  <c r="BA155" i="42"/>
  <c r="M24" i="14"/>
  <c r="BE141" i="51"/>
  <c r="BA141" i="51"/>
  <c r="N5" i="51"/>
  <c r="N12" i="51" s="1"/>
  <c r="P16" i="14"/>
  <c r="BA147" i="45"/>
  <c r="BA148" i="46"/>
  <c r="R17" i="14"/>
  <c r="BE164" i="45"/>
  <c r="K37" i="14"/>
  <c r="BA168" i="41"/>
  <c r="BA139" i="42"/>
  <c r="M8" i="14"/>
  <c r="BE139" i="42"/>
  <c r="M18" i="14"/>
  <c r="BA149" i="42"/>
  <c r="BA157" i="50"/>
  <c r="AE26" i="14"/>
  <c r="T12" i="14"/>
  <c r="BA143" i="47"/>
  <c r="BA161" i="45"/>
  <c r="P30" i="14"/>
  <c r="BA149" i="47"/>
  <c r="T18" i="14"/>
  <c r="BE143" i="47"/>
  <c r="BA173" i="46"/>
  <c r="R42" i="14"/>
  <c r="BE167" i="51"/>
  <c r="BE167" i="47"/>
  <c r="BA153" i="42"/>
  <c r="M22" i="14"/>
  <c r="BE157" i="50"/>
  <c r="BA158" i="41"/>
  <c r="K27" i="14"/>
  <c r="M40" i="14"/>
  <c r="BA171" i="42"/>
  <c r="K25" i="14"/>
  <c r="BA156" i="41"/>
  <c r="BA152" i="41"/>
  <c r="K21" i="14"/>
  <c r="BA149" i="45"/>
  <c r="P18" i="14"/>
  <c r="AE32" i="14"/>
  <c r="BA163" i="50"/>
  <c r="BA162" i="41"/>
  <c r="K31" i="14"/>
  <c r="AE13" i="14"/>
  <c r="BA144" i="50"/>
  <c r="BA144" i="47"/>
  <c r="T13" i="14"/>
  <c r="P20" i="14"/>
  <c r="BA151" i="45"/>
  <c r="P41" i="14"/>
  <c r="BA172" i="45"/>
  <c r="F61" i="15"/>
  <c r="C36" i="15"/>
  <c r="R48" i="14"/>
  <c r="BA179" i="46"/>
  <c r="T48" i="14"/>
  <c r="BA179" i="47"/>
  <c r="BA169" i="50"/>
  <c r="AE38" i="14"/>
  <c r="BA174" i="45"/>
  <c r="P43" i="14"/>
  <c r="K43" i="14"/>
  <c r="BA174" i="41"/>
  <c r="R23" i="14"/>
  <c r="BA154" i="46"/>
  <c r="BE145" i="46"/>
  <c r="BA145" i="46"/>
  <c r="R14" i="14"/>
  <c r="BA147" i="41"/>
  <c r="K16" i="14"/>
  <c r="K17" i="14"/>
  <c r="BA148" i="41"/>
  <c r="T49" i="14"/>
  <c r="BA180" i="47"/>
  <c r="K29" i="14"/>
  <c r="BA160" i="41"/>
  <c r="AE5" i="14"/>
  <c r="BA136" i="50"/>
  <c r="O5" i="50"/>
  <c r="BE147" i="42"/>
  <c r="BE169" i="50"/>
  <c r="BE168" i="50"/>
  <c r="T11" i="14"/>
  <c r="BA142" i="47"/>
  <c r="AE10" i="14"/>
  <c r="BA141" i="50"/>
  <c r="N5" i="50"/>
  <c r="K5" i="14"/>
  <c r="BA136" i="41"/>
  <c r="BA145" i="42"/>
  <c r="M14" i="14"/>
  <c r="BA147" i="47"/>
  <c r="T16" i="14"/>
  <c r="P33" i="14"/>
  <c r="BA164" i="45"/>
  <c r="BA166" i="47"/>
  <c r="T35" i="14"/>
  <c r="R38" i="14"/>
  <c r="BA169" i="46"/>
  <c r="BA139" i="47"/>
  <c r="T8" i="14"/>
  <c r="BE146" i="51"/>
  <c r="BA140" i="45"/>
  <c r="P9" i="14"/>
  <c r="BA150" i="50"/>
  <c r="AE19" i="14"/>
  <c r="BA143" i="42"/>
  <c r="M12" i="14"/>
  <c r="T39" i="14"/>
  <c r="BA170" i="47"/>
  <c r="BA161" i="41"/>
  <c r="K30" i="14"/>
  <c r="K18" i="14"/>
  <c r="BA149" i="41"/>
  <c r="T19" i="14"/>
  <c r="BA150" i="47"/>
  <c r="BE137" i="42"/>
  <c r="M6" i="14"/>
  <c r="BA137" i="42"/>
  <c r="P13" i="14"/>
  <c r="BA144" i="45"/>
  <c r="BE144" i="51"/>
  <c r="BA144" i="51"/>
  <c r="K20" i="14"/>
  <c r="BA151" i="41"/>
  <c r="P15" i="14"/>
  <c r="BA146" i="45"/>
  <c r="BA139" i="46"/>
  <c r="R8" i="14"/>
  <c r="AE27" i="14"/>
  <c r="BA158" i="50"/>
  <c r="P25" i="14"/>
  <c r="BA156" i="45"/>
  <c r="BE161" i="45"/>
  <c r="BE153" i="51"/>
  <c r="M27" i="14"/>
  <c r="BA158" i="42"/>
  <c r="BA171" i="50"/>
  <c r="AE40" i="14"/>
  <c r="P39" i="14"/>
  <c r="BA170" i="45"/>
  <c r="BA156" i="50"/>
  <c r="AE25" i="14"/>
  <c r="R30" i="14"/>
  <c r="BA161" i="46"/>
  <c r="BA178" i="41"/>
  <c r="K47" i="14"/>
  <c r="BA150" i="46"/>
  <c r="R19" i="14"/>
  <c r="P26" i="14"/>
  <c r="BA157" i="45"/>
  <c r="AE41" i="14"/>
  <c r="BA172" i="50"/>
  <c r="F44" i="15"/>
  <c r="C50" i="26"/>
  <c r="C52" i="18"/>
  <c r="C29" i="19"/>
  <c r="C52" i="16"/>
  <c r="C50" i="32"/>
  <c r="BE155" i="45"/>
  <c r="AE48" i="14"/>
  <c r="BA179" i="50"/>
  <c r="BE174" i="45"/>
  <c r="BE154" i="46"/>
  <c r="BA177" i="50"/>
  <c r="AE46" i="14"/>
  <c r="T14" i="14"/>
  <c r="BA145" i="47"/>
  <c r="K15" i="14"/>
  <c r="BA146" i="41"/>
  <c r="BA167" i="50"/>
  <c r="AE36" i="14"/>
  <c r="BA175" i="46"/>
  <c r="R44" i="14"/>
  <c r="BE174" i="51"/>
  <c r="BE177" i="50"/>
  <c r="BE136" i="50"/>
  <c r="T37" i="14"/>
  <c r="BA168" i="47"/>
  <c r="BA174" i="46"/>
  <c r="R43" i="14"/>
  <c r="BA141" i="45"/>
  <c r="P10" i="14"/>
  <c r="N5" i="45"/>
  <c r="M46" i="14"/>
  <c r="BA177" i="42"/>
  <c r="R5" i="14"/>
  <c r="BA136" i="46"/>
  <c r="O5" i="46"/>
  <c r="O12" i="46" s="1"/>
  <c r="BE136" i="41"/>
  <c r="K14" i="14"/>
  <c r="BA145" i="41"/>
  <c r="BA179" i="41"/>
  <c r="K48" i="14"/>
  <c r="BE168" i="47"/>
  <c r="BA170" i="46"/>
  <c r="R39" i="14"/>
  <c r="M21" i="14"/>
  <c r="BA152" i="42"/>
  <c r="K22" i="14"/>
  <c r="BA153" i="41"/>
  <c r="BA151" i="50"/>
  <c r="AE20" i="14"/>
  <c r="AE12" i="14"/>
  <c r="BA143" i="50"/>
  <c r="K8" i="14"/>
  <c r="BA139" i="41"/>
  <c r="R21" i="14"/>
  <c r="BA152" i="46"/>
  <c r="BE153" i="46"/>
  <c r="BA153" i="46"/>
  <c r="R22" i="14"/>
  <c r="BA137" i="50"/>
  <c r="AE6" i="14"/>
  <c r="T6" i="14"/>
  <c r="BA137" i="47"/>
  <c r="O5" i="41"/>
  <c r="O12" i="41" s="1"/>
  <c r="BA144" i="41"/>
  <c r="K13" i="14"/>
  <c r="BE143" i="50"/>
  <c r="BE146" i="45"/>
  <c r="BA146" i="42"/>
  <c r="M15" i="14"/>
  <c r="BE139" i="47"/>
  <c r="BE158" i="50"/>
  <c r="BE149" i="47"/>
  <c r="BE150" i="47"/>
  <c r="BE144" i="45"/>
  <c r="BE144" i="41"/>
  <c r="R27" i="14"/>
  <c r="BA158" i="46"/>
  <c r="BA170" i="42"/>
  <c r="M39" i="14"/>
  <c r="T25" i="14"/>
  <c r="BA156" i="47"/>
  <c r="BA161" i="42"/>
  <c r="M30" i="14"/>
  <c r="T22" i="14"/>
  <c r="BA153" i="47"/>
  <c r="AE9" i="14"/>
  <c r="BA140" i="50"/>
  <c r="K9" i="14"/>
  <c r="BA140" i="41"/>
  <c r="M19" i="14"/>
  <c r="BA150" i="42"/>
  <c r="P32" i="14"/>
  <c r="BA163" i="45"/>
  <c r="P31" i="14"/>
  <c r="BA162" i="45"/>
  <c r="P6" i="14"/>
  <c r="BA137" i="45"/>
  <c r="R20" i="14"/>
  <c r="BA151" i="46"/>
  <c r="P12" i="14"/>
  <c r="BA143" i="45"/>
  <c r="P24" i="14"/>
  <c r="BA155" i="45"/>
  <c r="BA136" i="42"/>
  <c r="M5" i="14"/>
  <c r="O5" i="42"/>
  <c r="O12" i="42" s="1"/>
  <c r="BA174" i="47"/>
  <c r="T43" i="14"/>
  <c r="AE23" i="14"/>
  <c r="BA154" i="50"/>
  <c r="BA177" i="46"/>
  <c r="R46" i="14"/>
  <c r="BA136" i="51"/>
  <c r="O5" i="51"/>
  <c r="O12" i="51" s="1"/>
  <c r="BE145" i="47"/>
  <c r="BA180" i="50"/>
  <c r="AE49" i="14"/>
  <c r="K42" i="14"/>
  <c r="BA173" i="41"/>
  <c r="BE175" i="46"/>
  <c r="BE177" i="46"/>
  <c r="BE136" i="42"/>
  <c r="BE179" i="50"/>
  <c r="BE180" i="50"/>
  <c r="BA168" i="46"/>
  <c r="R37" i="14"/>
  <c r="P11" i="14"/>
  <c r="BA142" i="45"/>
  <c r="BA141" i="41"/>
  <c r="N5" i="41"/>
  <c r="N12" i="41" s="1"/>
  <c r="K10" i="14"/>
  <c r="T5" i="14"/>
  <c r="BA136" i="47"/>
  <c r="O5" i="47"/>
  <c r="O12" i="47" s="1"/>
  <c r="P14" i="14"/>
  <c r="BA145" i="45"/>
  <c r="BA148" i="42"/>
  <c r="M17" i="14"/>
  <c r="R33" i="14"/>
  <c r="BA164" i="46"/>
  <c r="BA160" i="50"/>
  <c r="AE29" i="14"/>
  <c r="T15" i="14"/>
  <c r="BA146" i="47"/>
  <c r="BA139" i="50"/>
  <c r="AE8" i="14"/>
  <c r="BE168" i="41"/>
  <c r="BE173" i="41"/>
  <c r="BE167" i="50"/>
  <c r="BE170" i="46"/>
  <c r="BE138" i="45"/>
  <c r="BA138" i="45"/>
  <c r="P7" i="14"/>
  <c r="BA151" i="47"/>
  <c r="T20" i="14"/>
  <c r="BE143" i="42"/>
  <c r="K41" i="14"/>
  <c r="BA172" i="41"/>
  <c r="BA152" i="47"/>
  <c r="T21" i="14"/>
  <c r="BA161" i="50"/>
  <c r="AE30" i="14"/>
  <c r="R7" i="14"/>
  <c r="BA138" i="46"/>
  <c r="BE172" i="42"/>
  <c r="M41" i="14"/>
  <c r="BA172" i="42"/>
  <c r="BE173" i="51"/>
  <c r="BE146" i="41"/>
  <c r="BE170" i="51"/>
  <c r="BE170" i="47"/>
  <c r="BE156" i="45"/>
  <c r="BE138" i="46"/>
  <c r="BE149" i="42"/>
  <c r="BE178" i="51"/>
  <c r="BE150" i="50"/>
  <c r="BE151" i="47"/>
  <c r="T30" i="14"/>
  <c r="BA161" i="47"/>
  <c r="BA165" i="41"/>
  <c r="K34" i="14"/>
  <c r="BA138" i="47"/>
  <c r="T7" i="14"/>
  <c r="BA140" i="42"/>
  <c r="M9" i="14"/>
  <c r="M31" i="14"/>
  <c r="BA162" i="42"/>
  <c r="M26" i="14"/>
  <c r="BA157" i="42"/>
  <c r="BA137" i="41"/>
  <c r="K6" i="14"/>
  <c r="BA144" i="42"/>
  <c r="M13" i="14"/>
  <c r="BA151" i="42"/>
  <c r="M20" i="14"/>
  <c r="BA143" i="46"/>
  <c r="R12" i="14"/>
  <c r="C50" i="34"/>
  <c r="C58" i="27"/>
  <c r="C63" i="33"/>
  <c r="C44" i="19"/>
  <c r="C37" i="20"/>
  <c r="C39" i="37"/>
  <c r="C43" i="24"/>
  <c r="C35" i="15"/>
  <c r="C56" i="32"/>
  <c r="C31" i="30"/>
  <c r="C53" i="20"/>
  <c r="C57" i="33"/>
  <c r="C53" i="37"/>
  <c r="G54" i="15"/>
  <c r="C44" i="15"/>
  <c r="C28" i="31"/>
  <c r="C34" i="38"/>
  <c r="C34" i="28"/>
  <c r="C38" i="16"/>
  <c r="C42" i="23"/>
  <c r="C46" i="31"/>
  <c r="C48" i="22"/>
  <c r="C58" i="28"/>
  <c r="C29" i="38"/>
  <c r="C31" i="37"/>
  <c r="C33" i="18"/>
  <c r="C39" i="22"/>
  <c r="C49" i="20"/>
  <c r="C53" i="33"/>
  <c r="C69" i="16"/>
  <c r="C42" i="30"/>
  <c r="C42" i="22"/>
  <c r="C62" i="23"/>
  <c r="C72" i="24"/>
  <c r="C61" i="19"/>
  <c r="C33" i="33"/>
  <c r="C35" i="23"/>
  <c r="C43" i="33"/>
  <c r="C47" i="20"/>
  <c r="C52" i="23"/>
  <c r="C54" i="21"/>
  <c r="C62" i="29"/>
  <c r="C47" i="27"/>
  <c r="C56" i="34"/>
  <c r="C49" i="17"/>
  <c r="C53" i="19"/>
  <c r="C55" i="17"/>
  <c r="R26" i="30"/>
  <c r="Q26" i="30"/>
  <c r="P30" i="11"/>
  <c r="O30" i="11"/>
  <c r="C58" i="38"/>
  <c r="C70" i="37"/>
  <c r="C41" i="20"/>
  <c r="C40" i="32"/>
  <c r="C56" i="29"/>
  <c r="C58" i="19"/>
  <c r="C27" i="19"/>
  <c r="C29" i="27"/>
  <c r="C51" i="34"/>
  <c r="C34" i="27"/>
  <c r="C38" i="17"/>
  <c r="C40" i="31"/>
  <c r="C62" i="30"/>
  <c r="C70" i="25"/>
  <c r="C29" i="18"/>
  <c r="C47" i="37"/>
  <c r="C49" i="26"/>
  <c r="C29" i="17"/>
  <c r="C31" i="33"/>
  <c r="C71" i="28"/>
  <c r="C30" i="16"/>
  <c r="C52" i="31"/>
  <c r="C58" i="33"/>
  <c r="C47" i="33"/>
  <c r="C53" i="29"/>
  <c r="C55" i="19"/>
  <c r="C47" i="32"/>
  <c r="C51" i="22"/>
  <c r="C53" i="38"/>
  <c r="G219" i="3"/>
  <c r="G233" i="3"/>
  <c r="G220" i="3"/>
  <c r="G223" i="3"/>
  <c r="G222" i="3"/>
  <c r="G218" i="3"/>
  <c r="G205" i="3"/>
  <c r="AD82" i="3"/>
  <c r="E196" i="3" s="1"/>
  <c r="O196" i="3" s="1"/>
  <c r="AD79" i="3"/>
  <c r="E193" i="3" s="1"/>
  <c r="O193" i="3" s="1"/>
  <c r="AC82" i="3"/>
  <c r="Z89" i="3"/>
  <c r="AB89" i="3" s="1"/>
  <c r="M144" i="3" s="1"/>
  <c r="Z124" i="3"/>
  <c r="AA124" i="3" s="1"/>
  <c r="E179" i="3" s="1"/>
  <c r="Z86" i="3"/>
  <c r="AA86" i="3" s="1"/>
  <c r="Z117" i="3"/>
  <c r="AA117" i="3" s="1"/>
  <c r="AC109" i="3"/>
  <c r="Z101" i="3"/>
  <c r="AB101" i="3" s="1"/>
  <c r="M156" i="3" s="1"/>
  <c r="Z93" i="3"/>
  <c r="AA93" i="3" s="1"/>
  <c r="Z100" i="3"/>
  <c r="AB100" i="3" s="1"/>
  <c r="M155" i="3" s="1"/>
  <c r="Z90" i="3"/>
  <c r="AA90" i="3" s="1"/>
  <c r="E145" i="3" s="1"/>
  <c r="Z122" i="3"/>
  <c r="AA122" i="3" s="1"/>
  <c r="E177" i="3" s="1"/>
  <c r="Z112" i="3"/>
  <c r="AA112" i="3" s="1"/>
  <c r="E167" i="3" s="1"/>
  <c r="Z96" i="3"/>
  <c r="AB96" i="3" s="1"/>
  <c r="M151" i="3" s="1"/>
  <c r="AI151" i="3" s="1"/>
  <c r="AM151" i="3" s="1"/>
  <c r="AV151" i="3" s="1"/>
  <c r="Z80" i="3"/>
  <c r="Z95" i="3"/>
  <c r="AB95" i="3" s="1"/>
  <c r="M150" i="3" s="1"/>
  <c r="Z99" i="3"/>
  <c r="AA99" i="3" s="1"/>
  <c r="Z84" i="3"/>
  <c r="AB84" i="3" s="1"/>
  <c r="M139" i="3" s="1"/>
  <c r="Z94" i="3"/>
  <c r="Z118" i="3"/>
  <c r="AB118" i="3" s="1"/>
  <c r="M173" i="3" s="1"/>
  <c r="Z87" i="3"/>
  <c r="AA87" i="3" s="1"/>
  <c r="Z111" i="3"/>
  <c r="AA111" i="3" s="1"/>
  <c r="E166" i="3" s="1"/>
  <c r="Z107" i="3"/>
  <c r="AB107" i="3" s="1"/>
  <c r="M162" i="3" s="1"/>
  <c r="AI162" i="3" s="1"/>
  <c r="AM162" i="3" s="1"/>
  <c r="AV162" i="3" s="1"/>
  <c r="Z81" i="3"/>
  <c r="Z102" i="3"/>
  <c r="AB102" i="3" s="1"/>
  <c r="M157" i="3" s="1"/>
  <c r="AC108" i="3"/>
  <c r="Z121" i="3"/>
  <c r="Z113" i="3"/>
  <c r="AB113" i="3" s="1"/>
  <c r="M168" i="3" s="1"/>
  <c r="AC105" i="3"/>
  <c r="Z97" i="3"/>
  <c r="AA97" i="3" s="1"/>
  <c r="E152" i="3" s="1"/>
  <c r="Z116" i="3"/>
  <c r="Z114" i="3"/>
  <c r="AB114" i="3" s="1"/>
  <c r="M169" i="3" s="1"/>
  <c r="Z98" i="3"/>
  <c r="AB98" i="3" s="1"/>
  <c r="M153" i="3" s="1"/>
  <c r="Z120" i="3"/>
  <c r="AA120" i="3" s="1"/>
  <c r="E175" i="3" s="1"/>
  <c r="AC104" i="3"/>
  <c r="Z88" i="3"/>
  <c r="AD88" i="3" s="1"/>
  <c r="E202" i="3" s="1"/>
  <c r="O202" i="3" s="1"/>
  <c r="Z103" i="3"/>
  <c r="AD103" i="3" s="1"/>
  <c r="E217" i="3" s="1"/>
  <c r="O217" i="3" s="1"/>
  <c r="Z83" i="3"/>
  <c r="AC83" i="3" s="1"/>
  <c r="Z115" i="3"/>
  <c r="AD115" i="3" s="1"/>
  <c r="E229" i="3" s="1"/>
  <c r="O229" i="3" s="1"/>
  <c r="Z110" i="3"/>
  <c r="AD110" i="3" s="1"/>
  <c r="E224" i="3" s="1"/>
  <c r="O224" i="3" s="1"/>
  <c r="Z92" i="3"/>
  <c r="AD92" i="3" s="1"/>
  <c r="E206" i="3" s="1"/>
  <c r="O206" i="3" s="1"/>
  <c r="Z85" i="3"/>
  <c r="AD85" i="3" s="1"/>
  <c r="E199" i="3" s="1"/>
  <c r="O199" i="3" s="1"/>
  <c r="AC106" i="3"/>
  <c r="AC119" i="3"/>
  <c r="AC91" i="3"/>
  <c r="Z123" i="3"/>
  <c r="AA123" i="3" s="1"/>
  <c r="E178" i="3" s="1"/>
  <c r="AA105" i="3"/>
  <c r="AA119" i="3"/>
  <c r="AA106" i="3"/>
  <c r="AB117" i="3"/>
  <c r="M172" i="3" s="1"/>
  <c r="AI172" i="3" s="1"/>
  <c r="AM172" i="3" s="1"/>
  <c r="AV172" i="3" s="1"/>
  <c r="AA96" i="3"/>
  <c r="E151" i="3" s="1"/>
  <c r="AB108" i="3"/>
  <c r="M163" i="3" s="1"/>
  <c r="AA91" i="3"/>
  <c r="AA116" i="3"/>
  <c r="E171" i="3" s="1"/>
  <c r="AA80" i="3"/>
  <c r="R81" i="3"/>
  <c r="R123" i="3"/>
  <c r="S123" i="3"/>
  <c r="T123" i="3" s="1"/>
  <c r="R104" i="3"/>
  <c r="S104" i="3"/>
  <c r="T104" i="3" s="1"/>
  <c r="R96" i="3"/>
  <c r="S96" i="3"/>
  <c r="T96" i="3" s="1"/>
  <c r="R111" i="3"/>
  <c r="S111" i="3"/>
  <c r="T111" i="3" s="1"/>
  <c r="R98" i="3"/>
  <c r="S98" i="3"/>
  <c r="T98" i="3" s="1"/>
  <c r="R120" i="3"/>
  <c r="S120" i="3"/>
  <c r="T120" i="3" s="1"/>
  <c r="R80" i="3"/>
  <c r="S80" i="3"/>
  <c r="T80" i="3" s="1"/>
  <c r="R99" i="3"/>
  <c r="S99" i="3"/>
  <c r="T99" i="3" s="1"/>
  <c r="R85" i="3"/>
  <c r="S85" i="3"/>
  <c r="T85" i="3" s="1"/>
  <c r="R118" i="3"/>
  <c r="S118" i="3"/>
  <c r="T118" i="3" s="1"/>
  <c r="R88" i="3"/>
  <c r="S88" i="3"/>
  <c r="T88" i="3" s="1"/>
  <c r="R101" i="3"/>
  <c r="S101" i="3"/>
  <c r="T101" i="3" s="1"/>
  <c r="R117" i="3"/>
  <c r="S117" i="3"/>
  <c r="T117" i="3" s="1"/>
  <c r="R105" i="3"/>
  <c r="S105" i="3"/>
  <c r="T105" i="3" s="1"/>
  <c r="R119" i="3"/>
  <c r="S119" i="3"/>
  <c r="T119" i="3" s="1"/>
  <c r="R124" i="3"/>
  <c r="S124" i="3"/>
  <c r="T124" i="3" s="1"/>
  <c r="R89" i="3"/>
  <c r="S89" i="3"/>
  <c r="T89" i="3" s="1"/>
  <c r="R95" i="3"/>
  <c r="S95" i="3"/>
  <c r="T95" i="3" s="1"/>
  <c r="R109" i="3"/>
  <c r="S109" i="3"/>
  <c r="T109" i="3" s="1"/>
  <c r="R91" i="3"/>
  <c r="S91" i="3"/>
  <c r="T91" i="3" s="1"/>
  <c r="R83" i="3"/>
  <c r="S83" i="3"/>
  <c r="T83" i="3" s="1"/>
  <c r="R114" i="3"/>
  <c r="S114" i="3"/>
  <c r="T114" i="3" s="1"/>
  <c r="R115" i="3"/>
  <c r="S115" i="3"/>
  <c r="T115" i="3" s="1"/>
  <c r="R107" i="3"/>
  <c r="S107" i="3"/>
  <c r="T107" i="3" s="1"/>
  <c r="R87" i="3"/>
  <c r="S87" i="3"/>
  <c r="T87" i="3" s="1"/>
  <c r="R97" i="3"/>
  <c r="S97" i="3"/>
  <c r="T97" i="3" s="1"/>
  <c r="R116" i="3"/>
  <c r="S116" i="3"/>
  <c r="T116" i="3" s="1"/>
  <c r="R112" i="3"/>
  <c r="S112" i="3"/>
  <c r="T112" i="3" s="1"/>
  <c r="R82" i="3"/>
  <c r="S82" i="3"/>
  <c r="T82" i="3" s="1"/>
  <c r="R103" i="3"/>
  <c r="S103" i="3"/>
  <c r="T103" i="3" s="1"/>
  <c r="R113" i="3"/>
  <c r="S113" i="3"/>
  <c r="T113" i="3" s="1"/>
  <c r="R100" i="3"/>
  <c r="S100" i="3"/>
  <c r="T100" i="3" s="1"/>
  <c r="R122" i="3"/>
  <c r="S122" i="3"/>
  <c r="T122" i="3" s="1"/>
  <c r="R84" i="3"/>
  <c r="S84" i="3"/>
  <c r="T84" i="3" s="1"/>
  <c r="R108" i="3"/>
  <c r="S108" i="3"/>
  <c r="T108" i="3" s="1"/>
  <c r="R86" i="3"/>
  <c r="S86" i="3"/>
  <c r="T86" i="3" s="1"/>
  <c r="R102" i="3"/>
  <c r="S102" i="3"/>
  <c r="T102" i="3" s="1"/>
  <c r="R121" i="3"/>
  <c r="S121" i="3"/>
  <c r="T121" i="3" s="1"/>
  <c r="R93" i="3"/>
  <c r="S93" i="3"/>
  <c r="T93" i="3" s="1"/>
  <c r="R94" i="3"/>
  <c r="S94" i="3"/>
  <c r="T94" i="3" s="1"/>
  <c r="R106" i="3"/>
  <c r="S106" i="3"/>
  <c r="T106" i="3" s="1"/>
  <c r="R90" i="3"/>
  <c r="S90" i="3"/>
  <c r="T90" i="3" s="1"/>
  <c r="R110" i="3"/>
  <c r="S110" i="3"/>
  <c r="T110" i="3" s="1"/>
  <c r="R92" i="3"/>
  <c r="S92" i="3"/>
  <c r="T92" i="3" s="1"/>
  <c r="Z78" i="3"/>
  <c r="AD78" i="3" s="1"/>
  <c r="E192" i="3" s="1"/>
  <c r="S78" i="3"/>
  <c r="T78" i="3" s="1"/>
  <c r="R79" i="3"/>
  <c r="S79" i="3"/>
  <c r="T79" i="3" s="1"/>
  <c r="E135" i="3"/>
  <c r="V135" i="3" s="1"/>
  <c r="O134" i="3"/>
  <c r="C36" i="18"/>
  <c r="AB82" i="3"/>
  <c r="M137" i="3" s="1"/>
  <c r="AI137" i="3" s="1"/>
  <c r="AM137" i="3" s="1"/>
  <c r="AV137" i="3" s="1"/>
  <c r="AB106" i="3"/>
  <c r="M161" i="3" s="1"/>
  <c r="AI161" i="3" s="1"/>
  <c r="AM161" i="3" s="1"/>
  <c r="AV161" i="3" s="1"/>
  <c r="AB119" i="3"/>
  <c r="M174" i="3" s="1"/>
  <c r="AI174" i="3" s="1"/>
  <c r="AM174" i="3" s="1"/>
  <c r="AV174" i="3" s="1"/>
  <c r="J27" i="10"/>
  <c r="AB112" i="3"/>
  <c r="M167" i="3" s="1"/>
  <c r="AI167" i="3" s="1"/>
  <c r="AM167" i="3" s="1"/>
  <c r="AV167" i="3" s="1"/>
  <c r="C138" i="14"/>
  <c r="AB87" i="3"/>
  <c r="M142" i="3" s="1"/>
  <c r="AB99" i="3"/>
  <c r="M154" i="3" s="1"/>
  <c r="AB94" i="3"/>
  <c r="M149" i="3" s="1"/>
  <c r="AB124" i="3"/>
  <c r="M179" i="3" s="1"/>
  <c r="AI179" i="3" s="1"/>
  <c r="AM179" i="3" s="1"/>
  <c r="AV179" i="3" s="1"/>
  <c r="AB116" i="3"/>
  <c r="M171" i="3" s="1"/>
  <c r="AI171" i="3" s="1"/>
  <c r="AM171" i="3" s="1"/>
  <c r="AV171" i="3" s="1"/>
  <c r="AB109" i="3"/>
  <c r="M164" i="3" s="1"/>
  <c r="AB90" i="3"/>
  <c r="M145" i="3" s="1"/>
  <c r="AI145" i="3" s="1"/>
  <c r="AM145" i="3" s="1"/>
  <c r="AV145" i="3" s="1"/>
  <c r="AB121" i="3"/>
  <c r="M176" i="3" s="1"/>
  <c r="AB81" i="3"/>
  <c r="M136" i="3" s="1"/>
  <c r="AI136" i="3" s="1"/>
  <c r="AM136" i="3" s="1"/>
  <c r="AV136" i="3" s="1"/>
  <c r="AB91" i="3"/>
  <c r="M146" i="3" s="1"/>
  <c r="AI146" i="3" s="1"/>
  <c r="AM146" i="3" s="1"/>
  <c r="AV146" i="3" s="1"/>
  <c r="AA114" i="3"/>
  <c r="AB104" i="3"/>
  <c r="M159" i="3" s="1"/>
  <c r="AB105" i="3"/>
  <c r="C52" i="29"/>
  <c r="C139" i="14"/>
  <c r="E161" i="3"/>
  <c r="AA121" i="3"/>
  <c r="E160" i="3"/>
  <c r="E137" i="3"/>
  <c r="AA104" i="3"/>
  <c r="E146" i="3"/>
  <c r="E174" i="3"/>
  <c r="AA113" i="3"/>
  <c r="AA95" i="3"/>
  <c r="AA109" i="3"/>
  <c r="AA89" i="3"/>
  <c r="AA118" i="3"/>
  <c r="AA98" i="3"/>
  <c r="AA108" i="3"/>
  <c r="AA94" i="3"/>
  <c r="AA101" i="3"/>
  <c r="R78" i="3"/>
  <c r="F43" i="15"/>
  <c r="C50" i="38"/>
  <c r="C52" i="34"/>
  <c r="C38" i="33"/>
  <c r="C49" i="27"/>
  <c r="C34" i="16"/>
  <c r="C48" i="20"/>
  <c r="C50" i="16"/>
  <c r="C54" i="22"/>
  <c r="C60" i="24"/>
  <c r="C27" i="20"/>
  <c r="C51" i="31"/>
  <c r="G43" i="15"/>
  <c r="C60" i="34"/>
  <c r="C68" i="29"/>
  <c r="C44" i="29"/>
  <c r="C43" i="34"/>
  <c r="C39" i="26"/>
  <c r="C56" i="26"/>
  <c r="C51" i="29"/>
  <c r="C53" i="27"/>
  <c r="C42" i="15"/>
  <c r="C32" i="20"/>
  <c r="C53" i="24"/>
  <c r="C39" i="38"/>
  <c r="C66" i="37"/>
  <c r="C33" i="23"/>
  <c r="C54" i="20"/>
  <c r="C49" i="24"/>
  <c r="C54" i="37"/>
  <c r="C64" i="22"/>
  <c r="C51" i="17"/>
  <c r="C65" i="24"/>
  <c r="C51" i="24"/>
  <c r="C70" i="19"/>
  <c r="C68" i="38"/>
  <c r="C47" i="38"/>
  <c r="C49" i="37"/>
  <c r="C69" i="30"/>
  <c r="C66" i="28"/>
  <c r="C54" i="34"/>
  <c r="F33" i="15"/>
  <c r="C61" i="28"/>
  <c r="C38" i="32"/>
  <c r="C64" i="29"/>
  <c r="C68" i="27"/>
  <c r="F32" i="15"/>
  <c r="F51" i="15"/>
  <c r="C44" i="31"/>
  <c r="C30" i="29"/>
  <c r="C52" i="25"/>
  <c r="C29" i="33"/>
  <c r="R37" i="30"/>
  <c r="F37" i="30"/>
  <c r="G37" i="30"/>
  <c r="Q37" i="30"/>
  <c r="F28" i="31"/>
  <c r="Q28" i="31"/>
  <c r="G28" i="31"/>
  <c r="R28" i="31"/>
  <c r="G36" i="37"/>
  <c r="P36" i="37"/>
  <c r="F36" i="37"/>
  <c r="P42" i="15"/>
  <c r="F42" i="15"/>
  <c r="G42" i="15"/>
  <c r="F47" i="31"/>
  <c r="Q46" i="31"/>
  <c r="G46" i="31"/>
  <c r="F46" i="31"/>
  <c r="R46" i="31"/>
  <c r="R56" i="30"/>
  <c r="Q56" i="30"/>
  <c r="G56" i="30"/>
  <c r="F56" i="30"/>
  <c r="G70" i="19"/>
  <c r="F70" i="19"/>
  <c r="O70" i="19"/>
  <c r="X70" i="19" s="1"/>
  <c r="C32" i="26"/>
  <c r="C31" i="26"/>
  <c r="P43" i="26"/>
  <c r="F43" i="26"/>
  <c r="G43" i="26"/>
  <c r="G53" i="33"/>
  <c r="F53" i="33"/>
  <c r="R53" i="33"/>
  <c r="Q53" i="33"/>
  <c r="O53" i="33"/>
  <c r="O55" i="16"/>
  <c r="G55" i="16"/>
  <c r="F55" i="16"/>
  <c r="Q59" i="29"/>
  <c r="G59" i="29"/>
  <c r="F59" i="29"/>
  <c r="O67" i="17"/>
  <c r="X67" i="17" s="1"/>
  <c r="G67" i="17"/>
  <c r="F67" i="17"/>
  <c r="F69" i="16"/>
  <c r="G69" i="16"/>
  <c r="O69" i="16"/>
  <c r="X69" i="16" s="1"/>
  <c r="P32" i="20"/>
  <c r="F32" i="20"/>
  <c r="G32" i="20"/>
  <c r="O32" i="20"/>
  <c r="G36" i="26"/>
  <c r="P36" i="26"/>
  <c r="F36" i="26"/>
  <c r="F39" i="25"/>
  <c r="G38" i="25"/>
  <c r="F38" i="25"/>
  <c r="P38" i="25"/>
  <c r="P40" i="24"/>
  <c r="F40" i="24"/>
  <c r="G40" i="24"/>
  <c r="G52" i="32"/>
  <c r="R52" i="32"/>
  <c r="Q52" i="32"/>
  <c r="F52" i="32"/>
  <c r="O52" i="32"/>
  <c r="F55" i="31"/>
  <c r="F54" i="31"/>
  <c r="G54" i="31"/>
  <c r="R54" i="31"/>
  <c r="Q54" i="31"/>
  <c r="F56" i="29"/>
  <c r="G56" i="29"/>
  <c r="Q56" i="29"/>
  <c r="P68" i="38"/>
  <c r="O68" i="38"/>
  <c r="G68" i="38"/>
  <c r="F68" i="38"/>
  <c r="O70" i="17"/>
  <c r="X70" i="17" s="1"/>
  <c r="G70" i="17"/>
  <c r="F70" i="17"/>
  <c r="X72" i="16"/>
  <c r="F72" i="16"/>
  <c r="G72" i="16"/>
  <c r="P29" i="27"/>
  <c r="X29" i="27" s="1"/>
  <c r="Y7" i="14" s="1"/>
  <c r="G29" i="27"/>
  <c r="F29" i="27"/>
  <c r="G35" i="32"/>
  <c r="R35" i="32"/>
  <c r="Q35" i="32"/>
  <c r="F35" i="32"/>
  <c r="O35" i="32"/>
  <c r="Q37" i="31"/>
  <c r="G37" i="31"/>
  <c r="F37" i="31"/>
  <c r="R37" i="31"/>
  <c r="Q39" i="29"/>
  <c r="G39" i="29"/>
  <c r="F39" i="29"/>
  <c r="F47" i="38"/>
  <c r="O47" i="38"/>
  <c r="G47" i="38"/>
  <c r="P47" i="38"/>
  <c r="G49" i="19"/>
  <c r="F49" i="19"/>
  <c r="O49" i="19"/>
  <c r="G55" i="23"/>
  <c r="F55" i="23"/>
  <c r="O55" i="23"/>
  <c r="C57" i="21"/>
  <c r="P59" i="28"/>
  <c r="F59" i="28"/>
  <c r="G59" i="28"/>
  <c r="P61" i="27"/>
  <c r="F61" i="27"/>
  <c r="G61" i="27"/>
  <c r="R69" i="30"/>
  <c r="Q69" i="30"/>
  <c r="G69" i="30"/>
  <c r="F69" i="30"/>
  <c r="Q28" i="29"/>
  <c r="X28" i="29" s="1"/>
  <c r="G28" i="29"/>
  <c r="F28" i="29"/>
  <c r="C34" i="34"/>
  <c r="R36" i="33"/>
  <c r="Q36" i="33"/>
  <c r="G36" i="33"/>
  <c r="F36" i="33"/>
  <c r="O36" i="33"/>
  <c r="O38" i="17"/>
  <c r="G38" i="17"/>
  <c r="F38" i="17"/>
  <c r="R52" i="33"/>
  <c r="Q52" i="33"/>
  <c r="G52" i="33"/>
  <c r="F52" i="33"/>
  <c r="O52" i="33"/>
  <c r="P58" i="34"/>
  <c r="F58" i="34"/>
  <c r="G58" i="34"/>
  <c r="C61" i="17"/>
  <c r="C60" i="17"/>
  <c r="G70" i="33"/>
  <c r="R70" i="33"/>
  <c r="F70" i="33"/>
  <c r="Q70" i="33"/>
  <c r="O70" i="33"/>
  <c r="O31" i="18"/>
  <c r="X31" i="18" s="1"/>
  <c r="G31" i="18"/>
  <c r="F31" i="18"/>
  <c r="O33" i="16"/>
  <c r="G33" i="16"/>
  <c r="F33" i="16"/>
  <c r="O39" i="38"/>
  <c r="G39" i="38"/>
  <c r="P39" i="38"/>
  <c r="F39" i="38"/>
  <c r="G41" i="34"/>
  <c r="F41" i="34"/>
  <c r="P41" i="34"/>
  <c r="P47" i="37"/>
  <c r="G47" i="37"/>
  <c r="F47" i="37"/>
  <c r="F50" i="34"/>
  <c r="G49" i="34"/>
  <c r="F49" i="34"/>
  <c r="P49" i="34"/>
  <c r="G51" i="18"/>
  <c r="F51" i="18"/>
  <c r="O51" i="18"/>
  <c r="C53" i="15"/>
  <c r="C54" i="15"/>
  <c r="C57" i="20"/>
  <c r="P59" i="20"/>
  <c r="G59" i="20"/>
  <c r="F59" i="20"/>
  <c r="O59" i="20"/>
  <c r="C61" i="26"/>
  <c r="P63" i="25"/>
  <c r="F63" i="25"/>
  <c r="G63" i="25"/>
  <c r="G69" i="22"/>
  <c r="F69" i="22"/>
  <c r="O69" i="22"/>
  <c r="X69" i="22" s="1"/>
  <c r="P28" i="38"/>
  <c r="O28" i="38"/>
  <c r="F28" i="38"/>
  <c r="G28" i="38"/>
  <c r="C30" i="19"/>
  <c r="O32" i="18"/>
  <c r="G32" i="18"/>
  <c r="F32" i="18"/>
  <c r="C36" i="24"/>
  <c r="C38" i="23"/>
  <c r="C42" i="20"/>
  <c r="P46" i="28"/>
  <c r="G46" i="28"/>
  <c r="F46" i="28"/>
  <c r="P48" i="27"/>
  <c r="G48" i="27"/>
  <c r="F48" i="27"/>
  <c r="P56" i="27"/>
  <c r="G56" i="27"/>
  <c r="F56" i="27"/>
  <c r="Q60" i="31"/>
  <c r="R60" i="31"/>
  <c r="G60" i="31"/>
  <c r="F60" i="31"/>
  <c r="G66" i="37"/>
  <c r="F66" i="37"/>
  <c r="P66" i="37"/>
  <c r="X66" i="37" s="1"/>
  <c r="W44" i="14" s="1"/>
  <c r="O51" i="17"/>
  <c r="G51" i="17"/>
  <c r="F51" i="17"/>
  <c r="P57" i="21"/>
  <c r="F57" i="21"/>
  <c r="G57" i="21"/>
  <c r="O57" i="21"/>
  <c r="G59" i="19"/>
  <c r="F59" i="19"/>
  <c r="O59" i="19"/>
  <c r="C66" i="25"/>
  <c r="C65" i="25"/>
  <c r="C28" i="29"/>
  <c r="C30" i="28"/>
  <c r="C32" i="27"/>
  <c r="C36" i="33"/>
  <c r="Q38" i="32"/>
  <c r="G38" i="32"/>
  <c r="R38" i="32"/>
  <c r="F38" i="32"/>
  <c r="O38" i="32"/>
  <c r="C47" i="29"/>
  <c r="C46" i="29"/>
  <c r="R54" i="30"/>
  <c r="Q54" i="30"/>
  <c r="F54" i="30"/>
  <c r="G54" i="30"/>
  <c r="Q64" i="29"/>
  <c r="X64" i="29" s="1"/>
  <c r="G64" i="29"/>
  <c r="F64" i="29"/>
  <c r="C72" i="31"/>
  <c r="G27" i="37"/>
  <c r="P27" i="37"/>
  <c r="F27" i="37"/>
  <c r="G29" i="34"/>
  <c r="F29" i="34"/>
  <c r="P29" i="34"/>
  <c r="X29" i="34" s="1"/>
  <c r="Z7" i="14" s="1"/>
  <c r="F43" i="33"/>
  <c r="R43" i="33"/>
  <c r="Q43" i="33"/>
  <c r="G43" i="33"/>
  <c r="O43" i="33"/>
  <c r="P26" i="24"/>
  <c r="X26" i="24" s="1"/>
  <c r="V4" i="14" s="1"/>
  <c r="F26" i="24"/>
  <c r="G26" i="24"/>
  <c r="G51" i="32"/>
  <c r="R51" i="32"/>
  <c r="Q51" i="32"/>
  <c r="F51" i="32"/>
  <c r="O51" i="32"/>
  <c r="P53" i="15"/>
  <c r="F53" i="15"/>
  <c r="G53" i="15"/>
  <c r="C57" i="38"/>
  <c r="C59" i="20"/>
  <c r="G61" i="18"/>
  <c r="O61" i="18"/>
  <c r="F61" i="18"/>
  <c r="P65" i="24"/>
  <c r="X65" i="24" s="1"/>
  <c r="V43" i="14" s="1"/>
  <c r="G65" i="24"/>
  <c r="F65" i="24"/>
  <c r="G67" i="23"/>
  <c r="F67" i="23"/>
  <c r="O67" i="23"/>
  <c r="X67" i="23" s="1"/>
  <c r="C28" i="38"/>
  <c r="C30" i="37"/>
  <c r="C32" i="18"/>
  <c r="C35" i="18"/>
  <c r="C34" i="18"/>
  <c r="F38" i="23"/>
  <c r="G38" i="23"/>
  <c r="O38" i="23"/>
  <c r="P42" i="38"/>
  <c r="O42" i="38"/>
  <c r="G42" i="38"/>
  <c r="F42" i="38"/>
  <c r="F44" i="19"/>
  <c r="G44" i="19"/>
  <c r="O44" i="19"/>
  <c r="C46" i="20"/>
  <c r="P50" i="25"/>
  <c r="G50" i="25"/>
  <c r="F50" i="25"/>
  <c r="P54" i="24"/>
  <c r="F54" i="24"/>
  <c r="G54" i="24"/>
  <c r="G65" i="34"/>
  <c r="P65" i="34"/>
  <c r="X65" i="34" s="1"/>
  <c r="Z43" i="14" s="1"/>
  <c r="O32" i="38"/>
  <c r="G32" i="38"/>
  <c r="F32" i="38"/>
  <c r="P32" i="38"/>
  <c r="F48" i="29"/>
  <c r="G48" i="29"/>
  <c r="Q48" i="29"/>
  <c r="P58" i="26"/>
  <c r="G58" i="26"/>
  <c r="F58" i="26"/>
  <c r="P70" i="34"/>
  <c r="X70" i="34" s="1"/>
  <c r="Z48" i="14" s="1"/>
  <c r="G70" i="34"/>
  <c r="F70" i="34"/>
  <c r="R30" i="31"/>
  <c r="G30" i="31"/>
  <c r="F30" i="31"/>
  <c r="Q30" i="31"/>
  <c r="P34" i="28"/>
  <c r="F34" i="28"/>
  <c r="G34" i="28"/>
  <c r="P36" i="27"/>
  <c r="F36" i="27"/>
  <c r="G36" i="27"/>
  <c r="P38" i="27"/>
  <c r="G38" i="27"/>
  <c r="F38" i="27"/>
  <c r="R42" i="31"/>
  <c r="G42" i="31"/>
  <c r="Q42" i="31"/>
  <c r="R44" i="31"/>
  <c r="G44" i="31"/>
  <c r="Q44" i="31"/>
  <c r="F44" i="31"/>
  <c r="F48" i="22"/>
  <c r="G48" i="22"/>
  <c r="O48" i="22"/>
  <c r="P50" i="20"/>
  <c r="F50" i="20"/>
  <c r="G50" i="20"/>
  <c r="O50" i="20"/>
  <c r="G52" i="26"/>
  <c r="P52" i="26"/>
  <c r="F52" i="26"/>
  <c r="P58" i="28"/>
  <c r="F58" i="28"/>
  <c r="G58" i="28"/>
  <c r="C63" i="24"/>
  <c r="C62" i="24"/>
  <c r="G66" i="22"/>
  <c r="F66" i="22"/>
  <c r="O66" i="22"/>
  <c r="X66" i="22" s="1"/>
  <c r="O72" i="17"/>
  <c r="X72" i="17" s="1"/>
  <c r="F72" i="17"/>
  <c r="G72" i="17"/>
  <c r="P27" i="21"/>
  <c r="F27" i="21"/>
  <c r="G27" i="21"/>
  <c r="O27" i="21"/>
  <c r="P29" i="20"/>
  <c r="G29" i="20"/>
  <c r="F29" i="20"/>
  <c r="O29" i="20"/>
  <c r="F31" i="26"/>
  <c r="P31" i="26"/>
  <c r="X31" i="26" s="1"/>
  <c r="X9" i="14" s="1"/>
  <c r="G31" i="26"/>
  <c r="G39" i="22"/>
  <c r="F39" i="22"/>
  <c r="O39" i="22"/>
  <c r="Q47" i="29"/>
  <c r="F47" i="29"/>
  <c r="G47" i="29"/>
  <c r="P49" i="28"/>
  <c r="G49" i="28"/>
  <c r="F49" i="28"/>
  <c r="C55" i="33"/>
  <c r="C57" i="30"/>
  <c r="P63" i="27"/>
  <c r="X63" i="27" s="1"/>
  <c r="Y41" i="14" s="1"/>
  <c r="F63" i="27"/>
  <c r="G63" i="27"/>
  <c r="Q67" i="33"/>
  <c r="G67" i="33"/>
  <c r="R67" i="33"/>
  <c r="F67" i="33"/>
  <c r="O67" i="33"/>
  <c r="G69" i="32"/>
  <c r="F69" i="32"/>
  <c r="R69" i="32"/>
  <c r="Q69" i="32"/>
  <c r="O69" i="32"/>
  <c r="P71" i="15"/>
  <c r="X71" i="15" s="1"/>
  <c r="G71" i="15"/>
  <c r="G34" i="37"/>
  <c r="P34" i="37"/>
  <c r="F34" i="37"/>
  <c r="O36" i="18"/>
  <c r="G36" i="18"/>
  <c r="F36" i="18"/>
  <c r="C46" i="30"/>
  <c r="C48" i="29"/>
  <c r="P52" i="25"/>
  <c r="G52" i="25"/>
  <c r="F52" i="25"/>
  <c r="P56" i="21"/>
  <c r="G56" i="21"/>
  <c r="F56" i="21"/>
  <c r="O56" i="21"/>
  <c r="F58" i="19"/>
  <c r="G58" i="19"/>
  <c r="O58" i="19"/>
  <c r="P60" i="25"/>
  <c r="G60" i="25"/>
  <c r="F72" i="33"/>
  <c r="R72" i="33"/>
  <c r="Q72" i="33"/>
  <c r="G72" i="33"/>
  <c r="O72" i="33"/>
  <c r="G27" i="19"/>
  <c r="F27" i="19"/>
  <c r="O27" i="19"/>
  <c r="F33" i="25"/>
  <c r="P33" i="25"/>
  <c r="G33" i="25"/>
  <c r="P35" i="24"/>
  <c r="F35" i="24"/>
  <c r="G35" i="24"/>
  <c r="P39" i="21"/>
  <c r="G39" i="21"/>
  <c r="F39" i="21"/>
  <c r="O39" i="21"/>
  <c r="C42" i="19"/>
  <c r="C41" i="19"/>
  <c r="G49" i="37"/>
  <c r="P49" i="37"/>
  <c r="F49" i="37"/>
  <c r="F51" i="34"/>
  <c r="G51" i="34"/>
  <c r="P51" i="34"/>
  <c r="G53" i="17"/>
  <c r="O53" i="17"/>
  <c r="F53" i="17"/>
  <c r="C59" i="19"/>
  <c r="P63" i="26"/>
  <c r="X63" i="26" s="1"/>
  <c r="X41" i="14" s="1"/>
  <c r="G63" i="26"/>
  <c r="F63" i="26"/>
  <c r="F65" i="25"/>
  <c r="P65" i="25"/>
  <c r="G65" i="25"/>
  <c r="R71" i="30"/>
  <c r="G71" i="30"/>
  <c r="Q71" i="30"/>
  <c r="F71" i="30"/>
  <c r="C28" i="21"/>
  <c r="P30" i="28"/>
  <c r="X30" i="28" s="1"/>
  <c r="AA8" i="14" s="1"/>
  <c r="F30" i="28"/>
  <c r="G30" i="28"/>
  <c r="P32" i="27"/>
  <c r="F32" i="27"/>
  <c r="G32" i="27"/>
  <c r="P34" i="27"/>
  <c r="F34" i="27"/>
  <c r="G34" i="27"/>
  <c r="Q40" i="31"/>
  <c r="F40" i="31"/>
  <c r="R40" i="31"/>
  <c r="G40" i="31"/>
  <c r="Q42" i="29"/>
  <c r="F42" i="29"/>
  <c r="G42" i="29"/>
  <c r="P44" i="28"/>
  <c r="F44" i="28"/>
  <c r="G44" i="28"/>
  <c r="Q46" i="29"/>
  <c r="G46" i="29"/>
  <c r="F46" i="29"/>
  <c r="C48" i="28"/>
  <c r="C50" i="27"/>
  <c r="G60" i="32"/>
  <c r="R60" i="32"/>
  <c r="Q60" i="32"/>
  <c r="F60" i="32"/>
  <c r="O60" i="32"/>
  <c r="R62" i="30"/>
  <c r="Q62" i="30"/>
  <c r="G62" i="30"/>
  <c r="F62" i="30"/>
  <c r="F72" i="31"/>
  <c r="R72" i="31"/>
  <c r="Q72" i="31"/>
  <c r="G72" i="31"/>
  <c r="G31" i="32"/>
  <c r="F31" i="32"/>
  <c r="R31" i="32"/>
  <c r="Q31" i="32"/>
  <c r="O31" i="32"/>
  <c r="P39" i="28"/>
  <c r="F39" i="28"/>
  <c r="G39" i="28"/>
  <c r="C45" i="28"/>
  <c r="C52" i="32"/>
  <c r="C51" i="32"/>
  <c r="G53" i="31"/>
  <c r="F53" i="31"/>
  <c r="R53" i="31"/>
  <c r="Q53" i="31"/>
  <c r="G57" i="38"/>
  <c r="O57" i="38"/>
  <c r="F57" i="38"/>
  <c r="P57" i="38"/>
  <c r="G59" i="37"/>
  <c r="F59" i="37"/>
  <c r="P59" i="37"/>
  <c r="C61" i="18"/>
  <c r="C63" i="18"/>
  <c r="Q71" i="29"/>
  <c r="X71" i="29" s="1"/>
  <c r="G71" i="29"/>
  <c r="F71" i="29"/>
  <c r="F30" i="37"/>
  <c r="G30" i="37"/>
  <c r="P30" i="37"/>
  <c r="X30" i="37" s="1"/>
  <c r="W8" i="14" s="1"/>
  <c r="P32" i="34"/>
  <c r="G32" i="34"/>
  <c r="F32" i="34"/>
  <c r="O34" i="18"/>
  <c r="F34" i="18"/>
  <c r="G34" i="18"/>
  <c r="C44" i="37"/>
  <c r="P46" i="20"/>
  <c r="G46" i="20"/>
  <c r="F46" i="20"/>
  <c r="O46" i="20"/>
  <c r="P41" i="28"/>
  <c r="F41" i="28"/>
  <c r="G41" i="28"/>
  <c r="X28" i="22"/>
  <c r="G28" i="22"/>
  <c r="F28" i="22"/>
  <c r="G42" i="22"/>
  <c r="F42" i="22"/>
  <c r="O42" i="22"/>
  <c r="C34" i="25"/>
  <c r="C33" i="25"/>
  <c r="F26" i="18"/>
  <c r="G26" i="18"/>
  <c r="X26" i="18"/>
  <c r="P32" i="21"/>
  <c r="G32" i="21"/>
  <c r="F32" i="21"/>
  <c r="O32" i="21"/>
  <c r="P34" i="20"/>
  <c r="G34" i="20"/>
  <c r="F34" i="20"/>
  <c r="O34" i="20"/>
  <c r="G46" i="23"/>
  <c r="F46" i="23"/>
  <c r="O46" i="23"/>
  <c r="O52" i="17"/>
  <c r="G52" i="17"/>
  <c r="F52" i="17"/>
  <c r="G56" i="22"/>
  <c r="F56" i="22"/>
  <c r="O56" i="22"/>
  <c r="P60" i="26"/>
  <c r="G60" i="26"/>
  <c r="F60" i="26"/>
  <c r="P62" i="24"/>
  <c r="G62" i="24"/>
  <c r="F62" i="24"/>
  <c r="G64" i="23"/>
  <c r="F64" i="23"/>
  <c r="O64" i="23"/>
  <c r="X64" i="23" s="1"/>
  <c r="F70" i="37"/>
  <c r="P70" i="37"/>
  <c r="X70" i="37" s="1"/>
  <c r="W48" i="14" s="1"/>
  <c r="G70" i="37"/>
  <c r="P33" i="26"/>
  <c r="G33" i="26"/>
  <c r="F33" i="26"/>
  <c r="P35" i="25"/>
  <c r="G35" i="25"/>
  <c r="F35" i="25"/>
  <c r="P41" i="20"/>
  <c r="G41" i="20"/>
  <c r="F41" i="20"/>
  <c r="O41" i="20"/>
  <c r="P26" i="27"/>
  <c r="X26" i="27" s="1"/>
  <c r="Y4" i="14" s="1"/>
  <c r="G26" i="27"/>
  <c r="F26" i="27"/>
  <c r="R45" i="30"/>
  <c r="Q45" i="30"/>
  <c r="G45" i="30"/>
  <c r="F45" i="30"/>
  <c r="P47" i="21"/>
  <c r="F47" i="21"/>
  <c r="G47" i="21"/>
  <c r="O47" i="21"/>
  <c r="F57" i="30"/>
  <c r="Q57" i="30"/>
  <c r="R57" i="30"/>
  <c r="G57" i="30"/>
  <c r="G61" i="28"/>
  <c r="P61" i="28"/>
  <c r="F61" i="28"/>
  <c r="G71" i="31"/>
  <c r="R71" i="31"/>
  <c r="Q71" i="31"/>
  <c r="P36" i="34"/>
  <c r="F36" i="34"/>
  <c r="G36" i="34"/>
  <c r="G38" i="18"/>
  <c r="F38" i="18"/>
  <c r="O38" i="18"/>
  <c r="R46" i="30"/>
  <c r="F46" i="30"/>
  <c r="G46" i="30"/>
  <c r="Q46" i="30"/>
  <c r="P48" i="21"/>
  <c r="G48" i="21"/>
  <c r="F48" i="21"/>
  <c r="O48" i="21"/>
  <c r="G50" i="26"/>
  <c r="P50" i="26"/>
  <c r="F50" i="26"/>
  <c r="C55" i="23"/>
  <c r="C54" i="23"/>
  <c r="G29" i="19"/>
  <c r="F29" i="19"/>
  <c r="O29" i="19"/>
  <c r="X29" i="19" s="1"/>
  <c r="F37" i="22"/>
  <c r="G37" i="22"/>
  <c r="O37" i="22"/>
  <c r="F41" i="19"/>
  <c r="G41" i="19"/>
  <c r="O41" i="19"/>
  <c r="C45" i="29"/>
  <c r="G53" i="32"/>
  <c r="F53" i="32"/>
  <c r="Q53" i="32"/>
  <c r="R53" i="32"/>
  <c r="O53" i="32"/>
  <c r="P55" i="15"/>
  <c r="G55" i="15"/>
  <c r="O59" i="38"/>
  <c r="G59" i="38"/>
  <c r="P59" i="38"/>
  <c r="F59" i="38"/>
  <c r="G61" i="19"/>
  <c r="F61" i="19"/>
  <c r="O61" i="19"/>
  <c r="O63" i="17"/>
  <c r="X63" i="17" s="1"/>
  <c r="G63" i="17"/>
  <c r="F63" i="17"/>
  <c r="P67" i="24"/>
  <c r="X67" i="24" s="1"/>
  <c r="V45" i="14" s="1"/>
  <c r="F67" i="24"/>
  <c r="G67" i="24"/>
  <c r="F69" i="23"/>
  <c r="G69" i="23"/>
  <c r="O69" i="23"/>
  <c r="X69" i="23" s="1"/>
  <c r="P28" i="21"/>
  <c r="F28" i="21"/>
  <c r="G28" i="21"/>
  <c r="O28" i="21"/>
  <c r="C30" i="20"/>
  <c r="C36" i="25"/>
  <c r="P42" i="21"/>
  <c r="F42" i="21"/>
  <c r="G42" i="21"/>
  <c r="O42" i="21"/>
  <c r="C46" i="21"/>
  <c r="P48" i="28"/>
  <c r="G48" i="28"/>
  <c r="F48" i="28"/>
  <c r="P50" i="27"/>
  <c r="G50" i="27"/>
  <c r="F50" i="27"/>
  <c r="P52" i="24"/>
  <c r="G52" i="24"/>
  <c r="F52" i="24"/>
  <c r="P58" i="27"/>
  <c r="F58" i="27"/>
  <c r="G58" i="27"/>
  <c r="P66" i="28"/>
  <c r="X66" i="28" s="1"/>
  <c r="AA44" i="14" s="1"/>
  <c r="F66" i="28"/>
  <c r="G66" i="28"/>
  <c r="P68" i="27"/>
  <c r="X68" i="27" s="1"/>
  <c r="Y46" i="14" s="1"/>
  <c r="G68" i="27"/>
  <c r="F68" i="27"/>
  <c r="G27" i="26"/>
  <c r="P27" i="26"/>
  <c r="F27" i="26"/>
  <c r="G33" i="33"/>
  <c r="R33" i="33"/>
  <c r="Q33" i="33"/>
  <c r="F33" i="33"/>
  <c r="O33" i="33"/>
  <c r="G35" i="31"/>
  <c r="R35" i="31"/>
  <c r="F35" i="31"/>
  <c r="Q35" i="31"/>
  <c r="Q37" i="29"/>
  <c r="G37" i="29"/>
  <c r="F37" i="29"/>
  <c r="P45" i="28"/>
  <c r="G45" i="28"/>
  <c r="F45" i="28"/>
  <c r="C55" i="30"/>
  <c r="C59" i="37"/>
  <c r="G61" i="34"/>
  <c r="F61" i="34"/>
  <c r="P61" i="34"/>
  <c r="O63" i="18"/>
  <c r="X63" i="18" s="1"/>
  <c r="G63" i="18"/>
  <c r="F63" i="18"/>
  <c r="C32" i="34"/>
  <c r="C34" i="33"/>
  <c r="O36" i="16"/>
  <c r="G36" i="16"/>
  <c r="F36" i="16"/>
  <c r="C40" i="30"/>
  <c r="P44" i="37"/>
  <c r="G44" i="37"/>
  <c r="F44" i="37"/>
  <c r="O46" i="38"/>
  <c r="G46" i="38"/>
  <c r="F46" i="38"/>
  <c r="P46" i="38"/>
  <c r="C48" i="19"/>
  <c r="O50" i="17"/>
  <c r="G50" i="17"/>
  <c r="F50" i="17"/>
  <c r="P50" i="28"/>
  <c r="G50" i="28"/>
  <c r="F50" i="28"/>
  <c r="Q64" i="31"/>
  <c r="R64" i="31"/>
  <c r="G64" i="31"/>
  <c r="F64" i="31"/>
  <c r="F55" i="33"/>
  <c r="Q55" i="33"/>
  <c r="G55" i="33"/>
  <c r="R55" i="33"/>
  <c r="O55" i="33"/>
  <c r="R26" i="33"/>
  <c r="G26" i="33"/>
  <c r="Q26" i="33"/>
  <c r="F26" i="33"/>
  <c r="O26" i="33"/>
  <c r="F54" i="15"/>
  <c r="C43" i="15"/>
  <c r="F55" i="15"/>
  <c r="C71" i="15"/>
  <c r="O28" i="23"/>
  <c r="G28" i="23"/>
  <c r="F28" i="23"/>
  <c r="F36" i="19"/>
  <c r="G36" i="19"/>
  <c r="O36" i="19"/>
  <c r="P40" i="25"/>
  <c r="G40" i="25"/>
  <c r="F40" i="25"/>
  <c r="G42" i="23"/>
  <c r="F42" i="23"/>
  <c r="O42" i="23"/>
  <c r="O50" i="38"/>
  <c r="F50" i="38"/>
  <c r="G50" i="38"/>
  <c r="P50" i="38"/>
  <c r="C53" i="17"/>
  <c r="C52" i="17"/>
  <c r="P58" i="20"/>
  <c r="G58" i="20"/>
  <c r="F58" i="20"/>
  <c r="O58" i="20"/>
  <c r="O60" i="18"/>
  <c r="G60" i="18"/>
  <c r="F60" i="18"/>
  <c r="Q68" i="29"/>
  <c r="X68" i="29" s="1"/>
  <c r="G68" i="29"/>
  <c r="F68" i="29"/>
  <c r="G72" i="32"/>
  <c r="Q72" i="32"/>
  <c r="R72" i="32"/>
  <c r="F72" i="32"/>
  <c r="O72" i="32"/>
  <c r="F29" i="38"/>
  <c r="P29" i="38"/>
  <c r="O29" i="38"/>
  <c r="G29" i="38"/>
  <c r="P31" i="20"/>
  <c r="G31" i="20"/>
  <c r="F31" i="20"/>
  <c r="O31" i="20"/>
  <c r="O33" i="18"/>
  <c r="G33" i="18"/>
  <c r="F33" i="18"/>
  <c r="F37" i="23"/>
  <c r="G37" i="23"/>
  <c r="O37" i="23"/>
  <c r="C42" i="38"/>
  <c r="C41" i="38"/>
  <c r="P43" i="20"/>
  <c r="G43" i="20"/>
  <c r="F43" i="20"/>
  <c r="O43" i="20"/>
  <c r="P49" i="20"/>
  <c r="F49" i="20"/>
  <c r="G49" i="20"/>
  <c r="O49" i="20"/>
  <c r="P51" i="26"/>
  <c r="F51" i="26"/>
  <c r="G51" i="26"/>
  <c r="P53" i="25"/>
  <c r="G53" i="25"/>
  <c r="F53" i="25"/>
  <c r="C55" i="24"/>
  <c r="P59" i="21"/>
  <c r="F59" i="21"/>
  <c r="G59" i="21"/>
  <c r="O59" i="21"/>
  <c r="P61" i="20"/>
  <c r="F61" i="20"/>
  <c r="G61" i="20"/>
  <c r="O61" i="20"/>
  <c r="P65" i="26"/>
  <c r="X65" i="26" s="1"/>
  <c r="X43" i="14" s="1"/>
  <c r="G65" i="26"/>
  <c r="F65" i="26"/>
  <c r="Q30" i="29"/>
  <c r="X30" i="29" s="1"/>
  <c r="F30" i="29"/>
  <c r="G30" i="29"/>
  <c r="R38" i="33"/>
  <c r="Q38" i="33"/>
  <c r="G38" i="33"/>
  <c r="F38" i="33"/>
  <c r="O38" i="33"/>
  <c r="O40" i="16"/>
  <c r="G40" i="16"/>
  <c r="F40" i="16"/>
  <c r="F44" i="29"/>
  <c r="Q44" i="29"/>
  <c r="G44" i="29"/>
  <c r="C48" i="21"/>
  <c r="C50" i="19"/>
  <c r="G54" i="23"/>
  <c r="F54" i="23"/>
  <c r="O54" i="23"/>
  <c r="F58" i="37"/>
  <c r="G58" i="37"/>
  <c r="P58" i="37"/>
  <c r="O60" i="16"/>
  <c r="F60" i="16"/>
  <c r="G60" i="16"/>
  <c r="R64" i="30"/>
  <c r="Q64" i="30"/>
  <c r="G64" i="30"/>
  <c r="F64" i="30"/>
  <c r="Q66" i="29"/>
  <c r="X66" i="29" s="1"/>
  <c r="F66" i="29"/>
  <c r="G66" i="29"/>
  <c r="P70" i="27"/>
  <c r="X70" i="27" s="1"/>
  <c r="Y48" i="14" s="1"/>
  <c r="G70" i="27"/>
  <c r="F70" i="27"/>
  <c r="G29" i="37"/>
  <c r="P29" i="37"/>
  <c r="X29" i="37" s="1"/>
  <c r="W7" i="14" s="1"/>
  <c r="F29" i="37"/>
  <c r="O31" i="16"/>
  <c r="X31" i="16" s="1"/>
  <c r="G31" i="16"/>
  <c r="F31" i="16"/>
  <c r="O33" i="17"/>
  <c r="G33" i="17"/>
  <c r="F33" i="17"/>
  <c r="O43" i="18"/>
  <c r="G43" i="18"/>
  <c r="F43" i="18"/>
  <c r="Q45" i="29"/>
  <c r="G45" i="29"/>
  <c r="F45" i="29"/>
  <c r="P47" i="28"/>
  <c r="G47" i="28"/>
  <c r="F47" i="28"/>
  <c r="P49" i="27"/>
  <c r="G49" i="27"/>
  <c r="F49" i="27"/>
  <c r="C53" i="32"/>
  <c r="R55" i="31"/>
  <c r="Q55" i="31"/>
  <c r="G55" i="31"/>
  <c r="C59" i="38"/>
  <c r="G61" i="37"/>
  <c r="P61" i="37"/>
  <c r="F61" i="37"/>
  <c r="C66" i="16"/>
  <c r="C65" i="16"/>
  <c r="P30" i="20"/>
  <c r="G30" i="20"/>
  <c r="F30" i="20"/>
  <c r="O30" i="20"/>
  <c r="P36" i="25"/>
  <c r="G36" i="25"/>
  <c r="F36" i="25"/>
  <c r="P38" i="24"/>
  <c r="G38" i="24"/>
  <c r="F38" i="24"/>
  <c r="C44" i="20"/>
  <c r="P46" i="21"/>
  <c r="F46" i="21"/>
  <c r="G46" i="21"/>
  <c r="O46" i="21"/>
  <c r="P48" i="20"/>
  <c r="F48" i="20"/>
  <c r="G48" i="20"/>
  <c r="O48" i="20"/>
  <c r="G54" i="22"/>
  <c r="F54" i="22"/>
  <c r="O54" i="22"/>
  <c r="G56" i="28"/>
  <c r="P56" i="28"/>
  <c r="F56" i="28"/>
  <c r="P60" i="24"/>
  <c r="G60" i="24"/>
  <c r="F60" i="24"/>
  <c r="P64" i="21"/>
  <c r="G64" i="21"/>
  <c r="F64" i="21"/>
  <c r="O64" i="21"/>
  <c r="C67" i="20"/>
  <c r="C66" i="20"/>
  <c r="G70" i="25"/>
  <c r="F70" i="25"/>
  <c r="P70" i="25"/>
  <c r="G72" i="23"/>
  <c r="F72" i="23"/>
  <c r="O72" i="23"/>
  <c r="X72" i="23" s="1"/>
  <c r="C28" i="26"/>
  <c r="C27" i="26"/>
  <c r="P37" i="21"/>
  <c r="G37" i="21"/>
  <c r="F37" i="21"/>
  <c r="O37" i="21"/>
  <c r="P41" i="26"/>
  <c r="G41" i="26"/>
  <c r="F41" i="26"/>
  <c r="C45" i="20"/>
  <c r="P47" i="26"/>
  <c r="G47" i="26"/>
  <c r="F47" i="26"/>
  <c r="R55" i="30"/>
  <c r="Q55" i="30"/>
  <c r="G55" i="30"/>
  <c r="F55" i="30"/>
  <c r="C62" i="34"/>
  <c r="C61" i="34"/>
  <c r="O65" i="17"/>
  <c r="X65" i="17" s="1"/>
  <c r="G65" i="17"/>
  <c r="F65" i="17"/>
  <c r="P28" i="28"/>
  <c r="X28" i="28" s="1"/>
  <c r="AA6" i="14" s="1"/>
  <c r="G28" i="28"/>
  <c r="F28" i="28"/>
  <c r="G34" i="33"/>
  <c r="F34" i="33"/>
  <c r="R34" i="33"/>
  <c r="Q34" i="33"/>
  <c r="O34" i="33"/>
  <c r="G36" i="32"/>
  <c r="F36" i="32"/>
  <c r="R36" i="32"/>
  <c r="Q36" i="32"/>
  <c r="O36" i="32"/>
  <c r="R40" i="30"/>
  <c r="G40" i="30"/>
  <c r="Q40" i="30"/>
  <c r="F40" i="30"/>
  <c r="C42" i="28"/>
  <c r="R40" i="33"/>
  <c r="Q40" i="33"/>
  <c r="G40" i="33"/>
  <c r="F40" i="33"/>
  <c r="O40" i="33"/>
  <c r="F34" i="19"/>
  <c r="G34" i="19"/>
  <c r="O34" i="19"/>
  <c r="G62" i="23"/>
  <c r="F62" i="23"/>
  <c r="O62" i="23"/>
  <c r="P31" i="27"/>
  <c r="X31" i="27" s="1"/>
  <c r="Y9" i="14" s="1"/>
  <c r="G31" i="27"/>
  <c r="F31" i="27"/>
  <c r="G30" i="22"/>
  <c r="F30" i="22"/>
  <c r="X30" i="22"/>
  <c r="G54" i="18"/>
  <c r="F54" i="18"/>
  <c r="O54" i="18"/>
  <c r="P58" i="38"/>
  <c r="G58" i="38"/>
  <c r="O58" i="38"/>
  <c r="F58" i="38"/>
  <c r="G41" i="38"/>
  <c r="O41" i="38"/>
  <c r="F41" i="38"/>
  <c r="P41" i="38"/>
  <c r="C45" i="22"/>
  <c r="C51" i="20"/>
  <c r="P55" i="24"/>
  <c r="G55" i="24"/>
  <c r="F55" i="24"/>
  <c r="F57" i="22"/>
  <c r="G57" i="22"/>
  <c r="O57" i="22"/>
  <c r="P67" i="25"/>
  <c r="G67" i="25"/>
  <c r="F67" i="25"/>
  <c r="P69" i="24"/>
  <c r="X69" i="24" s="1"/>
  <c r="V47" i="14" s="1"/>
  <c r="G69" i="24"/>
  <c r="F69" i="24"/>
  <c r="R28" i="30"/>
  <c r="F28" i="30"/>
  <c r="Q28" i="30"/>
  <c r="G28" i="30"/>
  <c r="Q40" i="32"/>
  <c r="F40" i="32"/>
  <c r="G40" i="32"/>
  <c r="R40" i="32"/>
  <c r="O40" i="32"/>
  <c r="C47" i="22"/>
  <c r="C46" i="22"/>
  <c r="F50" i="19"/>
  <c r="G50" i="19"/>
  <c r="O50" i="19"/>
  <c r="O52" i="18"/>
  <c r="G52" i="18"/>
  <c r="F52" i="18"/>
  <c r="F60" i="33"/>
  <c r="R60" i="33"/>
  <c r="Q60" i="33"/>
  <c r="G60" i="33"/>
  <c r="O60" i="33"/>
  <c r="P66" i="21"/>
  <c r="G66" i="21"/>
  <c r="F66" i="21"/>
  <c r="O66" i="21"/>
  <c r="P68" i="28"/>
  <c r="X68" i="28" s="1"/>
  <c r="AA46" i="14" s="1"/>
  <c r="F68" i="28"/>
  <c r="G68" i="28"/>
  <c r="P72" i="24"/>
  <c r="X72" i="24" s="1"/>
  <c r="V50" i="14" s="1"/>
  <c r="G72" i="24"/>
  <c r="F72" i="24"/>
  <c r="P27" i="38"/>
  <c r="G27" i="38"/>
  <c r="O27" i="38"/>
  <c r="F27" i="38"/>
  <c r="F31" i="34"/>
  <c r="P31" i="34"/>
  <c r="X31" i="34" s="1"/>
  <c r="Z9" i="14" s="1"/>
  <c r="G31" i="34"/>
  <c r="C34" i="17"/>
  <c r="C33" i="17"/>
  <c r="P41" i="37"/>
  <c r="G41" i="37"/>
  <c r="F41" i="37"/>
  <c r="F43" i="34"/>
  <c r="G43" i="34"/>
  <c r="P43" i="34"/>
  <c r="F27" i="25"/>
  <c r="H27" i="25" s="1"/>
  <c r="R27" i="25" s="1"/>
  <c r="P26" i="25"/>
  <c r="X26" i="25" s="1"/>
  <c r="G26" i="25"/>
  <c r="F26" i="25"/>
  <c r="C45" i="21"/>
  <c r="P51" i="27"/>
  <c r="G51" i="27"/>
  <c r="F51" i="27"/>
  <c r="C55" i="31"/>
  <c r="P63" i="34"/>
  <c r="X63" i="34" s="1"/>
  <c r="Z41" i="14" s="1"/>
  <c r="G63" i="34"/>
  <c r="F63" i="34"/>
  <c r="O65" i="16"/>
  <c r="X65" i="16" s="1"/>
  <c r="G65" i="16"/>
  <c r="F65" i="16"/>
  <c r="O67" i="16"/>
  <c r="X67" i="16" s="1"/>
  <c r="G67" i="16"/>
  <c r="F67" i="16"/>
  <c r="G71" i="22"/>
  <c r="F71" i="22"/>
  <c r="O71" i="22"/>
  <c r="X71" i="22" s="1"/>
  <c r="C30" i="38"/>
  <c r="G32" i="19"/>
  <c r="F32" i="19"/>
  <c r="O32" i="19"/>
  <c r="C39" i="24"/>
  <c r="C38" i="24"/>
  <c r="P44" i="20"/>
  <c r="F44" i="20"/>
  <c r="G44" i="20"/>
  <c r="O44" i="20"/>
  <c r="P66" i="20"/>
  <c r="G66" i="20"/>
  <c r="F66" i="20"/>
  <c r="O66" i="20"/>
  <c r="G68" i="19"/>
  <c r="F68" i="19"/>
  <c r="O68" i="19"/>
  <c r="X68" i="19" s="1"/>
  <c r="C72" i="23"/>
  <c r="G29" i="26"/>
  <c r="F29" i="26"/>
  <c r="P29" i="26"/>
  <c r="X29" i="26" s="1"/>
  <c r="X7" i="14" s="1"/>
  <c r="P31" i="25"/>
  <c r="G31" i="25"/>
  <c r="F31" i="25"/>
  <c r="G39" i="19"/>
  <c r="F39" i="19"/>
  <c r="O39" i="19"/>
  <c r="G43" i="25"/>
  <c r="F43" i="25"/>
  <c r="P43" i="25"/>
  <c r="F26" i="32"/>
  <c r="G26" i="32"/>
  <c r="Q26" i="32"/>
  <c r="R26" i="32"/>
  <c r="G26" i="17"/>
  <c r="F26" i="17"/>
  <c r="O26" i="17"/>
  <c r="X26" i="17" s="1"/>
  <c r="P45" i="20"/>
  <c r="G45" i="20"/>
  <c r="F45" i="20"/>
  <c r="O45" i="20"/>
  <c r="P47" i="20"/>
  <c r="G47" i="20"/>
  <c r="F47" i="20"/>
  <c r="O47" i="20"/>
  <c r="P49" i="26"/>
  <c r="G49" i="26"/>
  <c r="F49" i="26"/>
  <c r="P51" i="25"/>
  <c r="G51" i="25"/>
  <c r="F51" i="25"/>
  <c r="F53" i="23"/>
  <c r="G53" i="23"/>
  <c r="O53" i="23"/>
  <c r="C57" i="28"/>
  <c r="P59" i="27"/>
  <c r="F59" i="27"/>
  <c r="G59" i="27"/>
  <c r="Q63" i="33"/>
  <c r="G63" i="33"/>
  <c r="R63" i="33"/>
  <c r="F63" i="33"/>
  <c r="O63" i="33"/>
  <c r="R69" i="31"/>
  <c r="G69" i="31"/>
  <c r="F69" i="31"/>
  <c r="Q69" i="31"/>
  <c r="P71" i="21"/>
  <c r="G71" i="21"/>
  <c r="F71" i="21"/>
  <c r="O71" i="21"/>
  <c r="C28" i="28"/>
  <c r="P30" i="26"/>
  <c r="X30" i="26" s="1"/>
  <c r="X8" i="14" s="1"/>
  <c r="F30" i="26"/>
  <c r="G30" i="26"/>
  <c r="P32" i="26"/>
  <c r="F32" i="26"/>
  <c r="G32" i="26"/>
  <c r="C36" i="32"/>
  <c r="F39" i="31"/>
  <c r="R38" i="31"/>
  <c r="G38" i="31"/>
  <c r="Q38" i="31"/>
  <c r="F38" i="31"/>
  <c r="C44" i="27"/>
  <c r="F48" i="37"/>
  <c r="G48" i="37"/>
  <c r="P48" i="37"/>
  <c r="P60" i="15"/>
  <c r="G60" i="15"/>
  <c r="C64" i="20"/>
  <c r="P43" i="27"/>
  <c r="F43" i="27"/>
  <c r="G43" i="27"/>
  <c r="E29" i="11"/>
  <c r="P29" i="11" s="1"/>
  <c r="B29" i="11"/>
  <c r="O34" i="38"/>
  <c r="G34" i="38"/>
  <c r="P34" i="38"/>
  <c r="O38" i="16"/>
  <c r="G38" i="16"/>
  <c r="F38" i="16"/>
  <c r="G40" i="17"/>
  <c r="O40" i="17"/>
  <c r="F40" i="17"/>
  <c r="G44" i="22"/>
  <c r="F44" i="22"/>
  <c r="O44" i="22"/>
  <c r="Q48" i="31"/>
  <c r="R48" i="31"/>
  <c r="F48" i="31"/>
  <c r="G48" i="31"/>
  <c r="F52" i="34"/>
  <c r="P52" i="34"/>
  <c r="G52" i="34"/>
  <c r="G54" i="33"/>
  <c r="Q54" i="33"/>
  <c r="R54" i="33"/>
  <c r="F54" i="33"/>
  <c r="O54" i="33"/>
  <c r="O62" i="18"/>
  <c r="G62" i="18"/>
  <c r="F62" i="18"/>
  <c r="C71" i="26"/>
  <c r="C70" i="26"/>
  <c r="F31" i="37"/>
  <c r="P31" i="37"/>
  <c r="X31" i="37" s="1"/>
  <c r="W9" i="14" s="1"/>
  <c r="G31" i="37"/>
  <c r="O35" i="18"/>
  <c r="G35" i="18"/>
  <c r="F35" i="18"/>
  <c r="P43" i="37"/>
  <c r="G43" i="37"/>
  <c r="F43" i="37"/>
  <c r="G45" i="22"/>
  <c r="F45" i="22"/>
  <c r="O45" i="22"/>
  <c r="P51" i="20"/>
  <c r="F51" i="20"/>
  <c r="G51" i="20"/>
  <c r="O51" i="20"/>
  <c r="C57" i="22"/>
  <c r="F61" i="38"/>
  <c r="P61" i="38"/>
  <c r="O61" i="38"/>
  <c r="G61" i="38"/>
  <c r="P63" i="20"/>
  <c r="G63" i="20"/>
  <c r="F63" i="20"/>
  <c r="O63" i="20"/>
  <c r="G71" i="23"/>
  <c r="F71" i="23"/>
  <c r="O71" i="23"/>
  <c r="X71" i="23" s="1"/>
  <c r="P32" i="28"/>
  <c r="G32" i="28"/>
  <c r="F32" i="28"/>
  <c r="C34" i="26"/>
  <c r="C37" i="26"/>
  <c r="C36" i="26"/>
  <c r="F46" i="22"/>
  <c r="G46" i="22"/>
  <c r="O46" i="22"/>
  <c r="C50" i="37"/>
  <c r="F63" i="31"/>
  <c r="F62" i="31"/>
  <c r="G62" i="31"/>
  <c r="R62" i="31"/>
  <c r="Q62" i="31"/>
  <c r="O35" i="17"/>
  <c r="G35" i="17"/>
  <c r="F35" i="17"/>
  <c r="C27" i="18"/>
  <c r="C26" i="18"/>
  <c r="P45" i="21"/>
  <c r="G45" i="21"/>
  <c r="F45" i="21"/>
  <c r="O45" i="21"/>
  <c r="G47" i="19"/>
  <c r="F47" i="19"/>
  <c r="O47" i="19"/>
  <c r="P53" i="24"/>
  <c r="G53" i="24"/>
  <c r="F53" i="24"/>
  <c r="C57" i="29"/>
  <c r="C59" i="28"/>
  <c r="C66" i="33"/>
  <c r="C65" i="33"/>
  <c r="C69" i="15"/>
  <c r="C70" i="15"/>
  <c r="G30" i="38"/>
  <c r="F30" i="38"/>
  <c r="O30" i="38"/>
  <c r="P30" i="38"/>
  <c r="C32" i="37"/>
  <c r="G34" i="16"/>
  <c r="F34" i="16"/>
  <c r="O34" i="16"/>
  <c r="C36" i="17"/>
  <c r="G40" i="23"/>
  <c r="F40" i="23"/>
  <c r="O40" i="23"/>
  <c r="G44" i="38"/>
  <c r="F44" i="38"/>
  <c r="P44" i="38"/>
  <c r="O44" i="38"/>
  <c r="F48" i="38"/>
  <c r="P48" i="38"/>
  <c r="O48" i="38"/>
  <c r="G48" i="38"/>
  <c r="O50" i="16"/>
  <c r="F50" i="16"/>
  <c r="G50" i="16"/>
  <c r="P56" i="20"/>
  <c r="F56" i="20"/>
  <c r="G56" i="20"/>
  <c r="O56" i="20"/>
  <c r="F62" i="22"/>
  <c r="G62" i="22"/>
  <c r="O62" i="22"/>
  <c r="P66" i="38"/>
  <c r="G66" i="38"/>
  <c r="F66" i="38"/>
  <c r="O66" i="38"/>
  <c r="O70" i="16"/>
  <c r="X70" i="16" s="1"/>
  <c r="G70" i="16"/>
  <c r="F70" i="16"/>
  <c r="O29" i="18"/>
  <c r="X29" i="18" s="1"/>
  <c r="G29" i="18"/>
  <c r="F29" i="18"/>
  <c r="P33" i="24"/>
  <c r="G33" i="24"/>
  <c r="F33" i="24"/>
  <c r="C45" i="38"/>
  <c r="C55" i="22"/>
  <c r="P57" i="28"/>
  <c r="F57" i="28"/>
  <c r="G57" i="28"/>
  <c r="C59" i="27"/>
  <c r="P61" i="26"/>
  <c r="F61" i="26"/>
  <c r="G61" i="26"/>
  <c r="Q65" i="32"/>
  <c r="R65" i="32"/>
  <c r="G65" i="32"/>
  <c r="F65" i="32"/>
  <c r="O65" i="32"/>
  <c r="R67" i="30"/>
  <c r="Q67" i="30"/>
  <c r="F67" i="30"/>
  <c r="G67" i="30"/>
  <c r="F28" i="19"/>
  <c r="G28" i="19"/>
  <c r="O28" i="19"/>
  <c r="X28" i="19" s="1"/>
  <c r="C30" i="26"/>
  <c r="P34" i="25"/>
  <c r="G34" i="25"/>
  <c r="F34" i="25"/>
  <c r="C38" i="31"/>
  <c r="C40" i="22"/>
  <c r="P42" i="28"/>
  <c r="G42" i="28"/>
  <c r="F42" i="28"/>
  <c r="P44" i="27"/>
  <c r="F44" i="27"/>
  <c r="G44" i="27"/>
  <c r="Q32" i="29"/>
  <c r="G32" i="29"/>
  <c r="F32" i="29"/>
  <c r="P29" i="28"/>
  <c r="X29" i="28" s="1"/>
  <c r="AA7" i="14" s="1"/>
  <c r="F29" i="28"/>
  <c r="G29" i="28"/>
  <c r="F26" i="16"/>
  <c r="G26" i="16"/>
  <c r="X26" i="16"/>
  <c r="P28" i="15"/>
  <c r="X28" i="15" s="1"/>
  <c r="G28" i="15"/>
  <c r="F28" i="15"/>
  <c r="P38" i="34"/>
  <c r="F38" i="34"/>
  <c r="G38" i="34"/>
  <c r="C54" i="33"/>
  <c r="P60" i="34"/>
  <c r="G60" i="34"/>
  <c r="F60" i="34"/>
  <c r="R62" i="32"/>
  <c r="Q62" i="32"/>
  <c r="F62" i="32"/>
  <c r="G62" i="32"/>
  <c r="O62" i="32"/>
  <c r="R66" i="31"/>
  <c r="G66" i="31"/>
  <c r="Q66" i="31"/>
  <c r="P68" i="21"/>
  <c r="G68" i="21"/>
  <c r="F68" i="21"/>
  <c r="O68" i="21"/>
  <c r="P70" i="26"/>
  <c r="X70" i="26" s="1"/>
  <c r="X48" i="14" s="1"/>
  <c r="F70" i="26"/>
  <c r="G70" i="26"/>
  <c r="P72" i="25"/>
  <c r="G72" i="25"/>
  <c r="F72" i="25"/>
  <c r="Q27" i="29"/>
  <c r="G27" i="29"/>
  <c r="F27" i="29"/>
  <c r="F34" i="34"/>
  <c r="G33" i="34"/>
  <c r="F33" i="34"/>
  <c r="P33" i="34"/>
  <c r="F35" i="33"/>
  <c r="G35" i="33"/>
  <c r="R35" i="33"/>
  <c r="Q35" i="33"/>
  <c r="O35" i="33"/>
  <c r="R39" i="30"/>
  <c r="Q39" i="30"/>
  <c r="G39" i="30"/>
  <c r="F39" i="30"/>
  <c r="P26" i="34"/>
  <c r="X26" i="34" s="1"/>
  <c r="Z4" i="14" s="1"/>
  <c r="F26" i="34"/>
  <c r="G26" i="34"/>
  <c r="F49" i="38"/>
  <c r="O49" i="38"/>
  <c r="G49" i="38"/>
  <c r="P49" i="38"/>
  <c r="F51" i="37"/>
  <c r="P51" i="37"/>
  <c r="G51" i="37"/>
  <c r="O53" i="16"/>
  <c r="F53" i="16"/>
  <c r="G53" i="16"/>
  <c r="P63" i="37"/>
  <c r="X63" i="37" s="1"/>
  <c r="W41" i="14" s="1"/>
  <c r="F63" i="37"/>
  <c r="G63" i="37"/>
  <c r="O65" i="18"/>
  <c r="X65" i="18" s="1"/>
  <c r="G65" i="18"/>
  <c r="F65" i="18"/>
  <c r="P30" i="21"/>
  <c r="F30" i="21"/>
  <c r="G30" i="21"/>
  <c r="O30" i="21"/>
  <c r="G34" i="26"/>
  <c r="F34" i="26"/>
  <c r="P34" i="26"/>
  <c r="R42" i="30"/>
  <c r="Q42" i="30"/>
  <c r="F42" i="30"/>
  <c r="G42" i="30"/>
  <c r="P44" i="21"/>
  <c r="G44" i="21"/>
  <c r="F44" i="21"/>
  <c r="O44" i="21"/>
  <c r="G50" i="37"/>
  <c r="F50" i="37"/>
  <c r="P50" i="37"/>
  <c r="C59" i="26"/>
  <c r="C58" i="26"/>
  <c r="G64" i="22"/>
  <c r="F64" i="22"/>
  <c r="O64" i="22"/>
  <c r="X64" i="22" s="1"/>
  <c r="P68" i="20"/>
  <c r="F68" i="20"/>
  <c r="G68" i="20"/>
  <c r="O68" i="20"/>
  <c r="P27" i="28"/>
  <c r="G27" i="28"/>
  <c r="F27" i="28"/>
  <c r="R33" i="32"/>
  <c r="Q33" i="32"/>
  <c r="G33" i="32"/>
  <c r="F33" i="32"/>
  <c r="O33" i="32"/>
  <c r="P41" i="27"/>
  <c r="G41" i="27"/>
  <c r="F41" i="27"/>
  <c r="F57" i="29"/>
  <c r="Q57" i="29"/>
  <c r="G57" i="29"/>
  <c r="F65" i="33"/>
  <c r="R65" i="33"/>
  <c r="Q65" i="33"/>
  <c r="G65" i="33"/>
  <c r="O65" i="33"/>
  <c r="R67" i="32"/>
  <c r="F67" i="32"/>
  <c r="Q67" i="32"/>
  <c r="G67" i="32"/>
  <c r="O67" i="32"/>
  <c r="P69" i="15"/>
  <c r="X69" i="15" s="1"/>
  <c r="G69" i="15"/>
  <c r="F69" i="15"/>
  <c r="P32" i="37"/>
  <c r="G32" i="37"/>
  <c r="F32" i="37"/>
  <c r="G34" i="34"/>
  <c r="P34" i="34"/>
  <c r="O36" i="17"/>
  <c r="G36" i="17"/>
  <c r="F36" i="17"/>
  <c r="C48" i="38"/>
  <c r="G50" i="34"/>
  <c r="P50" i="34"/>
  <c r="O52" i="16"/>
  <c r="G52" i="16"/>
  <c r="F52" i="16"/>
  <c r="P56" i="38"/>
  <c r="O56" i="38"/>
  <c r="G56" i="38"/>
  <c r="F56" i="38"/>
  <c r="F58" i="16"/>
  <c r="G58" i="16"/>
  <c r="O58" i="16"/>
  <c r="O60" i="17"/>
  <c r="F60" i="17"/>
  <c r="G60" i="17"/>
  <c r="P68" i="37"/>
  <c r="X68" i="37" s="1"/>
  <c r="W46" i="14" s="1"/>
  <c r="F68" i="37"/>
  <c r="G68" i="37"/>
  <c r="C70" i="16"/>
  <c r="G27" i="20"/>
  <c r="F27" i="20"/>
  <c r="P27" i="20"/>
  <c r="O27" i="20"/>
  <c r="G35" i="23"/>
  <c r="F35" i="23"/>
  <c r="O35" i="23"/>
  <c r="O41" i="18"/>
  <c r="G41" i="18"/>
  <c r="F41" i="18"/>
  <c r="O43" i="17"/>
  <c r="G43" i="17"/>
  <c r="F43" i="17"/>
  <c r="G45" i="38"/>
  <c r="O45" i="38"/>
  <c r="P45" i="38"/>
  <c r="F45" i="38"/>
  <c r="O49" i="18"/>
  <c r="G49" i="18"/>
  <c r="F49" i="18"/>
  <c r="G55" i="22"/>
  <c r="F55" i="22"/>
  <c r="O55" i="22"/>
  <c r="P57" i="20"/>
  <c r="G57" i="20"/>
  <c r="F57" i="20"/>
  <c r="O57" i="20"/>
  <c r="C28" i="19"/>
  <c r="F30" i="19"/>
  <c r="G30" i="19"/>
  <c r="O30" i="19"/>
  <c r="X30" i="19" s="1"/>
  <c r="P36" i="24"/>
  <c r="G36" i="24"/>
  <c r="F36" i="24"/>
  <c r="F40" i="22"/>
  <c r="G40" i="22"/>
  <c r="O40" i="22"/>
  <c r="P42" i="20"/>
  <c r="G42" i="20"/>
  <c r="F42" i="20"/>
  <c r="O42" i="20"/>
  <c r="C46" i="28"/>
  <c r="R52" i="30"/>
  <c r="G52" i="30"/>
  <c r="Q52" i="30"/>
  <c r="F52" i="30"/>
  <c r="G68" i="34"/>
  <c r="P68" i="34"/>
  <c r="X68" i="34" s="1"/>
  <c r="Z46" i="14" s="1"/>
  <c r="F68" i="34"/>
  <c r="F70" i="18"/>
  <c r="O70" i="18"/>
  <c r="X70" i="18" s="1"/>
  <c r="G70" i="18"/>
  <c r="C27" i="34"/>
  <c r="C27" i="16"/>
  <c r="O29" i="17"/>
  <c r="X29" i="17" s="1"/>
  <c r="G29" i="17"/>
  <c r="F29" i="17"/>
  <c r="P39" i="26"/>
  <c r="F39" i="26"/>
  <c r="G39" i="26"/>
  <c r="G41" i="25"/>
  <c r="F41" i="25"/>
  <c r="P41" i="25"/>
  <c r="C45" i="19"/>
  <c r="F49" i="25"/>
  <c r="P49" i="25"/>
  <c r="G49" i="25"/>
  <c r="P55" i="21"/>
  <c r="F55" i="21"/>
  <c r="G55" i="21"/>
  <c r="O55" i="21"/>
  <c r="G57" i="19"/>
  <c r="F57" i="19"/>
  <c r="O57" i="19"/>
  <c r="G59" i="26"/>
  <c r="P59" i="26"/>
  <c r="F59" i="26"/>
  <c r="P61" i="25"/>
  <c r="G61" i="25"/>
  <c r="F61" i="25"/>
  <c r="C67" i="31"/>
  <c r="C69" i="21"/>
  <c r="P71" i="28"/>
  <c r="X71" i="28" s="1"/>
  <c r="AA49" i="14" s="1"/>
  <c r="G71" i="28"/>
  <c r="F71" i="28"/>
  <c r="C28" i="27"/>
  <c r="P30" i="27"/>
  <c r="X30" i="27" s="1"/>
  <c r="Y8" i="14" s="1"/>
  <c r="G30" i="27"/>
  <c r="F30" i="27"/>
  <c r="G34" i="32"/>
  <c r="F34" i="32"/>
  <c r="R34" i="32"/>
  <c r="Q34" i="32"/>
  <c r="O34" i="32"/>
  <c r="C36" i="31"/>
  <c r="F41" i="29"/>
  <c r="Q40" i="29"/>
  <c r="G40" i="29"/>
  <c r="F40" i="29"/>
  <c r="C46" i="37"/>
  <c r="P48" i="34"/>
  <c r="G48" i="34"/>
  <c r="C51" i="18"/>
  <c r="C50" i="18"/>
  <c r="F54" i="38"/>
  <c r="O54" i="38"/>
  <c r="G54" i="38"/>
  <c r="P54" i="38"/>
  <c r="G56" i="18"/>
  <c r="O56" i="18"/>
  <c r="F56" i="18"/>
  <c r="O58" i="18"/>
  <c r="G58" i="18"/>
  <c r="F58" i="18"/>
  <c r="P62" i="20"/>
  <c r="F62" i="20"/>
  <c r="G62" i="20"/>
  <c r="O62" i="20"/>
  <c r="F64" i="19"/>
  <c r="G64" i="19"/>
  <c r="O64" i="19"/>
  <c r="X64" i="19" s="1"/>
  <c r="C69" i="25"/>
  <c r="C68" i="25"/>
  <c r="C70" i="23"/>
  <c r="O29" i="16"/>
  <c r="X29" i="16" s="1"/>
  <c r="G29" i="16"/>
  <c r="F29" i="16"/>
  <c r="C37" i="37"/>
  <c r="C39" i="18"/>
  <c r="G41" i="16"/>
  <c r="F41" i="16"/>
  <c r="O41" i="16"/>
  <c r="G45" i="18"/>
  <c r="O45" i="18"/>
  <c r="F45" i="18"/>
  <c r="C55" i="38"/>
  <c r="C57" i="18"/>
  <c r="G63" i="23"/>
  <c r="F63" i="23"/>
  <c r="O63" i="23"/>
  <c r="X63" i="23" s="1"/>
  <c r="C65" i="22"/>
  <c r="C69" i="20"/>
  <c r="P71" i="20"/>
  <c r="G71" i="20"/>
  <c r="F71" i="20"/>
  <c r="O71" i="20"/>
  <c r="P28" i="26"/>
  <c r="X28" i="26" s="1"/>
  <c r="X6" i="14" s="1"/>
  <c r="G28" i="26"/>
  <c r="F28" i="26"/>
  <c r="G30" i="25"/>
  <c r="F30" i="25"/>
  <c r="P30" i="25"/>
  <c r="C32" i="24"/>
  <c r="R36" i="30"/>
  <c r="Q36" i="30"/>
  <c r="G36" i="30"/>
  <c r="F36" i="30"/>
  <c r="P38" i="21"/>
  <c r="F38" i="21"/>
  <c r="G38" i="21"/>
  <c r="O38" i="21"/>
  <c r="P40" i="28"/>
  <c r="G40" i="28"/>
  <c r="F40" i="28"/>
  <c r="C42" i="27"/>
  <c r="C44" i="25"/>
  <c r="Q48" i="32"/>
  <c r="F48" i="32"/>
  <c r="R48" i="32"/>
  <c r="G48" i="32"/>
  <c r="O48" i="32"/>
  <c r="G54" i="37"/>
  <c r="P54" i="37"/>
  <c r="F54" i="37"/>
  <c r="P58" i="15"/>
  <c r="F58" i="15"/>
  <c r="G58" i="15"/>
  <c r="P62" i="37"/>
  <c r="G62" i="37"/>
  <c r="F62" i="37"/>
  <c r="C64" i="18"/>
  <c r="G66" i="17"/>
  <c r="O66" i="17"/>
  <c r="X66" i="17" s="1"/>
  <c r="F66" i="17"/>
  <c r="C70" i="22"/>
  <c r="P72" i="20"/>
  <c r="G72" i="20"/>
  <c r="F72" i="20"/>
  <c r="O72" i="20"/>
  <c r="C33" i="21"/>
  <c r="C43" i="30"/>
  <c r="C45" i="25"/>
  <c r="C49" i="31"/>
  <c r="C55" i="37"/>
  <c r="C59" i="16"/>
  <c r="R63" i="30"/>
  <c r="Q63" i="30"/>
  <c r="G63" i="30"/>
  <c r="F63" i="30"/>
  <c r="C65" i="29"/>
  <c r="C67" i="28"/>
  <c r="C69" i="27"/>
  <c r="F28" i="32"/>
  <c r="G28" i="32"/>
  <c r="R28" i="32"/>
  <c r="Q28" i="32"/>
  <c r="O28" i="32"/>
  <c r="F30" i="32"/>
  <c r="R30" i="32"/>
  <c r="Q30" i="32"/>
  <c r="G30" i="32"/>
  <c r="O30" i="32"/>
  <c r="C34" i="30"/>
  <c r="C36" i="21"/>
  <c r="P38" i="28"/>
  <c r="F38" i="28"/>
  <c r="G38" i="28"/>
  <c r="C40" i="27"/>
  <c r="C42" i="25"/>
  <c r="C46" i="33"/>
  <c r="C48" i="33"/>
  <c r="F54" i="34"/>
  <c r="G54" i="34"/>
  <c r="P54" i="34"/>
  <c r="O56" i="17"/>
  <c r="G56" i="17"/>
  <c r="F56" i="17"/>
  <c r="G60" i="38"/>
  <c r="O60" i="38"/>
  <c r="P60" i="38"/>
  <c r="F60" i="38"/>
  <c r="O62" i="16"/>
  <c r="F62" i="16"/>
  <c r="G62" i="16"/>
  <c r="C64" i="16"/>
  <c r="C68" i="23"/>
  <c r="C70" i="21"/>
  <c r="C29" i="22"/>
  <c r="P33" i="20"/>
  <c r="G33" i="20"/>
  <c r="F33" i="20"/>
  <c r="O33" i="20"/>
  <c r="C35" i="20"/>
  <c r="P39" i="24"/>
  <c r="G39" i="24"/>
  <c r="F39" i="24"/>
  <c r="G41" i="22"/>
  <c r="F41" i="22"/>
  <c r="O41" i="22"/>
  <c r="C45" i="24"/>
  <c r="R49" i="30"/>
  <c r="F49" i="30"/>
  <c r="Q49" i="30"/>
  <c r="G49" i="30"/>
  <c r="P51" i="21"/>
  <c r="G51" i="21"/>
  <c r="F51" i="21"/>
  <c r="O51" i="21"/>
  <c r="C55" i="27"/>
  <c r="C57" i="24"/>
  <c r="F61" i="22"/>
  <c r="G61" i="22"/>
  <c r="O61" i="22"/>
  <c r="C65" i="38"/>
  <c r="C69" i="18"/>
  <c r="P28" i="24"/>
  <c r="X28" i="24" s="1"/>
  <c r="V6" i="14" s="1"/>
  <c r="F28" i="24"/>
  <c r="G28" i="24"/>
  <c r="C30" i="23"/>
  <c r="C36" i="38"/>
  <c r="G38" i="37"/>
  <c r="P38" i="37"/>
  <c r="F38" i="37"/>
  <c r="C40" i="18"/>
  <c r="C42" i="17"/>
  <c r="C47" i="24"/>
  <c r="C46" i="24"/>
  <c r="C48" i="23"/>
  <c r="O54" i="17"/>
  <c r="G54" i="17"/>
  <c r="F54" i="17"/>
  <c r="G60" i="37"/>
  <c r="P60" i="37"/>
  <c r="F60" i="37"/>
  <c r="G62" i="33"/>
  <c r="Q62" i="33"/>
  <c r="R62" i="33"/>
  <c r="F62" i="33"/>
  <c r="O62" i="33"/>
  <c r="O64" i="17"/>
  <c r="X64" i="17" s="1"/>
  <c r="G64" i="17"/>
  <c r="F64" i="17"/>
  <c r="C66" i="15"/>
  <c r="P70" i="20"/>
  <c r="G70" i="20"/>
  <c r="F70" i="20"/>
  <c r="O70" i="20"/>
  <c r="O72" i="18"/>
  <c r="X72" i="18" s="1"/>
  <c r="G72" i="18"/>
  <c r="F72" i="18"/>
  <c r="C31" i="19"/>
  <c r="G33" i="19"/>
  <c r="F33" i="19"/>
  <c r="O33" i="19"/>
  <c r="C37" i="24"/>
  <c r="C39" i="23"/>
  <c r="Q41" i="29"/>
  <c r="G41" i="29"/>
  <c r="P43" i="28"/>
  <c r="G43" i="28"/>
  <c r="F43" i="28"/>
  <c r="F26" i="19"/>
  <c r="G26" i="19"/>
  <c r="O26" i="19"/>
  <c r="X26" i="19" s="1"/>
  <c r="C47" i="30"/>
  <c r="C50" i="21"/>
  <c r="C49" i="21"/>
  <c r="C55" i="25"/>
  <c r="C59" i="30"/>
  <c r="P61" i="21"/>
  <c r="G61" i="21"/>
  <c r="F61" i="21"/>
  <c r="O61" i="21"/>
  <c r="G63" i="28"/>
  <c r="P63" i="28"/>
  <c r="X63" i="28" s="1"/>
  <c r="AA41" i="14" s="1"/>
  <c r="F63" i="28"/>
  <c r="C65" i="27"/>
  <c r="C71" i="33"/>
  <c r="G52" i="23"/>
  <c r="F52" i="23"/>
  <c r="O52" i="23"/>
  <c r="Q54" i="29"/>
  <c r="G54" i="29"/>
  <c r="F54" i="29"/>
  <c r="P58" i="25"/>
  <c r="G58" i="25"/>
  <c r="F58" i="25"/>
  <c r="Q62" i="29"/>
  <c r="G62" i="29"/>
  <c r="F62" i="29"/>
  <c r="C70" i="32"/>
  <c r="G31" i="17"/>
  <c r="O31" i="17"/>
  <c r="X31" i="17" s="1"/>
  <c r="F31" i="17"/>
  <c r="P37" i="20"/>
  <c r="G37" i="20"/>
  <c r="F37" i="20"/>
  <c r="O37" i="20"/>
  <c r="P43" i="24"/>
  <c r="G43" i="24"/>
  <c r="F43" i="24"/>
  <c r="G26" i="30"/>
  <c r="F26" i="30"/>
  <c r="X26" i="15"/>
  <c r="F26" i="15"/>
  <c r="G26" i="15"/>
  <c r="F45" i="19"/>
  <c r="G45" i="19"/>
  <c r="O45" i="19"/>
  <c r="P51" i="24"/>
  <c r="G51" i="24"/>
  <c r="F51" i="24"/>
  <c r="C57" i="19"/>
  <c r="C59" i="17"/>
  <c r="P63" i="24"/>
  <c r="X63" i="24" s="1"/>
  <c r="V41" i="14" s="1"/>
  <c r="G63" i="24"/>
  <c r="F63" i="24"/>
  <c r="C65" i="23"/>
  <c r="P69" i="21"/>
  <c r="G69" i="21"/>
  <c r="F69" i="21"/>
  <c r="O69" i="21"/>
  <c r="G71" i="19"/>
  <c r="F71" i="19"/>
  <c r="O71" i="19"/>
  <c r="X71" i="19" s="1"/>
  <c r="C30" i="27"/>
  <c r="C32" i="25"/>
  <c r="R36" i="31"/>
  <c r="G36" i="31"/>
  <c r="Q36" i="31"/>
  <c r="F36" i="31"/>
  <c r="R38" i="30"/>
  <c r="F38" i="30"/>
  <c r="Q38" i="30"/>
  <c r="G38" i="30"/>
  <c r="C40" i="29"/>
  <c r="F42" i="26"/>
  <c r="G42" i="26"/>
  <c r="P42" i="26"/>
  <c r="C48" i="34"/>
  <c r="F50" i="32"/>
  <c r="R50" i="32"/>
  <c r="Q50" i="32"/>
  <c r="G50" i="32"/>
  <c r="O50" i="32"/>
  <c r="P56" i="34"/>
  <c r="G56" i="34"/>
  <c r="F56" i="34"/>
  <c r="C59" i="18"/>
  <c r="C58" i="18"/>
  <c r="P62" i="38"/>
  <c r="G62" i="38"/>
  <c r="F62" i="38"/>
  <c r="O62" i="38"/>
  <c r="F66" i="16"/>
  <c r="G66" i="16"/>
  <c r="O66" i="16"/>
  <c r="X66" i="16" s="1"/>
  <c r="F70" i="23"/>
  <c r="G70" i="23"/>
  <c r="O70" i="23"/>
  <c r="X70" i="23" s="1"/>
  <c r="G27" i="18"/>
  <c r="F27" i="18"/>
  <c r="O27" i="18"/>
  <c r="G37" i="37"/>
  <c r="F37" i="37"/>
  <c r="P37" i="37"/>
  <c r="G39" i="34"/>
  <c r="F39" i="34"/>
  <c r="P39" i="34"/>
  <c r="C42" i="16"/>
  <c r="C41" i="16"/>
  <c r="G26" i="31"/>
  <c r="F26" i="31"/>
  <c r="R26" i="31"/>
  <c r="Q26" i="31"/>
  <c r="F45" i="34"/>
  <c r="P45" i="34"/>
  <c r="G45" i="34"/>
  <c r="O47" i="17"/>
  <c r="F47" i="17"/>
  <c r="G47" i="17"/>
  <c r="O49" i="17"/>
  <c r="F49" i="17"/>
  <c r="G49" i="17"/>
  <c r="P55" i="38"/>
  <c r="F55" i="38"/>
  <c r="O55" i="38"/>
  <c r="G55" i="38"/>
  <c r="G57" i="34"/>
  <c r="F57" i="34"/>
  <c r="P57" i="34"/>
  <c r="O59" i="18"/>
  <c r="G59" i="18"/>
  <c r="F59" i="18"/>
  <c r="F65" i="22"/>
  <c r="G65" i="22"/>
  <c r="O65" i="22"/>
  <c r="X65" i="22" s="1"/>
  <c r="G69" i="38"/>
  <c r="F69" i="38"/>
  <c r="O69" i="38"/>
  <c r="P69" i="38"/>
  <c r="C28" i="18"/>
  <c r="P32" i="24"/>
  <c r="F32" i="24"/>
  <c r="G32" i="24"/>
  <c r="C34" i="23"/>
  <c r="C38" i="21"/>
  <c r="C40" i="20"/>
  <c r="P44" i="25"/>
  <c r="G44" i="25"/>
  <c r="F44" i="25"/>
  <c r="C46" i="27"/>
  <c r="Q50" i="31"/>
  <c r="G50" i="31"/>
  <c r="R50" i="31"/>
  <c r="Q56" i="32"/>
  <c r="R56" i="32"/>
  <c r="G56" i="32"/>
  <c r="F56" i="32"/>
  <c r="O56" i="32"/>
  <c r="C62" i="37"/>
  <c r="C64" i="34"/>
  <c r="C66" i="17"/>
  <c r="C68" i="16"/>
  <c r="C72" i="20"/>
  <c r="C27" i="24"/>
  <c r="C29" i="23"/>
  <c r="P33" i="21"/>
  <c r="F33" i="21"/>
  <c r="G33" i="21"/>
  <c r="O33" i="21"/>
  <c r="F35" i="19"/>
  <c r="G35" i="19"/>
  <c r="O35" i="19"/>
  <c r="P37" i="26"/>
  <c r="F37" i="26"/>
  <c r="G37" i="26"/>
  <c r="C39" i="25"/>
  <c r="C41" i="23"/>
  <c r="P45" i="25"/>
  <c r="G45" i="25"/>
  <c r="F45" i="25"/>
  <c r="P47" i="24"/>
  <c r="G47" i="24"/>
  <c r="F47" i="24"/>
  <c r="R51" i="30"/>
  <c r="Q51" i="30"/>
  <c r="F51" i="30"/>
  <c r="G51" i="30"/>
  <c r="F57" i="33"/>
  <c r="R57" i="33"/>
  <c r="Q57" i="33"/>
  <c r="G57" i="33"/>
  <c r="O57" i="33"/>
  <c r="C59" i="32"/>
  <c r="C63" i="30"/>
  <c r="C66" i="21"/>
  <c r="C65" i="21"/>
  <c r="P67" i="28"/>
  <c r="X67" i="28" s="1"/>
  <c r="AA45" i="14" s="1"/>
  <c r="F67" i="28"/>
  <c r="G67" i="28"/>
  <c r="P69" i="27"/>
  <c r="X69" i="27" s="1"/>
  <c r="Y47" i="14" s="1"/>
  <c r="G69" i="27"/>
  <c r="F69" i="27"/>
  <c r="C30" i="32"/>
  <c r="F32" i="31"/>
  <c r="Q32" i="31"/>
  <c r="R32" i="31"/>
  <c r="G32" i="31"/>
  <c r="P36" i="21"/>
  <c r="G36" i="21"/>
  <c r="F36" i="21"/>
  <c r="O36" i="21"/>
  <c r="C38" i="20"/>
  <c r="P42" i="25"/>
  <c r="G42" i="25"/>
  <c r="F42" i="25"/>
  <c r="C44" i="24"/>
  <c r="G48" i="33"/>
  <c r="F48" i="33"/>
  <c r="Q48" i="33"/>
  <c r="R48" i="33"/>
  <c r="O48" i="33"/>
  <c r="R50" i="30"/>
  <c r="Q50" i="30"/>
  <c r="G50" i="30"/>
  <c r="F50" i="30"/>
  <c r="C56" i="33"/>
  <c r="C60" i="38"/>
  <c r="P62" i="34"/>
  <c r="G62" i="34"/>
  <c r="F62" i="34"/>
  <c r="O64" i="16"/>
  <c r="X64" i="16" s="1"/>
  <c r="F64" i="16"/>
  <c r="G64" i="16"/>
  <c r="O66" i="18"/>
  <c r="X66" i="18" s="1"/>
  <c r="G66" i="18"/>
  <c r="F66" i="18"/>
  <c r="P70" i="21"/>
  <c r="F70" i="21"/>
  <c r="G70" i="21"/>
  <c r="O70" i="21"/>
  <c r="G72" i="19"/>
  <c r="F72" i="19"/>
  <c r="O72" i="19"/>
  <c r="X72" i="19" s="1"/>
  <c r="G27" i="23"/>
  <c r="F27" i="23"/>
  <c r="O27" i="23"/>
  <c r="F29" i="22"/>
  <c r="G29" i="22"/>
  <c r="O29" i="22"/>
  <c r="X29" i="22" s="1"/>
  <c r="C33" i="38"/>
  <c r="P35" i="20"/>
  <c r="G35" i="20"/>
  <c r="F35" i="20"/>
  <c r="O35" i="20"/>
  <c r="C37" i="17"/>
  <c r="C41" i="22"/>
  <c r="F26" i="38"/>
  <c r="O26" i="38"/>
  <c r="P26" i="38"/>
  <c r="G26" i="38"/>
  <c r="F26" i="20"/>
  <c r="P26" i="20"/>
  <c r="G26" i="20"/>
  <c r="P45" i="24"/>
  <c r="G45" i="24"/>
  <c r="F45" i="24"/>
  <c r="C47" i="23"/>
  <c r="F53" i="19"/>
  <c r="G53" i="19"/>
  <c r="O53" i="19"/>
  <c r="P57" i="24"/>
  <c r="G57" i="24"/>
  <c r="F57" i="24"/>
  <c r="G59" i="23"/>
  <c r="F59" i="23"/>
  <c r="O59" i="23"/>
  <c r="P65" i="38"/>
  <c r="G65" i="38"/>
  <c r="O65" i="38"/>
  <c r="F65" i="38"/>
  <c r="F67" i="37"/>
  <c r="G67" i="37"/>
  <c r="P67" i="37"/>
  <c r="X67" i="37" s="1"/>
  <c r="W45" i="14" s="1"/>
  <c r="G69" i="18"/>
  <c r="F69" i="18"/>
  <c r="O69" i="18"/>
  <c r="X69" i="18" s="1"/>
  <c r="G71" i="17"/>
  <c r="O71" i="17"/>
  <c r="X71" i="17" s="1"/>
  <c r="F71" i="17"/>
  <c r="G30" i="23"/>
  <c r="F30" i="23"/>
  <c r="O30" i="23"/>
  <c r="X30" i="23" s="1"/>
  <c r="C38" i="37"/>
  <c r="P40" i="34"/>
  <c r="G40" i="34"/>
  <c r="F40" i="34"/>
  <c r="G42" i="17"/>
  <c r="O42" i="17"/>
  <c r="F42" i="17"/>
  <c r="G48" i="23"/>
  <c r="F48" i="23"/>
  <c r="O48" i="23"/>
  <c r="C52" i="37"/>
  <c r="C54" i="17"/>
  <c r="C62" i="33"/>
  <c r="C64" i="33"/>
  <c r="P66" i="15"/>
  <c r="X66" i="15" s="1"/>
  <c r="G66" i="15"/>
  <c r="F66" i="15"/>
  <c r="O70" i="38"/>
  <c r="P70" i="38"/>
  <c r="F70" i="38"/>
  <c r="G70" i="38"/>
  <c r="C72" i="18"/>
  <c r="C31" i="38"/>
  <c r="C33" i="19"/>
  <c r="C35" i="16"/>
  <c r="G39" i="23"/>
  <c r="F39" i="23"/>
  <c r="O39" i="23"/>
  <c r="P41" i="21"/>
  <c r="G41" i="21"/>
  <c r="F41" i="21"/>
  <c r="O41" i="21"/>
  <c r="P26" i="26"/>
  <c r="X26" i="26" s="1"/>
  <c r="X4" i="14" s="1"/>
  <c r="G26" i="26"/>
  <c r="F26" i="26"/>
  <c r="G45" i="31"/>
  <c r="R45" i="31"/>
  <c r="Q45" i="31"/>
  <c r="F45" i="31"/>
  <c r="P49" i="21"/>
  <c r="G49" i="21"/>
  <c r="F49" i="21"/>
  <c r="O49" i="21"/>
  <c r="C51" i="19"/>
  <c r="G53" i="26"/>
  <c r="F53" i="26"/>
  <c r="P53" i="26"/>
  <c r="P55" i="25"/>
  <c r="F55" i="25"/>
  <c r="G55" i="25"/>
  <c r="F57" i="23"/>
  <c r="G57" i="23"/>
  <c r="O57" i="23"/>
  <c r="C61" i="21"/>
  <c r="C63" i="19"/>
  <c r="P67" i="26"/>
  <c r="X67" i="26" s="1"/>
  <c r="X45" i="14" s="1"/>
  <c r="F67" i="26"/>
  <c r="G67" i="26"/>
  <c r="P69" i="25"/>
  <c r="G69" i="25"/>
  <c r="F69" i="25"/>
  <c r="G48" i="19"/>
  <c r="F48" i="19"/>
  <c r="O48" i="19"/>
  <c r="R70" i="32"/>
  <c r="F70" i="32"/>
  <c r="Q70" i="32"/>
  <c r="G70" i="32"/>
  <c r="O70" i="32"/>
  <c r="C72" i="30"/>
  <c r="P27" i="34"/>
  <c r="G27" i="34"/>
  <c r="F27" i="34"/>
  <c r="G29" i="32"/>
  <c r="F29" i="32"/>
  <c r="R29" i="32"/>
  <c r="Q29" i="32"/>
  <c r="O29" i="32"/>
  <c r="G31" i="33"/>
  <c r="F31" i="33"/>
  <c r="R31" i="33"/>
  <c r="Q31" i="33"/>
  <c r="O31" i="33"/>
  <c r="P33" i="15"/>
  <c r="G33" i="15"/>
  <c r="O37" i="38"/>
  <c r="P37" i="38"/>
  <c r="G37" i="38"/>
  <c r="F37" i="38"/>
  <c r="P39" i="20"/>
  <c r="G39" i="20"/>
  <c r="F39" i="20"/>
  <c r="O39" i="20"/>
  <c r="O41" i="17"/>
  <c r="G41" i="17"/>
  <c r="F41" i="17"/>
  <c r="P45" i="37"/>
  <c r="G45" i="37"/>
  <c r="F45" i="37"/>
  <c r="O47" i="18"/>
  <c r="G47" i="18"/>
  <c r="F47" i="18"/>
  <c r="G49" i="16"/>
  <c r="O49" i="16"/>
  <c r="F49" i="16"/>
  <c r="G53" i="22"/>
  <c r="F53" i="22"/>
  <c r="O53" i="22"/>
  <c r="C57" i="37"/>
  <c r="O59" i="17"/>
  <c r="G59" i="17"/>
  <c r="F59" i="17"/>
  <c r="C61" i="16"/>
  <c r="F65" i="23"/>
  <c r="G65" i="23"/>
  <c r="O65" i="23"/>
  <c r="X65" i="23" s="1"/>
  <c r="C67" i="22"/>
  <c r="C71" i="19"/>
  <c r="P28" i="20"/>
  <c r="F28" i="20"/>
  <c r="G28" i="20"/>
  <c r="O28" i="20"/>
  <c r="P32" i="25"/>
  <c r="G32" i="25"/>
  <c r="F32" i="25"/>
  <c r="C34" i="24"/>
  <c r="C38" i="30"/>
  <c r="P40" i="21"/>
  <c r="F40" i="21"/>
  <c r="G40" i="21"/>
  <c r="O40" i="21"/>
  <c r="C42" i="26"/>
  <c r="C44" i="26"/>
  <c r="R52" i="31"/>
  <c r="Q52" i="31"/>
  <c r="G52" i="31"/>
  <c r="Q58" i="33"/>
  <c r="R58" i="33"/>
  <c r="F58" i="33"/>
  <c r="G58" i="33"/>
  <c r="O58" i="33"/>
  <c r="C62" i="38"/>
  <c r="F64" i="37"/>
  <c r="G64" i="37"/>
  <c r="P64" i="37"/>
  <c r="X64" i="37" s="1"/>
  <c r="W42" i="14" s="1"/>
  <c r="C69" i="17"/>
  <c r="C68" i="17"/>
  <c r="C27" i="33"/>
  <c r="G29" i="33"/>
  <c r="F29" i="33"/>
  <c r="R29" i="33"/>
  <c r="Q29" i="33"/>
  <c r="O29" i="33"/>
  <c r="P31" i="15"/>
  <c r="X31" i="15" s="1"/>
  <c r="G31" i="15"/>
  <c r="C39" i="34"/>
  <c r="C41" i="33"/>
  <c r="C45" i="34"/>
  <c r="R47" i="33"/>
  <c r="Q47" i="33"/>
  <c r="G47" i="33"/>
  <c r="F47" i="33"/>
  <c r="O47" i="33"/>
  <c r="C57" i="34"/>
  <c r="R59" i="33"/>
  <c r="F59" i="33"/>
  <c r="Q59" i="33"/>
  <c r="G59" i="33"/>
  <c r="O59" i="33"/>
  <c r="O61" i="17"/>
  <c r="G61" i="17"/>
  <c r="F61" i="17"/>
  <c r="C69" i="38"/>
  <c r="C71" i="37"/>
  <c r="O28" i="18"/>
  <c r="X28" i="18" s="1"/>
  <c r="G28" i="18"/>
  <c r="F28" i="18"/>
  <c r="F30" i="18"/>
  <c r="G30" i="18"/>
  <c r="O30" i="18"/>
  <c r="X30" i="18" s="1"/>
  <c r="G34" i="23"/>
  <c r="F34" i="23"/>
  <c r="O34" i="23"/>
  <c r="G36" i="22"/>
  <c r="F36" i="22"/>
  <c r="O36" i="22"/>
  <c r="P40" i="20"/>
  <c r="F40" i="20"/>
  <c r="G40" i="20"/>
  <c r="O40" i="20"/>
  <c r="G42" i="16"/>
  <c r="F42" i="16"/>
  <c r="O42" i="16"/>
  <c r="P46" i="27"/>
  <c r="G46" i="27"/>
  <c r="F46" i="27"/>
  <c r="C48" i="25"/>
  <c r="F58" i="31"/>
  <c r="R58" i="31"/>
  <c r="Q58" i="31"/>
  <c r="G58" i="31"/>
  <c r="F65" i="34"/>
  <c r="P64" i="34"/>
  <c r="X64" i="34" s="1"/>
  <c r="Z42" i="14" s="1"/>
  <c r="G64" i="34"/>
  <c r="F64" i="34"/>
  <c r="O68" i="16"/>
  <c r="X68" i="16" s="1"/>
  <c r="F68" i="16"/>
  <c r="G68" i="16"/>
  <c r="G72" i="38"/>
  <c r="F72" i="38"/>
  <c r="P72" i="38"/>
  <c r="O72" i="38"/>
  <c r="P27" i="24"/>
  <c r="F27" i="24"/>
  <c r="G27" i="24"/>
  <c r="F29" i="23"/>
  <c r="G29" i="23"/>
  <c r="O29" i="23"/>
  <c r="X29" i="23" s="1"/>
  <c r="C31" i="22"/>
  <c r="C35" i="19"/>
  <c r="C37" i="18"/>
  <c r="P39" i="25"/>
  <c r="G39" i="25"/>
  <c r="F41" i="23"/>
  <c r="G41" i="23"/>
  <c r="O41" i="23"/>
  <c r="F43" i="22"/>
  <c r="G43" i="22"/>
  <c r="O43" i="22"/>
  <c r="F49" i="23"/>
  <c r="G49" i="23"/>
  <c r="O49" i="23"/>
  <c r="P55" i="26"/>
  <c r="G55" i="26"/>
  <c r="F55" i="26"/>
  <c r="R59" i="32"/>
  <c r="G59" i="32"/>
  <c r="Q59" i="32"/>
  <c r="F59" i="32"/>
  <c r="O59" i="32"/>
  <c r="R61" i="31"/>
  <c r="Q61" i="31"/>
  <c r="G61" i="31"/>
  <c r="F61" i="31"/>
  <c r="P65" i="21"/>
  <c r="F65" i="21"/>
  <c r="G65" i="21"/>
  <c r="O65" i="21"/>
  <c r="X65" i="21" s="1"/>
  <c r="C67" i="19"/>
  <c r="G71" i="26"/>
  <c r="F71" i="26"/>
  <c r="P71" i="26"/>
  <c r="X71" i="26" s="1"/>
  <c r="X49" i="14" s="1"/>
  <c r="F29" i="25"/>
  <c r="F28" i="25"/>
  <c r="P28" i="25"/>
  <c r="X28" i="25" s="1"/>
  <c r="G28" i="25"/>
  <c r="C32" i="31"/>
  <c r="G34" i="22"/>
  <c r="F34" i="22"/>
  <c r="O34" i="22"/>
  <c r="P38" i="20"/>
  <c r="G38" i="20"/>
  <c r="F38" i="20"/>
  <c r="O38" i="20"/>
  <c r="F40" i="19"/>
  <c r="G40" i="19"/>
  <c r="O40" i="19"/>
  <c r="P44" i="24"/>
  <c r="G44" i="24"/>
  <c r="F44" i="24"/>
  <c r="C46" i="25"/>
  <c r="Q56" i="33"/>
  <c r="G56" i="33"/>
  <c r="R56" i="33"/>
  <c r="F56" i="33"/>
  <c r="O56" i="33"/>
  <c r="R58" i="30"/>
  <c r="G58" i="30"/>
  <c r="Q58" i="30"/>
  <c r="F58" i="30"/>
  <c r="C64" i="32"/>
  <c r="C66" i="18"/>
  <c r="C72" i="19"/>
  <c r="C27" i="15"/>
  <c r="F34" i="38"/>
  <c r="G33" i="38"/>
  <c r="O33" i="38"/>
  <c r="P33" i="38"/>
  <c r="F33" i="38"/>
  <c r="P35" i="37"/>
  <c r="G35" i="37"/>
  <c r="F35" i="37"/>
  <c r="G37" i="17"/>
  <c r="O37" i="17"/>
  <c r="F37" i="17"/>
  <c r="C39" i="16"/>
  <c r="G47" i="23"/>
  <c r="F47" i="23"/>
  <c r="O47" i="23"/>
  <c r="G49" i="22"/>
  <c r="F49" i="22"/>
  <c r="O49" i="22"/>
  <c r="C59" i="23"/>
  <c r="C67" i="37"/>
  <c r="C69" i="34"/>
  <c r="C71" i="17"/>
  <c r="C28" i="16"/>
  <c r="C34" i="29"/>
  <c r="C40" i="34"/>
  <c r="G42" i="32"/>
  <c r="Q42" i="32"/>
  <c r="F42" i="32"/>
  <c r="R42" i="32"/>
  <c r="O42" i="32"/>
  <c r="P44" i="15"/>
  <c r="G44" i="15"/>
  <c r="O46" i="17"/>
  <c r="G46" i="17"/>
  <c r="F46" i="17"/>
  <c r="G52" i="37"/>
  <c r="F52" i="37"/>
  <c r="P52" i="37"/>
  <c r="C54" i="32"/>
  <c r="C58" i="29"/>
  <c r="C60" i="27"/>
  <c r="R64" i="33"/>
  <c r="Q64" i="33"/>
  <c r="G64" i="33"/>
  <c r="F64" i="33"/>
  <c r="O64" i="33"/>
  <c r="R66" i="30"/>
  <c r="G66" i="30"/>
  <c r="Q66" i="30"/>
  <c r="F66" i="30"/>
  <c r="C70" i="38"/>
  <c r="P72" i="34"/>
  <c r="X72" i="34" s="1"/>
  <c r="Z50" i="14" s="1"/>
  <c r="F72" i="34"/>
  <c r="G72" i="34"/>
  <c r="O31" i="38"/>
  <c r="P31" i="38"/>
  <c r="G31" i="38"/>
  <c r="F31" i="38"/>
  <c r="F33" i="37"/>
  <c r="P33" i="37"/>
  <c r="G33" i="37"/>
  <c r="O35" i="16"/>
  <c r="G35" i="16"/>
  <c r="F35" i="16"/>
  <c r="C37" i="16"/>
  <c r="C41" i="21"/>
  <c r="C43" i="19"/>
  <c r="C45" i="31"/>
  <c r="F51" i="19"/>
  <c r="G51" i="19"/>
  <c r="O51" i="19"/>
  <c r="O53" i="18"/>
  <c r="G53" i="18"/>
  <c r="F53" i="18"/>
  <c r="C58" i="23"/>
  <c r="C57" i="23"/>
  <c r="G59" i="22"/>
  <c r="F59" i="22"/>
  <c r="O59" i="22"/>
  <c r="G63" i="19"/>
  <c r="F63" i="19"/>
  <c r="O63" i="19"/>
  <c r="X63" i="19" s="1"/>
  <c r="C65" i="19"/>
  <c r="C67" i="26"/>
  <c r="P54" i="21"/>
  <c r="F54" i="21"/>
  <c r="G54" i="21"/>
  <c r="O54" i="21"/>
  <c r="G60" i="23"/>
  <c r="F60" i="23"/>
  <c r="O60" i="23"/>
  <c r="G64" i="28"/>
  <c r="P64" i="28"/>
  <c r="X64" i="28" s="1"/>
  <c r="AA42" i="14" s="1"/>
  <c r="F64" i="28"/>
  <c r="C66" i="26"/>
  <c r="R72" i="30"/>
  <c r="Q72" i="30"/>
  <c r="G72" i="30"/>
  <c r="F72" i="30"/>
  <c r="R33" i="30"/>
  <c r="F33" i="30"/>
  <c r="G33" i="30"/>
  <c r="Q33" i="30"/>
  <c r="P39" i="37"/>
  <c r="G39" i="37"/>
  <c r="F39" i="37"/>
  <c r="C41" i="17"/>
  <c r="O43" i="16"/>
  <c r="G43" i="16"/>
  <c r="F43" i="16"/>
  <c r="C45" i="37"/>
  <c r="C51" i="16"/>
  <c r="G57" i="37"/>
  <c r="F57" i="37"/>
  <c r="P57" i="37"/>
  <c r="G59" i="34"/>
  <c r="F59" i="34"/>
  <c r="P59" i="34"/>
  <c r="O61" i="16"/>
  <c r="G61" i="16"/>
  <c r="F61" i="16"/>
  <c r="F67" i="22"/>
  <c r="G67" i="22"/>
  <c r="O67" i="22"/>
  <c r="X67" i="22" s="1"/>
  <c r="G71" i="38"/>
  <c r="P71" i="38"/>
  <c r="O71" i="38"/>
  <c r="F71" i="38"/>
  <c r="C28" i="20"/>
  <c r="P34" i="24"/>
  <c r="G34" i="24"/>
  <c r="F34" i="24"/>
  <c r="C36" i="23"/>
  <c r="C40" i="21"/>
  <c r="G44" i="26"/>
  <c r="P44" i="26"/>
  <c r="F44" i="26"/>
  <c r="C64" i="37"/>
  <c r="F66" i="34"/>
  <c r="P66" i="34"/>
  <c r="X66" i="34" s="1"/>
  <c r="Z44" i="14" s="1"/>
  <c r="G66" i="34"/>
  <c r="O68" i="17"/>
  <c r="X68" i="17" s="1"/>
  <c r="G68" i="17"/>
  <c r="F68" i="17"/>
  <c r="F27" i="33"/>
  <c r="R27" i="33"/>
  <c r="Q27" i="33"/>
  <c r="G27" i="33"/>
  <c r="O27" i="33"/>
  <c r="R31" i="31"/>
  <c r="G31" i="31"/>
  <c r="Q31" i="31"/>
  <c r="F31" i="31"/>
  <c r="C37" i="27"/>
  <c r="G41" i="33"/>
  <c r="F41" i="33"/>
  <c r="R41" i="33"/>
  <c r="Q41" i="33"/>
  <c r="O41" i="33"/>
  <c r="G43" i="31"/>
  <c r="R43" i="31"/>
  <c r="F43" i="31"/>
  <c r="Q43" i="31"/>
  <c r="C55" i="28"/>
  <c r="C59" i="33"/>
  <c r="C61" i="32"/>
  <c r="P63" i="15"/>
  <c r="X63" i="15" s="1"/>
  <c r="G63" i="15"/>
  <c r="G71" i="37"/>
  <c r="F71" i="37"/>
  <c r="P71" i="37"/>
  <c r="X71" i="37" s="1"/>
  <c r="W49" i="14" s="1"/>
  <c r="C28" i="34"/>
  <c r="C30" i="18"/>
  <c r="C32" i="16"/>
  <c r="C36" i="22"/>
  <c r="C40" i="38"/>
  <c r="O44" i="17"/>
  <c r="G44" i="17"/>
  <c r="F44" i="17"/>
  <c r="F48" i="25"/>
  <c r="P48" i="25"/>
  <c r="G48" i="25"/>
  <c r="G52" i="29"/>
  <c r="F52" i="29"/>
  <c r="Q52" i="29"/>
  <c r="C60" i="29"/>
  <c r="C62" i="26"/>
  <c r="Q66" i="33"/>
  <c r="R66" i="33"/>
  <c r="F66" i="33"/>
  <c r="G66" i="33"/>
  <c r="O66" i="33"/>
  <c r="F68" i="33"/>
  <c r="Q68" i="33"/>
  <c r="G68" i="33"/>
  <c r="R68" i="33"/>
  <c r="O68" i="33"/>
  <c r="C72" i="38"/>
  <c r="G31" i="22"/>
  <c r="F31" i="22"/>
  <c r="X31" i="22"/>
  <c r="F35" i="38"/>
  <c r="P35" i="38"/>
  <c r="O35" i="38"/>
  <c r="G35" i="38"/>
  <c r="O37" i="18"/>
  <c r="G37" i="18"/>
  <c r="F37" i="18"/>
  <c r="C39" i="17"/>
  <c r="C43" i="22"/>
  <c r="C45" i="17"/>
  <c r="C50" i="23"/>
  <c r="C49" i="23"/>
  <c r="P53" i="28"/>
  <c r="G53" i="28"/>
  <c r="F53" i="28"/>
  <c r="C57" i="25"/>
  <c r="C61" i="31"/>
  <c r="G63" i="22"/>
  <c r="F63" i="22"/>
  <c r="O63" i="22"/>
  <c r="X63" i="22" s="1"/>
  <c r="G67" i="19"/>
  <c r="F67" i="19"/>
  <c r="O67" i="19"/>
  <c r="X67" i="19" s="1"/>
  <c r="G69" i="19"/>
  <c r="F69" i="19"/>
  <c r="O69" i="19"/>
  <c r="X69" i="19" s="1"/>
  <c r="C28" i="25"/>
  <c r="C30" i="24"/>
  <c r="C34" i="22"/>
  <c r="P38" i="38"/>
  <c r="G38" i="38"/>
  <c r="F38" i="38"/>
  <c r="O38" i="38"/>
  <c r="C40" i="19"/>
  <c r="O42" i="18"/>
  <c r="G42" i="18"/>
  <c r="F42" i="18"/>
  <c r="F46" i="25"/>
  <c r="P46" i="25"/>
  <c r="G46" i="25"/>
  <c r="P48" i="24"/>
  <c r="G48" i="24"/>
  <c r="F48" i="24"/>
  <c r="C58" i="30"/>
  <c r="Q64" i="32"/>
  <c r="R64" i="32"/>
  <c r="F64" i="32"/>
  <c r="G64" i="32"/>
  <c r="O64" i="32"/>
  <c r="C66" i="32"/>
  <c r="P68" i="15"/>
  <c r="X68" i="15" s="1"/>
  <c r="G68" i="15"/>
  <c r="C72" i="37"/>
  <c r="Q31" i="29"/>
  <c r="X31" i="29" s="1"/>
  <c r="G31" i="29"/>
  <c r="F31" i="29"/>
  <c r="C35" i="37"/>
  <c r="F37" i="33"/>
  <c r="R37" i="33"/>
  <c r="Q37" i="33"/>
  <c r="G37" i="33"/>
  <c r="O37" i="33"/>
  <c r="O39" i="16"/>
  <c r="G39" i="16"/>
  <c r="F39" i="16"/>
  <c r="C45" i="16"/>
  <c r="C49" i="22"/>
  <c r="G53" i="37"/>
  <c r="F53" i="37"/>
  <c r="P53" i="37"/>
  <c r="G55" i="17"/>
  <c r="O55" i="17"/>
  <c r="F55" i="17"/>
  <c r="O57" i="17"/>
  <c r="G57" i="17"/>
  <c r="F57" i="17"/>
  <c r="Q63" i="29"/>
  <c r="X63" i="29" s="1"/>
  <c r="F63" i="29"/>
  <c r="G63" i="29"/>
  <c r="G69" i="34"/>
  <c r="P69" i="34"/>
  <c r="X69" i="34" s="1"/>
  <c r="Z47" i="14" s="1"/>
  <c r="F69" i="34"/>
  <c r="C71" i="32"/>
  <c r="O28" i="16"/>
  <c r="X28" i="16" s="1"/>
  <c r="G28" i="16"/>
  <c r="F28" i="16"/>
  <c r="C32" i="30"/>
  <c r="Q34" i="29"/>
  <c r="G34" i="29"/>
  <c r="F34" i="29"/>
  <c r="C36" i="28"/>
  <c r="C42" i="32"/>
  <c r="R44" i="30"/>
  <c r="G44" i="30"/>
  <c r="Q44" i="30"/>
  <c r="F44" i="30"/>
  <c r="C46" i="17"/>
  <c r="R54" i="32"/>
  <c r="Q54" i="32"/>
  <c r="G54" i="32"/>
  <c r="F54" i="32"/>
  <c r="O54" i="32"/>
  <c r="C56" i="31"/>
  <c r="Q58" i="29"/>
  <c r="G58" i="29"/>
  <c r="F58" i="29"/>
  <c r="P60" i="27"/>
  <c r="G60" i="27"/>
  <c r="F60" i="27"/>
  <c r="C63" i="25"/>
  <c r="C62" i="25"/>
  <c r="C66" i="30"/>
  <c r="Q68" i="31"/>
  <c r="G68" i="31"/>
  <c r="R68" i="31"/>
  <c r="F68" i="31"/>
  <c r="C72" i="34"/>
  <c r="C27" i="30"/>
  <c r="C33" i="37"/>
  <c r="G35" i="34"/>
  <c r="F35" i="34"/>
  <c r="P35" i="34"/>
  <c r="O37" i="16"/>
  <c r="G37" i="16"/>
  <c r="F37" i="16"/>
  <c r="G43" i="19"/>
  <c r="F43" i="19"/>
  <c r="O43" i="19"/>
  <c r="G47" i="22"/>
  <c r="F47" i="22"/>
  <c r="O47" i="22"/>
  <c r="C51" i="38"/>
  <c r="C53" i="18"/>
  <c r="C55" i="18"/>
  <c r="C59" i="22"/>
  <c r="O63" i="38"/>
  <c r="G63" i="38"/>
  <c r="F63" i="38"/>
  <c r="P63" i="38"/>
  <c r="G65" i="19"/>
  <c r="F65" i="19"/>
  <c r="O65" i="19"/>
  <c r="X65" i="19" s="1"/>
  <c r="C67" i="18"/>
  <c r="P71" i="24"/>
  <c r="X71" i="24" s="1"/>
  <c r="V49" i="14" s="1"/>
  <c r="G71" i="24"/>
  <c r="F71" i="24"/>
  <c r="C46" i="38"/>
  <c r="C48" i="37"/>
  <c r="P52" i="15"/>
  <c r="G52" i="15"/>
  <c r="G56" i="19"/>
  <c r="F56" i="19"/>
  <c r="O56" i="19"/>
  <c r="G58" i="17"/>
  <c r="F58" i="17"/>
  <c r="O58" i="17"/>
  <c r="P62" i="21"/>
  <c r="F62" i="21"/>
  <c r="G62" i="21"/>
  <c r="O62" i="21"/>
  <c r="P64" i="20"/>
  <c r="F64" i="20"/>
  <c r="G64" i="20"/>
  <c r="O64" i="20"/>
  <c r="G66" i="26"/>
  <c r="P66" i="26"/>
  <c r="X66" i="26" s="1"/>
  <c r="X44" i="14" s="1"/>
  <c r="F66" i="26"/>
  <c r="G68" i="26"/>
  <c r="P68" i="26"/>
  <c r="X68" i="26" s="1"/>
  <c r="X46" i="14" s="1"/>
  <c r="F68" i="26"/>
  <c r="P70" i="24"/>
  <c r="X70" i="24" s="1"/>
  <c r="V48" i="14" s="1"/>
  <c r="G70" i="24"/>
  <c r="F70" i="24"/>
  <c r="C27" i="27"/>
  <c r="R35" i="30"/>
  <c r="F35" i="30"/>
  <c r="G35" i="30"/>
  <c r="Q35" i="30"/>
  <c r="C41" i="32"/>
  <c r="F48" i="34"/>
  <c r="P47" i="34"/>
  <c r="F47" i="34"/>
  <c r="G47" i="34"/>
  <c r="G49" i="33"/>
  <c r="F49" i="33"/>
  <c r="R49" i="33"/>
  <c r="Q49" i="33"/>
  <c r="O49" i="33"/>
  <c r="O51" i="16"/>
  <c r="G51" i="16"/>
  <c r="F51" i="16"/>
  <c r="C59" i="34"/>
  <c r="G61" i="33"/>
  <c r="F61" i="33"/>
  <c r="R61" i="33"/>
  <c r="Q61" i="33"/>
  <c r="O61" i="33"/>
  <c r="O63" i="16"/>
  <c r="X63" i="16" s="1"/>
  <c r="G63" i="16"/>
  <c r="F63" i="16"/>
  <c r="P28" i="37"/>
  <c r="X28" i="37" s="1"/>
  <c r="W6" i="14" s="1"/>
  <c r="G28" i="37"/>
  <c r="F28" i="37"/>
  <c r="O30" i="16"/>
  <c r="X30" i="16" s="1"/>
  <c r="G30" i="16"/>
  <c r="F30" i="16"/>
  <c r="O32" i="17"/>
  <c r="G32" i="17"/>
  <c r="F32" i="17"/>
  <c r="G36" i="23"/>
  <c r="F36" i="23"/>
  <c r="O36" i="23"/>
  <c r="F38" i="22"/>
  <c r="G38" i="22"/>
  <c r="O38" i="22"/>
  <c r="F42" i="19"/>
  <c r="G42" i="19"/>
  <c r="O42" i="19"/>
  <c r="O44" i="18"/>
  <c r="G44" i="18"/>
  <c r="F44" i="18"/>
  <c r="P46" i="26"/>
  <c r="F46" i="26"/>
  <c r="G46" i="26"/>
  <c r="P48" i="26"/>
  <c r="G48" i="26"/>
  <c r="F48" i="26"/>
  <c r="P54" i="28"/>
  <c r="G54" i="28"/>
  <c r="F54" i="28"/>
  <c r="R60" i="30"/>
  <c r="Q60" i="30"/>
  <c r="G60" i="30"/>
  <c r="F60" i="30"/>
  <c r="C66" i="34"/>
  <c r="G68" i="32"/>
  <c r="R68" i="32"/>
  <c r="Q68" i="32"/>
  <c r="F68" i="32"/>
  <c r="O68" i="32"/>
  <c r="C72" i="29"/>
  <c r="C31" i="31"/>
  <c r="R33" i="31"/>
  <c r="G33" i="31"/>
  <c r="F33" i="31"/>
  <c r="Q33" i="31"/>
  <c r="Q35" i="29"/>
  <c r="G35" i="29"/>
  <c r="F35" i="29"/>
  <c r="P37" i="27"/>
  <c r="F37" i="27"/>
  <c r="G37" i="27"/>
  <c r="C39" i="27"/>
  <c r="C43" i="31"/>
  <c r="R49" i="32"/>
  <c r="G49" i="32"/>
  <c r="Q49" i="32"/>
  <c r="F49" i="32"/>
  <c r="O49" i="32"/>
  <c r="F52" i="31"/>
  <c r="G51" i="31"/>
  <c r="F51" i="31"/>
  <c r="R51" i="31"/>
  <c r="Q51" i="31"/>
  <c r="Q53" i="29"/>
  <c r="F53" i="29"/>
  <c r="G53" i="29"/>
  <c r="P55" i="28"/>
  <c r="G55" i="28"/>
  <c r="F55" i="28"/>
  <c r="P57" i="26"/>
  <c r="F57" i="26"/>
  <c r="G57" i="26"/>
  <c r="F61" i="32"/>
  <c r="R61" i="32"/>
  <c r="G61" i="32"/>
  <c r="Q61" i="32"/>
  <c r="O61" i="32"/>
  <c r="R63" i="31"/>
  <c r="Q63" i="31"/>
  <c r="G63" i="31"/>
  <c r="C67" i="29"/>
  <c r="F28" i="34"/>
  <c r="P28" i="34"/>
  <c r="X28" i="34" s="1"/>
  <c r="Z6" i="14" s="1"/>
  <c r="G28" i="34"/>
  <c r="R30" i="33"/>
  <c r="Q30" i="33"/>
  <c r="G30" i="33"/>
  <c r="F30" i="33"/>
  <c r="O30" i="33"/>
  <c r="O32" i="16"/>
  <c r="G32" i="16"/>
  <c r="F32" i="16"/>
  <c r="C34" i="15"/>
  <c r="F40" i="38"/>
  <c r="P40" i="38"/>
  <c r="O40" i="38"/>
  <c r="G40" i="38"/>
  <c r="C42" i="34"/>
  <c r="C44" i="17"/>
  <c r="G50" i="23"/>
  <c r="F50" i="23"/>
  <c r="O50" i="23"/>
  <c r="P52" i="21"/>
  <c r="G52" i="21"/>
  <c r="F52" i="21"/>
  <c r="O52" i="21"/>
  <c r="P54" i="26"/>
  <c r="F54" i="26"/>
  <c r="G54" i="26"/>
  <c r="P56" i="25"/>
  <c r="G56" i="25"/>
  <c r="F56" i="25"/>
  <c r="G60" i="29"/>
  <c r="Q60" i="29"/>
  <c r="F60" i="29"/>
  <c r="C68" i="33"/>
  <c r="F71" i="31"/>
  <c r="R70" i="31"/>
  <c r="Q70" i="31"/>
  <c r="G70" i="31"/>
  <c r="F70" i="31"/>
  <c r="C27" i="17"/>
  <c r="C29" i="15"/>
  <c r="C35" i="38"/>
  <c r="G37" i="34"/>
  <c r="P37" i="34"/>
  <c r="F37" i="34"/>
  <c r="G39" i="17"/>
  <c r="O39" i="17"/>
  <c r="F39" i="17"/>
  <c r="P26" i="21"/>
  <c r="F26" i="21"/>
  <c r="G26" i="21"/>
  <c r="O26" i="21"/>
  <c r="O45" i="17"/>
  <c r="G45" i="17"/>
  <c r="F45" i="17"/>
  <c r="O47" i="16"/>
  <c r="G47" i="16"/>
  <c r="F47" i="16"/>
  <c r="G51" i="22"/>
  <c r="F51" i="22"/>
  <c r="O51" i="22"/>
  <c r="C55" i="26"/>
  <c r="G57" i="25"/>
  <c r="F57" i="25"/>
  <c r="P57" i="25"/>
  <c r="C59" i="24"/>
  <c r="C63" i="22"/>
  <c r="C67" i="38"/>
  <c r="C69" i="19"/>
  <c r="C71" i="18"/>
  <c r="P30" i="24"/>
  <c r="X30" i="24" s="1"/>
  <c r="V8" i="14" s="1"/>
  <c r="G30" i="24"/>
  <c r="F30" i="24"/>
  <c r="C32" i="23"/>
  <c r="C38" i="38"/>
  <c r="P40" i="37"/>
  <c r="F40" i="37"/>
  <c r="G40" i="37"/>
  <c r="C43" i="18"/>
  <c r="C42" i="18"/>
  <c r="O44" i="16"/>
  <c r="G44" i="16"/>
  <c r="F44" i="16"/>
  <c r="C48" i="24"/>
  <c r="G50" i="22"/>
  <c r="F50" i="22"/>
  <c r="O50" i="22"/>
  <c r="P52" i="28"/>
  <c r="G52" i="28"/>
  <c r="F52" i="28"/>
  <c r="P54" i="27"/>
  <c r="G54" i="27"/>
  <c r="F54" i="27"/>
  <c r="C56" i="24"/>
  <c r="C60" i="28"/>
  <c r="P62" i="27"/>
  <c r="G62" i="27"/>
  <c r="F62" i="27"/>
  <c r="R66" i="32"/>
  <c r="Q66" i="32"/>
  <c r="F66" i="32"/>
  <c r="G66" i="32"/>
  <c r="O66" i="32"/>
  <c r="C68" i="30"/>
  <c r="P72" i="37"/>
  <c r="X72" i="37" s="1"/>
  <c r="W50" i="14" s="1"/>
  <c r="G72" i="37"/>
  <c r="F72" i="37"/>
  <c r="P27" i="15"/>
  <c r="X27" i="15" s="1"/>
  <c r="F27" i="15"/>
  <c r="G27" i="15"/>
  <c r="C37" i="33"/>
  <c r="G39" i="32"/>
  <c r="R39" i="32"/>
  <c r="Q39" i="32"/>
  <c r="F39" i="32"/>
  <c r="O39" i="32"/>
  <c r="C43" i="29"/>
  <c r="O45" i="16"/>
  <c r="G45" i="16"/>
  <c r="F45" i="16"/>
  <c r="F55" i="34"/>
  <c r="G55" i="34"/>
  <c r="P55" i="34"/>
  <c r="C58" i="17"/>
  <c r="C57" i="17"/>
  <c r="R61" i="30"/>
  <c r="G61" i="30"/>
  <c r="Q61" i="30"/>
  <c r="F61" i="30"/>
  <c r="C63" i="29"/>
  <c r="C65" i="28"/>
  <c r="C67" i="27"/>
  <c r="G71" i="32"/>
  <c r="R71" i="32"/>
  <c r="Q71" i="32"/>
  <c r="F71" i="32"/>
  <c r="O71" i="32"/>
  <c r="C28" i="33"/>
  <c r="R32" i="30"/>
  <c r="G32" i="30"/>
  <c r="F32" i="30"/>
  <c r="Q32" i="30"/>
  <c r="P34" i="21"/>
  <c r="F34" i="21"/>
  <c r="G34" i="21"/>
  <c r="O34" i="21"/>
  <c r="P36" i="28"/>
  <c r="F36" i="28"/>
  <c r="G36" i="28"/>
  <c r="C38" i="26"/>
  <c r="C44" i="30"/>
  <c r="F46" i="32"/>
  <c r="R46" i="32"/>
  <c r="G46" i="32"/>
  <c r="Q46" i="32"/>
  <c r="O46" i="32"/>
  <c r="C52" i="27"/>
  <c r="G56" i="31"/>
  <c r="F56" i="31"/>
  <c r="R56" i="31"/>
  <c r="Q56" i="31"/>
  <c r="P58" i="21"/>
  <c r="F58" i="21"/>
  <c r="G58" i="21"/>
  <c r="O58" i="21"/>
  <c r="F62" i="25"/>
  <c r="P62" i="25"/>
  <c r="G62" i="25"/>
  <c r="C64" i="24"/>
  <c r="C68" i="31"/>
  <c r="Q29" i="29"/>
  <c r="X29" i="29" s="1"/>
  <c r="G29" i="29"/>
  <c r="F29" i="29"/>
  <c r="C31" i="28"/>
  <c r="C35" i="34"/>
  <c r="G37" i="32"/>
  <c r="F37" i="32"/>
  <c r="Q37" i="32"/>
  <c r="R37" i="32"/>
  <c r="O37" i="32"/>
  <c r="P39" i="15"/>
  <c r="G39" i="15"/>
  <c r="C43" i="38"/>
  <c r="C45" i="23"/>
  <c r="G51" i="38"/>
  <c r="O51" i="38"/>
  <c r="F51" i="38"/>
  <c r="P51" i="38"/>
  <c r="G53" i="34"/>
  <c r="P53" i="34"/>
  <c r="F53" i="34"/>
  <c r="O55" i="18"/>
  <c r="G55" i="18"/>
  <c r="F55" i="18"/>
  <c r="C63" i="38"/>
  <c r="F65" i="37"/>
  <c r="P65" i="37"/>
  <c r="X65" i="37" s="1"/>
  <c r="W43" i="14" s="1"/>
  <c r="G65" i="37"/>
  <c r="O67" i="18"/>
  <c r="X67" i="18" s="1"/>
  <c r="G67" i="18"/>
  <c r="F67" i="18"/>
  <c r="C71" i="24"/>
  <c r="C70" i="24"/>
  <c r="C72" i="22"/>
  <c r="P27" i="27"/>
  <c r="G27" i="27"/>
  <c r="F27" i="27"/>
  <c r="P29" i="25"/>
  <c r="G29" i="25"/>
  <c r="P31" i="24"/>
  <c r="X31" i="24" s="1"/>
  <c r="V9" i="14" s="1"/>
  <c r="G31" i="24"/>
  <c r="F31" i="24"/>
  <c r="Q41" i="32"/>
  <c r="R41" i="32"/>
  <c r="G41" i="32"/>
  <c r="F41" i="32"/>
  <c r="O41" i="32"/>
  <c r="G26" i="23"/>
  <c r="F26" i="23"/>
  <c r="O26" i="23"/>
  <c r="X26" i="23" s="1"/>
  <c r="C45" i="27"/>
  <c r="C51" i="33"/>
  <c r="C57" i="27"/>
  <c r="C61" i="33"/>
  <c r="C63" i="32"/>
  <c r="P65" i="15"/>
  <c r="X65" i="15" s="1"/>
  <c r="G65" i="15"/>
  <c r="Q69" i="29"/>
  <c r="X69" i="29" s="1"/>
  <c r="F69" i="29"/>
  <c r="G69" i="29"/>
  <c r="C28" i="37"/>
  <c r="P30" i="34"/>
  <c r="X30" i="34" s="1"/>
  <c r="Z8" i="14" s="1"/>
  <c r="G30" i="34"/>
  <c r="F30" i="34"/>
  <c r="C32" i="17"/>
  <c r="O34" i="17"/>
  <c r="G34" i="17"/>
  <c r="F34" i="17"/>
  <c r="C38" i="22"/>
  <c r="P42" i="37"/>
  <c r="G42" i="37"/>
  <c r="F42" i="37"/>
  <c r="C44" i="18"/>
  <c r="F46" i="19"/>
  <c r="G46" i="19"/>
  <c r="O46" i="19"/>
  <c r="C48" i="26"/>
  <c r="P50" i="24"/>
  <c r="G50" i="24"/>
  <c r="F50" i="24"/>
  <c r="G52" i="22"/>
  <c r="F52" i="22"/>
  <c r="O52" i="22"/>
  <c r="P56" i="26"/>
  <c r="G56" i="26"/>
  <c r="F56" i="26"/>
  <c r="P58" i="24"/>
  <c r="G58" i="24"/>
  <c r="F58" i="24"/>
  <c r="C62" i="28"/>
  <c r="C64" i="27"/>
  <c r="C68" i="32"/>
  <c r="R70" i="30"/>
  <c r="Q70" i="30"/>
  <c r="X70" i="30" s="1"/>
  <c r="G70" i="30"/>
  <c r="F70" i="30"/>
  <c r="G72" i="29"/>
  <c r="F72" i="29"/>
  <c r="Q72" i="29"/>
  <c r="X72" i="29" s="1"/>
  <c r="C27" i="25"/>
  <c r="P29" i="24"/>
  <c r="X29" i="24" s="1"/>
  <c r="V7" i="14" s="1"/>
  <c r="G29" i="24"/>
  <c r="F29" i="24"/>
  <c r="P39" i="27"/>
  <c r="F39" i="27"/>
  <c r="G39" i="27"/>
  <c r="P41" i="24"/>
  <c r="G41" i="24"/>
  <c r="F41" i="24"/>
  <c r="O26" i="22"/>
  <c r="X26" i="22" s="1"/>
  <c r="F26" i="22"/>
  <c r="G26" i="22"/>
  <c r="C46" i="26"/>
  <c r="C45" i="26"/>
  <c r="C59" i="25"/>
  <c r="C63" i="31"/>
  <c r="F66" i="31"/>
  <c r="F65" i="31"/>
  <c r="R65" i="31"/>
  <c r="Q65" i="31"/>
  <c r="X65" i="31" s="1"/>
  <c r="G65" i="31"/>
  <c r="Q67" i="29"/>
  <c r="X67" i="29" s="1"/>
  <c r="G67" i="29"/>
  <c r="F67" i="29"/>
  <c r="C69" i="28"/>
  <c r="C71" i="27"/>
  <c r="C30" i="33"/>
  <c r="C32" i="33"/>
  <c r="P34" i="15"/>
  <c r="F34" i="15"/>
  <c r="G34" i="15"/>
  <c r="Q38" i="29"/>
  <c r="F38" i="29"/>
  <c r="G38" i="29"/>
  <c r="P42" i="34"/>
  <c r="G42" i="34"/>
  <c r="F42" i="34"/>
  <c r="G44" i="33"/>
  <c r="R44" i="33"/>
  <c r="Q44" i="33"/>
  <c r="F44" i="33"/>
  <c r="O44" i="33"/>
  <c r="O46" i="16"/>
  <c r="G46" i="16"/>
  <c r="F46" i="16"/>
  <c r="C48" i="17"/>
  <c r="G58" i="23"/>
  <c r="F58" i="23"/>
  <c r="O58" i="23"/>
  <c r="P60" i="21"/>
  <c r="G60" i="21"/>
  <c r="F60" i="21"/>
  <c r="O60" i="21"/>
  <c r="F62" i="26"/>
  <c r="G62" i="26"/>
  <c r="P62" i="26"/>
  <c r="P64" i="26"/>
  <c r="X64" i="26" s="1"/>
  <c r="X42" i="14" s="1"/>
  <c r="F64" i="26"/>
  <c r="G64" i="26"/>
  <c r="G66" i="25"/>
  <c r="P66" i="25"/>
  <c r="F66" i="25"/>
  <c r="C70" i="31"/>
  <c r="C27" i="32"/>
  <c r="G27" i="17"/>
  <c r="F27" i="17"/>
  <c r="O27" i="17"/>
  <c r="P29" i="15"/>
  <c r="X29" i="15" s="1"/>
  <c r="F29" i="15"/>
  <c r="G29" i="15"/>
  <c r="F33" i="29"/>
  <c r="Q33" i="29"/>
  <c r="G33" i="29"/>
  <c r="C37" i="34"/>
  <c r="G39" i="33"/>
  <c r="F39" i="33"/>
  <c r="R39" i="33"/>
  <c r="Q39" i="33"/>
  <c r="O39" i="33"/>
  <c r="P41" i="15"/>
  <c r="G41" i="15"/>
  <c r="Q45" i="33"/>
  <c r="G45" i="33"/>
  <c r="F45" i="33"/>
  <c r="R45" i="33"/>
  <c r="O45" i="33"/>
  <c r="C47" i="16"/>
  <c r="P49" i="15"/>
  <c r="G49" i="15"/>
  <c r="P53" i="20"/>
  <c r="G53" i="20"/>
  <c r="F53" i="20"/>
  <c r="O53" i="20"/>
  <c r="P55" i="20"/>
  <c r="G55" i="20"/>
  <c r="F55" i="20"/>
  <c r="O55" i="20"/>
  <c r="P59" i="24"/>
  <c r="F59" i="24"/>
  <c r="G59" i="24"/>
  <c r="C61" i="23"/>
  <c r="P67" i="38"/>
  <c r="F67" i="38"/>
  <c r="G67" i="38"/>
  <c r="O67" i="38"/>
  <c r="C69" i="37"/>
  <c r="O71" i="18"/>
  <c r="X71" i="18" s="1"/>
  <c r="G71" i="18"/>
  <c r="F71" i="18"/>
  <c r="C28" i="17"/>
  <c r="G32" i="23"/>
  <c r="F32" i="23"/>
  <c r="O32" i="23"/>
  <c r="C40" i="37"/>
  <c r="C42" i="33"/>
  <c r="C44" i="16"/>
  <c r="C46" i="18"/>
  <c r="C52" i="20"/>
  <c r="P56" i="24"/>
  <c r="G56" i="24"/>
  <c r="F56" i="24"/>
  <c r="C58" i="22"/>
  <c r="F60" i="28"/>
  <c r="P60" i="28"/>
  <c r="G60" i="28"/>
  <c r="C62" i="27"/>
  <c r="C64" i="25"/>
  <c r="R68" i="30"/>
  <c r="Q68" i="30"/>
  <c r="G68" i="30"/>
  <c r="F68" i="30"/>
  <c r="C27" i="31"/>
  <c r="R29" i="31"/>
  <c r="Q29" i="31"/>
  <c r="G29" i="31"/>
  <c r="F29" i="31"/>
  <c r="C32" i="29"/>
  <c r="C31" i="29"/>
  <c r="C33" i="28"/>
  <c r="C39" i="32"/>
  <c r="C41" i="30"/>
  <c r="Q43" i="29"/>
  <c r="G43" i="29"/>
  <c r="F43" i="29"/>
  <c r="C45" i="32"/>
  <c r="P47" i="15"/>
  <c r="G47" i="15"/>
  <c r="C55" i="34"/>
  <c r="Q57" i="32"/>
  <c r="F57" i="32"/>
  <c r="G57" i="32"/>
  <c r="R57" i="32"/>
  <c r="O57" i="32"/>
  <c r="C61" i="30"/>
  <c r="P63" i="21"/>
  <c r="G63" i="21"/>
  <c r="F63" i="21"/>
  <c r="O63" i="21"/>
  <c r="G65" i="28"/>
  <c r="P65" i="28"/>
  <c r="X65" i="28" s="1"/>
  <c r="AA43" i="14" s="1"/>
  <c r="F65" i="28"/>
  <c r="P67" i="27"/>
  <c r="X67" i="27" s="1"/>
  <c r="Y45" i="14" s="1"/>
  <c r="F67" i="27"/>
  <c r="G67" i="27"/>
  <c r="C69" i="26"/>
  <c r="R28" i="33"/>
  <c r="Q28" i="33"/>
  <c r="G28" i="33"/>
  <c r="F28" i="33"/>
  <c r="O28" i="33"/>
  <c r="C30" i="30"/>
  <c r="C34" i="21"/>
  <c r="C36" i="20"/>
  <c r="P38" i="26"/>
  <c r="F38" i="26"/>
  <c r="G38" i="26"/>
  <c r="P40" i="26"/>
  <c r="G40" i="26"/>
  <c r="F40" i="26"/>
  <c r="C42" i="24"/>
  <c r="C46" i="32"/>
  <c r="Q50" i="29"/>
  <c r="G50" i="29"/>
  <c r="F50" i="29"/>
  <c r="P52" i="27"/>
  <c r="G52" i="27"/>
  <c r="F52" i="27"/>
  <c r="C54" i="25"/>
  <c r="C58" i="21"/>
  <c r="C60" i="19"/>
  <c r="P64" i="24"/>
  <c r="X64" i="24" s="1"/>
  <c r="V42" i="14" s="1"/>
  <c r="G64" i="24"/>
  <c r="F64" i="24"/>
  <c r="G66" i="23"/>
  <c r="F66" i="23"/>
  <c r="O66" i="23"/>
  <c r="X66" i="23" s="1"/>
  <c r="C70" i="28"/>
  <c r="G27" i="30"/>
  <c r="F27" i="30"/>
  <c r="Q27" i="30"/>
  <c r="R27" i="30"/>
  <c r="C29" i="29"/>
  <c r="P31" i="28"/>
  <c r="X31" i="28" s="1"/>
  <c r="AA9" i="14" s="1"/>
  <c r="G31" i="28"/>
  <c r="F31" i="28"/>
  <c r="P33" i="27"/>
  <c r="F33" i="27"/>
  <c r="G33" i="27"/>
  <c r="C37" i="32"/>
  <c r="Q39" i="31"/>
  <c r="G39" i="31"/>
  <c r="R39" i="31"/>
  <c r="O43" i="38"/>
  <c r="F43" i="38"/>
  <c r="P43" i="38"/>
  <c r="G43" i="38"/>
  <c r="P26" i="37"/>
  <c r="X26" i="37" s="1"/>
  <c r="W4" i="14" s="1"/>
  <c r="G26" i="37"/>
  <c r="F26" i="37"/>
  <c r="F45" i="23"/>
  <c r="G45" i="23"/>
  <c r="O45" i="23"/>
  <c r="C49" i="29"/>
  <c r="C53" i="34"/>
  <c r="Q55" i="32"/>
  <c r="G55" i="32"/>
  <c r="F55" i="32"/>
  <c r="R55" i="32"/>
  <c r="O55" i="32"/>
  <c r="P57" i="15"/>
  <c r="G57" i="15"/>
  <c r="C65" i="37"/>
  <c r="F67" i="34"/>
  <c r="G67" i="34"/>
  <c r="P67" i="34"/>
  <c r="X67" i="34" s="1"/>
  <c r="Z45" i="14" s="1"/>
  <c r="F69" i="17"/>
  <c r="G69" i="17"/>
  <c r="O69" i="17"/>
  <c r="X69" i="17" s="1"/>
  <c r="O71" i="16"/>
  <c r="X71" i="16" s="1"/>
  <c r="G71" i="16"/>
  <c r="F71" i="16"/>
  <c r="G50" i="33"/>
  <c r="F50" i="33"/>
  <c r="R50" i="33"/>
  <c r="Q50" i="33"/>
  <c r="O50" i="33"/>
  <c r="F56" i="37"/>
  <c r="P56" i="37"/>
  <c r="G56" i="37"/>
  <c r="O64" i="38"/>
  <c r="G64" i="38"/>
  <c r="P64" i="38"/>
  <c r="F64" i="38"/>
  <c r="F66" i="19"/>
  <c r="G66" i="19"/>
  <c r="O66" i="19"/>
  <c r="X66" i="19" s="1"/>
  <c r="G72" i="22"/>
  <c r="F72" i="22"/>
  <c r="O72" i="22"/>
  <c r="X72" i="22" s="1"/>
  <c r="F33" i="23"/>
  <c r="G33" i="23"/>
  <c r="O33" i="23"/>
  <c r="F43" i="32"/>
  <c r="R43" i="32"/>
  <c r="Q43" i="32"/>
  <c r="G43" i="32"/>
  <c r="O43" i="32"/>
  <c r="P45" i="27"/>
  <c r="F45" i="27"/>
  <c r="G45" i="27"/>
  <c r="R51" i="33"/>
  <c r="G51" i="33"/>
  <c r="F51" i="33"/>
  <c r="Q51" i="33"/>
  <c r="O51" i="33"/>
  <c r="C53" i="30"/>
  <c r="G55" i="29"/>
  <c r="F55" i="29"/>
  <c r="Q55" i="29"/>
  <c r="P57" i="27"/>
  <c r="F57" i="27"/>
  <c r="G57" i="27"/>
  <c r="G63" i="32"/>
  <c r="R63" i="32"/>
  <c r="Q63" i="32"/>
  <c r="F63" i="32"/>
  <c r="O63" i="32"/>
  <c r="C65" i="30"/>
  <c r="C69" i="29"/>
  <c r="C30" i="34"/>
  <c r="Q32" i="32"/>
  <c r="F32" i="32"/>
  <c r="R32" i="32"/>
  <c r="G32" i="32"/>
  <c r="O32" i="32"/>
  <c r="C42" i="37"/>
  <c r="C44" i="34"/>
  <c r="C46" i="19"/>
  <c r="O48" i="18"/>
  <c r="G48" i="18"/>
  <c r="F48" i="18"/>
  <c r="P54" i="20"/>
  <c r="G54" i="20"/>
  <c r="F54" i="20"/>
  <c r="O54" i="20"/>
  <c r="P62" i="28"/>
  <c r="G62" i="28"/>
  <c r="F62" i="28"/>
  <c r="P64" i="27"/>
  <c r="X64" i="27" s="1"/>
  <c r="Y42" i="14" s="1"/>
  <c r="F64" i="27"/>
  <c r="G64" i="27"/>
  <c r="P66" i="27"/>
  <c r="X66" i="27" s="1"/>
  <c r="Y44" i="14" s="1"/>
  <c r="F66" i="27"/>
  <c r="G66" i="27"/>
  <c r="C70" i="30"/>
  <c r="P72" i="21"/>
  <c r="F72" i="21"/>
  <c r="G72" i="21"/>
  <c r="O72" i="21"/>
  <c r="P27" i="25"/>
  <c r="G27" i="25"/>
  <c r="P35" i="21"/>
  <c r="F35" i="21"/>
  <c r="G35" i="21"/>
  <c r="O35" i="21"/>
  <c r="C37" i="19"/>
  <c r="C41" i="24"/>
  <c r="C43" i="23"/>
  <c r="P45" i="26"/>
  <c r="F45" i="26"/>
  <c r="G45" i="26"/>
  <c r="G47" i="25"/>
  <c r="P47" i="25"/>
  <c r="F47" i="25"/>
  <c r="P49" i="24"/>
  <c r="G49" i="24"/>
  <c r="F49" i="24"/>
  <c r="P53" i="21"/>
  <c r="G53" i="21"/>
  <c r="F53" i="21"/>
  <c r="O53" i="21"/>
  <c r="G55" i="19"/>
  <c r="F55" i="19"/>
  <c r="O55" i="19"/>
  <c r="C57" i="26"/>
  <c r="F60" i="25"/>
  <c r="F59" i="25"/>
  <c r="P59" i="25"/>
  <c r="G59" i="25"/>
  <c r="P61" i="24"/>
  <c r="F61" i="24"/>
  <c r="G61" i="24"/>
  <c r="C65" i="31"/>
  <c r="C67" i="21"/>
  <c r="P69" i="28"/>
  <c r="X69" i="28" s="1"/>
  <c r="AA47" i="14" s="1"/>
  <c r="G69" i="28"/>
  <c r="F69" i="28"/>
  <c r="P71" i="27"/>
  <c r="X71" i="27" s="1"/>
  <c r="Y49" i="14" s="1"/>
  <c r="G71" i="27"/>
  <c r="F71" i="27"/>
  <c r="R32" i="33"/>
  <c r="Q32" i="33"/>
  <c r="G32" i="33"/>
  <c r="F32" i="33"/>
  <c r="O32" i="33"/>
  <c r="C34" i="31"/>
  <c r="C44" i="33"/>
  <c r="P46" i="34"/>
  <c r="G46" i="34"/>
  <c r="F46" i="34"/>
  <c r="O48" i="17"/>
  <c r="F48" i="17"/>
  <c r="G48" i="17"/>
  <c r="F54" i="19"/>
  <c r="G54" i="19"/>
  <c r="O54" i="19"/>
  <c r="O56" i="16"/>
  <c r="G56" i="16"/>
  <c r="F56" i="16"/>
  <c r="C60" i="21"/>
  <c r="F62" i="19"/>
  <c r="G62" i="19"/>
  <c r="O62" i="19"/>
  <c r="C64" i="26"/>
  <c r="C68" i="24"/>
  <c r="C72" i="28"/>
  <c r="R29" i="30"/>
  <c r="G29" i="30"/>
  <c r="Q29" i="30"/>
  <c r="F29" i="30"/>
  <c r="C35" i="28"/>
  <c r="C39" i="33"/>
  <c r="F42" i="31"/>
  <c r="R41" i="31"/>
  <c r="Q41" i="31"/>
  <c r="G41" i="31"/>
  <c r="F41" i="31"/>
  <c r="C45" i="33"/>
  <c r="R47" i="32"/>
  <c r="Q47" i="32"/>
  <c r="G47" i="32"/>
  <c r="F47" i="32"/>
  <c r="O47" i="32"/>
  <c r="O53" i="38"/>
  <c r="G53" i="38"/>
  <c r="P53" i="38"/>
  <c r="F53" i="38"/>
  <c r="C55" i="20"/>
  <c r="O57" i="16"/>
  <c r="G57" i="16"/>
  <c r="F57" i="16"/>
  <c r="F61" i="23"/>
  <c r="G61" i="23"/>
  <c r="O61" i="23"/>
  <c r="P69" i="37"/>
  <c r="X69" i="37" s="1"/>
  <c r="W47" i="14" s="1"/>
  <c r="G69" i="37"/>
  <c r="F69" i="37"/>
  <c r="G71" i="34"/>
  <c r="F71" i="34"/>
  <c r="P71" i="34"/>
  <c r="X71" i="34" s="1"/>
  <c r="Z49" i="14" s="1"/>
  <c r="O28" i="17"/>
  <c r="X28" i="17" s="1"/>
  <c r="F28" i="17"/>
  <c r="G28" i="17"/>
  <c r="O30" i="17"/>
  <c r="X30" i="17" s="1"/>
  <c r="G30" i="17"/>
  <c r="F30" i="17"/>
  <c r="C36" i="29"/>
  <c r="Q42" i="33"/>
  <c r="R42" i="33"/>
  <c r="F42" i="33"/>
  <c r="G42" i="33"/>
  <c r="O42" i="33"/>
  <c r="C44" i="32"/>
  <c r="G46" i="18"/>
  <c r="F46" i="18"/>
  <c r="O46" i="18"/>
  <c r="O48" i="16"/>
  <c r="G48" i="16"/>
  <c r="F48" i="16"/>
  <c r="P52" i="20"/>
  <c r="F52" i="20"/>
  <c r="G52" i="20"/>
  <c r="O52" i="20"/>
  <c r="C54" i="16"/>
  <c r="G58" i="22"/>
  <c r="F58" i="22"/>
  <c r="O58" i="22"/>
  <c r="C60" i="20"/>
  <c r="P64" i="25"/>
  <c r="G64" i="25"/>
  <c r="F64" i="25"/>
  <c r="P66" i="24"/>
  <c r="X66" i="24" s="1"/>
  <c r="V44" i="14" s="1"/>
  <c r="G66" i="24"/>
  <c r="F66" i="24"/>
  <c r="C70" i="29"/>
  <c r="P72" i="27"/>
  <c r="X72" i="27" s="1"/>
  <c r="Y50" i="14" s="1"/>
  <c r="G72" i="27"/>
  <c r="F72" i="27"/>
  <c r="G27" i="31"/>
  <c r="Q27" i="31"/>
  <c r="R27" i="31"/>
  <c r="F27" i="31"/>
  <c r="C29" i="31"/>
  <c r="P31" i="21"/>
  <c r="G31" i="21"/>
  <c r="F31" i="21"/>
  <c r="O31" i="21"/>
  <c r="P33" i="28"/>
  <c r="F33" i="28"/>
  <c r="G33" i="28"/>
  <c r="C35" i="26"/>
  <c r="C37" i="25"/>
  <c r="R41" i="30"/>
  <c r="F41" i="30"/>
  <c r="Q41" i="30"/>
  <c r="G41" i="30"/>
  <c r="P43" i="21"/>
  <c r="G43" i="21"/>
  <c r="F43" i="21"/>
  <c r="O43" i="21"/>
  <c r="Q45" i="32"/>
  <c r="G45" i="32"/>
  <c r="R45" i="32"/>
  <c r="F45" i="32"/>
  <c r="O45" i="32"/>
  <c r="R47" i="31"/>
  <c r="Q47" i="31"/>
  <c r="G47" i="31"/>
  <c r="C57" i="32"/>
  <c r="R59" i="31"/>
  <c r="Q59" i="31"/>
  <c r="G59" i="31"/>
  <c r="F59" i="31"/>
  <c r="C63" i="21"/>
  <c r="C65" i="20"/>
  <c r="C71" i="25"/>
  <c r="R30" i="30"/>
  <c r="Q30" i="30"/>
  <c r="X30" i="30" s="1"/>
  <c r="G30" i="30"/>
  <c r="F30" i="30"/>
  <c r="C32" i="22"/>
  <c r="P36" i="20"/>
  <c r="G36" i="20"/>
  <c r="F36" i="20"/>
  <c r="O36" i="20"/>
  <c r="C38" i="19"/>
  <c r="C40" i="26"/>
  <c r="P42" i="24"/>
  <c r="G42" i="24"/>
  <c r="F42" i="24"/>
  <c r="G44" i="23"/>
  <c r="F44" i="23"/>
  <c r="O44" i="23"/>
  <c r="R48" i="30"/>
  <c r="G48" i="30"/>
  <c r="F48" i="30"/>
  <c r="Q48" i="30"/>
  <c r="P54" i="25"/>
  <c r="G54" i="25"/>
  <c r="F54" i="25"/>
  <c r="C56" i="23"/>
  <c r="F60" i="19"/>
  <c r="G60" i="19"/>
  <c r="O60" i="19"/>
  <c r="C62" i="17"/>
  <c r="C66" i="23"/>
  <c r="G68" i="22"/>
  <c r="F68" i="22"/>
  <c r="O68" i="22"/>
  <c r="X68" i="22" s="1"/>
  <c r="P70" i="28"/>
  <c r="X70" i="28" s="1"/>
  <c r="AA48" i="14" s="1"/>
  <c r="F70" i="28"/>
  <c r="G70" i="28"/>
  <c r="P72" i="26"/>
  <c r="X72" i="26" s="1"/>
  <c r="X50" i="14" s="1"/>
  <c r="F72" i="26"/>
  <c r="G72" i="26"/>
  <c r="G27" i="22"/>
  <c r="F27" i="22"/>
  <c r="O27" i="22"/>
  <c r="P29" i="21"/>
  <c r="F29" i="21"/>
  <c r="G29" i="21"/>
  <c r="O29" i="21"/>
  <c r="C33" i="27"/>
  <c r="P35" i="27"/>
  <c r="G35" i="27"/>
  <c r="F35" i="27"/>
  <c r="C39" i="31"/>
  <c r="Q49" i="29"/>
  <c r="G49" i="29"/>
  <c r="F49" i="29"/>
  <c r="P51" i="28"/>
  <c r="F51" i="28"/>
  <c r="G51" i="28"/>
  <c r="C55" i="32"/>
  <c r="R57" i="31"/>
  <c r="Q57" i="31"/>
  <c r="G57" i="31"/>
  <c r="F57" i="31"/>
  <c r="C61" i="29"/>
  <c r="C67" i="34"/>
  <c r="C69" i="33"/>
  <c r="C71" i="16"/>
  <c r="C55" i="29"/>
  <c r="C54" i="29"/>
  <c r="G58" i="32"/>
  <c r="Q58" i="32"/>
  <c r="F58" i="32"/>
  <c r="R58" i="32"/>
  <c r="O58" i="32"/>
  <c r="O68" i="18"/>
  <c r="X68" i="18" s="1"/>
  <c r="G68" i="18"/>
  <c r="F68" i="18"/>
  <c r="F27" i="16"/>
  <c r="G27" i="16"/>
  <c r="O27" i="16"/>
  <c r="G35" i="22"/>
  <c r="F35" i="22"/>
  <c r="O35" i="22"/>
  <c r="P37" i="28"/>
  <c r="F37" i="28"/>
  <c r="G37" i="28"/>
  <c r="C41" i="25"/>
  <c r="P47" i="27"/>
  <c r="G47" i="27"/>
  <c r="F47" i="27"/>
  <c r="C50" i="25"/>
  <c r="C49" i="25"/>
  <c r="R53" i="30"/>
  <c r="Q53" i="30"/>
  <c r="G53" i="30"/>
  <c r="F53" i="30"/>
  <c r="C55" i="21"/>
  <c r="C61" i="25"/>
  <c r="Q65" i="30"/>
  <c r="F65" i="30"/>
  <c r="G65" i="30"/>
  <c r="R65" i="30"/>
  <c r="F67" i="31"/>
  <c r="R67" i="31"/>
  <c r="Q67" i="31"/>
  <c r="G67" i="31"/>
  <c r="P28" i="27"/>
  <c r="X28" i="27" s="1"/>
  <c r="Y6" i="14" s="1"/>
  <c r="F28" i="27"/>
  <c r="G28" i="27"/>
  <c r="C32" i="32"/>
  <c r="C34" i="32"/>
  <c r="P36" i="15"/>
  <c r="G36" i="15"/>
  <c r="F44" i="34"/>
  <c r="G44" i="34"/>
  <c r="P44" i="34"/>
  <c r="G46" i="37"/>
  <c r="F46" i="37"/>
  <c r="P46" i="37"/>
  <c r="C48" i="18"/>
  <c r="O50" i="18"/>
  <c r="G50" i="18"/>
  <c r="F50" i="18"/>
  <c r="G60" i="22"/>
  <c r="F60" i="22"/>
  <c r="O60" i="22"/>
  <c r="C62" i="20"/>
  <c r="P68" i="25"/>
  <c r="G68" i="25"/>
  <c r="F68" i="25"/>
  <c r="C72" i="21"/>
  <c r="G31" i="23"/>
  <c r="F31" i="23"/>
  <c r="O31" i="23"/>
  <c r="X31" i="23" s="1"/>
  <c r="G33" i="22"/>
  <c r="F33" i="22"/>
  <c r="O33" i="22"/>
  <c r="G37" i="19"/>
  <c r="F37" i="19"/>
  <c r="O37" i="19"/>
  <c r="O39" i="18"/>
  <c r="G39" i="18"/>
  <c r="F39" i="18"/>
  <c r="G43" i="23"/>
  <c r="F43" i="23"/>
  <c r="O43" i="23"/>
  <c r="C27" i="22"/>
  <c r="C26" i="22"/>
  <c r="C45" i="18"/>
  <c r="G51" i="23"/>
  <c r="F51" i="23"/>
  <c r="O51" i="23"/>
  <c r="O57" i="18"/>
  <c r="G57" i="18"/>
  <c r="F57" i="18"/>
  <c r="C61" i="24"/>
  <c r="C63" i="23"/>
  <c r="P67" i="21"/>
  <c r="F67" i="21"/>
  <c r="G67" i="21"/>
  <c r="O67" i="21"/>
  <c r="P69" i="20"/>
  <c r="F69" i="20"/>
  <c r="G69" i="20"/>
  <c r="O69" i="20"/>
  <c r="C30" i="25"/>
  <c r="G34" i="31"/>
  <c r="R34" i="31"/>
  <c r="Q34" i="31"/>
  <c r="F34" i="31"/>
  <c r="C36" i="30"/>
  <c r="C38" i="29"/>
  <c r="C40" i="28"/>
  <c r="P42" i="27"/>
  <c r="F42" i="27"/>
  <c r="G42" i="27"/>
  <c r="C46" i="34"/>
  <c r="P50" i="15"/>
  <c r="F50" i="15"/>
  <c r="G50" i="15"/>
  <c r="C56" i="16"/>
  <c r="C62" i="19"/>
  <c r="O64" i="18"/>
  <c r="X64" i="18" s="1"/>
  <c r="G64" i="18"/>
  <c r="F64" i="18"/>
  <c r="P68" i="24"/>
  <c r="X68" i="24" s="1"/>
  <c r="V46" i="14" s="1"/>
  <c r="G68" i="24"/>
  <c r="F68" i="24"/>
  <c r="F70" i="22"/>
  <c r="G70" i="22"/>
  <c r="O70" i="22"/>
  <c r="X70" i="22" s="1"/>
  <c r="P72" i="28"/>
  <c r="X72" i="28" s="1"/>
  <c r="AA50" i="14" s="1"/>
  <c r="F72" i="28"/>
  <c r="G72" i="28"/>
  <c r="R27" i="32"/>
  <c r="Q27" i="32"/>
  <c r="F27" i="32"/>
  <c r="G27" i="32"/>
  <c r="O27" i="32"/>
  <c r="C29" i="30"/>
  <c r="R31" i="30"/>
  <c r="Q31" i="30"/>
  <c r="G31" i="30"/>
  <c r="F31" i="30"/>
  <c r="C33" i="29"/>
  <c r="P35" i="28"/>
  <c r="G35" i="28"/>
  <c r="F35" i="28"/>
  <c r="C41" i="31"/>
  <c r="R43" i="30"/>
  <c r="Q43" i="30"/>
  <c r="F43" i="30"/>
  <c r="G43" i="30"/>
  <c r="X26" i="29"/>
  <c r="F26" i="29"/>
  <c r="G26" i="29"/>
  <c r="F50" i="31"/>
  <c r="G49" i="31"/>
  <c r="Q49" i="31"/>
  <c r="F49" i="31"/>
  <c r="R49" i="31"/>
  <c r="G55" i="37"/>
  <c r="P55" i="37"/>
  <c r="F55" i="37"/>
  <c r="C57" i="16"/>
  <c r="O59" i="16"/>
  <c r="G59" i="16"/>
  <c r="F59" i="16"/>
  <c r="G65" i="29"/>
  <c r="Q65" i="29"/>
  <c r="X65" i="29" s="1"/>
  <c r="F65" i="29"/>
  <c r="C71" i="34"/>
  <c r="C28" i="32"/>
  <c r="C30" i="17"/>
  <c r="R34" i="30"/>
  <c r="F34" i="30"/>
  <c r="Q34" i="30"/>
  <c r="G34" i="30"/>
  <c r="G36" i="29"/>
  <c r="Q36" i="29"/>
  <c r="F36" i="29"/>
  <c r="C38" i="28"/>
  <c r="P40" i="27"/>
  <c r="G40" i="27"/>
  <c r="F40" i="27"/>
  <c r="R44" i="32"/>
  <c r="Q44" i="32"/>
  <c r="G44" i="32"/>
  <c r="F44" i="32"/>
  <c r="O44" i="32"/>
  <c r="Q46" i="33"/>
  <c r="G46" i="33"/>
  <c r="F46" i="33"/>
  <c r="R46" i="33"/>
  <c r="O46" i="33"/>
  <c r="C48" i="16"/>
  <c r="P52" i="38"/>
  <c r="F52" i="38"/>
  <c r="O52" i="38"/>
  <c r="G52" i="38"/>
  <c r="O54" i="16"/>
  <c r="G54" i="16"/>
  <c r="F54" i="16"/>
  <c r="P60" i="20"/>
  <c r="F60" i="20"/>
  <c r="G60" i="20"/>
  <c r="O60" i="20"/>
  <c r="C62" i="16"/>
  <c r="C66" i="24"/>
  <c r="G68" i="23"/>
  <c r="F68" i="23"/>
  <c r="O68" i="23"/>
  <c r="X68" i="23" s="1"/>
  <c r="Q70" i="29"/>
  <c r="X70" i="29" s="1"/>
  <c r="F70" i="29"/>
  <c r="G70" i="29"/>
  <c r="C72" i="27"/>
  <c r="C27" i="23"/>
  <c r="C31" i="21"/>
  <c r="C33" i="20"/>
  <c r="P35" i="26"/>
  <c r="G35" i="26"/>
  <c r="F35" i="26"/>
  <c r="P37" i="25"/>
  <c r="G37" i="25"/>
  <c r="F37" i="25"/>
  <c r="C43" i="21"/>
  <c r="P26" i="28"/>
  <c r="X26" i="28" s="1"/>
  <c r="AA4" i="14" s="1"/>
  <c r="F26" i="28"/>
  <c r="G26" i="28"/>
  <c r="C47" i="31"/>
  <c r="C50" i="30"/>
  <c r="C49" i="30"/>
  <c r="Q51" i="29"/>
  <c r="F51" i="29"/>
  <c r="G51" i="29"/>
  <c r="P53" i="27"/>
  <c r="F53" i="27"/>
  <c r="G53" i="27"/>
  <c r="P55" i="27"/>
  <c r="G55" i="27"/>
  <c r="F55" i="27"/>
  <c r="C59" i="31"/>
  <c r="C61" i="22"/>
  <c r="P65" i="20"/>
  <c r="F65" i="20"/>
  <c r="G65" i="20"/>
  <c r="O65" i="20"/>
  <c r="X65" i="20" s="1"/>
  <c r="P67" i="20"/>
  <c r="G67" i="20"/>
  <c r="F67" i="20"/>
  <c r="O67" i="20"/>
  <c r="P69" i="26"/>
  <c r="X69" i="26" s="1"/>
  <c r="X47" i="14" s="1"/>
  <c r="G69" i="26"/>
  <c r="F69" i="26"/>
  <c r="P71" i="25"/>
  <c r="G71" i="25"/>
  <c r="F71" i="25"/>
  <c r="C28" i="24"/>
  <c r="G32" i="22"/>
  <c r="F32" i="22"/>
  <c r="O36" i="38"/>
  <c r="G36" i="38"/>
  <c r="P36" i="38"/>
  <c r="F36" i="38"/>
  <c r="F38" i="19"/>
  <c r="G38" i="19"/>
  <c r="O38" i="19"/>
  <c r="O40" i="18"/>
  <c r="G40" i="18"/>
  <c r="F40" i="18"/>
  <c r="C44" i="23"/>
  <c r="P46" i="24"/>
  <c r="G46" i="24"/>
  <c r="F46" i="24"/>
  <c r="P50" i="21"/>
  <c r="G50" i="21"/>
  <c r="F50" i="21"/>
  <c r="O50" i="21"/>
  <c r="G52" i="19"/>
  <c r="F52" i="19"/>
  <c r="O52" i="19"/>
  <c r="G56" i="23"/>
  <c r="F56" i="23"/>
  <c r="O56" i="23"/>
  <c r="C60" i="37"/>
  <c r="O62" i="17"/>
  <c r="G62" i="17"/>
  <c r="F62" i="17"/>
  <c r="C64" i="17"/>
  <c r="C68" i="22"/>
  <c r="C70" i="20"/>
  <c r="C72" i="26"/>
  <c r="C29" i="21"/>
  <c r="G31" i="19"/>
  <c r="F31" i="19"/>
  <c r="O31" i="19"/>
  <c r="X31" i="19" s="1"/>
  <c r="C35" i="27"/>
  <c r="P37" i="24"/>
  <c r="G37" i="24"/>
  <c r="F37" i="24"/>
  <c r="C41" i="29"/>
  <c r="C43" i="28"/>
  <c r="R47" i="30"/>
  <c r="F47" i="30"/>
  <c r="Q47" i="30"/>
  <c r="G47" i="30"/>
  <c r="C51" i="28"/>
  <c r="C53" i="26"/>
  <c r="C57" i="31"/>
  <c r="R59" i="30"/>
  <c r="F59" i="30"/>
  <c r="Q59" i="30"/>
  <c r="G59" i="30"/>
  <c r="Q61" i="29"/>
  <c r="F61" i="29"/>
  <c r="G61" i="29"/>
  <c r="C63" i="28"/>
  <c r="P65" i="27"/>
  <c r="X65" i="27" s="1"/>
  <c r="Y43" i="14" s="1"/>
  <c r="F65" i="27"/>
  <c r="G65" i="27"/>
  <c r="F69" i="33"/>
  <c r="G69" i="33"/>
  <c r="Q69" i="33"/>
  <c r="R69" i="33"/>
  <c r="O69" i="33"/>
  <c r="R71" i="33"/>
  <c r="Q71" i="33"/>
  <c r="G71" i="33"/>
  <c r="F71" i="33"/>
  <c r="O71" i="33"/>
  <c r="X26" i="11"/>
  <c r="O54" i="11"/>
  <c r="O62" i="11"/>
  <c r="O44" i="11"/>
  <c r="O50" i="11"/>
  <c r="O39" i="11"/>
  <c r="O53" i="11"/>
  <c r="O46" i="11"/>
  <c r="O67" i="11"/>
  <c r="O51" i="11"/>
  <c r="O65" i="11"/>
  <c r="O64" i="11"/>
  <c r="O72" i="11"/>
  <c r="O28" i="11"/>
  <c r="O60" i="11"/>
  <c r="O59" i="11"/>
  <c r="O45" i="11"/>
  <c r="O32" i="11"/>
  <c r="O35" i="11"/>
  <c r="O48" i="11"/>
  <c r="O55" i="11"/>
  <c r="O40" i="11"/>
  <c r="O58" i="11"/>
  <c r="O56" i="11"/>
  <c r="O43" i="11"/>
  <c r="O38" i="11"/>
  <c r="O70" i="11"/>
  <c r="O37" i="11"/>
  <c r="O41" i="11"/>
  <c r="O42" i="11"/>
  <c r="G65" i="11"/>
  <c r="G60" i="11"/>
  <c r="T54" i="15"/>
  <c r="X54" i="15"/>
  <c r="T62" i="15"/>
  <c r="X62" i="15"/>
  <c r="T51" i="15"/>
  <c r="X51" i="15"/>
  <c r="T35" i="15"/>
  <c r="X35" i="15"/>
  <c r="X61" i="15"/>
  <c r="T61" i="15"/>
  <c r="T43" i="15"/>
  <c r="X43" i="15"/>
  <c r="X37" i="15"/>
  <c r="T37" i="15"/>
  <c r="X48" i="15"/>
  <c r="T48" i="15"/>
  <c r="T38" i="15"/>
  <c r="X38" i="15"/>
  <c r="X40" i="15"/>
  <c r="T40" i="15"/>
  <c r="X45" i="15"/>
  <c r="T45" i="15"/>
  <c r="T59" i="15"/>
  <c r="X59" i="15"/>
  <c r="X64" i="15"/>
  <c r="X32" i="15"/>
  <c r="T32" i="15"/>
  <c r="T46" i="15"/>
  <c r="X46" i="15"/>
  <c r="X56" i="15"/>
  <c r="T56" i="15"/>
  <c r="X52" i="11"/>
  <c r="Y33" i="11"/>
  <c r="C27" i="11"/>
  <c r="Y60" i="11"/>
  <c r="Y65" i="11"/>
  <c r="G27" i="11"/>
  <c r="F27" i="11"/>
  <c r="B54" i="11"/>
  <c r="C55" i="11" s="1"/>
  <c r="B72" i="11"/>
  <c r="B45" i="11"/>
  <c r="B48" i="11"/>
  <c r="B51" i="11"/>
  <c r="B38" i="11"/>
  <c r="C39" i="11" s="1"/>
  <c r="B32" i="11"/>
  <c r="B70" i="11"/>
  <c r="C71" i="11" s="1"/>
  <c r="B64" i="11"/>
  <c r="B43" i="11"/>
  <c r="C44" i="11" s="1"/>
  <c r="B62" i="11"/>
  <c r="C63" i="11" s="1"/>
  <c r="B56" i="11"/>
  <c r="B59" i="11"/>
  <c r="B67" i="11"/>
  <c r="B46" i="11"/>
  <c r="C47" i="11" s="1"/>
  <c r="G42" i="11"/>
  <c r="F42" i="11"/>
  <c r="C58" i="11"/>
  <c r="T33" i="11"/>
  <c r="X33" i="11"/>
  <c r="C42" i="11"/>
  <c r="F34" i="11"/>
  <c r="G34" i="11"/>
  <c r="Y52" i="11"/>
  <c r="U52" i="11"/>
  <c r="G44" i="11"/>
  <c r="G63" i="11"/>
  <c r="C34" i="11"/>
  <c r="G31" i="11"/>
  <c r="G50" i="11"/>
  <c r="F50" i="11"/>
  <c r="G36" i="11"/>
  <c r="B37" i="11"/>
  <c r="U49" i="11"/>
  <c r="Y49" i="11"/>
  <c r="G57" i="11"/>
  <c r="G47" i="11"/>
  <c r="C50" i="11"/>
  <c r="C61" i="11"/>
  <c r="G39" i="11"/>
  <c r="G41" i="11"/>
  <c r="B30" i="11"/>
  <c r="C31" i="11" s="1"/>
  <c r="B35" i="11"/>
  <c r="C36" i="11" s="1"/>
  <c r="G69" i="11"/>
  <c r="F69" i="11"/>
  <c r="G66" i="11"/>
  <c r="F66" i="11"/>
  <c r="G28" i="11"/>
  <c r="F28" i="11"/>
  <c r="B40" i="11"/>
  <c r="C41" i="11" s="1"/>
  <c r="F61" i="11"/>
  <c r="G61" i="11"/>
  <c r="B53" i="11"/>
  <c r="G58" i="11"/>
  <c r="F58" i="11"/>
  <c r="C69" i="11"/>
  <c r="C66" i="11"/>
  <c r="U33" i="11"/>
  <c r="C28" i="11"/>
  <c r="G71" i="11"/>
  <c r="G55" i="11"/>
  <c r="AA134" i="3"/>
  <c r="AT134" i="3" s="1"/>
  <c r="B72" i="10"/>
  <c r="J72" i="10" s="1"/>
  <c r="B54" i="10"/>
  <c r="J54" i="10" s="1"/>
  <c r="B58" i="10"/>
  <c r="J58" i="10" s="1"/>
  <c r="B68" i="10"/>
  <c r="J68" i="10" s="1"/>
  <c r="B40" i="10"/>
  <c r="J40" i="10" s="1"/>
  <c r="B44" i="10"/>
  <c r="J44" i="10" s="1"/>
  <c r="B31" i="10"/>
  <c r="J31" i="10" s="1"/>
  <c r="B48" i="10"/>
  <c r="J48" i="10" s="1"/>
  <c r="B34" i="10"/>
  <c r="J34" i="10" s="1"/>
  <c r="B62" i="10"/>
  <c r="J62" i="10" s="1"/>
  <c r="B56" i="10"/>
  <c r="J56" i="10" s="1"/>
  <c r="B52" i="10"/>
  <c r="J52" i="10" s="1"/>
  <c r="B36" i="10"/>
  <c r="J36" i="10" s="1"/>
  <c r="B42" i="10"/>
  <c r="J42" i="10" s="1"/>
  <c r="B38" i="10"/>
  <c r="J38" i="10" s="1"/>
  <c r="X89" i="10"/>
  <c r="Y89" i="10" s="1"/>
  <c r="E30" i="10" s="1"/>
  <c r="B70" i="10"/>
  <c r="J70" i="10" s="1"/>
  <c r="X105" i="10"/>
  <c r="Y105" i="10" s="1"/>
  <c r="E46" i="10" s="1"/>
  <c r="X27" i="10"/>
  <c r="X114" i="10"/>
  <c r="Y114" i="10" s="1"/>
  <c r="E55" i="10" s="1"/>
  <c r="X123" i="10"/>
  <c r="Y123" i="10" s="1"/>
  <c r="E64" i="10" s="1"/>
  <c r="X118" i="10"/>
  <c r="Y118" i="10" s="1"/>
  <c r="E59" i="10" s="1"/>
  <c r="X104" i="10"/>
  <c r="Y104" i="10" s="1"/>
  <c r="E45" i="10" s="1"/>
  <c r="X128" i="10"/>
  <c r="Y128" i="10" s="1"/>
  <c r="E69" i="10" s="1"/>
  <c r="X124" i="10"/>
  <c r="Y124" i="10" s="1"/>
  <c r="E65" i="10" s="1"/>
  <c r="X122" i="10"/>
  <c r="Y122" i="10" s="1"/>
  <c r="E63" i="10" s="1"/>
  <c r="X87" i="10"/>
  <c r="Y87" i="10" s="1"/>
  <c r="E28" i="10" s="1"/>
  <c r="G28" i="10" s="1"/>
  <c r="B60" i="10"/>
  <c r="J60" i="10" s="1"/>
  <c r="X130" i="10"/>
  <c r="Y130" i="10" s="1"/>
  <c r="E71" i="10" s="1"/>
  <c r="X94" i="10"/>
  <c r="Y94" i="10" s="1"/>
  <c r="E35" i="10" s="1"/>
  <c r="X100" i="10"/>
  <c r="Y100" i="10" s="1"/>
  <c r="E41" i="10" s="1"/>
  <c r="X116" i="10"/>
  <c r="Y116" i="10" s="1"/>
  <c r="E57" i="10" s="1"/>
  <c r="X120" i="10"/>
  <c r="Y120" i="10" s="1"/>
  <c r="E61" i="10" s="1"/>
  <c r="X108" i="10"/>
  <c r="Y108" i="10" s="1"/>
  <c r="E49" i="10" s="1"/>
  <c r="X92" i="10"/>
  <c r="Y92" i="10" s="1"/>
  <c r="X106" i="10"/>
  <c r="Y106" i="10" s="1"/>
  <c r="E47" i="10" s="1"/>
  <c r="Y27" i="10"/>
  <c r="X126" i="10"/>
  <c r="Y126" i="10" s="1"/>
  <c r="E67" i="10" s="1"/>
  <c r="B50" i="10"/>
  <c r="J50" i="10" s="1"/>
  <c r="X112" i="10"/>
  <c r="Y112" i="10" s="1"/>
  <c r="E53" i="10" s="1"/>
  <c r="B29" i="10"/>
  <c r="J29" i="10" s="1"/>
  <c r="B32" i="10"/>
  <c r="J32" i="10" s="1"/>
  <c r="X102" i="10"/>
  <c r="Y102" i="10" s="1"/>
  <c r="E43" i="10" s="1"/>
  <c r="B66" i="10"/>
  <c r="J66" i="10" s="1"/>
  <c r="X96" i="10"/>
  <c r="Y96" i="10" s="1"/>
  <c r="E37" i="10" s="1"/>
  <c r="X110" i="10"/>
  <c r="Y110" i="10" s="1"/>
  <c r="E51" i="10" s="1"/>
  <c r="X98" i="10"/>
  <c r="Y98" i="10" s="1"/>
  <c r="E39" i="10" s="1"/>
  <c r="F134" i="3"/>
  <c r="X69" i="20" l="1"/>
  <c r="X64" i="33"/>
  <c r="X28" i="20"/>
  <c r="X67" i="32"/>
  <c r="AA102" i="3"/>
  <c r="AA92" i="3"/>
  <c r="AB93" i="3"/>
  <c r="M148" i="3" s="1"/>
  <c r="AB86" i="3"/>
  <c r="M141" i="3" s="1"/>
  <c r="AI141" i="3" s="1"/>
  <c r="AM141" i="3" s="1"/>
  <c r="AV141" i="3" s="1"/>
  <c r="AB122" i="3"/>
  <c r="M177" i="3" s="1"/>
  <c r="AI177" i="3" s="1"/>
  <c r="AM177" i="3" s="1"/>
  <c r="AV177" i="3" s="1"/>
  <c r="AB92" i="3"/>
  <c r="M147" i="3" s="1"/>
  <c r="AB88" i="3"/>
  <c r="M143" i="3" s="1"/>
  <c r="AI143" i="3" s="1"/>
  <c r="AM143" i="3" s="1"/>
  <c r="AV143" i="3" s="1"/>
  <c r="AB103" i="3"/>
  <c r="M158" i="3" s="1"/>
  <c r="AI158" i="3" s="1"/>
  <c r="AM158" i="3" s="1"/>
  <c r="AV158" i="3" s="1"/>
  <c r="AA103" i="3"/>
  <c r="E158" i="3" s="1"/>
  <c r="X66" i="31"/>
  <c r="AA100" i="3"/>
  <c r="AB85" i="3"/>
  <c r="M140" i="3" s="1"/>
  <c r="AI140" i="3" s="1"/>
  <c r="AM140" i="3" s="1"/>
  <c r="AV140" i="3" s="1"/>
  <c r="AA88" i="3"/>
  <c r="E143" i="3" s="1"/>
  <c r="V143" i="3" s="1"/>
  <c r="AB97" i="3"/>
  <c r="M152" i="3" s="1"/>
  <c r="AI152" i="3" s="1"/>
  <c r="AM152" i="3" s="1"/>
  <c r="AV152" i="3" s="1"/>
  <c r="AA85" i="3"/>
  <c r="AB111" i="3"/>
  <c r="M166" i="3" s="1"/>
  <c r="AI166" i="3" s="1"/>
  <c r="AM166" i="3" s="1"/>
  <c r="AV166" i="3" s="1"/>
  <c r="AB120" i="3"/>
  <c r="M175" i="3" s="1"/>
  <c r="AI175" i="3" s="1"/>
  <c r="AM175" i="3" s="1"/>
  <c r="AV175" i="3" s="1"/>
  <c r="AB83" i="3"/>
  <c r="AB123" i="3"/>
  <c r="M178" i="3" s="1"/>
  <c r="AI178" i="3" s="1"/>
  <c r="AM178" i="3" s="1"/>
  <c r="AV178" i="3" s="1"/>
  <c r="X26" i="32"/>
  <c r="O29" i="11"/>
  <c r="X70" i="20"/>
  <c r="X68" i="20"/>
  <c r="AA115" i="3"/>
  <c r="E170" i="3" s="1"/>
  <c r="G170" i="3" s="1"/>
  <c r="AA107" i="3"/>
  <c r="E162" i="3" s="1"/>
  <c r="V162" i="3" s="1"/>
  <c r="E33" i="10"/>
  <c r="X28" i="38"/>
  <c r="AB115" i="3"/>
  <c r="M170" i="3" s="1"/>
  <c r="AI170" i="3" s="1"/>
  <c r="AM170" i="3" s="1"/>
  <c r="AV170" i="3" s="1"/>
  <c r="G206" i="3"/>
  <c r="G229" i="3"/>
  <c r="G217" i="3"/>
  <c r="G193" i="3"/>
  <c r="G192" i="3"/>
  <c r="G199" i="3"/>
  <c r="G224" i="3"/>
  <c r="G202" i="3"/>
  <c r="G196" i="3"/>
  <c r="AB110" i="3"/>
  <c r="M165" i="3" s="1"/>
  <c r="AI165" i="3" s="1"/>
  <c r="AM165" i="3" s="1"/>
  <c r="AV165" i="3" s="1"/>
  <c r="AA110" i="3"/>
  <c r="E165" i="3" s="1"/>
  <c r="M160" i="3"/>
  <c r="AI160" i="3" s="1"/>
  <c r="AM160" i="3" s="1"/>
  <c r="AV160" i="3" s="1"/>
  <c r="AC123" i="3"/>
  <c r="AD123" i="3"/>
  <c r="E237" i="3" s="1"/>
  <c r="O237" i="3" s="1"/>
  <c r="AC85" i="3"/>
  <c r="AC92" i="3"/>
  <c r="AC110" i="3"/>
  <c r="AC115" i="3"/>
  <c r="AC103" i="3"/>
  <c r="AC88" i="3"/>
  <c r="AC98" i="3"/>
  <c r="AD98" i="3"/>
  <c r="E212" i="3" s="1"/>
  <c r="O212" i="3" s="1"/>
  <c r="AC116" i="3"/>
  <c r="AD116" i="3"/>
  <c r="E230" i="3" s="1"/>
  <c r="O230" i="3" s="1"/>
  <c r="AC121" i="3"/>
  <c r="AD121" i="3"/>
  <c r="E235" i="3" s="1"/>
  <c r="O235" i="3" s="1"/>
  <c r="AC102" i="3"/>
  <c r="AD102" i="3"/>
  <c r="E216" i="3" s="1"/>
  <c r="O216" i="3" s="1"/>
  <c r="AC107" i="3"/>
  <c r="AD107" i="3"/>
  <c r="E221" i="3" s="1"/>
  <c r="O221" i="3" s="1"/>
  <c r="AC87" i="3"/>
  <c r="AD87" i="3"/>
  <c r="E201" i="3" s="1"/>
  <c r="O201" i="3" s="1"/>
  <c r="AC94" i="3"/>
  <c r="AD94" i="3"/>
  <c r="E208" i="3" s="1"/>
  <c r="O208" i="3" s="1"/>
  <c r="AC99" i="3"/>
  <c r="AD99" i="3"/>
  <c r="E213" i="3" s="1"/>
  <c r="O213" i="3" s="1"/>
  <c r="AB80" i="3"/>
  <c r="M135" i="3" s="1"/>
  <c r="N135" i="3" s="1"/>
  <c r="AD80" i="3"/>
  <c r="E194" i="3" s="1"/>
  <c r="O194" i="3" s="1"/>
  <c r="AC112" i="3"/>
  <c r="AD112" i="3"/>
  <c r="E226" i="3" s="1"/>
  <c r="O226" i="3" s="1"/>
  <c r="AC90" i="3"/>
  <c r="AD90" i="3"/>
  <c r="E204" i="3" s="1"/>
  <c r="O204" i="3" s="1"/>
  <c r="AC93" i="3"/>
  <c r="AD93" i="3"/>
  <c r="E207" i="3" s="1"/>
  <c r="O207" i="3" s="1"/>
  <c r="AC86" i="3"/>
  <c r="AD86" i="3"/>
  <c r="E200" i="3" s="1"/>
  <c r="O200" i="3" s="1"/>
  <c r="AC89" i="3"/>
  <c r="AD89" i="3"/>
  <c r="E203" i="3" s="1"/>
  <c r="O203" i="3" s="1"/>
  <c r="AA83" i="3"/>
  <c r="E138" i="3" s="1"/>
  <c r="F138" i="3" s="1"/>
  <c r="AD83" i="3"/>
  <c r="E197" i="3" s="1"/>
  <c r="O197" i="3" s="1"/>
  <c r="AC120" i="3"/>
  <c r="AD120" i="3"/>
  <c r="E234" i="3" s="1"/>
  <c r="O234" i="3" s="1"/>
  <c r="AC114" i="3"/>
  <c r="AD114" i="3"/>
  <c r="E228" i="3" s="1"/>
  <c r="O228" i="3" s="1"/>
  <c r="AC97" i="3"/>
  <c r="AD97" i="3"/>
  <c r="E211" i="3" s="1"/>
  <c r="O211" i="3" s="1"/>
  <c r="AC113" i="3"/>
  <c r="AD113" i="3"/>
  <c r="E227" i="3" s="1"/>
  <c r="O227" i="3" s="1"/>
  <c r="AA81" i="3"/>
  <c r="AD81" i="3"/>
  <c r="E195" i="3" s="1"/>
  <c r="O195" i="3" s="1"/>
  <c r="AC111" i="3"/>
  <c r="AD111" i="3"/>
  <c r="E225" i="3" s="1"/>
  <c r="O225" i="3" s="1"/>
  <c r="AC118" i="3"/>
  <c r="AD118" i="3"/>
  <c r="E232" i="3" s="1"/>
  <c r="O232" i="3" s="1"/>
  <c r="AA84" i="3"/>
  <c r="E139" i="3" s="1"/>
  <c r="F139" i="3" s="1"/>
  <c r="AD84" i="3"/>
  <c r="E198" i="3" s="1"/>
  <c r="O198" i="3" s="1"/>
  <c r="AC95" i="3"/>
  <c r="AD95" i="3"/>
  <c r="E209" i="3" s="1"/>
  <c r="O209" i="3" s="1"/>
  <c r="AC96" i="3"/>
  <c r="AD96" i="3"/>
  <c r="E210" i="3" s="1"/>
  <c r="O210" i="3" s="1"/>
  <c r="AC122" i="3"/>
  <c r="AD122" i="3"/>
  <c r="E236" i="3" s="1"/>
  <c r="O236" i="3" s="1"/>
  <c r="AC100" i="3"/>
  <c r="AD100" i="3"/>
  <c r="E214" i="3" s="1"/>
  <c r="O214" i="3" s="1"/>
  <c r="AC101" i="3"/>
  <c r="AD101" i="3"/>
  <c r="E215" i="3" s="1"/>
  <c r="O215" i="3" s="1"/>
  <c r="AC117" i="3"/>
  <c r="AD117" i="3"/>
  <c r="E231" i="3" s="1"/>
  <c r="O231" i="3" s="1"/>
  <c r="AC124" i="3"/>
  <c r="AD124" i="3"/>
  <c r="E238" i="3" s="1"/>
  <c r="O238" i="3" s="1"/>
  <c r="E136" i="3"/>
  <c r="F136" i="3" s="1"/>
  <c r="AC84" i="3"/>
  <c r="AC80" i="3"/>
  <c r="AC81" i="3"/>
  <c r="AB78" i="3"/>
  <c r="M133" i="3" s="1"/>
  <c r="AI133" i="3" s="1"/>
  <c r="AM133" i="3" s="1"/>
  <c r="AV133" i="3" s="1"/>
  <c r="AC78" i="3"/>
  <c r="I11" i="14"/>
  <c r="AZ134" i="3"/>
  <c r="BD133" i="3"/>
  <c r="E138" i="14" s="1"/>
  <c r="E140" i="3"/>
  <c r="V140" i="3" s="1"/>
  <c r="E169" i="3"/>
  <c r="G169" i="3" s="1"/>
  <c r="C178" i="14"/>
  <c r="O172" i="3"/>
  <c r="O159" i="3"/>
  <c r="AI159" i="3"/>
  <c r="AM159" i="3" s="1"/>
  <c r="AV159" i="3" s="1"/>
  <c r="O169" i="3"/>
  <c r="AI169" i="3"/>
  <c r="AM169" i="3" s="1"/>
  <c r="AV169" i="3" s="1"/>
  <c r="O168" i="3"/>
  <c r="AI168" i="3"/>
  <c r="AM168" i="3" s="1"/>
  <c r="AV168" i="3" s="1"/>
  <c r="O176" i="3"/>
  <c r="AI176" i="3"/>
  <c r="AM176" i="3" s="1"/>
  <c r="AV176" i="3" s="1"/>
  <c r="O164" i="3"/>
  <c r="AI164" i="3"/>
  <c r="AM164" i="3" s="1"/>
  <c r="AV164" i="3" s="1"/>
  <c r="O173" i="3"/>
  <c r="AI173" i="3"/>
  <c r="AM173" i="3" s="1"/>
  <c r="AV173" i="3" s="1"/>
  <c r="O147" i="3"/>
  <c r="AI147" i="3"/>
  <c r="AM147" i="3" s="1"/>
  <c r="AV147" i="3" s="1"/>
  <c r="O141" i="3"/>
  <c r="O153" i="3"/>
  <c r="AI153" i="3"/>
  <c r="AM153" i="3" s="1"/>
  <c r="AV153" i="3" s="1"/>
  <c r="O140" i="3"/>
  <c r="O154" i="3"/>
  <c r="AI154" i="3"/>
  <c r="AM154" i="3" s="1"/>
  <c r="AV154" i="3" s="1"/>
  <c r="O144" i="3"/>
  <c r="AI144" i="3"/>
  <c r="AM144" i="3" s="1"/>
  <c r="AV144" i="3" s="1"/>
  <c r="O157" i="3"/>
  <c r="AI157" i="3"/>
  <c r="AM157" i="3" s="1"/>
  <c r="AV157" i="3" s="1"/>
  <c r="C184" i="14"/>
  <c r="O148" i="3"/>
  <c r="AI148" i="3"/>
  <c r="AM148" i="3" s="1"/>
  <c r="AV148" i="3" s="1"/>
  <c r="O150" i="3"/>
  <c r="AI150" i="3"/>
  <c r="AM150" i="3" s="1"/>
  <c r="AV150" i="3" s="1"/>
  <c r="O149" i="3"/>
  <c r="AI149" i="3"/>
  <c r="AM149" i="3" s="1"/>
  <c r="AV149" i="3" s="1"/>
  <c r="O156" i="3"/>
  <c r="AI156" i="3"/>
  <c r="AM156" i="3" s="1"/>
  <c r="AV156" i="3" s="1"/>
  <c r="O163" i="3"/>
  <c r="AI163" i="3"/>
  <c r="AM163" i="3" s="1"/>
  <c r="AV163" i="3" s="1"/>
  <c r="O142" i="3"/>
  <c r="AI142" i="3"/>
  <c r="AM142" i="3" s="1"/>
  <c r="AV142" i="3" s="1"/>
  <c r="O155" i="3"/>
  <c r="AI155" i="3"/>
  <c r="AM155" i="3" s="1"/>
  <c r="AV155" i="3" s="1"/>
  <c r="O139" i="3"/>
  <c r="AI139" i="3"/>
  <c r="AM139" i="3" s="1"/>
  <c r="AV139" i="3" s="1"/>
  <c r="C176" i="14"/>
  <c r="G167" i="3"/>
  <c r="V167" i="3"/>
  <c r="G158" i="3"/>
  <c r="V158" i="3"/>
  <c r="Z158" i="3" s="1"/>
  <c r="G151" i="3"/>
  <c r="V151" i="3"/>
  <c r="G175" i="3"/>
  <c r="V175" i="3"/>
  <c r="G137" i="3"/>
  <c r="V137" i="3"/>
  <c r="G145" i="3"/>
  <c r="V145" i="3"/>
  <c r="G161" i="3"/>
  <c r="V161" i="3"/>
  <c r="G165" i="3"/>
  <c r="V165" i="3"/>
  <c r="G178" i="3"/>
  <c r="V178" i="3"/>
  <c r="G166" i="3"/>
  <c r="V166" i="3"/>
  <c r="G179" i="3"/>
  <c r="V179" i="3"/>
  <c r="G174" i="3"/>
  <c r="V174" i="3"/>
  <c r="G162" i="3"/>
  <c r="G146" i="3"/>
  <c r="V146" i="3"/>
  <c r="G171" i="3"/>
  <c r="V171" i="3"/>
  <c r="G160" i="3"/>
  <c r="V160" i="3"/>
  <c r="G152" i="3"/>
  <c r="V152" i="3"/>
  <c r="G177" i="3"/>
  <c r="V177" i="3"/>
  <c r="X69" i="31"/>
  <c r="X70" i="33"/>
  <c r="B140" i="14"/>
  <c r="C180" i="14"/>
  <c r="B143" i="14"/>
  <c r="C182" i="14"/>
  <c r="M138" i="3"/>
  <c r="O138" i="3" s="1"/>
  <c r="C177" i="14"/>
  <c r="C175" i="14"/>
  <c r="C179" i="14"/>
  <c r="B138" i="14"/>
  <c r="Z133" i="3"/>
  <c r="C140" i="14"/>
  <c r="O146" i="3"/>
  <c r="O178" i="3"/>
  <c r="O160" i="3"/>
  <c r="O161" i="3"/>
  <c r="O143" i="3"/>
  <c r="O179" i="3"/>
  <c r="O170" i="3"/>
  <c r="O151" i="3"/>
  <c r="O145" i="3"/>
  <c r="O136" i="3"/>
  <c r="O175" i="3"/>
  <c r="O171" i="3"/>
  <c r="O152" i="3"/>
  <c r="O165" i="3"/>
  <c r="O137" i="3"/>
  <c r="O174" i="3"/>
  <c r="O162" i="3"/>
  <c r="O177" i="3"/>
  <c r="O167" i="3"/>
  <c r="I34" i="14"/>
  <c r="E49" i="14"/>
  <c r="E6" i="14"/>
  <c r="E50" i="14"/>
  <c r="E44" i="14"/>
  <c r="I15" i="14"/>
  <c r="I42" i="14"/>
  <c r="I28" i="14"/>
  <c r="I37" i="14"/>
  <c r="I10" i="14"/>
  <c r="C141" i="14"/>
  <c r="AA135" i="3"/>
  <c r="AT135" i="3" s="1"/>
  <c r="AZ135" i="3" s="1"/>
  <c r="C181" i="14"/>
  <c r="C142" i="14"/>
  <c r="C183" i="14"/>
  <c r="C143" i="14"/>
  <c r="E148" i="3"/>
  <c r="V148" i="3" s="1"/>
  <c r="E141" i="3"/>
  <c r="V141" i="3" s="1"/>
  <c r="E144" i="3"/>
  <c r="V144" i="3" s="1"/>
  <c r="E164" i="3"/>
  <c r="V164" i="3" s="1"/>
  <c r="E168" i="3"/>
  <c r="V168" i="3" s="1"/>
  <c r="E176" i="3"/>
  <c r="V176" i="3" s="1"/>
  <c r="E147" i="3"/>
  <c r="V147" i="3" s="1"/>
  <c r="E149" i="3"/>
  <c r="V149" i="3" s="1"/>
  <c r="E163" i="3"/>
  <c r="V163" i="3" s="1"/>
  <c r="E150" i="3"/>
  <c r="V150" i="3" s="1"/>
  <c r="E156" i="3"/>
  <c r="V156" i="3" s="1"/>
  <c r="E157" i="3"/>
  <c r="V157" i="3" s="1"/>
  <c r="E153" i="3"/>
  <c r="E173" i="3"/>
  <c r="V173" i="3" s="1"/>
  <c r="E172" i="3"/>
  <c r="E159" i="3"/>
  <c r="E155" i="3"/>
  <c r="V155" i="3" s="1"/>
  <c r="E154" i="3"/>
  <c r="V154" i="3" s="1"/>
  <c r="E142" i="3"/>
  <c r="V142" i="3" s="1"/>
  <c r="X64" i="31"/>
  <c r="I21" i="14"/>
  <c r="I29" i="14"/>
  <c r="E42" i="14"/>
  <c r="E8" i="14"/>
  <c r="X71" i="30"/>
  <c r="X29" i="20"/>
  <c r="X67" i="31"/>
  <c r="I27" i="14"/>
  <c r="X63" i="30"/>
  <c r="X67" i="30"/>
  <c r="X26" i="33"/>
  <c r="I36" i="14"/>
  <c r="I30" i="14"/>
  <c r="X72" i="33"/>
  <c r="I43" i="14"/>
  <c r="I20" i="14"/>
  <c r="I18" i="14"/>
  <c r="I6" i="14"/>
  <c r="X71" i="33"/>
  <c r="X67" i="20"/>
  <c r="X29" i="21"/>
  <c r="X63" i="21"/>
  <c r="X29" i="31"/>
  <c r="X26" i="21"/>
  <c r="X66" i="33"/>
  <c r="X31" i="31"/>
  <c r="I12" i="14"/>
  <c r="X26" i="31"/>
  <c r="X26" i="30"/>
  <c r="X28" i="30"/>
  <c r="I22" i="14"/>
  <c r="I19" i="14"/>
  <c r="I50" i="14"/>
  <c r="X29" i="30"/>
  <c r="X31" i="33"/>
  <c r="X26" i="20"/>
  <c r="X70" i="21"/>
  <c r="X71" i="20"/>
  <c r="X30" i="21"/>
  <c r="X30" i="20"/>
  <c r="X31" i="20"/>
  <c r="X72" i="32"/>
  <c r="N142" i="3"/>
  <c r="N179" i="3"/>
  <c r="N178" i="3"/>
  <c r="N137" i="3"/>
  <c r="N153" i="3"/>
  <c r="N146" i="3"/>
  <c r="N174" i="3"/>
  <c r="N149" i="3"/>
  <c r="N140" i="3"/>
  <c r="N154" i="3"/>
  <c r="N141" i="3"/>
  <c r="N164" i="3"/>
  <c r="N151" i="3"/>
  <c r="N150" i="3"/>
  <c r="N158" i="3"/>
  <c r="N168" i="3"/>
  <c r="N163" i="3"/>
  <c r="N136" i="3"/>
  <c r="N157" i="3"/>
  <c r="N148" i="3"/>
  <c r="N147" i="3"/>
  <c r="N159" i="3"/>
  <c r="N155" i="3"/>
  <c r="N156" i="3"/>
  <c r="N172" i="3"/>
  <c r="N145" i="3"/>
  <c r="N167" i="3"/>
  <c r="N162" i="3"/>
  <c r="N143" i="3"/>
  <c r="N165" i="3"/>
  <c r="N169" i="3"/>
  <c r="N152" i="3"/>
  <c r="N144" i="3"/>
  <c r="N173" i="3"/>
  <c r="N177" i="3"/>
  <c r="N160" i="3"/>
  <c r="I26" i="14"/>
  <c r="E9" i="14"/>
  <c r="I25" i="14"/>
  <c r="I39" i="14"/>
  <c r="X61" i="29"/>
  <c r="T61" i="29"/>
  <c r="T46" i="33"/>
  <c r="X46" i="33"/>
  <c r="J39" i="14"/>
  <c r="X61" i="23"/>
  <c r="T61" i="23"/>
  <c r="X37" i="32"/>
  <c r="T37" i="32"/>
  <c r="X39" i="32"/>
  <c r="T39" i="32"/>
  <c r="X35" i="29"/>
  <c r="T35" i="29"/>
  <c r="X44" i="26"/>
  <c r="X22" i="14" s="1"/>
  <c r="T44" i="26"/>
  <c r="X53" i="18"/>
  <c r="T53" i="18"/>
  <c r="X72" i="38"/>
  <c r="J50" i="14"/>
  <c r="T57" i="34"/>
  <c r="X57" i="34"/>
  <c r="Z35" i="14" s="1"/>
  <c r="T41" i="29"/>
  <c r="X41" i="29"/>
  <c r="T36" i="30"/>
  <c r="X36" i="30"/>
  <c r="T43" i="17"/>
  <c r="X43" i="17"/>
  <c r="X35" i="17"/>
  <c r="T35" i="17"/>
  <c r="T62" i="18"/>
  <c r="X62" i="18"/>
  <c r="X61" i="37"/>
  <c r="W39" i="14" s="1"/>
  <c r="T61" i="37"/>
  <c r="T47" i="21"/>
  <c r="X47" i="21"/>
  <c r="X27" i="37"/>
  <c r="W5" i="14" s="1"/>
  <c r="N6" i="37"/>
  <c r="T46" i="28"/>
  <c r="X46" i="28"/>
  <c r="AA24" i="14" s="1"/>
  <c r="X68" i="38"/>
  <c r="J46" i="14"/>
  <c r="T56" i="30"/>
  <c r="X56" i="30"/>
  <c r="I8" i="14"/>
  <c r="T48" i="16"/>
  <c r="X48" i="16"/>
  <c r="T32" i="33"/>
  <c r="X32" i="33"/>
  <c r="N3" i="32"/>
  <c r="X55" i="32"/>
  <c r="T55" i="32"/>
  <c r="T43" i="38"/>
  <c r="X43" i="38"/>
  <c r="X53" i="20"/>
  <c r="T53" i="20"/>
  <c r="T60" i="21"/>
  <c r="X60" i="21"/>
  <c r="X34" i="15"/>
  <c r="T34" i="15"/>
  <c r="T36" i="28"/>
  <c r="X36" i="28"/>
  <c r="AA14" i="14" s="1"/>
  <c r="T55" i="34"/>
  <c r="X55" i="34"/>
  <c r="Z33" i="14" s="1"/>
  <c r="X54" i="27"/>
  <c r="Y32" i="14" s="1"/>
  <c r="T54" i="27"/>
  <c r="T61" i="32"/>
  <c r="X61" i="32"/>
  <c r="T33" i="31"/>
  <c r="X33" i="31"/>
  <c r="X46" i="26"/>
  <c r="X24" i="14" s="1"/>
  <c r="T46" i="26"/>
  <c r="X54" i="32"/>
  <c r="T54" i="32"/>
  <c r="T53" i="37"/>
  <c r="X53" i="37"/>
  <c r="W31" i="14" s="1"/>
  <c r="X37" i="33"/>
  <c r="T37" i="33"/>
  <c r="T41" i="33"/>
  <c r="X41" i="33"/>
  <c r="X71" i="38"/>
  <c r="J49" i="14"/>
  <c r="T61" i="16"/>
  <c r="X61" i="16"/>
  <c r="T33" i="30"/>
  <c r="X33" i="30"/>
  <c r="X59" i="22"/>
  <c r="T59" i="22"/>
  <c r="T51" i="19"/>
  <c r="X51" i="19"/>
  <c r="X31" i="38"/>
  <c r="J9" i="14"/>
  <c r="X44" i="15"/>
  <c r="T44" i="15"/>
  <c r="J25" i="14"/>
  <c r="X47" i="23"/>
  <c r="T47" i="23"/>
  <c r="X40" i="19"/>
  <c r="T40" i="19"/>
  <c r="X47" i="33"/>
  <c r="T47" i="33"/>
  <c r="X40" i="21"/>
  <c r="T40" i="21"/>
  <c r="T49" i="21"/>
  <c r="X49" i="21"/>
  <c r="X65" i="38"/>
  <c r="J43" i="14"/>
  <c r="X57" i="24"/>
  <c r="V35" i="14" s="1"/>
  <c r="T57" i="24"/>
  <c r="T57" i="33"/>
  <c r="X57" i="33"/>
  <c r="X49" i="17"/>
  <c r="T49" i="17"/>
  <c r="X37" i="37"/>
  <c r="W15" i="14" s="1"/>
  <c r="T37" i="37"/>
  <c r="X38" i="30"/>
  <c r="T38" i="30"/>
  <c r="X51" i="24"/>
  <c r="V29" i="14" s="1"/>
  <c r="T51" i="24"/>
  <c r="X62" i="29"/>
  <c r="T62" i="29"/>
  <c r="X51" i="21"/>
  <c r="T51" i="21"/>
  <c r="X33" i="20"/>
  <c r="T33" i="20"/>
  <c r="X62" i="37"/>
  <c r="W40" i="14" s="1"/>
  <c r="T62" i="37"/>
  <c r="T40" i="28"/>
  <c r="X40" i="28"/>
  <c r="AA18" i="14" s="1"/>
  <c r="X54" i="38"/>
  <c r="T54" i="38"/>
  <c r="T57" i="19"/>
  <c r="X57" i="19"/>
  <c r="T39" i="26"/>
  <c r="X39" i="26"/>
  <c r="X17" i="14" s="1"/>
  <c r="X49" i="18"/>
  <c r="T49" i="18"/>
  <c r="X60" i="17"/>
  <c r="T60" i="17"/>
  <c r="X36" i="17"/>
  <c r="T36" i="17"/>
  <c r="X41" i="27"/>
  <c r="Y19" i="14" s="1"/>
  <c r="T41" i="27"/>
  <c r="X27" i="28"/>
  <c r="AA5" i="14" s="1"/>
  <c r="N6" i="28"/>
  <c r="T33" i="34"/>
  <c r="X33" i="34"/>
  <c r="Z11" i="14" s="1"/>
  <c r="X56" i="20"/>
  <c r="T56" i="20"/>
  <c r="T48" i="38"/>
  <c r="X48" i="38"/>
  <c r="X30" i="38"/>
  <c r="J8" i="14"/>
  <c r="T62" i="31"/>
  <c r="X62" i="31"/>
  <c r="X54" i="33"/>
  <c r="T54" i="33"/>
  <c r="X40" i="17"/>
  <c r="T40" i="17"/>
  <c r="I44" i="14"/>
  <c r="X39" i="19"/>
  <c r="T39" i="19"/>
  <c r="X43" i="34"/>
  <c r="Z21" i="14" s="1"/>
  <c r="T43" i="34"/>
  <c r="T52" i="18"/>
  <c r="X52" i="18"/>
  <c r="X49" i="27"/>
  <c r="Y27" i="14" s="1"/>
  <c r="T49" i="27"/>
  <c r="X58" i="37"/>
  <c r="W36" i="14" s="1"/>
  <c r="T58" i="37"/>
  <c r="E43" i="14"/>
  <c r="X49" i="20"/>
  <c r="T49" i="20"/>
  <c r="J6" i="14"/>
  <c r="X28" i="23"/>
  <c r="I41" i="14"/>
  <c r="X46" i="38"/>
  <c r="T46" i="38"/>
  <c r="X35" i="31"/>
  <c r="T35" i="31"/>
  <c r="X59" i="38"/>
  <c r="T59" i="38"/>
  <c r="T56" i="22"/>
  <c r="X56" i="22"/>
  <c r="T42" i="22"/>
  <c r="X42" i="22"/>
  <c r="X41" i="28"/>
  <c r="AA19" i="14" s="1"/>
  <c r="T41" i="28"/>
  <c r="T34" i="18"/>
  <c r="X34" i="18"/>
  <c r="T62" i="30"/>
  <c r="X62" i="30"/>
  <c r="T34" i="27"/>
  <c r="X34" i="27"/>
  <c r="Y12" i="14" s="1"/>
  <c r="X27" i="19"/>
  <c r="N6" i="19"/>
  <c r="T36" i="18"/>
  <c r="X36" i="18"/>
  <c r="X58" i="26"/>
  <c r="X36" i="14" s="1"/>
  <c r="T58" i="26"/>
  <c r="J16" i="14"/>
  <c r="X38" i="23"/>
  <c r="T38" i="23"/>
  <c r="X40" i="24"/>
  <c r="V18" i="14" s="1"/>
  <c r="T40" i="24"/>
  <c r="T32" i="20"/>
  <c r="X32" i="20"/>
  <c r="N3" i="20"/>
  <c r="T53" i="33"/>
  <c r="X53" i="33"/>
  <c r="X42" i="15"/>
  <c r="T42" i="15"/>
  <c r="I49" i="14"/>
  <c r="X27" i="32"/>
  <c r="N6" i="32"/>
  <c r="T57" i="15"/>
  <c r="X57" i="15"/>
  <c r="X45" i="33"/>
  <c r="T45" i="33"/>
  <c r="X40" i="37"/>
  <c r="W18" i="14" s="1"/>
  <c r="T40" i="37"/>
  <c r="X39" i="16"/>
  <c r="T39" i="16"/>
  <c r="T44" i="24"/>
  <c r="X44" i="24"/>
  <c r="V22" i="14" s="1"/>
  <c r="X61" i="21"/>
  <c r="T61" i="21"/>
  <c r="X45" i="22"/>
  <c r="T45" i="22"/>
  <c r="X41" i="38"/>
  <c r="T41" i="38"/>
  <c r="T52" i="24"/>
  <c r="X52" i="24"/>
  <c r="V30" i="14" s="1"/>
  <c r="T38" i="18"/>
  <c r="X38" i="18"/>
  <c r="T47" i="30"/>
  <c r="X47" i="30"/>
  <c r="T60" i="22"/>
  <c r="X60" i="22"/>
  <c r="T51" i="29"/>
  <c r="X51" i="29"/>
  <c r="T57" i="31"/>
  <c r="X57" i="31"/>
  <c r="T49" i="29"/>
  <c r="X49" i="29"/>
  <c r="T60" i="19"/>
  <c r="X60" i="19"/>
  <c r="T46" i="18"/>
  <c r="X46" i="18"/>
  <c r="X53" i="38"/>
  <c r="T53" i="38"/>
  <c r="T45" i="27"/>
  <c r="X45" i="27"/>
  <c r="Y23" i="14" s="1"/>
  <c r="X60" i="28"/>
  <c r="AA38" i="14" s="1"/>
  <c r="T60" i="28"/>
  <c r="X39" i="27"/>
  <c r="Y17" i="14" s="1"/>
  <c r="T39" i="27"/>
  <c r="X51" i="38"/>
  <c r="T51" i="38"/>
  <c r="X34" i="21"/>
  <c r="T34" i="21"/>
  <c r="X61" i="33"/>
  <c r="T61" i="33"/>
  <c r="X51" i="16"/>
  <c r="T51" i="16"/>
  <c r="X47" i="34"/>
  <c r="Z25" i="14" s="1"/>
  <c r="T47" i="34"/>
  <c r="T52" i="15"/>
  <c r="X52" i="15"/>
  <c r="X53" i="28"/>
  <c r="AA31" i="14" s="1"/>
  <c r="T53" i="28"/>
  <c r="X37" i="18"/>
  <c r="T37" i="18"/>
  <c r="N3" i="34"/>
  <c r="X59" i="34"/>
  <c r="Z37" i="14" s="1"/>
  <c r="T59" i="34"/>
  <c r="X35" i="16"/>
  <c r="T35" i="16"/>
  <c r="X52" i="37"/>
  <c r="W30" i="14" s="1"/>
  <c r="T52" i="37"/>
  <c r="X42" i="32"/>
  <c r="T42" i="32"/>
  <c r="X35" i="37"/>
  <c r="W13" i="14" s="1"/>
  <c r="T35" i="37"/>
  <c r="T61" i="31"/>
  <c r="X61" i="31"/>
  <c r="J19" i="14"/>
  <c r="X41" i="23"/>
  <c r="T41" i="23"/>
  <c r="X46" i="27"/>
  <c r="Y24" i="14" s="1"/>
  <c r="T46" i="27"/>
  <c r="T36" i="22"/>
  <c r="X36" i="22"/>
  <c r="X61" i="17"/>
  <c r="T61" i="17"/>
  <c r="X70" i="38"/>
  <c r="J48" i="14"/>
  <c r="J26" i="14"/>
  <c r="X48" i="23"/>
  <c r="T48" i="23"/>
  <c r="T40" i="34"/>
  <c r="X40" i="34"/>
  <c r="Z18" i="14" s="1"/>
  <c r="X53" i="19"/>
  <c r="T53" i="19"/>
  <c r="X50" i="30"/>
  <c r="T50" i="30"/>
  <c r="T50" i="31"/>
  <c r="X50" i="31"/>
  <c r="X45" i="19"/>
  <c r="T45" i="19"/>
  <c r="T62" i="33"/>
  <c r="X62" i="33"/>
  <c r="X41" i="22"/>
  <c r="T41" i="22"/>
  <c r="X56" i="17"/>
  <c r="T56" i="17"/>
  <c r="X38" i="21"/>
  <c r="T38" i="21"/>
  <c r="X40" i="29"/>
  <c r="T40" i="29"/>
  <c r="T42" i="20"/>
  <c r="X42" i="20"/>
  <c r="X58" i="16"/>
  <c r="T58" i="16"/>
  <c r="X34" i="34"/>
  <c r="Z12" i="14" s="1"/>
  <c r="T34" i="34"/>
  <c r="X33" i="32"/>
  <c r="T33" i="32"/>
  <c r="T39" i="30"/>
  <c r="X39" i="30"/>
  <c r="T44" i="27"/>
  <c r="X44" i="27"/>
  <c r="Y22" i="14" s="1"/>
  <c r="T61" i="26"/>
  <c r="X61" i="26"/>
  <c r="X39" i="14" s="1"/>
  <c r="X66" i="38"/>
  <c r="J44" i="14"/>
  <c r="X60" i="15"/>
  <c r="T60" i="15"/>
  <c r="X45" i="20"/>
  <c r="T45" i="20"/>
  <c r="T44" i="20"/>
  <c r="X44" i="20"/>
  <c r="X60" i="33"/>
  <c r="T60" i="33"/>
  <c r="X50" i="19"/>
  <c r="T50" i="19"/>
  <c r="J40" i="14"/>
  <c r="X62" i="23"/>
  <c r="T62" i="23"/>
  <c r="X36" i="32"/>
  <c r="T36" i="32"/>
  <c r="T47" i="26"/>
  <c r="X47" i="26"/>
  <c r="X25" i="14" s="1"/>
  <c r="X48" i="20"/>
  <c r="T48" i="20"/>
  <c r="T43" i="18"/>
  <c r="X43" i="18"/>
  <c r="T44" i="29"/>
  <c r="X44" i="29"/>
  <c r="T61" i="20"/>
  <c r="X61" i="20"/>
  <c r="I46" i="14"/>
  <c r="T41" i="19"/>
  <c r="X41" i="19"/>
  <c r="X61" i="28"/>
  <c r="AA39" i="14" s="1"/>
  <c r="T61" i="28"/>
  <c r="X34" i="20"/>
  <c r="T34" i="20"/>
  <c r="T46" i="20"/>
  <c r="X46" i="20"/>
  <c r="T57" i="38"/>
  <c r="X57" i="38"/>
  <c r="T42" i="29"/>
  <c r="X42" i="29"/>
  <c r="E41" i="14"/>
  <c r="X48" i="29"/>
  <c r="T48" i="29"/>
  <c r="X44" i="19"/>
  <c r="T44" i="19"/>
  <c r="X57" i="21"/>
  <c r="T57" i="21"/>
  <c r="T56" i="27"/>
  <c r="X56" i="27"/>
  <c r="Y34" i="14" s="1"/>
  <c r="X51" i="18"/>
  <c r="T51" i="18"/>
  <c r="T39" i="38"/>
  <c r="X39" i="38"/>
  <c r="X58" i="34"/>
  <c r="Z36" i="14" s="1"/>
  <c r="T58" i="34"/>
  <c r="X38" i="17"/>
  <c r="T38" i="17"/>
  <c r="T61" i="27"/>
  <c r="X61" i="27"/>
  <c r="Y39" i="14" s="1"/>
  <c r="X49" i="19"/>
  <c r="T49" i="19"/>
  <c r="T56" i="29"/>
  <c r="X56" i="29"/>
  <c r="X52" i="32"/>
  <c r="T52" i="32"/>
  <c r="X37" i="24"/>
  <c r="V15" i="14" s="1"/>
  <c r="T37" i="24"/>
  <c r="X54" i="21"/>
  <c r="T54" i="21"/>
  <c r="X34" i="22"/>
  <c r="T34" i="22"/>
  <c r="X33" i="15"/>
  <c r="T33" i="15"/>
  <c r="X33" i="21"/>
  <c r="T33" i="21"/>
  <c r="T48" i="32"/>
  <c r="X48" i="32"/>
  <c r="X51" i="26"/>
  <c r="X29" i="14" s="1"/>
  <c r="T51" i="26"/>
  <c r="X36" i="16"/>
  <c r="T36" i="16"/>
  <c r="X48" i="21"/>
  <c r="T48" i="21"/>
  <c r="X61" i="18"/>
  <c r="T61" i="18"/>
  <c r="T51" i="17"/>
  <c r="X51" i="17"/>
  <c r="T35" i="32"/>
  <c r="X35" i="32"/>
  <c r="X43" i="26"/>
  <c r="X21" i="14" s="1"/>
  <c r="T43" i="26"/>
  <c r="T52" i="19"/>
  <c r="X52" i="19"/>
  <c r="X53" i="30"/>
  <c r="T53" i="30"/>
  <c r="I16" i="14"/>
  <c r="X54" i="16"/>
  <c r="T54" i="16"/>
  <c r="X39" i="18"/>
  <c r="T39" i="18"/>
  <c r="X42" i="24"/>
  <c r="V20" i="14" s="1"/>
  <c r="T42" i="24"/>
  <c r="X33" i="28"/>
  <c r="AA11" i="14" s="1"/>
  <c r="T33" i="28"/>
  <c r="X27" i="31"/>
  <c r="N6" i="31"/>
  <c r="N6" i="15"/>
  <c r="I23" i="14"/>
  <c r="I32" i="14"/>
  <c r="X37" i="19"/>
  <c r="T37" i="19"/>
  <c r="X44" i="34"/>
  <c r="Z22" i="14" s="1"/>
  <c r="T44" i="34"/>
  <c r="T37" i="28"/>
  <c r="X37" i="28"/>
  <c r="AA15" i="14" s="1"/>
  <c r="X59" i="31"/>
  <c r="T59" i="31"/>
  <c r="T41" i="30"/>
  <c r="X41" i="30"/>
  <c r="X31" i="21"/>
  <c r="X52" i="20"/>
  <c r="T52" i="20"/>
  <c r="X47" i="32"/>
  <c r="T47" i="32"/>
  <c r="T41" i="31"/>
  <c r="X41" i="31"/>
  <c r="X48" i="17"/>
  <c r="T48" i="17"/>
  <c r="T48" i="18"/>
  <c r="X48" i="18"/>
  <c r="X51" i="33"/>
  <c r="T51" i="33"/>
  <c r="X43" i="32"/>
  <c r="T43" i="32"/>
  <c r="X27" i="17"/>
  <c r="N6" i="17"/>
  <c r="T46" i="16"/>
  <c r="X46" i="16"/>
  <c r="X42" i="34"/>
  <c r="Z20" i="14" s="1"/>
  <c r="T42" i="34"/>
  <c r="T58" i="24"/>
  <c r="X58" i="24"/>
  <c r="V36" i="14" s="1"/>
  <c r="T41" i="32"/>
  <c r="X41" i="32"/>
  <c r="X56" i="31"/>
  <c r="T56" i="31"/>
  <c r="X71" i="32"/>
  <c r="T44" i="16"/>
  <c r="X44" i="16"/>
  <c r="X54" i="26"/>
  <c r="X32" i="14" s="1"/>
  <c r="T54" i="26"/>
  <c r="X55" i="28"/>
  <c r="AA33" i="14" s="1"/>
  <c r="T55" i="28"/>
  <c r="X54" i="28"/>
  <c r="AA32" i="14" s="1"/>
  <c r="T54" i="28"/>
  <c r="J14" i="14"/>
  <c r="X36" i="23"/>
  <c r="T36" i="23"/>
  <c r="T49" i="33"/>
  <c r="X49" i="33"/>
  <c r="X64" i="20"/>
  <c r="T58" i="17"/>
  <c r="X58" i="17"/>
  <c r="X68" i="33"/>
  <c r="X27" i="33"/>
  <c r="N6" i="33"/>
  <c r="T55" i="26"/>
  <c r="X55" i="26"/>
  <c r="X33" i="14" s="1"/>
  <c r="X42" i="16"/>
  <c r="T42" i="16"/>
  <c r="X59" i="33"/>
  <c r="T59" i="33"/>
  <c r="X29" i="33"/>
  <c r="T45" i="37"/>
  <c r="X45" i="37"/>
  <c r="W23" i="14" s="1"/>
  <c r="E4" i="14"/>
  <c r="J72" i="14" s="1"/>
  <c r="T35" i="20"/>
  <c r="X35" i="20"/>
  <c r="J5" i="14"/>
  <c r="X27" i="23"/>
  <c r="N6" i="23"/>
  <c r="X56" i="32"/>
  <c r="T56" i="32"/>
  <c r="T33" i="19"/>
  <c r="X33" i="19"/>
  <c r="T38" i="37"/>
  <c r="X38" i="37"/>
  <c r="W16" i="14" s="1"/>
  <c r="T62" i="16"/>
  <c r="X62" i="16"/>
  <c r="T54" i="34"/>
  <c r="X54" i="34"/>
  <c r="Z32" i="14" s="1"/>
  <c r="T58" i="18"/>
  <c r="X58" i="18"/>
  <c r="T36" i="24"/>
  <c r="X36" i="24"/>
  <c r="V14" i="14" s="1"/>
  <c r="X41" i="18"/>
  <c r="T41" i="18"/>
  <c r="X52" i="16"/>
  <c r="T52" i="16"/>
  <c r="X50" i="37"/>
  <c r="W28" i="14" s="1"/>
  <c r="T50" i="37"/>
  <c r="X49" i="38"/>
  <c r="T49" i="38"/>
  <c r="X65" i="32"/>
  <c r="X33" i="24"/>
  <c r="V11" i="14" s="1"/>
  <c r="T33" i="24"/>
  <c r="X63" i="20"/>
  <c r="X48" i="37"/>
  <c r="W26" i="14" s="1"/>
  <c r="T48" i="37"/>
  <c r="X59" i="27"/>
  <c r="Y37" i="14" s="1"/>
  <c r="T59" i="27"/>
  <c r="X51" i="27"/>
  <c r="Y29" i="14" s="1"/>
  <c r="T51" i="27"/>
  <c r="T55" i="24"/>
  <c r="X55" i="24"/>
  <c r="V33" i="14" s="1"/>
  <c r="X58" i="38"/>
  <c r="T58" i="38"/>
  <c r="X60" i="24"/>
  <c r="V38" i="14" s="1"/>
  <c r="T60" i="24"/>
  <c r="J15" i="14"/>
  <c r="X37" i="23"/>
  <c r="T37" i="23"/>
  <c r="T60" i="18"/>
  <c r="X60" i="18"/>
  <c r="X27" i="26"/>
  <c r="X5" i="14" s="1"/>
  <c r="N6" i="26"/>
  <c r="T50" i="27"/>
  <c r="X50" i="27"/>
  <c r="Y28" i="14" s="1"/>
  <c r="T61" i="19"/>
  <c r="X61" i="19"/>
  <c r="T55" i="15"/>
  <c r="X55" i="15"/>
  <c r="X41" i="20"/>
  <c r="T41" i="20"/>
  <c r="I9" i="14"/>
  <c r="T60" i="32"/>
  <c r="X60" i="32"/>
  <c r="T49" i="37"/>
  <c r="X49" i="37"/>
  <c r="W27" i="14" s="1"/>
  <c r="T58" i="19"/>
  <c r="X58" i="19"/>
  <c r="X34" i="37"/>
  <c r="W12" i="14" s="1"/>
  <c r="T34" i="37"/>
  <c r="T47" i="29"/>
  <c r="X47" i="29"/>
  <c r="T42" i="31"/>
  <c r="X42" i="31"/>
  <c r="X36" i="27"/>
  <c r="Y14" i="14" s="1"/>
  <c r="T36" i="27"/>
  <c r="T59" i="20"/>
  <c r="X59" i="20"/>
  <c r="X47" i="37"/>
  <c r="W25" i="14" s="1"/>
  <c r="T47" i="37"/>
  <c r="X52" i="33"/>
  <c r="T52" i="33"/>
  <c r="X36" i="33"/>
  <c r="T36" i="33"/>
  <c r="T39" i="29"/>
  <c r="X39" i="29"/>
  <c r="X36" i="37"/>
  <c r="W14" i="14" s="1"/>
  <c r="T36" i="37"/>
  <c r="X37" i="30"/>
  <c r="T37" i="30"/>
  <c r="J28" i="14"/>
  <c r="T50" i="23"/>
  <c r="X50" i="23"/>
  <c r="N3" i="17"/>
  <c r="X32" i="17"/>
  <c r="T32" i="17"/>
  <c r="X44" i="30"/>
  <c r="T44" i="30"/>
  <c r="X47" i="18"/>
  <c r="T47" i="18"/>
  <c r="X45" i="21"/>
  <c r="T45" i="21"/>
  <c r="X32" i="19"/>
  <c r="T32" i="19"/>
  <c r="N3" i="19"/>
  <c r="X40" i="33"/>
  <c r="T40" i="33"/>
  <c r="N3" i="38"/>
  <c r="T32" i="38"/>
  <c r="X32" i="38"/>
  <c r="T54" i="30"/>
  <c r="X54" i="30"/>
  <c r="I48" i="14"/>
  <c r="X35" i="28"/>
  <c r="AA13" i="14" s="1"/>
  <c r="T35" i="28"/>
  <c r="I7" i="14"/>
  <c r="X62" i="17"/>
  <c r="T62" i="17"/>
  <c r="T50" i="21"/>
  <c r="X50" i="21"/>
  <c r="T55" i="27"/>
  <c r="X55" i="27"/>
  <c r="Y33" i="14" s="1"/>
  <c r="X60" i="20"/>
  <c r="T60" i="20"/>
  <c r="X52" i="38"/>
  <c r="T52" i="38"/>
  <c r="T40" i="27"/>
  <c r="X40" i="27"/>
  <c r="Y18" i="14" s="1"/>
  <c r="X49" i="31"/>
  <c r="T49" i="31"/>
  <c r="T43" i="30"/>
  <c r="X43" i="30"/>
  <c r="X65" i="30"/>
  <c r="X35" i="22"/>
  <c r="T35" i="22"/>
  <c r="X27" i="22"/>
  <c r="N6" i="22"/>
  <c r="X62" i="28"/>
  <c r="AA40" i="14" s="1"/>
  <c r="T62" i="28"/>
  <c r="X64" i="38"/>
  <c r="J42" i="14"/>
  <c r="X39" i="31"/>
  <c r="T39" i="31"/>
  <c r="X28" i="33"/>
  <c r="X47" i="15"/>
  <c r="T47" i="15"/>
  <c r="X59" i="24"/>
  <c r="V37" i="14" s="1"/>
  <c r="T59" i="24"/>
  <c r="X44" i="33"/>
  <c r="T44" i="33"/>
  <c r="T50" i="24"/>
  <c r="X50" i="24"/>
  <c r="V28" i="14" s="1"/>
  <c r="X42" i="37"/>
  <c r="W20" i="14" s="1"/>
  <c r="T42" i="37"/>
  <c r="X55" i="18"/>
  <c r="T55" i="18"/>
  <c r="X61" i="30"/>
  <c r="T61" i="30"/>
  <c r="X62" i="27"/>
  <c r="Y40" i="14" s="1"/>
  <c r="T62" i="27"/>
  <c r="T52" i="28"/>
  <c r="X52" i="28"/>
  <c r="AA30" i="14" s="1"/>
  <c r="T47" i="16"/>
  <c r="X47" i="16"/>
  <c r="X60" i="29"/>
  <c r="T60" i="29"/>
  <c r="T52" i="21"/>
  <c r="X52" i="21"/>
  <c r="X32" i="16"/>
  <c r="T32" i="16"/>
  <c r="N3" i="16"/>
  <c r="T49" i="32"/>
  <c r="X49" i="32"/>
  <c r="T44" i="18"/>
  <c r="X44" i="18"/>
  <c r="T47" i="22"/>
  <c r="X47" i="22"/>
  <c r="T37" i="16"/>
  <c r="X37" i="16"/>
  <c r="T60" i="27"/>
  <c r="X60" i="27"/>
  <c r="Y38" i="14" s="1"/>
  <c r="T42" i="18"/>
  <c r="X42" i="18"/>
  <c r="X35" i="38"/>
  <c r="T35" i="38"/>
  <c r="X43" i="16"/>
  <c r="T43" i="16"/>
  <c r="T33" i="37"/>
  <c r="X33" i="37"/>
  <c r="W11" i="14" s="1"/>
  <c r="T38" i="20"/>
  <c r="X38" i="20"/>
  <c r="X59" i="32"/>
  <c r="T59" i="32"/>
  <c r="J27" i="14"/>
  <c r="T49" i="23"/>
  <c r="X49" i="23"/>
  <c r="T58" i="31"/>
  <c r="X58" i="31"/>
  <c r="T49" i="16"/>
  <c r="X49" i="16"/>
  <c r="X48" i="19"/>
  <c r="T48" i="19"/>
  <c r="E45" i="14"/>
  <c r="X41" i="21"/>
  <c r="T41" i="21"/>
  <c r="J37" i="14"/>
  <c r="X59" i="23"/>
  <c r="T59" i="23"/>
  <c r="X48" i="33"/>
  <c r="T48" i="33"/>
  <c r="T32" i="31"/>
  <c r="N3" i="31"/>
  <c r="X32" i="31"/>
  <c r="X47" i="24"/>
  <c r="V25" i="14" s="1"/>
  <c r="T47" i="24"/>
  <c r="X37" i="26"/>
  <c r="X15" i="14" s="1"/>
  <c r="T37" i="26"/>
  <c r="X32" i="24"/>
  <c r="V10" i="14" s="1"/>
  <c r="T32" i="24"/>
  <c r="N3" i="24"/>
  <c r="X55" i="38"/>
  <c r="T55" i="38"/>
  <c r="T47" i="17"/>
  <c r="X47" i="17"/>
  <c r="X27" i="18"/>
  <c r="N6" i="18"/>
  <c r="X42" i="26"/>
  <c r="X20" i="14" s="1"/>
  <c r="T42" i="26"/>
  <c r="X54" i="17"/>
  <c r="T54" i="17"/>
  <c r="X61" i="22"/>
  <c r="T61" i="22"/>
  <c r="T38" i="28"/>
  <c r="X38" i="28"/>
  <c r="AA16" i="14" s="1"/>
  <c r="X28" i="32"/>
  <c r="X58" i="15"/>
  <c r="T58" i="15"/>
  <c r="X55" i="21"/>
  <c r="T55" i="21"/>
  <c r="N3" i="22"/>
  <c r="X55" i="22"/>
  <c r="T55" i="22"/>
  <c r="X45" i="38"/>
  <c r="T45" i="38"/>
  <c r="J13" i="14"/>
  <c r="X35" i="23"/>
  <c r="T35" i="23"/>
  <c r="T50" i="34"/>
  <c r="X50" i="34"/>
  <c r="Z28" i="14" s="1"/>
  <c r="X42" i="30"/>
  <c r="T42" i="30"/>
  <c r="T35" i="33"/>
  <c r="X35" i="33"/>
  <c r="T60" i="34"/>
  <c r="X60" i="34"/>
  <c r="Z38" i="14" s="1"/>
  <c r="I5" i="14"/>
  <c r="T44" i="38"/>
  <c r="X44" i="38"/>
  <c r="X34" i="16"/>
  <c r="T34" i="16"/>
  <c r="X53" i="24"/>
  <c r="V31" i="14" s="1"/>
  <c r="T53" i="24"/>
  <c r="X51" i="20"/>
  <c r="T51" i="20"/>
  <c r="T48" i="31"/>
  <c r="X48" i="31"/>
  <c r="X71" i="21"/>
  <c r="X63" i="33"/>
  <c r="X55" i="31"/>
  <c r="T55" i="31"/>
  <c r="X47" i="28"/>
  <c r="AA25" i="14" s="1"/>
  <c r="T47" i="28"/>
  <c r="X64" i="30"/>
  <c r="J32" i="14"/>
  <c r="T54" i="23"/>
  <c r="X54" i="23"/>
  <c r="T58" i="20"/>
  <c r="X58" i="20"/>
  <c r="T36" i="19"/>
  <c r="X36" i="19"/>
  <c r="T50" i="17"/>
  <c r="X50" i="17"/>
  <c r="X44" i="37"/>
  <c r="W22" i="14" s="1"/>
  <c r="T44" i="37"/>
  <c r="X53" i="32"/>
  <c r="T53" i="32"/>
  <c r="T46" i="30"/>
  <c r="X46" i="30"/>
  <c r="X33" i="26"/>
  <c r="X11" i="14" s="1"/>
  <c r="T33" i="26"/>
  <c r="T32" i="34"/>
  <c r="X32" i="34"/>
  <c r="Z10" i="14" s="1"/>
  <c r="T53" i="31"/>
  <c r="X53" i="31"/>
  <c r="X72" i="31"/>
  <c r="T46" i="29"/>
  <c r="X46" i="29"/>
  <c r="X32" i="27"/>
  <c r="Y10" i="14" s="1"/>
  <c r="T32" i="27"/>
  <c r="N3" i="27"/>
  <c r="X67" i="33"/>
  <c r="T39" i="22"/>
  <c r="X39" i="22"/>
  <c r="X58" i="28"/>
  <c r="AA36" i="14" s="1"/>
  <c r="T58" i="28"/>
  <c r="X48" i="22"/>
  <c r="T48" i="22"/>
  <c r="T38" i="32"/>
  <c r="X38" i="32"/>
  <c r="T41" i="34"/>
  <c r="X41" i="34"/>
  <c r="Z19" i="14" s="1"/>
  <c r="X33" i="27"/>
  <c r="Y11" i="14" s="1"/>
  <c r="T33" i="27"/>
  <c r="X46" i="32"/>
  <c r="T46" i="32"/>
  <c r="X53" i="22"/>
  <c r="T53" i="22"/>
  <c r="J17" i="14"/>
  <c r="T39" i="23"/>
  <c r="X39" i="23"/>
  <c r="X38" i="34"/>
  <c r="Z16" i="14" s="1"/>
  <c r="T38" i="34"/>
  <c r="J18" i="14"/>
  <c r="T40" i="23"/>
  <c r="X40" i="23"/>
  <c r="X35" i="18"/>
  <c r="T35" i="18"/>
  <c r="X38" i="31"/>
  <c r="T38" i="31"/>
  <c r="T60" i="16"/>
  <c r="X60" i="16"/>
  <c r="X33" i="18"/>
  <c r="T33" i="18"/>
  <c r="X38" i="27"/>
  <c r="Y16" i="14" s="1"/>
  <c r="T38" i="27"/>
  <c r="X55" i="16"/>
  <c r="T55" i="16"/>
  <c r="T42" i="27"/>
  <c r="X42" i="27"/>
  <c r="Y20" i="14" s="1"/>
  <c r="T59" i="30"/>
  <c r="X59" i="30"/>
  <c r="I45" i="14"/>
  <c r="I38" i="14"/>
  <c r="I24" i="14"/>
  <c r="X69" i="33"/>
  <c r="X36" i="38"/>
  <c r="T36" i="38"/>
  <c r="T44" i="32"/>
  <c r="X44" i="32"/>
  <c r="X59" i="16"/>
  <c r="T59" i="16"/>
  <c r="X31" i="30"/>
  <c r="X50" i="15"/>
  <c r="T50" i="15"/>
  <c r="J21" i="14"/>
  <c r="T43" i="23"/>
  <c r="X43" i="23"/>
  <c r="T58" i="32"/>
  <c r="X58" i="32"/>
  <c r="J22" i="14"/>
  <c r="T44" i="23"/>
  <c r="X44" i="23"/>
  <c r="X36" i="20"/>
  <c r="T36" i="20"/>
  <c r="X57" i="16"/>
  <c r="T57" i="16"/>
  <c r="X56" i="16"/>
  <c r="T56" i="16"/>
  <c r="X45" i="26"/>
  <c r="X23" i="14" s="1"/>
  <c r="T45" i="26"/>
  <c r="T54" i="20"/>
  <c r="X54" i="20"/>
  <c r="T52" i="27"/>
  <c r="X52" i="27"/>
  <c r="Y30" i="14" s="1"/>
  <c r="T40" i="26"/>
  <c r="X40" i="26"/>
  <c r="X18" i="14" s="1"/>
  <c r="T57" i="32"/>
  <c r="X57" i="32"/>
  <c r="X68" i="30"/>
  <c r="J10" i="14"/>
  <c r="X32" i="23"/>
  <c r="T32" i="23"/>
  <c r="N3" i="23"/>
  <c r="X67" i="38"/>
  <c r="J45" i="14"/>
  <c r="T55" i="20"/>
  <c r="X55" i="20"/>
  <c r="J36" i="14"/>
  <c r="X58" i="23"/>
  <c r="T58" i="23"/>
  <c r="X66" i="32"/>
  <c r="T50" i="22"/>
  <c r="X50" i="22"/>
  <c r="X39" i="17"/>
  <c r="T39" i="17"/>
  <c r="X30" i="33"/>
  <c r="T37" i="27"/>
  <c r="X37" i="27"/>
  <c r="Y15" i="14" s="1"/>
  <c r="X42" i="19"/>
  <c r="T42" i="19"/>
  <c r="T35" i="30"/>
  <c r="X35" i="30"/>
  <c r="T35" i="34"/>
  <c r="X35" i="34"/>
  <c r="Z13" i="14" s="1"/>
  <c r="T57" i="17"/>
  <c r="X57" i="17"/>
  <c r="X43" i="31"/>
  <c r="T43" i="31"/>
  <c r="T57" i="37"/>
  <c r="X57" i="37"/>
  <c r="W35" i="14" s="1"/>
  <c r="J38" i="14"/>
  <c r="T60" i="23"/>
  <c r="X60" i="23"/>
  <c r="X33" i="38"/>
  <c r="T33" i="38"/>
  <c r="T58" i="30"/>
  <c r="X58" i="30"/>
  <c r="J12" i="14"/>
  <c r="X34" i="23"/>
  <c r="T34" i="23"/>
  <c r="T52" i="31"/>
  <c r="X52" i="31"/>
  <c r="X27" i="34"/>
  <c r="Z5" i="14" s="1"/>
  <c r="N6" i="34"/>
  <c r="X53" i="26"/>
  <c r="X31" i="14" s="1"/>
  <c r="T53" i="26"/>
  <c r="X62" i="34"/>
  <c r="Z40" i="14" s="1"/>
  <c r="T62" i="34"/>
  <c r="T35" i="19"/>
  <c r="X35" i="19"/>
  <c r="T62" i="38"/>
  <c r="X62" i="38"/>
  <c r="X56" i="34"/>
  <c r="Z34" i="14" s="1"/>
  <c r="T56" i="34"/>
  <c r="T36" i="31"/>
  <c r="X36" i="31"/>
  <c r="X69" i="21"/>
  <c r="X45" i="18"/>
  <c r="T45" i="18"/>
  <c r="X62" i="20"/>
  <c r="T62" i="20"/>
  <c r="T56" i="18"/>
  <c r="X56" i="18"/>
  <c r="T34" i="32"/>
  <c r="X34" i="32"/>
  <c r="X57" i="29"/>
  <c r="T57" i="29"/>
  <c r="X53" i="16"/>
  <c r="T53" i="16"/>
  <c r="E48" i="14"/>
  <c r="X62" i="32"/>
  <c r="T62" i="32"/>
  <c r="I47" i="14"/>
  <c r="T42" i="28"/>
  <c r="X42" i="28"/>
  <c r="AA20" i="14" s="1"/>
  <c r="X47" i="19"/>
  <c r="T47" i="19"/>
  <c r="X43" i="37"/>
  <c r="W21" i="14" s="1"/>
  <c r="T43" i="37"/>
  <c r="T44" i="22"/>
  <c r="X44" i="22"/>
  <c r="T38" i="16"/>
  <c r="X38" i="16"/>
  <c r="J31" i="14"/>
  <c r="X53" i="23"/>
  <c r="T53" i="23"/>
  <c r="X49" i="26"/>
  <c r="X27" i="14" s="1"/>
  <c r="T49" i="26"/>
  <c r="X27" i="38"/>
  <c r="N6" i="38"/>
  <c r="I4" i="14"/>
  <c r="T34" i="19"/>
  <c r="X34" i="19"/>
  <c r="X64" i="21"/>
  <c r="X56" i="28"/>
  <c r="AA34" i="14" s="1"/>
  <c r="T56" i="28"/>
  <c r="X38" i="24"/>
  <c r="V16" i="14" s="1"/>
  <c r="T38" i="24"/>
  <c r="X33" i="17"/>
  <c r="T33" i="17"/>
  <c r="T43" i="20"/>
  <c r="X43" i="20"/>
  <c r="T50" i="38"/>
  <c r="X50" i="38"/>
  <c r="N3" i="33"/>
  <c r="T55" i="33"/>
  <c r="X55" i="33"/>
  <c r="T45" i="28"/>
  <c r="X45" i="28"/>
  <c r="AA23" i="14" s="1"/>
  <c r="T33" i="33"/>
  <c r="X33" i="33"/>
  <c r="X58" i="27"/>
  <c r="Y36" i="14" s="1"/>
  <c r="T58" i="27"/>
  <c r="X37" i="22"/>
  <c r="T37" i="22"/>
  <c r="T36" i="34"/>
  <c r="X36" i="34"/>
  <c r="Z14" i="14" s="1"/>
  <c r="X62" i="24"/>
  <c r="V40" i="14" s="1"/>
  <c r="T62" i="24"/>
  <c r="T59" i="37"/>
  <c r="X59" i="37"/>
  <c r="W37" i="14" s="1"/>
  <c r="X39" i="28"/>
  <c r="AA17" i="14" s="1"/>
  <c r="T39" i="28"/>
  <c r="X53" i="17"/>
  <c r="T53" i="17"/>
  <c r="X35" i="24"/>
  <c r="V13" i="14" s="1"/>
  <c r="T35" i="24"/>
  <c r="X54" i="24"/>
  <c r="V32" i="14" s="1"/>
  <c r="T54" i="24"/>
  <c r="T48" i="27"/>
  <c r="X48" i="27"/>
  <c r="Y26" i="14" s="1"/>
  <c r="T49" i="34"/>
  <c r="X49" i="34"/>
  <c r="Z27" i="14" s="1"/>
  <c r="X33" i="16"/>
  <c r="T33" i="16"/>
  <c r="X59" i="28"/>
  <c r="AA37" i="14" s="1"/>
  <c r="T59" i="28"/>
  <c r="T54" i="31"/>
  <c r="X54" i="31"/>
  <c r="X59" i="29"/>
  <c r="T59" i="29"/>
  <c r="X46" i="31"/>
  <c r="T46" i="31"/>
  <c r="T46" i="37"/>
  <c r="X46" i="37"/>
  <c r="W24" i="14" s="1"/>
  <c r="X50" i="33"/>
  <c r="T50" i="33"/>
  <c r="X38" i="26"/>
  <c r="X16" i="14" s="1"/>
  <c r="T38" i="26"/>
  <c r="X43" i="29"/>
  <c r="T43" i="29"/>
  <c r="X34" i="17"/>
  <c r="T34" i="17"/>
  <c r="T57" i="26"/>
  <c r="X57" i="26"/>
  <c r="X35" i="14" s="1"/>
  <c r="T56" i="33"/>
  <c r="X56" i="33"/>
  <c r="X60" i="37"/>
  <c r="W38" i="14" s="1"/>
  <c r="T60" i="37"/>
  <c r="X57" i="20"/>
  <c r="T57" i="20"/>
  <c r="T34" i="38"/>
  <c r="X34" i="38"/>
  <c r="T42" i="21"/>
  <c r="X42" i="21"/>
  <c r="X49" i="28"/>
  <c r="AA27" i="14" s="1"/>
  <c r="T49" i="28"/>
  <c r="T44" i="31"/>
  <c r="X44" i="31"/>
  <c r="T48" i="30"/>
  <c r="X48" i="30"/>
  <c r="T35" i="21"/>
  <c r="X35" i="21"/>
  <c r="X46" i="24"/>
  <c r="V24" i="14" s="1"/>
  <c r="T46" i="24"/>
  <c r="I31" i="14"/>
  <c r="J34" i="14"/>
  <c r="T56" i="23"/>
  <c r="X56" i="23"/>
  <c r="T40" i="18"/>
  <c r="X40" i="18"/>
  <c r="X32" i="22"/>
  <c r="T32" i="22"/>
  <c r="T34" i="31"/>
  <c r="X34" i="31"/>
  <c r="X67" i="21"/>
  <c r="X57" i="18"/>
  <c r="T57" i="18"/>
  <c r="X33" i="22"/>
  <c r="T33" i="22"/>
  <c r="T50" i="18"/>
  <c r="X50" i="18"/>
  <c r="X35" i="27"/>
  <c r="Y13" i="14" s="1"/>
  <c r="T35" i="27"/>
  <c r="T43" i="21"/>
  <c r="X43" i="21"/>
  <c r="T42" i="33"/>
  <c r="X42" i="33"/>
  <c r="T54" i="19"/>
  <c r="X54" i="19"/>
  <c r="T46" i="34"/>
  <c r="X46" i="34"/>
  <c r="Z24" i="14" s="1"/>
  <c r="T55" i="19"/>
  <c r="X55" i="19"/>
  <c r="X27" i="25"/>
  <c r="X57" i="27"/>
  <c r="Y35" i="14" s="1"/>
  <c r="T57" i="27"/>
  <c r="X56" i="37"/>
  <c r="W34" i="14" s="1"/>
  <c r="T56" i="37"/>
  <c r="X27" i="30"/>
  <c r="N6" i="30"/>
  <c r="X49" i="15"/>
  <c r="T49" i="15"/>
  <c r="X41" i="15"/>
  <c r="T41" i="15"/>
  <c r="X33" i="29"/>
  <c r="T33" i="29"/>
  <c r="X62" i="26"/>
  <c r="X40" i="14" s="1"/>
  <c r="T62" i="26"/>
  <c r="X38" i="29"/>
  <c r="T38" i="29"/>
  <c r="T56" i="26"/>
  <c r="X56" i="26"/>
  <c r="X34" i="14" s="1"/>
  <c r="T46" i="19"/>
  <c r="X46" i="19"/>
  <c r="T53" i="34"/>
  <c r="X53" i="34"/>
  <c r="Z31" i="14" s="1"/>
  <c r="T32" i="30"/>
  <c r="X32" i="30"/>
  <c r="N3" i="30"/>
  <c r="X45" i="16"/>
  <c r="T45" i="16"/>
  <c r="T40" i="38"/>
  <c r="X40" i="38"/>
  <c r="X53" i="29"/>
  <c r="T53" i="29"/>
  <c r="T48" i="26"/>
  <c r="X48" i="26"/>
  <c r="X26" i="14" s="1"/>
  <c r="E46" i="14"/>
  <c r="T56" i="19"/>
  <c r="X56" i="19"/>
  <c r="X68" i="31"/>
  <c r="X64" i="32"/>
  <c r="X48" i="24"/>
  <c r="V26" i="14" s="1"/>
  <c r="T48" i="24"/>
  <c r="X38" i="38"/>
  <c r="T38" i="38"/>
  <c r="X34" i="24"/>
  <c r="V12" i="14" s="1"/>
  <c r="T34" i="24"/>
  <c r="X49" i="22"/>
  <c r="T49" i="22"/>
  <c r="X37" i="17"/>
  <c r="T37" i="17"/>
  <c r="H28" i="25"/>
  <c r="H29" i="25" s="1"/>
  <c r="R29" i="25" s="1"/>
  <c r="X29" i="25" s="1"/>
  <c r="X40" i="20"/>
  <c r="T40" i="20"/>
  <c r="T59" i="17"/>
  <c r="X59" i="17"/>
  <c r="X41" i="17"/>
  <c r="T41" i="17"/>
  <c r="X37" i="38"/>
  <c r="T37" i="38"/>
  <c r="X29" i="32"/>
  <c r="T45" i="31"/>
  <c r="X45" i="31"/>
  <c r="X42" i="17"/>
  <c r="T42" i="17"/>
  <c r="T36" i="21"/>
  <c r="X36" i="21"/>
  <c r="T45" i="34"/>
  <c r="X45" i="34"/>
  <c r="Z23" i="14" s="1"/>
  <c r="X39" i="34"/>
  <c r="Z17" i="14" s="1"/>
  <c r="T39" i="34"/>
  <c r="T50" i="32"/>
  <c r="X50" i="32"/>
  <c r="X43" i="24"/>
  <c r="V21" i="14" s="1"/>
  <c r="T43" i="24"/>
  <c r="X43" i="28"/>
  <c r="AA21" i="14" s="1"/>
  <c r="T43" i="28"/>
  <c r="X49" i="30"/>
  <c r="T49" i="30"/>
  <c r="X60" i="38"/>
  <c r="T60" i="38"/>
  <c r="X72" i="20"/>
  <c r="T54" i="37"/>
  <c r="X54" i="37"/>
  <c r="W32" i="14" s="1"/>
  <c r="T48" i="34"/>
  <c r="X48" i="34"/>
  <c r="Z26" i="14" s="1"/>
  <c r="T52" i="30"/>
  <c r="X52" i="30"/>
  <c r="T40" i="22"/>
  <c r="X40" i="22"/>
  <c r="T32" i="37"/>
  <c r="X32" i="37"/>
  <c r="W10" i="14" s="1"/>
  <c r="N3" i="37"/>
  <c r="X44" i="21"/>
  <c r="T44" i="21"/>
  <c r="T34" i="26"/>
  <c r="X34" i="26"/>
  <c r="X12" i="14" s="1"/>
  <c r="X68" i="21"/>
  <c r="X57" i="28"/>
  <c r="AA35" i="14" s="1"/>
  <c r="T57" i="28"/>
  <c r="X62" i="22"/>
  <c r="T62" i="22"/>
  <c r="X47" i="20"/>
  <c r="T47" i="20"/>
  <c r="X66" i="20"/>
  <c r="X41" i="37"/>
  <c r="W19" i="14" s="1"/>
  <c r="T41" i="37"/>
  <c r="X66" i="21"/>
  <c r="X57" i="22"/>
  <c r="T57" i="22"/>
  <c r="T54" i="18"/>
  <c r="X54" i="18"/>
  <c r="I14" i="14"/>
  <c r="T55" i="30"/>
  <c r="X55" i="30"/>
  <c r="X41" i="26"/>
  <c r="X19" i="14" s="1"/>
  <c r="T41" i="26"/>
  <c r="T46" i="21"/>
  <c r="X46" i="21"/>
  <c r="X40" i="16"/>
  <c r="T40" i="16"/>
  <c r="T59" i="21"/>
  <c r="X59" i="21"/>
  <c r="X29" i="38"/>
  <c r="J7" i="14"/>
  <c r="J20" i="14"/>
  <c r="X42" i="23"/>
  <c r="T42" i="23"/>
  <c r="T61" i="34"/>
  <c r="X61" i="34"/>
  <c r="Z39" i="14" s="1"/>
  <c r="X48" i="28"/>
  <c r="AA26" i="14" s="1"/>
  <c r="T48" i="28"/>
  <c r="X28" i="21"/>
  <c r="T50" i="26"/>
  <c r="X50" i="26"/>
  <c r="X28" i="14" s="1"/>
  <c r="X71" i="31"/>
  <c r="T57" i="30"/>
  <c r="X57" i="30"/>
  <c r="X45" i="30"/>
  <c r="T45" i="30"/>
  <c r="T52" i="17"/>
  <c r="X52" i="17"/>
  <c r="T32" i="21"/>
  <c r="X32" i="21"/>
  <c r="X31" i="32"/>
  <c r="T40" i="31"/>
  <c r="X40" i="31"/>
  <c r="T56" i="21"/>
  <c r="X56" i="21"/>
  <c r="X27" i="21"/>
  <c r="N6" i="21"/>
  <c r="T52" i="26"/>
  <c r="X52" i="26"/>
  <c r="X30" i="14" s="1"/>
  <c r="T34" i="28"/>
  <c r="X34" i="28"/>
  <c r="AA12" i="14" s="1"/>
  <c r="X53" i="15"/>
  <c r="T53" i="15"/>
  <c r="T32" i="18"/>
  <c r="X32" i="18"/>
  <c r="N3" i="18"/>
  <c r="X69" i="30"/>
  <c r="T55" i="37"/>
  <c r="X55" i="37"/>
  <c r="W33" i="14" s="1"/>
  <c r="X61" i="24"/>
  <c r="V39" i="14" s="1"/>
  <c r="T61" i="24"/>
  <c r="J11" i="14"/>
  <c r="T33" i="23"/>
  <c r="X33" i="23"/>
  <c r="J23" i="14"/>
  <c r="X45" i="23"/>
  <c r="T45" i="23"/>
  <c r="X50" i="29"/>
  <c r="T50" i="29"/>
  <c r="T37" i="34"/>
  <c r="X37" i="34"/>
  <c r="Z15" i="14" s="1"/>
  <c r="X38" i="22"/>
  <c r="T38" i="22"/>
  <c r="X39" i="37"/>
  <c r="W17" i="14" s="1"/>
  <c r="T39" i="37"/>
  <c r="X45" i="24"/>
  <c r="V23" i="14" s="1"/>
  <c r="T45" i="24"/>
  <c r="X51" i="30"/>
  <c r="T51" i="30"/>
  <c r="J30" i="14"/>
  <c r="X52" i="23"/>
  <c r="T52" i="23"/>
  <c r="X61" i="38"/>
  <c r="T61" i="38"/>
  <c r="T50" i="28"/>
  <c r="X50" i="28"/>
  <c r="AA28" i="14" s="1"/>
  <c r="T37" i="29"/>
  <c r="X37" i="29"/>
  <c r="X60" i="26"/>
  <c r="X38" i="14" s="1"/>
  <c r="T60" i="26"/>
  <c r="T50" i="20"/>
  <c r="X50" i="20"/>
  <c r="I13" i="14"/>
  <c r="T45" i="32"/>
  <c r="X45" i="32"/>
  <c r="T53" i="21"/>
  <c r="X53" i="21"/>
  <c r="I40" i="14"/>
  <c r="X34" i="30"/>
  <c r="T34" i="30"/>
  <c r="N3" i="15"/>
  <c r="I33" i="14"/>
  <c r="I17" i="14"/>
  <c r="T38" i="19"/>
  <c r="X38" i="19"/>
  <c r="E47" i="14"/>
  <c r="X53" i="27"/>
  <c r="Y31" i="14" s="1"/>
  <c r="T53" i="27"/>
  <c r="X35" i="26"/>
  <c r="X13" i="14" s="1"/>
  <c r="T35" i="26"/>
  <c r="T36" i="29"/>
  <c r="X36" i="29"/>
  <c r="J29" i="14"/>
  <c r="T51" i="23"/>
  <c r="X51" i="23"/>
  <c r="X36" i="15"/>
  <c r="T36" i="15"/>
  <c r="T47" i="27"/>
  <c r="X47" i="27"/>
  <c r="Y25" i="14" s="1"/>
  <c r="X27" i="16"/>
  <c r="N6" i="16"/>
  <c r="X51" i="28"/>
  <c r="AA29" i="14" s="1"/>
  <c r="T51" i="28"/>
  <c r="T47" i="31"/>
  <c r="X47" i="31"/>
  <c r="T58" i="22"/>
  <c r="X58" i="22"/>
  <c r="T62" i="19"/>
  <c r="X62" i="19"/>
  <c r="X49" i="24"/>
  <c r="V27" i="14" s="1"/>
  <c r="T49" i="24"/>
  <c r="X72" i="21"/>
  <c r="X32" i="32"/>
  <c r="T32" i="32"/>
  <c r="X63" i="32"/>
  <c r="T55" i="29"/>
  <c r="X55" i="29"/>
  <c r="X56" i="24"/>
  <c r="V34" i="14" s="1"/>
  <c r="T56" i="24"/>
  <c r="X39" i="33"/>
  <c r="T39" i="33"/>
  <c r="T41" i="24"/>
  <c r="X41" i="24"/>
  <c r="V19" i="14" s="1"/>
  <c r="X52" i="22"/>
  <c r="T52" i="22"/>
  <c r="X27" i="27"/>
  <c r="Y5" i="14" s="1"/>
  <c r="N6" i="27"/>
  <c r="X39" i="15"/>
  <c r="T39" i="15"/>
  <c r="T58" i="21"/>
  <c r="X58" i="21"/>
  <c r="T51" i="22"/>
  <c r="X51" i="22"/>
  <c r="X45" i="17"/>
  <c r="T45" i="17"/>
  <c r="X70" i="31"/>
  <c r="X63" i="31"/>
  <c r="X51" i="31"/>
  <c r="T51" i="31"/>
  <c r="X68" i="32"/>
  <c r="X60" i="30"/>
  <c r="T60" i="30"/>
  <c r="T62" i="21"/>
  <c r="X62" i="21"/>
  <c r="X63" i="38"/>
  <c r="J41" i="14"/>
  <c r="T43" i="19"/>
  <c r="X43" i="19"/>
  <c r="X58" i="29"/>
  <c r="T58" i="29"/>
  <c r="X34" i="29"/>
  <c r="T34" i="29"/>
  <c r="X55" i="17"/>
  <c r="T55" i="17"/>
  <c r="X52" i="29"/>
  <c r="T52" i="29"/>
  <c r="T44" i="17"/>
  <c r="X44" i="17"/>
  <c r="X72" i="30"/>
  <c r="X66" i="30"/>
  <c r="T46" i="17"/>
  <c r="X46" i="17"/>
  <c r="X43" i="22"/>
  <c r="T43" i="22"/>
  <c r="X27" i="24"/>
  <c r="V5" i="14" s="1"/>
  <c r="N6" i="24"/>
  <c r="T58" i="33"/>
  <c r="X58" i="33"/>
  <c r="T39" i="20"/>
  <c r="X39" i="20"/>
  <c r="X70" i="32"/>
  <c r="J35" i="14"/>
  <c r="T57" i="23"/>
  <c r="X57" i="23"/>
  <c r="X26" i="38"/>
  <c r="J4" i="14"/>
  <c r="X69" i="38"/>
  <c r="J47" i="14"/>
  <c r="X59" i="18"/>
  <c r="T59" i="18"/>
  <c r="T37" i="20"/>
  <c r="X37" i="20"/>
  <c r="X54" i="29"/>
  <c r="T54" i="29"/>
  <c r="X39" i="24"/>
  <c r="V17" i="14" s="1"/>
  <c r="T39" i="24"/>
  <c r="X30" i="32"/>
  <c r="T41" i="16"/>
  <c r="X41" i="16"/>
  <c r="T59" i="26"/>
  <c r="X59" i="26"/>
  <c r="X37" i="14" s="1"/>
  <c r="X27" i="20"/>
  <c r="N6" i="20"/>
  <c r="T56" i="38"/>
  <c r="X56" i="38"/>
  <c r="X65" i="33"/>
  <c r="X51" i="37"/>
  <c r="W29" i="14" s="1"/>
  <c r="T51" i="37"/>
  <c r="X27" i="29"/>
  <c r="N6" i="29"/>
  <c r="T32" i="29"/>
  <c r="X32" i="29"/>
  <c r="N3" i="29"/>
  <c r="X50" i="16"/>
  <c r="T50" i="16"/>
  <c r="X46" i="22"/>
  <c r="T46" i="22"/>
  <c r="T32" i="28"/>
  <c r="X32" i="28"/>
  <c r="AA10" i="14" s="1"/>
  <c r="N3" i="28"/>
  <c r="T52" i="34"/>
  <c r="X52" i="34"/>
  <c r="Z30" i="14" s="1"/>
  <c r="T43" i="27"/>
  <c r="X43" i="27"/>
  <c r="Y21" i="14" s="1"/>
  <c r="X32" i="26"/>
  <c r="X10" i="14" s="1"/>
  <c r="N3" i="26"/>
  <c r="T32" i="26"/>
  <c r="E7" i="14"/>
  <c r="X40" i="32"/>
  <c r="T40" i="32"/>
  <c r="T40" i="30"/>
  <c r="X40" i="30"/>
  <c r="T34" i="33"/>
  <c r="X34" i="33"/>
  <c r="X37" i="21"/>
  <c r="T37" i="21"/>
  <c r="T54" i="22"/>
  <c r="X54" i="22"/>
  <c r="X45" i="29"/>
  <c r="T45" i="29"/>
  <c r="X38" i="33"/>
  <c r="T38" i="33"/>
  <c r="J24" i="14"/>
  <c r="X46" i="23"/>
  <c r="T46" i="23"/>
  <c r="T44" i="28"/>
  <c r="X44" i="28"/>
  <c r="AA22" i="14" s="1"/>
  <c r="T51" i="34"/>
  <c r="X51" i="34"/>
  <c r="Z29" i="14" s="1"/>
  <c r="N3" i="21"/>
  <c r="X39" i="21"/>
  <c r="T39" i="21"/>
  <c r="X69" i="32"/>
  <c r="X30" i="31"/>
  <c r="X42" i="38"/>
  <c r="T42" i="38"/>
  <c r="X51" i="32"/>
  <c r="T51" i="32"/>
  <c r="X43" i="33"/>
  <c r="T43" i="33"/>
  <c r="T59" i="19"/>
  <c r="X59" i="19"/>
  <c r="T60" i="31"/>
  <c r="X60" i="31"/>
  <c r="J33" i="14"/>
  <c r="T55" i="23"/>
  <c r="X55" i="23"/>
  <c r="T47" i="38"/>
  <c r="X47" i="38"/>
  <c r="X37" i="31"/>
  <c r="T37" i="31"/>
  <c r="T36" i="26"/>
  <c r="X36" i="26"/>
  <c r="X14" i="14" s="1"/>
  <c r="X28" i="31"/>
  <c r="I35" i="14"/>
  <c r="X27" i="11"/>
  <c r="U60" i="11"/>
  <c r="Y68" i="11"/>
  <c r="G60" i="10"/>
  <c r="O60" i="10"/>
  <c r="G54" i="10"/>
  <c r="O54" i="10"/>
  <c r="G36" i="10"/>
  <c r="O36" i="10"/>
  <c r="G66" i="10"/>
  <c r="O66" i="10"/>
  <c r="G72" i="10"/>
  <c r="O72" i="10"/>
  <c r="G44" i="10"/>
  <c r="O44" i="10"/>
  <c r="G34" i="10"/>
  <c r="O34" i="10"/>
  <c r="G50" i="10"/>
  <c r="O50" i="10"/>
  <c r="G42" i="10"/>
  <c r="O42" i="10"/>
  <c r="O28" i="10"/>
  <c r="G52" i="10"/>
  <c r="O52" i="10"/>
  <c r="G48" i="10"/>
  <c r="O48" i="10"/>
  <c r="G68" i="10"/>
  <c r="O68" i="10"/>
  <c r="G29" i="10"/>
  <c r="O29" i="10"/>
  <c r="G62" i="10"/>
  <c r="O62" i="10"/>
  <c r="G70" i="10"/>
  <c r="O70" i="10"/>
  <c r="G32" i="10"/>
  <c r="O32" i="10"/>
  <c r="G38" i="10"/>
  <c r="O38" i="10"/>
  <c r="G40" i="10"/>
  <c r="O40" i="10"/>
  <c r="G56" i="10"/>
  <c r="O56" i="10"/>
  <c r="G31" i="10"/>
  <c r="O31" i="10"/>
  <c r="G58" i="10"/>
  <c r="O58" i="10"/>
  <c r="F47" i="11"/>
  <c r="Y66" i="11"/>
  <c r="X68" i="11"/>
  <c r="X71" i="11"/>
  <c r="Y69" i="11"/>
  <c r="F39" i="11"/>
  <c r="F44" i="11"/>
  <c r="X60" i="11"/>
  <c r="T60" i="11"/>
  <c r="X49" i="11"/>
  <c r="T49" i="11"/>
  <c r="X69" i="11"/>
  <c r="X65" i="11"/>
  <c r="T52" i="11"/>
  <c r="F55" i="11"/>
  <c r="Y71" i="11"/>
  <c r="F31" i="11"/>
  <c r="F71" i="11"/>
  <c r="F63" i="11"/>
  <c r="U36" i="11"/>
  <c r="Y36" i="11"/>
  <c r="X66" i="11"/>
  <c r="C35" i="11"/>
  <c r="X41" i="11"/>
  <c r="T41" i="11"/>
  <c r="U61" i="11"/>
  <c r="Y61" i="11"/>
  <c r="X50" i="11"/>
  <c r="T50" i="11"/>
  <c r="U47" i="11"/>
  <c r="Y47" i="11"/>
  <c r="C29" i="11"/>
  <c r="X44" i="11"/>
  <c r="T44" i="11"/>
  <c r="C46" i="11"/>
  <c r="G62" i="11"/>
  <c r="F62" i="11"/>
  <c r="G32" i="11"/>
  <c r="F32" i="11"/>
  <c r="F33" i="11"/>
  <c r="G45" i="11"/>
  <c r="F45" i="11"/>
  <c r="G35" i="11"/>
  <c r="F35" i="11"/>
  <c r="C56" i="11"/>
  <c r="T55" i="11"/>
  <c r="X55" i="11"/>
  <c r="X58" i="11"/>
  <c r="T58" i="11"/>
  <c r="X61" i="11"/>
  <c r="T61" i="11"/>
  <c r="C30" i="11"/>
  <c r="T47" i="11"/>
  <c r="X47" i="11"/>
  <c r="X57" i="11"/>
  <c r="T57" i="11"/>
  <c r="G29" i="11"/>
  <c r="F29" i="11"/>
  <c r="X31" i="11"/>
  <c r="Y39" i="11"/>
  <c r="U39" i="11"/>
  <c r="Y42" i="11"/>
  <c r="U42" i="11"/>
  <c r="G46" i="11"/>
  <c r="F46" i="11"/>
  <c r="C62" i="11"/>
  <c r="C32" i="11"/>
  <c r="C33" i="11"/>
  <c r="C45" i="11"/>
  <c r="U55" i="11"/>
  <c r="Y55" i="11"/>
  <c r="C70" i="11"/>
  <c r="Y41" i="11"/>
  <c r="U41" i="11"/>
  <c r="F30" i="11"/>
  <c r="G30" i="11"/>
  <c r="T39" i="11"/>
  <c r="X39" i="11"/>
  <c r="C37" i="11"/>
  <c r="X36" i="11"/>
  <c r="T36" i="11"/>
  <c r="C57" i="11"/>
  <c r="Y34" i="11"/>
  <c r="U34" i="11"/>
  <c r="T34" i="11"/>
  <c r="X34" i="11"/>
  <c r="X42" i="11"/>
  <c r="T42" i="11"/>
  <c r="F67" i="11"/>
  <c r="G67" i="11"/>
  <c r="F68" i="11"/>
  <c r="C43" i="11"/>
  <c r="C38" i="11"/>
  <c r="C72" i="11"/>
  <c r="G56" i="11"/>
  <c r="F56" i="11"/>
  <c r="C48" i="11"/>
  <c r="C49" i="11"/>
  <c r="C53" i="11"/>
  <c r="C40" i="11"/>
  <c r="Y31" i="11"/>
  <c r="G37" i="11"/>
  <c r="F37" i="11"/>
  <c r="U57" i="11"/>
  <c r="Y57" i="11"/>
  <c r="C67" i="11"/>
  <c r="C68" i="11"/>
  <c r="G43" i="11"/>
  <c r="F43" i="11"/>
  <c r="G38" i="11"/>
  <c r="F38" i="11"/>
  <c r="F72" i="11"/>
  <c r="G72" i="11"/>
  <c r="G48" i="11"/>
  <c r="F48" i="11"/>
  <c r="F49" i="11"/>
  <c r="F57" i="11"/>
  <c r="F40" i="11"/>
  <c r="G40" i="11"/>
  <c r="Y50" i="11"/>
  <c r="U50" i="11"/>
  <c r="F36" i="11"/>
  <c r="X63" i="11"/>
  <c r="C59" i="11"/>
  <c r="C60" i="11"/>
  <c r="G64" i="11"/>
  <c r="F64" i="11"/>
  <c r="F65" i="11"/>
  <c r="C51" i="11"/>
  <c r="C52" i="11"/>
  <c r="G54" i="11"/>
  <c r="F54" i="11"/>
  <c r="F70" i="11"/>
  <c r="G70" i="11"/>
  <c r="Y58" i="11"/>
  <c r="U58" i="11"/>
  <c r="Y28" i="11"/>
  <c r="G53" i="11"/>
  <c r="F53" i="11"/>
  <c r="X28" i="11"/>
  <c r="F41" i="11"/>
  <c r="Y63" i="11"/>
  <c r="Y44" i="11"/>
  <c r="U44" i="11"/>
  <c r="F59" i="11"/>
  <c r="G59" i="11"/>
  <c r="F60" i="11"/>
  <c r="C64" i="11"/>
  <c r="C65" i="11"/>
  <c r="F51" i="11"/>
  <c r="G51" i="11"/>
  <c r="F52" i="11"/>
  <c r="C54" i="11"/>
  <c r="F179" i="3"/>
  <c r="F162" i="3"/>
  <c r="B37" i="10"/>
  <c r="O37" i="10"/>
  <c r="B61" i="10"/>
  <c r="O61" i="10"/>
  <c r="B55" i="10"/>
  <c r="B41" i="10"/>
  <c r="O41" i="10"/>
  <c r="B30" i="10"/>
  <c r="J30" i="10" s="1"/>
  <c r="O30" i="10"/>
  <c r="B39" i="10"/>
  <c r="O39" i="10"/>
  <c r="B65" i="10"/>
  <c r="J65" i="10" s="1"/>
  <c r="O65" i="10"/>
  <c r="B28" i="10"/>
  <c r="J28" i="10" s="1"/>
  <c r="B64" i="10"/>
  <c r="J64" i="10" s="1"/>
  <c r="O43" i="10"/>
  <c r="B43" i="10"/>
  <c r="B47" i="10"/>
  <c r="O47" i="10"/>
  <c r="B69" i="10"/>
  <c r="J69" i="10" s="1"/>
  <c r="F54" i="10"/>
  <c r="B53" i="10"/>
  <c r="O57" i="10"/>
  <c r="B57" i="10"/>
  <c r="B33" i="10"/>
  <c r="B71" i="10"/>
  <c r="O71" i="10"/>
  <c r="B45" i="10"/>
  <c r="J45" i="10" s="1"/>
  <c r="F32" i="10"/>
  <c r="O51" i="10"/>
  <c r="B51" i="10"/>
  <c r="C32" i="10"/>
  <c r="B67" i="10"/>
  <c r="O67" i="10"/>
  <c r="O49" i="10"/>
  <c r="B49" i="10"/>
  <c r="O35" i="10"/>
  <c r="B35" i="10"/>
  <c r="B63" i="10"/>
  <c r="J63" i="10" s="1"/>
  <c r="B59" i="10"/>
  <c r="J59" i="10" s="1"/>
  <c r="B46" i="10"/>
  <c r="J46" i="10" s="1"/>
  <c r="F152" i="3"/>
  <c r="F166" i="3"/>
  <c r="F161" i="3"/>
  <c r="F175" i="3"/>
  <c r="F146" i="3"/>
  <c r="F178" i="3"/>
  <c r="F167" i="3"/>
  <c r="F137" i="3"/>
  <c r="Z134" i="3"/>
  <c r="N134" i="3" l="1"/>
  <c r="G143" i="3"/>
  <c r="F171" i="3"/>
  <c r="N170" i="3"/>
  <c r="O158" i="3"/>
  <c r="V170" i="3"/>
  <c r="O166" i="3"/>
  <c r="N161" i="3"/>
  <c r="N171" i="3"/>
  <c r="N166" i="3"/>
  <c r="N175" i="3"/>
  <c r="N133" i="3"/>
  <c r="V138" i="3"/>
  <c r="Z138" i="3" s="1"/>
  <c r="V136" i="3"/>
  <c r="Z136" i="3" s="1"/>
  <c r="V139" i="3"/>
  <c r="O135" i="3"/>
  <c r="AI135" i="3"/>
  <c r="AM135" i="3" s="1"/>
  <c r="AV135" i="3" s="1"/>
  <c r="AS133" i="3"/>
  <c r="G4" i="14" s="1"/>
  <c r="C4" i="14" s="1"/>
  <c r="G138" i="3"/>
  <c r="G136" i="3"/>
  <c r="G139" i="3"/>
  <c r="N176" i="3"/>
  <c r="O133" i="3"/>
  <c r="G238" i="3"/>
  <c r="G231" i="3"/>
  <c r="G215" i="3"/>
  <c r="G214" i="3"/>
  <c r="G236" i="3"/>
  <c r="G210" i="3"/>
  <c r="G209" i="3"/>
  <c r="G198" i="3"/>
  <c r="G232" i="3"/>
  <c r="G225" i="3"/>
  <c r="G195" i="3"/>
  <c r="G227" i="3"/>
  <c r="G211" i="3"/>
  <c r="G228" i="3"/>
  <c r="G234" i="3"/>
  <c r="G197" i="3"/>
  <c r="G200" i="3"/>
  <c r="G207" i="3"/>
  <c r="G204" i="3"/>
  <c r="G226" i="3"/>
  <c r="G194" i="3"/>
  <c r="G213" i="3"/>
  <c r="G208" i="3"/>
  <c r="G201" i="3"/>
  <c r="G221" i="3"/>
  <c r="G216" i="3"/>
  <c r="G235" i="3"/>
  <c r="G230" i="3"/>
  <c r="G212" i="3"/>
  <c r="G237" i="3"/>
  <c r="G203" i="3"/>
  <c r="S238" i="3"/>
  <c r="X238" i="3" s="1"/>
  <c r="H50" i="14" s="1"/>
  <c r="F238" i="3"/>
  <c r="F236" i="3"/>
  <c r="S236" i="3"/>
  <c r="X236" i="3" s="1"/>
  <c r="H48" i="14" s="1"/>
  <c r="S235" i="3"/>
  <c r="X235" i="3" s="1"/>
  <c r="H47" i="14" s="1"/>
  <c r="F237" i="3"/>
  <c r="S237" i="3"/>
  <c r="X237" i="3" s="1"/>
  <c r="H49" i="14" s="1"/>
  <c r="AY133" i="3"/>
  <c r="V169" i="3"/>
  <c r="Z169" i="3" s="1"/>
  <c r="E14" i="14"/>
  <c r="F170" i="3"/>
  <c r="AS158" i="3"/>
  <c r="G29" i="14" s="1"/>
  <c r="AS134" i="3"/>
  <c r="G5" i="14" s="1"/>
  <c r="F140" i="3"/>
  <c r="BD134" i="3"/>
  <c r="E139" i="14" s="1"/>
  <c r="F142" i="3"/>
  <c r="F169" i="3"/>
  <c r="N139" i="3"/>
  <c r="AI138" i="3"/>
  <c r="AM138" i="3" s="1"/>
  <c r="F174" i="3"/>
  <c r="F144" i="3"/>
  <c r="F145" i="3"/>
  <c r="N138" i="3"/>
  <c r="F154" i="3"/>
  <c r="F141" i="3"/>
  <c r="F151" i="3"/>
  <c r="F165" i="3"/>
  <c r="F143" i="3"/>
  <c r="F160" i="3"/>
  <c r="V159" i="3"/>
  <c r="Z159" i="3" s="1"/>
  <c r="F173" i="3"/>
  <c r="F163" i="3"/>
  <c r="Z139" i="3"/>
  <c r="AS139" i="3" s="1"/>
  <c r="F172" i="3"/>
  <c r="V172" i="3"/>
  <c r="Z172" i="3" s="1"/>
  <c r="F153" i="3"/>
  <c r="V153" i="3"/>
  <c r="Z153" i="3" s="1"/>
  <c r="B139" i="14"/>
  <c r="B141" i="14"/>
  <c r="F177" i="3"/>
  <c r="F176" i="3"/>
  <c r="F164" i="3"/>
  <c r="B142" i="14"/>
  <c r="B180" i="14"/>
  <c r="B184" i="14"/>
  <c r="B182" i="14"/>
  <c r="B179" i="14"/>
  <c r="B175" i="14"/>
  <c r="B183" i="14"/>
  <c r="B178" i="14"/>
  <c r="F159" i="3"/>
  <c r="G173" i="3"/>
  <c r="Z173" i="3"/>
  <c r="G163" i="3"/>
  <c r="Z163" i="3"/>
  <c r="G149" i="3"/>
  <c r="G154" i="3"/>
  <c r="G153" i="3"/>
  <c r="G147" i="3"/>
  <c r="G155" i="3"/>
  <c r="Z155" i="3"/>
  <c r="G157" i="3"/>
  <c r="Z157" i="3"/>
  <c r="F168" i="3"/>
  <c r="Z168" i="3"/>
  <c r="AS168" i="3" s="1"/>
  <c r="G159" i="3"/>
  <c r="G144" i="3"/>
  <c r="G172" i="3"/>
  <c r="G150" i="3"/>
  <c r="E13" i="14"/>
  <c r="E34" i="14"/>
  <c r="F135" i="3"/>
  <c r="F155" i="3"/>
  <c r="F156" i="3"/>
  <c r="F157" i="3"/>
  <c r="F158" i="3"/>
  <c r="F147" i="3"/>
  <c r="F148" i="3"/>
  <c r="G135" i="3"/>
  <c r="F149" i="3"/>
  <c r="G156" i="3"/>
  <c r="G148" i="3"/>
  <c r="G142" i="3"/>
  <c r="G140" i="3"/>
  <c r="F150" i="3"/>
  <c r="G168" i="3"/>
  <c r="G176" i="3"/>
  <c r="G164" i="3"/>
  <c r="G141" i="3"/>
  <c r="C5" i="14"/>
  <c r="E37" i="14"/>
  <c r="E38" i="14"/>
  <c r="E18" i="14"/>
  <c r="E40" i="14"/>
  <c r="E11" i="14"/>
  <c r="I54" i="14"/>
  <c r="E35" i="14"/>
  <c r="E25" i="14"/>
  <c r="O53" i="14"/>
  <c r="E21" i="14"/>
  <c r="I53" i="14"/>
  <c r="V53" i="14"/>
  <c r="E39" i="14"/>
  <c r="J54" i="14"/>
  <c r="AC54" i="14"/>
  <c r="Z54" i="14"/>
  <c r="E5" i="14"/>
  <c r="J73" i="14" s="1"/>
  <c r="J74" i="14" s="1"/>
  <c r="J75" i="14" s="1"/>
  <c r="J76" i="14" s="1"/>
  <c r="J77" i="14" s="1"/>
  <c r="X54" i="14"/>
  <c r="R54" i="14"/>
  <c r="AD54" i="14"/>
  <c r="S54" i="14"/>
  <c r="E24" i="14"/>
  <c r="E22" i="14"/>
  <c r="V54" i="14"/>
  <c r="Y54" i="14"/>
  <c r="N53" i="14"/>
  <c r="E15" i="14"/>
  <c r="E33" i="14"/>
  <c r="E19" i="14"/>
  <c r="J53" i="14"/>
  <c r="M54" i="14"/>
  <c r="Z53" i="14"/>
  <c r="O54" i="14"/>
  <c r="AB53" i="14"/>
  <c r="P54" i="14"/>
  <c r="E26" i="14"/>
  <c r="M53" i="14"/>
  <c r="E27" i="14"/>
  <c r="H30" i="25"/>
  <c r="E32" i="14"/>
  <c r="U54" i="14"/>
  <c r="P53" i="14"/>
  <c r="AA53" i="14"/>
  <c r="E30" i="14"/>
  <c r="AC53" i="14"/>
  <c r="AD53" i="14"/>
  <c r="S53" i="14"/>
  <c r="E29" i="14"/>
  <c r="T53" i="14"/>
  <c r="E36" i="14"/>
  <c r="T54" i="14"/>
  <c r="U53" i="14"/>
  <c r="E31" i="14"/>
  <c r="E23" i="14"/>
  <c r="Y53" i="14"/>
  <c r="N54" i="14"/>
  <c r="AE54" i="14"/>
  <c r="AA54" i="14"/>
  <c r="E10" i="14"/>
  <c r="X53" i="14"/>
  <c r="AB54" i="14"/>
  <c r="AE53" i="14"/>
  <c r="R53" i="14"/>
  <c r="E28" i="14"/>
  <c r="E12" i="14"/>
  <c r="E16" i="14"/>
  <c r="E20" i="14"/>
  <c r="E17" i="14"/>
  <c r="L53" i="14"/>
  <c r="L54" i="14"/>
  <c r="Z151" i="3"/>
  <c r="X72" i="11"/>
  <c r="N6" i="11"/>
  <c r="C31" i="10"/>
  <c r="G64" i="10"/>
  <c r="O64" i="10"/>
  <c r="G59" i="10"/>
  <c r="O59" i="10"/>
  <c r="G63" i="10"/>
  <c r="O63" i="10"/>
  <c r="G33" i="10"/>
  <c r="O33" i="10"/>
  <c r="G55" i="10"/>
  <c r="O55" i="10"/>
  <c r="G46" i="10"/>
  <c r="O46" i="10"/>
  <c r="G69" i="10"/>
  <c r="O69" i="10"/>
  <c r="G53" i="10"/>
  <c r="O53" i="10"/>
  <c r="G45" i="10"/>
  <c r="O45" i="10"/>
  <c r="C40" i="10"/>
  <c r="J39" i="10"/>
  <c r="C44" i="10"/>
  <c r="J43" i="10"/>
  <c r="C58" i="10"/>
  <c r="J57" i="10"/>
  <c r="C68" i="10"/>
  <c r="J67" i="10"/>
  <c r="C54" i="10"/>
  <c r="J53" i="10"/>
  <c r="C38" i="10"/>
  <c r="J37" i="10"/>
  <c r="C34" i="10"/>
  <c r="J33" i="10"/>
  <c r="C62" i="10"/>
  <c r="J61" i="10"/>
  <c r="C42" i="10"/>
  <c r="J41" i="10"/>
  <c r="C50" i="10"/>
  <c r="J49" i="10"/>
  <c r="C36" i="10"/>
  <c r="J35" i="10"/>
  <c r="C72" i="10"/>
  <c r="J71" i="10"/>
  <c r="C56" i="10"/>
  <c r="J55" i="10"/>
  <c r="C48" i="10"/>
  <c r="J47" i="10"/>
  <c r="C52" i="10"/>
  <c r="J51" i="10"/>
  <c r="Y67" i="11"/>
  <c r="N5" i="11"/>
  <c r="Y70" i="11"/>
  <c r="Y72" i="11"/>
  <c r="Y56" i="11"/>
  <c r="U56" i="11"/>
  <c r="U59" i="11"/>
  <c r="Y59" i="11"/>
  <c r="T59" i="11"/>
  <c r="X59" i="11"/>
  <c r="X64" i="11"/>
  <c r="X48" i="11"/>
  <c r="T48" i="11"/>
  <c r="U45" i="11"/>
  <c r="Y45" i="11"/>
  <c r="X29" i="11"/>
  <c r="Y40" i="11"/>
  <c r="U40" i="11"/>
  <c r="U37" i="11"/>
  <c r="Y37" i="11"/>
  <c r="X35" i="11"/>
  <c r="T35" i="11"/>
  <c r="X54" i="11"/>
  <c r="T54" i="11"/>
  <c r="U53" i="11"/>
  <c r="Y53" i="11"/>
  <c r="Y62" i="11"/>
  <c r="U62" i="11"/>
  <c r="X67" i="11"/>
  <c r="T51" i="11"/>
  <c r="X51" i="11"/>
  <c r="Y64" i="11"/>
  <c r="U51" i="11"/>
  <c r="Y51" i="11"/>
  <c r="X38" i="11"/>
  <c r="T38" i="11"/>
  <c r="X37" i="11"/>
  <c r="T37" i="11"/>
  <c r="X56" i="11"/>
  <c r="T56" i="11"/>
  <c r="Y43" i="11"/>
  <c r="U43" i="11"/>
  <c r="Y30" i="11"/>
  <c r="Y29" i="11"/>
  <c r="U32" i="11"/>
  <c r="N2" i="11"/>
  <c r="Y32" i="11"/>
  <c r="X32" i="11"/>
  <c r="N3" i="11"/>
  <c r="T32" i="11"/>
  <c r="T43" i="11"/>
  <c r="X43" i="11"/>
  <c r="X30" i="11"/>
  <c r="X45" i="11"/>
  <c r="T45" i="11"/>
  <c r="X62" i="11"/>
  <c r="T62" i="11"/>
  <c r="Y46" i="11"/>
  <c r="U46" i="11"/>
  <c r="Y35" i="11"/>
  <c r="U35" i="11"/>
  <c r="X53" i="11"/>
  <c r="T53" i="11"/>
  <c r="X40" i="11"/>
  <c r="T40" i="11"/>
  <c r="Y48" i="11"/>
  <c r="U48" i="11"/>
  <c r="Y54" i="11"/>
  <c r="U54" i="11"/>
  <c r="X70" i="11"/>
  <c r="Y38" i="11"/>
  <c r="U38" i="11"/>
  <c r="X46" i="11"/>
  <c r="T46" i="11"/>
  <c r="F34" i="10"/>
  <c r="F58" i="10"/>
  <c r="G57" i="10"/>
  <c r="F44" i="10"/>
  <c r="G43" i="10"/>
  <c r="F31" i="10"/>
  <c r="G30" i="10"/>
  <c r="F38" i="10"/>
  <c r="G37" i="10"/>
  <c r="F36" i="10"/>
  <c r="G35" i="10"/>
  <c r="F42" i="10"/>
  <c r="G41" i="10"/>
  <c r="F50" i="10"/>
  <c r="G49" i="10"/>
  <c r="F52" i="10"/>
  <c r="G51" i="10"/>
  <c r="F72" i="10"/>
  <c r="G71" i="10"/>
  <c r="F68" i="10"/>
  <c r="G67" i="10"/>
  <c r="F66" i="10"/>
  <c r="G65" i="10"/>
  <c r="F48" i="10"/>
  <c r="G47" i="10"/>
  <c r="F40" i="10"/>
  <c r="G39" i="10"/>
  <c r="F62" i="10"/>
  <c r="G61" i="10"/>
  <c r="Z161" i="3"/>
  <c r="Z174" i="3"/>
  <c r="AA174" i="3"/>
  <c r="X72" i="10"/>
  <c r="Z171" i="3"/>
  <c r="Z156" i="3"/>
  <c r="Z165" i="3"/>
  <c r="Z176" i="3"/>
  <c r="Z150" i="3"/>
  <c r="Z152" i="3"/>
  <c r="Y31" i="10"/>
  <c r="X29" i="10"/>
  <c r="X66" i="10"/>
  <c r="X31" i="10"/>
  <c r="X34" i="10"/>
  <c r="T34" i="10"/>
  <c r="F59" i="10"/>
  <c r="F41" i="10"/>
  <c r="U34" i="10"/>
  <c r="Y34" i="10"/>
  <c r="C71" i="10"/>
  <c r="F33" i="10"/>
  <c r="U42" i="10"/>
  <c r="Y42" i="10"/>
  <c r="U32" i="10"/>
  <c r="Y32" i="10"/>
  <c r="X62" i="10"/>
  <c r="T62" i="10"/>
  <c r="X42" i="10"/>
  <c r="T42" i="10"/>
  <c r="Y66" i="10"/>
  <c r="X56" i="10"/>
  <c r="T56" i="10"/>
  <c r="X38" i="10"/>
  <c r="T38" i="10"/>
  <c r="C33" i="10"/>
  <c r="C47" i="10"/>
  <c r="C65" i="10"/>
  <c r="F55" i="10"/>
  <c r="F28" i="10"/>
  <c r="C67" i="10"/>
  <c r="C28" i="10"/>
  <c r="F63" i="10"/>
  <c r="Y52" i="10"/>
  <c r="U52" i="10"/>
  <c r="F65" i="10"/>
  <c r="Y70" i="10"/>
  <c r="Y40" i="10"/>
  <c r="U40" i="10"/>
  <c r="X70" i="10"/>
  <c r="C35" i="10"/>
  <c r="Y44" i="10"/>
  <c r="U44" i="10"/>
  <c r="X32" i="10"/>
  <c r="T32" i="10"/>
  <c r="F56" i="10"/>
  <c r="C57" i="10"/>
  <c r="C43" i="10"/>
  <c r="F39" i="10"/>
  <c r="F61" i="10"/>
  <c r="Y56" i="10"/>
  <c r="U56" i="10"/>
  <c r="F69" i="10"/>
  <c r="C59" i="10"/>
  <c r="C69" i="10"/>
  <c r="Y58" i="10"/>
  <c r="U58" i="10"/>
  <c r="F47" i="10"/>
  <c r="C63" i="10"/>
  <c r="C70" i="10"/>
  <c r="X54" i="10"/>
  <c r="T54" i="10"/>
  <c r="X44" i="10"/>
  <c r="T44" i="10"/>
  <c r="F35" i="10"/>
  <c r="X60" i="10"/>
  <c r="T60" i="10"/>
  <c r="C66" i="10"/>
  <c r="X50" i="10"/>
  <c r="T50" i="10"/>
  <c r="C60" i="10"/>
  <c r="F57" i="10"/>
  <c r="F43" i="10"/>
  <c r="C39" i="10"/>
  <c r="C61" i="10"/>
  <c r="F67" i="10"/>
  <c r="F71" i="10"/>
  <c r="X48" i="10"/>
  <c r="T48" i="10"/>
  <c r="C41" i="10"/>
  <c r="F29" i="10"/>
  <c r="C55" i="10"/>
  <c r="Y36" i="10"/>
  <c r="U36" i="10"/>
  <c r="C29" i="10"/>
  <c r="Y72" i="10"/>
  <c r="F70" i="10"/>
  <c r="Y68" i="10"/>
  <c r="Y62" i="10"/>
  <c r="U62" i="10"/>
  <c r="C46" i="10"/>
  <c r="C49" i="10"/>
  <c r="C51" i="10"/>
  <c r="F60" i="10"/>
  <c r="Y50" i="10"/>
  <c r="U50" i="10"/>
  <c r="X68" i="10"/>
  <c r="F45" i="10"/>
  <c r="C53" i="10"/>
  <c r="C64" i="10"/>
  <c r="F30" i="10"/>
  <c r="F37" i="10"/>
  <c r="X36" i="10"/>
  <c r="T36" i="10"/>
  <c r="Y54" i="10"/>
  <c r="U54" i="10"/>
  <c r="Y48" i="10"/>
  <c r="U48" i="10"/>
  <c r="Y60" i="10"/>
  <c r="U60" i="10"/>
  <c r="Y29" i="10"/>
  <c r="X40" i="10"/>
  <c r="T40" i="10"/>
  <c r="F46" i="10"/>
  <c r="F49" i="10"/>
  <c r="F51" i="10"/>
  <c r="X58" i="10"/>
  <c r="T58" i="10"/>
  <c r="U38" i="10"/>
  <c r="Y38" i="10"/>
  <c r="X52" i="10"/>
  <c r="T52" i="10"/>
  <c r="C45" i="10"/>
  <c r="F53" i="10"/>
  <c r="F64" i="10"/>
  <c r="C30" i="10"/>
  <c r="C37" i="10"/>
  <c r="Z140" i="3"/>
  <c r="Z147" i="3"/>
  <c r="Z162" i="3"/>
  <c r="Z149" i="3"/>
  <c r="Z148" i="3"/>
  <c r="AA137" i="3"/>
  <c r="Z160" i="3"/>
  <c r="Z179" i="3"/>
  <c r="AA175" i="3"/>
  <c r="AA145" i="3"/>
  <c r="AA156" i="3"/>
  <c r="AA146" i="3"/>
  <c r="AA178" i="3"/>
  <c r="AA164" i="3"/>
  <c r="AA176" i="3"/>
  <c r="AA167" i="3"/>
  <c r="AA147" i="3"/>
  <c r="AA136" i="3"/>
  <c r="AT136" i="3" s="1"/>
  <c r="AZ136" i="3" s="1"/>
  <c r="AA154" i="3"/>
  <c r="AA162" i="3"/>
  <c r="AA144" i="3"/>
  <c r="AA161" i="3"/>
  <c r="AA150" i="3"/>
  <c r="AA157" i="3"/>
  <c r="AA179" i="3"/>
  <c r="AA169" i="3"/>
  <c r="AA155" i="3"/>
  <c r="AA151" i="3"/>
  <c r="AA140" i="3"/>
  <c r="AA152" i="3"/>
  <c r="AA141" i="3"/>
  <c r="AA160" i="3"/>
  <c r="AA139" i="3"/>
  <c r="AA171" i="3"/>
  <c r="AA177" i="3"/>
  <c r="AA153" i="3"/>
  <c r="AA159" i="3"/>
  <c r="AA163" i="3"/>
  <c r="AA165" i="3"/>
  <c r="AA168" i="3"/>
  <c r="AA166" i="3"/>
  <c r="AA173" i="3"/>
  <c r="AA172" i="3"/>
  <c r="AA170" i="3"/>
  <c r="AA148" i="3"/>
  <c r="AA143" i="3"/>
  <c r="AA138" i="3"/>
  <c r="AA158" i="3"/>
  <c r="AA149" i="3"/>
  <c r="AA142" i="3"/>
  <c r="Z166" i="3"/>
  <c r="Z146" i="3"/>
  <c r="Z178" i="3"/>
  <c r="Z143" i="3"/>
  <c r="Z145" i="3"/>
  <c r="Z175" i="3"/>
  <c r="Z135" i="3"/>
  <c r="Z170" i="3"/>
  <c r="Z154" i="3"/>
  <c r="Z177" i="3"/>
  <c r="Z167" i="3"/>
  <c r="AS167" i="3" s="1"/>
  <c r="G38" i="14" s="1"/>
  <c r="Z137" i="3"/>
  <c r="BC133" i="3" l="1"/>
  <c r="D138" i="14" s="1"/>
  <c r="G10" i="14"/>
  <c r="AD235" i="3"/>
  <c r="AH235" i="3"/>
  <c r="AD236" i="3"/>
  <c r="AH236" i="3"/>
  <c r="AD238" i="3"/>
  <c r="AH238" i="3"/>
  <c r="AD237" i="3"/>
  <c r="AH237" i="3"/>
  <c r="AT149" i="3"/>
  <c r="AZ149" i="3" s="1"/>
  <c r="AT138" i="3"/>
  <c r="AZ138" i="3" s="1"/>
  <c r="S203" i="3"/>
  <c r="X203" i="3" s="1"/>
  <c r="H15" i="14" s="1"/>
  <c r="AT172" i="3"/>
  <c r="AZ172" i="3" s="1"/>
  <c r="AT166" i="3"/>
  <c r="AZ166" i="3" s="1"/>
  <c r="AT165" i="3"/>
  <c r="AZ165" i="3" s="1"/>
  <c r="AT159" i="3"/>
  <c r="AZ159" i="3" s="1"/>
  <c r="AT177" i="3"/>
  <c r="AZ177" i="3" s="1"/>
  <c r="AT139" i="3"/>
  <c r="AT141" i="3"/>
  <c r="AZ141" i="3" s="1"/>
  <c r="AT140" i="3"/>
  <c r="AZ140" i="3" s="1"/>
  <c r="AT155" i="3"/>
  <c r="AZ155" i="3" s="1"/>
  <c r="AT179" i="3"/>
  <c r="AZ179" i="3" s="1"/>
  <c r="AT150" i="3"/>
  <c r="AZ150" i="3" s="1"/>
  <c r="AT144" i="3"/>
  <c r="AZ144" i="3" s="1"/>
  <c r="AT154" i="3"/>
  <c r="AZ154" i="3" s="1"/>
  <c r="AT147" i="3"/>
  <c r="AZ147" i="3" s="1"/>
  <c r="F203" i="3"/>
  <c r="AT176" i="3"/>
  <c r="AZ176" i="3" s="1"/>
  <c r="AT178" i="3"/>
  <c r="AZ178" i="3" s="1"/>
  <c r="AT156" i="3"/>
  <c r="AZ156" i="3" s="1"/>
  <c r="AT175" i="3"/>
  <c r="AZ175" i="3" s="1"/>
  <c r="AT142" i="3"/>
  <c r="AZ142" i="3" s="1"/>
  <c r="AT158" i="3"/>
  <c r="AZ158" i="3" s="1"/>
  <c r="AT143" i="3"/>
  <c r="AZ143" i="3" s="1"/>
  <c r="AT170" i="3"/>
  <c r="AZ170" i="3" s="1"/>
  <c r="AT173" i="3"/>
  <c r="AZ173" i="3" s="1"/>
  <c r="AT168" i="3"/>
  <c r="AZ168" i="3" s="1"/>
  <c r="AT163" i="3"/>
  <c r="AZ163" i="3" s="1"/>
  <c r="AT153" i="3"/>
  <c r="AZ153" i="3" s="1"/>
  <c r="AT171" i="3"/>
  <c r="AZ171" i="3" s="1"/>
  <c r="AT160" i="3"/>
  <c r="AZ160" i="3" s="1"/>
  <c r="AT152" i="3"/>
  <c r="AZ152" i="3" s="1"/>
  <c r="AT151" i="3"/>
  <c r="AZ151" i="3" s="1"/>
  <c r="AT169" i="3"/>
  <c r="AZ169" i="3" s="1"/>
  <c r="AT157" i="3"/>
  <c r="AZ157" i="3" s="1"/>
  <c r="AT161" i="3"/>
  <c r="AZ161" i="3" s="1"/>
  <c r="AT162" i="3"/>
  <c r="AZ162" i="3" s="1"/>
  <c r="AT167" i="3"/>
  <c r="AZ167" i="3" s="1"/>
  <c r="AT164" i="3"/>
  <c r="AZ164" i="3" s="1"/>
  <c r="AT146" i="3"/>
  <c r="AZ146" i="3" s="1"/>
  <c r="AT145" i="3"/>
  <c r="AZ145" i="3" s="1"/>
  <c r="AT137" i="3"/>
  <c r="AZ137" i="3" s="1"/>
  <c r="AT174" i="3"/>
  <c r="AZ174" i="3" s="1"/>
  <c r="AY168" i="3"/>
  <c r="G39" i="14"/>
  <c r="C39" i="14" s="1"/>
  <c r="AT148" i="3"/>
  <c r="AZ148" i="3" s="1"/>
  <c r="AY139" i="3"/>
  <c r="AZ139" i="3"/>
  <c r="AY134" i="3"/>
  <c r="BC134" i="3"/>
  <c r="BC168" i="3"/>
  <c r="D173" i="14" s="1"/>
  <c r="AY167" i="3"/>
  <c r="BC167" i="3"/>
  <c r="AY158" i="3"/>
  <c r="BC158" i="3"/>
  <c r="D163" i="14" s="1"/>
  <c r="BC139" i="3"/>
  <c r="D144" i="14" s="1"/>
  <c r="AS138" i="3"/>
  <c r="G9" i="14" s="1"/>
  <c r="AV138" i="3"/>
  <c r="AS177" i="3"/>
  <c r="G48" i="14" s="1"/>
  <c r="C48" i="14" s="1"/>
  <c r="AS170" i="3"/>
  <c r="G41" i="14" s="1"/>
  <c r="C41" i="14" s="1"/>
  <c r="AS175" i="3"/>
  <c r="G46" i="14" s="1"/>
  <c r="C46" i="14" s="1"/>
  <c r="AS143" i="3"/>
  <c r="G14" i="14" s="1"/>
  <c r="AS178" i="3"/>
  <c r="G49" i="14" s="1"/>
  <c r="C49" i="14" s="1"/>
  <c r="AS166" i="3"/>
  <c r="G37" i="14" s="1"/>
  <c r="C37" i="14" s="1"/>
  <c r="AS149" i="3"/>
  <c r="G20" i="14" s="1"/>
  <c r="C20" i="14" s="1"/>
  <c r="AS140" i="3"/>
  <c r="G11" i="14" s="1"/>
  <c r="C11" i="14" s="1"/>
  <c r="AS152" i="3"/>
  <c r="G23" i="14" s="1"/>
  <c r="C23" i="14" s="1"/>
  <c r="AS165" i="3"/>
  <c r="G36" i="14" s="1"/>
  <c r="C36" i="14" s="1"/>
  <c r="AS171" i="3"/>
  <c r="G42" i="14" s="1"/>
  <c r="C42" i="14" s="1"/>
  <c r="AS174" i="3"/>
  <c r="G45" i="14" s="1"/>
  <c r="C45" i="14" s="1"/>
  <c r="AS169" i="3"/>
  <c r="G40" i="14" s="1"/>
  <c r="AS163" i="3"/>
  <c r="G34" i="14" s="1"/>
  <c r="C34" i="14" s="1"/>
  <c r="AS173" i="3"/>
  <c r="G44" i="14" s="1"/>
  <c r="C44" i="14" s="1"/>
  <c r="AS153" i="3"/>
  <c r="G24" i="14" s="1"/>
  <c r="C24" i="14" s="1"/>
  <c r="AS172" i="3"/>
  <c r="G43" i="14" s="1"/>
  <c r="AS137" i="3"/>
  <c r="G8" i="14" s="1"/>
  <c r="C8" i="14" s="1"/>
  <c r="AS154" i="3"/>
  <c r="G25" i="14" s="1"/>
  <c r="C25" i="14" s="1"/>
  <c r="AS135" i="3"/>
  <c r="G6" i="14" s="1"/>
  <c r="C6" i="14" s="1"/>
  <c r="AS145" i="3"/>
  <c r="G16" i="14" s="1"/>
  <c r="AS136" i="3"/>
  <c r="G7" i="14" s="1"/>
  <c r="AS146" i="3"/>
  <c r="G17" i="14" s="1"/>
  <c r="AS179" i="3"/>
  <c r="G50" i="14" s="1"/>
  <c r="C50" i="14" s="1"/>
  <c r="AS160" i="3"/>
  <c r="G31" i="14" s="1"/>
  <c r="AS148" i="3"/>
  <c r="G19" i="14" s="1"/>
  <c r="C19" i="14" s="1"/>
  <c r="AS162" i="3"/>
  <c r="G33" i="14" s="1"/>
  <c r="C33" i="14" s="1"/>
  <c r="AS147" i="3"/>
  <c r="G18" i="14" s="1"/>
  <c r="C18" i="14" s="1"/>
  <c r="AS150" i="3"/>
  <c r="G21" i="14" s="1"/>
  <c r="AS176" i="3"/>
  <c r="G47" i="14" s="1"/>
  <c r="C47" i="14" s="1"/>
  <c r="AS156" i="3"/>
  <c r="G27" i="14" s="1"/>
  <c r="C27" i="14" s="1"/>
  <c r="AS161" i="3"/>
  <c r="G32" i="14" s="1"/>
  <c r="C32" i="14" s="1"/>
  <c r="AS151" i="3"/>
  <c r="G22" i="14" s="1"/>
  <c r="AS157" i="3"/>
  <c r="G28" i="14" s="1"/>
  <c r="C28" i="14" s="1"/>
  <c r="AS155" i="3"/>
  <c r="G26" i="14" s="1"/>
  <c r="C26" i="14" s="1"/>
  <c r="AS159" i="3"/>
  <c r="G30" i="14" s="1"/>
  <c r="C30" i="14" s="1"/>
  <c r="C29" i="14"/>
  <c r="C97" i="14" s="1"/>
  <c r="C170" i="14"/>
  <c r="Z144" i="3"/>
  <c r="B181" i="14"/>
  <c r="B176" i="14"/>
  <c r="B177" i="14"/>
  <c r="D172" i="14"/>
  <c r="H72" i="14"/>
  <c r="H73" i="14" s="1"/>
  <c r="G138" i="14"/>
  <c r="H138" i="14" s="1"/>
  <c r="C10" i="14"/>
  <c r="Z142" i="3"/>
  <c r="C168" i="14"/>
  <c r="C157" i="14"/>
  <c r="C160" i="14"/>
  <c r="C163" i="14"/>
  <c r="C144" i="14"/>
  <c r="C166" i="14"/>
  <c r="C152" i="14"/>
  <c r="C159" i="14"/>
  <c r="C171" i="14"/>
  <c r="C164" i="14"/>
  <c r="C174" i="14"/>
  <c r="C149" i="14"/>
  <c r="C151" i="14"/>
  <c r="Z164" i="3"/>
  <c r="C155" i="14"/>
  <c r="C165" i="14"/>
  <c r="C145" i="14"/>
  <c r="C172" i="14"/>
  <c r="C161" i="14"/>
  <c r="C147" i="14"/>
  <c r="C167" i="14"/>
  <c r="C148" i="14"/>
  <c r="C153" i="14"/>
  <c r="C158" i="14"/>
  <c r="C162" i="14"/>
  <c r="C173" i="14"/>
  <c r="C154" i="14"/>
  <c r="C146" i="14"/>
  <c r="C156" i="14"/>
  <c r="C169" i="14"/>
  <c r="C150" i="14"/>
  <c r="Z141" i="3"/>
  <c r="C22" i="14"/>
  <c r="C38" i="14"/>
  <c r="C16" i="14"/>
  <c r="C21" i="14"/>
  <c r="C31" i="14"/>
  <c r="C43" i="14"/>
  <c r="C40" i="14"/>
  <c r="C72" i="14"/>
  <c r="J78" i="14"/>
  <c r="J79" i="14" s="1"/>
  <c r="J80" i="14" s="1"/>
  <c r="J81" i="14" s="1"/>
  <c r="J82" i="14" s="1"/>
  <c r="J83" i="14" s="1"/>
  <c r="J84" i="14" s="1"/>
  <c r="J85" i="14" s="1"/>
  <c r="J86" i="14" s="1"/>
  <c r="J87" i="14" s="1"/>
  <c r="J88" i="14" s="1"/>
  <c r="J89" i="14" s="1"/>
  <c r="J90" i="14" s="1"/>
  <c r="J91" i="14" s="1"/>
  <c r="J92" i="14" s="1"/>
  <c r="J93" i="14" s="1"/>
  <c r="J94" i="14" s="1"/>
  <c r="J95" i="14" s="1"/>
  <c r="J96" i="14" s="1"/>
  <c r="J97" i="14" s="1"/>
  <c r="J98" i="14" s="1"/>
  <c r="J99" i="14" s="1"/>
  <c r="J100" i="14" s="1"/>
  <c r="J101" i="14" s="1"/>
  <c r="J102" i="14" s="1"/>
  <c r="J103" i="14" s="1"/>
  <c r="J104" i="14" s="1"/>
  <c r="J105" i="14" s="1"/>
  <c r="J106" i="14" s="1"/>
  <c r="J107" i="14" s="1"/>
  <c r="J108" i="14" s="1"/>
  <c r="J109" i="14" s="1"/>
  <c r="J110" i="14" s="1"/>
  <c r="J111" i="14" s="1"/>
  <c r="J112" i="14" s="1"/>
  <c r="J113" i="14" s="1"/>
  <c r="J114" i="14" s="1"/>
  <c r="J115" i="14" s="1"/>
  <c r="J116" i="14" s="1"/>
  <c r="J117" i="14" s="1"/>
  <c r="J118" i="14" s="1"/>
  <c r="E53" i="14"/>
  <c r="R30" i="25"/>
  <c r="X30" i="25" s="1"/>
  <c r="H31" i="25"/>
  <c r="E54" i="14"/>
  <c r="K54" i="14"/>
  <c r="K53" i="14"/>
  <c r="C73" i="14"/>
  <c r="Y63" i="10"/>
  <c r="Y30" i="10"/>
  <c r="X64" i="10"/>
  <c r="X30" i="10"/>
  <c r="Y67" i="10"/>
  <c r="Y65" i="10"/>
  <c r="N2" i="10"/>
  <c r="Y69" i="10"/>
  <c r="N3" i="10"/>
  <c r="Y45" i="10"/>
  <c r="U45" i="10"/>
  <c r="X47" i="10"/>
  <c r="T47" i="10"/>
  <c r="U33" i="10"/>
  <c r="Y33" i="10"/>
  <c r="Y71" i="10"/>
  <c r="X39" i="10"/>
  <c r="T39" i="10"/>
  <c r="Y53" i="10"/>
  <c r="U53" i="10"/>
  <c r="T45" i="10"/>
  <c r="X45" i="10"/>
  <c r="X35" i="10"/>
  <c r="T35" i="10"/>
  <c r="X71" i="10"/>
  <c r="Y43" i="10"/>
  <c r="U43" i="10"/>
  <c r="Y55" i="10"/>
  <c r="U55" i="10"/>
  <c r="Y61" i="10"/>
  <c r="U61" i="10"/>
  <c r="X57" i="10"/>
  <c r="T57" i="10"/>
  <c r="X33" i="10"/>
  <c r="T33" i="10"/>
  <c r="Y37" i="10"/>
  <c r="U37" i="10"/>
  <c r="X61" i="10"/>
  <c r="T61" i="10"/>
  <c r="U41" i="10"/>
  <c r="Y41" i="10"/>
  <c r="T59" i="10"/>
  <c r="X59" i="10"/>
  <c r="X46" i="10"/>
  <c r="T46" i="10"/>
  <c r="U49" i="10"/>
  <c r="Y49" i="10"/>
  <c r="X28" i="10"/>
  <c r="N6" i="10"/>
  <c r="Y47" i="10"/>
  <c r="U47" i="10"/>
  <c r="T41" i="10"/>
  <c r="X41" i="10"/>
  <c r="X43" i="10"/>
  <c r="T43" i="10"/>
  <c r="U51" i="10"/>
  <c r="Y51" i="10"/>
  <c r="X63" i="10"/>
  <c r="T49" i="10"/>
  <c r="X49" i="10"/>
  <c r="Y64" i="10"/>
  <c r="Y57" i="10"/>
  <c r="U57" i="10"/>
  <c r="Y28" i="10"/>
  <c r="N5" i="10"/>
  <c r="T55" i="10"/>
  <c r="X55" i="10"/>
  <c r="U46" i="10"/>
  <c r="Y46" i="10"/>
  <c r="Y59" i="10"/>
  <c r="U59" i="10"/>
  <c r="X65" i="10"/>
  <c r="X53" i="10"/>
  <c r="T53" i="10"/>
  <c r="T51" i="10"/>
  <c r="X51" i="10"/>
  <c r="T37" i="10"/>
  <c r="X37" i="10"/>
  <c r="X67" i="10"/>
  <c r="Y39" i="10"/>
  <c r="U39" i="10"/>
  <c r="X69" i="10"/>
  <c r="Y35" i="10"/>
  <c r="U35" i="10"/>
  <c r="S229" i="3" l="1"/>
  <c r="X229" i="3" s="1"/>
  <c r="H41" i="14" s="1"/>
  <c r="F229" i="3"/>
  <c r="S200" i="3"/>
  <c r="X200" i="3" s="1"/>
  <c r="H12" i="14" s="1"/>
  <c r="F200" i="3"/>
  <c r="S219" i="3"/>
  <c r="X219" i="3" s="1"/>
  <c r="H31" i="14" s="1"/>
  <c r="F219" i="3"/>
  <c r="S217" i="3"/>
  <c r="X217" i="3" s="1"/>
  <c r="H29" i="14" s="1"/>
  <c r="F217" i="3"/>
  <c r="S212" i="3"/>
  <c r="X212" i="3" s="1"/>
  <c r="H24" i="14" s="1"/>
  <c r="F212" i="3"/>
  <c r="S206" i="3"/>
  <c r="X206" i="3" s="1"/>
  <c r="H18" i="14" s="1"/>
  <c r="F206" i="3"/>
  <c r="S215" i="3"/>
  <c r="X215" i="3" s="1"/>
  <c r="H27" i="14" s="1"/>
  <c r="F215" i="3"/>
  <c r="S226" i="3"/>
  <c r="X226" i="3" s="1"/>
  <c r="H38" i="14" s="1"/>
  <c r="F226" i="3"/>
  <c r="S218" i="3"/>
  <c r="X218" i="3" s="1"/>
  <c r="H30" i="14" s="1"/>
  <c r="F218" i="3"/>
  <c r="S228" i="3"/>
  <c r="X228" i="3" s="1"/>
  <c r="H40" i="14" s="1"/>
  <c r="F228" i="3"/>
  <c r="S198" i="3"/>
  <c r="X198" i="3" s="1"/>
  <c r="F198" i="3"/>
  <c r="S197" i="3"/>
  <c r="X197" i="3" s="1"/>
  <c r="H9" i="14" s="1"/>
  <c r="F197" i="3"/>
  <c r="S233" i="3"/>
  <c r="X233" i="3" s="1"/>
  <c r="H45" i="14" s="1"/>
  <c r="F233" i="3"/>
  <c r="S193" i="3"/>
  <c r="X193" i="3" s="1"/>
  <c r="F193" i="3"/>
  <c r="S204" i="3"/>
  <c r="X204" i="3" s="1"/>
  <c r="H16" i="14" s="1"/>
  <c r="F204" i="3"/>
  <c r="F192" i="3"/>
  <c r="X192" i="3"/>
  <c r="S201" i="3"/>
  <c r="X201" i="3" s="1"/>
  <c r="H13" i="14" s="1"/>
  <c r="F201" i="3"/>
  <c r="S222" i="3"/>
  <c r="X222" i="3" s="1"/>
  <c r="H34" i="14" s="1"/>
  <c r="F222" i="3"/>
  <c r="S216" i="3"/>
  <c r="X216" i="3" s="1"/>
  <c r="H28" i="14" s="1"/>
  <c r="F216" i="3"/>
  <c r="S224" i="3"/>
  <c r="X224" i="3" s="1"/>
  <c r="H36" i="14" s="1"/>
  <c r="F224" i="3"/>
  <c r="S207" i="3"/>
  <c r="X207" i="3" s="1"/>
  <c r="H19" i="14" s="1"/>
  <c r="F207" i="3"/>
  <c r="S208" i="3"/>
  <c r="X208" i="3" s="1"/>
  <c r="H20" i="14" s="1"/>
  <c r="F208" i="3"/>
  <c r="S223" i="3"/>
  <c r="X223" i="3" s="1"/>
  <c r="H35" i="14" s="1"/>
  <c r="F223" i="3"/>
  <c r="S225" i="3"/>
  <c r="X225" i="3" s="1"/>
  <c r="H37" i="14" s="1"/>
  <c r="F225" i="3"/>
  <c r="S213" i="3"/>
  <c r="X213" i="3" s="1"/>
  <c r="H25" i="14" s="1"/>
  <c r="F213" i="3"/>
  <c r="S230" i="3"/>
  <c r="X230" i="3" s="1"/>
  <c r="H42" i="14" s="1"/>
  <c r="F230" i="3"/>
  <c r="S211" i="3"/>
  <c r="X211" i="3" s="1"/>
  <c r="H23" i="14" s="1"/>
  <c r="F211" i="3"/>
  <c r="S231" i="3"/>
  <c r="X231" i="3" s="1"/>
  <c r="H43" i="14" s="1"/>
  <c r="F231" i="3"/>
  <c r="S202" i="3"/>
  <c r="F202" i="3"/>
  <c r="S209" i="3"/>
  <c r="X209" i="3" s="1"/>
  <c r="H21" i="14" s="1"/>
  <c r="F209" i="3"/>
  <c r="S199" i="3"/>
  <c r="X199" i="3" s="1"/>
  <c r="H11" i="14" s="1"/>
  <c r="F199" i="3"/>
  <c r="S205" i="3"/>
  <c r="X205" i="3" s="1"/>
  <c r="H17" i="14" s="1"/>
  <c r="F205" i="3"/>
  <c r="S234" i="3"/>
  <c r="X234" i="3" s="1"/>
  <c r="H46" i="14" s="1"/>
  <c r="F234" i="3"/>
  <c r="F235" i="3"/>
  <c r="S210" i="3"/>
  <c r="X210" i="3" s="1"/>
  <c r="H22" i="14" s="1"/>
  <c r="F210" i="3"/>
  <c r="S195" i="3"/>
  <c r="X195" i="3" s="1"/>
  <c r="H7" i="14" s="1"/>
  <c r="F195" i="3"/>
  <c r="S196" i="3"/>
  <c r="X196" i="3" s="1"/>
  <c r="H8" i="14" s="1"/>
  <c r="F196" i="3"/>
  <c r="S194" i="3"/>
  <c r="X194" i="3" s="1"/>
  <c r="H6" i="14" s="1"/>
  <c r="F194" i="3"/>
  <c r="S232" i="3"/>
  <c r="X232" i="3" s="1"/>
  <c r="H44" i="14" s="1"/>
  <c r="F232" i="3"/>
  <c r="S214" i="3"/>
  <c r="X214" i="3" s="1"/>
  <c r="H26" i="14" s="1"/>
  <c r="F214" i="3"/>
  <c r="S220" i="3"/>
  <c r="X220" i="3" s="1"/>
  <c r="H32" i="14" s="1"/>
  <c r="F220" i="3"/>
  <c r="S221" i="3"/>
  <c r="X221" i="3" s="1"/>
  <c r="H33" i="14" s="1"/>
  <c r="F221" i="3"/>
  <c r="S227" i="3"/>
  <c r="X227" i="3" s="1"/>
  <c r="H39" i="14" s="1"/>
  <c r="F227" i="3"/>
  <c r="AD203" i="3"/>
  <c r="AH203" i="3"/>
  <c r="G163" i="14"/>
  <c r="H163" i="14" s="1"/>
  <c r="D139" i="14"/>
  <c r="G139" i="14" s="1"/>
  <c r="H139" i="14" s="1"/>
  <c r="O4" i="3"/>
  <c r="O11" i="3" s="1"/>
  <c r="N4" i="3"/>
  <c r="N11" i="3" s="1"/>
  <c r="G172" i="14"/>
  <c r="H172" i="14" s="1"/>
  <c r="BC138" i="3"/>
  <c r="D143" i="14" s="1"/>
  <c r="AY155" i="3"/>
  <c r="BC155" i="3"/>
  <c r="AY151" i="3"/>
  <c r="BC151" i="3"/>
  <c r="D156" i="14" s="1"/>
  <c r="G156" i="14" s="1"/>
  <c r="H156" i="14" s="1"/>
  <c r="AY156" i="3"/>
  <c r="BC156" i="3"/>
  <c r="AY150" i="3"/>
  <c r="BC150" i="3"/>
  <c r="AY162" i="3"/>
  <c r="BC162" i="3"/>
  <c r="D167" i="14" s="1"/>
  <c r="G167" i="14" s="1"/>
  <c r="H167" i="14" s="1"/>
  <c r="AY148" i="3"/>
  <c r="BC148" i="3"/>
  <c r="AY146" i="3"/>
  <c r="BC146" i="3"/>
  <c r="D151" i="14" s="1"/>
  <c r="AY135" i="3"/>
  <c r="BC135" i="3"/>
  <c r="AY137" i="3"/>
  <c r="BC137" i="3"/>
  <c r="AY153" i="3"/>
  <c r="BC153" i="3"/>
  <c r="D158" i="14" s="1"/>
  <c r="G158" i="14" s="1"/>
  <c r="H158" i="14" s="1"/>
  <c r="AY171" i="3"/>
  <c r="BC171" i="3"/>
  <c r="D176" i="14" s="1"/>
  <c r="G176" i="14" s="1"/>
  <c r="H176" i="14" s="1"/>
  <c r="AY149" i="3"/>
  <c r="BC149" i="3"/>
  <c r="D154" i="14" s="1"/>
  <c r="G154" i="14" s="1"/>
  <c r="H154" i="14" s="1"/>
  <c r="AY143" i="3"/>
  <c r="BC143" i="3"/>
  <c r="AY170" i="3"/>
  <c r="BC170" i="3"/>
  <c r="AY159" i="3"/>
  <c r="BC159" i="3"/>
  <c r="D164" i="14" s="1"/>
  <c r="G164" i="14" s="1"/>
  <c r="H164" i="14" s="1"/>
  <c r="AY157" i="3"/>
  <c r="BC157" i="3"/>
  <c r="D162" i="14" s="1"/>
  <c r="G162" i="14" s="1"/>
  <c r="H162" i="14" s="1"/>
  <c r="AY161" i="3"/>
  <c r="BC161" i="3"/>
  <c r="AY176" i="3"/>
  <c r="BC176" i="3"/>
  <c r="D181" i="14" s="1"/>
  <c r="G181" i="14" s="1"/>
  <c r="H181" i="14" s="1"/>
  <c r="AY147" i="3"/>
  <c r="BC147" i="3"/>
  <c r="D152" i="14" s="1"/>
  <c r="G152" i="14" s="1"/>
  <c r="H152" i="14" s="1"/>
  <c r="AY160" i="3"/>
  <c r="BC160" i="3"/>
  <c r="D165" i="14" s="1"/>
  <c r="G165" i="14" s="1"/>
  <c r="H165" i="14" s="1"/>
  <c r="AY179" i="3"/>
  <c r="BC179" i="3"/>
  <c r="D184" i="14" s="1"/>
  <c r="G184" i="14" s="1"/>
  <c r="H184" i="14" s="1"/>
  <c r="AY136" i="3"/>
  <c r="BC136" i="3"/>
  <c r="D141" i="14" s="1"/>
  <c r="AY145" i="3"/>
  <c r="BC145" i="3"/>
  <c r="D150" i="14" s="1"/>
  <c r="G150" i="14" s="1"/>
  <c r="H150" i="14" s="1"/>
  <c r="AY154" i="3"/>
  <c r="BC154" i="3"/>
  <c r="AY172" i="3"/>
  <c r="BC172" i="3"/>
  <c r="AY173" i="3"/>
  <c r="BC173" i="3"/>
  <c r="D178" i="14" s="1"/>
  <c r="G178" i="14" s="1"/>
  <c r="H178" i="14" s="1"/>
  <c r="AY163" i="3"/>
  <c r="BC163" i="3"/>
  <c r="D168" i="14" s="1"/>
  <c r="G168" i="14" s="1"/>
  <c r="H168" i="14" s="1"/>
  <c r="AY169" i="3"/>
  <c r="BC169" i="3"/>
  <c r="D174" i="14" s="1"/>
  <c r="G174" i="14" s="1"/>
  <c r="H174" i="14" s="1"/>
  <c r="AY174" i="3"/>
  <c r="BC174" i="3"/>
  <c r="D179" i="14" s="1"/>
  <c r="AY165" i="3"/>
  <c r="BC165" i="3"/>
  <c r="D170" i="14" s="1"/>
  <c r="G170" i="14" s="1"/>
  <c r="H170" i="14" s="1"/>
  <c r="AY152" i="3"/>
  <c r="BC152" i="3"/>
  <c r="D157" i="14" s="1"/>
  <c r="G157" i="14" s="1"/>
  <c r="H157" i="14" s="1"/>
  <c r="AY140" i="3"/>
  <c r="BC140" i="3"/>
  <c r="D145" i="14" s="1"/>
  <c r="G145" i="14" s="1"/>
  <c r="H145" i="14" s="1"/>
  <c r="AY166" i="3"/>
  <c r="BC166" i="3"/>
  <c r="D171" i="14" s="1"/>
  <c r="G171" i="14" s="1"/>
  <c r="H171" i="14" s="1"/>
  <c r="AY178" i="3"/>
  <c r="BC178" i="3"/>
  <c r="D183" i="14" s="1"/>
  <c r="G183" i="14" s="1"/>
  <c r="H183" i="14" s="1"/>
  <c r="AY175" i="3"/>
  <c r="BC175" i="3"/>
  <c r="AY177" i="3"/>
  <c r="BC177" i="3"/>
  <c r="D182" i="14" s="1"/>
  <c r="G182" i="14" s="1"/>
  <c r="H182" i="14" s="1"/>
  <c r="AY138" i="3"/>
  <c r="BD154" i="3"/>
  <c r="E159" i="14" s="1"/>
  <c r="BD165" i="3"/>
  <c r="E170" i="14" s="1"/>
  <c r="BD171" i="3"/>
  <c r="E176" i="14" s="1"/>
  <c r="BD145" i="3"/>
  <c r="E150" i="14" s="1"/>
  <c r="BD162" i="3"/>
  <c r="E167" i="14" s="1"/>
  <c r="BD151" i="3"/>
  <c r="E156" i="14" s="1"/>
  <c r="BD170" i="3"/>
  <c r="E175" i="14" s="1"/>
  <c r="BD156" i="3"/>
  <c r="E161" i="14" s="1"/>
  <c r="BD140" i="3"/>
  <c r="E145" i="14" s="1"/>
  <c r="BD153" i="3"/>
  <c r="E158" i="14" s="1"/>
  <c r="BD143" i="3"/>
  <c r="E148" i="14" s="1"/>
  <c r="BD159" i="3"/>
  <c r="E164" i="14" s="1"/>
  <c r="BD164" i="3"/>
  <c r="E169" i="14" s="1"/>
  <c r="BD174" i="3"/>
  <c r="E179" i="14" s="1"/>
  <c r="BD179" i="3"/>
  <c r="E184" i="14" s="1"/>
  <c r="AS164" i="3"/>
  <c r="G35" i="14" s="1"/>
  <c r="C35" i="14" s="1"/>
  <c r="C103" i="14" s="1"/>
  <c r="BD135" i="3"/>
  <c r="E140" i="14" s="1"/>
  <c r="BD169" i="3"/>
  <c r="E174" i="14" s="1"/>
  <c r="BD173" i="3"/>
  <c r="E178" i="14" s="1"/>
  <c r="BD161" i="3"/>
  <c r="E166" i="14" s="1"/>
  <c r="BD152" i="3"/>
  <c r="E157" i="14" s="1"/>
  <c r="BD158" i="3"/>
  <c r="E163" i="14" s="1"/>
  <c r="BD163" i="3"/>
  <c r="E168" i="14" s="1"/>
  <c r="BD178" i="3"/>
  <c r="E183" i="14" s="1"/>
  <c r="AS141" i="3"/>
  <c r="G12" i="14" s="1"/>
  <c r="C12" i="14" s="1"/>
  <c r="BD137" i="3"/>
  <c r="E142" i="14" s="1"/>
  <c r="BD150" i="3"/>
  <c r="E155" i="14" s="1"/>
  <c r="BD148" i="3"/>
  <c r="E153" i="14" s="1"/>
  <c r="BD141" i="3"/>
  <c r="E146" i="14" s="1"/>
  <c r="BD142" i="3"/>
  <c r="E147" i="14" s="1"/>
  <c r="BD176" i="3"/>
  <c r="E181" i="14" s="1"/>
  <c r="BD167" i="3"/>
  <c r="E172" i="14" s="1"/>
  <c r="BD157" i="3"/>
  <c r="E162" i="14" s="1"/>
  <c r="BD160" i="3"/>
  <c r="E165" i="14" s="1"/>
  <c r="BD168" i="3"/>
  <c r="E173" i="14" s="1"/>
  <c r="BD138" i="3"/>
  <c r="E143" i="14" s="1"/>
  <c r="BD155" i="3"/>
  <c r="E160" i="14" s="1"/>
  <c r="BD144" i="3"/>
  <c r="E149" i="14" s="1"/>
  <c r="BD166" i="3"/>
  <c r="E171" i="14" s="1"/>
  <c r="BD149" i="3"/>
  <c r="E154" i="14" s="1"/>
  <c r="BD139" i="3"/>
  <c r="E144" i="14" s="1"/>
  <c r="BD146" i="3"/>
  <c r="E151" i="14" s="1"/>
  <c r="BD175" i="3"/>
  <c r="E180" i="14" s="1"/>
  <c r="AS142" i="3"/>
  <c r="G13" i="14" s="1"/>
  <c r="C13" i="14" s="1"/>
  <c r="C81" i="14" s="1"/>
  <c r="BD172" i="3"/>
  <c r="E177" i="14" s="1"/>
  <c r="BD147" i="3"/>
  <c r="E152" i="14" s="1"/>
  <c r="BD177" i="3"/>
  <c r="E182" i="14" s="1"/>
  <c r="BD136" i="3"/>
  <c r="E141" i="14" s="1"/>
  <c r="AS144" i="3"/>
  <c r="G15" i="14" s="1"/>
  <c r="C15" i="14" s="1"/>
  <c r="C83" i="14" s="1"/>
  <c r="B145" i="14"/>
  <c r="B173" i="14"/>
  <c r="B171" i="14"/>
  <c r="B148" i="14"/>
  <c r="B158" i="14"/>
  <c r="B153" i="14"/>
  <c r="B155" i="14"/>
  <c r="B147" i="14"/>
  <c r="B152" i="14"/>
  <c r="B159" i="14"/>
  <c r="B156" i="14"/>
  <c r="B150" i="14"/>
  <c r="B165" i="14"/>
  <c r="B172" i="14"/>
  <c r="B149" i="14"/>
  <c r="B151" i="14"/>
  <c r="B164" i="14"/>
  <c r="B167" i="14"/>
  <c r="B154" i="14"/>
  <c r="B166" i="14"/>
  <c r="B161" i="14"/>
  <c r="B144" i="14"/>
  <c r="B157" i="14"/>
  <c r="B163" i="14"/>
  <c r="B169" i="14"/>
  <c r="C115" i="14"/>
  <c r="C99" i="14"/>
  <c r="C95" i="14"/>
  <c r="C117" i="14"/>
  <c r="C91" i="14"/>
  <c r="C78" i="14"/>
  <c r="G144" i="14"/>
  <c r="H144" i="14" s="1"/>
  <c r="C79" i="14"/>
  <c r="C109" i="14"/>
  <c r="C89" i="14"/>
  <c r="C93" i="14"/>
  <c r="C87" i="14"/>
  <c r="C111" i="14"/>
  <c r="C101" i="14"/>
  <c r="C107" i="14"/>
  <c r="G173" i="14"/>
  <c r="H173" i="14" s="1"/>
  <c r="C105" i="14"/>
  <c r="C94" i="14"/>
  <c r="C113" i="14"/>
  <c r="G179" i="14"/>
  <c r="H179" i="14" s="1"/>
  <c r="C9" i="14"/>
  <c r="C7" i="14"/>
  <c r="C14" i="14"/>
  <c r="H74" i="14"/>
  <c r="C17" i="14"/>
  <c r="R31" i="25"/>
  <c r="X31" i="25" s="1"/>
  <c r="H32" i="25"/>
  <c r="C100" i="14"/>
  <c r="C116" i="14"/>
  <c r="C74" i="14"/>
  <c r="C106" i="14"/>
  <c r="C76" i="14"/>
  <c r="C112" i="14"/>
  <c r="C84" i="14"/>
  <c r="C98" i="14"/>
  <c r="C118" i="14"/>
  <c r="C104" i="14"/>
  <c r="C108" i="14"/>
  <c r="C110" i="14"/>
  <c r="C102" i="14"/>
  <c r="C86" i="14"/>
  <c r="C96" i="14"/>
  <c r="C88" i="14"/>
  <c r="C92" i="14"/>
  <c r="C90" i="14"/>
  <c r="C114" i="14"/>
  <c r="H5" i="14" l="1"/>
  <c r="H10" i="14"/>
  <c r="N5" i="3"/>
  <c r="AD192" i="3"/>
  <c r="H4" i="14"/>
  <c r="X202" i="3"/>
  <c r="H14" i="14" s="1"/>
  <c r="AD227" i="3"/>
  <c r="AH227" i="3"/>
  <c r="AD214" i="3"/>
  <c r="AH214" i="3"/>
  <c r="AD232" i="3"/>
  <c r="AH232" i="3"/>
  <c r="AD196" i="3"/>
  <c r="AH196" i="3"/>
  <c r="AD195" i="3"/>
  <c r="AH195" i="3"/>
  <c r="AD234" i="3"/>
  <c r="AH234" i="3"/>
  <c r="AD205" i="3"/>
  <c r="AH205" i="3"/>
  <c r="AD211" i="3"/>
  <c r="AH211" i="3"/>
  <c r="AD230" i="3"/>
  <c r="AH230" i="3"/>
  <c r="AD213" i="3"/>
  <c r="AH213" i="3"/>
  <c r="AD223" i="3"/>
  <c r="AH223" i="3"/>
  <c r="AD208" i="3"/>
  <c r="AH208" i="3"/>
  <c r="AD207" i="3"/>
  <c r="AH207" i="3"/>
  <c r="AD224" i="3"/>
  <c r="AH224" i="3"/>
  <c r="AD222" i="3"/>
  <c r="AH222" i="3"/>
  <c r="AD204" i="3"/>
  <c r="AH204" i="3"/>
  <c r="AD193" i="3"/>
  <c r="AH193" i="3"/>
  <c r="AD197" i="3"/>
  <c r="AH197" i="3"/>
  <c r="AD198" i="3"/>
  <c r="AH198" i="3"/>
  <c r="AD228" i="3"/>
  <c r="AH228" i="3"/>
  <c r="AD226" i="3"/>
  <c r="AH226" i="3"/>
  <c r="AD215" i="3"/>
  <c r="AH215" i="3"/>
  <c r="AD219" i="3"/>
  <c r="AH219" i="3"/>
  <c r="AD229" i="3"/>
  <c r="AH229" i="3"/>
  <c r="AD221" i="3"/>
  <c r="AH221" i="3"/>
  <c r="AD220" i="3"/>
  <c r="AH220" i="3"/>
  <c r="AD194" i="3"/>
  <c r="AH194" i="3"/>
  <c r="AD210" i="3"/>
  <c r="AH210" i="3"/>
  <c r="AD199" i="3"/>
  <c r="AH199" i="3"/>
  <c r="AD209" i="3"/>
  <c r="AH209" i="3"/>
  <c r="AD231" i="3"/>
  <c r="AH231" i="3"/>
  <c r="AD225" i="3"/>
  <c r="AH225" i="3"/>
  <c r="AD216" i="3"/>
  <c r="AH216" i="3"/>
  <c r="AD201" i="3"/>
  <c r="AH201" i="3"/>
  <c r="AH192" i="3"/>
  <c r="AD233" i="3"/>
  <c r="AH233" i="3"/>
  <c r="AD218" i="3"/>
  <c r="AH218" i="3"/>
  <c r="AD206" i="3"/>
  <c r="AH206" i="3"/>
  <c r="AD212" i="3"/>
  <c r="AH212" i="3"/>
  <c r="AD217" i="3"/>
  <c r="AH217" i="3"/>
  <c r="AD200" i="3"/>
  <c r="AH200" i="3"/>
  <c r="D180" i="14"/>
  <c r="G180" i="14" s="1"/>
  <c r="H180" i="14" s="1"/>
  <c r="D177" i="14"/>
  <c r="G177" i="14" s="1"/>
  <c r="H177" i="14" s="1"/>
  <c r="D159" i="14"/>
  <c r="G159" i="14" s="1"/>
  <c r="H159" i="14" s="1"/>
  <c r="D166" i="14"/>
  <c r="G166" i="14" s="1"/>
  <c r="H166" i="14" s="1"/>
  <c r="D175" i="14"/>
  <c r="G175" i="14" s="1"/>
  <c r="H175" i="14" s="1"/>
  <c r="D148" i="14"/>
  <c r="G148" i="14" s="1"/>
  <c r="D142" i="14"/>
  <c r="G142" i="14" s="1"/>
  <c r="H142" i="14" s="1"/>
  <c r="D140" i="14"/>
  <c r="G140" i="14" s="1"/>
  <c r="H140" i="14" s="1"/>
  <c r="D153" i="14"/>
  <c r="G153" i="14" s="1"/>
  <c r="H153" i="14" s="1"/>
  <c r="D155" i="14"/>
  <c r="G155" i="14" s="1"/>
  <c r="H155" i="14" s="1"/>
  <c r="D161" i="14"/>
  <c r="G161" i="14" s="1"/>
  <c r="H161" i="14" s="1"/>
  <c r="D160" i="14"/>
  <c r="G160" i="14" s="1"/>
  <c r="H160" i="14" s="1"/>
  <c r="O5" i="3"/>
  <c r="AY142" i="3"/>
  <c r="BC142" i="3"/>
  <c r="AY164" i="3"/>
  <c r="BC164" i="3"/>
  <c r="D169" i="14" s="1"/>
  <c r="G169" i="14" s="1"/>
  <c r="H169" i="14" s="1"/>
  <c r="AY144" i="3"/>
  <c r="BC144" i="3"/>
  <c r="D149" i="14" s="1"/>
  <c r="G149" i="14" s="1"/>
  <c r="H149" i="14" s="1"/>
  <c r="AY141" i="3"/>
  <c r="BC141" i="3"/>
  <c r="D146" i="14" s="1"/>
  <c r="G146" i="14" s="1"/>
  <c r="H146" i="14" s="1"/>
  <c r="B160" i="14"/>
  <c r="B162" i="14"/>
  <c r="B170" i="14"/>
  <c r="B146" i="14"/>
  <c r="B168" i="14"/>
  <c r="B174" i="14"/>
  <c r="C85" i="14"/>
  <c r="G151" i="14"/>
  <c r="H151" i="14" s="1"/>
  <c r="C82" i="14"/>
  <c r="C77" i="14"/>
  <c r="G143" i="14"/>
  <c r="C75" i="14"/>
  <c r="G141" i="14"/>
  <c r="G53" i="14"/>
  <c r="G54" i="14"/>
  <c r="H75" i="14"/>
  <c r="H76" i="14" s="1"/>
  <c r="H77" i="14" s="1"/>
  <c r="H78" i="14" s="1"/>
  <c r="H79" i="14" s="1"/>
  <c r="H80" i="14" s="1"/>
  <c r="H81" i="14" s="1"/>
  <c r="H82" i="14" s="1"/>
  <c r="H83" i="14" s="1"/>
  <c r="H84" i="14" s="1"/>
  <c r="H85" i="14" s="1"/>
  <c r="H86" i="14" s="1"/>
  <c r="H87" i="14" s="1"/>
  <c r="H88" i="14" s="1"/>
  <c r="H89" i="14" s="1"/>
  <c r="H90" i="14" s="1"/>
  <c r="H91" i="14" s="1"/>
  <c r="H92" i="14" s="1"/>
  <c r="H93" i="14" s="1"/>
  <c r="H94" i="14" s="1"/>
  <c r="H95" i="14" s="1"/>
  <c r="H96" i="14" s="1"/>
  <c r="H97" i="14" s="1"/>
  <c r="H98" i="14" s="1"/>
  <c r="H99" i="14" s="1"/>
  <c r="H100" i="14" s="1"/>
  <c r="H101" i="14" s="1"/>
  <c r="H102" i="14" s="1"/>
  <c r="H103" i="14" s="1"/>
  <c r="H104" i="14" s="1"/>
  <c r="H105" i="14" s="1"/>
  <c r="H106" i="14" s="1"/>
  <c r="H107" i="14" s="1"/>
  <c r="H108" i="14" s="1"/>
  <c r="H109" i="14" s="1"/>
  <c r="H110" i="14" s="1"/>
  <c r="H111" i="14" s="1"/>
  <c r="H112" i="14" s="1"/>
  <c r="H113" i="14" s="1"/>
  <c r="H114" i="14" s="1"/>
  <c r="H115" i="14" s="1"/>
  <c r="H116" i="14" s="1"/>
  <c r="H117" i="14" s="1"/>
  <c r="H118" i="14" s="1"/>
  <c r="C54" i="14"/>
  <c r="C80" i="14"/>
  <c r="C53" i="14"/>
  <c r="D129" i="14" s="1"/>
  <c r="R32" i="25"/>
  <c r="H33" i="25"/>
  <c r="AH202" i="3" l="1"/>
  <c r="AD202" i="3"/>
  <c r="D4" i="14"/>
  <c r="B4" i="14"/>
  <c r="H53" i="14"/>
  <c r="O8" i="3"/>
  <c r="O12" i="3" s="1"/>
  <c r="H66" i="14"/>
  <c r="N8" i="3"/>
  <c r="N12" i="3" s="1"/>
  <c r="H54" i="14"/>
  <c r="D147" i="14"/>
  <c r="G147" i="14" s="1"/>
  <c r="H147" i="14" s="1"/>
  <c r="C121" i="14"/>
  <c r="H143" i="14"/>
  <c r="H141" i="14"/>
  <c r="H148" i="14"/>
  <c r="R33" i="25"/>
  <c r="H34" i="25"/>
  <c r="T32" i="25"/>
  <c r="X32" i="25"/>
  <c r="B136" i="14" l="1"/>
  <c r="J138" i="14"/>
  <c r="K138" i="14" s="1"/>
  <c r="I72" i="14"/>
  <c r="E72" i="14"/>
  <c r="R34" i="25"/>
  <c r="H35" i="25"/>
  <c r="T33" i="25"/>
  <c r="X33" i="25"/>
  <c r="R35" i="25" l="1"/>
  <c r="H36" i="25"/>
  <c r="X34" i="25"/>
  <c r="T34" i="25"/>
  <c r="R36" i="25" l="1"/>
  <c r="H37" i="25"/>
  <c r="X35" i="25"/>
  <c r="T35" i="25"/>
  <c r="R37" i="25" l="1"/>
  <c r="H38" i="25"/>
  <c r="X36" i="25"/>
  <c r="T36" i="25"/>
  <c r="R38" i="25" l="1"/>
  <c r="H39" i="25"/>
  <c r="T37" i="25"/>
  <c r="X37" i="25"/>
  <c r="R39" i="25" l="1"/>
  <c r="H40" i="25"/>
  <c r="T38" i="25"/>
  <c r="X38" i="25"/>
  <c r="R40" i="25" l="1"/>
  <c r="H41" i="25"/>
  <c r="T39" i="25"/>
  <c r="X39" i="25"/>
  <c r="R41" i="25" l="1"/>
  <c r="H42" i="25"/>
  <c r="T40" i="25"/>
  <c r="X40" i="25"/>
  <c r="R42" i="25" l="1"/>
  <c r="H43" i="25"/>
  <c r="T41" i="25"/>
  <c r="X41" i="25"/>
  <c r="R43" i="25" l="1"/>
  <c r="H44" i="25"/>
  <c r="X42" i="25"/>
  <c r="T42" i="25"/>
  <c r="R44" i="25" l="1"/>
  <c r="H45" i="25"/>
  <c r="T43" i="25"/>
  <c r="X43" i="25"/>
  <c r="R45" i="25" l="1"/>
  <c r="H46" i="25"/>
  <c r="T44" i="25"/>
  <c r="X44" i="25"/>
  <c r="R46" i="25" l="1"/>
  <c r="H47" i="25"/>
  <c r="X45" i="25"/>
  <c r="T45" i="25"/>
  <c r="R47" i="25" l="1"/>
  <c r="H48" i="25"/>
  <c r="X46" i="25"/>
  <c r="T46" i="25"/>
  <c r="R48" i="25" l="1"/>
  <c r="H49" i="25"/>
  <c r="X47" i="25"/>
  <c r="T47" i="25"/>
  <c r="R49" i="25" l="1"/>
  <c r="H50" i="25"/>
  <c r="X48" i="25"/>
  <c r="T48" i="25"/>
  <c r="R50" i="25" l="1"/>
  <c r="H51" i="25"/>
  <c r="X49" i="25"/>
  <c r="T49" i="25"/>
  <c r="R51" i="25" l="1"/>
  <c r="H52" i="25"/>
  <c r="T50" i="25"/>
  <c r="X50" i="25"/>
  <c r="R52" i="25" l="1"/>
  <c r="H53" i="25"/>
  <c r="T51" i="25"/>
  <c r="X51" i="25"/>
  <c r="R53" i="25" l="1"/>
  <c r="H54" i="25"/>
  <c r="X52" i="25"/>
  <c r="T52" i="25"/>
  <c r="R54" i="25" l="1"/>
  <c r="H55" i="25"/>
  <c r="X53" i="25"/>
  <c r="T53" i="25"/>
  <c r="W53" i="14"/>
  <c r="W66" i="14" s="1"/>
  <c r="R55" i="25" l="1"/>
  <c r="H56" i="25"/>
  <c r="T54" i="25"/>
  <c r="X54" i="25"/>
  <c r="R56" i="25" l="1"/>
  <c r="H57" i="25"/>
  <c r="T55" i="25"/>
  <c r="X55" i="25"/>
  <c r="R57" i="25" l="1"/>
  <c r="H58" i="25"/>
  <c r="X56" i="25"/>
  <c r="T56" i="25"/>
  <c r="R58" i="25" l="1"/>
  <c r="H59" i="25"/>
  <c r="T57" i="25"/>
  <c r="X57" i="25"/>
  <c r="R59" i="25" l="1"/>
  <c r="H60" i="25"/>
  <c r="T58" i="25"/>
  <c r="X58" i="25"/>
  <c r="R60" i="25" l="1"/>
  <c r="H61" i="25"/>
  <c r="X59" i="25"/>
  <c r="T59" i="25"/>
  <c r="R61" i="25" l="1"/>
  <c r="H62" i="25"/>
  <c r="X60" i="25"/>
  <c r="T60" i="25"/>
  <c r="R62" i="25" l="1"/>
  <c r="H63" i="25"/>
  <c r="X61" i="25"/>
  <c r="T61" i="25"/>
  <c r="R63" i="25" l="1"/>
  <c r="H64" i="25"/>
  <c r="X62" i="25"/>
  <c r="T62" i="25"/>
  <c r="N3" i="25"/>
  <c r="W54" i="14"/>
  <c r="R64" i="25" l="1"/>
  <c r="X64" i="25" s="1"/>
  <c r="H65" i="25"/>
  <c r="X63" i="25"/>
  <c r="R65" i="25" l="1"/>
  <c r="H66" i="25"/>
  <c r="R66" i="25" l="1"/>
  <c r="X66" i="25" s="1"/>
  <c r="H67" i="25"/>
  <c r="X65" i="25"/>
  <c r="R67" i="25" l="1"/>
  <c r="H68" i="25"/>
  <c r="R68" i="25" l="1"/>
  <c r="X68" i="25" s="1"/>
  <c r="H69" i="25"/>
  <c r="X67" i="25"/>
  <c r="R69" i="25" l="1"/>
  <c r="H70" i="25"/>
  <c r="X69" i="25" l="1"/>
  <c r="R70" i="25"/>
  <c r="X70" i="25" s="1"/>
  <c r="H71" i="25"/>
  <c r="R71" i="25" l="1"/>
  <c r="X71" i="25" s="1"/>
  <c r="H72" i="25"/>
  <c r="R72" i="25" s="1"/>
  <c r="X72" i="25" s="1"/>
  <c r="N6" i="25" l="1"/>
  <c r="U233" i="45"/>
  <c r="Z233" i="45" s="1"/>
  <c r="U227" i="45"/>
  <c r="Z227" i="45" s="1"/>
  <c r="Q37" i="14" s="1"/>
  <c r="U205" i="45"/>
  <c r="Z205" i="45" s="1"/>
  <c r="U203" i="45"/>
  <c r="Z203" i="45" s="1"/>
  <c r="Q13" i="14" s="1"/>
  <c r="U221" i="45"/>
  <c r="Z221" i="45" s="1"/>
  <c r="U228" i="45"/>
  <c r="Z228" i="45" s="1"/>
  <c r="Q38" i="14" s="1"/>
  <c r="U214" i="45"/>
  <c r="Z214" i="45" s="1"/>
  <c r="U208" i="45"/>
  <c r="Z208" i="45" s="1"/>
  <c r="Q18" i="14" s="1"/>
  <c r="U197" i="45"/>
  <c r="Z197" i="45" s="1"/>
  <c r="U215" i="45"/>
  <c r="Z215" i="45" s="1"/>
  <c r="Q25" i="14" s="1"/>
  <c r="U235" i="45"/>
  <c r="Z235" i="45" s="1"/>
  <c r="U240" i="45"/>
  <c r="Z240" i="45" s="1"/>
  <c r="Q50" i="14" s="1"/>
  <c r="U204" i="45"/>
  <c r="Z204" i="45" s="1"/>
  <c r="U216" i="45"/>
  <c r="Z216" i="45" s="1"/>
  <c r="Q26" i="14" s="1"/>
  <c r="U232" i="45"/>
  <c r="Z232" i="45" s="1"/>
  <c r="U220" i="45"/>
  <c r="Z220" i="45" s="1"/>
  <c r="Q30" i="14" s="1"/>
  <c r="U198" i="45"/>
  <c r="Z198" i="45" s="1"/>
  <c r="U234" i="45"/>
  <c r="Z234" i="45" s="1"/>
  <c r="Q44" i="14" s="1"/>
  <c r="U223" i="45"/>
  <c r="Z223" i="45" s="1"/>
  <c r="U201" i="45"/>
  <c r="Z201" i="45" s="1"/>
  <c r="Q11" i="14" s="1"/>
  <c r="U231" i="45"/>
  <c r="Z231" i="45" s="1"/>
  <c r="U211" i="45"/>
  <c r="Z211" i="45" s="1"/>
  <c r="Q21" i="14" s="1"/>
  <c r="U199" i="45"/>
  <c r="Z199" i="45" s="1"/>
  <c r="U224" i="45"/>
  <c r="Z224" i="45" s="1"/>
  <c r="Q34" i="14" s="1"/>
  <c r="U206" i="45"/>
  <c r="Z206" i="45" s="1"/>
  <c r="U217" i="45"/>
  <c r="Z217" i="45" s="1"/>
  <c r="Q27" i="14" s="1"/>
  <c r="U213" i="45"/>
  <c r="Z213" i="45" s="1"/>
  <c r="U219" i="45"/>
  <c r="Z219" i="45" s="1"/>
  <c r="Q29" i="14" s="1"/>
  <c r="U195" i="45"/>
  <c r="Z195" i="45" s="1"/>
  <c r="U225" i="45"/>
  <c r="Z225" i="45" s="1"/>
  <c r="Q35" i="14" s="1"/>
  <c r="U218" i="45"/>
  <c r="Z218" i="45" s="1"/>
  <c r="U200" i="45"/>
  <c r="Z200" i="45" s="1"/>
  <c r="U226" i="45"/>
  <c r="Z226" i="45" s="1"/>
  <c r="U209" i="45"/>
  <c r="Z209" i="45" s="1"/>
  <c r="U196" i="45"/>
  <c r="Z196" i="45" s="1"/>
  <c r="U239" i="45"/>
  <c r="Z239" i="45" s="1"/>
  <c r="U210" i="45"/>
  <c r="Z210" i="45" s="1"/>
  <c r="U212" i="45"/>
  <c r="Z212" i="45" s="1"/>
  <c r="U222" i="45"/>
  <c r="Z222" i="45" s="1"/>
  <c r="U202" i="45"/>
  <c r="Z202" i="45" s="1"/>
  <c r="U230" i="45"/>
  <c r="Z230" i="45" s="1"/>
  <c r="U238" i="45"/>
  <c r="Z238" i="45" s="1"/>
  <c r="U236" i="45"/>
  <c r="Z236" i="45" s="1"/>
  <c r="U207" i="45"/>
  <c r="Z207" i="45" s="1"/>
  <c r="U237" i="45"/>
  <c r="Z237" i="45" s="1"/>
  <c r="U229" i="45"/>
  <c r="Z229" i="45" s="1"/>
  <c r="AJ199" i="45" l="1"/>
  <c r="Q9" i="14"/>
  <c r="AF210" i="45"/>
  <c r="Q20" i="14"/>
  <c r="AJ236" i="45"/>
  <c r="Q46" i="14"/>
  <c r="AJ196" i="45"/>
  <c r="Q6" i="14"/>
  <c r="AF195" i="45"/>
  <c r="Q5" i="14"/>
  <c r="AJ197" i="45"/>
  <c r="Q7" i="14"/>
  <c r="AJ237" i="45"/>
  <c r="Q47" i="14"/>
  <c r="AJ232" i="45"/>
  <c r="Q42" i="14"/>
  <c r="AF222" i="45"/>
  <c r="Q32" i="14"/>
  <c r="AJ218" i="45"/>
  <c r="Q28" i="14"/>
  <c r="AF230" i="45"/>
  <c r="Q40" i="14"/>
  <c r="AJ226" i="45"/>
  <c r="Q36" i="14"/>
  <c r="AJ198" i="45"/>
  <c r="Q8" i="14"/>
  <c r="AJ205" i="45"/>
  <c r="Q15" i="14"/>
  <c r="AJ223" i="45"/>
  <c r="Q33" i="14"/>
  <c r="AF207" i="45"/>
  <c r="Q17" i="14"/>
  <c r="AF212" i="45"/>
  <c r="Q22" i="14"/>
  <c r="AJ200" i="45"/>
  <c r="Q10" i="14"/>
  <c r="AJ213" i="45"/>
  <c r="Q23" i="14"/>
  <c r="AJ204" i="45"/>
  <c r="Q14" i="14"/>
  <c r="AJ214" i="45"/>
  <c r="Q24" i="14"/>
  <c r="AJ233" i="45"/>
  <c r="Q43" i="14"/>
  <c r="AJ235" i="45"/>
  <c r="Q45" i="14"/>
  <c r="AJ221" i="45"/>
  <c r="Q31" i="14"/>
  <c r="AJ229" i="45"/>
  <c r="Q39" i="14"/>
  <c r="AJ238" i="45"/>
  <c r="Q48" i="14"/>
  <c r="AJ239" i="45"/>
  <c r="Q49" i="14"/>
  <c r="AF209" i="45"/>
  <c r="Q19" i="14"/>
  <c r="AJ231" i="45"/>
  <c r="Q41" i="14"/>
  <c r="AJ206" i="45"/>
  <c r="Q16" i="14"/>
  <c r="AJ202" i="45"/>
  <c r="Q12" i="14"/>
  <c r="AF203" i="45"/>
  <c r="AJ203" i="45"/>
  <c r="AJ225" i="45"/>
  <c r="AF225" i="45"/>
  <c r="AF208" i="45"/>
  <c r="AJ208" i="45"/>
  <c r="AF215" i="45"/>
  <c r="AJ215" i="45"/>
  <c r="AF211" i="45"/>
  <c r="AJ211" i="45"/>
  <c r="AF228" i="45"/>
  <c r="AJ228" i="45"/>
  <c r="AF217" i="45"/>
  <c r="AJ217" i="45"/>
  <c r="AF201" i="45"/>
  <c r="AJ201" i="45"/>
  <c r="AF216" i="45"/>
  <c r="AJ216" i="45"/>
  <c r="AF224" i="45"/>
  <c r="AJ224" i="45"/>
  <c r="AF234" i="45"/>
  <c r="AJ234" i="45"/>
  <c r="AF227" i="45"/>
  <c r="AJ227" i="45"/>
  <c r="AJ219" i="45"/>
  <c r="AF219" i="45"/>
  <c r="AJ240" i="45"/>
  <c r="AF240" i="45"/>
  <c r="AF220" i="45"/>
  <c r="AJ220" i="45"/>
  <c r="AF237" i="45"/>
  <c r="AJ230" i="45"/>
  <c r="AJ222" i="45"/>
  <c r="AJ210" i="45"/>
  <c r="AF196" i="45"/>
  <c r="AF226" i="45"/>
  <c r="AF218" i="45"/>
  <c r="AJ195" i="45"/>
  <c r="AF213" i="45"/>
  <c r="AF206" i="45"/>
  <c r="AF199" i="45"/>
  <c r="AF231" i="45"/>
  <c r="AF223" i="45"/>
  <c r="AF198" i="45"/>
  <c r="AF232" i="45"/>
  <c r="AF204" i="45"/>
  <c r="AF235" i="45"/>
  <c r="AF197" i="45"/>
  <c r="AF214" i="45"/>
  <c r="AF221" i="45"/>
  <c r="AF205" i="45"/>
  <c r="AF233" i="45"/>
  <c r="AF236" i="45"/>
  <c r="AF229" i="45"/>
  <c r="AJ207" i="45"/>
  <c r="AF238" i="45"/>
  <c r="AF202" i="45"/>
  <c r="AJ212" i="45"/>
  <c r="AF239" i="45"/>
  <c r="AJ209" i="45"/>
  <c r="AF200" i="45"/>
  <c r="O8" i="45"/>
  <c r="O12" i="45" s="1"/>
  <c r="N8" i="45"/>
  <c r="N12" i="45" s="1"/>
  <c r="U240" i="50"/>
  <c r="Z240" i="50" s="1"/>
  <c r="U216" i="50"/>
  <c r="Z216" i="50" s="1"/>
  <c r="AF26" i="14" s="1"/>
  <c r="U208" i="50"/>
  <c r="Z208" i="50" s="1"/>
  <c r="AF208" i="50" s="1"/>
  <c r="U215" i="50"/>
  <c r="Z215" i="50" s="1"/>
  <c r="AF25" i="14" s="1"/>
  <c r="U224" i="50"/>
  <c r="Z224" i="50" s="1"/>
  <c r="U198" i="50"/>
  <c r="Z198" i="50" s="1"/>
  <c r="AF8" i="14" s="1"/>
  <c r="U205" i="50"/>
  <c r="Z205" i="50" s="1"/>
  <c r="AJ205" i="50" s="1"/>
  <c r="U199" i="50"/>
  <c r="Z199" i="50" s="1"/>
  <c r="AF9" i="14" s="1"/>
  <c r="U239" i="50"/>
  <c r="Z239" i="50" s="1"/>
  <c r="U201" i="50"/>
  <c r="Z201" i="50" s="1"/>
  <c r="AF11" i="14" s="1"/>
  <c r="U206" i="50"/>
  <c r="Z206" i="50" s="1"/>
  <c r="AF206" i="50" s="1"/>
  <c r="U220" i="50"/>
  <c r="Z220" i="50" s="1"/>
  <c r="AF30" i="14" s="1"/>
  <c r="U223" i="50"/>
  <c r="Z223" i="50" s="1"/>
  <c r="U226" i="50"/>
  <c r="Z226" i="50" s="1"/>
  <c r="AF36" i="14" s="1"/>
  <c r="U227" i="50"/>
  <c r="Z227" i="50" s="1"/>
  <c r="U213" i="50"/>
  <c r="Z213" i="50" s="1"/>
  <c r="AF23" i="14" s="1"/>
  <c r="U202" i="50"/>
  <c r="Z202" i="50" s="1"/>
  <c r="AF12" i="14" s="1"/>
  <c r="U229" i="50"/>
  <c r="Z229" i="50" s="1"/>
  <c r="AF39" i="14" s="1"/>
  <c r="U210" i="50"/>
  <c r="Z210" i="50" s="1"/>
  <c r="AF20" i="14" s="1"/>
  <c r="U197" i="50"/>
  <c r="Z197" i="50" s="1"/>
  <c r="AF7" i="14" s="1"/>
  <c r="U212" i="50"/>
  <c r="Z212" i="50" s="1"/>
  <c r="U218" i="50"/>
  <c r="Z218" i="50" s="1"/>
  <c r="AF28" i="14" s="1"/>
  <c r="U217" i="50"/>
  <c r="Z217" i="50" s="1"/>
  <c r="AF27" i="14" s="1"/>
  <c r="U234" i="50"/>
  <c r="Z234" i="50" s="1"/>
  <c r="AF44" i="14" s="1"/>
  <c r="U232" i="50"/>
  <c r="Z232" i="50" s="1"/>
  <c r="AF42" i="14" s="1"/>
  <c r="U235" i="50"/>
  <c r="Z235" i="50" s="1"/>
  <c r="AF45" i="14" s="1"/>
  <c r="U214" i="50"/>
  <c r="Z214" i="50" s="1"/>
  <c r="AF24" i="14" s="1"/>
  <c r="U196" i="50"/>
  <c r="Z196" i="50" s="1"/>
  <c r="AF6" i="14" s="1"/>
  <c r="U228" i="50"/>
  <c r="Z228" i="50" s="1"/>
  <c r="AF38" i="14" s="1"/>
  <c r="U209" i="50"/>
  <c r="Z209" i="50" s="1"/>
  <c r="AF19" i="14" s="1"/>
  <c r="U230" i="50"/>
  <c r="Z230" i="50" s="1"/>
  <c r="AF40" i="14" s="1"/>
  <c r="U222" i="50"/>
  <c r="Z222" i="50" s="1"/>
  <c r="AF32" i="14" s="1"/>
  <c r="U203" i="50"/>
  <c r="Z203" i="50" s="1"/>
  <c r="AF13" i="14" s="1"/>
  <c r="U236" i="50"/>
  <c r="Z236" i="50" s="1"/>
  <c r="AF46" i="14" s="1"/>
  <c r="U204" i="50"/>
  <c r="Z204" i="50" s="1"/>
  <c r="AF14" i="14" s="1"/>
  <c r="U219" i="50"/>
  <c r="Z219" i="50" s="1"/>
  <c r="AF29" i="14" s="1"/>
  <c r="U237" i="50"/>
  <c r="Z237" i="50" s="1"/>
  <c r="AF47" i="14" s="1"/>
  <c r="U195" i="50"/>
  <c r="Z195" i="50" s="1"/>
  <c r="AF5" i="14" s="1"/>
  <c r="U225" i="50"/>
  <c r="Z225" i="50" s="1"/>
  <c r="AF35" i="14" s="1"/>
  <c r="U221" i="50"/>
  <c r="Z221" i="50" s="1"/>
  <c r="AF31" i="14" s="1"/>
  <c r="U211" i="50"/>
  <c r="Z211" i="50" s="1"/>
  <c r="AF21" i="14" s="1"/>
  <c r="U233" i="50"/>
  <c r="Z233" i="50" s="1"/>
  <c r="AF43" i="14" s="1"/>
  <c r="U207" i="50"/>
  <c r="Z207" i="50" s="1"/>
  <c r="AF17" i="14" s="1"/>
  <c r="U200" i="50"/>
  <c r="Z200" i="50" s="1"/>
  <c r="AF10" i="14" s="1"/>
  <c r="U238" i="50"/>
  <c r="Z238" i="50" s="1"/>
  <c r="AF48" i="14" s="1"/>
  <c r="U231" i="50"/>
  <c r="Z231" i="50" s="1"/>
  <c r="AF41" i="14" s="1"/>
  <c r="AF37" i="14" l="1"/>
  <c r="AJ227" i="50"/>
  <c r="AF22" i="14"/>
  <c r="B22" i="14" s="1"/>
  <c r="J156" i="14" s="1"/>
  <c r="K156" i="14" s="1"/>
  <c r="AF212" i="50"/>
  <c r="AJ212" i="50"/>
  <c r="Q53" i="14"/>
  <c r="P66" i="14" s="1"/>
  <c r="Q54" i="14"/>
  <c r="AJ239" i="50"/>
  <c r="AF49" i="14"/>
  <c r="AF239" i="50"/>
  <c r="AF240" i="50"/>
  <c r="AF50" i="14"/>
  <c r="AJ240" i="50"/>
  <c r="AF224" i="50"/>
  <c r="AF34" i="14"/>
  <c r="AJ224" i="50"/>
  <c r="AJ223" i="50"/>
  <c r="AF33" i="14"/>
  <c r="AF223" i="50"/>
  <c r="B13" i="14"/>
  <c r="J147" i="14" s="1"/>
  <c r="K147" i="14" s="1"/>
  <c r="D13" i="14"/>
  <c r="E81" i="14" s="1"/>
  <c r="D23" i="14"/>
  <c r="E91" i="14" s="1"/>
  <c r="B23" i="14"/>
  <c r="J157" i="14" s="1"/>
  <c r="K157" i="14" s="1"/>
  <c r="D7" i="14"/>
  <c r="E75" i="14" s="1"/>
  <c r="B7" i="14"/>
  <c r="J141" i="14" s="1"/>
  <c r="K141" i="14" s="1"/>
  <c r="B31" i="14"/>
  <c r="J165" i="14" s="1"/>
  <c r="K165" i="14" s="1"/>
  <c r="D31" i="14"/>
  <c r="E99" i="14" s="1"/>
  <c r="D37" i="14"/>
  <c r="E105" i="14" s="1"/>
  <c r="B37" i="14"/>
  <c r="J171" i="14" s="1"/>
  <c r="K171" i="14" s="1"/>
  <c r="B45" i="14"/>
  <c r="J179" i="14" s="1"/>
  <c r="K179" i="14" s="1"/>
  <c r="D45" i="14"/>
  <c r="E113" i="14" s="1"/>
  <c r="D9" i="14"/>
  <c r="E77" i="14" s="1"/>
  <c r="B9" i="14"/>
  <c r="J143" i="14" s="1"/>
  <c r="K143" i="14" s="1"/>
  <c r="B20" i="14"/>
  <c r="J154" i="14" s="1"/>
  <c r="K154" i="14" s="1"/>
  <c r="D20" i="14"/>
  <c r="E88" i="14" s="1"/>
  <c r="B35" i="14"/>
  <c r="J169" i="14" s="1"/>
  <c r="K169" i="14" s="1"/>
  <c r="D35" i="14"/>
  <c r="E103" i="14" s="1"/>
  <c r="D40" i="14"/>
  <c r="E108" i="14" s="1"/>
  <c r="B40" i="14"/>
  <c r="J174" i="14" s="1"/>
  <c r="K174" i="14" s="1"/>
  <c r="B27" i="14"/>
  <c r="J161" i="14" s="1"/>
  <c r="K161" i="14" s="1"/>
  <c r="D27" i="14"/>
  <c r="E95" i="14" s="1"/>
  <c r="D39" i="14"/>
  <c r="E107" i="14" s="1"/>
  <c r="B39" i="14"/>
  <c r="J173" i="14" s="1"/>
  <c r="K173" i="14" s="1"/>
  <c r="AJ206" i="50"/>
  <c r="AF16" i="14"/>
  <c r="AF205" i="50"/>
  <c r="AF15" i="14"/>
  <c r="AJ208" i="50"/>
  <c r="AF18" i="14"/>
  <c r="B28" i="14"/>
  <c r="J162" i="14" s="1"/>
  <c r="K162" i="14" s="1"/>
  <c r="D28" i="14"/>
  <c r="E96" i="14" s="1"/>
  <c r="AJ202" i="50"/>
  <c r="AF227" i="50"/>
  <c r="B42" i="14"/>
  <c r="J176" i="14" s="1"/>
  <c r="K176" i="14" s="1"/>
  <c r="D42" i="14"/>
  <c r="E110" i="14" s="1"/>
  <c r="D25" i="14"/>
  <c r="E93" i="14" s="1"/>
  <c r="B25" i="14"/>
  <c r="J159" i="14" s="1"/>
  <c r="K159" i="14" s="1"/>
  <c r="B41" i="14"/>
  <c r="J175" i="14" s="1"/>
  <c r="K175" i="14" s="1"/>
  <c r="D41" i="14"/>
  <c r="E109" i="14" s="1"/>
  <c r="B48" i="14"/>
  <c r="J182" i="14" s="1"/>
  <c r="K182" i="14" s="1"/>
  <c r="D48" i="14"/>
  <c r="E116" i="14" s="1"/>
  <c r="D36" i="14"/>
  <c r="E104" i="14" s="1"/>
  <c r="B36" i="14"/>
  <c r="J170" i="14" s="1"/>
  <c r="K170" i="14" s="1"/>
  <c r="B11" i="14"/>
  <c r="J145" i="14" s="1"/>
  <c r="K145" i="14" s="1"/>
  <c r="D11" i="14"/>
  <c r="E79" i="14" s="1"/>
  <c r="B8" i="14"/>
  <c r="J142" i="14" s="1"/>
  <c r="K142" i="14" s="1"/>
  <c r="D8" i="14"/>
  <c r="E76" i="14" s="1"/>
  <c r="B26" i="14"/>
  <c r="J160" i="14" s="1"/>
  <c r="K160" i="14" s="1"/>
  <c r="D26" i="14"/>
  <c r="E94" i="14" s="1"/>
  <c r="B46" i="14"/>
  <c r="J180" i="14" s="1"/>
  <c r="K180" i="14" s="1"/>
  <c r="D46" i="14"/>
  <c r="E114" i="14" s="1"/>
  <c r="D21" i="14"/>
  <c r="E89" i="14" s="1"/>
  <c r="B21" i="14"/>
  <c r="J155" i="14" s="1"/>
  <c r="K155" i="14" s="1"/>
  <c r="D32" i="14"/>
  <c r="E100" i="14" s="1"/>
  <c r="B32" i="14"/>
  <c r="J166" i="14" s="1"/>
  <c r="K166" i="14" s="1"/>
  <c r="B5" i="14"/>
  <c r="D5" i="14"/>
  <c r="D38" i="14"/>
  <c r="E106" i="14" s="1"/>
  <c r="B38" i="14"/>
  <c r="J172" i="14" s="1"/>
  <c r="K172" i="14" s="1"/>
  <c r="B10" i="14"/>
  <c r="D10" i="14"/>
  <c r="B29" i="14"/>
  <c r="J163" i="14" s="1"/>
  <c r="K163" i="14" s="1"/>
  <c r="D29" i="14"/>
  <c r="E97" i="14" s="1"/>
  <c r="B6" i="14"/>
  <c r="J140" i="14" s="1"/>
  <c r="K140" i="14" s="1"/>
  <c r="D6" i="14"/>
  <c r="E74" i="14" s="1"/>
  <c r="D22" i="14"/>
  <c r="E90" i="14" s="1"/>
  <c r="B43" i="14"/>
  <c r="J177" i="14" s="1"/>
  <c r="K177" i="14" s="1"/>
  <c r="D43" i="14"/>
  <c r="E111" i="14" s="1"/>
  <c r="B30" i="14"/>
  <c r="J164" i="14" s="1"/>
  <c r="K164" i="14" s="1"/>
  <c r="D30" i="14"/>
  <c r="E98" i="14" s="1"/>
  <c r="B44" i="14"/>
  <c r="J178" i="14" s="1"/>
  <c r="K178" i="14" s="1"/>
  <c r="D44" i="14"/>
  <c r="E112" i="14" s="1"/>
  <c r="B19" i="14"/>
  <c r="J153" i="14" s="1"/>
  <c r="K153" i="14" s="1"/>
  <c r="D19" i="14"/>
  <c r="E87" i="14" s="1"/>
  <c r="B47" i="14"/>
  <c r="J181" i="14" s="1"/>
  <c r="K181" i="14" s="1"/>
  <c r="D47" i="14"/>
  <c r="E115" i="14" s="1"/>
  <c r="D12" i="14"/>
  <c r="E80" i="14" s="1"/>
  <c r="B12" i="14"/>
  <c r="J146" i="14" s="1"/>
  <c r="K146" i="14" s="1"/>
  <c r="D17" i="14"/>
  <c r="E85" i="14" s="1"/>
  <c r="B17" i="14"/>
  <c r="J151" i="14" s="1"/>
  <c r="K151" i="14" s="1"/>
  <c r="D14" i="14"/>
  <c r="E82" i="14" s="1"/>
  <c r="B14" i="14"/>
  <c r="J148" i="14" s="1"/>
  <c r="K148" i="14" s="1"/>
  <c r="D24" i="14"/>
  <c r="E92" i="14" s="1"/>
  <c r="B24" i="14"/>
  <c r="J158" i="14" s="1"/>
  <c r="K158" i="14" s="1"/>
  <c r="AF202" i="50"/>
  <c r="AJ211" i="50"/>
  <c r="AF211" i="50"/>
  <c r="AJ213" i="50"/>
  <c r="AF213" i="50"/>
  <c r="AJ203" i="50"/>
  <c r="AF203" i="50"/>
  <c r="AF217" i="50"/>
  <c r="AJ217" i="50"/>
  <c r="AF197" i="50"/>
  <c r="AJ197" i="50"/>
  <c r="AJ221" i="50"/>
  <c r="AF221" i="50"/>
  <c r="AF234" i="50"/>
  <c r="AJ234" i="50"/>
  <c r="AF225" i="50"/>
  <c r="AJ225" i="50"/>
  <c r="AJ229" i="50"/>
  <c r="AF229" i="50"/>
  <c r="AJ218" i="50"/>
  <c r="AF218" i="50"/>
  <c r="AF236" i="50"/>
  <c r="AJ236" i="50"/>
  <c r="AJ220" i="50"/>
  <c r="AF220" i="50"/>
  <c r="AJ222" i="50"/>
  <c r="AF222" i="50"/>
  <c r="AF230" i="50"/>
  <c r="AJ230" i="50"/>
  <c r="AF228" i="50"/>
  <c r="AJ228" i="50"/>
  <c r="AF201" i="50"/>
  <c r="AJ201" i="50"/>
  <c r="AJ216" i="50"/>
  <c r="AF216" i="50"/>
  <c r="AF233" i="50"/>
  <c r="AJ233" i="50"/>
  <c r="AF232" i="50"/>
  <c r="AJ232" i="50"/>
  <c r="AF215" i="50"/>
  <c r="AJ215" i="50"/>
  <c r="AJ231" i="50"/>
  <c r="AF231" i="50"/>
  <c r="AJ209" i="50"/>
  <c r="AF209" i="50"/>
  <c r="AJ238" i="50"/>
  <c r="AF238" i="50"/>
  <c r="N8" i="50"/>
  <c r="N12" i="50" s="1"/>
  <c r="AF200" i="50"/>
  <c r="AJ200" i="50"/>
  <c r="AJ219" i="50"/>
  <c r="AF219" i="50"/>
  <c r="AJ196" i="50"/>
  <c r="AF196" i="50"/>
  <c r="AJ235" i="50"/>
  <c r="AF235" i="50"/>
  <c r="AF199" i="50"/>
  <c r="AJ199" i="50"/>
  <c r="AF210" i="50"/>
  <c r="AJ210" i="50"/>
  <c r="O8" i="50"/>
  <c r="O12" i="50" s="1"/>
  <c r="AF195" i="50"/>
  <c r="AJ195" i="50"/>
  <c r="AF237" i="50"/>
  <c r="AJ237" i="50"/>
  <c r="AJ226" i="50"/>
  <c r="AF226" i="50"/>
  <c r="AF198" i="50"/>
  <c r="AJ198" i="50"/>
  <c r="AF207" i="50"/>
  <c r="AJ207" i="50"/>
  <c r="AJ204" i="50"/>
  <c r="AF204" i="50"/>
  <c r="AJ214" i="50"/>
  <c r="AF214" i="50"/>
  <c r="AF54" i="14" l="1"/>
  <c r="AF53" i="14"/>
  <c r="D15" i="14"/>
  <c r="E83" i="14" s="1"/>
  <c r="B15" i="14"/>
  <c r="J149" i="14" s="1"/>
  <c r="K149" i="14" s="1"/>
  <c r="D34" i="14"/>
  <c r="E102" i="14" s="1"/>
  <c r="B34" i="14"/>
  <c r="J168" i="14" s="1"/>
  <c r="K168" i="14" s="1"/>
  <c r="E73" i="14"/>
  <c r="I73" i="14"/>
  <c r="I74" i="14" s="1"/>
  <c r="I75" i="14" s="1"/>
  <c r="I76" i="14" s="1"/>
  <c r="I77" i="14" s="1"/>
  <c r="I78" i="14" s="1"/>
  <c r="I79" i="14" s="1"/>
  <c r="I80" i="14" s="1"/>
  <c r="I81" i="14" s="1"/>
  <c r="I82" i="14" s="1"/>
  <c r="I83" i="14" s="1"/>
  <c r="J139" i="14"/>
  <c r="K139" i="14" s="1"/>
  <c r="B16" i="14"/>
  <c r="J150" i="14" s="1"/>
  <c r="K150" i="14" s="1"/>
  <c r="D16" i="14"/>
  <c r="E84" i="14" s="1"/>
  <c r="D50" i="14"/>
  <c r="E118" i="14" s="1"/>
  <c r="B50" i="14"/>
  <c r="J184" i="14" s="1"/>
  <c r="K184" i="14" s="1"/>
  <c r="E78" i="14"/>
  <c r="J144" i="14"/>
  <c r="K144" i="14" s="1"/>
  <c r="B33" i="14"/>
  <c r="J167" i="14" s="1"/>
  <c r="K167" i="14" s="1"/>
  <c r="D33" i="14"/>
  <c r="E101" i="14" s="1"/>
  <c r="D18" i="14"/>
  <c r="E86" i="14" s="1"/>
  <c r="B18" i="14"/>
  <c r="J152" i="14" s="1"/>
  <c r="K152" i="14" s="1"/>
  <c r="D49" i="14"/>
  <c r="E117" i="14" s="1"/>
  <c r="B49" i="14"/>
  <c r="J183" i="14" s="1"/>
  <c r="K183" i="14" s="1"/>
  <c r="D53" i="14" l="1"/>
  <c r="D54" i="14"/>
  <c r="I84" i="14"/>
  <c r="I85" i="14" s="1"/>
  <c r="I86" i="14" s="1"/>
  <c r="I87" i="14" s="1"/>
  <c r="I88" i="14" s="1"/>
  <c r="I89" i="14" s="1"/>
  <c r="I90" i="14" s="1"/>
  <c r="I91" i="14" s="1"/>
  <c r="I92" i="14" s="1"/>
  <c r="I93" i="14" s="1"/>
  <c r="I94" i="14" s="1"/>
  <c r="I95" i="14" s="1"/>
  <c r="I96" i="14" s="1"/>
  <c r="I97" i="14" s="1"/>
  <c r="I98" i="14" s="1"/>
  <c r="I99" i="14" s="1"/>
  <c r="I100" i="14" s="1"/>
  <c r="I101" i="14" s="1"/>
  <c r="I102" i="14" s="1"/>
  <c r="I103" i="14" s="1"/>
  <c r="I104" i="14" s="1"/>
  <c r="I105" i="14" s="1"/>
  <c r="I106" i="14" s="1"/>
  <c r="I107" i="14" s="1"/>
  <c r="I108" i="14" s="1"/>
  <c r="I109" i="14" s="1"/>
  <c r="I110" i="14" s="1"/>
  <c r="I111" i="14" s="1"/>
  <c r="I112" i="14" s="1"/>
  <c r="I113" i="14" s="1"/>
  <c r="I114" i="14" s="1"/>
  <c r="I115" i="14" s="1"/>
  <c r="I116" i="14" s="1"/>
  <c r="I117" i="14" s="1"/>
  <c r="I118" i="14" s="1"/>
  <c r="E121" i="14"/>
  <c r="B53" i="14"/>
  <c r="B54" i="14"/>
  <c r="E55" i="14" l="1"/>
  <c r="C66" i="14"/>
  <c r="C55" i="14"/>
  <c r="D55" i="14"/>
  <c r="E129" i="14"/>
</calcChain>
</file>

<file path=xl/comments1.xml><?xml version="1.0" encoding="utf-8"?>
<comments xmlns="http://schemas.openxmlformats.org/spreadsheetml/2006/main">
  <authors>
    <author>Microsoft Office User</author>
  </authors>
  <commentList>
    <comment ref="I1" authorId="0" shapeId="0">
      <text>
        <r>
          <rPr>
            <b/>
            <sz val="10"/>
            <color rgb="FF000000"/>
            <rFont val="Tahoma"/>
            <family val="2"/>
          </rPr>
          <t xml:space="preserve">Chad Frischmann:
</t>
        </r>
        <r>
          <rPr>
            <sz val="10"/>
            <color rgb="FF000000"/>
            <rFont val="Tahoma"/>
            <family val="2"/>
          </rPr>
          <t xml:space="preserve">Adjustment is required due to building TAMs that use the grid. To avoid </t>
        </r>
        <r>
          <rPr>
            <b/>
            <sz val="10"/>
            <color rgb="FF000000"/>
            <rFont val="Tahoma"/>
            <family val="2"/>
          </rPr>
          <t>double counting</t>
        </r>
        <r>
          <rPr>
            <sz val="10"/>
            <color rgb="FF000000"/>
            <rFont val="Tahoma"/>
            <family val="2"/>
          </rPr>
          <t xml:space="preserve">, and adjustment is made on electricity sector.
</t>
        </r>
        <r>
          <rPr>
            <sz val="10"/>
            <color rgb="FF000000"/>
            <rFont val="Tahoma"/>
            <family val="2"/>
          </rPr>
          <t xml:space="preserve">
</t>
        </r>
      </text>
    </comment>
    <comment ref="J1" authorId="0" shapeId="0">
      <text>
        <r>
          <rPr>
            <b/>
            <sz val="18"/>
            <color rgb="FF000000"/>
            <rFont val="Calibri"/>
            <family val="2"/>
          </rPr>
          <t>Chad Frischmann:</t>
        </r>
        <r>
          <rPr>
            <sz val="10"/>
            <color rgb="FF000000"/>
            <rFont val="Calibri"/>
            <family val="2"/>
          </rPr>
          <t xml:space="preserve">
</t>
        </r>
        <r>
          <rPr>
            <sz val="18"/>
            <color rgb="FF000000"/>
            <rFont val="Calibri"/>
            <family val="2"/>
          </rPr>
          <t xml:space="preserve">Adjustment is required due to building TAMs that use the grid. To avoid </t>
        </r>
        <r>
          <rPr>
            <b/>
            <sz val="18"/>
            <color rgb="FF000000"/>
            <rFont val="Calibri"/>
            <family val="2"/>
          </rPr>
          <t>double counting</t>
        </r>
        <r>
          <rPr>
            <sz val="18"/>
            <color rgb="FF000000"/>
            <rFont val="Calibri"/>
            <family val="2"/>
          </rPr>
          <t>, and adjustment is made on electricity sector.</t>
        </r>
        <r>
          <rPr>
            <sz val="10"/>
            <color rgb="FF000000"/>
            <rFont val="Calibri"/>
            <family val="2"/>
          </rPr>
          <t xml:space="preserve">
</t>
        </r>
      </text>
    </comment>
  </commentList>
</comments>
</file>

<file path=xl/comments2.xml><?xml version="1.0" encoding="utf-8"?>
<comments xmlns="http://schemas.openxmlformats.org/spreadsheetml/2006/main">
  <authors>
    <author>user</author>
    <author>Furness</author>
    <author>Chad Drawdown</author>
  </authors>
  <commentList>
    <comment ref="X11" authorId="0" shapeId="0">
      <text>
        <r>
          <rPr>
            <b/>
            <sz val="11"/>
            <color indexed="81"/>
            <rFont val="Times New Roman"/>
            <family val="1"/>
          </rPr>
          <t>NOTE:</t>
        </r>
        <r>
          <rPr>
            <sz val="11"/>
            <color indexed="81"/>
            <rFont val="Times New Roman"/>
            <family val="1"/>
          </rPr>
          <t xml:space="preserve">
It is possible to find country-specific or region specific values for NCV and carbon contents which would be more accurate then relying on default IPCC Efs for CO2. For e.g. The IEA CO2 emissions from fuel combustion estimates are based on the IEA energy balances, computed using time-varying country-specific NCVs.</t>
        </r>
      </text>
    </comment>
    <comment ref="X20" authorId="1" shapeId="0">
      <text>
        <r>
          <rPr>
            <b/>
            <sz val="11"/>
            <color indexed="81"/>
            <rFont val="Times New Roman"/>
            <family val="1"/>
          </rPr>
          <t>NOTE:</t>
        </r>
        <r>
          <rPr>
            <sz val="11"/>
            <color indexed="81"/>
            <rFont val="Times New Roman"/>
            <family val="1"/>
          </rPr>
          <t xml:space="preserve">
For fuel Usage Emissions calculations. If CONV and SOL fuel differ in units this is used to convert them.</t>
        </r>
      </text>
    </comment>
    <comment ref="Z20" authorId="1" shapeId="0">
      <text>
        <r>
          <rPr>
            <b/>
            <sz val="11"/>
            <color indexed="81"/>
            <rFont val="Times New Roman"/>
            <family val="1"/>
          </rPr>
          <t>NOTE:</t>
        </r>
        <r>
          <rPr>
            <sz val="11"/>
            <color indexed="81"/>
            <rFont val="Times New Roman"/>
            <family val="1"/>
          </rPr>
          <t xml:space="preserve">
Used for Calculating the Energy Use Change. Always in TJ.</t>
        </r>
      </text>
    </comment>
    <comment ref="AA20" authorId="0" shapeId="0">
      <text>
        <r>
          <rPr>
            <b/>
            <sz val="11"/>
            <color indexed="81"/>
            <rFont val="Times New Roman"/>
            <family val="1"/>
          </rPr>
          <t>NOTE:</t>
        </r>
        <r>
          <rPr>
            <sz val="11"/>
            <color indexed="81"/>
            <rFont val="Times New Roman"/>
            <family val="1"/>
          </rPr>
          <t xml:space="preserve">
This table will be used  when we estimate emissions in tCO2-eq in which case GWP values will be multipled with activity data on emissions of CH4 and N2O. </t>
        </r>
      </text>
    </comment>
    <comment ref="AB20" authorId="0" shapeId="0">
      <text>
        <r>
          <rPr>
            <b/>
            <sz val="11"/>
            <color indexed="81"/>
            <rFont val="Times New Roman"/>
            <family val="1"/>
          </rPr>
          <t>NOTE:</t>
        </r>
        <r>
          <rPr>
            <sz val="11"/>
            <color indexed="81"/>
            <rFont val="Times New Roman"/>
            <family val="1"/>
          </rPr>
          <t xml:space="preserve">
The UNFCCC reporting guidelines for national inventories were updated in 2006,but continue to require the use
of GWPs from the IPCC Second Assessment Report (SAR) (IPCC 1996). This requirement ensures that current
estimates of aggregate greenhouse gas emissions for 1990 to 2010 are consistent with estimates developed prior to
the publication of the IPCC Third Assessment Report (TAR) (IPCC 2001) and the IPCC Fourth Assessment Report
(AR4) (IPCC 2007).</t>
        </r>
      </text>
    </comment>
    <comment ref="P51" authorId="1" shapeId="0">
      <text>
        <r>
          <rPr>
            <b/>
            <sz val="11"/>
            <color indexed="81"/>
            <rFont val="Times New Roman"/>
            <family val="1"/>
          </rPr>
          <t>NOTE:</t>
        </r>
        <r>
          <rPr>
            <sz val="11"/>
            <color indexed="81"/>
            <rFont val="Times New Roman"/>
            <family val="1"/>
          </rPr>
          <t xml:space="preserve">
Energy Industries  comprise emissions from fuels combusted by the fuel extraction or energy-producing industries
</t>
        </r>
      </text>
    </comment>
    <comment ref="P102" authorId="0" shapeId="0">
      <text>
        <r>
          <rPr>
            <b/>
            <sz val="11"/>
            <color indexed="81"/>
            <rFont val="Times New Roman"/>
            <family val="1"/>
          </rPr>
          <t>NOTE:</t>
        </r>
        <r>
          <rPr>
            <sz val="11"/>
            <color indexed="81"/>
            <rFont val="Times New Roman"/>
            <family val="1"/>
          </rPr>
          <t xml:space="preserve">
Energy Industries  comprise emissions from fuels combusted by the fuel extraction or energy-producing industries</t>
        </r>
      </text>
    </comment>
    <comment ref="P110" authorId="0" shapeId="0">
      <text>
        <r>
          <rPr>
            <b/>
            <sz val="11"/>
            <color indexed="81"/>
            <rFont val="Times New Roman"/>
            <family val="1"/>
          </rPr>
          <t>NOTE:</t>
        </r>
        <r>
          <rPr>
            <sz val="11"/>
            <color indexed="81"/>
            <rFont val="Times New Roman"/>
            <family val="1"/>
          </rPr>
          <t xml:space="preserve">
Energy Industries  comprise emissions from fuels combusted by the fuel extraction or energy-producing industries</t>
        </r>
      </text>
    </comment>
    <comment ref="P118" authorId="0" shapeId="0">
      <text>
        <r>
          <rPr>
            <b/>
            <sz val="11"/>
            <color indexed="81"/>
            <rFont val="Times New Roman"/>
            <family val="1"/>
          </rPr>
          <t>NOTE:</t>
        </r>
        <r>
          <rPr>
            <sz val="11"/>
            <color indexed="81"/>
            <rFont val="Times New Roman"/>
            <family val="1"/>
          </rPr>
          <t xml:space="preserve">
Energy Industries  comprise emissions from fuels combusted by the fuel extraction or energy-producing industries</t>
        </r>
      </text>
    </comment>
    <comment ref="R138" authorId="2" shapeId="0">
      <text>
        <r>
          <rPr>
            <b/>
            <sz val="11"/>
            <color indexed="81"/>
            <rFont val="Times New Roman"/>
            <family val="1"/>
          </rPr>
          <t>NOTE:</t>
        </r>
        <r>
          <rPr>
            <sz val="11"/>
            <color indexed="81"/>
            <rFont val="Times New Roman"/>
            <family val="1"/>
          </rPr>
          <t xml:space="preserve">
Assumes $19.29/GJ, Wood Pellet Association of Canada</t>
        </r>
      </text>
    </comment>
    <comment ref="R175" authorId="2" shapeId="0">
      <text>
        <r>
          <rPr>
            <b/>
            <sz val="11"/>
            <color indexed="81"/>
            <rFont val="Times New Roman"/>
            <family val="1"/>
          </rPr>
          <t>NOTE:</t>
        </r>
        <r>
          <rPr>
            <sz val="11"/>
            <color indexed="81"/>
            <rFont val="Times New Roman"/>
            <family val="1"/>
          </rPr>
          <t xml:space="preserve">
Assumes $19.29/GJ, Wood Pellet Association of Canada</t>
        </r>
      </text>
    </comment>
  </commentList>
</comments>
</file>

<file path=xl/sharedStrings.xml><?xml version="1.0" encoding="utf-8"?>
<sst xmlns="http://schemas.openxmlformats.org/spreadsheetml/2006/main" count="7010" uniqueCount="641">
  <si>
    <t>Sheet contents links</t>
  </si>
  <si>
    <t>GRID EMISSIONS FACTORS</t>
  </si>
  <si>
    <t>REF Grid EFs kg CO2-eq per kwh</t>
  </si>
  <si>
    <t>year</t>
  </si>
  <si>
    <t>World</t>
  </si>
  <si>
    <t>OECD90</t>
  </si>
  <si>
    <t>Eastern Europe</t>
  </si>
  <si>
    <t>Asia (Sans Japan)</t>
  </si>
  <si>
    <t>Middle East and Africa</t>
  </si>
  <si>
    <t>Latin America</t>
  </si>
  <si>
    <t>China</t>
  </si>
  <si>
    <t>India</t>
  </si>
  <si>
    <t>EU</t>
  </si>
  <si>
    <t>USA</t>
  </si>
  <si>
    <t>Emissions (tCO2-eq) generated per litre of fuel consumed can be estimated as:</t>
  </si>
  <si>
    <t>Tier 1 estimation of CO2 emissions from natural gas combustion</t>
  </si>
  <si>
    <t>Activity data* NCV (heat content)* Carbon content* Carbon oxidation factor</t>
  </si>
  <si>
    <t>EF (C ,t ) =</t>
  </si>
  <si>
    <t>∑ [Fuel (a ,t) * EF (a)]</t>
  </si>
  <si>
    <t xml:space="preserve">Carbon emission factors from electricity generation in OECD countries gCO2/kWh </t>
  </si>
  <si>
    <t>Where</t>
  </si>
  <si>
    <r>
      <t>E</t>
    </r>
    <r>
      <rPr>
        <sz val="7.5"/>
        <rFont val="Arial"/>
        <family val="2"/>
      </rPr>
      <t>FC,t =</t>
    </r>
  </si>
  <si>
    <r>
      <t>Net CO</t>
    </r>
    <r>
      <rPr>
        <sz val="7.5"/>
        <rFont val="Arial"/>
        <family val="2"/>
      </rPr>
      <t>2</t>
    </r>
    <r>
      <rPr>
        <sz val="11"/>
        <rFont val="Arial"/>
        <family val="2"/>
      </rPr>
      <t>-e emissions of Fuel Consumption in year t; tCO</t>
    </r>
    <r>
      <rPr>
        <sz val="7.5"/>
        <rFont val="Arial"/>
        <family val="2"/>
      </rPr>
      <t>2</t>
    </r>
    <r>
      <rPr>
        <sz val="11"/>
        <rFont val="Arial"/>
        <family val="2"/>
      </rPr>
      <t>-e</t>
    </r>
  </si>
  <si>
    <t>Natural gas</t>
  </si>
  <si>
    <r>
      <t>Fuel</t>
    </r>
    <r>
      <rPr>
        <sz val="7.5"/>
        <rFont val="Arial"/>
        <family val="2"/>
      </rPr>
      <t>a,t =</t>
    </r>
  </si>
  <si>
    <t>Amount of Fuel of type a consumed in year t; terrajoule  (TJ)</t>
  </si>
  <si>
    <t>(Source:  IEA, 2015-https://www.iea.org/publications/freepublications/publication/CO2EmissionsFromFuelCombustionHighlights2015.pdf)</t>
  </si>
  <si>
    <t>Ef (a) =</t>
  </si>
  <si>
    <t>Emission Factor of Fuel type a; tCO2-e/TJ</t>
  </si>
  <si>
    <r>
      <t xml:space="preserve">see Project Drawdown (2016), </t>
    </r>
    <r>
      <rPr>
        <i/>
        <u/>
        <sz val="10"/>
        <rFont val="Arial"/>
        <family val="2"/>
      </rPr>
      <t>Energy Prices</t>
    </r>
  </si>
  <si>
    <t xml:space="preserve">a = </t>
  </si>
  <si>
    <t>Fuel type</t>
  </si>
  <si>
    <t>Conversion Required:</t>
  </si>
  <si>
    <t>Source: 2006 IPCC Guidelines for National Greenhouse Gas Inventories, Volume 2, Annex 1</t>
  </si>
  <si>
    <t>Fuel in Liters:</t>
  </si>
  <si>
    <t>CO2-eq emissions- Energy Industries (Quantity of fuel consumed not available)</t>
  </si>
  <si>
    <t>Fuel</t>
  </si>
  <si>
    <t>Default</t>
  </si>
  <si>
    <t>Lower</t>
  </si>
  <si>
    <t>Upper</t>
  </si>
  <si>
    <t>US$2014 per unit</t>
  </si>
  <si>
    <t>Converter</t>
  </si>
  <si>
    <t>Multiplier L→TJ</t>
  </si>
  <si>
    <t>To calculate total emissions in CO2-eq</t>
  </si>
  <si>
    <t>GWP values (kgCO2eq)</t>
  </si>
  <si>
    <t>Motor Gasoline</t>
  </si>
  <si>
    <t>Liter</t>
  </si>
  <si>
    <t>US$2014 per liter</t>
  </si>
  <si>
    <t>N20</t>
  </si>
  <si>
    <t>CH4</t>
  </si>
  <si>
    <t>Gas/ Diesel Oil</t>
  </si>
  <si>
    <t>AR5 with feedback</t>
  </si>
  <si>
    <t>Liquefied Petroleum Gases</t>
  </si>
  <si>
    <t xml:space="preserve">AR4 </t>
  </si>
  <si>
    <t>Kerosene</t>
  </si>
  <si>
    <t>SAR</t>
  </si>
  <si>
    <t>Natural Gas (industry)</t>
  </si>
  <si>
    <t>TJ</t>
  </si>
  <si>
    <t>US$2014 per kWh</t>
  </si>
  <si>
    <t>Natural Gas (household)</t>
  </si>
  <si>
    <t>Liquefied Natural Gas</t>
  </si>
  <si>
    <t>Coal</t>
  </si>
  <si>
    <t>Oil</t>
  </si>
  <si>
    <t xml:space="preserve">The amount of fuel of a particular kind combusted in year t (Fuel a,t) can be estimated as: </t>
  </si>
  <si>
    <t>Conventional Grid Generation (weighted average of Coal, Oil, NG)</t>
  </si>
  <si>
    <t>Electricity to Consumer</t>
  </si>
  <si>
    <t>see Grid Emissions Factors</t>
  </si>
  <si>
    <t>Current CHP Mix</t>
  </si>
  <si>
    <t>(N/A)</t>
  </si>
  <si>
    <t>Fuel (a,t) =</t>
  </si>
  <si>
    <t>Liters(Fuel a,t)*</t>
  </si>
  <si>
    <t>Density (Fuel a,t)</t>
  </si>
  <si>
    <t>* [NCV(Fuel) / 10^6]</t>
  </si>
  <si>
    <t>Space Heating &amp; Cooling (weighted average)</t>
  </si>
  <si>
    <t>Water heating CONV (weighted average)</t>
  </si>
  <si>
    <r>
      <t>Fuel</t>
    </r>
    <r>
      <rPr>
        <sz val="7.5"/>
        <rFont val="Times New Roman"/>
        <family val="1"/>
      </rPr>
      <t xml:space="preserve">a,t </t>
    </r>
  </si>
  <si>
    <t xml:space="preserve"> = Amount of Fuel type a consumed in year t; TJ </t>
  </si>
  <si>
    <t>Solid Biofuels</t>
  </si>
  <si>
    <r>
      <t>Liters</t>
    </r>
    <r>
      <rPr>
        <sz val="7.5"/>
        <rFont val="Times New Roman"/>
        <family val="1"/>
      </rPr>
      <t xml:space="preserve">Fuel a,t </t>
    </r>
  </si>
  <si>
    <t xml:space="preserve"> = Quantity of Fuel of type a consumed in year t; ltr </t>
  </si>
  <si>
    <r>
      <t>Density</t>
    </r>
    <r>
      <rPr>
        <sz val="7.5"/>
        <rFont val="Times New Roman"/>
        <family val="1"/>
      </rPr>
      <t xml:space="preserve"> Fuel a </t>
    </r>
  </si>
  <si>
    <t xml:space="preserve"> = Density of Fuel type a; kg/ltr</t>
  </si>
  <si>
    <r>
      <t>NCV</t>
    </r>
    <r>
      <rPr>
        <sz val="7.5"/>
        <rFont val="Times New Roman"/>
        <family val="1"/>
      </rPr>
      <t xml:space="preserve"> Fuel a </t>
    </r>
  </si>
  <si>
    <t xml:space="preserve"> = Net Calorific Value of Fuel type a; TJ/Gg</t>
  </si>
  <si>
    <t>Biogas (sludge and other)</t>
  </si>
  <si>
    <t>Commercial Electricity</t>
  </si>
  <si>
    <t>DEFAULT EMISSION FACTORS AND UNCERTAINTY RANGES FOR ENERGY INDUSTRIES (t GHG gas/TJ)</t>
  </si>
  <si>
    <t>Fuel Type</t>
  </si>
  <si>
    <t>CO2 (t/TJ)</t>
  </si>
  <si>
    <t>CH4 (t/TJ)</t>
  </si>
  <si>
    <t>N2O (t/TJ)</t>
  </si>
  <si>
    <t>Default Net Caloric Values (NCV) by Fuel Type</t>
  </si>
  <si>
    <t>Fuel type (English description)</t>
  </si>
  <si>
    <t>Net Caloric Value  (GJ/t or TJ/Gg)</t>
  </si>
  <si>
    <t>Petroleum Products</t>
  </si>
  <si>
    <t>Crude Oil</t>
  </si>
  <si>
    <t>Orimulsion</t>
  </si>
  <si>
    <t>Natural Gas Liquids</t>
  </si>
  <si>
    <t>Natural Gas</t>
  </si>
  <si>
    <t>Gasoline</t>
  </si>
  <si>
    <t>Aviation Gasoline</t>
  </si>
  <si>
    <t>Jet Gasoline</t>
  </si>
  <si>
    <t>Jet Kerosene</t>
  </si>
  <si>
    <t>Other Kerosene</t>
  </si>
  <si>
    <t>Gas/Diesel Oil</t>
  </si>
  <si>
    <t>Biomass/Biogas</t>
  </si>
  <si>
    <t>Liquid Biofuels</t>
  </si>
  <si>
    <t>Bio-Gasoline/Bio-Diesel</t>
  </si>
  <si>
    <t>Source of Data</t>
  </si>
  <si>
    <t>Other Liquid Biofuels</t>
  </si>
  <si>
    <t>Grid EFs kg CO2-eq per kwh</t>
  </si>
  <si>
    <t>Generation mixes from the AMPERE/MESSAGE WG3 BAU scenario, direct and indirect emission factors by fuel from the IPCC WG3 Annex III Table A.III.2</t>
  </si>
  <si>
    <t>Peat</t>
  </si>
  <si>
    <t>https://www.ipcc.ch/pdf/assessment-report/ar5/wg3/ipcc_wg3_ar5_annex-iii.pdf</t>
  </si>
  <si>
    <t>Wood/Wood Waste</t>
  </si>
  <si>
    <t>Charcoal</t>
  </si>
  <si>
    <t>Other Primary Solid Biomass</t>
  </si>
  <si>
    <t>REF Grid EFs kg CO2 per kwh</t>
  </si>
  <si>
    <t>Sulphite lyes (black liquor)</t>
  </si>
  <si>
    <t>Gas Biomass</t>
  </si>
  <si>
    <t>Landfill Gas</t>
  </si>
  <si>
    <t>Sludge Gas</t>
  </si>
  <si>
    <t>Other Biogas</t>
  </si>
  <si>
    <t>Municipal Waste (non-biomass)</t>
  </si>
  <si>
    <t>Municipal Waste (biomass)</t>
  </si>
  <si>
    <t>Notes:
a) Both Stationary and  Road Transport emission factors values from the IPCC have been examined and these have been found to correspond for the particular fuels given.
b) Road Transport values represent 100 percent oxidation of fuel carbon content.</t>
  </si>
  <si>
    <t>Note: Upper and Lower Limits of the 95% Confidence Intervals</t>
  </si>
  <si>
    <t>Source: 2006 IPCC Guidelines for National Greenhouse Gas Inventories, Volume 2, Chapter 1, pg 1.18</t>
  </si>
  <si>
    <t>Source: 2006 IPCC Guidelines for National Greenhouse Gas Inventories, Volume 2, Chapter 3, pg 3.16</t>
  </si>
  <si>
    <t>Default carbon content values (kg/GJ)</t>
  </si>
  <si>
    <t>Natural gas liquids</t>
  </si>
  <si>
    <t>Typical Density Values for Selected Petroleum Products</t>
  </si>
  <si>
    <t>Density</t>
  </si>
  <si>
    <t>Liters per tonne</t>
  </si>
  <si>
    <t>Gross Calorific Value</t>
  </si>
  <si>
    <t>Net Calorific Value</t>
  </si>
  <si>
    <t xml:space="preserve">Source: 2004 OECD/IEA Energy Statistics Manual, pg 181, Table A3.8
</t>
  </si>
  <si>
    <t>Default carbon oxidation factors</t>
  </si>
  <si>
    <t>(kg/ltr)</t>
  </si>
  <si>
    <t>(GJ/tonne)</t>
  </si>
  <si>
    <t>Motor gasoline</t>
  </si>
  <si>
    <t>Naphtha</t>
  </si>
  <si>
    <t>Aviation gasoline</t>
  </si>
  <si>
    <t>Aviation Turbine fuel</t>
  </si>
  <si>
    <t>Other kerosene</t>
  </si>
  <si>
    <t>LPG</t>
  </si>
  <si>
    <t>Methane</t>
  </si>
  <si>
    <t>Methane @ 15C and CNG Pressure (220 ATM). Source:</t>
  </si>
  <si>
    <t>http://www.wolframalpha.com/input/?i=methane+at+288.15K+and+220+atm</t>
  </si>
  <si>
    <t>LNG</t>
  </si>
  <si>
    <t xml:space="preserve">LNG Net Calorific Values: </t>
  </si>
  <si>
    <t>International Gas Union - Natural Gas Conversion Guide p20</t>
  </si>
  <si>
    <t>DEFAULT EMISSION FACTORS AND UNCERTAINTY RANGES FOR MANUFACTURING INDUSTRIES AND CONSTRUCTION (t GHG gas/TJ)</t>
  </si>
  <si>
    <t>DEFAULT EMISSION FACTORS AND UNCERTAINTY RANGES FOR COMMERCIAL/INSTITUTIONAL (t GHG gas/TJ)</t>
  </si>
  <si>
    <t>DEFAULT EMISSION FACTORS AND UNCERTAINTY RANGES FOR RESIDENTIAL (t GHG gas/TJ)</t>
  </si>
  <si>
    <t>Grid EFs kg CO2 per kwh</t>
  </si>
  <si>
    <t>Generation mixes from the AMPERE/MESSAGE WG3 BAU scenario, direct emission factors by fuel from the IPCC WG3 Annex III Table A.III.2</t>
  </si>
  <si>
    <t>(Placeholder Values)</t>
  </si>
  <si>
    <t>Emissions</t>
  </si>
  <si>
    <t>Cost</t>
  </si>
  <si>
    <t>Weight for Current Space Heating and Cooling</t>
  </si>
  <si>
    <t>t CO2-eq / TJ</t>
  </si>
  <si>
    <t>US$2014</t>
  </si>
  <si>
    <t>Weighted Emissions</t>
  </si>
  <si>
    <t>Weighted Cost</t>
  </si>
  <si>
    <t>Assumption:</t>
  </si>
  <si>
    <t>average of crude, kerosene, &amp; Diesel</t>
  </si>
  <si>
    <t>Oil products</t>
  </si>
  <si>
    <t>Electricity is not accounted for in the Fuel Combustion Emissions factors, see Grid emissions factors</t>
  </si>
  <si>
    <t xml:space="preserve">assumed value for biomass in 2013. </t>
  </si>
  <si>
    <t>Biomass</t>
  </si>
  <si>
    <t>Commerical Heating referes to District Heating</t>
  </si>
  <si>
    <t>Electricity</t>
  </si>
  <si>
    <t>assumed percent of market to residential</t>
  </si>
  <si>
    <t>US$2014/kWh, natural gas hh</t>
  </si>
  <si>
    <t>US$2014/kWh, elec hh</t>
  </si>
  <si>
    <t>Commercial heat</t>
  </si>
  <si>
    <t>N/A</t>
  </si>
  <si>
    <t>assumed percent of market to commercial/industry</t>
  </si>
  <si>
    <t>US$2014/kWh, natural gas industry</t>
  </si>
  <si>
    <t>US$2014/kWh, elec commercial</t>
  </si>
  <si>
    <t>Renewables</t>
  </si>
  <si>
    <t>Weighted Average Factor</t>
  </si>
  <si>
    <t>Weight for Current CHP</t>
  </si>
  <si>
    <t>Source: Greenpeace Energy Revolution (2015)</t>
  </si>
  <si>
    <t>Share in 2012</t>
  </si>
  <si>
    <t>Weighted Factors</t>
  </si>
  <si>
    <t>Share in 2050</t>
  </si>
  <si>
    <t xml:space="preserve">average of coal and oil </t>
  </si>
  <si>
    <t/>
  </si>
  <si>
    <t>Biomass (&amp; Renewable waste)</t>
  </si>
  <si>
    <t>Renewables (Geothermal &amp; Hydrogen)</t>
  </si>
  <si>
    <t>Weighted Average Emissions Factor</t>
  </si>
  <si>
    <t>Weight for Current Conventional Grid</t>
  </si>
  <si>
    <t>Weight for Current Water Heating</t>
  </si>
  <si>
    <t>Biomass, waste and other renewables</t>
  </si>
  <si>
    <t>Generation mixes from the AMPHERE/MESSAGE WG3 BAU scenario, direct emission factors by fuel from the IPCC WG3 Annex III Table A.III.2</t>
  </si>
  <si>
    <t>Weighted Emissions factors for Electricity Generation on Grid (kg CO2/kWh)</t>
  </si>
  <si>
    <t>Mean</t>
  </si>
  <si>
    <t>High</t>
  </si>
  <si>
    <t>Low</t>
  </si>
  <si>
    <t>Paste final values in RRS and BIOSEQ models, Emissions Factors sheet</t>
  </si>
  <si>
    <t>Weighted Emissions factors for Electricity Generation on Grid (kg CO2/kWh) based on Meta-Analysis</t>
  </si>
  <si>
    <t>Weighted Emissions factors for Electricity Generation on Grid (kg CO2/kWh) based on IPCC only (excluding Oil)</t>
  </si>
  <si>
    <t>Median</t>
  </si>
  <si>
    <t>Source:</t>
  </si>
  <si>
    <t>Sheet Estimates the Emissions Reduction from this Solution due to Family Planning</t>
  </si>
  <si>
    <t>Include in CONV?</t>
  </si>
  <si>
    <t>Gt CO2-eq (SOLUTION)</t>
  </si>
  <si>
    <t>Gt CO2-eq (CONVENTIONAL)</t>
  </si>
  <si>
    <t>Copy these numbers to the Summary Family Planning Model File.</t>
  </si>
  <si>
    <t>N</t>
  </si>
  <si>
    <t>Period Start:</t>
  </si>
  <si>
    <t>Y</t>
  </si>
  <si>
    <t>Total Emissions Avoided due to Family Planning: 2015 to 2060</t>
  </si>
  <si>
    <t>Period End:</t>
  </si>
  <si>
    <t>Fixed weighting factor:</t>
  </si>
  <si>
    <t>Use fixed weight?</t>
  </si>
  <si>
    <t>ALL Years</t>
  </si>
  <si>
    <t>Additional Functional Units in REF2 vs REF1</t>
  </si>
  <si>
    <t>Annual Functional Units Increase</t>
  </si>
  <si>
    <t>Annual Implementation Units Increase + Replacement</t>
  </si>
  <si>
    <t>Additional Functional Units in REF2 vs REF2</t>
  </si>
  <si>
    <t>Avoided Emissions/ Million Metric Tons CO2</t>
  </si>
  <si>
    <t>Grid</t>
  </si>
  <si>
    <t>Other Direct</t>
  </si>
  <si>
    <t>Indirect</t>
  </si>
  <si>
    <t>Conv Total</t>
  </si>
  <si>
    <t>Solution Total</t>
  </si>
  <si>
    <t>REF1 Electricity Generation TAM</t>
  </si>
  <si>
    <t xml:space="preserve">OUTPUT TABLES ALL REGIONS </t>
  </si>
  <si>
    <t>Total Electricty Demand by More developed vs. Least and Less Developed Regions, REF1</t>
  </si>
  <si>
    <t>Change in Electricity Demand by More Developed vs. Lease and Less Developed Regions, REF1-REF2</t>
  </si>
  <si>
    <t>Least and Less developed countries</t>
  </si>
  <si>
    <t>More developed countries + EE +LAC</t>
  </si>
  <si>
    <t>Total</t>
  </si>
  <si>
    <t>% Least and Less Developed countries</t>
  </si>
  <si>
    <t xml:space="preserve">REF2 Electricity Generation TAM </t>
  </si>
  <si>
    <t>Output All Regions</t>
  </si>
  <si>
    <t>Total Electricty Demand by HFR vs. LFR Regions, REF2</t>
  </si>
  <si>
    <t>COPY TABLES BELOW FROM LATEST ELECTRICITY SOLUTION MODELS</t>
  </si>
  <si>
    <t>REF1 % Change in population</t>
  </si>
  <si>
    <t>REF2 % Change in population</t>
  </si>
  <si>
    <t>REF1 Population</t>
  </si>
  <si>
    <t>% change 2015-2050:</t>
  </si>
  <si>
    <t>SOLUTION - Least and Less Developed Countries (sans LAC, EE, China)</t>
  </si>
  <si>
    <t>CONVENTIONAL - Least and Less Developed Countries (sans LAC, EE, China)</t>
  </si>
  <si>
    <t>CONVENTIONAL  - Least and Less Developed Countries (sans LAC, EE, China)</t>
  </si>
  <si>
    <t>Change in TAM</t>
  </si>
  <si>
    <t>%</t>
  </si>
  <si>
    <t>Nuclear</t>
  </si>
  <si>
    <t>Hydroelectric</t>
  </si>
  <si>
    <t>Solar Photovoltaic</t>
  </si>
  <si>
    <t>Wave and Tidal</t>
  </si>
  <si>
    <t>Wind Onshore</t>
  </si>
  <si>
    <t>Wind Offshore</t>
  </si>
  <si>
    <t>Biomass and Waste</t>
  </si>
  <si>
    <t>Concentrated Solar Power</t>
  </si>
  <si>
    <t>COPY VALUES FROM SOLUTION MODEL</t>
  </si>
  <si>
    <t>Geothermal</t>
  </si>
  <si>
    <t>Include in SOL?</t>
  </si>
  <si>
    <t>SOLUTION - More Developed Countries (including LAC, EE, China)</t>
  </si>
  <si>
    <t>CONVENTIONAL - More Developed Countries (including LAC, EE, China)</t>
  </si>
  <si>
    <t>% difference between Global and Regional TAMs</t>
  </si>
  <si>
    <t>Not modeled TBD</t>
  </si>
  <si>
    <t>More Developed (including LAC, EE, China)</t>
  </si>
  <si>
    <t>Increase</t>
  </si>
  <si>
    <t>2014-2050</t>
  </si>
  <si>
    <t>Fuel unit (TJ) per TWh</t>
  </si>
  <si>
    <t>FUEL EMISSIONS FACTORS and COSTS</t>
  </si>
  <si>
    <t>Name Used in Fuel Price Sheet</t>
  </si>
  <si>
    <t>tCO2-eq/TJ or Liter</t>
  </si>
  <si>
    <t>Fuel cost (in 2018)</t>
  </si>
  <si>
    <t>"Light Fuel for HH"</t>
  </si>
  <si>
    <t>"Gas Global Average"</t>
  </si>
  <si>
    <t>Space Heating &amp; Cooling (Excluding Electricity Cost)</t>
  </si>
  <si>
    <t>Jet A1 Kerosene</t>
  </si>
  <si>
    <t>Intermediate and modern cooking fuels excluding biogas</t>
  </si>
  <si>
    <t>"High Sulphur Fuel Oil"</t>
  </si>
  <si>
    <t>Marine Fuel Oil (IFO 380)</t>
  </si>
  <si>
    <t>NB: 2012US$482/tonne average cost for IFO380 2005-2015. Density: 930 kg/m3. EF: 3.114 g CO2/g HFO</t>
  </si>
  <si>
    <t>Steam Coal for ELC</t>
  </si>
  <si>
    <t xml:space="preserve">Natural gas for ELC </t>
  </si>
  <si>
    <t>Heavy fuel oil for ELC</t>
  </si>
  <si>
    <t>Uranium for ELC</t>
  </si>
  <si>
    <t>Biomass for ELC</t>
  </si>
  <si>
    <t>GCV</t>
  </si>
  <si>
    <t>https://www.engineeringtoolbox.com/wood-biomass-combustion-heat-d_440.html</t>
  </si>
  <si>
    <t>PDS Grid EFs kg CO2-eq per kwh</t>
  </si>
  <si>
    <r>
      <rPr>
        <b/>
        <sz val="10"/>
        <rFont val="Arial"/>
        <family val="2"/>
      </rPr>
      <t>FINAL Energy Share ("Curr Adoption"</t>
    </r>
    <r>
      <rPr>
        <b/>
        <u/>
        <sz val="10"/>
        <rFont val="Arial"/>
        <family val="2"/>
      </rPr>
      <t xml:space="preserve"> 2018)</t>
    </r>
  </si>
  <si>
    <t>Excluding Electricity Cost</t>
  </si>
  <si>
    <t>Including Electricity Cost</t>
  </si>
  <si>
    <t>(Electricity Emissions always excluded since Grid Consumption Always Entered Separately in Model)</t>
  </si>
  <si>
    <t>Share in 2018</t>
  </si>
  <si>
    <t>FINAL Energy Share ("Curr Adoption" 2018)</t>
  </si>
  <si>
    <t>PDS Grid EFs kg CO2 per kwh</t>
  </si>
  <si>
    <t>see Project Drawdown (2019), ELC Sector Integration Model [Sheet Grid Emissions Factors]</t>
  </si>
  <si>
    <t>Electricity Generation</t>
  </si>
  <si>
    <t>Electricity (Heating &amp; Cooling)</t>
  </si>
  <si>
    <t>Electricity- LLDC</t>
  </si>
  <si>
    <t>Electricity- MDC</t>
  </si>
  <si>
    <t>2020-2050</t>
  </si>
  <si>
    <t>2015-2060</t>
  </si>
  <si>
    <t>Gt CO2-eq</t>
  </si>
  <si>
    <t>firewood (incl crop residue+dung)</t>
  </si>
  <si>
    <t>Biogas</t>
  </si>
  <si>
    <t>Coal gas</t>
  </si>
  <si>
    <t xml:space="preserve">CONVENTIONAL - Least and Less Developed Countries (sans LAC, EE, China)			</t>
  </si>
  <si>
    <t>Clean Cookstoves - LLDC</t>
  </si>
  <si>
    <t>(LFL) Linear fluorescent lamp</t>
  </si>
  <si>
    <t>(CFL) Compact fluorescent lamp</t>
  </si>
  <si>
    <t>Incandescent &amp; Halogen lamp</t>
  </si>
  <si>
    <t>(HID) High-intensity discharge lamp</t>
  </si>
  <si>
    <t>Commercial Lighting - LLDC</t>
  </si>
  <si>
    <t>Commercial Lighting - MDC</t>
  </si>
  <si>
    <t>Incandescent</t>
  </si>
  <si>
    <t>Halogen</t>
  </si>
  <si>
    <t>LFL</t>
  </si>
  <si>
    <t>CFL</t>
  </si>
  <si>
    <t>Twh per Petalumen hours (Plmh)</t>
  </si>
  <si>
    <t>Residential Lighting - LLDC</t>
  </si>
  <si>
    <t>Residential Lighting - MDC</t>
  </si>
  <si>
    <t>Twh per TWh(th)</t>
  </si>
  <si>
    <t>Water Heating - LLDC</t>
  </si>
  <si>
    <t>Water Heating - MDC</t>
  </si>
  <si>
    <t>Buildings</t>
  </si>
  <si>
    <t>Twh per TWh</t>
  </si>
  <si>
    <t>Space Cooling - LLDC</t>
  </si>
  <si>
    <t>Space Cooling - MDC</t>
  </si>
  <si>
    <t>Space Heating  - MDC</t>
  </si>
  <si>
    <t>Space Heating - LLDC</t>
  </si>
  <si>
    <t>ICE Cars</t>
  </si>
  <si>
    <t>All Other Cars</t>
  </si>
  <si>
    <t>Motor 2W and 3W</t>
  </si>
  <si>
    <t>E-bike</t>
  </si>
  <si>
    <t>Bicycle</t>
  </si>
  <si>
    <t>Walk</t>
  </si>
  <si>
    <t>Interpolation for TAM (Global) -IEA (2017) ETP - Total Mobility - Non OECD Region (less China, Mexico, Brazil, Russia)</t>
  </si>
  <si>
    <t>Variable</t>
  </si>
  <si>
    <t>TAM</t>
  </si>
  <si>
    <t>Original Units</t>
  </si>
  <si>
    <t>R2 = 1.0000</t>
  </si>
  <si>
    <t>Billion pkm</t>
  </si>
  <si>
    <t>In Functional Units</t>
  </si>
  <si>
    <t>Trendline:3rd Poly</t>
  </si>
  <si>
    <t>Fit Data Harmonized with UN Pop Data (     2015-&gt;2015)</t>
  </si>
  <si>
    <t>Region</t>
  </si>
  <si>
    <t>Global</t>
  </si>
  <si>
    <t>Source</t>
  </si>
  <si>
    <t>IEA (2017) ETP - Total Mobility - RTS Scenario - Non OECD Region (less China, Mexico, Brazil, Russia)</t>
  </si>
  <si>
    <t>Base Year</t>
  </si>
  <si>
    <t>Original Unit</t>
  </si>
  <si>
    <t>Multiplier</t>
  </si>
  <si>
    <t>Interpolation for TAM (Global) -IEA (2017) ETP - Total Mobility RTS Scenario- OECD Region</t>
  </si>
  <si>
    <t>R2 = 0.9986</t>
  </si>
  <si>
    <t>IEA (2017) ETP - Total Mobility RTS Scenario- OECD Region</t>
  </si>
  <si>
    <t>Non OECD Region (less China, Mexico, Brazil, Russia)</t>
  </si>
  <si>
    <t>COPY TABLES BELOW FROM LATEST TAM SOLUTION MODELS</t>
  </si>
  <si>
    <t>Due to a lack of regional data on mobility, an alternative method was used as a proxy for LLDC : MDC. Utilizing the IEA 2017 ETP distinction between OECD : N0n-OECD (sans China, Brazil, and Russia)</t>
  </si>
  <si>
    <t>Mass Transit</t>
  </si>
  <si>
    <t>Passenger km - LLDC</t>
  </si>
  <si>
    <t>Passenger km - MDC</t>
  </si>
  <si>
    <t>Pkm</t>
  </si>
  <si>
    <t>Average Annual Use - CONVENTIONAL</t>
  </si>
  <si>
    <t>Lifetime Capacity - CONVENTIONAL</t>
  </si>
  <si>
    <t>t CO2-eq per Pkm (urban TRIPS)</t>
  </si>
  <si>
    <t>Urban Trips only</t>
  </si>
  <si>
    <t>Inputs from the Mass Transit model</t>
  </si>
  <si>
    <t>LLDC</t>
  </si>
  <si>
    <t>MDC</t>
  </si>
  <si>
    <t>v2017</t>
  </si>
  <si>
    <t>Solution</t>
  </si>
  <si>
    <t>Conventional</t>
  </si>
  <si>
    <t>Liters per Billion Ton-Nmiles</t>
  </si>
  <si>
    <t>Inefficient Ship</t>
  </si>
  <si>
    <t>CONVENTIONAL</t>
  </si>
  <si>
    <t xml:space="preserve">SOLUTION </t>
  </si>
  <si>
    <t>SOLUTION</t>
  </si>
  <si>
    <t xml:space="preserve">CONVENTIONAL </t>
  </si>
  <si>
    <t>Nautical Freight km - All</t>
  </si>
  <si>
    <t>Transportation</t>
  </si>
  <si>
    <t>Light Duty (3W, Light commercial vehicles etc)</t>
  </si>
  <si>
    <t>Trucks</t>
  </si>
  <si>
    <t>Fuel-powered Rail</t>
  </si>
  <si>
    <t>Maritime</t>
  </si>
  <si>
    <t>Air</t>
  </si>
  <si>
    <t>Inland Waterways</t>
  </si>
  <si>
    <t>Fuel unit (Liter) per million tonne-km</t>
  </si>
  <si>
    <t>Interpolation for TAM (Global) -IEA (2017) ETP - Total Ground Freight (no Shipping, Airfreight) - RTS Scenario - Non OECD Region (less China, Mexico, Brazil, Russia)</t>
  </si>
  <si>
    <t>R2 = 0.9998</t>
  </si>
  <si>
    <t>Billion tonne-km</t>
  </si>
  <si>
    <t>IEA (2017) ETP - Total Ground Freight (no Shipping, Airfreight) - RTS Scenario - Non OECD Region (less China, Mexico, Brazil, Russia)</t>
  </si>
  <si>
    <t>Interpolation for TAM (OECD90) -IEA (2017) ETP - Total Ground Freight (no Shipping, Airfreight) - RTS Scenario -  OECD Region</t>
  </si>
  <si>
    <t>R2 = 0.9997</t>
  </si>
  <si>
    <t>IEA (2017) ETP - Total Ground Freight (no Shipping, Airfreight) - RTS Scenario -  OECD Region</t>
  </si>
  <si>
    <t>Air km - all</t>
  </si>
  <si>
    <t>Inefficient Single and Small/Medium Twin Aisle Aircraft</t>
  </si>
  <si>
    <t>Regional Jets and Turboprop Aircraft</t>
  </si>
  <si>
    <t>Large Twin Aisle Aircraft</t>
  </si>
  <si>
    <t>Conventional plastic</t>
  </si>
  <si>
    <t>t CO2-eq per MMt of Plastic Produced Annually</t>
  </si>
  <si>
    <t>Plastics MMT - All</t>
  </si>
  <si>
    <t>Materials</t>
  </si>
  <si>
    <t>v2019</t>
  </si>
  <si>
    <t>Double Counting adjustment</t>
  </si>
  <si>
    <t>Virgin Paper</t>
  </si>
  <si>
    <t>t CO2-eq per Million Metric Tonnes of Paper Produced</t>
  </si>
  <si>
    <t>MMT</t>
  </si>
  <si>
    <t>INDIRECT</t>
  </si>
  <si>
    <t>DIRECT</t>
  </si>
  <si>
    <t>Paper MMT - LLDC</t>
  </si>
  <si>
    <t>Paper MMT - MDC</t>
  </si>
  <si>
    <t>Twh per Million m3 of Water produced</t>
  </si>
  <si>
    <t>No ALC or Pressure Management</t>
  </si>
  <si>
    <t>Water MM3 - LLDC</t>
  </si>
  <si>
    <t>Water MM3 - MDC</t>
  </si>
  <si>
    <t>COPY FROM RESULTS 50_D_50FW_2250KCAL_7-30-2019</t>
  </si>
  <si>
    <t>REF1 regional emissions (Tonnes CO2e)</t>
  </si>
  <si>
    <t>REF2 regional emissions (Tonnes CO2e)</t>
  </si>
  <si>
    <t>Year</t>
  </si>
  <si>
    <t>Asia (sans Japan)</t>
  </si>
  <si>
    <t>Latin America (includes Caribbean)</t>
  </si>
  <si>
    <t>CHANGE IN EMISSIONS REF1-REF2</t>
  </si>
  <si>
    <t>LLDC (including China)</t>
  </si>
  <si>
    <t>MDC (including LA + EE_)</t>
  </si>
  <si>
    <t>Food Supply kcal - LLDC</t>
  </si>
  <si>
    <t>Food Supply kcal - MDC</t>
  </si>
  <si>
    <t>Food</t>
  </si>
  <si>
    <t>Electricity Adjustment - LLDC</t>
  </si>
  <si>
    <t>Electricity Adjustment - MDC</t>
  </si>
  <si>
    <t>Gt-CO2-eq Avoided</t>
  </si>
  <si>
    <t>Interpolation for TAM (Global) -IEA (2017) ETP - Total freight - RTS (Only Brazil, Mexico,China, Russia)</t>
  </si>
  <si>
    <t>R2 = 0.9996</t>
  </si>
  <si>
    <t>IEA (2017) ETP - Total freight - RTS (Only Brazil, Mexico,China, Russia)</t>
  </si>
  <si>
    <t>World - All Freight from Project Drawdown Train Fuel Efficiency Model (2019)</t>
  </si>
  <si>
    <t>TRAINS Fuel unit (Liter) per million tonne-km</t>
  </si>
  <si>
    <t>TRUCK Fuel unit (Liter) per million tonne-km</t>
  </si>
  <si>
    <t>Ground Freight km - LLDC</t>
  </si>
  <si>
    <t>Ground Freight km - MDC</t>
  </si>
  <si>
    <t>Interpolation for TAM (Global) -IEA (2017) ETP - Total Passenger Mobility (Only Brazil, Mexico,China, Russia)</t>
  </si>
  <si>
    <t>R2 = 0.9993</t>
  </si>
  <si>
    <t>IEA (2017) ETP - Total Passenger Mobility - RTS (Only Brazil, Mexico,China, Russia)</t>
  </si>
  <si>
    <t>Billion pass-km</t>
  </si>
  <si>
    <t>Global Passenger km - COPY from SOURCE (currently IEA EPT 2017)</t>
  </si>
  <si>
    <t>Car Fuel unit (Liters) per Pkm</t>
  </si>
  <si>
    <t>Bus Fuel unit (Liters) per Pkm</t>
  </si>
  <si>
    <t>Hybrid Cars</t>
  </si>
  <si>
    <t>Electric Cars</t>
  </si>
  <si>
    <t>Other Cars (CNG/LPG, Fuel cell)</t>
  </si>
  <si>
    <t>Urban Mass Transit</t>
  </si>
  <si>
    <t>Intercity Bus</t>
  </si>
  <si>
    <t>HSR</t>
  </si>
  <si>
    <t>Conventional Intercity Rail</t>
  </si>
  <si>
    <t>Combined</t>
  </si>
  <si>
    <t>Least &amp; Less Developed Countries</t>
  </si>
  <si>
    <t>More Developed Countries</t>
  </si>
  <si>
    <t>Total Gt CO2-eq Avoided from Population Change, by country development status*</t>
  </si>
  <si>
    <t>Air, Oceanic Freight, and Plastic**</t>
  </si>
  <si>
    <t>`</t>
  </si>
  <si>
    <t>Do not disttibute.</t>
  </si>
  <si>
    <t>Asia (Sans Japan, Sans China)</t>
  </si>
  <si>
    <t>Total change in REF1-REF2</t>
  </si>
  <si>
    <t>EMISSION REDCUTIONS - LEAST AND LESS DEVELOPED COUNTRIES (sans, LAC, EE, China)</t>
  </si>
  <si>
    <t>% Allocation to Education (Electricity)</t>
  </si>
  <si>
    <t>Educating Girls, i.e. addressing gender parity in upper secondary completion</t>
  </si>
  <si>
    <t>Impact of Family Planning (LLDC + MDC)</t>
  </si>
  <si>
    <t>all</t>
  </si>
  <si>
    <t>MMT CO2-eq Avoided</t>
  </si>
  <si>
    <t>MMT CO2-ea Avoided</t>
  </si>
  <si>
    <t>TABLE 1: Current TAM Mix</t>
  </si>
  <si>
    <t>EMISSION REDUCTIONS</t>
  </si>
  <si>
    <t>Assumptions:</t>
  </si>
  <si>
    <t>% impact of educational attainment on uptake of Family Planning:</t>
  </si>
  <si>
    <t>Sheet Estimates the Emissions Reduction from this Solution due to Health &amp; Education</t>
  </si>
  <si>
    <t>(a) FOR POPULATIONS IN REGIONS WITH LOW EDUCATIONAL ATTAINMENT ONLY!</t>
  </si>
  <si>
    <t>MDC + EE + LAC with higher educational attainment</t>
  </si>
  <si>
    <t>(b) FOR REGIONS WITH HIGHER EDUCATIONAL ATTAINMENT</t>
  </si>
  <si>
    <t>(c) FOR ALL REGIONS</t>
  </si>
  <si>
    <t>CHECK</t>
  </si>
  <si>
    <t>WORLD</t>
  </si>
  <si>
    <t>REGIONAL TOTAL</t>
  </si>
  <si>
    <t>Total Electricity Demand in Countries with Low Educational Attainment (TWh), exluding China</t>
  </si>
  <si>
    <t>Total Electricity Demand in Countries with Higher Educational Attainment (TWh)</t>
  </si>
  <si>
    <t>Total Electricity Demand (TWh)</t>
  </si>
  <si>
    <t>% LLDC with higher educational attainment</t>
  </si>
  <si>
    <t>% LLDC with Low Educational Attainment</t>
  </si>
  <si>
    <t>% LLDC with low educational attainment, TWh)</t>
  </si>
  <si>
    <t>% LLDC with higher educational attainment, TWh)</t>
  </si>
  <si>
    <t>LLDC with low educational attainment, excluding China</t>
  </si>
  <si>
    <t>LLDC with higher educational attainment, excluding China</t>
  </si>
  <si>
    <t>MDC + EE + LAC with low educational attainment, excluding China</t>
  </si>
  <si>
    <t>Keywords:</t>
  </si>
  <si>
    <t>Least and Less Developed Countries</t>
  </si>
  <si>
    <t>REF1</t>
  </si>
  <si>
    <t>REF2</t>
  </si>
  <si>
    <t>Reference Scenario 2 with Lower Population</t>
  </si>
  <si>
    <t>Total Addressable Market</t>
  </si>
  <si>
    <t>LAC</t>
  </si>
  <si>
    <t>Latin American Countries</t>
  </si>
  <si>
    <t>EE</t>
  </si>
  <si>
    <t>TWh</t>
  </si>
  <si>
    <t>Terrawatt-Hours</t>
  </si>
  <si>
    <t xml:space="preserve"> --&gt; % LLDC</t>
  </si>
  <si>
    <t>MDC + EE +LAC</t>
  </si>
  <si>
    <t>% error</t>
  </si>
  <si>
    <t>Table 11: EMISSIONS ALLOCATIONS TO (a) Health &amp; Education; (b) Education ONLY; (c) Family Planning (excluding education)</t>
  </si>
  <si>
    <t>Reference Scenario 1 with Higher Population</t>
  </si>
  <si>
    <t>Least and Less Developed Countries with High Net Reproductive Rates &amp; Lower Educational Attainment. This excludes China, LAC, and EE.</t>
  </si>
  <si>
    <t>Table 10: Difference in EMISSIONS between REF1 and REF2 populations in LLDC+HighNRR+LowED</t>
  </si>
  <si>
    <t>Least and Less Developed Countries with High Net Reproductive Rates &amp; Higher Educational Attainment.</t>
  </si>
  <si>
    <t>NRR</t>
  </si>
  <si>
    <t>Net Reproductive Rate</t>
  </si>
  <si>
    <t>NOTE: China, LAC, and EE are considered as LLDC  Regions with Low NRR and are accounted for under the _mdc sheet.</t>
  </si>
  <si>
    <t>TW</t>
  </si>
  <si>
    <t>MDC + LAC + EE</t>
  </si>
  <si>
    <t>Regions included as LLDC+HighNRR:</t>
  </si>
  <si>
    <t>% LLDC</t>
  </si>
  <si>
    <t>% MDC + LAC + EE + China</t>
  </si>
  <si>
    <t>Table 12: Difference in FUNCTIONAL &amp; IMPLEMENTATION UNITS between REF1 and REF2 populations in MDC + LAC + EE + China</t>
  </si>
  <si>
    <t>Table 13: Difference in EMISSIONS between REF1 and REF2 populations in MDC + LAC + EE + China</t>
  </si>
  <si>
    <t>Table 14: EMISSIONS ALLOCATIONS TO (a) Health &amp; Education; (b) Education ONLY; (c) Family Planning (excluding education)</t>
  </si>
  <si>
    <t>Total Emissions Avoided due to Health &amp; Education (Gt CO2-eq)</t>
  </si>
  <si>
    <t>TOTAL</t>
  </si>
  <si>
    <t>(TWh)</t>
  </si>
  <si>
    <t>Heating Demand</t>
  </si>
  <si>
    <t>(TWh Therms)</t>
  </si>
  <si>
    <t xml:space="preserve">EMISSION REDCUTIONS </t>
  </si>
  <si>
    <t>Direct Emissions</t>
  </si>
  <si>
    <t>Indirect Emissions</t>
  </si>
  <si>
    <t>Cooling Demand</t>
  </si>
  <si>
    <t>Water Heating</t>
  </si>
  <si>
    <t>Residential Lighting</t>
  </si>
  <si>
    <t>Petalumen hours (Plmh)</t>
  </si>
  <si>
    <t>Commercial Lighting</t>
  </si>
  <si>
    <t>Cooking Heat Demand</t>
  </si>
  <si>
    <t>Plastics Demand</t>
  </si>
  <si>
    <t>(MMt)</t>
  </si>
  <si>
    <t>Turn off LLDC - MDC breakdown</t>
  </si>
  <si>
    <t>(Million m3)</t>
  </si>
  <si>
    <t>Water Demand</t>
  </si>
  <si>
    <t>Passenger Travel Demand</t>
  </si>
  <si>
    <t>(Passenger km)</t>
  </si>
  <si>
    <t>SOURCE: all tablea above refer to Project Drawdown population model: WPP2019_Compiled dataset_Mar2020</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</si>
  <si>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</si>
  <si>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</si>
  <si>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</si>
  <si>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</si>
  <si>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</si>
  <si>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</si>
  <si>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</si>
  <si>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</si>
  <si>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</si>
  <si>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</si>
  <si>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</si>
  <si>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</si>
  <si>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</si>
  <si>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</si>
  <si>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</si>
  <si>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</si>
  <si>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</si>
  <si>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</si>
  <si>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</si>
  <si>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</si>
  <si>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</si>
  <si>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</si>
  <si>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</si>
  <si>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</si>
  <si>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</si>
  <si>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</si>
  <si>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</si>
  <si>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</si>
  <si>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</si>
  <si>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</si>
  <si>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</si>
  <si>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</si>
  <si>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</si>
  <si>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</si>
  <si>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</si>
  <si>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</si>
  <si>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</si>
  <si>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</si>
  <si>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</si>
  <si>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</si>
  <si>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</si>
  <si>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</si>
  <si>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</si>
  <si>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</si>
  <si>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</si>
  <si>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</si>
  <si>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</si>
  <si>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Population in Countries with  &lt;50% of girls and boys completing upper secondary education, by IPCC Region, REF1_population_scenario (millions)</t>
  </si>
  <si>
    <t>Population in Countries with  &lt;50% of girls and boys completing upper secondary education, by IPCC Region, REF2_population_scenario (millions)</t>
  </si>
  <si>
    <t>LLDC+HigherEd</t>
  </si>
  <si>
    <t>LLDC+LowEd</t>
  </si>
  <si>
    <t>Regions included as LLDC</t>
  </si>
  <si>
    <r>
      <t>Table 7: Difference in FUNCTIONAL &amp; IMPLEMENTATION UNITS between REF1 and REF2 populations in</t>
    </r>
    <r>
      <rPr>
        <b/>
        <sz val="10"/>
        <color rgb="FFFF0000"/>
        <rFont val="Arial"/>
        <family val="2"/>
      </rPr>
      <t xml:space="preserve"> LLDC+HighED</t>
    </r>
  </si>
  <si>
    <r>
      <t xml:space="preserve">Table 8: Difference in FUNCTIONAL &amp; IMPLEMENTATION UNITS between REF1 and REF2 populations in </t>
    </r>
    <r>
      <rPr>
        <b/>
        <sz val="10"/>
        <color rgb="FFFF0000"/>
        <rFont val="Arial"/>
        <family val="2"/>
      </rPr>
      <t>LLDC+LowED</t>
    </r>
  </si>
  <si>
    <r>
      <t>Table 9: Difference in EMISSIONS between REF1 and REF2 populations in</t>
    </r>
    <r>
      <rPr>
        <b/>
        <sz val="10"/>
        <color rgb="FFFF0000"/>
        <rFont val="Arial"/>
        <family val="2"/>
      </rPr>
      <t xml:space="preserve"> LLDC+HighED</t>
    </r>
  </si>
  <si>
    <r>
      <t xml:space="preserve">Table 10: Difference in EMISSIONS between REF1 and REF2 populations in </t>
    </r>
    <r>
      <rPr>
        <b/>
        <sz val="10"/>
        <color rgb="FFFF0000"/>
        <rFont val="Arial"/>
        <family val="2"/>
      </rPr>
      <t>LLDC+LowED</t>
    </r>
  </si>
  <si>
    <r>
      <t xml:space="preserve">Total </t>
    </r>
    <r>
      <rPr>
        <b/>
        <sz val="10"/>
        <color rgb="FFFF0000"/>
        <rFont val="Arial"/>
        <family val="2"/>
      </rPr>
      <t>Heating</t>
    </r>
    <r>
      <rPr>
        <b/>
        <sz val="10"/>
        <rFont val="Arial"/>
        <family val="2"/>
      </rPr>
      <t xml:space="preserve"> Demand (TWh)</t>
    </r>
  </si>
  <si>
    <r>
      <t xml:space="preserve">Total </t>
    </r>
    <r>
      <rPr>
        <b/>
        <sz val="10"/>
        <color rgb="FFFF0000"/>
        <rFont val="Arial"/>
        <family val="2"/>
      </rPr>
      <t>Heating</t>
    </r>
    <r>
      <rPr>
        <b/>
        <sz val="10"/>
        <rFont val="Arial"/>
        <family val="2"/>
      </rPr>
      <t xml:space="preserve"> Demand in Countries with Higher Educational Attainment (TWh)</t>
    </r>
  </si>
  <si>
    <r>
      <t xml:space="preserve">Total </t>
    </r>
    <r>
      <rPr>
        <b/>
        <sz val="10"/>
        <color rgb="FFFF0000"/>
        <rFont val="Arial"/>
        <family val="2"/>
      </rPr>
      <t>Heating</t>
    </r>
    <r>
      <rPr>
        <b/>
        <sz val="10"/>
        <rFont val="Arial"/>
        <family val="2"/>
      </rPr>
      <t xml:space="preserve"> Demand in Countries with Low Educational Attainment (TWh), exluding China</t>
    </r>
  </si>
  <si>
    <r>
      <t xml:space="preserve">Table 7: Difference in FUNCTIONAL &amp; IMPLEMENTATION UNITS between REF1 and REF2 populations in </t>
    </r>
    <r>
      <rPr>
        <b/>
        <sz val="10"/>
        <color rgb="FFFF0000"/>
        <rFont val="Arial"/>
        <family val="2"/>
      </rPr>
      <t>LLDC+HighED</t>
    </r>
  </si>
  <si>
    <r>
      <t xml:space="preserve">Table 9: Difference in EMISSIONS between REF1 and REF2 populations in </t>
    </r>
    <r>
      <rPr>
        <b/>
        <sz val="10"/>
        <color rgb="FFFF0000"/>
        <rFont val="Arial"/>
        <family val="2"/>
      </rPr>
      <t>LLDC+HighED</t>
    </r>
  </si>
  <si>
    <t>Regions included as LLDC:</t>
  </si>
  <si>
    <r>
      <t xml:space="preserve">Total </t>
    </r>
    <r>
      <rPr>
        <b/>
        <sz val="10"/>
        <color rgb="FFFF0000"/>
        <rFont val="Arial"/>
        <family val="2"/>
      </rPr>
      <t>Cooling</t>
    </r>
    <r>
      <rPr>
        <b/>
        <sz val="10"/>
        <rFont val="Arial"/>
        <family val="2"/>
      </rPr>
      <t xml:space="preserve"> Demand (TWh)</t>
    </r>
  </si>
  <si>
    <r>
      <t xml:space="preserve">Total </t>
    </r>
    <r>
      <rPr>
        <b/>
        <sz val="10"/>
        <color rgb="FFFF0000"/>
        <rFont val="Arial"/>
        <family val="2"/>
      </rPr>
      <t>Cooling</t>
    </r>
    <r>
      <rPr>
        <b/>
        <sz val="10"/>
        <rFont val="Arial"/>
        <family val="2"/>
      </rPr>
      <t xml:space="preserve"> Demand in Countries with Higher Educational Attainment (TWh)</t>
    </r>
  </si>
  <si>
    <r>
      <t xml:space="preserve">Total </t>
    </r>
    <r>
      <rPr>
        <b/>
        <sz val="10"/>
        <color rgb="FFFF0000"/>
        <rFont val="Arial"/>
        <family val="2"/>
      </rPr>
      <t>Cooling</t>
    </r>
    <r>
      <rPr>
        <b/>
        <sz val="10"/>
        <rFont val="Arial"/>
        <family val="2"/>
      </rPr>
      <t xml:space="preserve"> Demand in Countries with Low Educational Attainment (TWh), exluding China'</t>
    </r>
  </si>
  <si>
    <r>
      <t xml:space="preserve">Total </t>
    </r>
    <r>
      <rPr>
        <b/>
        <sz val="10"/>
        <color rgb="FFFF0000"/>
        <rFont val="Arial"/>
        <family val="2"/>
      </rPr>
      <t>Cooking Heat</t>
    </r>
    <r>
      <rPr>
        <b/>
        <sz val="10"/>
        <rFont val="Arial"/>
        <family val="2"/>
      </rPr>
      <t xml:space="preserve"> Demand (TWh)</t>
    </r>
  </si>
  <si>
    <r>
      <t xml:space="preserve">Total </t>
    </r>
    <r>
      <rPr>
        <b/>
        <sz val="10"/>
        <color rgb="FFFF0000"/>
        <rFont val="Arial"/>
        <family val="2"/>
      </rPr>
      <t>Cooking Heat</t>
    </r>
    <r>
      <rPr>
        <b/>
        <sz val="10"/>
        <rFont val="Arial"/>
        <family val="2"/>
      </rPr>
      <t xml:space="preserve"> Demand in Countries with Higher Educational Attainment (TWh)</t>
    </r>
  </si>
  <si>
    <r>
      <t xml:space="preserve">Total </t>
    </r>
    <r>
      <rPr>
        <b/>
        <sz val="10"/>
        <color rgb="FFFF0000"/>
        <rFont val="Arial"/>
        <family val="2"/>
      </rPr>
      <t>Cooking Heat</t>
    </r>
    <r>
      <rPr>
        <b/>
        <sz val="10"/>
        <rFont val="Arial"/>
        <family val="2"/>
      </rPr>
      <t xml:space="preserve"> Demand in Countries with Low Educational Attainment (TWh), exluding China</t>
    </r>
  </si>
  <si>
    <r>
      <t xml:space="preserve">Total </t>
    </r>
    <r>
      <rPr>
        <b/>
        <sz val="10"/>
        <color rgb="FFFF0000"/>
        <rFont val="Arial"/>
        <family val="2"/>
      </rPr>
      <t xml:space="preserve">Commercial Lighting </t>
    </r>
    <r>
      <rPr>
        <b/>
        <sz val="10"/>
        <rFont val="Arial"/>
        <family val="2"/>
      </rPr>
      <t>Demand (TWh)</t>
    </r>
  </si>
  <si>
    <r>
      <t xml:space="preserve">Total </t>
    </r>
    <r>
      <rPr>
        <b/>
        <sz val="10"/>
        <color rgb="FFFF0000"/>
        <rFont val="Arial"/>
        <family val="2"/>
      </rPr>
      <t>Commercial Lighting</t>
    </r>
    <r>
      <rPr>
        <b/>
        <sz val="10"/>
        <rFont val="Arial"/>
        <family val="2"/>
      </rPr>
      <t xml:space="preserve"> Demand in Countries with Higher Educational Attainment (TWh)</t>
    </r>
  </si>
  <si>
    <r>
      <t>Total</t>
    </r>
    <r>
      <rPr>
        <b/>
        <sz val="10"/>
        <color rgb="FFFF0000"/>
        <rFont val="Arial"/>
        <family val="2"/>
      </rPr>
      <t xml:space="preserve"> Commercial Lighting</t>
    </r>
    <r>
      <rPr>
        <b/>
        <sz val="10"/>
        <rFont val="Arial"/>
        <family val="2"/>
      </rPr>
      <t xml:space="preserve"> Demand in Countries with Low Educational Attainment (TWh), exluding China</t>
    </r>
  </si>
  <si>
    <r>
      <t xml:space="preserve">Total </t>
    </r>
    <r>
      <rPr>
        <b/>
        <sz val="10"/>
        <color rgb="FFFF0000"/>
        <rFont val="Arial"/>
        <family val="2"/>
      </rPr>
      <t>Residential Lighting</t>
    </r>
    <r>
      <rPr>
        <b/>
        <sz val="10"/>
        <rFont val="Arial"/>
        <family val="2"/>
      </rPr>
      <t xml:space="preserve"> Demand (TWh)</t>
    </r>
  </si>
  <si>
    <r>
      <t xml:space="preserve">Total </t>
    </r>
    <r>
      <rPr>
        <b/>
        <sz val="10"/>
        <color rgb="FFFF0000"/>
        <rFont val="Arial"/>
        <family val="2"/>
      </rPr>
      <t>Residential Lighting</t>
    </r>
    <r>
      <rPr>
        <b/>
        <sz val="10"/>
        <rFont val="Arial"/>
        <family val="2"/>
      </rPr>
      <t xml:space="preserve"> Demand in Countries with Higher Educational Attainment (TWh)</t>
    </r>
  </si>
  <si>
    <r>
      <t xml:space="preserve">Total </t>
    </r>
    <r>
      <rPr>
        <b/>
        <sz val="10"/>
        <color rgb="FFFF0000"/>
        <rFont val="Arial"/>
        <family val="2"/>
      </rPr>
      <t>Residential Lighting</t>
    </r>
    <r>
      <rPr>
        <b/>
        <sz val="10"/>
        <rFont val="Arial"/>
        <family val="2"/>
      </rPr>
      <t xml:space="preserve"> Demand in Countries with Low Educational Attainment (TWh), exluding China</t>
    </r>
  </si>
  <si>
    <r>
      <t xml:space="preserve">Total </t>
    </r>
    <r>
      <rPr>
        <b/>
        <sz val="10"/>
        <color rgb="FFFF0000"/>
        <rFont val="Arial"/>
        <family val="2"/>
      </rPr>
      <t>Water Heating</t>
    </r>
    <r>
      <rPr>
        <b/>
        <sz val="10"/>
        <rFont val="Arial"/>
        <family val="2"/>
      </rPr>
      <t xml:space="preserve"> Demand (TWh)</t>
    </r>
  </si>
  <si>
    <r>
      <t xml:space="preserve">Total </t>
    </r>
    <r>
      <rPr>
        <b/>
        <sz val="10"/>
        <color rgb="FFFF0000"/>
        <rFont val="Arial"/>
        <family val="2"/>
      </rPr>
      <t>Water Heating</t>
    </r>
    <r>
      <rPr>
        <b/>
        <sz val="10"/>
        <rFont val="Arial"/>
        <family val="2"/>
      </rPr>
      <t xml:space="preserve"> Demand in Countries with Higher Educational Attainment (TWh)</t>
    </r>
  </si>
  <si>
    <r>
      <t xml:space="preserve">Total </t>
    </r>
    <r>
      <rPr>
        <b/>
        <sz val="10"/>
        <color rgb="FFFF0000"/>
        <rFont val="Arial"/>
        <family val="2"/>
      </rPr>
      <t>Water Heating</t>
    </r>
    <r>
      <rPr>
        <b/>
        <sz val="10"/>
        <rFont val="Arial"/>
        <family val="2"/>
      </rPr>
      <t xml:space="preserve"> Demand in Countries with Low Educational Attainment (TWh), exluding China</t>
    </r>
  </si>
  <si>
    <r>
      <t xml:space="preserve">Total </t>
    </r>
    <r>
      <rPr>
        <b/>
        <sz val="10"/>
        <color rgb="FFFF0000"/>
        <rFont val="Arial"/>
        <family val="2"/>
      </rPr>
      <t xml:space="preserve">Water </t>
    </r>
    <r>
      <rPr>
        <b/>
        <sz val="10"/>
        <rFont val="Arial"/>
        <family val="2"/>
      </rPr>
      <t xml:space="preserve"> Demand in Countries with Low Educational Attainment (TWh), exluding China</t>
    </r>
  </si>
  <si>
    <r>
      <t xml:space="preserve">Total </t>
    </r>
    <r>
      <rPr>
        <b/>
        <sz val="10"/>
        <color rgb="FFFF0000"/>
        <rFont val="Arial"/>
        <family val="2"/>
      </rPr>
      <t xml:space="preserve">Water </t>
    </r>
    <r>
      <rPr>
        <b/>
        <sz val="10"/>
        <rFont val="Arial"/>
        <family val="2"/>
      </rPr>
      <t>Demand (TWh)</t>
    </r>
  </si>
  <si>
    <r>
      <t xml:space="preserve">Total </t>
    </r>
    <r>
      <rPr>
        <b/>
        <sz val="10"/>
        <color rgb="FFFF0000"/>
        <rFont val="Arial"/>
        <family val="2"/>
      </rPr>
      <t xml:space="preserve">Water </t>
    </r>
    <r>
      <rPr>
        <b/>
        <sz val="10"/>
        <rFont val="Arial"/>
        <family val="2"/>
      </rPr>
      <t>Demand in Countries with Higher Educational Attainment (TWh)</t>
    </r>
  </si>
  <si>
    <r>
      <t>Table 10: Difference in EMISSIONS between REF1 and REF2 populations in</t>
    </r>
    <r>
      <rPr>
        <b/>
        <sz val="10"/>
        <color rgb="FFFF0000"/>
        <rFont val="Arial"/>
        <family val="2"/>
      </rPr>
      <t xml:space="preserve"> LLDC+LowED</t>
    </r>
  </si>
  <si>
    <r>
      <t xml:space="preserve">Total </t>
    </r>
    <r>
      <rPr>
        <b/>
        <sz val="10"/>
        <color rgb="FFFF0000"/>
        <rFont val="Arial"/>
        <family val="2"/>
      </rPr>
      <t xml:space="preserve">Water Heating </t>
    </r>
    <r>
      <rPr>
        <b/>
        <sz val="10"/>
        <rFont val="Arial"/>
        <family val="2"/>
      </rPr>
      <t>Demand in Countries with Low Educational Attainment (TWh), exluding China</t>
    </r>
  </si>
  <si>
    <r>
      <t xml:space="preserve">Total </t>
    </r>
    <r>
      <rPr>
        <b/>
        <sz val="10"/>
        <color rgb="FFFF0000"/>
        <rFont val="Arial"/>
        <family val="2"/>
      </rPr>
      <t>Plastics</t>
    </r>
    <r>
      <rPr>
        <b/>
        <sz val="10"/>
        <rFont val="Arial"/>
        <family val="2"/>
      </rPr>
      <t xml:space="preserve"> Demand (TWh)</t>
    </r>
  </si>
  <si>
    <r>
      <t xml:space="preserve">Total </t>
    </r>
    <r>
      <rPr>
        <b/>
        <sz val="10"/>
        <color rgb="FFFF0000"/>
        <rFont val="Arial"/>
        <family val="2"/>
      </rPr>
      <t>Plastics</t>
    </r>
    <r>
      <rPr>
        <b/>
        <sz val="10"/>
        <rFont val="Arial"/>
        <family val="2"/>
      </rPr>
      <t xml:space="preserve"> Demand in Countries with Higher Educational Attainment (TWh)</t>
    </r>
  </si>
  <si>
    <r>
      <t xml:space="preserve">Total </t>
    </r>
    <r>
      <rPr>
        <b/>
        <sz val="10"/>
        <color rgb="FFFF0000"/>
        <rFont val="Arial"/>
        <family val="2"/>
      </rPr>
      <t>Plastics</t>
    </r>
    <r>
      <rPr>
        <b/>
        <sz val="10"/>
        <rFont val="Arial"/>
        <family val="2"/>
      </rPr>
      <t xml:space="preserve"> Demand in Countries with Low Educational Attainment (TWh), exluding China</t>
    </r>
  </si>
  <si>
    <r>
      <t>Total</t>
    </r>
    <r>
      <rPr>
        <b/>
        <sz val="10"/>
        <color rgb="FFFF0000"/>
        <rFont val="Arial"/>
        <family val="2"/>
      </rPr>
      <t xml:space="preserve"> Passenger Travel</t>
    </r>
    <r>
      <rPr>
        <b/>
        <sz val="10"/>
        <rFont val="Arial"/>
        <family val="2"/>
      </rPr>
      <t xml:space="preserve"> Demand (TWh)</t>
    </r>
  </si>
  <si>
    <r>
      <t>Total</t>
    </r>
    <r>
      <rPr>
        <b/>
        <sz val="10"/>
        <color rgb="FFFF0000"/>
        <rFont val="Arial"/>
        <family val="2"/>
      </rPr>
      <t xml:space="preserve"> Passenger Travel</t>
    </r>
    <r>
      <rPr>
        <b/>
        <sz val="10"/>
        <rFont val="Arial"/>
        <family val="2"/>
      </rPr>
      <t xml:space="preserve"> Demand in Countries with Higher Educational Attainment (TWh)</t>
    </r>
  </si>
  <si>
    <r>
      <t>Total</t>
    </r>
    <r>
      <rPr>
        <b/>
        <sz val="10"/>
        <color rgb="FFFF0000"/>
        <rFont val="Arial"/>
        <family val="2"/>
      </rPr>
      <t xml:space="preserve"> Passenger Travel </t>
    </r>
    <r>
      <rPr>
        <b/>
        <sz val="10"/>
        <rFont val="Arial"/>
        <family val="2"/>
      </rPr>
      <t>Demand in Countries with Low Educational Attainment (TWh), exluding China</t>
    </r>
  </si>
  <si>
    <t>REF 2 Population Table</t>
  </si>
  <si>
    <r>
      <t xml:space="preserve">Total </t>
    </r>
    <r>
      <rPr>
        <b/>
        <sz val="10"/>
        <color rgb="FFFF0000"/>
        <rFont val="Arial"/>
        <family val="2"/>
      </rPr>
      <t>Passenger Mobility</t>
    </r>
    <r>
      <rPr>
        <b/>
        <sz val="10"/>
        <rFont val="Arial"/>
        <family val="2"/>
      </rPr>
      <t xml:space="preserve"> by More developed vs. Least and Less Developed Regions, REF1</t>
    </r>
  </si>
  <si>
    <r>
      <t xml:space="preserve">Change in </t>
    </r>
    <r>
      <rPr>
        <b/>
        <sz val="10"/>
        <color rgb="FFFF0000"/>
        <rFont val="Arial"/>
        <family val="2"/>
      </rPr>
      <t>Passenger Mobility</t>
    </r>
    <r>
      <rPr>
        <b/>
        <sz val="10"/>
        <rFont val="Arial"/>
        <family val="2"/>
      </rPr>
      <t xml:space="preserve"> by More Developed vs. Lease and Less Developed Regions, REF1-REF2</t>
    </r>
  </si>
  <si>
    <r>
      <t xml:space="preserve">Total </t>
    </r>
    <r>
      <rPr>
        <b/>
        <sz val="10"/>
        <color rgb="FFFF0000"/>
        <rFont val="Arial"/>
        <family val="2"/>
      </rPr>
      <t>Mobility</t>
    </r>
    <r>
      <rPr>
        <b/>
        <sz val="10"/>
        <rFont val="Arial"/>
        <family val="2"/>
      </rPr>
      <t xml:space="preserve"> by HFR vs. LFR Regions, REF2</t>
    </r>
  </si>
  <si>
    <r>
      <t xml:space="preserve">Total </t>
    </r>
    <r>
      <rPr>
        <b/>
        <sz val="10"/>
        <color rgb="FFFF0000"/>
        <rFont val="Arial"/>
        <family val="2"/>
      </rPr>
      <t>Mobility</t>
    </r>
    <r>
      <rPr>
        <b/>
        <sz val="10"/>
        <rFont val="Arial"/>
        <family val="2"/>
      </rPr>
      <t xml:space="preserve"> by More developed vs. Least and Less Developed Regions, REF1</t>
    </r>
  </si>
  <si>
    <r>
      <t xml:space="preserve">Change in </t>
    </r>
    <r>
      <rPr>
        <b/>
        <sz val="10"/>
        <color rgb="FFFF0000"/>
        <rFont val="Arial"/>
        <family val="2"/>
      </rPr>
      <t>Total</t>
    </r>
    <r>
      <rPr>
        <b/>
        <sz val="10"/>
        <rFont val="Arial"/>
        <family val="2"/>
      </rPr>
      <t xml:space="preserve"> </t>
    </r>
    <r>
      <rPr>
        <b/>
        <sz val="10"/>
        <color rgb="FFFF0000"/>
        <rFont val="Arial"/>
        <family val="2"/>
      </rPr>
      <t>Mobility</t>
    </r>
    <r>
      <rPr>
        <b/>
        <sz val="10"/>
        <rFont val="Arial"/>
        <family val="2"/>
      </rPr>
      <t xml:space="preserve"> by More Developed vs. Lease and Less Developed Regions, REF1-REF2</t>
    </r>
  </si>
  <si>
    <r>
      <t xml:space="preserve">Total </t>
    </r>
    <r>
      <rPr>
        <b/>
        <sz val="10"/>
        <color rgb="FFFF0000"/>
        <rFont val="Arial"/>
        <family val="2"/>
      </rPr>
      <t>Mobility</t>
    </r>
    <r>
      <rPr>
        <b/>
        <sz val="10"/>
        <rFont val="Arial"/>
        <family val="2"/>
      </rPr>
      <t xml:space="preserve"> Demand by HFR vs. LFR Regions, REF2</t>
    </r>
  </si>
  <si>
    <r>
      <t xml:space="preserve">Total </t>
    </r>
    <r>
      <rPr>
        <b/>
        <sz val="10"/>
        <color rgb="FFFF0000"/>
        <rFont val="Arial"/>
        <family val="2"/>
      </rPr>
      <t xml:space="preserve">Ground Freight </t>
    </r>
    <r>
      <rPr>
        <b/>
        <sz val="10"/>
        <rFont val="Arial"/>
        <family val="2"/>
      </rPr>
      <t>by HFR vs. LFR Regions, REF2</t>
    </r>
  </si>
  <si>
    <r>
      <t xml:space="preserve">Total </t>
    </r>
    <r>
      <rPr>
        <b/>
        <sz val="10"/>
        <color rgb="FFFF0000"/>
        <rFont val="Arial"/>
        <family val="2"/>
      </rPr>
      <t>Ground Freight</t>
    </r>
    <r>
      <rPr>
        <b/>
        <sz val="10"/>
        <rFont val="Arial"/>
        <family val="2"/>
      </rPr>
      <t xml:space="preserve"> by More developed vs. Least and Less Developed Regions, REF1</t>
    </r>
  </si>
  <si>
    <r>
      <t xml:space="preserve">Change in </t>
    </r>
    <r>
      <rPr>
        <b/>
        <sz val="10"/>
        <color rgb="FFFF0000"/>
        <rFont val="Arial"/>
        <family val="2"/>
      </rPr>
      <t>Ground Freight</t>
    </r>
    <r>
      <rPr>
        <b/>
        <sz val="10"/>
        <rFont val="Arial"/>
        <family val="2"/>
      </rPr>
      <t xml:space="preserve"> by More Developed vs. Lease and Less Developed Regions, REF1-REF2</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</si>
</sst>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2">
    <numFmt numFmtId="43" formatCode="_-* #,##0.00_-;\-* #,##0.00_-;_-* &quot;-&quot;??_-;_-@_-"/>
    <numFmt numFmtId="164" formatCode="_(* #,##0.00_);_(* \(#,##0.00\);_(* &quot;-&quot;??_);_(@_)"/>
    <numFmt numFmtId="165" formatCode="_-* #,##0.000000000_-;\-* #,##0.000000000_-;_-* &quot;-&quot;??_-;_-@_-"/>
    <numFmt numFmtId="166" formatCode="_(&quot;$&quot;* #,##0.000_);_(&quot;$&quot;* \(#,##0.000\);_(&quot;$&quot;* &quot;-&quot;??_);_(@_)"/>
    <numFmt numFmtId="167" formatCode="0.0"/>
    <numFmt numFmtId="168" formatCode="0.000"/>
    <numFmt numFmtId="169" formatCode="0.0000"/>
    <numFmt numFmtId="170" formatCode="0.00000"/>
    <numFmt numFmtId="171" formatCode="&quot;$&quot;#,##0.000"/>
    <numFmt numFmtId="172" formatCode="&quot;$&quot;#,##0.00"/>
    <numFmt numFmtId="173" formatCode="_-* #,##0.00\ _€_-;\-* #,##0.00\ _€_-;_-* &quot;-&quot;??\ _€_-;_-@_-"/>
    <numFmt numFmtId="174" formatCode="_-* #,##0.0_-;\-* #,##0.0_-;_-* &quot;-&quot;??_-;_-@_-"/>
    <numFmt numFmtId="175" formatCode="_-* #,##0.0\ _€_-;\-* #,##0.0\ _€_-;_-* &quot;-&quot;??\ _€_-;_-@_-"/>
    <numFmt numFmtId="176" formatCode="_-* #,##0_-;\-* #,##0_-;_-* &quot;-&quot;??_-;_-@_-"/>
    <numFmt numFmtId="177" formatCode="_-* #,##0.000_-;\-* #,##0.000_-;_-* &quot;-&quot;??_-;_-@_-"/>
    <numFmt numFmtId="178" formatCode="_(* #,##0_);_(* \(#,##0\);_(* &quot;-&quot;??_);_(@_)"/>
    <numFmt numFmtId="179" formatCode="#,##0.0"/>
    <numFmt numFmtId="180" formatCode="0.000\ 000"/>
    <numFmt numFmtId="181" formatCode="0.0%"/>
    <numFmt numFmtId="182" formatCode="0.0000000000"/>
    <numFmt numFmtId="183" formatCode="#,##0.00000"/>
    <numFmt numFmtId="184" formatCode="#,##0.000000"/>
  </numFmts>
  <fonts count="56" x14ac:knownFonts="1">
    <font>
      <sz val="12"/>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
      <sz val="10"/>
      <name val="Arial"/>
      <family val="2"/>
    </font>
    <font>
      <sz val="15"/>
      <color indexed="8"/>
      <name val="Arial"/>
      <family val="2"/>
    </font>
    <font>
      <sz val="11"/>
      <color indexed="8"/>
      <name val="Arial"/>
      <family val="2"/>
    </font>
    <font>
      <b/>
      <i/>
      <sz val="10"/>
      <name val="Arial"/>
      <family val="2"/>
    </font>
    <font>
      <u/>
      <sz val="12"/>
      <color theme="10"/>
      <name val="Arial"/>
      <family val="2"/>
    </font>
    <font>
      <b/>
      <u/>
      <sz val="22"/>
      <name val="Arial"/>
      <family val="2"/>
    </font>
    <font>
      <sz val="12"/>
      <name val="Arial"/>
      <family val="2"/>
    </font>
    <font>
      <sz val="12"/>
      <color indexed="8"/>
      <name val="Arial"/>
      <family val="2"/>
    </font>
    <font>
      <b/>
      <sz val="16"/>
      <name val="Arial"/>
      <family val="2"/>
    </font>
    <font>
      <b/>
      <sz val="12"/>
      <name val="Arial"/>
      <family val="2"/>
    </font>
    <font>
      <b/>
      <sz val="14"/>
      <name val="Arial"/>
      <family val="2"/>
    </font>
    <font>
      <sz val="11"/>
      <name val="Arial"/>
      <family val="2"/>
    </font>
    <font>
      <sz val="7.5"/>
      <name val="Arial"/>
      <family val="2"/>
    </font>
    <font>
      <i/>
      <sz val="10"/>
      <name val="Arial"/>
      <family val="2"/>
    </font>
    <font>
      <i/>
      <u/>
      <sz val="10"/>
      <name val="Arial"/>
      <family val="2"/>
    </font>
    <font>
      <b/>
      <sz val="10"/>
      <name val="Arial"/>
      <family val="2"/>
    </font>
    <font>
      <sz val="11"/>
      <name val="Times New Roman"/>
      <family val="1"/>
    </font>
    <font>
      <sz val="7.5"/>
      <name val="Times New Roman"/>
      <family val="1"/>
    </font>
    <font>
      <sz val="7"/>
      <name val="Arial"/>
      <family val="2"/>
    </font>
    <font>
      <b/>
      <sz val="12"/>
      <color rgb="FF000000"/>
      <name val="Arial"/>
      <family val="2"/>
    </font>
    <font>
      <sz val="12"/>
      <color theme="1"/>
      <name val="Arial"/>
      <family val="2"/>
    </font>
    <font>
      <u/>
      <sz val="10"/>
      <color theme="10"/>
      <name val="Arial"/>
      <family val="2"/>
    </font>
    <font>
      <b/>
      <u/>
      <sz val="10"/>
      <name val="Arial"/>
      <family val="2"/>
    </font>
    <font>
      <sz val="11"/>
      <color rgb="FF000000"/>
      <name val="Arial"/>
      <family val="2"/>
    </font>
    <font>
      <b/>
      <i/>
      <sz val="12"/>
      <color rgb="FFFF0000"/>
      <name val="Calibri"/>
      <family val="2"/>
      <scheme val="minor"/>
    </font>
    <font>
      <b/>
      <sz val="11"/>
      <color indexed="81"/>
      <name val="Times New Roman"/>
      <family val="1"/>
    </font>
    <font>
      <sz val="11"/>
      <color indexed="81"/>
      <name val="Times New Roman"/>
      <family val="1"/>
    </font>
    <font>
      <b/>
      <sz val="16"/>
      <color indexed="8"/>
      <name val="Arial"/>
      <family val="2"/>
    </font>
    <font>
      <b/>
      <sz val="14"/>
      <color indexed="8"/>
      <name val="Arial"/>
      <family val="2"/>
    </font>
    <font>
      <b/>
      <sz val="11"/>
      <name val="Arial"/>
      <family val="2"/>
    </font>
    <font>
      <sz val="10"/>
      <color theme="1"/>
      <name val="Arial"/>
      <family val="2"/>
    </font>
    <font>
      <b/>
      <sz val="10"/>
      <color rgb="FFFF0000"/>
      <name val="Arial"/>
      <family val="2"/>
    </font>
    <font>
      <sz val="11"/>
      <color theme="1"/>
      <name val="Calibri"/>
      <family val="2"/>
      <scheme val="minor"/>
    </font>
    <font>
      <b/>
      <sz val="11"/>
      <color theme="1"/>
      <name val="Calibri"/>
      <family val="2"/>
      <scheme val="minor"/>
    </font>
    <font>
      <b/>
      <sz val="11"/>
      <color indexed="8"/>
      <name val="Arial"/>
      <family val="2"/>
    </font>
    <font>
      <i/>
      <sz val="11"/>
      <name val="Arial"/>
      <family val="2"/>
    </font>
    <font>
      <sz val="12"/>
      <color rgb="FF9C0006"/>
      <name val="Calibri"/>
      <family val="2"/>
      <scheme val="minor"/>
    </font>
    <font>
      <b/>
      <i/>
      <sz val="10"/>
      <color theme="3"/>
      <name val="Arial"/>
      <family val="2"/>
    </font>
    <font>
      <sz val="11"/>
      <color theme="2"/>
      <name val="Arial"/>
      <family val="2"/>
    </font>
    <font>
      <sz val="10"/>
      <color theme="0" tint="-0.499984740745262"/>
      <name val="Arial"/>
      <family val="2"/>
    </font>
    <font>
      <b/>
      <sz val="12"/>
      <color rgb="FFFF0000"/>
      <name val="Calibri"/>
      <family val="2"/>
      <scheme val="minor"/>
    </font>
    <font>
      <sz val="11"/>
      <name val="Calibri"/>
      <family val="2"/>
      <scheme val="minor"/>
    </font>
    <font>
      <b/>
      <sz val="11"/>
      <name val="Calibri"/>
      <family val="2"/>
      <scheme val="minor"/>
    </font>
    <font>
      <sz val="10"/>
      <color rgb="FF000000"/>
      <name val="Tahoma"/>
      <family val="2"/>
    </font>
    <font>
      <b/>
      <sz val="10"/>
      <color rgb="FF000000"/>
      <name val="Tahoma"/>
      <family val="2"/>
    </font>
    <font>
      <b/>
      <sz val="18"/>
      <color rgb="FF000000"/>
      <name val="Calibri"/>
      <family val="2"/>
    </font>
    <font>
      <sz val="10"/>
      <color rgb="FF000000"/>
      <name val="Calibri"/>
      <family val="2"/>
    </font>
    <font>
      <sz val="18"/>
      <color rgb="FF000000"/>
      <name val="Calibri"/>
      <family val="2"/>
    </font>
    <font>
      <b/>
      <sz val="12"/>
      <color rgb="FFFF0000"/>
      <name val="Arial"/>
      <family val="2"/>
    </font>
    <font>
      <b/>
      <sz val="10"/>
      <color theme="1"/>
      <name val="Arial"/>
      <family val="2"/>
    </font>
    <font>
      <sz val="10"/>
      <color rgb="FFFF0000"/>
      <name val="Arial"/>
      <family val="2"/>
    </font>
    <font>
      <i/>
      <sz val="10"/>
      <color rgb="FFFF0000"/>
      <name val="Arial"/>
      <family val="2"/>
    </font>
  </fonts>
  <fills count="39">
    <fill>
      <patternFill patternType="none"/>
    </fill>
    <fill>
      <patternFill patternType="gray125"/>
    </fill>
    <fill>
      <patternFill patternType="solid">
        <fgColor indexed="27"/>
        <bgColor indexed="26"/>
      </patternFill>
    </fill>
    <fill>
      <patternFill patternType="solid">
        <fgColor theme="8" tint="0.79998168889431442"/>
        <bgColor indexed="26"/>
      </patternFill>
    </fill>
    <fill>
      <patternFill patternType="solid">
        <fgColor theme="8" tint="0.79998168889431442"/>
        <bgColor indexed="64"/>
      </patternFill>
    </fill>
    <fill>
      <patternFill patternType="solid">
        <fgColor theme="5" tint="0.59999389629810485"/>
        <bgColor indexed="47"/>
      </patternFill>
    </fill>
    <fill>
      <patternFill patternType="solid">
        <fgColor theme="5" tint="0.59999389629810485"/>
        <bgColor indexed="41"/>
      </patternFill>
    </fill>
    <fill>
      <patternFill patternType="solid">
        <fgColor theme="5" tint="0.59999389629810485"/>
        <bgColor indexed="64"/>
      </patternFill>
    </fill>
    <fill>
      <patternFill patternType="solid">
        <fgColor theme="2"/>
        <bgColor indexed="64"/>
      </patternFill>
    </fill>
    <fill>
      <patternFill patternType="solid">
        <fgColor theme="6" tint="0.59999389629810485"/>
        <bgColor indexed="64"/>
      </patternFill>
    </fill>
    <fill>
      <patternFill patternType="solid">
        <fgColor theme="4" tint="0.59996337778862885"/>
        <bgColor indexed="64"/>
      </patternFill>
    </fill>
    <fill>
      <patternFill patternType="solid">
        <fgColor theme="4" tint="0.59999389629810485"/>
        <bgColor indexed="64"/>
      </patternFill>
    </fill>
    <fill>
      <patternFill patternType="solid">
        <fgColor rgb="FFFFFF00"/>
        <bgColor indexed="64"/>
      </patternFill>
    </fill>
    <fill>
      <patternFill patternType="solid">
        <fgColor rgb="FFFFFF00"/>
        <bgColor indexed="26"/>
      </patternFill>
    </fill>
    <fill>
      <patternFill patternType="solid">
        <fgColor rgb="FFFFFF99"/>
        <bgColor indexed="64"/>
      </patternFill>
    </fill>
    <fill>
      <patternFill patternType="solid">
        <fgColor theme="4" tint="0.39997558519241921"/>
        <bgColor indexed="64"/>
      </patternFill>
    </fill>
    <fill>
      <patternFill patternType="solid">
        <fgColor theme="6"/>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bgColor indexed="64"/>
      </patternFill>
    </fill>
    <fill>
      <patternFill patternType="solid">
        <fgColor theme="4" tint="0.59999389629810485"/>
        <bgColor indexed="47"/>
      </patternFill>
    </fill>
    <fill>
      <patternFill patternType="solid">
        <fgColor theme="9" tint="0.59999389629810485"/>
        <bgColor indexed="64"/>
      </patternFill>
    </fill>
    <fill>
      <patternFill patternType="solid">
        <fgColor indexed="26"/>
        <bgColor indexed="27"/>
      </patternFill>
    </fill>
    <fill>
      <patternFill patternType="solid">
        <fgColor indexed="42"/>
        <bgColor indexed="41"/>
      </patternFill>
    </fill>
    <fill>
      <patternFill patternType="solid">
        <fgColor rgb="FFFFC7CE"/>
      </patternFill>
    </fill>
    <fill>
      <patternFill patternType="solid">
        <fgColor theme="2" tint="-9.9978637043366805E-2"/>
        <bgColor indexed="64"/>
      </patternFill>
    </fill>
    <fill>
      <patternFill patternType="solid">
        <fgColor rgb="FFFFFF99"/>
        <bgColor indexed="41"/>
      </patternFill>
    </fill>
    <fill>
      <patternFill patternType="solid">
        <fgColor rgb="FFFF8AD8"/>
        <bgColor indexed="64"/>
      </patternFill>
    </fill>
    <fill>
      <patternFill patternType="solid">
        <fgColor theme="5"/>
        <bgColor indexed="64"/>
      </patternFill>
    </fill>
    <fill>
      <patternFill patternType="solid">
        <fgColor rgb="FFFFC000"/>
        <bgColor indexed="64"/>
      </patternFill>
    </fill>
    <fill>
      <patternFill patternType="solid">
        <fgColor theme="4"/>
        <bgColor indexed="64"/>
      </patternFill>
    </fill>
    <fill>
      <patternFill patternType="solid">
        <fgColor theme="9"/>
        <bgColor indexed="64"/>
      </patternFill>
    </fill>
    <fill>
      <patternFill patternType="solid">
        <fgColor theme="3"/>
        <bgColor indexed="64"/>
      </patternFill>
    </fill>
    <fill>
      <patternFill patternType="solid">
        <fgColor theme="5" tint="0.59999389629810485"/>
        <bgColor rgb="FF000000"/>
      </patternFill>
    </fill>
    <fill>
      <patternFill patternType="solid">
        <fgColor theme="7" tint="0.79998168889431442"/>
        <bgColor indexed="64"/>
      </patternFill>
    </fill>
    <fill>
      <patternFill patternType="solid">
        <fgColor theme="9" tint="0.59999389629810485"/>
        <bgColor indexed="41"/>
      </patternFill>
    </fill>
    <fill>
      <patternFill patternType="solid">
        <fgColor theme="2" tint="-0.249977111117893"/>
        <bgColor indexed="64"/>
      </patternFill>
    </fill>
    <fill>
      <patternFill patternType="solid">
        <fgColor rgb="FFFF0000"/>
        <bgColor indexed="47"/>
      </patternFill>
    </fill>
    <fill>
      <patternFill patternType="solid">
        <fgColor rgb="FFFF0000"/>
        <bgColor indexed="64"/>
      </patternFill>
    </fill>
  </fills>
  <borders count="98">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medium">
        <color auto="1"/>
      </right>
      <top style="medium">
        <color auto="1"/>
      </top>
      <bottom style="medium">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right/>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bottom style="medium">
        <color auto="1"/>
      </bottom>
      <diagonal/>
    </border>
    <border>
      <left/>
      <right style="medium">
        <color rgb="FF000000"/>
      </right>
      <top style="medium">
        <color auto="1"/>
      </top>
      <bottom style="medium">
        <color auto="1"/>
      </bottom>
      <diagonal/>
    </border>
    <border>
      <left style="medium">
        <color rgb="FF000000"/>
      </left>
      <right/>
      <top style="medium">
        <color auto="1"/>
      </top>
      <bottom style="medium">
        <color auto="1"/>
      </bottom>
      <diagonal/>
    </border>
    <border>
      <left style="medium">
        <color auto="1"/>
      </left>
      <right style="medium">
        <color rgb="FF000000"/>
      </right>
      <top style="medium">
        <color auto="1"/>
      </top>
      <bottom style="medium">
        <color auto="1"/>
      </bottom>
      <diagonal/>
    </border>
    <border>
      <left style="medium">
        <color rgb="FF000000"/>
      </left>
      <right/>
      <top style="medium">
        <color auto="1"/>
      </top>
      <bottom style="medium">
        <color rgb="FF000000"/>
      </bottom>
      <diagonal/>
    </border>
    <border>
      <left/>
      <right style="medium">
        <color auto="1"/>
      </right>
      <top style="medium">
        <color auto="1"/>
      </top>
      <bottom style="medium">
        <color rgb="FF000000"/>
      </bottom>
      <diagonal/>
    </border>
    <border>
      <left style="medium">
        <color rgb="FF000000"/>
      </left>
      <right/>
      <top style="medium">
        <color rgb="FF000000"/>
      </top>
      <bottom style="medium">
        <color rgb="FF000000"/>
      </bottom>
      <diagonal/>
    </border>
    <border>
      <left/>
      <right style="medium">
        <color auto="1"/>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top style="medium">
        <color rgb="FF000000"/>
      </top>
      <bottom style="medium">
        <color auto="1"/>
      </bottom>
      <diagonal/>
    </border>
    <border>
      <left/>
      <right style="medium">
        <color auto="1"/>
      </right>
      <top style="medium">
        <color rgb="FF000000"/>
      </top>
      <bottom style="medium">
        <color auto="1"/>
      </bottom>
      <diagonal/>
    </border>
    <border>
      <left style="medium">
        <color rgb="FF000000"/>
      </left>
      <right style="medium">
        <color rgb="FF000000"/>
      </right>
      <top style="medium">
        <color auto="1"/>
      </top>
      <bottom/>
      <diagonal/>
    </border>
    <border>
      <left style="medium">
        <color auto="1"/>
      </left>
      <right/>
      <top/>
      <bottom/>
      <diagonal/>
    </border>
    <border>
      <left/>
      <right style="medium">
        <color auto="1"/>
      </right>
      <top/>
      <bottom/>
      <diagonal/>
    </border>
    <border>
      <left/>
      <right/>
      <top/>
      <bottom style="medium">
        <color rgb="FF000000"/>
      </bottom>
      <diagonal/>
    </border>
    <border>
      <left/>
      <right style="medium">
        <color rgb="FF000000"/>
      </right>
      <top/>
      <bottom/>
      <diagonal/>
    </border>
    <border>
      <left/>
      <right style="medium">
        <color rgb="FF000000"/>
      </right>
      <top/>
      <bottom style="medium">
        <color rgb="FF000000"/>
      </bottom>
      <diagonal/>
    </border>
    <border>
      <left/>
      <right/>
      <top style="medium">
        <color rgb="FF000000"/>
      </top>
      <bottom/>
      <diagonal/>
    </border>
    <border>
      <left style="thin">
        <color auto="1"/>
      </left>
      <right style="thin">
        <color auto="1"/>
      </right>
      <top style="thin">
        <color auto="1"/>
      </top>
      <bottom/>
      <diagonal/>
    </border>
    <border>
      <left style="thin">
        <color auto="1"/>
      </left>
      <right/>
      <top/>
      <bottom style="thin">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thin">
        <color auto="1"/>
      </right>
      <top/>
      <bottom style="thin">
        <color auto="1"/>
      </bottom>
      <diagonal/>
    </border>
    <border>
      <left/>
      <right style="thin">
        <color auto="1"/>
      </right>
      <top/>
      <bottom/>
      <diagonal/>
    </border>
    <border>
      <left/>
      <right/>
      <top style="thin">
        <color auto="1"/>
      </top>
      <bottom/>
      <diagonal/>
    </border>
    <border>
      <left style="thin">
        <color indexed="8"/>
      </left>
      <right/>
      <top style="thin">
        <color indexed="8"/>
      </top>
      <bottom style="thin">
        <color indexed="8"/>
      </bottom>
      <diagonal/>
    </border>
    <border>
      <left style="medium">
        <color auto="1"/>
      </left>
      <right style="thin">
        <color indexed="8"/>
      </right>
      <top style="medium">
        <color auto="1"/>
      </top>
      <bottom style="medium">
        <color auto="1"/>
      </bottom>
      <diagonal/>
    </border>
    <border>
      <left style="thin">
        <color indexed="8"/>
      </left>
      <right style="thin">
        <color indexed="8"/>
      </right>
      <top style="medium">
        <color auto="1"/>
      </top>
      <bottom style="medium">
        <color auto="1"/>
      </bottom>
      <diagonal/>
    </border>
    <border>
      <left style="thin">
        <color indexed="8"/>
      </left>
      <right style="medium">
        <color auto="1"/>
      </right>
      <top style="medium">
        <color auto="1"/>
      </top>
      <bottom style="medium">
        <color auto="1"/>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medium">
        <color auto="1"/>
      </left>
      <right style="thin">
        <color indexed="8"/>
      </right>
      <top style="thin">
        <color indexed="8"/>
      </top>
      <bottom style="thin">
        <color indexed="8"/>
      </bottom>
      <diagonal/>
    </border>
    <border>
      <left style="medium">
        <color auto="1"/>
      </left>
      <right style="thin">
        <color indexed="8"/>
      </right>
      <top style="thin">
        <color indexed="8"/>
      </top>
      <bottom style="medium">
        <color auto="1"/>
      </bottom>
      <diagonal/>
    </border>
    <border>
      <left style="thin">
        <color indexed="8"/>
      </left>
      <right style="thin">
        <color indexed="8"/>
      </right>
      <top style="thin">
        <color indexed="8"/>
      </top>
      <bottom style="medium">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auto="1"/>
      </left>
      <right style="thin">
        <color auto="1"/>
      </right>
      <top style="thin">
        <color auto="1"/>
      </top>
      <bottom style="thick">
        <color auto="1"/>
      </bottom>
      <diagonal/>
    </border>
    <border>
      <left style="thin">
        <color indexed="64"/>
      </left>
      <right style="thin">
        <color indexed="64"/>
      </right>
      <top style="thin">
        <color indexed="64"/>
      </top>
      <bottom style="thin">
        <color indexed="64"/>
      </bottom>
      <diagonal/>
    </border>
    <border>
      <left/>
      <right style="thin">
        <color auto="1"/>
      </right>
      <top style="thin">
        <color auto="1"/>
      </top>
      <bottom/>
      <diagonal/>
    </border>
    <border>
      <left style="thin">
        <color indexed="8"/>
      </left>
      <right style="thin">
        <color auto="1"/>
      </right>
      <top/>
      <bottom style="thin">
        <color indexed="8"/>
      </bottom>
      <diagonal/>
    </border>
    <border>
      <left style="thin">
        <color auto="1"/>
      </left>
      <right style="thin">
        <color auto="1"/>
      </right>
      <top/>
      <bottom/>
      <diagonal/>
    </border>
    <border>
      <left style="thin">
        <color auto="1"/>
      </left>
      <right style="thin">
        <color indexed="8"/>
      </right>
      <top style="thin">
        <color indexed="8"/>
      </top>
      <bottom style="thin">
        <color indexed="8"/>
      </bottom>
      <diagonal/>
    </border>
    <border>
      <left style="thin">
        <color indexed="8"/>
      </left>
      <right style="thin">
        <color auto="1"/>
      </right>
      <top style="thin">
        <color indexed="8"/>
      </top>
      <bottom style="thin">
        <color indexed="8"/>
      </bottom>
      <diagonal/>
    </border>
    <border>
      <left/>
      <right/>
      <top/>
      <bottom style="thin">
        <color indexed="8"/>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8"/>
      </left>
      <right/>
      <top/>
      <bottom style="thin">
        <color indexed="8"/>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indexed="8"/>
      </right>
      <top/>
      <bottom style="medium">
        <color auto="1"/>
      </bottom>
      <diagonal/>
    </border>
    <border>
      <left style="thin">
        <color indexed="8"/>
      </left>
      <right style="thin">
        <color indexed="8"/>
      </right>
      <top/>
      <bottom style="medium">
        <color auto="1"/>
      </bottom>
      <diagonal/>
    </border>
    <border>
      <left style="thin">
        <color indexed="8"/>
      </left>
      <right style="medium">
        <color auto="1"/>
      </right>
      <top/>
      <bottom style="medium">
        <color auto="1"/>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s>
  <cellStyleXfs count="9">
    <xf numFmtId="0" fontId="0" fillId="0" borderId="0"/>
    <xf numFmtId="164" fontId="2" fillId="0" borderId="0" applyFont="0" applyFill="0" applyBorder="0" applyAlignment="0" applyProtection="0"/>
    <xf numFmtId="9" fontId="2" fillId="0" borderId="0" applyFont="0" applyFill="0" applyBorder="0" applyAlignment="0" applyProtection="0"/>
    <xf numFmtId="0" fontId="4" fillId="0" borderId="0"/>
    <xf numFmtId="0" fontId="8" fillId="0" borderId="0" applyNumberFormat="0" applyFill="0" applyBorder="0" applyAlignment="0" applyProtection="0"/>
    <xf numFmtId="43" fontId="4" fillId="0" borderId="0" applyFont="0" applyFill="0" applyBorder="0" applyAlignment="0" applyProtection="0"/>
    <xf numFmtId="0" fontId="2" fillId="0" borderId="0"/>
    <xf numFmtId="9" fontId="4" fillId="0" borderId="0" applyBorder="0"/>
    <xf numFmtId="0" fontId="40" fillId="24" borderId="0" applyNumberFormat="0" applyBorder="0" applyAlignment="0" applyProtection="0"/>
  </cellStyleXfs>
  <cellXfs count="705">
    <xf numFmtId="0" fontId="0" fillId="0" borderId="0" xfId="0"/>
    <xf numFmtId="0" fontId="5" fillId="2" borderId="0" xfId="3" applyFont="1" applyFill="1"/>
    <xf numFmtId="2" fontId="6" fillId="2" borderId="0" xfId="3" applyNumberFormat="1" applyFont="1" applyFill="1"/>
    <xf numFmtId="0" fontId="4" fillId="2" borderId="0" xfId="3" applyFont="1" applyFill="1"/>
    <xf numFmtId="2" fontId="6" fillId="3" borderId="0" xfId="3" applyNumberFormat="1" applyFont="1" applyFill="1"/>
    <xf numFmtId="0" fontId="4" fillId="3" borderId="0" xfId="3" applyFont="1" applyFill="1"/>
    <xf numFmtId="0" fontId="7" fillId="0" borderId="0" xfId="3" applyFont="1"/>
    <xf numFmtId="0" fontId="0" fillId="0" borderId="0" xfId="3" applyFont="1"/>
    <xf numFmtId="0" fontId="0" fillId="0" borderId="0" xfId="3" applyFont="1" applyFill="1" applyBorder="1"/>
    <xf numFmtId="0" fontId="4" fillId="0" borderId="0" xfId="3" applyFont="1" applyFill="1" applyBorder="1"/>
    <xf numFmtId="0" fontId="0" fillId="4" borderId="0" xfId="3" applyFont="1" applyFill="1"/>
    <xf numFmtId="0" fontId="8" fillId="0" borderId="0" xfId="4"/>
    <xf numFmtId="0" fontId="8" fillId="0" borderId="0" xfId="4" applyAlignment="1">
      <alignment vertical="top"/>
    </xf>
    <xf numFmtId="0" fontId="4" fillId="0" borderId="0" xfId="3" applyFont="1"/>
    <xf numFmtId="0" fontId="10" fillId="0" borderId="0" xfId="3" applyFont="1"/>
    <xf numFmtId="0" fontId="11" fillId="5" borderId="3" xfId="3" applyFont="1" applyFill="1" applyBorder="1" applyAlignment="1">
      <alignment horizontal="center" vertical="center" wrapText="1"/>
    </xf>
    <xf numFmtId="0" fontId="13" fillId="0" borderId="4" xfId="3" applyFont="1" applyBorder="1" applyAlignment="1">
      <alignment horizontal="center" vertical="top" wrapText="1"/>
    </xf>
    <xf numFmtId="0" fontId="13" fillId="0" borderId="0" xfId="3" applyFont="1" applyAlignment="1">
      <alignment wrapText="1"/>
    </xf>
    <xf numFmtId="165" fontId="0" fillId="6" borderId="7" xfId="5" applyNumberFormat="1" applyFont="1" applyFill="1" applyBorder="1"/>
    <xf numFmtId="165" fontId="0" fillId="6" borderId="8" xfId="5" applyNumberFormat="1" applyFont="1" applyFill="1" applyBorder="1"/>
    <xf numFmtId="165" fontId="0" fillId="6" borderId="9" xfId="5" applyNumberFormat="1" applyFont="1" applyFill="1" applyBorder="1"/>
    <xf numFmtId="0" fontId="4" fillId="0" borderId="0" xfId="3" applyFont="1" applyBorder="1"/>
    <xf numFmtId="0" fontId="10" fillId="0" borderId="0" xfId="3" applyFont="1" applyAlignment="1">
      <alignment horizontal="right"/>
    </xf>
    <xf numFmtId="0" fontId="4" fillId="0" borderId="0" xfId="3" applyFont="1" applyBorder="1" applyAlignment="1">
      <alignment wrapText="1"/>
    </xf>
    <xf numFmtId="165" fontId="0" fillId="6" borderId="10" xfId="5" applyNumberFormat="1" applyFont="1" applyFill="1" applyBorder="1"/>
    <xf numFmtId="165" fontId="0" fillId="6" borderId="11" xfId="5" applyNumberFormat="1" applyFont="1" applyFill="1" applyBorder="1"/>
    <xf numFmtId="165" fontId="0" fillId="6" borderId="12" xfId="5" applyNumberFormat="1" applyFont="1" applyFill="1" applyBorder="1"/>
    <xf numFmtId="0" fontId="15" fillId="0" borderId="0" xfId="3" applyFont="1" applyAlignment="1">
      <alignment horizontal="right"/>
    </xf>
    <xf numFmtId="0" fontId="15" fillId="0" borderId="0" xfId="3" applyFont="1"/>
    <xf numFmtId="0" fontId="4" fillId="0" borderId="11" xfId="3" applyFont="1" applyBorder="1"/>
    <xf numFmtId="0" fontId="0" fillId="0" borderId="0" xfId="3" applyFont="1" applyAlignment="1">
      <alignment horizontal="center"/>
    </xf>
    <xf numFmtId="0" fontId="4" fillId="0" borderId="0" xfId="3" applyFont="1" applyAlignment="1">
      <alignment horizontal="right"/>
    </xf>
    <xf numFmtId="0" fontId="0" fillId="0" borderId="0" xfId="3" applyFont="1" applyAlignment="1">
      <alignment horizontal="right"/>
    </xf>
    <xf numFmtId="0" fontId="19" fillId="7" borderId="11" xfId="3" applyFont="1" applyFill="1" applyBorder="1" applyAlignment="1">
      <alignment horizontal="center" vertical="center"/>
    </xf>
    <xf numFmtId="0" fontId="17" fillId="0" borderId="0" xfId="3" applyFont="1"/>
    <xf numFmtId="0" fontId="19" fillId="0" borderId="0" xfId="3" applyFont="1"/>
    <xf numFmtId="0" fontId="19" fillId="0" borderId="0" xfId="3" applyFont="1" applyAlignment="1">
      <alignment horizontal="center" vertical="center"/>
    </xf>
    <xf numFmtId="0" fontId="4" fillId="0" borderId="7" xfId="3" applyFont="1" applyBorder="1"/>
    <xf numFmtId="0" fontId="4" fillId="0" borderId="8" xfId="3" applyFont="1" applyBorder="1"/>
    <xf numFmtId="0" fontId="4" fillId="0" borderId="9" xfId="3" applyFont="1" applyBorder="1"/>
    <xf numFmtId="0" fontId="4" fillId="8" borderId="17" xfId="3" applyFont="1" applyFill="1" applyBorder="1" applyAlignment="1">
      <alignment vertical="center" wrapText="1"/>
    </xf>
    <xf numFmtId="166" fontId="0" fillId="7" borderId="11" xfId="3" applyNumberFormat="1" applyFont="1" applyFill="1" applyBorder="1"/>
    <xf numFmtId="11" fontId="0" fillId="7" borderId="10" xfId="5" applyNumberFormat="1" applyFont="1" applyFill="1" applyBorder="1"/>
    <xf numFmtId="11" fontId="0" fillId="7" borderId="12" xfId="5" applyNumberFormat="1" applyFont="1" applyFill="1" applyBorder="1"/>
    <xf numFmtId="0" fontId="4" fillId="0" borderId="10" xfId="3" applyFont="1" applyBorder="1"/>
    <xf numFmtId="0" fontId="4" fillId="0" borderId="12" xfId="3" applyFont="1" applyBorder="1" applyAlignment="1">
      <alignment horizontal="center"/>
    </xf>
    <xf numFmtId="11" fontId="0" fillId="0" borderId="0" xfId="3" applyNumberFormat="1" applyFont="1"/>
    <xf numFmtId="167" fontId="4" fillId="7" borderId="17" xfId="3" applyNumberFormat="1" applyFont="1" applyFill="1" applyBorder="1"/>
    <xf numFmtId="167" fontId="0" fillId="7" borderId="17" xfId="3" applyNumberFormat="1" applyFont="1" applyFill="1" applyBorder="1"/>
    <xf numFmtId="0" fontId="10" fillId="0" borderId="0" xfId="3" applyFont="1" applyAlignment="1">
      <alignment vertical="center"/>
    </xf>
    <xf numFmtId="168" fontId="4" fillId="7" borderId="17" xfId="3" applyNumberFormat="1" applyFont="1" applyFill="1" applyBorder="1"/>
    <xf numFmtId="0" fontId="0" fillId="0" borderId="0" xfId="3" applyFont="1" applyAlignment="1">
      <alignment horizontal="left"/>
    </xf>
    <xf numFmtId="0" fontId="20" fillId="0" borderId="0" xfId="3" applyFont="1" applyAlignment="1">
      <alignment horizontal="right"/>
    </xf>
    <xf numFmtId="0" fontId="22" fillId="0" borderId="0" xfId="3" applyFont="1" applyFill="1" applyBorder="1" applyAlignment="1">
      <alignment vertical="center" wrapText="1"/>
    </xf>
    <xf numFmtId="0" fontId="13" fillId="8" borderId="17" xfId="3" applyFont="1" applyFill="1" applyBorder="1" applyAlignment="1">
      <alignment horizontal="center" vertical="center" wrapText="1"/>
    </xf>
    <xf numFmtId="0" fontId="13" fillId="8" borderId="23" xfId="3" applyFont="1" applyFill="1" applyBorder="1" applyAlignment="1">
      <alignment horizontal="center" vertical="center" wrapText="1"/>
    </xf>
    <xf numFmtId="0" fontId="13" fillId="8" borderId="25" xfId="3" applyFont="1" applyFill="1" applyBorder="1" applyAlignment="1">
      <alignment horizontal="center" vertical="center" wrapText="1"/>
    </xf>
    <xf numFmtId="0" fontId="13" fillId="8" borderId="4" xfId="3" applyFont="1" applyFill="1" applyBorder="1" applyAlignment="1">
      <alignment horizontal="center" vertical="center" wrapText="1"/>
    </xf>
    <xf numFmtId="0" fontId="13" fillId="8" borderId="5" xfId="3" applyFont="1" applyFill="1" applyBorder="1" applyAlignment="1">
      <alignment horizontal="center" vertical="center" wrapText="1"/>
    </xf>
    <xf numFmtId="0" fontId="13" fillId="8" borderId="4" xfId="3" applyFont="1" applyFill="1" applyBorder="1" applyAlignment="1">
      <alignment vertical="center" wrapText="1"/>
    </xf>
    <xf numFmtId="0" fontId="13" fillId="8" borderId="26" xfId="3" applyFont="1" applyFill="1" applyBorder="1" applyAlignment="1">
      <alignment vertical="center" wrapText="1"/>
    </xf>
    <xf numFmtId="0" fontId="13" fillId="8" borderId="27" xfId="3" applyFont="1" applyFill="1" applyBorder="1" applyAlignment="1">
      <alignment horizontal="center" vertical="center" wrapText="1"/>
    </xf>
    <xf numFmtId="0" fontId="13" fillId="8" borderId="28" xfId="3" applyFont="1" applyFill="1" applyBorder="1" applyAlignment="1">
      <alignment horizontal="left" vertical="center" wrapText="1" indent="3"/>
    </xf>
    <xf numFmtId="0" fontId="13" fillId="8" borderId="14" xfId="3" applyFont="1" applyFill="1" applyBorder="1" applyAlignment="1">
      <alignment vertical="center" wrapText="1"/>
    </xf>
    <xf numFmtId="0" fontId="13" fillId="8" borderId="15" xfId="3" applyFont="1" applyFill="1" applyBorder="1" applyAlignment="1">
      <alignment vertical="center" wrapText="1"/>
    </xf>
    <xf numFmtId="0" fontId="13" fillId="8" borderId="16" xfId="3" applyFont="1" applyFill="1" applyBorder="1" applyAlignment="1">
      <alignment vertical="center" wrapText="1"/>
    </xf>
    <xf numFmtId="0" fontId="13" fillId="8" borderId="23" xfId="3" applyFont="1" applyFill="1" applyBorder="1" applyAlignment="1">
      <alignment vertical="center" wrapText="1"/>
    </xf>
    <xf numFmtId="0" fontId="13" fillId="8" borderId="22" xfId="3" applyFont="1" applyFill="1" applyBorder="1" applyAlignment="1">
      <alignment vertical="center" wrapText="1"/>
    </xf>
    <xf numFmtId="0" fontId="13" fillId="8" borderId="24" xfId="3" applyFont="1" applyFill="1" applyBorder="1" applyAlignment="1">
      <alignment vertical="center" wrapText="1"/>
    </xf>
    <xf numFmtId="167" fontId="4" fillId="7" borderId="17" xfId="3" applyNumberFormat="1" applyFont="1" applyFill="1" applyBorder="1" applyAlignment="1">
      <alignment horizontal="center" vertical="center" wrapText="1"/>
    </xf>
    <xf numFmtId="0" fontId="4" fillId="7" borderId="17" xfId="3" applyFont="1" applyFill="1" applyBorder="1" applyAlignment="1">
      <alignment horizontal="center" vertical="center" wrapText="1"/>
    </xf>
    <xf numFmtId="168" fontId="4" fillId="7" borderId="17" xfId="3" applyNumberFormat="1" applyFont="1" applyFill="1" applyBorder="1" applyAlignment="1">
      <alignment horizontal="center" vertical="center" wrapText="1"/>
    </xf>
    <xf numFmtId="169" fontId="4" fillId="7" borderId="17" xfId="3" applyNumberFormat="1" applyFont="1" applyFill="1" applyBorder="1" applyAlignment="1">
      <alignment horizontal="center" vertical="center" wrapText="1"/>
    </xf>
    <xf numFmtId="0" fontId="15" fillId="8" borderId="29" xfId="3" applyFont="1" applyFill="1" applyBorder="1" applyAlignment="1">
      <alignment vertical="center" wrapText="1"/>
    </xf>
    <xf numFmtId="0" fontId="15" fillId="8" borderId="30" xfId="3" applyFont="1" applyFill="1" applyBorder="1" applyAlignment="1">
      <alignment vertical="center" wrapText="1"/>
    </xf>
    <xf numFmtId="0" fontId="15" fillId="7" borderId="17" xfId="3" applyFont="1" applyFill="1" applyBorder="1" applyAlignment="1">
      <alignment horizontal="right" vertical="center" wrapText="1"/>
    </xf>
    <xf numFmtId="0" fontId="15" fillId="8" borderId="31" xfId="3" applyFont="1" applyFill="1" applyBorder="1" applyAlignment="1">
      <alignment vertical="center" wrapText="1"/>
    </xf>
    <xf numFmtId="0" fontId="15" fillId="8" borderId="32" xfId="3" applyFont="1" applyFill="1" applyBorder="1" applyAlignment="1">
      <alignment vertical="center" wrapText="1"/>
    </xf>
    <xf numFmtId="2" fontId="6" fillId="0" borderId="0" xfId="3" applyNumberFormat="1" applyFont="1" applyFill="1"/>
    <xf numFmtId="0" fontId="15" fillId="8" borderId="34" xfId="3" applyFont="1" applyFill="1" applyBorder="1" applyAlignment="1">
      <alignment vertical="center" wrapText="1"/>
    </xf>
    <xf numFmtId="0" fontId="15" fillId="8" borderId="33" xfId="3" applyFont="1" applyFill="1" applyBorder="1" applyAlignment="1">
      <alignment vertical="center" wrapText="1"/>
    </xf>
    <xf numFmtId="0" fontId="4" fillId="0" borderId="0" xfId="3" applyFont="1" applyFill="1"/>
    <xf numFmtId="0" fontId="15" fillId="8" borderId="35" xfId="3" applyFont="1" applyFill="1" applyBorder="1" applyAlignment="1">
      <alignment vertical="center" wrapText="1"/>
    </xf>
    <xf numFmtId="0" fontId="15" fillId="7" borderId="3" xfId="3" applyFont="1" applyFill="1" applyBorder="1" applyAlignment="1">
      <alignment horizontal="right" vertical="center" wrapText="1"/>
    </xf>
    <xf numFmtId="170" fontId="4" fillId="7" borderId="17" xfId="3" applyNumberFormat="1" applyFont="1" applyFill="1" applyBorder="1" applyAlignment="1">
      <alignment horizontal="center" vertical="center" wrapText="1"/>
    </xf>
    <xf numFmtId="0" fontId="15" fillId="8" borderId="36" xfId="3" applyFont="1" applyFill="1" applyBorder="1" applyAlignment="1">
      <alignment vertical="center" wrapText="1"/>
    </xf>
    <xf numFmtId="0" fontId="15" fillId="8" borderId="37" xfId="3" applyFont="1" applyFill="1" applyBorder="1" applyAlignment="1">
      <alignment vertical="center" wrapText="1"/>
    </xf>
    <xf numFmtId="165" fontId="0" fillId="6" borderId="21" xfId="5" applyNumberFormat="1" applyFont="1" applyFill="1" applyBorder="1"/>
    <xf numFmtId="165" fontId="0" fillId="6" borderId="20" xfId="5" applyNumberFormat="1" applyFont="1" applyFill="1" applyBorder="1"/>
    <xf numFmtId="0" fontId="15" fillId="7" borderId="25" xfId="3" applyFont="1" applyFill="1" applyBorder="1" applyAlignment="1">
      <alignment horizontal="right" vertical="center" wrapText="1"/>
    </xf>
    <xf numFmtId="0" fontId="15" fillId="8" borderId="38" xfId="3" applyFont="1" applyFill="1" applyBorder="1" applyAlignment="1">
      <alignment vertical="center" wrapText="1"/>
    </xf>
    <xf numFmtId="0" fontId="23" fillId="0" borderId="0" xfId="6" applyFont="1"/>
    <xf numFmtId="0" fontId="24" fillId="0" borderId="0" xfId="6" applyFont="1"/>
    <xf numFmtId="0" fontId="25" fillId="0" borderId="0" xfId="4" applyFont="1" applyAlignment="1">
      <alignment horizontal="left" indent="1"/>
    </xf>
    <xf numFmtId="0" fontId="0" fillId="0" borderId="14" xfId="3" applyFont="1" applyBorder="1" applyAlignment="1">
      <alignment vertical="center"/>
    </xf>
    <xf numFmtId="0" fontId="0" fillId="0" borderId="15" xfId="3" applyFont="1" applyBorder="1" applyAlignment="1">
      <alignment vertical="center"/>
    </xf>
    <xf numFmtId="0" fontId="0" fillId="0" borderId="16" xfId="3" applyFont="1" applyBorder="1" applyAlignment="1">
      <alignment vertical="center"/>
    </xf>
    <xf numFmtId="0" fontId="0" fillId="0" borderId="23" xfId="3" applyFont="1" applyBorder="1" applyAlignment="1">
      <alignment vertical="center"/>
    </xf>
    <xf numFmtId="0" fontId="0" fillId="0" borderId="22" xfId="3" applyFont="1" applyBorder="1" applyAlignment="1">
      <alignment vertical="center"/>
    </xf>
    <xf numFmtId="0" fontId="0" fillId="0" borderId="24" xfId="3" applyFont="1" applyBorder="1" applyAlignment="1">
      <alignment vertical="center"/>
    </xf>
    <xf numFmtId="0" fontId="15" fillId="8" borderId="11" xfId="3" applyFont="1" applyFill="1" applyBorder="1" applyAlignment="1">
      <alignment vertical="center" wrapText="1"/>
    </xf>
    <xf numFmtId="0" fontId="15" fillId="7" borderId="11" xfId="3" applyFont="1" applyFill="1" applyBorder="1" applyAlignment="1">
      <alignment horizontal="right" vertical="center" wrapText="1"/>
    </xf>
    <xf numFmtId="0" fontId="13" fillId="0" borderId="0" xfId="3" applyFont="1" applyBorder="1" applyAlignment="1">
      <alignment horizontal="center" vertical="center" wrapText="1"/>
    </xf>
    <xf numFmtId="0" fontId="13" fillId="8" borderId="33" xfId="3" applyFont="1" applyFill="1" applyBorder="1" applyAlignment="1">
      <alignment vertical="center" wrapText="1"/>
    </xf>
    <xf numFmtId="0" fontId="13" fillId="8" borderId="42" xfId="3" applyFont="1" applyFill="1" applyBorder="1" applyAlignment="1">
      <alignment horizontal="left" vertical="center" wrapText="1" indent="1"/>
    </xf>
    <xf numFmtId="0" fontId="13" fillId="8" borderId="33" xfId="3" applyFont="1" applyFill="1" applyBorder="1" applyAlignment="1">
      <alignment horizontal="left" vertical="center" wrapText="1" indent="1"/>
    </xf>
    <xf numFmtId="0" fontId="8" fillId="0" borderId="0" xfId="4" applyAlignment="1">
      <alignment vertical="top" wrapText="1"/>
    </xf>
    <xf numFmtId="0" fontId="13" fillId="8" borderId="34" xfId="3" applyFont="1" applyFill="1" applyBorder="1" applyAlignment="1">
      <alignment vertical="center" wrapText="1"/>
    </xf>
    <xf numFmtId="0" fontId="13" fillId="8" borderId="43" xfId="3" applyFont="1" applyFill="1" applyBorder="1" applyAlignment="1">
      <alignment horizontal="left" vertical="center" wrapText="1" indent="1"/>
    </xf>
    <xf numFmtId="0" fontId="13" fillId="8" borderId="34" xfId="3" applyFont="1" applyFill="1" applyBorder="1" applyAlignment="1">
      <alignment horizontal="left" vertical="center" wrapText="1" indent="1"/>
    </xf>
    <xf numFmtId="0" fontId="15" fillId="7" borderId="43" xfId="3" applyFont="1" applyFill="1" applyBorder="1" applyAlignment="1">
      <alignment horizontal="left" vertical="center" wrapText="1" indent="1"/>
    </xf>
    <xf numFmtId="1" fontId="15" fillId="7" borderId="43" xfId="3" applyNumberFormat="1" applyFont="1" applyFill="1" applyBorder="1" applyAlignment="1">
      <alignment horizontal="left" vertical="center" wrapText="1" indent="1"/>
    </xf>
    <xf numFmtId="0" fontId="10" fillId="0" borderId="0" xfId="4" applyFont="1" applyAlignment="1">
      <alignment vertical="top" wrapText="1"/>
    </xf>
    <xf numFmtId="167" fontId="4" fillId="0" borderId="0" xfId="3" applyNumberFormat="1" applyFont="1" applyFill="1" applyBorder="1" applyAlignment="1">
      <alignment horizontal="center" vertical="center" wrapText="1"/>
    </xf>
    <xf numFmtId="0" fontId="4" fillId="0" borderId="0" xfId="3" applyFont="1" applyFill="1" applyBorder="1" applyAlignment="1">
      <alignment horizontal="center" vertical="center" wrapText="1"/>
    </xf>
    <xf numFmtId="165" fontId="0" fillId="6" borderId="19" xfId="5" applyNumberFormat="1" applyFont="1" applyFill="1" applyBorder="1"/>
    <xf numFmtId="0" fontId="0" fillId="0" borderId="14" xfId="3" applyFont="1" applyBorder="1" applyAlignment="1">
      <alignment wrapText="1"/>
    </xf>
    <xf numFmtId="0" fontId="0" fillId="0" borderId="15" xfId="3" applyFont="1" applyBorder="1" applyAlignment="1">
      <alignment wrapText="1"/>
    </xf>
    <xf numFmtId="0" fontId="0" fillId="0" borderId="16" xfId="3" applyFont="1" applyBorder="1" applyAlignment="1">
      <alignment wrapText="1"/>
    </xf>
    <xf numFmtId="0" fontId="0" fillId="9" borderId="11" xfId="3" applyFont="1" applyFill="1" applyBorder="1"/>
    <xf numFmtId="0" fontId="19" fillId="9" borderId="11" xfId="3" applyFont="1" applyFill="1" applyBorder="1"/>
    <xf numFmtId="165" fontId="0" fillId="7" borderId="7" xfId="5" applyNumberFormat="1" applyFont="1" applyFill="1" applyBorder="1"/>
    <xf numFmtId="165" fontId="0" fillId="7" borderId="8" xfId="5" applyNumberFormat="1" applyFont="1" applyFill="1" applyBorder="1"/>
    <xf numFmtId="165" fontId="0" fillId="7" borderId="9" xfId="5" applyNumberFormat="1" applyFont="1" applyFill="1" applyBorder="1"/>
    <xf numFmtId="0" fontId="26" fillId="9" borderId="11" xfId="3" applyFont="1" applyFill="1" applyBorder="1" applyAlignment="1">
      <alignment horizontal="center" vertical="center"/>
    </xf>
    <xf numFmtId="165" fontId="0" fillId="7" borderId="10" xfId="5" applyNumberFormat="1" applyFont="1" applyFill="1" applyBorder="1"/>
    <xf numFmtId="165" fontId="0" fillId="7" borderId="11" xfId="5" applyNumberFormat="1" applyFont="1" applyFill="1" applyBorder="1"/>
    <xf numFmtId="165" fontId="0" fillId="7" borderId="12" xfId="5" applyNumberFormat="1" applyFont="1" applyFill="1" applyBorder="1"/>
    <xf numFmtId="171" fontId="0" fillId="7" borderId="11" xfId="3" applyNumberFormat="1" applyFont="1" applyFill="1" applyBorder="1"/>
    <xf numFmtId="0" fontId="0" fillId="7" borderId="11" xfId="3" applyFont="1" applyFill="1" applyBorder="1"/>
    <xf numFmtId="167" fontId="0" fillId="7" borderId="11" xfId="3" applyNumberFormat="1" applyFont="1" applyFill="1" applyBorder="1"/>
    <xf numFmtId="0" fontId="27" fillId="0" borderId="11" xfId="3" applyFont="1" applyBorder="1" applyProtection="1">
      <protection locked="0"/>
    </xf>
    <xf numFmtId="10" fontId="4" fillId="10" borderId="11" xfId="3" applyNumberFormat="1" applyFont="1" applyFill="1" applyBorder="1" applyAlignment="1">
      <alignment horizontal="center" vertical="center"/>
    </xf>
    <xf numFmtId="0" fontId="0" fillId="9" borderId="11" xfId="3" applyFont="1" applyFill="1" applyBorder="1" applyAlignment="1">
      <alignment wrapText="1"/>
    </xf>
    <xf numFmtId="0" fontId="0" fillId="7" borderId="11" xfId="3" applyFont="1" applyFill="1" applyBorder="1" applyAlignment="1">
      <alignment horizontal="center" vertical="center"/>
    </xf>
    <xf numFmtId="171" fontId="0" fillId="7" borderId="11" xfId="3" applyNumberFormat="1" applyFont="1" applyFill="1" applyBorder="1" applyAlignment="1">
      <alignment horizontal="right" vertical="center"/>
    </xf>
    <xf numFmtId="0" fontId="0" fillId="0" borderId="0" xfId="3" applyFont="1" applyAlignment="1">
      <alignment horizontal="left" vertical="center"/>
    </xf>
    <xf numFmtId="0" fontId="0" fillId="0" borderId="0" xfId="3" applyFont="1" applyAlignment="1">
      <alignment horizontal="center" vertical="center"/>
    </xf>
    <xf numFmtId="0" fontId="4" fillId="9" borderId="11" xfId="3" applyFont="1" applyFill="1" applyBorder="1"/>
    <xf numFmtId="171" fontId="0" fillId="7" borderId="11" xfId="3" applyNumberFormat="1" applyFont="1" applyFill="1" applyBorder="1" applyAlignment="1">
      <alignment horizontal="center" vertical="center"/>
    </xf>
    <xf numFmtId="0" fontId="4" fillId="7" borderId="11" xfId="3" applyFont="1" applyFill="1" applyBorder="1"/>
    <xf numFmtId="0" fontId="0" fillId="7" borderId="45" xfId="3" applyFont="1" applyFill="1" applyBorder="1"/>
    <xf numFmtId="0" fontId="19" fillId="0" borderId="0" xfId="3" applyFont="1" applyAlignment="1">
      <alignment horizontal="right"/>
    </xf>
    <xf numFmtId="172" fontId="0" fillId="0" borderId="0" xfId="3" applyNumberFormat="1" applyFont="1"/>
    <xf numFmtId="0" fontId="19" fillId="9" borderId="46" xfId="3" applyFont="1" applyFill="1" applyBorder="1" applyAlignment="1">
      <alignment horizontal="right" wrapText="1"/>
    </xf>
    <xf numFmtId="2" fontId="19" fillId="7" borderId="17" xfId="3" applyNumberFormat="1" applyFont="1" applyFill="1" applyBorder="1" applyAlignment="1">
      <alignment horizontal="center" vertical="center" wrapText="1"/>
    </xf>
    <xf numFmtId="0" fontId="11" fillId="5" borderId="17" xfId="3" applyFont="1" applyFill="1" applyBorder="1" applyAlignment="1">
      <alignment horizontal="center" vertical="center" wrapText="1"/>
    </xf>
    <xf numFmtId="165" fontId="0" fillId="7" borderId="47" xfId="5" applyNumberFormat="1" applyFont="1" applyFill="1" applyBorder="1"/>
    <xf numFmtId="165" fontId="0" fillId="7" borderId="48" xfId="5" applyNumberFormat="1" applyFont="1" applyFill="1" applyBorder="1"/>
    <xf numFmtId="165" fontId="0" fillId="7" borderId="49" xfId="5" applyNumberFormat="1" applyFont="1" applyFill="1" applyBorder="1"/>
    <xf numFmtId="0" fontId="3" fillId="7" borderId="11" xfId="3" applyFont="1" applyFill="1" applyBorder="1"/>
    <xf numFmtId="0" fontId="3" fillId="7" borderId="11" xfId="3" applyFont="1" applyFill="1" applyBorder="1" applyAlignment="1">
      <alignment horizontal="center"/>
    </xf>
    <xf numFmtId="0" fontId="4" fillId="7" borderId="11" xfId="3" applyFill="1" applyBorder="1"/>
    <xf numFmtId="0" fontId="4" fillId="0" borderId="0" xfId="3"/>
    <xf numFmtId="0" fontId="4" fillId="11" borderId="11" xfId="3" applyFill="1" applyBorder="1"/>
    <xf numFmtId="0" fontId="31" fillId="2" borderId="0" xfId="3" applyFont="1" applyFill="1" applyProtection="1"/>
    <xf numFmtId="0" fontId="31" fillId="2" borderId="0" xfId="3" applyFont="1" applyFill="1" applyAlignment="1" applyProtection="1">
      <alignment horizontal="right"/>
      <protection locked="0"/>
    </xf>
    <xf numFmtId="0" fontId="31" fillId="2" borderId="0" xfId="3" applyFont="1" applyFill="1" applyBorder="1" applyAlignment="1" applyProtection="1">
      <protection locked="0"/>
    </xf>
    <xf numFmtId="0" fontId="31" fillId="2" borderId="0" xfId="3" applyFont="1" applyFill="1" applyProtection="1">
      <protection locked="0"/>
    </xf>
    <xf numFmtId="2" fontId="31" fillId="2" borderId="0" xfId="3" applyNumberFormat="1" applyFont="1" applyFill="1" applyProtection="1">
      <protection locked="0"/>
    </xf>
    <xf numFmtId="0" fontId="12" fillId="2" borderId="0" xfId="3" applyFont="1" applyFill="1" applyProtection="1">
      <protection locked="0"/>
    </xf>
    <xf numFmtId="168" fontId="12" fillId="2" borderId="0" xfId="3" applyNumberFormat="1" applyFont="1" applyFill="1" applyProtection="1">
      <protection locked="0"/>
    </xf>
    <xf numFmtId="0" fontId="12" fillId="2" borderId="0" xfId="3" applyFont="1" applyFill="1" applyAlignment="1" applyProtection="1">
      <alignment horizontal="center" vertical="center"/>
      <protection locked="0"/>
    </xf>
    <xf numFmtId="0" fontId="19" fillId="0" borderId="0" xfId="3" applyFont="1" applyAlignment="1">
      <alignment vertical="center"/>
    </xf>
    <xf numFmtId="173" fontId="4" fillId="14" borderId="11" xfId="3" applyNumberFormat="1" applyFill="1" applyBorder="1"/>
    <xf numFmtId="0" fontId="4" fillId="0" borderId="0" xfId="3" applyFill="1"/>
    <xf numFmtId="0" fontId="19" fillId="0" borderId="51" xfId="3" applyFont="1" applyBorder="1" applyAlignment="1">
      <alignment vertical="center" wrapText="1"/>
    </xf>
    <xf numFmtId="0" fontId="4" fillId="15" borderId="11" xfId="3" applyFill="1" applyBorder="1" applyAlignment="1">
      <alignment horizontal="center" vertical="center"/>
    </xf>
    <xf numFmtId="0" fontId="19" fillId="0" borderId="0" xfId="3" applyFont="1" applyBorder="1" applyAlignment="1">
      <alignment vertical="center" wrapText="1"/>
    </xf>
    <xf numFmtId="0" fontId="19" fillId="0" borderId="0" xfId="3" applyFont="1" applyAlignment="1">
      <alignment vertical="center" wrapText="1"/>
    </xf>
    <xf numFmtId="0" fontId="4" fillId="0" borderId="0" xfId="3" applyBorder="1"/>
    <xf numFmtId="0" fontId="4" fillId="0" borderId="0" xfId="3" applyFill="1" applyBorder="1" applyAlignment="1">
      <alignment horizontal="right"/>
    </xf>
    <xf numFmtId="0" fontId="19" fillId="0" borderId="0" xfId="3" applyFont="1" applyBorder="1" applyAlignment="1">
      <alignment horizontal="center" vertical="center" wrapText="1"/>
    </xf>
    <xf numFmtId="0" fontId="33" fillId="0" borderId="0" xfId="3" applyFont="1" applyAlignment="1">
      <alignment horizontal="center" vertical="center" wrapText="1"/>
    </xf>
    <xf numFmtId="0" fontId="4" fillId="16" borderId="0" xfId="3" applyFill="1" applyAlignment="1">
      <alignment horizontal="center" vertical="center" wrapText="1"/>
    </xf>
    <xf numFmtId="0" fontId="4" fillId="16" borderId="0" xfId="3" applyFill="1" applyBorder="1" applyAlignment="1">
      <alignment horizontal="center" vertical="center" wrapText="1"/>
    </xf>
    <xf numFmtId="0" fontId="4" fillId="16" borderId="0" xfId="3" applyFill="1" applyAlignment="1">
      <alignment horizontal="center"/>
    </xf>
    <xf numFmtId="0" fontId="19" fillId="0" borderId="0" xfId="3" applyFont="1" applyAlignment="1">
      <alignment horizontal="center" vertical="center" wrapText="1"/>
    </xf>
    <xf numFmtId="43" fontId="0" fillId="7" borderId="11" xfId="5" applyFont="1" applyFill="1" applyBorder="1"/>
    <xf numFmtId="174" fontId="0" fillId="7" borderId="18" xfId="5" applyNumberFormat="1" applyFont="1" applyFill="1" applyBorder="1"/>
    <xf numFmtId="174" fontId="0" fillId="7" borderId="11" xfId="5" applyNumberFormat="1" applyFont="1" applyFill="1" applyBorder="1"/>
    <xf numFmtId="174" fontId="0" fillId="7" borderId="0" xfId="5" applyNumberFormat="1" applyFont="1" applyFill="1" applyBorder="1"/>
    <xf numFmtId="173" fontId="4" fillId="7" borderId="11" xfId="3" applyNumberFormat="1" applyFill="1" applyBorder="1"/>
    <xf numFmtId="175" fontId="4" fillId="7" borderId="11" xfId="3" applyNumberFormat="1" applyFill="1" applyBorder="1"/>
    <xf numFmtId="0" fontId="13" fillId="17" borderId="0" xfId="3" applyFont="1" applyFill="1" applyAlignment="1">
      <alignment horizontal="left" vertical="center"/>
    </xf>
    <xf numFmtId="0" fontId="13" fillId="17" borderId="0" xfId="3" applyFont="1" applyFill="1" applyBorder="1"/>
    <xf numFmtId="0" fontId="4" fillId="17" borderId="0" xfId="3" applyFont="1" applyFill="1" applyBorder="1"/>
    <xf numFmtId="0" fontId="4" fillId="0" borderId="45" xfId="3" applyBorder="1"/>
    <xf numFmtId="0" fontId="34" fillId="15" borderId="0" xfId="3" applyFont="1" applyFill="1" applyBorder="1"/>
    <xf numFmtId="1" fontId="4" fillId="5" borderId="53" xfId="3" applyNumberFormat="1" applyFont="1" applyFill="1" applyBorder="1"/>
    <xf numFmtId="176" fontId="19" fillId="5" borderId="54" xfId="5" applyNumberFormat="1" applyFont="1" applyFill="1" applyBorder="1" applyAlignment="1">
      <alignment horizontal="center" vertical="center" wrapText="1"/>
    </xf>
    <xf numFmtId="1" fontId="19" fillId="5" borderId="55" xfId="3" applyNumberFormat="1" applyFont="1" applyFill="1" applyBorder="1" applyAlignment="1">
      <alignment horizontal="center" vertical="center" wrapText="1"/>
    </xf>
    <xf numFmtId="1" fontId="19" fillId="5" borderId="56" xfId="3" applyNumberFormat="1" applyFont="1" applyFill="1" applyBorder="1" applyAlignment="1">
      <alignment horizontal="center" vertical="center" wrapText="1"/>
    </xf>
    <xf numFmtId="1" fontId="19" fillId="5" borderId="11" xfId="3" applyNumberFormat="1" applyFont="1" applyFill="1" applyBorder="1" applyAlignment="1">
      <alignment horizontal="center" vertical="center" wrapText="1"/>
    </xf>
    <xf numFmtId="1" fontId="4" fillId="5" borderId="57" xfId="3" applyNumberFormat="1" applyFont="1" applyFill="1" applyBorder="1"/>
    <xf numFmtId="176" fontId="4" fillId="7" borderId="11" xfId="3" applyNumberFormat="1" applyFill="1" applyBorder="1"/>
    <xf numFmtId="9" fontId="4" fillId="7" borderId="11" xfId="7" applyFill="1" applyBorder="1"/>
    <xf numFmtId="177" fontId="4" fillId="7" borderId="11" xfId="3" applyNumberFormat="1" applyFill="1" applyBorder="1"/>
    <xf numFmtId="1" fontId="4" fillId="5" borderId="59" xfId="3" applyNumberFormat="1" applyFont="1" applyFill="1" applyBorder="1"/>
    <xf numFmtId="9" fontId="4" fillId="7" borderId="45" xfId="7" applyFill="1" applyBorder="1"/>
    <xf numFmtId="176" fontId="4" fillId="7" borderId="45" xfId="3" applyNumberFormat="1" applyFill="1" applyBorder="1"/>
    <xf numFmtId="1" fontId="4" fillId="5" borderId="60" xfId="3" applyNumberFormat="1" applyFont="1" applyFill="1" applyBorder="1"/>
    <xf numFmtId="0" fontId="4" fillId="0" borderId="15" xfId="3" applyBorder="1"/>
    <xf numFmtId="9" fontId="4" fillId="7" borderId="8" xfId="7" applyFill="1" applyBorder="1"/>
    <xf numFmtId="176" fontId="4" fillId="7" borderId="8" xfId="3" applyNumberFormat="1" applyFill="1" applyBorder="1"/>
    <xf numFmtId="9" fontId="4" fillId="18" borderId="9" xfId="7" applyFill="1" applyBorder="1"/>
    <xf numFmtId="1" fontId="4" fillId="5" borderId="62" xfId="3" applyNumberFormat="1" applyFont="1" applyFill="1" applyBorder="1"/>
    <xf numFmtId="9" fontId="4" fillId="18" borderId="12" xfId="7" applyFill="1" applyBorder="1"/>
    <xf numFmtId="1" fontId="4" fillId="5" borderId="63" xfId="3" applyNumberFormat="1" applyFont="1" applyFill="1" applyBorder="1"/>
    <xf numFmtId="0" fontId="4" fillId="0" borderId="22" xfId="3" applyBorder="1"/>
    <xf numFmtId="9" fontId="4" fillId="7" borderId="21" xfId="7" applyFill="1" applyBorder="1"/>
    <xf numFmtId="176" fontId="4" fillId="7" borderId="21" xfId="3" applyNumberFormat="1" applyFill="1" applyBorder="1"/>
    <xf numFmtId="9" fontId="4" fillId="18" borderId="20" xfId="7" applyFill="1" applyBorder="1"/>
    <xf numFmtId="1" fontId="4" fillId="5" borderId="58" xfId="3" applyNumberFormat="1" applyFont="1" applyFill="1" applyBorder="1"/>
    <xf numFmtId="9" fontId="4" fillId="7" borderId="48" xfId="7" applyFill="1" applyBorder="1"/>
    <xf numFmtId="176" fontId="4" fillId="7" borderId="48" xfId="3" applyNumberFormat="1" applyFill="1" applyBorder="1"/>
    <xf numFmtId="176" fontId="4" fillId="0" borderId="0" xfId="3" applyNumberFormat="1"/>
    <xf numFmtId="9" fontId="4" fillId="0" borderId="0" xfId="7"/>
    <xf numFmtId="1" fontId="19" fillId="5" borderId="54" xfId="3" applyNumberFormat="1" applyFont="1" applyFill="1" applyBorder="1" applyAlignment="1">
      <alignment horizontal="center" vertical="center" wrapText="1"/>
    </xf>
    <xf numFmtId="177" fontId="19" fillId="5" borderId="11" xfId="3" applyNumberFormat="1" applyFont="1" applyFill="1" applyBorder="1" applyAlignment="1">
      <alignment horizontal="center" vertical="center" wrapText="1"/>
    </xf>
    <xf numFmtId="9" fontId="4" fillId="7" borderId="9" xfId="7" applyFill="1" applyBorder="1"/>
    <xf numFmtId="9" fontId="4" fillId="7" borderId="12" xfId="7" applyFill="1" applyBorder="1"/>
    <xf numFmtId="9" fontId="4" fillId="7" borderId="20" xfId="7" applyFill="1" applyBorder="1"/>
    <xf numFmtId="0" fontId="4" fillId="19" borderId="0" xfId="3" applyFill="1" applyAlignment="1">
      <alignment horizontal="center" vertical="center" wrapText="1"/>
    </xf>
    <xf numFmtId="0" fontId="4" fillId="19" borderId="0" xfId="3" applyFill="1" applyBorder="1" applyAlignment="1">
      <alignment horizontal="center" vertical="center" wrapText="1"/>
    </xf>
    <xf numFmtId="0" fontId="4" fillId="19" borderId="13" xfId="3" applyFill="1" applyBorder="1" applyAlignment="1">
      <alignment horizontal="center" vertical="center" wrapText="1"/>
    </xf>
    <xf numFmtId="0" fontId="4" fillId="19" borderId="0" xfId="3" applyFill="1" applyAlignment="1">
      <alignment horizontal="center"/>
    </xf>
    <xf numFmtId="176" fontId="0" fillId="20" borderId="58" xfId="5" applyNumberFormat="1" applyFont="1" applyFill="1" applyBorder="1"/>
    <xf numFmtId="176" fontId="0" fillId="20" borderId="61" xfId="5" applyNumberFormat="1" applyFont="1" applyFill="1" applyBorder="1"/>
    <xf numFmtId="176" fontId="0" fillId="20" borderId="57" xfId="5" applyNumberFormat="1" applyFont="1" applyFill="1" applyBorder="1"/>
    <xf numFmtId="176" fontId="0" fillId="20" borderId="59" xfId="5" applyNumberFormat="1" applyFont="1" applyFill="1" applyBorder="1"/>
    <xf numFmtId="176" fontId="0" fillId="20" borderId="64" xfId="5" applyNumberFormat="1" applyFont="1" applyFill="1" applyBorder="1"/>
    <xf numFmtId="0" fontId="19" fillId="7" borderId="11" xfId="3" applyFont="1" applyFill="1" applyBorder="1" applyAlignment="1">
      <alignment horizontal="center"/>
    </xf>
    <xf numFmtId="10" fontId="4" fillId="21" borderId="11" xfId="3" applyNumberFormat="1" applyFill="1" applyBorder="1"/>
    <xf numFmtId="0" fontId="4" fillId="21" borderId="11" xfId="3" applyFill="1" applyBorder="1"/>
    <xf numFmtId="176" fontId="36" fillId="0" borderId="0" xfId="1" applyNumberFormat="1" applyFont="1"/>
    <xf numFmtId="10" fontId="36" fillId="0" borderId="0" xfId="2" applyNumberFormat="1" applyFont="1"/>
    <xf numFmtId="176" fontId="37" fillId="7" borderId="11" xfId="1" applyNumberFormat="1" applyFont="1" applyFill="1" applyBorder="1"/>
    <xf numFmtId="0" fontId="37" fillId="7" borderId="11" xfId="1" applyNumberFormat="1" applyFont="1" applyFill="1" applyBorder="1"/>
    <xf numFmtId="176" fontId="36" fillId="7" borderId="11" xfId="1" applyNumberFormat="1" applyFont="1" applyFill="1" applyBorder="1"/>
    <xf numFmtId="176" fontId="37" fillId="7" borderId="11" xfId="1" applyNumberFormat="1" applyFont="1" applyFill="1" applyBorder="1" applyAlignment="1">
      <alignment horizontal="right"/>
    </xf>
    <xf numFmtId="9" fontId="36" fillId="7" borderId="11" xfId="2" applyFont="1" applyFill="1" applyBorder="1"/>
    <xf numFmtId="10" fontId="36" fillId="7" borderId="11" xfId="2" applyNumberFormat="1" applyFont="1" applyFill="1" applyBorder="1"/>
    <xf numFmtId="176" fontId="36" fillId="0" borderId="0" xfId="1" applyNumberFormat="1" applyFont="1" applyFill="1"/>
    <xf numFmtId="0" fontId="0" fillId="0" borderId="0" xfId="0" applyFill="1"/>
    <xf numFmtId="173" fontId="4" fillId="12" borderId="11" xfId="3" applyNumberFormat="1" applyFill="1" applyBorder="1"/>
    <xf numFmtId="175" fontId="4" fillId="12" borderId="11" xfId="3" applyNumberFormat="1" applyFill="1" applyBorder="1"/>
    <xf numFmtId="9" fontId="4" fillId="7" borderId="11" xfId="2" applyFont="1" applyFill="1" applyBorder="1"/>
    <xf numFmtId="9" fontId="15" fillId="6" borderId="11" xfId="0" applyNumberFormat="1" applyFont="1" applyFill="1" applyBorder="1" applyAlignment="1" applyProtection="1">
      <alignment horizontal="right" vertical="center"/>
    </xf>
    <xf numFmtId="10" fontId="15" fillId="6" borderId="11" xfId="0" applyNumberFormat="1" applyFont="1" applyFill="1" applyBorder="1" applyAlignment="1" applyProtection="1">
      <alignment vertical="center"/>
    </xf>
    <xf numFmtId="178" fontId="4" fillId="0" borderId="0" xfId="3" applyNumberFormat="1"/>
    <xf numFmtId="9" fontId="4" fillId="0" borderId="0" xfId="2" applyFont="1"/>
    <xf numFmtId="176" fontId="0" fillId="0" borderId="0" xfId="0" applyNumberFormat="1"/>
    <xf numFmtId="178" fontId="0" fillId="5" borderId="58" xfId="1" applyNumberFormat="1" applyFont="1" applyFill="1" applyBorder="1"/>
    <xf numFmtId="0" fontId="35" fillId="12" borderId="0" xfId="3" applyFont="1" applyFill="1" applyAlignment="1">
      <alignment horizontal="left"/>
    </xf>
    <xf numFmtId="0" fontId="4" fillId="12" borderId="0" xfId="3" applyFont="1" applyFill="1"/>
    <xf numFmtId="173" fontId="4" fillId="0" borderId="11" xfId="3" applyNumberFormat="1" applyFill="1" applyBorder="1"/>
    <xf numFmtId="174" fontId="0" fillId="0" borderId="11" xfId="5" applyNumberFormat="1" applyFont="1" applyFill="1" applyBorder="1"/>
    <xf numFmtId="174" fontId="0" fillId="12" borderId="11" xfId="5" applyNumberFormat="1" applyFont="1" applyFill="1" applyBorder="1"/>
    <xf numFmtId="164" fontId="4" fillId="7" borderId="11" xfId="3" applyNumberFormat="1" applyFill="1" applyBorder="1"/>
    <xf numFmtId="0" fontId="6" fillId="22" borderId="0" xfId="0" applyFont="1" applyFill="1" applyBorder="1" applyAlignment="1" applyProtection="1">
      <alignment horizontal="center" vertical="center" wrapText="1"/>
    </xf>
    <xf numFmtId="179" fontId="38" fillId="23" borderId="11" xfId="5" applyNumberFormat="1" applyFont="1" applyFill="1" applyBorder="1" applyAlignment="1" applyProtection="1">
      <alignment horizontal="center" vertical="center"/>
      <protection locked="0"/>
    </xf>
    <xf numFmtId="0" fontId="0" fillId="12" borderId="0" xfId="3" applyFont="1" applyFill="1"/>
    <xf numFmtId="0" fontId="19" fillId="0" borderId="0" xfId="3" applyFont="1" applyBorder="1" applyAlignment="1">
      <alignment horizontal="center" vertical="center"/>
    </xf>
    <xf numFmtId="180" fontId="4" fillId="7" borderId="17" xfId="3" applyNumberFormat="1" applyFont="1" applyFill="1" applyBorder="1"/>
    <xf numFmtId="166" fontId="0" fillId="11" borderId="11" xfId="3" applyNumberFormat="1" applyFont="1" applyFill="1" applyBorder="1"/>
    <xf numFmtId="11" fontId="0" fillId="7" borderId="7" xfId="5" applyNumberFormat="1" applyFont="1" applyFill="1" applyBorder="1"/>
    <xf numFmtId="0" fontId="0" fillId="0" borderId="8" xfId="3" applyFont="1" applyBorder="1"/>
    <xf numFmtId="11" fontId="0" fillId="7" borderId="9" xfId="5" applyNumberFormat="1" applyFont="1" applyFill="1" applyBorder="1"/>
    <xf numFmtId="0" fontId="0" fillId="0" borderId="11" xfId="3" applyFont="1" applyBorder="1"/>
    <xf numFmtId="0" fontId="4" fillId="7" borderId="12" xfId="3" applyFont="1" applyFill="1" applyBorder="1"/>
    <xf numFmtId="0" fontId="0" fillId="12" borderId="0" xfId="3" applyFont="1" applyFill="1" applyAlignment="1">
      <alignment horizontal="right"/>
    </xf>
    <xf numFmtId="11" fontId="0" fillId="7" borderId="65" xfId="5" applyNumberFormat="1" applyFont="1" applyFill="1" applyBorder="1"/>
    <xf numFmtId="0" fontId="0" fillId="0" borderId="66" xfId="3" applyFont="1" applyBorder="1"/>
    <xf numFmtId="11" fontId="0" fillId="7" borderId="67" xfId="5" applyNumberFormat="1" applyFont="1" applyFill="1" applyBorder="1"/>
    <xf numFmtId="0" fontId="4" fillId="0" borderId="65" xfId="3" applyFont="1" applyBorder="1"/>
    <xf numFmtId="0" fontId="4" fillId="7" borderId="66" xfId="3" applyFont="1" applyFill="1" applyBorder="1"/>
    <xf numFmtId="0" fontId="4" fillId="7" borderId="67" xfId="3" applyFont="1" applyFill="1" applyBorder="1"/>
    <xf numFmtId="1" fontId="0" fillId="11" borderId="17" xfId="3" applyNumberFormat="1" applyFont="1" applyFill="1" applyBorder="1"/>
    <xf numFmtId="1" fontId="4" fillId="11" borderId="17" xfId="3" applyNumberFormat="1" applyFont="1" applyFill="1" applyBorder="1"/>
    <xf numFmtId="167" fontId="0" fillId="11" borderId="17" xfId="3" applyNumberFormat="1" applyFont="1" applyFill="1" applyBorder="1"/>
    <xf numFmtId="167" fontId="4" fillId="11" borderId="17" xfId="3" applyNumberFormat="1" applyFont="1" applyFill="1" applyBorder="1"/>
    <xf numFmtId="180" fontId="4" fillId="11" borderId="17" xfId="3" applyNumberFormat="1" applyFont="1" applyFill="1" applyBorder="1"/>
    <xf numFmtId="165" fontId="0" fillId="6" borderId="68" xfId="5" applyNumberFormat="1" applyFont="1" applyFill="1" applyBorder="1"/>
    <xf numFmtId="167" fontId="15" fillId="7" borderId="17" xfId="3" applyNumberFormat="1" applyFont="1" applyFill="1" applyBorder="1" applyAlignment="1">
      <alignment horizontal="right" vertical="center" wrapText="1"/>
    </xf>
    <xf numFmtId="0" fontId="8" fillId="4" borderId="0" xfId="4" applyFill="1"/>
    <xf numFmtId="0" fontId="26" fillId="9" borderId="11" xfId="3" applyFont="1" applyFill="1" applyBorder="1" applyAlignment="1">
      <alignment horizontal="center" vertical="center" wrapText="1"/>
    </xf>
    <xf numFmtId="168" fontId="26" fillId="9" borderId="11" xfId="3" applyNumberFormat="1" applyFont="1" applyFill="1" applyBorder="1" applyAlignment="1">
      <alignment horizontal="center" vertical="center"/>
    </xf>
    <xf numFmtId="1" fontId="0" fillId="11" borderId="11" xfId="3" applyNumberFormat="1" applyFont="1" applyFill="1" applyBorder="1"/>
    <xf numFmtId="181" fontId="0" fillId="11" borderId="11" xfId="3" applyNumberFormat="1" applyFont="1" applyFill="1" applyBorder="1"/>
    <xf numFmtId="2" fontId="0" fillId="7" borderId="11" xfId="3" applyNumberFormat="1" applyFont="1" applyFill="1" applyBorder="1"/>
    <xf numFmtId="168" fontId="0" fillId="7" borderId="11" xfId="3" applyNumberFormat="1" applyFont="1" applyFill="1" applyBorder="1"/>
    <xf numFmtId="167" fontId="0" fillId="11" borderId="11" xfId="3" applyNumberFormat="1" applyFont="1" applyFill="1" applyBorder="1"/>
    <xf numFmtId="10" fontId="0" fillId="11" borderId="11" xfId="3" applyNumberFormat="1" applyFont="1" applyFill="1" applyBorder="1" applyAlignment="1">
      <alignment horizontal="center"/>
    </xf>
    <xf numFmtId="0" fontId="0" fillId="11" borderId="11" xfId="3" applyFont="1" applyFill="1" applyBorder="1" applyAlignment="1">
      <alignment horizontal="center" vertical="center"/>
    </xf>
    <xf numFmtId="171" fontId="0" fillId="11" borderId="11" xfId="3" applyNumberFormat="1" applyFont="1" applyFill="1" applyBorder="1" applyAlignment="1">
      <alignment horizontal="right" vertical="center"/>
    </xf>
    <xf numFmtId="181" fontId="0" fillId="7" borderId="11" xfId="3" applyNumberFormat="1" applyFont="1" applyFill="1" applyBorder="1"/>
    <xf numFmtId="0" fontId="0" fillId="11" borderId="11" xfId="3" applyFont="1" applyFill="1" applyBorder="1"/>
    <xf numFmtId="172" fontId="4" fillId="7" borderId="11" xfId="3" applyNumberFormat="1" applyFont="1" applyFill="1" applyBorder="1" applyAlignment="1">
      <alignment horizontal="center" vertical="center"/>
    </xf>
    <xf numFmtId="181" fontId="4" fillId="11" borderId="11" xfId="3" applyNumberFormat="1" applyFont="1" applyFill="1" applyBorder="1"/>
    <xf numFmtId="2" fontId="0" fillId="7" borderId="45" xfId="3" applyNumberFormat="1" applyFont="1" applyFill="1" applyBorder="1"/>
    <xf numFmtId="170" fontId="19" fillId="7" borderId="17" xfId="3" applyNumberFormat="1" applyFont="1" applyFill="1" applyBorder="1" applyAlignment="1">
      <alignment horizontal="center" vertical="center" wrapText="1"/>
    </xf>
    <xf numFmtId="0" fontId="0" fillId="12" borderId="11" xfId="3" applyFont="1" applyFill="1" applyBorder="1" applyAlignment="1"/>
    <xf numFmtId="0" fontId="4" fillId="13" borderId="11" xfId="3" applyFont="1" applyFill="1" applyBorder="1" applyAlignment="1"/>
    <xf numFmtId="10" fontId="0" fillId="11" borderId="11" xfId="3" applyNumberFormat="1" applyFont="1" applyFill="1" applyBorder="1"/>
    <xf numFmtId="10" fontId="4" fillId="11" borderId="11" xfId="3" applyNumberFormat="1" applyFont="1" applyFill="1" applyBorder="1"/>
    <xf numFmtId="167" fontId="0" fillId="7" borderId="45" xfId="3" applyNumberFormat="1" applyFont="1" applyFill="1" applyBorder="1"/>
    <xf numFmtId="181" fontId="4" fillId="7" borderId="11" xfId="3" applyNumberFormat="1" applyFont="1" applyFill="1" applyBorder="1"/>
    <xf numFmtId="167" fontId="19" fillId="7" borderId="17" xfId="3" applyNumberFormat="1" applyFont="1" applyFill="1" applyBorder="1" applyAlignment="1">
      <alignment horizontal="center" vertical="center" wrapText="1"/>
    </xf>
    <xf numFmtId="171" fontId="0" fillId="11" borderId="11" xfId="3" applyNumberFormat="1" applyFont="1" applyFill="1" applyBorder="1"/>
    <xf numFmtId="168" fontId="4" fillId="7" borderId="11" xfId="3" applyNumberFormat="1" applyFont="1" applyFill="1" applyBorder="1"/>
    <xf numFmtId="168" fontId="19" fillId="7" borderId="17" xfId="3" applyNumberFormat="1" applyFont="1" applyFill="1" applyBorder="1" applyAlignment="1">
      <alignment horizontal="center" vertical="center" wrapText="1"/>
    </xf>
    <xf numFmtId="182" fontId="0" fillId="0" borderId="0" xfId="3" applyNumberFormat="1" applyFont="1"/>
    <xf numFmtId="0" fontId="39" fillId="0" borderId="0" xfId="3" applyFont="1"/>
    <xf numFmtId="43" fontId="0" fillId="0" borderId="11" xfId="5" applyFont="1" applyFill="1" applyBorder="1"/>
    <xf numFmtId="175" fontId="4" fillId="0" borderId="11" xfId="3" applyNumberFormat="1" applyFill="1" applyBorder="1"/>
    <xf numFmtId="174" fontId="0" fillId="0" borderId="18" xfId="5" applyNumberFormat="1" applyFont="1" applyFill="1" applyBorder="1"/>
    <xf numFmtId="9" fontId="4" fillId="0" borderId="11" xfId="2" applyFont="1" applyFill="1" applyBorder="1"/>
    <xf numFmtId="0" fontId="19" fillId="0" borderId="0" xfId="3" applyFont="1" applyFill="1" applyAlignment="1">
      <alignment vertical="center"/>
    </xf>
    <xf numFmtId="174" fontId="0" fillId="0" borderId="0" xfId="5" applyNumberFormat="1" applyFont="1" applyFill="1" applyBorder="1"/>
    <xf numFmtId="0" fontId="33" fillId="0" borderId="0" xfId="3" applyFont="1" applyAlignment="1">
      <alignment horizontal="center" vertical="center" wrapText="1"/>
    </xf>
    <xf numFmtId="0" fontId="19" fillId="0" borderId="0" xfId="3" applyFont="1" applyBorder="1" applyAlignment="1">
      <alignment horizontal="center" vertical="center" wrapText="1"/>
    </xf>
    <xf numFmtId="2" fontId="0" fillId="0" borderId="0" xfId="0" applyNumberFormat="1"/>
    <xf numFmtId="167" fontId="0" fillId="0" borderId="0" xfId="0" applyNumberFormat="1"/>
    <xf numFmtId="1" fontId="0" fillId="0" borderId="0" xfId="0" applyNumberFormat="1"/>
    <xf numFmtId="0" fontId="0" fillId="11" borderId="69" xfId="0" applyFill="1" applyBorder="1" applyAlignment="1">
      <alignment horizontal="center"/>
    </xf>
    <xf numFmtId="0" fontId="0" fillId="0" borderId="0" xfId="0" applyAlignment="1">
      <alignment horizontal="center" vertical="center" wrapText="1"/>
    </xf>
    <xf numFmtId="0" fontId="13" fillId="8" borderId="0" xfId="0" applyFont="1" applyFill="1" applyAlignment="1" applyProtection="1">
      <alignment horizontal="left" vertical="center"/>
    </xf>
    <xf numFmtId="0" fontId="13" fillId="8" borderId="0" xfId="0" applyFont="1" applyFill="1" applyProtection="1"/>
    <xf numFmtId="0" fontId="0" fillId="8" borderId="0" xfId="0" applyFill="1" applyProtection="1"/>
    <xf numFmtId="0" fontId="13" fillId="0" borderId="0" xfId="0" applyFont="1" applyAlignment="1" applyProtection="1">
      <alignment horizontal="center"/>
    </xf>
    <xf numFmtId="0" fontId="41" fillId="0" borderId="0" xfId="0" applyFont="1" applyFill="1" applyBorder="1" applyAlignment="1" applyProtection="1"/>
    <xf numFmtId="0" fontId="19" fillId="0" borderId="0" xfId="0" applyFont="1" applyFill="1" applyBorder="1" applyAlignment="1" applyProtection="1">
      <alignment horizontal="center" vertical="center"/>
    </xf>
    <xf numFmtId="0" fontId="13" fillId="0" borderId="0" xfId="0" applyFont="1" applyFill="1" applyBorder="1" applyAlignment="1" applyProtection="1">
      <alignment horizontal="center" wrapText="1"/>
    </xf>
    <xf numFmtId="0" fontId="19" fillId="0" borderId="0" xfId="0" applyFont="1" applyAlignment="1" applyProtection="1">
      <alignment horizontal="center" vertical="top" wrapText="1"/>
    </xf>
    <xf numFmtId="0" fontId="13" fillId="7" borderId="69" xfId="0" applyFont="1" applyFill="1" applyBorder="1" applyAlignment="1" applyProtection="1">
      <alignment horizontal="center" vertical="center"/>
    </xf>
    <xf numFmtId="0" fontId="15" fillId="0" borderId="0" xfId="0" applyFont="1" applyProtection="1"/>
    <xf numFmtId="0" fontId="15" fillId="0" borderId="0" xfId="0" applyFont="1" applyAlignment="1" applyProtection="1">
      <alignment horizontal="center" vertical="center"/>
    </xf>
    <xf numFmtId="0" fontId="33" fillId="7" borderId="45" xfId="0" applyFont="1" applyFill="1" applyBorder="1" applyAlignment="1" applyProtection="1">
      <alignment horizontal="center" vertical="center" wrapText="1"/>
    </xf>
    <xf numFmtId="0" fontId="19" fillId="7" borderId="66" xfId="0" applyFont="1" applyFill="1" applyBorder="1" applyAlignment="1" applyProtection="1">
      <alignment horizontal="center" vertical="center" wrapText="1"/>
    </xf>
    <xf numFmtId="0" fontId="15" fillId="0" borderId="0" xfId="0" applyFont="1" applyAlignment="1" applyProtection="1">
      <alignment horizontal="center"/>
    </xf>
    <xf numFmtId="0" fontId="13" fillId="0" borderId="0" xfId="0" applyFont="1" applyFill="1" applyBorder="1" applyAlignment="1" applyProtection="1">
      <alignment horizontal="right" vertical="center"/>
    </xf>
    <xf numFmtId="0" fontId="19" fillId="7" borderId="66" xfId="0" applyFont="1" applyFill="1" applyBorder="1" applyAlignment="1" applyProtection="1">
      <alignment horizontal="center" vertical="center"/>
    </xf>
    <xf numFmtId="0" fontId="33" fillId="7" borderId="45" xfId="0" applyFont="1" applyFill="1" applyBorder="1" applyAlignment="1" applyProtection="1">
      <alignment horizontal="right" vertical="center"/>
    </xf>
    <xf numFmtId="0" fontId="42" fillId="7" borderId="70" xfId="0" applyFont="1" applyFill="1" applyBorder="1" applyAlignment="1" applyProtection="1">
      <alignment horizontal="center" vertical="center"/>
    </xf>
    <xf numFmtId="0" fontId="0" fillId="6" borderId="48" xfId="0" applyFont="1" applyFill="1" applyBorder="1" applyProtection="1"/>
    <xf numFmtId="167" fontId="0" fillId="6" borderId="71" xfId="0" applyNumberFormat="1" applyFont="1" applyFill="1" applyBorder="1" applyProtection="1"/>
    <xf numFmtId="167" fontId="43" fillId="6" borderId="71" xfId="0" applyNumberFormat="1" applyFont="1" applyFill="1" applyBorder="1" applyProtection="1"/>
    <xf numFmtId="167" fontId="43" fillId="26" borderId="71" xfId="0" applyNumberFormat="1" applyFont="1" applyFill="1" applyBorder="1" applyProtection="1"/>
    <xf numFmtId="0" fontId="33" fillId="7" borderId="72" xfId="0" applyFont="1" applyFill="1" applyBorder="1" applyAlignment="1" applyProtection="1">
      <alignment horizontal="right" vertical="center"/>
    </xf>
    <xf numFmtId="0" fontId="42" fillId="7" borderId="51" xfId="0" applyFont="1" applyFill="1" applyBorder="1" applyAlignment="1" applyProtection="1">
      <alignment horizontal="center" vertical="center"/>
    </xf>
    <xf numFmtId="0" fontId="0" fillId="6" borderId="73" xfId="0" applyFont="1" applyFill="1" applyBorder="1" applyProtection="1"/>
    <xf numFmtId="167" fontId="43" fillId="6" borderId="74" xfId="0" applyNumberFormat="1" applyFont="1" applyFill="1" applyBorder="1" applyProtection="1"/>
    <xf numFmtId="167" fontId="43" fillId="26" borderId="74" xfId="0" applyNumberFormat="1" applyFont="1" applyFill="1" applyBorder="1" applyProtection="1"/>
    <xf numFmtId="0" fontId="13" fillId="0" borderId="0" xfId="0" applyFont="1" applyAlignment="1" applyProtection="1">
      <alignment horizontal="center" vertical="center"/>
    </xf>
    <xf numFmtId="167" fontId="0" fillId="6" borderId="74" xfId="0" applyNumberFormat="1" applyFont="1" applyFill="1" applyBorder="1" applyProtection="1"/>
    <xf numFmtId="167" fontId="0" fillId="26" borderId="74" xfId="0" applyNumberFormat="1" applyFont="1" applyFill="1" applyBorder="1" applyProtection="1"/>
    <xf numFmtId="0" fontId="13" fillId="0" borderId="0" xfId="0" applyFont="1" applyAlignment="1" applyProtection="1">
      <alignment horizontal="center" wrapText="1"/>
    </xf>
    <xf numFmtId="0" fontId="13" fillId="6" borderId="73" xfId="0" applyFont="1" applyFill="1" applyBorder="1" applyAlignment="1" applyProtection="1">
      <alignment horizontal="center" vertical="center"/>
    </xf>
    <xf numFmtId="0" fontId="0" fillId="0" borderId="0" xfId="0" applyProtection="1"/>
    <xf numFmtId="0" fontId="13" fillId="0" borderId="0" xfId="0" applyFont="1" applyAlignment="1" applyProtection="1">
      <alignment wrapText="1"/>
    </xf>
    <xf numFmtId="0" fontId="15" fillId="0" borderId="0" xfId="0" applyFont="1" applyFill="1" applyProtection="1"/>
    <xf numFmtId="0" fontId="13" fillId="0" borderId="0" xfId="0" applyFont="1" applyAlignment="1" applyProtection="1">
      <alignment horizontal="center" vertical="center" wrapText="1"/>
    </xf>
    <xf numFmtId="0" fontId="13" fillId="0" borderId="0" xfId="0" applyFont="1" applyAlignment="1" applyProtection="1">
      <alignment vertical="center" wrapText="1"/>
    </xf>
    <xf numFmtId="0" fontId="13" fillId="0" borderId="75" xfId="0" applyFont="1" applyBorder="1" applyAlignment="1" applyProtection="1">
      <alignment vertical="center" wrapText="1"/>
    </xf>
    <xf numFmtId="0" fontId="33" fillId="0" borderId="0" xfId="0" applyFont="1" applyFill="1" applyAlignment="1" applyProtection="1">
      <alignment horizontal="right" vertical="center"/>
    </xf>
    <xf numFmtId="0" fontId="15" fillId="0" borderId="0" xfId="0" applyFont="1" applyFill="1" applyBorder="1" applyProtection="1"/>
    <xf numFmtId="0" fontId="33" fillId="7" borderId="76" xfId="0" applyFont="1" applyFill="1" applyBorder="1" applyAlignment="1" applyProtection="1">
      <alignment horizontal="right" vertical="center"/>
    </xf>
    <xf numFmtId="0" fontId="13" fillId="7" borderId="11" xfId="0" applyFont="1" applyFill="1" applyBorder="1" applyAlignment="1" applyProtection="1">
      <alignment horizontal="center" vertical="center"/>
    </xf>
    <xf numFmtId="0" fontId="19" fillId="7" borderId="21" xfId="0" applyFont="1" applyFill="1" applyBorder="1" applyAlignment="1" applyProtection="1">
      <alignment horizontal="center" vertical="center" wrapText="1"/>
    </xf>
    <xf numFmtId="0" fontId="19" fillId="7" borderId="21" xfId="0" applyFont="1" applyFill="1" applyBorder="1" applyAlignment="1" applyProtection="1">
      <alignment horizontal="center" vertical="center"/>
    </xf>
    <xf numFmtId="183" fontId="38" fillId="23" borderId="11" xfId="5" applyNumberFormat="1" applyFont="1" applyFill="1" applyBorder="1" applyAlignment="1" applyProtection="1">
      <alignment horizontal="center" vertical="center"/>
      <protection locked="0"/>
    </xf>
    <xf numFmtId="0" fontId="4" fillId="12" borderId="0" xfId="3" applyFill="1"/>
    <xf numFmtId="0" fontId="35" fillId="12" borderId="0" xfId="3" applyFont="1" applyFill="1"/>
    <xf numFmtId="4" fontId="38" fillId="23" borderId="11" xfId="7" applyNumberFormat="1" applyFont="1" applyFill="1" applyBorder="1" applyAlignment="1" applyProtection="1">
      <alignment horizontal="center" vertical="center"/>
      <protection locked="0"/>
    </xf>
    <xf numFmtId="0" fontId="6" fillId="0" borderId="0" xfId="3" applyFont="1" applyFill="1" applyBorder="1" applyAlignment="1" applyProtection="1">
      <alignment horizontal="center" vertical="center" wrapText="1"/>
    </xf>
    <xf numFmtId="11" fontId="38" fillId="23" borderId="11" xfId="7" applyNumberFormat="1" applyFont="1" applyFill="1" applyBorder="1" applyAlignment="1" applyProtection="1">
      <alignment horizontal="center"/>
      <protection locked="0"/>
    </xf>
    <xf numFmtId="0" fontId="35" fillId="12" borderId="0" xfId="3" applyFont="1" applyFill="1" applyAlignment="1">
      <alignment horizontal="center"/>
    </xf>
    <xf numFmtId="0" fontId="0" fillId="6" borderId="76" xfId="0" applyFont="1" applyFill="1" applyBorder="1" applyProtection="1"/>
    <xf numFmtId="0" fontId="3" fillId="0" borderId="0" xfId="0" applyFont="1"/>
    <xf numFmtId="0" fontId="3" fillId="27" borderId="0" xfId="0" applyFont="1" applyFill="1"/>
    <xf numFmtId="0" fontId="3" fillId="16" borderId="0" xfId="0" applyFont="1" applyFill="1"/>
    <xf numFmtId="0" fontId="3" fillId="19" borderId="0" xfId="0" applyFont="1" applyFill="1"/>
    <xf numFmtId="0" fontId="38" fillId="22" borderId="0" xfId="0" applyFont="1" applyFill="1" applyBorder="1" applyAlignment="1" applyProtection="1">
      <alignment horizontal="center" vertical="center" wrapText="1"/>
    </xf>
    <xf numFmtId="164" fontId="0" fillId="0" borderId="0" xfId="1" applyFont="1"/>
    <xf numFmtId="176" fontId="40" fillId="24" borderId="0" xfId="8" applyNumberFormat="1"/>
    <xf numFmtId="164" fontId="0" fillId="0" borderId="0" xfId="0" applyNumberFormat="1"/>
    <xf numFmtId="184" fontId="38" fillId="23" borderId="11" xfId="5" applyNumberFormat="1" applyFont="1" applyFill="1" applyBorder="1" applyAlignment="1" applyProtection="1">
      <alignment horizontal="center" vertical="center"/>
      <protection locked="0"/>
    </xf>
    <xf numFmtId="0" fontId="0" fillId="29" borderId="17" xfId="0" applyFill="1" applyBorder="1"/>
    <xf numFmtId="0" fontId="0" fillId="8" borderId="0" xfId="0" applyFill="1"/>
    <xf numFmtId="0" fontId="44" fillId="12" borderId="0" xfId="0" applyFont="1" applyFill="1"/>
    <xf numFmtId="0" fontId="0" fillId="29" borderId="4" xfId="0" applyFill="1" applyBorder="1" applyAlignment="1"/>
    <xf numFmtId="0" fontId="0" fillId="29" borderId="6" xfId="0" applyFill="1" applyBorder="1" applyAlignment="1"/>
    <xf numFmtId="0" fontId="45" fillId="30" borderId="0" xfId="0" applyFont="1" applyFill="1"/>
    <xf numFmtId="0" fontId="45" fillId="30" borderId="11" xfId="0" applyFont="1" applyFill="1" applyBorder="1" applyAlignment="1">
      <alignment vertical="center"/>
    </xf>
    <xf numFmtId="178" fontId="0" fillId="32" borderId="0" xfId="1" applyNumberFormat="1" applyFont="1" applyFill="1"/>
    <xf numFmtId="178" fontId="0" fillId="0" borderId="0" xfId="0" applyNumberFormat="1"/>
    <xf numFmtId="178" fontId="0" fillId="28" borderId="0" xfId="1" applyNumberFormat="1" applyFont="1" applyFill="1"/>
    <xf numFmtId="178" fontId="0" fillId="7" borderId="0" xfId="0" applyNumberFormat="1" applyFill="1"/>
    <xf numFmtId="0" fontId="46" fillId="33" borderId="11" xfId="0" applyFont="1" applyFill="1" applyBorder="1" applyAlignment="1">
      <alignment vertical="center"/>
    </xf>
    <xf numFmtId="0" fontId="46" fillId="33" borderId="18" xfId="0" applyFont="1" applyFill="1" applyBorder="1" applyAlignment="1">
      <alignment vertical="center"/>
    </xf>
    <xf numFmtId="0" fontId="0" fillId="7" borderId="0" xfId="0" applyFont="1" applyFill="1"/>
    <xf numFmtId="0" fontId="45" fillId="33" borderId="0" xfId="0" applyFont="1" applyFill="1" applyBorder="1" applyAlignment="1">
      <alignment vertical="center"/>
    </xf>
    <xf numFmtId="0" fontId="0" fillId="11" borderId="11" xfId="0" applyFill="1" applyBorder="1" applyAlignment="1">
      <alignment horizontal="center"/>
    </xf>
    <xf numFmtId="0" fontId="0" fillId="7" borderId="11" xfId="0" applyFill="1" applyBorder="1"/>
    <xf numFmtId="167" fontId="0" fillId="7" borderId="11" xfId="0" applyNumberFormat="1" applyFill="1" applyBorder="1"/>
    <xf numFmtId="0" fontId="4" fillId="29" borderId="0" xfId="3" applyFont="1" applyFill="1"/>
    <xf numFmtId="0" fontId="0" fillId="0" borderId="69" xfId="0" applyBorder="1"/>
    <xf numFmtId="167" fontId="0" fillId="0" borderId="69" xfId="0" applyNumberFormat="1" applyBorder="1"/>
    <xf numFmtId="1" fontId="0" fillId="7" borderId="11" xfId="0" applyNumberFormat="1" applyFill="1" applyBorder="1"/>
    <xf numFmtId="0" fontId="0" fillId="7" borderId="69" xfId="0" applyFill="1" applyBorder="1"/>
    <xf numFmtId="0" fontId="0" fillId="7" borderId="0" xfId="0" applyFill="1"/>
    <xf numFmtId="9" fontId="0" fillId="0" borderId="0" xfId="2" applyFont="1"/>
    <xf numFmtId="0" fontId="4" fillId="0" borderId="0" xfId="3" applyAlignment="1">
      <alignment wrapText="1"/>
    </xf>
    <xf numFmtId="0" fontId="4" fillId="0" borderId="0" xfId="3" applyFill="1" applyBorder="1" applyAlignment="1">
      <alignment horizontal="center" vertical="center" wrapText="1"/>
    </xf>
    <xf numFmtId="0" fontId="4" fillId="0" borderId="0" xfId="3" applyFill="1" applyAlignment="1">
      <alignment horizontal="center" vertical="center" wrapText="1"/>
    </xf>
    <xf numFmtId="173" fontId="4" fillId="0" borderId="0" xfId="3" applyNumberFormat="1" applyFill="1" applyBorder="1"/>
    <xf numFmtId="175" fontId="4" fillId="0" borderId="0" xfId="3" applyNumberFormat="1" applyFill="1" applyBorder="1"/>
    <xf numFmtId="176" fontId="0" fillId="5" borderId="58" xfId="1" applyNumberFormat="1" applyFont="1" applyFill="1" applyBorder="1"/>
    <xf numFmtId="1" fontId="0" fillId="5" borderId="58" xfId="1" applyNumberFormat="1" applyFont="1" applyFill="1" applyBorder="1"/>
    <xf numFmtId="0" fontId="4" fillId="21" borderId="69" xfId="3" applyFill="1" applyBorder="1"/>
    <xf numFmtId="164" fontId="4" fillId="0" borderId="0" xfId="3" applyNumberFormat="1"/>
    <xf numFmtId="9" fontId="4" fillId="7" borderId="69" xfId="2" applyFont="1" applyFill="1" applyBorder="1"/>
    <xf numFmtId="0" fontId="19" fillId="7" borderId="69" xfId="3" applyFont="1" applyFill="1" applyBorder="1" applyAlignment="1">
      <alignment horizontal="center" vertical="center" wrapText="1"/>
    </xf>
    <xf numFmtId="2" fontId="0" fillId="7" borderId="69" xfId="0" applyNumberFormat="1" applyFill="1" applyBorder="1"/>
    <xf numFmtId="0" fontId="3" fillId="7" borderId="69" xfId="0" applyFont="1" applyFill="1" applyBorder="1" applyAlignment="1">
      <alignment vertical="center" wrapText="1"/>
    </xf>
    <xf numFmtId="0" fontId="3" fillId="7" borderId="69" xfId="0" applyFont="1" applyFill="1" applyBorder="1"/>
    <xf numFmtId="0" fontId="19" fillId="7" borderId="72" xfId="3" applyFont="1" applyFill="1" applyBorder="1" applyAlignment="1">
      <alignment horizontal="center" vertical="center" wrapText="1"/>
    </xf>
    <xf numFmtId="168" fontId="0" fillId="7" borderId="69" xfId="0" applyNumberFormat="1" applyFill="1" applyBorder="1"/>
    <xf numFmtId="0" fontId="19" fillId="0" borderId="0" xfId="3" applyFont="1" applyBorder="1" applyAlignment="1">
      <alignment horizontal="center" vertical="center" wrapText="1"/>
    </xf>
    <xf numFmtId="2" fontId="4" fillId="0" borderId="0" xfId="3" applyNumberFormat="1"/>
    <xf numFmtId="167" fontId="4" fillId="0" borderId="0" xfId="3" applyNumberFormat="1"/>
    <xf numFmtId="9" fontId="15" fillId="6" borderId="76" xfId="0" applyNumberFormat="1" applyFont="1" applyFill="1" applyBorder="1" applyAlignment="1" applyProtection="1">
      <alignment horizontal="right" vertical="center"/>
    </xf>
    <xf numFmtId="0" fontId="19" fillId="0" borderId="0" xfId="3" applyFont="1" applyBorder="1" applyAlignment="1">
      <alignment horizontal="center" vertical="center" wrapText="1"/>
    </xf>
    <xf numFmtId="0" fontId="19" fillId="0" borderId="69" xfId="3" applyFont="1" applyBorder="1" applyAlignment="1">
      <alignment horizontal="center" vertical="center" wrapText="1"/>
    </xf>
    <xf numFmtId="0" fontId="4" fillId="0" borderId="69" xfId="3" applyBorder="1"/>
    <xf numFmtId="0" fontId="4" fillId="19" borderId="69" xfId="3" applyFill="1" applyBorder="1" applyAlignment="1">
      <alignment horizontal="center"/>
    </xf>
    <xf numFmtId="0" fontId="4" fillId="16" borderId="69" xfId="3" applyFill="1" applyBorder="1" applyAlignment="1">
      <alignment horizontal="center"/>
    </xf>
    <xf numFmtId="0" fontId="19" fillId="18" borderId="69" xfId="3" applyFont="1" applyFill="1" applyBorder="1" applyAlignment="1">
      <alignment horizontal="center" vertical="center" wrapText="1"/>
    </xf>
    <xf numFmtId="173" fontId="4" fillId="7" borderId="69" xfId="3" applyNumberFormat="1" applyFill="1" applyBorder="1"/>
    <xf numFmtId="43" fontId="0" fillId="7" borderId="69" xfId="5" applyFont="1" applyFill="1" applyBorder="1"/>
    <xf numFmtId="174" fontId="0" fillId="7" borderId="69" xfId="5" applyNumberFormat="1" applyFont="1" applyFill="1" applyBorder="1"/>
    <xf numFmtId="0" fontId="19" fillId="12" borderId="4" xfId="3" applyFont="1" applyFill="1" applyBorder="1" applyAlignment="1">
      <alignment wrapText="1"/>
    </xf>
    <xf numFmtId="0" fontId="4" fillId="0" borderId="0" xfId="3" applyAlignment="1">
      <alignment horizontal="right"/>
    </xf>
    <xf numFmtId="9" fontId="4" fillId="21" borderId="69" xfId="2" applyFont="1" applyFill="1" applyBorder="1"/>
    <xf numFmtId="0" fontId="34" fillId="0" borderId="0" xfId="3" applyFont="1"/>
    <xf numFmtId="0" fontId="34" fillId="0" borderId="0" xfId="3" applyFont="1" applyAlignment="1">
      <alignment wrapText="1"/>
    </xf>
    <xf numFmtId="0" fontId="53" fillId="0" borderId="0" xfId="3" applyFont="1" applyFill="1" applyBorder="1" applyAlignment="1">
      <alignment horizontal="center" vertical="center" wrapText="1"/>
    </xf>
    <xf numFmtId="0" fontId="4" fillId="19" borderId="69" xfId="3" applyFont="1" applyFill="1" applyBorder="1" applyAlignment="1">
      <alignment horizontal="center" wrapText="1"/>
    </xf>
    <xf numFmtId="0" fontId="4" fillId="16" borderId="69" xfId="3" applyFont="1" applyFill="1" applyBorder="1" applyAlignment="1">
      <alignment horizontal="center" wrapText="1"/>
    </xf>
    <xf numFmtId="0" fontId="4" fillId="18" borderId="69" xfId="3" applyFont="1" applyFill="1" applyBorder="1" applyAlignment="1">
      <alignment horizontal="center" vertical="center" wrapText="1"/>
    </xf>
    <xf numFmtId="0" fontId="4" fillId="19" borderId="69" xfId="3" applyFont="1" applyFill="1" applyBorder="1" applyAlignment="1">
      <alignment horizontal="center" vertical="center" wrapText="1"/>
    </xf>
    <xf numFmtId="0" fontId="4" fillId="16" borderId="69" xfId="3" applyFont="1" applyFill="1" applyBorder="1" applyAlignment="1">
      <alignment horizontal="center" vertical="center" wrapText="1"/>
    </xf>
    <xf numFmtId="0" fontId="4" fillId="19" borderId="69" xfId="3" applyFill="1" applyBorder="1" applyAlignment="1">
      <alignment horizontal="center" vertical="center" wrapText="1"/>
    </xf>
    <xf numFmtId="0" fontId="4" fillId="16" borderId="69" xfId="3" applyFill="1" applyBorder="1" applyAlignment="1">
      <alignment horizontal="center" vertical="center" wrapText="1"/>
    </xf>
    <xf numFmtId="0" fontId="4" fillId="0" borderId="69" xfId="3" applyFont="1" applyBorder="1"/>
    <xf numFmtId="1" fontId="4" fillId="5" borderId="69" xfId="3" applyNumberFormat="1" applyFont="1" applyFill="1" applyBorder="1"/>
    <xf numFmtId="176" fontId="19" fillId="5" borderId="69" xfId="5" applyNumberFormat="1" applyFont="1" applyFill="1" applyBorder="1" applyAlignment="1">
      <alignment horizontal="center" vertical="center" wrapText="1"/>
    </xf>
    <xf numFmtId="1" fontId="19" fillId="5" borderId="69" xfId="3" applyNumberFormat="1" applyFont="1" applyFill="1" applyBorder="1" applyAlignment="1">
      <alignment horizontal="center" vertical="center" wrapText="1"/>
    </xf>
    <xf numFmtId="178" fontId="0" fillId="5" borderId="69" xfId="1" applyNumberFormat="1" applyFont="1" applyFill="1" applyBorder="1"/>
    <xf numFmtId="0" fontId="34" fillId="15" borderId="69" xfId="3" applyFont="1" applyFill="1" applyBorder="1" applyAlignment="1">
      <alignment horizontal="center" vertical="center"/>
    </xf>
    <xf numFmtId="0" fontId="17" fillId="0" borderId="69" xfId="3" applyFont="1" applyFill="1" applyBorder="1" applyAlignment="1">
      <alignment horizontal="right" vertical="center"/>
    </xf>
    <xf numFmtId="0" fontId="34" fillId="7" borderId="69" xfId="3" applyFont="1" applyFill="1" applyBorder="1" applyAlignment="1">
      <alignment horizontal="center" vertical="center"/>
    </xf>
    <xf numFmtId="177" fontId="19" fillId="5" borderId="48" xfId="3" applyNumberFormat="1" applyFont="1" applyFill="1" applyBorder="1" applyAlignment="1">
      <alignment horizontal="center" vertical="center" wrapText="1"/>
    </xf>
    <xf numFmtId="176" fontId="4" fillId="7" borderId="69" xfId="3" applyNumberFormat="1" applyFill="1" applyBorder="1"/>
    <xf numFmtId="1" fontId="4" fillId="0" borderId="0" xfId="3" applyNumberFormat="1" applyFont="1" applyFill="1" applyBorder="1"/>
    <xf numFmtId="176" fontId="0" fillId="0" borderId="0" xfId="5" applyNumberFormat="1" applyFont="1" applyFill="1" applyBorder="1"/>
    <xf numFmtId="1" fontId="0" fillId="0" borderId="0" xfId="1" applyNumberFormat="1" applyFont="1" applyFill="1" applyBorder="1"/>
    <xf numFmtId="176" fontId="0" fillId="0" borderId="0" xfId="1" applyNumberFormat="1" applyFont="1" applyFill="1" applyBorder="1"/>
    <xf numFmtId="178" fontId="0" fillId="0" borderId="0" xfId="1" applyNumberFormat="1" applyFont="1" applyFill="1" applyBorder="1"/>
    <xf numFmtId="176" fontId="4" fillId="0" borderId="0" xfId="3" applyNumberFormat="1" applyFill="1"/>
    <xf numFmtId="164" fontId="4" fillId="0" borderId="0" xfId="3" applyNumberFormat="1" applyFill="1"/>
    <xf numFmtId="1" fontId="4" fillId="5" borderId="84" xfId="3" applyNumberFormat="1" applyFont="1" applyFill="1" applyBorder="1"/>
    <xf numFmtId="1" fontId="19" fillId="5" borderId="48" xfId="3" applyNumberFormat="1" applyFont="1" applyFill="1" applyBorder="1" applyAlignment="1">
      <alignment horizontal="center" vertical="center" wrapText="1"/>
    </xf>
    <xf numFmtId="1" fontId="19" fillId="5" borderId="88" xfId="3" applyNumberFormat="1" applyFont="1" applyFill="1" applyBorder="1" applyAlignment="1">
      <alignment horizontal="center" vertical="center" wrapText="1"/>
    </xf>
    <xf numFmtId="1" fontId="19" fillId="5" borderId="89" xfId="3" applyNumberFormat="1" applyFont="1" applyFill="1" applyBorder="1" applyAlignment="1">
      <alignment horizontal="center" vertical="center" wrapText="1"/>
    </xf>
    <xf numFmtId="1" fontId="19" fillId="5" borderId="90" xfId="3" applyNumberFormat="1" applyFont="1" applyFill="1" applyBorder="1" applyAlignment="1">
      <alignment horizontal="center" vertical="center" wrapText="1"/>
    </xf>
    <xf numFmtId="1" fontId="19" fillId="5" borderId="76" xfId="3" applyNumberFormat="1" applyFont="1" applyFill="1" applyBorder="1" applyAlignment="1">
      <alignment horizontal="center" vertical="center" wrapText="1"/>
    </xf>
    <xf numFmtId="0" fontId="4" fillId="34" borderId="69" xfId="3" applyFill="1" applyBorder="1"/>
    <xf numFmtId="2" fontId="4" fillId="34" borderId="69" xfId="3" applyNumberFormat="1" applyFill="1" applyBorder="1"/>
    <xf numFmtId="9" fontId="4" fillId="34" borderId="69" xfId="2" applyFont="1" applyFill="1" applyBorder="1"/>
    <xf numFmtId="0" fontId="19" fillId="0" borderId="69" xfId="3" applyFont="1" applyFill="1" applyBorder="1" applyAlignment="1">
      <alignment horizontal="center" vertical="center" wrapText="1"/>
    </xf>
    <xf numFmtId="0" fontId="4" fillId="19" borderId="69" xfId="3" applyFont="1" applyFill="1" applyBorder="1" applyAlignment="1">
      <alignment horizontal="center" vertical="center" wrapText="1"/>
    </xf>
    <xf numFmtId="0" fontId="4" fillId="16" borderId="69" xfId="3" applyFont="1" applyFill="1" applyBorder="1" applyAlignment="1">
      <alignment horizontal="center" vertical="center" wrapText="1"/>
    </xf>
    <xf numFmtId="0" fontId="19" fillId="0" borderId="0" xfId="3" applyFont="1" applyBorder="1" applyAlignment="1">
      <alignment horizontal="center" vertical="center" wrapText="1"/>
    </xf>
    <xf numFmtId="0" fontId="4" fillId="0" borderId="0" xfId="3" applyAlignment="1">
      <alignment vertical="center"/>
    </xf>
    <xf numFmtId="0" fontId="4" fillId="0" borderId="13" xfId="3" applyBorder="1" applyAlignment="1">
      <alignment vertical="center"/>
    </xf>
    <xf numFmtId="0" fontId="4" fillId="0" borderId="13" xfId="3" applyBorder="1"/>
    <xf numFmtId="0" fontId="4" fillId="0" borderId="2" xfId="3" applyBorder="1" applyAlignment="1">
      <alignment vertical="center"/>
    </xf>
    <xf numFmtId="0" fontId="4" fillId="0" borderId="2" xfId="3" applyBorder="1"/>
    <xf numFmtId="0" fontId="4" fillId="0" borderId="2" xfId="3" applyBorder="1" applyAlignment="1">
      <alignment wrapText="1"/>
    </xf>
    <xf numFmtId="0" fontId="34" fillId="0" borderId="0" xfId="3" applyFont="1" applyAlignment="1">
      <alignment vertical="center"/>
    </xf>
    <xf numFmtId="0" fontId="53" fillId="0" borderId="0" xfId="3" applyFont="1" applyFill="1" applyAlignment="1">
      <alignment horizontal="center" vertical="center"/>
    </xf>
    <xf numFmtId="0" fontId="4" fillId="12" borderId="2" xfId="3" applyFill="1" applyBorder="1" applyAlignment="1">
      <alignment vertical="center" wrapText="1"/>
    </xf>
    <xf numFmtId="173" fontId="4" fillId="0" borderId="69" xfId="3" applyNumberFormat="1" applyFill="1" applyBorder="1"/>
    <xf numFmtId="43" fontId="0" fillId="0" borderId="69" xfId="5" applyFont="1" applyFill="1" applyBorder="1"/>
    <xf numFmtId="174" fontId="0" fillId="0" borderId="69" xfId="5" applyNumberFormat="1" applyFont="1" applyFill="1" applyBorder="1"/>
    <xf numFmtId="0" fontId="4" fillId="0" borderId="0" xfId="3" applyFont="1" applyBorder="1" applyAlignment="1">
      <alignment horizontal="left" vertical="center" wrapText="1"/>
    </xf>
    <xf numFmtId="9" fontId="15" fillId="35" borderId="11" xfId="0" applyNumberFormat="1" applyFont="1" applyFill="1" applyBorder="1" applyAlignment="1" applyProtection="1">
      <alignment horizontal="right" vertical="center"/>
    </xf>
    <xf numFmtId="10" fontId="15" fillId="35" borderId="11" xfId="0" applyNumberFormat="1" applyFont="1" applyFill="1" applyBorder="1" applyAlignment="1" applyProtection="1">
      <alignment vertical="center"/>
    </xf>
    <xf numFmtId="0" fontId="6" fillId="0" borderId="0" xfId="0" applyFont="1" applyFill="1" applyBorder="1" applyAlignment="1" applyProtection="1">
      <alignment horizontal="right" vertical="center" wrapText="1"/>
    </xf>
    <xf numFmtId="2" fontId="4" fillId="21" borderId="69" xfId="2" applyNumberFormat="1" applyFont="1" applyFill="1" applyBorder="1"/>
    <xf numFmtId="0" fontId="4" fillId="0" borderId="69" xfId="3" applyFill="1" applyBorder="1" applyAlignment="1">
      <alignment horizontal="center"/>
    </xf>
    <xf numFmtId="0" fontId="53" fillId="0" borderId="94" xfId="3" applyFont="1" applyFill="1" applyBorder="1" applyAlignment="1">
      <alignment horizontal="center" vertical="center" wrapText="1"/>
    </xf>
    <xf numFmtId="0" fontId="4" fillId="0" borderId="72" xfId="3" applyFill="1" applyBorder="1" applyAlignment="1">
      <alignment horizontal="center" vertical="center"/>
    </xf>
    <xf numFmtId="0" fontId="4" fillId="0" borderId="72" xfId="3" applyFill="1" applyBorder="1" applyAlignment="1">
      <alignment horizontal="center"/>
    </xf>
    <xf numFmtId="43" fontId="0" fillId="0" borderId="72" xfId="5" applyFont="1" applyFill="1" applyBorder="1"/>
    <xf numFmtId="0" fontId="53" fillId="0" borderId="95" xfId="3" applyFont="1" applyFill="1" applyBorder="1" applyAlignment="1">
      <alignment horizontal="center" vertical="center" wrapText="1"/>
    </xf>
    <xf numFmtId="0" fontId="4" fillId="0" borderId="77" xfId="3" applyFill="1" applyBorder="1" applyAlignment="1">
      <alignment horizontal="center" vertical="center"/>
    </xf>
    <xf numFmtId="174" fontId="0" fillId="0" borderId="72" xfId="5" applyNumberFormat="1" applyFont="1" applyFill="1" applyBorder="1"/>
    <xf numFmtId="0" fontId="53" fillId="0" borderId="76" xfId="3" applyFont="1" applyFill="1" applyBorder="1" applyAlignment="1">
      <alignment vertical="center" wrapText="1"/>
    </xf>
    <xf numFmtId="0" fontId="4" fillId="0" borderId="69" xfId="3" applyFill="1" applyBorder="1" applyAlignment="1">
      <alignment vertical="center"/>
    </xf>
    <xf numFmtId="2" fontId="4" fillId="36" borderId="69" xfId="3" applyNumberFormat="1" applyFill="1" applyBorder="1"/>
    <xf numFmtId="0" fontId="0" fillId="27" borderId="0" xfId="0" applyFill="1" applyAlignment="1">
      <alignment horizontal="center" vertical="center" wrapText="1"/>
    </xf>
    <xf numFmtId="0" fontId="4" fillId="19" borderId="69" xfId="3" applyFont="1" applyFill="1" applyBorder="1" applyAlignment="1">
      <alignment horizontal="center" vertical="center" wrapText="1"/>
    </xf>
    <xf numFmtId="0" fontId="4" fillId="16" borderId="69" xfId="3" applyFont="1" applyFill="1" applyBorder="1" applyAlignment="1">
      <alignment horizontal="center" vertical="center" wrapText="1"/>
    </xf>
    <xf numFmtId="0" fontId="19" fillId="0" borderId="0" xfId="3" applyFont="1" applyBorder="1" applyAlignment="1">
      <alignment horizontal="center" vertical="center" wrapText="1"/>
    </xf>
    <xf numFmtId="0" fontId="13" fillId="0" borderId="0" xfId="0" applyFont="1" applyAlignment="1" applyProtection="1">
      <alignment horizontal="center" vertical="center" wrapText="1"/>
    </xf>
    <xf numFmtId="2" fontId="4" fillId="21" borderId="97" xfId="2" applyNumberFormat="1" applyFont="1" applyFill="1" applyBorder="1"/>
    <xf numFmtId="4" fontId="4" fillId="21" borderId="69" xfId="3" applyNumberFormat="1" applyFill="1" applyBorder="1"/>
    <xf numFmtId="0" fontId="4" fillId="0" borderId="0" xfId="3" quotePrefix="1"/>
    <xf numFmtId="1" fontId="0" fillId="37" borderId="58" xfId="1" applyNumberFormat="1" applyFont="1" applyFill="1" applyBorder="1"/>
    <xf numFmtId="176" fontId="0" fillId="37" borderId="58" xfId="1" applyNumberFormat="1" applyFont="1" applyFill="1" applyBorder="1"/>
    <xf numFmtId="0" fontId="0" fillId="38" borderId="0" xfId="0" applyFill="1" applyAlignment="1">
      <alignment horizontal="center" vertical="center" wrapText="1"/>
    </xf>
    <xf numFmtId="170" fontId="4" fillId="21" borderId="69" xfId="2" applyNumberFormat="1" applyFont="1" applyFill="1" applyBorder="1"/>
    <xf numFmtId="164" fontId="4" fillId="15" borderId="11" xfId="3" applyNumberFormat="1" applyFill="1" applyBorder="1"/>
    <xf numFmtId="0" fontId="0" fillId="12" borderId="0" xfId="0" applyFill="1" applyAlignment="1">
      <alignment horizontal="center" vertical="center" wrapText="1"/>
    </xf>
    <xf numFmtId="0" fontId="54" fillId="0" borderId="2" xfId="3" applyFont="1" applyBorder="1" applyAlignment="1">
      <alignment vertical="center"/>
    </xf>
    <xf numFmtId="0" fontId="55" fillId="0" borderId="69" xfId="3" applyFont="1" applyFill="1" applyBorder="1" applyAlignment="1">
      <alignment horizontal="right" vertical="center"/>
    </xf>
    <xf numFmtId="177" fontId="35" fillId="5" borderId="48" xfId="3" applyNumberFormat="1" applyFont="1" applyFill="1" applyBorder="1" applyAlignment="1">
      <alignment horizontal="center" vertical="center" wrapText="1"/>
    </xf>
    <xf numFmtId="177" fontId="54" fillId="5" borderId="48" xfId="3" applyNumberFormat="1" applyFont="1" applyFill="1" applyBorder="1" applyAlignment="1">
      <alignment horizontal="center" vertical="center" wrapText="1"/>
    </xf>
    <xf numFmtId="176" fontId="37" fillId="7" borderId="69" xfId="1" applyNumberFormat="1" applyFont="1" applyFill="1" applyBorder="1"/>
    <xf numFmtId="0" fontId="37" fillId="7" borderId="69" xfId="1" applyNumberFormat="1" applyFont="1" applyFill="1" applyBorder="1"/>
    <xf numFmtId="176" fontId="1" fillId="7" borderId="69" xfId="1" applyNumberFormat="1" applyFont="1" applyFill="1" applyBorder="1"/>
    <xf numFmtId="0" fontId="33" fillId="7" borderId="69" xfId="3" applyFont="1" applyFill="1" applyBorder="1" applyAlignment="1">
      <alignment horizontal="center" vertical="center" wrapText="1"/>
    </xf>
    <xf numFmtId="0" fontId="0" fillId="31" borderId="0" xfId="0" applyFill="1" applyAlignment="1">
      <alignment horizontal="center"/>
    </xf>
    <xf numFmtId="0" fontId="0" fillId="19" borderId="0" xfId="0" applyFill="1" applyAlignment="1">
      <alignment horizontal="center"/>
    </xf>
    <xf numFmtId="0" fontId="0" fillId="7" borderId="77" xfId="0" applyFill="1" applyBorder="1" applyAlignment="1">
      <alignment horizontal="center"/>
    </xf>
    <xf numFmtId="0" fontId="0" fillId="7" borderId="0" xfId="0" applyFill="1" applyBorder="1" applyAlignment="1">
      <alignment horizontal="center"/>
    </xf>
    <xf numFmtId="0" fontId="0" fillId="7" borderId="11" xfId="0" applyFill="1" applyBorder="1" applyAlignment="1">
      <alignment horizontal="center"/>
    </xf>
    <xf numFmtId="0" fontId="0" fillId="25" borderId="0" xfId="0" applyFill="1" applyAlignment="1">
      <alignment horizontal="center"/>
    </xf>
    <xf numFmtId="0" fontId="0" fillId="27" borderId="0" xfId="0" applyFill="1" applyAlignment="1">
      <alignment horizontal="center"/>
    </xf>
    <xf numFmtId="0" fontId="0" fillId="28" borderId="0" xfId="0" applyFill="1" applyAlignment="1">
      <alignment horizontal="center"/>
    </xf>
    <xf numFmtId="0" fontId="19" fillId="7" borderId="69" xfId="3" applyFont="1" applyFill="1" applyBorder="1" applyAlignment="1">
      <alignment horizontal="center" vertical="center"/>
    </xf>
    <xf numFmtId="0" fontId="5" fillId="2" borderId="0" xfId="3" applyFont="1" applyFill="1" applyBorder="1"/>
    <xf numFmtId="0" fontId="3" fillId="7" borderId="46" xfId="3" applyFont="1" applyFill="1" applyBorder="1" applyAlignment="1">
      <alignment horizontal="center" vertical="center" wrapText="1"/>
    </xf>
    <xf numFmtId="0" fontId="3" fillId="7" borderId="13" xfId="3" applyFont="1" applyFill="1" applyBorder="1" applyAlignment="1">
      <alignment horizontal="center" vertical="center" wrapText="1"/>
    </xf>
    <xf numFmtId="0" fontId="3" fillId="7" borderId="50" xfId="3" applyFont="1" applyFill="1" applyBorder="1" applyAlignment="1">
      <alignment horizontal="center" vertical="center" wrapText="1"/>
    </xf>
    <xf numFmtId="0" fontId="28" fillId="12" borderId="4" xfId="3" applyFont="1" applyFill="1" applyBorder="1" applyAlignment="1">
      <alignment horizontal="center" vertical="center"/>
    </xf>
    <xf numFmtId="0" fontId="28" fillId="12" borderId="5" xfId="3" applyFont="1" applyFill="1" applyBorder="1" applyAlignment="1">
      <alignment horizontal="center" vertical="center"/>
    </xf>
    <xf numFmtId="0" fontId="28" fillId="12" borderId="6" xfId="3" applyFont="1" applyFill="1" applyBorder="1" applyAlignment="1">
      <alignment horizontal="center" vertical="center"/>
    </xf>
    <xf numFmtId="0" fontId="13" fillId="8" borderId="14" xfId="3" applyFont="1" applyFill="1" applyBorder="1" applyAlignment="1">
      <alignment horizontal="center" vertical="center" wrapText="1"/>
    </xf>
    <xf numFmtId="0" fontId="13" fillId="8" borderId="15" xfId="3" applyFont="1" applyFill="1" applyBorder="1" applyAlignment="1">
      <alignment horizontal="center" vertical="center" wrapText="1"/>
    </xf>
    <xf numFmtId="0" fontId="13" fillId="8" borderId="16" xfId="3" applyFont="1" applyFill="1" applyBorder="1" applyAlignment="1">
      <alignment horizontal="center" vertical="center" wrapText="1"/>
    </xf>
    <xf numFmtId="0" fontId="13" fillId="8" borderId="23" xfId="3" applyFont="1" applyFill="1" applyBorder="1" applyAlignment="1">
      <alignment horizontal="center" vertical="center" wrapText="1"/>
    </xf>
    <xf numFmtId="0" fontId="13" fillId="8" borderId="22" xfId="3" applyFont="1" applyFill="1" applyBorder="1" applyAlignment="1">
      <alignment horizontal="center" vertical="center" wrapText="1"/>
    </xf>
    <xf numFmtId="0" fontId="13" fillId="8" borderId="24" xfId="3" applyFont="1" applyFill="1" applyBorder="1" applyAlignment="1">
      <alignment horizontal="center" vertical="center" wrapText="1"/>
    </xf>
    <xf numFmtId="0" fontId="15" fillId="8" borderId="29" xfId="3" applyFont="1" applyFill="1" applyBorder="1" applyAlignment="1">
      <alignment horizontal="center" vertical="center" wrapText="1"/>
    </xf>
    <xf numFmtId="0" fontId="15" fillId="8" borderId="30" xfId="3" applyFont="1" applyFill="1" applyBorder="1" applyAlignment="1">
      <alignment horizontal="center" vertical="center" wrapText="1"/>
    </xf>
    <xf numFmtId="0" fontId="15" fillId="8" borderId="31" xfId="3" applyFont="1" applyFill="1" applyBorder="1" applyAlignment="1">
      <alignment horizontal="center" vertical="center" wrapText="1"/>
    </xf>
    <xf numFmtId="0" fontId="15" fillId="8" borderId="32" xfId="3" applyFont="1" applyFill="1" applyBorder="1" applyAlignment="1">
      <alignment horizontal="center" vertical="center" wrapText="1"/>
    </xf>
    <xf numFmtId="0" fontId="15" fillId="0" borderId="0" xfId="3" applyFont="1" applyFill="1" applyBorder="1" applyAlignment="1">
      <alignment horizontal="center" vertical="center" wrapText="1"/>
    </xf>
    <xf numFmtId="0" fontId="14" fillId="0" borderId="22" xfId="3" applyFont="1" applyBorder="1" applyAlignment="1">
      <alignment horizontal="center" vertical="center" wrapText="1"/>
    </xf>
    <xf numFmtId="0" fontId="13" fillId="8" borderId="4" xfId="3" applyFont="1" applyFill="1" applyBorder="1" applyAlignment="1">
      <alignment horizontal="center" vertical="center" wrapText="1"/>
    </xf>
    <xf numFmtId="0" fontId="13" fillId="8" borderId="5" xfId="3" applyFont="1" applyFill="1" applyBorder="1" applyAlignment="1">
      <alignment horizontal="center" vertical="center" wrapText="1"/>
    </xf>
    <xf numFmtId="0" fontId="13" fillId="8" borderId="6" xfId="3" applyFont="1" applyFill="1" applyBorder="1" applyAlignment="1">
      <alignment horizontal="center" vertical="center" wrapText="1"/>
    </xf>
    <xf numFmtId="0" fontId="0" fillId="12" borderId="11" xfId="3" applyFont="1" applyFill="1" applyBorder="1" applyAlignment="1">
      <alignment horizontal="center" vertical="center" wrapText="1"/>
    </xf>
    <xf numFmtId="0" fontId="0" fillId="0" borderId="14" xfId="3" applyFont="1" applyBorder="1" applyAlignment="1">
      <alignment horizontal="center" vertical="center" wrapText="1"/>
    </xf>
    <xf numFmtId="0" fontId="0" fillId="0" borderId="15" xfId="3" applyFont="1" applyBorder="1" applyAlignment="1">
      <alignment horizontal="center" vertical="center" wrapText="1"/>
    </xf>
    <xf numFmtId="0" fontId="0" fillId="0" borderId="16" xfId="3" applyFont="1" applyBorder="1" applyAlignment="1">
      <alignment horizontal="center" vertical="center" wrapText="1"/>
    </xf>
    <xf numFmtId="0" fontId="0" fillId="0" borderId="39" xfId="3" applyFont="1" applyBorder="1" applyAlignment="1">
      <alignment horizontal="center" vertical="center" wrapText="1"/>
    </xf>
    <xf numFmtId="0" fontId="0" fillId="0" borderId="0" xfId="3" applyFont="1" applyBorder="1" applyAlignment="1">
      <alignment horizontal="center" vertical="center" wrapText="1"/>
    </xf>
    <xf numFmtId="0" fontId="0" fillId="0" borderId="40" xfId="3" applyFont="1" applyBorder="1" applyAlignment="1">
      <alignment horizontal="center" vertical="center" wrapText="1"/>
    </xf>
    <xf numFmtId="0" fontId="0" fillId="0" borderId="23" xfId="3" applyFont="1" applyBorder="1" applyAlignment="1">
      <alignment horizontal="center" vertical="center" wrapText="1"/>
    </xf>
    <xf numFmtId="0" fontId="0" fillId="0" borderId="22" xfId="3" applyFont="1" applyBorder="1" applyAlignment="1">
      <alignment horizontal="center" vertical="center" wrapText="1"/>
    </xf>
    <xf numFmtId="0" fontId="0" fillId="0" borderId="24" xfId="3" applyFont="1" applyBorder="1" applyAlignment="1">
      <alignment horizontal="center" vertical="center" wrapText="1"/>
    </xf>
    <xf numFmtId="0" fontId="15" fillId="0" borderId="44" xfId="3" applyFont="1" applyFill="1" applyBorder="1" applyAlignment="1">
      <alignment horizontal="center" vertical="center" wrapText="1"/>
    </xf>
    <xf numFmtId="0" fontId="14" fillId="0" borderId="11" xfId="3" applyFont="1" applyBorder="1" applyAlignment="1">
      <alignment horizontal="center" vertical="center"/>
    </xf>
    <xf numFmtId="0" fontId="13" fillId="0" borderId="41" xfId="3" applyFont="1" applyBorder="1" applyAlignment="1">
      <alignment horizontal="center" vertical="center" wrapText="1"/>
    </xf>
    <xf numFmtId="0" fontId="15" fillId="8" borderId="36" xfId="3" applyFont="1" applyFill="1" applyBorder="1" applyAlignment="1">
      <alignment horizontal="center" vertical="center" wrapText="1"/>
    </xf>
    <xf numFmtId="0" fontId="15" fillId="8" borderId="37" xfId="3" applyFont="1" applyFill="1" applyBorder="1" applyAlignment="1">
      <alignment horizontal="center" vertical="center" wrapText="1"/>
    </xf>
    <xf numFmtId="0" fontId="15" fillId="8" borderId="38" xfId="3" applyFont="1" applyFill="1" applyBorder="1" applyAlignment="1">
      <alignment horizontal="center" vertical="center" wrapText="1"/>
    </xf>
    <xf numFmtId="0" fontId="15" fillId="8" borderId="34" xfId="3" applyFont="1" applyFill="1" applyBorder="1" applyAlignment="1">
      <alignment horizontal="center" vertical="center" wrapText="1"/>
    </xf>
    <xf numFmtId="0" fontId="15" fillId="8" borderId="33" xfId="3" applyFont="1" applyFill="1" applyBorder="1" applyAlignment="1">
      <alignment horizontal="center" vertical="center" wrapText="1"/>
    </xf>
    <xf numFmtId="0" fontId="15" fillId="8" borderId="35" xfId="3" applyFont="1" applyFill="1" applyBorder="1" applyAlignment="1">
      <alignment horizontal="center" vertical="center" wrapText="1"/>
    </xf>
    <xf numFmtId="0" fontId="0" fillId="0" borderId="0" xfId="3" applyFont="1" applyBorder="1" applyAlignment="1">
      <alignment horizontal="center" wrapText="1"/>
    </xf>
    <xf numFmtId="0" fontId="0" fillId="0" borderId="13" xfId="3" applyFont="1" applyBorder="1" applyAlignment="1">
      <alignment horizontal="center" wrapText="1"/>
    </xf>
    <xf numFmtId="0" fontId="17" fillId="0" borderId="0" xfId="3" applyFont="1" applyAlignment="1">
      <alignment horizontal="center" vertical="center" wrapText="1"/>
    </xf>
    <xf numFmtId="0" fontId="13" fillId="0" borderId="0" xfId="3" applyFont="1" applyAlignment="1">
      <alignment horizontal="center" wrapText="1"/>
    </xf>
    <xf numFmtId="0" fontId="14" fillId="0" borderId="22" xfId="3" applyFont="1" applyBorder="1" applyAlignment="1">
      <alignment horizontal="center" vertical="center"/>
    </xf>
    <xf numFmtId="0" fontId="9" fillId="4" borderId="1" xfId="3" applyFont="1" applyFill="1" applyBorder="1" applyAlignment="1">
      <alignment horizontal="center" vertical="center"/>
    </xf>
    <xf numFmtId="0" fontId="9" fillId="4" borderId="2" xfId="3" applyFont="1" applyFill="1" applyBorder="1" applyAlignment="1">
      <alignment horizontal="center" vertical="center"/>
    </xf>
    <xf numFmtId="0" fontId="12" fillId="0" borderId="0" xfId="3" applyFont="1" applyBorder="1" applyAlignment="1">
      <alignment horizontal="center"/>
    </xf>
    <xf numFmtId="0" fontId="14" fillId="0" borderId="5" xfId="3" applyFont="1" applyBorder="1" applyAlignment="1">
      <alignment horizontal="center" vertical="top" wrapText="1"/>
    </xf>
    <xf numFmtId="0" fontId="14" fillId="0" borderId="6" xfId="3" applyFont="1" applyBorder="1" applyAlignment="1">
      <alignment horizontal="center" vertical="top" wrapText="1"/>
    </xf>
    <xf numFmtId="176" fontId="37" fillId="7" borderId="11" xfId="1" applyNumberFormat="1" applyFont="1" applyFill="1" applyBorder="1" applyAlignment="1">
      <alignment horizontal="center"/>
    </xf>
    <xf numFmtId="176" fontId="37" fillId="7" borderId="1" xfId="1" applyNumberFormat="1" applyFont="1" applyFill="1" applyBorder="1" applyAlignment="1">
      <alignment horizontal="center"/>
    </xf>
    <xf numFmtId="176" fontId="37" fillId="7" borderId="2" xfId="1" applyNumberFormat="1" applyFont="1" applyFill="1" applyBorder="1" applyAlignment="1">
      <alignment horizontal="center"/>
    </xf>
    <xf numFmtId="176" fontId="37" fillId="7" borderId="18" xfId="1" applyNumberFormat="1" applyFont="1" applyFill="1" applyBorder="1" applyAlignment="1">
      <alignment horizontal="center"/>
    </xf>
    <xf numFmtId="176" fontId="37" fillId="7" borderId="69" xfId="1" applyNumberFormat="1" applyFont="1" applyFill="1" applyBorder="1" applyAlignment="1">
      <alignment horizontal="center"/>
    </xf>
    <xf numFmtId="176" fontId="1" fillId="7" borderId="69" xfId="1" applyNumberFormat="1" applyFont="1" applyFill="1" applyBorder="1" applyAlignment="1">
      <alignment horizontal="center"/>
    </xf>
    <xf numFmtId="0" fontId="0" fillId="0" borderId="0" xfId="0" applyAlignment="1">
      <alignment horizontal="center"/>
    </xf>
    <xf numFmtId="0" fontId="33" fillId="0" borderId="69" xfId="3" applyFont="1" applyFill="1" applyBorder="1" applyAlignment="1">
      <alignment horizontal="center" vertical="center" wrapText="1"/>
    </xf>
    <xf numFmtId="0" fontId="33" fillId="0" borderId="69" xfId="3" applyFont="1" applyBorder="1" applyAlignment="1">
      <alignment horizontal="center" vertical="center" wrapText="1"/>
    </xf>
    <xf numFmtId="0" fontId="33" fillId="18" borderId="69" xfId="3" applyFont="1" applyFill="1" applyBorder="1" applyAlignment="1">
      <alignment horizontal="center" vertical="center" wrapText="1"/>
    </xf>
    <xf numFmtId="0" fontId="53" fillId="18" borderId="76" xfId="3" applyFont="1" applyFill="1" applyBorder="1" applyAlignment="1">
      <alignment horizontal="center" vertical="center" wrapText="1"/>
    </xf>
    <xf numFmtId="0" fontId="34" fillId="34" borderId="81" xfId="3" applyFont="1" applyFill="1" applyBorder="1" applyAlignment="1">
      <alignment horizontal="center" vertical="center" wrapText="1"/>
    </xf>
    <xf numFmtId="0" fontId="34" fillId="34" borderId="82" xfId="3" applyFont="1" applyFill="1" applyBorder="1" applyAlignment="1">
      <alignment horizontal="center" vertical="center" wrapText="1"/>
    </xf>
    <xf numFmtId="0" fontId="34" fillId="34" borderId="83" xfId="3" applyFont="1" applyFill="1" applyBorder="1" applyAlignment="1">
      <alignment horizontal="center" vertical="center" wrapText="1"/>
    </xf>
    <xf numFmtId="0" fontId="4" fillId="16" borderId="69" xfId="3" applyFont="1" applyFill="1" applyBorder="1" applyAlignment="1">
      <alignment horizontal="center" vertical="center" wrapText="1"/>
    </xf>
    <xf numFmtId="0" fontId="15" fillId="18" borderId="69" xfId="3" applyFont="1" applyFill="1" applyBorder="1" applyAlignment="1">
      <alignment horizontal="center" vertical="center" wrapText="1"/>
    </xf>
    <xf numFmtId="0" fontId="34" fillId="18" borderId="76" xfId="3" applyFont="1" applyFill="1" applyBorder="1" applyAlignment="1">
      <alignment horizontal="center" vertical="center" wrapText="1"/>
    </xf>
    <xf numFmtId="0" fontId="34" fillId="34" borderId="78" xfId="3" applyFont="1" applyFill="1" applyBorder="1" applyAlignment="1">
      <alignment horizontal="center" vertical="center" wrapText="1"/>
    </xf>
    <xf numFmtId="0" fontId="34" fillId="34" borderId="80" xfId="3" applyFont="1" applyFill="1" applyBorder="1" applyAlignment="1">
      <alignment horizontal="center" vertical="center" wrapText="1"/>
    </xf>
    <xf numFmtId="0" fontId="35" fillId="12" borderId="4" xfId="3" applyFont="1" applyFill="1" applyBorder="1" applyAlignment="1">
      <alignment horizontal="center" wrapText="1"/>
    </xf>
    <xf numFmtId="0" fontId="35" fillId="12" borderId="16" xfId="3" applyFont="1" applyFill="1" applyBorder="1" applyAlignment="1">
      <alignment horizontal="center" wrapText="1"/>
    </xf>
    <xf numFmtId="0" fontId="19" fillId="0" borderId="0" xfId="3" applyFont="1" applyAlignment="1">
      <alignment horizontal="center" vertical="center" wrapText="1"/>
    </xf>
    <xf numFmtId="0" fontId="19" fillId="0" borderId="0" xfId="3" applyFont="1" applyAlignment="1">
      <alignment horizontal="center" vertical="center"/>
    </xf>
    <xf numFmtId="0" fontId="19" fillId="0" borderId="0" xfId="3" applyFont="1" applyBorder="1" applyAlignment="1">
      <alignment horizontal="center" vertical="center" wrapText="1"/>
    </xf>
    <xf numFmtId="0" fontId="32" fillId="13" borderId="0" xfId="3" applyFont="1" applyFill="1" applyBorder="1" applyAlignment="1" applyProtection="1">
      <alignment horizontal="center"/>
      <protection locked="0"/>
    </xf>
    <xf numFmtId="0" fontId="53" fillId="34" borderId="4" xfId="3" applyFont="1" applyFill="1" applyBorder="1" applyAlignment="1">
      <alignment horizontal="center" vertical="center" wrapText="1"/>
    </xf>
    <xf numFmtId="0" fontId="53" fillId="34" borderId="5" xfId="3" applyFont="1" applyFill="1" applyBorder="1" applyAlignment="1">
      <alignment horizontal="center" vertical="center" wrapText="1"/>
    </xf>
    <xf numFmtId="0" fontId="53" fillId="34" borderId="6" xfId="3" applyFont="1" applyFill="1" applyBorder="1" applyAlignment="1">
      <alignment horizontal="center" vertical="center" wrapText="1"/>
    </xf>
    <xf numFmtId="0" fontId="4" fillId="16" borderId="69" xfId="3" applyFill="1" applyBorder="1" applyAlignment="1">
      <alignment horizontal="center" vertical="center"/>
    </xf>
    <xf numFmtId="0" fontId="53" fillId="19" borderId="76" xfId="3" applyFont="1" applyFill="1" applyBorder="1" applyAlignment="1">
      <alignment horizontal="center" vertical="center" wrapText="1"/>
    </xf>
    <xf numFmtId="0" fontId="4" fillId="19" borderId="69" xfId="3" applyFill="1" applyBorder="1" applyAlignment="1">
      <alignment horizontal="center" vertical="center"/>
    </xf>
    <xf numFmtId="0" fontId="53" fillId="16" borderId="76" xfId="3" applyFont="1" applyFill="1" applyBorder="1" applyAlignment="1">
      <alignment horizontal="center" vertical="center" wrapText="1"/>
    </xf>
    <xf numFmtId="0" fontId="13" fillId="17" borderId="69" xfId="3" applyFont="1" applyFill="1" applyBorder="1" applyAlignment="1">
      <alignment horizontal="center" vertical="center" wrapText="1"/>
    </xf>
    <xf numFmtId="0" fontId="13" fillId="17" borderId="4" xfId="3" applyFont="1" applyFill="1" applyBorder="1" applyAlignment="1">
      <alignment horizontal="center" vertical="center" wrapText="1"/>
    </xf>
    <xf numFmtId="0" fontId="13" fillId="17" borderId="5" xfId="3" applyFont="1" applyFill="1" applyBorder="1" applyAlignment="1">
      <alignment horizontal="center" vertical="center" wrapText="1"/>
    </xf>
    <xf numFmtId="0" fontId="13" fillId="17" borderId="6" xfId="3" applyFont="1" applyFill="1" applyBorder="1" applyAlignment="1">
      <alignment horizontal="center" vertical="center" wrapText="1"/>
    </xf>
    <xf numFmtId="0" fontId="52" fillId="17" borderId="76" xfId="3" applyFont="1" applyFill="1" applyBorder="1" applyAlignment="1">
      <alignment horizontal="center" vertical="center"/>
    </xf>
    <xf numFmtId="0" fontId="52" fillId="17" borderId="82" xfId="3" applyFont="1" applyFill="1" applyBorder="1" applyAlignment="1">
      <alignment horizontal="center" vertical="center"/>
    </xf>
    <xf numFmtId="0" fontId="52" fillId="17" borderId="83" xfId="3" applyFont="1" applyFill="1" applyBorder="1" applyAlignment="1">
      <alignment horizontal="center" vertical="center"/>
    </xf>
    <xf numFmtId="0" fontId="53" fillId="34" borderId="78" xfId="3" applyFont="1" applyFill="1" applyBorder="1" applyAlignment="1">
      <alignment horizontal="center" vertical="center" wrapText="1"/>
    </xf>
    <xf numFmtId="0" fontId="53" fillId="34" borderId="79" xfId="3" applyFont="1" applyFill="1" applyBorder="1" applyAlignment="1">
      <alignment horizontal="center" vertical="center" wrapText="1"/>
    </xf>
    <xf numFmtId="0" fontId="53" fillId="34" borderId="80" xfId="3" applyFont="1" applyFill="1" applyBorder="1" applyAlignment="1">
      <alignment horizontal="center" vertical="center" wrapText="1"/>
    </xf>
    <xf numFmtId="0" fontId="52" fillId="17" borderId="69" xfId="3" applyFont="1" applyFill="1" applyBorder="1" applyAlignment="1">
      <alignment horizontal="center" vertical="center"/>
    </xf>
    <xf numFmtId="0" fontId="13" fillId="17" borderId="85" xfId="3" applyFont="1" applyFill="1" applyBorder="1" applyAlignment="1">
      <alignment horizontal="center" vertical="center" wrapText="1"/>
    </xf>
    <xf numFmtId="0" fontId="13" fillId="17" borderId="86" xfId="3" applyFont="1" applyFill="1" applyBorder="1" applyAlignment="1">
      <alignment horizontal="center" vertical="center" wrapText="1"/>
    </xf>
    <xf numFmtId="0" fontId="13" fillId="17" borderId="87" xfId="3" applyFont="1" applyFill="1" applyBorder="1" applyAlignment="1">
      <alignment horizontal="center" vertical="center" wrapText="1"/>
    </xf>
    <xf numFmtId="0" fontId="34" fillId="19" borderId="76" xfId="3" applyFont="1" applyFill="1" applyBorder="1" applyAlignment="1">
      <alignment horizontal="center" vertical="center" wrapText="1"/>
    </xf>
    <xf numFmtId="0" fontId="34" fillId="16" borderId="76" xfId="3" applyFont="1" applyFill="1" applyBorder="1" applyAlignment="1">
      <alignment horizontal="center" vertical="center" wrapText="1"/>
    </xf>
    <xf numFmtId="0" fontId="19" fillId="7" borderId="85" xfId="3" applyFont="1" applyFill="1" applyBorder="1" applyAlignment="1">
      <alignment horizontal="center"/>
    </xf>
    <xf numFmtId="0" fontId="19" fillId="7" borderId="86" xfId="3" applyFont="1" applyFill="1" applyBorder="1" applyAlignment="1">
      <alignment horizontal="center"/>
    </xf>
    <xf numFmtId="0" fontId="19" fillId="7" borderId="87" xfId="3" applyFont="1" applyFill="1" applyBorder="1" applyAlignment="1">
      <alignment horizontal="center"/>
    </xf>
    <xf numFmtId="0" fontId="13" fillId="17" borderId="85" xfId="3" applyFont="1" applyFill="1" applyBorder="1" applyAlignment="1">
      <alignment horizontal="center" vertical="center"/>
    </xf>
    <xf numFmtId="0" fontId="13" fillId="17" borderId="86" xfId="3" applyFont="1" applyFill="1" applyBorder="1" applyAlignment="1">
      <alignment horizontal="center" vertical="center"/>
    </xf>
    <xf numFmtId="0" fontId="13" fillId="17" borderId="87" xfId="3" applyFont="1" applyFill="1" applyBorder="1" applyAlignment="1">
      <alignment horizontal="center" vertical="center"/>
    </xf>
    <xf numFmtId="0" fontId="35" fillId="12" borderId="76" xfId="3" applyFont="1" applyFill="1" applyBorder="1" applyAlignment="1">
      <alignment horizontal="center"/>
    </xf>
    <xf numFmtId="0" fontId="19" fillId="7" borderId="4" xfId="3" applyFont="1" applyFill="1" applyBorder="1" applyAlignment="1">
      <alignment horizontal="center"/>
    </xf>
    <xf numFmtId="0" fontId="19" fillId="7" borderId="5" xfId="3" applyFont="1" applyFill="1" applyBorder="1" applyAlignment="1">
      <alignment horizontal="center"/>
    </xf>
    <xf numFmtId="0" fontId="19" fillId="7" borderId="6" xfId="3" applyFont="1" applyFill="1" applyBorder="1" applyAlignment="1">
      <alignment horizontal="center"/>
    </xf>
    <xf numFmtId="0" fontId="19" fillId="7" borderId="4" xfId="3" applyFont="1" applyFill="1" applyBorder="1" applyAlignment="1">
      <alignment horizontal="center" wrapText="1"/>
    </xf>
    <xf numFmtId="0" fontId="19" fillId="7" borderId="5" xfId="3" applyFont="1" applyFill="1" applyBorder="1" applyAlignment="1">
      <alignment horizontal="center" wrapText="1"/>
    </xf>
    <xf numFmtId="0" fontId="19" fillId="7" borderId="6" xfId="3" applyFont="1" applyFill="1" applyBorder="1" applyAlignment="1">
      <alignment horizontal="center" wrapText="1"/>
    </xf>
    <xf numFmtId="0" fontId="53" fillId="34" borderId="85" xfId="3" applyFont="1" applyFill="1" applyBorder="1" applyAlignment="1">
      <alignment horizontal="center" vertical="center" wrapText="1"/>
    </xf>
    <xf numFmtId="0" fontId="53" fillId="34" borderId="86" xfId="3" applyFont="1" applyFill="1" applyBorder="1" applyAlignment="1">
      <alignment horizontal="center" vertical="center" wrapText="1"/>
    </xf>
    <xf numFmtId="0" fontId="53" fillId="34" borderId="87" xfId="3" applyFont="1" applyFill="1" applyBorder="1" applyAlignment="1">
      <alignment horizontal="center" vertical="center" wrapText="1"/>
    </xf>
    <xf numFmtId="0" fontId="4" fillId="19" borderId="69" xfId="3" applyFont="1" applyFill="1" applyBorder="1" applyAlignment="1">
      <alignment horizontal="center" vertical="center" wrapText="1"/>
    </xf>
    <xf numFmtId="0" fontId="53" fillId="34" borderId="69" xfId="3" applyFont="1" applyFill="1" applyBorder="1" applyAlignment="1">
      <alignment horizontal="center" vertical="center" wrapText="1"/>
    </xf>
    <xf numFmtId="0" fontId="53" fillId="19" borderId="69" xfId="3" applyFont="1" applyFill="1" applyBorder="1" applyAlignment="1">
      <alignment horizontal="center" vertical="center" wrapText="1"/>
    </xf>
    <xf numFmtId="0" fontId="53" fillId="16" borderId="69" xfId="3" applyFont="1" applyFill="1" applyBorder="1" applyAlignment="1">
      <alignment horizontal="center" vertical="center" wrapText="1"/>
    </xf>
    <xf numFmtId="0" fontId="4" fillId="19" borderId="52" xfId="3" applyFill="1" applyBorder="1" applyAlignment="1">
      <alignment horizontal="center" vertical="center"/>
    </xf>
    <xf numFmtId="0" fontId="4" fillId="16" borderId="52" xfId="3" applyFill="1" applyBorder="1" applyAlignment="1">
      <alignment horizontal="center" vertical="center"/>
    </xf>
    <xf numFmtId="0" fontId="19" fillId="19" borderId="13" xfId="3" applyFont="1" applyFill="1" applyBorder="1" applyAlignment="1">
      <alignment horizontal="center" vertical="center" wrapText="1"/>
    </xf>
    <xf numFmtId="0" fontId="19" fillId="16" borderId="13" xfId="3" applyFont="1" applyFill="1" applyBorder="1" applyAlignment="1">
      <alignment horizontal="center" vertical="center" wrapText="1"/>
    </xf>
    <xf numFmtId="0" fontId="19" fillId="16" borderId="13" xfId="3" applyFont="1" applyFill="1" applyBorder="1" applyAlignment="1">
      <alignment horizontal="center" vertical="center"/>
    </xf>
    <xf numFmtId="0" fontId="33" fillId="0" borderId="0" xfId="3" applyFont="1" applyAlignment="1">
      <alignment horizontal="center" vertical="center" wrapText="1"/>
    </xf>
    <xf numFmtId="0" fontId="31" fillId="2" borderId="0" xfId="3" applyFont="1" applyFill="1" applyBorder="1" applyAlignment="1" applyProtection="1">
      <alignment horizontal="center"/>
      <protection locked="0"/>
    </xf>
    <xf numFmtId="0" fontId="35" fillId="12" borderId="6" xfId="3" applyFont="1" applyFill="1" applyBorder="1" applyAlignment="1">
      <alignment horizontal="center" wrapText="1"/>
    </xf>
    <xf numFmtId="0" fontId="4" fillId="12" borderId="0" xfId="3" applyFill="1" applyAlignment="1">
      <alignment horizontal="center" vertical="center" wrapText="1"/>
    </xf>
    <xf numFmtId="0" fontId="4" fillId="19" borderId="78" xfId="3" applyFont="1" applyFill="1" applyBorder="1" applyAlignment="1">
      <alignment horizontal="center" vertical="center" wrapText="1"/>
    </xf>
    <xf numFmtId="0" fontId="4" fillId="19" borderId="79" xfId="3" applyFont="1" applyFill="1" applyBorder="1" applyAlignment="1">
      <alignment horizontal="center" vertical="center" wrapText="1"/>
    </xf>
    <xf numFmtId="0" fontId="4" fillId="19" borderId="80" xfId="3" applyFont="1" applyFill="1" applyBorder="1" applyAlignment="1">
      <alignment horizontal="center" vertical="center" wrapText="1"/>
    </xf>
    <xf numFmtId="0" fontId="53" fillId="19" borderId="91" xfId="3" applyFont="1" applyFill="1" applyBorder="1" applyAlignment="1">
      <alignment horizontal="center" vertical="center" wrapText="1"/>
    </xf>
    <xf numFmtId="0" fontId="53" fillId="19" borderId="92" xfId="3" applyFont="1" applyFill="1" applyBorder="1" applyAlignment="1">
      <alignment horizontal="center" vertical="center" wrapText="1"/>
    </xf>
    <xf numFmtId="0" fontId="53" fillId="19" borderId="93" xfId="3" applyFont="1" applyFill="1" applyBorder="1" applyAlignment="1">
      <alignment horizontal="center" vertical="center" wrapText="1"/>
    </xf>
    <xf numFmtId="0" fontId="53" fillId="16" borderId="91" xfId="3" applyFont="1" applyFill="1" applyBorder="1" applyAlignment="1">
      <alignment horizontal="center" vertical="center" wrapText="1"/>
    </xf>
    <xf numFmtId="0" fontId="53" fillId="16" borderId="92" xfId="3" applyFont="1" applyFill="1" applyBorder="1" applyAlignment="1">
      <alignment horizontal="center" vertical="center" wrapText="1"/>
    </xf>
    <xf numFmtId="0" fontId="53" fillId="16" borderId="93" xfId="3" applyFont="1" applyFill="1" applyBorder="1" applyAlignment="1">
      <alignment horizontal="center" vertical="center" wrapText="1"/>
    </xf>
    <xf numFmtId="0" fontId="33" fillId="18" borderId="78" xfId="3" applyFont="1" applyFill="1" applyBorder="1" applyAlignment="1">
      <alignment horizontal="center" vertical="center" wrapText="1"/>
    </xf>
    <xf numFmtId="0" fontId="33" fillId="18" borderId="80" xfId="3" applyFont="1" applyFill="1" applyBorder="1" applyAlignment="1">
      <alignment horizontal="center" vertical="center" wrapText="1"/>
    </xf>
    <xf numFmtId="0" fontId="53" fillId="18" borderId="91" xfId="3" applyFont="1" applyFill="1" applyBorder="1" applyAlignment="1">
      <alignment horizontal="center" vertical="center" wrapText="1"/>
    </xf>
    <xf numFmtId="0" fontId="53" fillId="18" borderId="93" xfId="3" applyFont="1" applyFill="1" applyBorder="1" applyAlignment="1">
      <alignment horizontal="center" vertical="center" wrapText="1"/>
    </xf>
    <xf numFmtId="0" fontId="53" fillId="19" borderId="81" xfId="3" applyFont="1" applyFill="1" applyBorder="1" applyAlignment="1">
      <alignment horizontal="center" vertical="center" wrapText="1"/>
    </xf>
    <xf numFmtId="0" fontId="53" fillId="19" borderId="82" xfId="3" applyFont="1" applyFill="1" applyBorder="1" applyAlignment="1">
      <alignment horizontal="center" vertical="center" wrapText="1"/>
    </xf>
    <xf numFmtId="0" fontId="53" fillId="19" borderId="83" xfId="3" applyFont="1" applyFill="1" applyBorder="1" applyAlignment="1">
      <alignment horizontal="center" vertical="center" wrapText="1"/>
    </xf>
    <xf numFmtId="0" fontId="53" fillId="16" borderId="81" xfId="3" applyFont="1" applyFill="1" applyBorder="1" applyAlignment="1">
      <alignment horizontal="center" vertical="center" wrapText="1"/>
    </xf>
    <xf numFmtId="0" fontId="53" fillId="16" borderId="82" xfId="3" applyFont="1" applyFill="1" applyBorder="1" applyAlignment="1">
      <alignment horizontal="center" vertical="center" wrapText="1"/>
    </xf>
    <xf numFmtId="0" fontId="53" fillId="16" borderId="83" xfId="3" applyFont="1" applyFill="1" applyBorder="1" applyAlignment="1">
      <alignment horizontal="center" vertical="center" wrapText="1"/>
    </xf>
    <xf numFmtId="0" fontId="53" fillId="18" borderId="81" xfId="3" applyFont="1" applyFill="1" applyBorder="1" applyAlignment="1">
      <alignment horizontal="center" vertical="center" wrapText="1"/>
    </xf>
    <xf numFmtId="0" fontId="53" fillId="18" borderId="83" xfId="3" applyFont="1" applyFill="1" applyBorder="1" applyAlignment="1">
      <alignment horizontal="center" vertical="center" wrapText="1"/>
    </xf>
    <xf numFmtId="0" fontId="4" fillId="19" borderId="78" xfId="3" applyFill="1" applyBorder="1" applyAlignment="1">
      <alignment horizontal="center" vertical="center"/>
    </xf>
    <xf numFmtId="0" fontId="4" fillId="19" borderId="79" xfId="3" applyFill="1" applyBorder="1" applyAlignment="1">
      <alignment horizontal="center" vertical="center"/>
    </xf>
    <xf numFmtId="0" fontId="4" fillId="19" borderId="80" xfId="3" applyFill="1" applyBorder="1" applyAlignment="1">
      <alignment horizontal="center" vertical="center"/>
    </xf>
    <xf numFmtId="0" fontId="4" fillId="16" borderId="78" xfId="3" applyFill="1" applyBorder="1" applyAlignment="1">
      <alignment horizontal="center" vertical="center"/>
    </xf>
    <xf numFmtId="0" fontId="4" fillId="16" borderId="79" xfId="3" applyFill="1" applyBorder="1" applyAlignment="1">
      <alignment horizontal="center" vertical="center"/>
    </xf>
    <xf numFmtId="0" fontId="4" fillId="16" borderId="80" xfId="3" applyFill="1" applyBorder="1" applyAlignment="1">
      <alignment horizontal="center" vertical="center"/>
    </xf>
    <xf numFmtId="0" fontId="13" fillId="17" borderId="96" xfId="3" applyFont="1" applyFill="1" applyBorder="1" applyAlignment="1">
      <alignment horizontal="center" vertical="center"/>
    </xf>
    <xf numFmtId="0" fontId="15" fillId="7" borderId="45" xfId="0" applyFont="1" applyFill="1" applyBorder="1" applyAlignment="1" applyProtection="1">
      <alignment horizontal="center" vertical="center" wrapText="1"/>
    </xf>
    <xf numFmtId="0" fontId="15" fillId="7" borderId="72" xfId="0" applyFont="1" applyFill="1" applyBorder="1" applyAlignment="1" applyProtection="1">
      <alignment horizontal="center" vertical="center" wrapText="1"/>
    </xf>
    <xf numFmtId="0" fontId="15" fillId="7" borderId="48" xfId="0" applyFont="1" applyFill="1" applyBorder="1" applyAlignment="1" applyProtection="1">
      <alignment horizontal="center" vertical="center" wrapText="1"/>
    </xf>
    <xf numFmtId="0" fontId="13" fillId="0" borderId="0" xfId="0" applyFont="1" applyAlignment="1" applyProtection="1">
      <alignment horizontal="center" vertical="center" wrapText="1"/>
    </xf>
    <xf numFmtId="0" fontId="13" fillId="0" borderId="13" xfId="0" applyFont="1" applyBorder="1" applyAlignment="1" applyProtection="1">
      <alignment horizontal="center" vertical="center" wrapText="1"/>
    </xf>
  </cellXfs>
  <cellStyles count="9">
    <cellStyle name="Bad" xfId="8" builtinId="27"/>
    <cellStyle name="Comma" xfId="1" builtinId="3"/>
    <cellStyle name="Comma 2" xfId="5"/>
    <cellStyle name="Hyperlink 2" xfId="4"/>
    <cellStyle name="Normal" xfId="0" builtinId="0"/>
    <cellStyle name="Normal 2" xfId="3"/>
    <cellStyle name="Normal 3" xfId="6"/>
    <cellStyle name="Percent" xfId="2" builtinId="5"/>
    <cellStyle name="Percent 2" xfId="7"/>
  </cellStyles>
  <dxfs count="21">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s>
  <tableStyles count="0" defaultTableStyle="TableStyleMedium2" defaultPivotStyle="PivotStyleLight16"/>
  <colors>
    <mruColors>
      <color rgb="FFFF8AD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Gt CO2-eq Avoided from Population Change, by country development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results_summary!$H$71</c:f>
              <c:strCache>
                <c:ptCount val="1"/>
                <c:pt idx="0">
                  <c:v>Least &amp; Less Developed Countries</c:v>
                </c:pt>
              </c:strCache>
            </c:strRef>
          </c:tx>
          <c:spPr>
            <a:solidFill>
              <a:schemeClr val="accent1"/>
            </a:solidFill>
            <a:ln>
              <a:noFill/>
            </a:ln>
            <a:effectLst/>
          </c:spPr>
          <c:cat>
            <c:numRef>
              <c:f>results_summary!$G$72:$G$118</c:f>
              <c:numCache>
                <c:formatCode>General</c:formatCode>
                <c:ptCount val="4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pt idx="32">
                  <c:v>2046</c:v>
                </c:pt>
                <c:pt idx="33">
                  <c:v>2047</c:v>
                </c:pt>
                <c:pt idx="34">
                  <c:v>2048</c:v>
                </c:pt>
                <c:pt idx="35">
                  <c:v>2049</c:v>
                </c:pt>
                <c:pt idx="36">
                  <c:v>2050</c:v>
                </c:pt>
                <c:pt idx="37">
                  <c:v>2051</c:v>
                </c:pt>
                <c:pt idx="38">
                  <c:v>2052</c:v>
                </c:pt>
                <c:pt idx="39">
                  <c:v>2053</c:v>
                </c:pt>
                <c:pt idx="40">
                  <c:v>2054</c:v>
                </c:pt>
                <c:pt idx="41">
                  <c:v>2055</c:v>
                </c:pt>
                <c:pt idx="42">
                  <c:v>2056</c:v>
                </c:pt>
                <c:pt idx="43">
                  <c:v>2057</c:v>
                </c:pt>
                <c:pt idx="44">
                  <c:v>2058</c:v>
                </c:pt>
                <c:pt idx="45">
                  <c:v>2059</c:v>
                </c:pt>
                <c:pt idx="46">
                  <c:v>2060</c:v>
                </c:pt>
              </c:numCache>
            </c:numRef>
          </c:cat>
          <c:val>
            <c:numRef>
              <c:f>results_summary!$H$72:$H$118</c:f>
              <c:numCache>
                <c:formatCode>0</c:formatCode>
                <c:ptCount val="47"/>
                <c:pt idx="0">
                  <c:v>0</c:v>
                </c:pt>
                <c:pt idx="1">
                  <c:v>0</c:v>
                </c:pt>
                <c:pt idx="2">
                  <c:v>4.9667936656881181E-3</c:v>
                </c:pt>
                <c:pt idx="3">
                  <c:v>1.7233598478085341E-2</c:v>
                </c:pt>
                <c:pt idx="4">
                  <c:v>3.8802506105350895E-2</c:v>
                </c:pt>
                <c:pt idx="5">
                  <c:v>7.1134701252639862E-2</c:v>
                </c:pt>
                <c:pt idx="6">
                  <c:v>0.11527390749465735</c:v>
                </c:pt>
                <c:pt idx="7">
                  <c:v>0.18492158309165679</c:v>
                </c:pt>
                <c:pt idx="8">
                  <c:v>0.285385724200796</c:v>
                </c:pt>
                <c:pt idx="9">
                  <c:v>0.42163988095205551</c:v>
                </c:pt>
                <c:pt idx="10">
                  <c:v>0.59858760732231764</c:v>
                </c:pt>
                <c:pt idx="11">
                  <c:v>0.82113907608404624</c:v>
                </c:pt>
                <c:pt idx="12">
                  <c:v>1.0940033919908843</c:v>
                </c:pt>
                <c:pt idx="13">
                  <c:v>1.421910270211153</c:v>
                </c:pt>
                <c:pt idx="14">
                  <c:v>1.8094014760271482</c:v>
                </c:pt>
                <c:pt idx="15">
                  <c:v>2.2608549641964153</c:v>
                </c:pt>
                <c:pt idx="16">
                  <c:v>2.7806293626314349</c:v>
                </c:pt>
                <c:pt idx="17">
                  <c:v>3.372112844480974</c:v>
                </c:pt>
                <c:pt idx="18">
                  <c:v>4.0394143050924605</c:v>
                </c:pt>
                <c:pt idx="19">
                  <c:v>4.7861896195171836</c:v>
                </c:pt>
                <c:pt idx="20">
                  <c:v>5.6155646319241859</c:v>
                </c:pt>
                <c:pt idx="21">
                  <c:v>6.5299754563956682</c:v>
                </c:pt>
                <c:pt idx="22">
                  <c:v>7.5327311518212046</c:v>
                </c:pt>
                <c:pt idx="23">
                  <c:v>8.6263726434443271</c:v>
                </c:pt>
                <c:pt idx="24">
                  <c:v>9.8142869856474171</c:v>
                </c:pt>
                <c:pt idx="25">
                  <c:v>11.100610428023023</c:v>
                </c:pt>
                <c:pt idx="26">
                  <c:v>12.48976267213915</c:v>
                </c:pt>
                <c:pt idx="27">
                  <c:v>13.987342461805126</c:v>
                </c:pt>
                <c:pt idx="28">
                  <c:v>15.598265931084368</c:v>
                </c:pt>
                <c:pt idx="29">
                  <c:v>17.328371173289607</c:v>
                </c:pt>
                <c:pt idx="30">
                  <c:v>19.184068335642134</c:v>
                </c:pt>
                <c:pt idx="31">
                  <c:v>21.172513072007334</c:v>
                </c:pt>
                <c:pt idx="32">
                  <c:v>23.300613427096749</c:v>
                </c:pt>
                <c:pt idx="33">
                  <c:v>25.576280155971759</c:v>
                </c:pt>
                <c:pt idx="34">
                  <c:v>28.007623230699888</c:v>
                </c:pt>
                <c:pt idx="35">
                  <c:v>30.603828216114913</c:v>
                </c:pt>
                <c:pt idx="36">
                  <c:v>33.375482601652102</c:v>
                </c:pt>
                <c:pt idx="37">
                  <c:v>36.331005350265478</c:v>
                </c:pt>
                <c:pt idx="38">
                  <c:v>39.48055708868997</c:v>
                </c:pt>
                <c:pt idx="39">
                  <c:v>42.834137760329426</c:v>
                </c:pt>
                <c:pt idx="40">
                  <c:v>46.401865589877318</c:v>
                </c:pt>
                <c:pt idx="41">
                  <c:v>50.194256210387074</c:v>
                </c:pt>
                <c:pt idx="42">
                  <c:v>54.221295470000975</c:v>
                </c:pt>
                <c:pt idx="43">
                  <c:v>58.494013174481026</c:v>
                </c:pt>
                <c:pt idx="44">
                  <c:v>63.023228462073149</c:v>
                </c:pt>
                <c:pt idx="45">
                  <c:v>67.8197487240284</c:v>
                </c:pt>
                <c:pt idx="46">
                  <c:v>72.894469653254333</c:v>
                </c:pt>
              </c:numCache>
            </c:numRef>
          </c:val>
          <c:extLst>
            <c:ext xmlns:c16="http://schemas.microsoft.com/office/drawing/2014/chart" uri="{C3380CC4-5D6E-409C-BE32-E72D297353CC}">
              <c16:uniqueId val="{00000000-123D-554A-8C36-DF9B449EFB07}"/>
            </c:ext>
          </c:extLst>
        </c:ser>
        <c:ser>
          <c:idx val="1"/>
          <c:order val="1"/>
          <c:tx>
            <c:strRef>
              <c:f>results_summary!$I$71</c:f>
              <c:strCache>
                <c:ptCount val="1"/>
                <c:pt idx="0">
                  <c:v>More Developed Countries</c:v>
                </c:pt>
              </c:strCache>
            </c:strRef>
          </c:tx>
          <c:spPr>
            <a:solidFill>
              <a:schemeClr val="accent2"/>
            </a:solidFill>
            <a:ln>
              <a:noFill/>
            </a:ln>
            <a:effectLst/>
          </c:spPr>
          <c:cat>
            <c:numRef>
              <c:f>results_summary!$G$72:$G$118</c:f>
              <c:numCache>
                <c:formatCode>General</c:formatCode>
                <c:ptCount val="4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pt idx="32">
                  <c:v>2046</c:v>
                </c:pt>
                <c:pt idx="33">
                  <c:v>2047</c:v>
                </c:pt>
                <c:pt idx="34">
                  <c:v>2048</c:v>
                </c:pt>
                <c:pt idx="35">
                  <c:v>2049</c:v>
                </c:pt>
                <c:pt idx="36">
                  <c:v>2050</c:v>
                </c:pt>
                <c:pt idx="37">
                  <c:v>2051</c:v>
                </c:pt>
                <c:pt idx="38">
                  <c:v>2052</c:v>
                </c:pt>
                <c:pt idx="39">
                  <c:v>2053</c:v>
                </c:pt>
                <c:pt idx="40">
                  <c:v>2054</c:v>
                </c:pt>
                <c:pt idx="41">
                  <c:v>2055</c:v>
                </c:pt>
                <c:pt idx="42">
                  <c:v>2056</c:v>
                </c:pt>
                <c:pt idx="43">
                  <c:v>2057</c:v>
                </c:pt>
                <c:pt idx="44">
                  <c:v>2058</c:v>
                </c:pt>
                <c:pt idx="45">
                  <c:v>2059</c:v>
                </c:pt>
                <c:pt idx="46">
                  <c:v>2060</c:v>
                </c:pt>
              </c:numCache>
            </c:numRef>
          </c:cat>
          <c:val>
            <c:numRef>
              <c:f>results_summary!$I$72:$I$118</c:f>
              <c:numCache>
                <c:formatCode>0</c:formatCode>
                <c:ptCount val="47"/>
                <c:pt idx="0">
                  <c:v>-5.3934777983172675E-6</c:v>
                </c:pt>
                <c:pt idx="1">
                  <c:v>-8.3407138552112572E-6</c:v>
                </c:pt>
                <c:pt idx="2">
                  <c:v>3.5890932091703948E-3</c:v>
                </c:pt>
                <c:pt idx="3">
                  <c:v>1.2404448584937347E-2</c:v>
                </c:pt>
                <c:pt idx="4">
                  <c:v>2.782245965928493E-2</c:v>
                </c:pt>
                <c:pt idx="5">
                  <c:v>5.0838514799439405E-2</c:v>
                </c:pt>
                <c:pt idx="6">
                  <c:v>8.2147260983402665E-2</c:v>
                </c:pt>
                <c:pt idx="7">
                  <c:v>0.14320047773132394</c:v>
                </c:pt>
                <c:pt idx="8">
                  <c:v>0.23987849110082904</c:v>
                </c:pt>
                <c:pt idx="9">
                  <c:v>0.37743485725861275</c:v>
                </c:pt>
                <c:pt idx="10">
                  <c:v>0.56085190774860627</c:v>
                </c:pt>
                <c:pt idx="11">
                  <c:v>0.79492046795303883</c:v>
                </c:pt>
                <c:pt idx="12">
                  <c:v>1.0840256416128626</c:v>
                </c:pt>
                <c:pt idx="13">
                  <c:v>1.4323097065504307</c:v>
                </c:pt>
                <c:pt idx="14">
                  <c:v>1.8436382053390183</c:v>
                </c:pt>
                <c:pt idx="15">
                  <c:v>2.3216556867586897</c:v>
                </c:pt>
                <c:pt idx="16">
                  <c:v>2.8699281674153134</c:v>
                </c:pt>
                <c:pt idx="17">
                  <c:v>3.4913266255346302</c:v>
                </c:pt>
                <c:pt idx="18">
                  <c:v>4.1888819378095672</c:v>
                </c:pt>
                <c:pt idx="19">
                  <c:v>4.9648364267771203</c:v>
                </c:pt>
                <c:pt idx="20">
                  <c:v>5.8205524802524984</c:v>
                </c:pt>
                <c:pt idx="21">
                  <c:v>6.756707891332308</c:v>
                </c:pt>
                <c:pt idx="22">
                  <c:v>7.7738059710674774</c:v>
                </c:pt>
                <c:pt idx="23">
                  <c:v>8.8723521547162552</c:v>
                </c:pt>
                <c:pt idx="24">
                  <c:v>10.053261827307072</c:v>
                </c:pt>
                <c:pt idx="25">
                  <c:v>11.318046418880584</c:v>
                </c:pt>
                <c:pt idx="26">
                  <c:v>12.668358342857521</c:v>
                </c:pt>
                <c:pt idx="27">
                  <c:v>14.107206363733964</c:v>
                </c:pt>
                <c:pt idx="28">
                  <c:v>15.63646729279975</c:v>
                </c:pt>
                <c:pt idx="29">
                  <c:v>17.258777021066461</c:v>
                </c:pt>
                <c:pt idx="30">
                  <c:v>18.977186504900871</c:v>
                </c:pt>
                <c:pt idx="31">
                  <c:v>20.795209942657969</c:v>
                </c:pt>
                <c:pt idx="32">
                  <c:v>22.716372651737913</c:v>
                </c:pt>
                <c:pt idx="33">
                  <c:v>24.744679191621586</c:v>
                </c:pt>
                <c:pt idx="34">
                  <c:v>26.884377890461455</c:v>
                </c:pt>
                <c:pt idx="35">
                  <c:v>29.140971121019103</c:v>
                </c:pt>
                <c:pt idx="36">
                  <c:v>31.521108907516261</c:v>
                </c:pt>
                <c:pt idx="37">
                  <c:v>34.030412577545881</c:v>
                </c:pt>
                <c:pt idx="38">
                  <c:v>36.674530877876414</c:v>
                </c:pt>
                <c:pt idx="39">
                  <c:v>39.459316362694715</c:v>
                </c:pt>
                <c:pt idx="40">
                  <c:v>42.390764872518638</c:v>
                </c:pt>
                <c:pt idx="41">
                  <c:v>45.474554092381197</c:v>
                </c:pt>
                <c:pt idx="42">
                  <c:v>48.717991439851644</c:v>
                </c:pt>
                <c:pt idx="43">
                  <c:v>52.127179246117826</c:v>
                </c:pt>
                <c:pt idx="44">
                  <c:v>55.708751275867002</c:v>
                </c:pt>
                <c:pt idx="45">
                  <c:v>59.4693515285431</c:v>
                </c:pt>
                <c:pt idx="46">
                  <c:v>63.416652118116517</c:v>
                </c:pt>
              </c:numCache>
            </c:numRef>
          </c:val>
          <c:extLst>
            <c:ext xmlns:c16="http://schemas.microsoft.com/office/drawing/2014/chart" uri="{C3380CC4-5D6E-409C-BE32-E72D297353CC}">
              <c16:uniqueId val="{00000001-123D-554A-8C36-DF9B449EFB07}"/>
            </c:ext>
          </c:extLst>
        </c:ser>
        <c:ser>
          <c:idx val="2"/>
          <c:order val="2"/>
          <c:tx>
            <c:strRef>
              <c:f>results_summary!$J$71</c:f>
              <c:strCache>
                <c:ptCount val="1"/>
                <c:pt idx="0">
                  <c:v>Air, Oceanic Freight, and Plastic**</c:v>
                </c:pt>
              </c:strCache>
            </c:strRef>
          </c:tx>
          <c:spPr>
            <a:solidFill>
              <a:schemeClr val="accent3"/>
            </a:solidFill>
            <a:ln>
              <a:noFill/>
            </a:ln>
            <a:effectLst/>
          </c:spPr>
          <c:cat>
            <c:numRef>
              <c:f>results_summary!$G$72:$G$118</c:f>
              <c:numCache>
                <c:formatCode>General</c:formatCode>
                <c:ptCount val="4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pt idx="27">
                  <c:v>2041</c:v>
                </c:pt>
                <c:pt idx="28">
                  <c:v>2042</c:v>
                </c:pt>
                <c:pt idx="29">
                  <c:v>2043</c:v>
                </c:pt>
                <c:pt idx="30">
                  <c:v>2044</c:v>
                </c:pt>
                <c:pt idx="31">
                  <c:v>2045</c:v>
                </c:pt>
                <c:pt idx="32">
                  <c:v>2046</c:v>
                </c:pt>
                <c:pt idx="33">
                  <c:v>2047</c:v>
                </c:pt>
                <c:pt idx="34">
                  <c:v>2048</c:v>
                </c:pt>
                <c:pt idx="35">
                  <c:v>2049</c:v>
                </c:pt>
                <c:pt idx="36">
                  <c:v>2050</c:v>
                </c:pt>
                <c:pt idx="37">
                  <c:v>2051</c:v>
                </c:pt>
                <c:pt idx="38">
                  <c:v>2052</c:v>
                </c:pt>
                <c:pt idx="39">
                  <c:v>2053</c:v>
                </c:pt>
                <c:pt idx="40">
                  <c:v>2054</c:v>
                </c:pt>
                <c:pt idx="41">
                  <c:v>2055</c:v>
                </c:pt>
                <c:pt idx="42">
                  <c:v>2056</c:v>
                </c:pt>
                <c:pt idx="43">
                  <c:v>2057</c:v>
                </c:pt>
                <c:pt idx="44">
                  <c:v>2058</c:v>
                </c:pt>
                <c:pt idx="45">
                  <c:v>2059</c:v>
                </c:pt>
                <c:pt idx="46">
                  <c:v>2060</c:v>
                </c:pt>
              </c:numCache>
            </c:numRef>
          </c:cat>
          <c:val>
            <c:numRef>
              <c:f>results_summary!$J$72:$J$118</c:f>
              <c:numCache>
                <c:formatCode>0</c:formatCode>
                <c:ptCount val="47"/>
                <c:pt idx="0">
                  <c:v>-1.5004219018436719E-6</c:v>
                </c:pt>
                <c:pt idx="1">
                  <c:v>-4.2941170712427282E-6</c:v>
                </c:pt>
                <c:pt idx="2">
                  <c:v>-7.1036177295372996E-6</c:v>
                </c:pt>
                <c:pt idx="3">
                  <c:v>-9.9205744660479834E-6</c:v>
                </c:pt>
                <c:pt idx="4">
                  <c:v>-1.2736800529009811E-5</c:v>
                </c:pt>
                <c:pt idx="5">
                  <c:v>-1.5558594771904707E-5</c:v>
                </c:pt>
                <c:pt idx="6">
                  <c:v>-1.8393110563761649E-5</c:v>
                </c:pt>
                <c:pt idx="7">
                  <c:v>2.547112673635232E-3</c:v>
                </c:pt>
                <c:pt idx="8">
                  <c:v>8.4747248677896313E-3</c:v>
                </c:pt>
                <c:pt idx="9">
                  <c:v>1.8521822365283037E-2</c:v>
                </c:pt>
                <c:pt idx="10">
                  <c:v>3.3451663009570226E-2</c:v>
                </c:pt>
                <c:pt idx="11">
                  <c:v>5.4044392112976056E-2</c:v>
                </c:pt>
                <c:pt idx="12">
                  <c:v>8.1095069423149563E-2</c:v>
                </c:pt>
                <c:pt idx="13">
                  <c:v>0.11541568935819921</c:v>
                </c:pt>
                <c:pt idx="14">
                  <c:v>0.15786186490449222</c:v>
                </c:pt>
                <c:pt idx="15">
                  <c:v>0.20934364261619517</c:v>
                </c:pt>
                <c:pt idx="16">
                  <c:v>0.27083029160745858</c:v>
                </c:pt>
                <c:pt idx="17">
                  <c:v>0.34334042314634589</c:v>
                </c:pt>
                <c:pt idx="18">
                  <c:v>0.42789819397541407</c:v>
                </c:pt>
                <c:pt idx="19">
                  <c:v>0.52545596604178768</c:v>
                </c:pt>
                <c:pt idx="20">
                  <c:v>0.63684476256547906</c:v>
                </c:pt>
                <c:pt idx="21">
                  <c:v>0.76280748044569746</c:v>
                </c:pt>
                <c:pt idx="22">
                  <c:v>0.90406374353239127</c:v>
                </c:pt>
                <c:pt idx="23">
                  <c:v>1.0613916126194329</c:v>
                </c:pt>
                <c:pt idx="24">
                  <c:v>1.2356646484492333</c:v>
                </c:pt>
                <c:pt idx="25">
                  <c:v>1.4279053155964505</c:v>
                </c:pt>
                <c:pt idx="26">
                  <c:v>1.639278945177576</c:v>
                </c:pt>
                <c:pt idx="27">
                  <c:v>1.8710309250912793</c:v>
                </c:pt>
                <c:pt idx="28">
                  <c:v>2.124471545143487</c:v>
                </c:pt>
                <c:pt idx="29">
                  <c:v>2.4010404719235363</c:v>
                </c:pt>
                <c:pt idx="30">
                  <c:v>2.7023259490341447</c:v>
                </c:pt>
                <c:pt idx="31">
                  <c:v>3.0300663625136885</c:v>
                </c:pt>
                <c:pt idx="32">
                  <c:v>3.386131010460939</c:v>
                </c:pt>
                <c:pt idx="33">
                  <c:v>3.7725207763529185</c:v>
                </c:pt>
                <c:pt idx="34">
                  <c:v>4.1913967356683841</c:v>
                </c:pt>
                <c:pt idx="35">
                  <c:v>4.6450915454303168</c:v>
                </c:pt>
                <c:pt idx="36">
                  <c:v>5.1361081701641496</c:v>
                </c:pt>
                <c:pt idx="37">
                  <c:v>5.6671126907185423</c:v>
                </c:pt>
                <c:pt idx="38">
                  <c:v>6.2409245190667173</c:v>
                </c:pt>
                <c:pt idx="39">
                  <c:v>6.8605143738264029</c:v>
                </c:pt>
                <c:pt idx="40">
                  <c:v>7.5289976550541535</c:v>
                </c:pt>
                <c:pt idx="41">
                  <c:v>8.249636376086892</c:v>
                </c:pt>
                <c:pt idx="42">
                  <c:v>9.0258600760659835</c:v>
                </c:pt>
                <c:pt idx="43">
                  <c:v>9.861258773043911</c:v>
                </c:pt>
                <c:pt idx="44">
                  <c:v>10.759547643434848</c:v>
                </c:pt>
                <c:pt idx="45">
                  <c:v>11.724549843687646</c:v>
                </c:pt>
                <c:pt idx="46">
                  <c:v>12.760205307777889</c:v>
                </c:pt>
              </c:numCache>
            </c:numRef>
          </c:val>
          <c:extLst>
            <c:ext xmlns:c16="http://schemas.microsoft.com/office/drawing/2014/chart" uri="{C3380CC4-5D6E-409C-BE32-E72D297353CC}">
              <c16:uniqueId val="{00000002-123D-554A-8C36-DF9B449EFB07}"/>
            </c:ext>
          </c:extLst>
        </c:ser>
        <c:dLbls>
          <c:showLegendKey val="0"/>
          <c:showVal val="0"/>
          <c:showCatName val="0"/>
          <c:showSerName val="0"/>
          <c:showPercent val="0"/>
          <c:showBubbleSize val="0"/>
        </c:dLbls>
        <c:axId val="1030791168"/>
        <c:axId val="691181296"/>
      </c:areaChart>
      <c:catAx>
        <c:axId val="10307911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181296"/>
        <c:crosses val="autoZero"/>
        <c:auto val="1"/>
        <c:lblAlgn val="ctr"/>
        <c:lblOffset val="100"/>
        <c:noMultiLvlLbl val="0"/>
      </c:catAx>
      <c:valAx>
        <c:axId val="6911812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Cumulative</a:t>
                </a:r>
                <a:r>
                  <a:rPr lang="en-US" baseline="0"/>
                  <a:t> Gt CO2-eq</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0791168"/>
        <c:crosses val="autoZero"/>
        <c:crossBetween val="midCat"/>
      </c:valAx>
      <c:spPr>
        <a:noFill/>
        <a:ln>
          <a:noFill/>
        </a:ln>
        <a:effectLst/>
      </c:spPr>
    </c:plotArea>
    <c:legend>
      <c:legendPos val="t"/>
      <c:legendEntry>
        <c:idx val="0"/>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10</xdr:col>
      <xdr:colOff>412750</xdr:colOff>
      <xdr:row>69</xdr:row>
      <xdr:rowOff>0</xdr:rowOff>
    </xdr:from>
    <xdr:to>
      <xdr:col>23</xdr:col>
      <xdr:colOff>431800</xdr:colOff>
      <xdr:row>103</xdr:row>
      <xdr:rowOff>139700</xdr:rowOff>
    </xdr:to>
    <xdr:graphicFrame macro="">
      <xdr:nvGraphicFramePr>
        <xdr:cNvPr id="8" name="Chart 7">
          <a:extLst>
            <a:ext uri="{FF2B5EF4-FFF2-40B4-BE49-F238E27FC236}">
              <a16:creationId xmlns:a16="http://schemas.microsoft.com/office/drawing/2014/main" id="{BBF335A7-E087-0448-9329-55143122B0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0</xdr:rowOff>
    </xdr:from>
    <xdr:to>
      <xdr:col>13</xdr:col>
      <xdr:colOff>0</xdr:colOff>
      <xdr:row>9</xdr:row>
      <xdr:rowOff>693964</xdr:rowOff>
    </xdr:to>
    <xdr:sp macro="" textlink="">
      <xdr:nvSpPr>
        <xdr:cNvPr id="2" name="TextBox 1">
          <a:extLst>
            <a:ext uri="{FF2B5EF4-FFF2-40B4-BE49-F238E27FC236}">
              <a16:creationId xmlns:a16="http://schemas.microsoft.com/office/drawing/2014/main" id="{09467A3B-FAC8-1842-AEB7-BE86F7624CBC}"/>
            </a:ext>
          </a:extLst>
        </xdr:cNvPr>
        <xdr:cNvSpPr txBox="1"/>
      </xdr:nvSpPr>
      <xdr:spPr>
        <a:xfrm>
          <a:off x="0" y="3073400"/>
          <a:ext cx="15430500" cy="6939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Description of Calculations</a:t>
          </a:r>
        </a:p>
        <a:p>
          <a:endParaRPr lang="en-US" sz="1100"/>
        </a:p>
        <a:p>
          <a:r>
            <a:rPr lang="en-US" sz="1100"/>
            <a:t>Grid emission factors (kg CO2-eq per kwh) derived from the AMPERE 3 MESSAGE Base model. Grid</a:t>
          </a:r>
          <a:r>
            <a:rPr lang="en-US" sz="1100" baseline="0"/>
            <a:t> emission factors are fixed at 2015 levels to reflect the REF case (e.g. no significant technological change).</a:t>
          </a:r>
        </a:p>
      </xdr:txBody>
    </xdr:sp>
    <xdr:clientData/>
  </xdr:twoCellAnchor>
  <xdr:twoCellAnchor>
    <xdr:from>
      <xdr:col>0</xdr:col>
      <xdr:colOff>0</xdr:colOff>
      <xdr:row>64</xdr:row>
      <xdr:rowOff>19050</xdr:rowOff>
    </xdr:from>
    <xdr:to>
      <xdr:col>13</xdr:col>
      <xdr:colOff>0</xdr:colOff>
      <xdr:row>64</xdr:row>
      <xdr:rowOff>733425</xdr:rowOff>
    </xdr:to>
    <xdr:sp macro="" textlink="">
      <xdr:nvSpPr>
        <xdr:cNvPr id="3" name="TextBox 2">
          <a:extLst>
            <a:ext uri="{FF2B5EF4-FFF2-40B4-BE49-F238E27FC236}">
              <a16:creationId xmlns:a16="http://schemas.microsoft.com/office/drawing/2014/main" id="{615353C8-4F10-AE4E-BF3A-BD8A04A680EF}"/>
            </a:ext>
          </a:extLst>
        </xdr:cNvPr>
        <xdr:cNvSpPr txBox="1"/>
      </xdr:nvSpPr>
      <xdr:spPr>
        <a:xfrm>
          <a:off x="0" y="18802350"/>
          <a:ext cx="15430500"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Description of Calculations</a:t>
          </a:r>
        </a:p>
        <a:p>
          <a:endParaRPr lang="en-US" sz="1100"/>
        </a:p>
        <a:p>
          <a:r>
            <a:rPr lang="en-US" sz="1100"/>
            <a:t>Grid emission factors (kg CO2 per kwh) derived from the AMPERE 3 MESSAGE Base model. Grid emission factors are fixed at 2015 levels to reflect the REF case (e.g. no significant technological change).</a:t>
          </a:r>
        </a:p>
      </xdr:txBody>
    </xdr:sp>
    <xdr:clientData/>
  </xdr:twoCellAnchor>
  <xdr:twoCellAnchor>
    <xdr:from>
      <xdr:col>0</xdr:col>
      <xdr:colOff>1</xdr:colOff>
      <xdr:row>120</xdr:row>
      <xdr:rowOff>1</xdr:rowOff>
    </xdr:from>
    <xdr:to>
      <xdr:col>13</xdr:col>
      <xdr:colOff>0</xdr:colOff>
      <xdr:row>120</xdr:row>
      <xdr:rowOff>705970</xdr:rowOff>
    </xdr:to>
    <xdr:sp macro="" textlink="">
      <xdr:nvSpPr>
        <xdr:cNvPr id="4" name="TextBox 3">
          <a:extLst>
            <a:ext uri="{FF2B5EF4-FFF2-40B4-BE49-F238E27FC236}">
              <a16:creationId xmlns:a16="http://schemas.microsoft.com/office/drawing/2014/main" id="{FE4873B0-9B36-8E4D-9048-581F0A4C5FD8}"/>
            </a:ext>
          </a:extLst>
        </xdr:cNvPr>
        <xdr:cNvSpPr txBox="1"/>
      </xdr:nvSpPr>
      <xdr:spPr>
        <a:xfrm>
          <a:off x="1" y="33985201"/>
          <a:ext cx="15430499" cy="7059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Description of Calculations</a:t>
          </a:r>
        </a:p>
        <a:p>
          <a:endParaRPr lang="en-US" sz="1100"/>
        </a:p>
        <a:p>
          <a:r>
            <a:rPr lang="en-US" sz="1100"/>
            <a:t>Grid emission factors (kg CO2 per kwh) derived from the AMPERE 3 MESSAGE Base model. Grid emission factors are fixed at 2015 levels to reflect the REF case (e.g. no significant technological change).</a:t>
          </a:r>
        </a:p>
      </xdr:txBody>
    </xdr:sp>
    <xdr:clientData/>
  </xdr:twoCellAnchor>
  <xdr:twoCellAnchor>
    <xdr:from>
      <xdr:col>0</xdr:col>
      <xdr:colOff>0</xdr:colOff>
      <xdr:row>177</xdr:row>
      <xdr:rowOff>0</xdr:rowOff>
    </xdr:from>
    <xdr:to>
      <xdr:col>13</xdr:col>
      <xdr:colOff>152400</xdr:colOff>
      <xdr:row>177</xdr:row>
      <xdr:rowOff>714375</xdr:rowOff>
    </xdr:to>
    <xdr:sp macro="" textlink="">
      <xdr:nvSpPr>
        <xdr:cNvPr id="5" name="TextBox 4">
          <a:extLst>
            <a:ext uri="{FF2B5EF4-FFF2-40B4-BE49-F238E27FC236}">
              <a16:creationId xmlns:a16="http://schemas.microsoft.com/office/drawing/2014/main" id="{839F6B03-74DF-3A44-8F24-5DE65941C874}"/>
            </a:ext>
          </a:extLst>
        </xdr:cNvPr>
        <xdr:cNvSpPr txBox="1"/>
      </xdr:nvSpPr>
      <xdr:spPr>
        <a:xfrm>
          <a:off x="0" y="49339500"/>
          <a:ext cx="15582900"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Description of Calculations</a:t>
          </a:r>
        </a:p>
        <a:p>
          <a:endParaRPr lang="en-US" sz="1100"/>
        </a:p>
        <a:p>
          <a:r>
            <a:rPr lang="en-US" sz="1100"/>
            <a:t>Grid emission factors (kg CO2 per kwh) derived from the AMPERE 3 MESSAGE Base model. Grid emission factors are fixed at 2015 levels to reflect the REF case (e.g. no significant technological change).</a:t>
          </a:r>
        </a:p>
      </xdr:txBody>
    </xdr:sp>
    <xdr:clientData/>
  </xdr:twoCellAnchor>
  <xdr:twoCellAnchor editAs="oneCell">
    <xdr:from>
      <xdr:col>2</xdr:col>
      <xdr:colOff>0</xdr:colOff>
      <xdr:row>2</xdr:row>
      <xdr:rowOff>0</xdr:rowOff>
    </xdr:from>
    <xdr:to>
      <xdr:col>4</xdr:col>
      <xdr:colOff>317046</xdr:colOff>
      <xdr:row>6</xdr:row>
      <xdr:rowOff>390526</xdr:rowOff>
    </xdr:to>
    <xdr:pic>
      <xdr:nvPicPr>
        <xdr:cNvPr id="6" name="Picture 5">
          <a:extLst>
            <a:ext uri="{FF2B5EF4-FFF2-40B4-BE49-F238E27FC236}">
              <a16:creationId xmlns:a16="http://schemas.microsoft.com/office/drawing/2014/main" id="{C5775C44-6020-094D-BD2D-165A366AD9EC}"/>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89400" y="406400"/>
          <a:ext cx="2374446" cy="1203325"/>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3</xdr:row>
      <xdr:rowOff>172180</xdr:rowOff>
    </xdr:to>
    <xdr:pic>
      <xdr:nvPicPr>
        <xdr:cNvPr id="2" name="Picture 1">
          <a:extLst>
            <a:ext uri="{FF2B5EF4-FFF2-40B4-BE49-F238E27FC236}">
              <a16:creationId xmlns:a16="http://schemas.microsoft.com/office/drawing/2014/main" id="{B115C05A-5B86-A145-A12B-F5E0072542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54106"/>
          <a:ext cx="2376132" cy="1223946"/>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259291</xdr:colOff>
      <xdr:row>5</xdr:row>
      <xdr:rowOff>171978</xdr:rowOff>
    </xdr:from>
    <xdr:to>
      <xdr:col>1</xdr:col>
      <xdr:colOff>1124478</xdr:colOff>
      <xdr:row>16</xdr:row>
      <xdr:rowOff>51128</xdr:rowOff>
    </xdr:to>
    <xdr:pic>
      <xdr:nvPicPr>
        <xdr:cNvPr id="2" name="Picture 1">
          <a:extLst>
            <a:ext uri="{FF2B5EF4-FFF2-40B4-BE49-F238E27FC236}">
              <a16:creationId xmlns:a16="http://schemas.microsoft.com/office/drawing/2014/main" id="{8E1FF6E6-4853-4F4A-B077-12C56BD0B6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9291" y="1309686"/>
          <a:ext cx="3444875" cy="1744463"/>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68D7CD54-10CE-48C1-A504-93D86F27D5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52705"/>
          <a:ext cx="2366327" cy="852938"/>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190020C7-9C55-3645-84A3-83D4841C38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76584"/>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DD6D5075-5A1F-0B46-B632-B9168807A0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F9B64F87-EEEE-2745-B97E-D728B8FD0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44767"/>
          <a:ext cx="2367914" cy="862463"/>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EAB88584-2515-0040-985A-CF44C4F5BEB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E9BD91C7-30D4-0D42-B036-7DBDE1E69E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337E98BE-F73D-014B-9062-8094AF5C11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44767"/>
          <a:ext cx="2367914" cy="862463"/>
        </a:xfrm>
        <a:prstGeom prst="rect">
          <a:avLst/>
        </a:prstGeom>
        <a:noFill/>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3C6FEBB7-78D7-0E44-BB0F-CCA5C3EFCC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2BBFBC42-B05B-1542-9645-6A93AA5112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44767"/>
          <a:ext cx="2367914" cy="862463"/>
        </a:xfrm>
        <a:prstGeom prst="rect">
          <a:avLst/>
        </a:prstGeom>
        <a:noFill/>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9A2516F1-2BE5-E841-B07B-407A82A742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195ACD5F-5E8C-D244-8C57-CBF77583F2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A29936FF-DB26-3B4F-AD4F-140C69DEA1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44767"/>
          <a:ext cx="2367914" cy="862463"/>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9DA05390-D787-F442-A6D4-4568864C61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B5DB13EA-DEAD-6A4F-BF38-7A2EE9D32E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E83BC53F-6A48-E24C-A402-350431AE080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44767"/>
          <a:ext cx="2367914" cy="862463"/>
        </a:xfrm>
        <a:prstGeom prst="rect">
          <a:avLst/>
        </a:prstGeom>
        <a:noFill/>
        <a:ln>
          <a:noFill/>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150E6DE0-651E-8B41-97D9-3EFE95BE68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15</xdr:row>
      <xdr:rowOff>110237</xdr:rowOff>
    </xdr:to>
    <xdr:pic>
      <xdr:nvPicPr>
        <xdr:cNvPr id="2" name="Picture 1">
          <a:extLst>
            <a:ext uri="{FF2B5EF4-FFF2-40B4-BE49-F238E27FC236}">
              <a16:creationId xmlns:a16="http://schemas.microsoft.com/office/drawing/2014/main" id="{11890DA9-1C95-C140-ACFE-1443BA1AD6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E28F6997-5EC2-764A-97D2-17FC3D1BE9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44767"/>
          <a:ext cx="2367914" cy="862463"/>
        </a:xfrm>
        <a:prstGeom prst="rect">
          <a:avLst/>
        </a:prstGeom>
        <a:noFill/>
        <a:ln>
          <a:noFill/>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971C88D6-3570-A64A-B528-ECBF3A1BA7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44767"/>
          <a:ext cx="2367914" cy="862463"/>
        </a:xfrm>
        <a:prstGeom prst="rect">
          <a:avLst/>
        </a:prstGeom>
        <a:noFill/>
        <a:ln>
          <a:noFill/>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6E77FBC6-2EE5-124D-B55E-3F28358BC1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44767"/>
          <a:ext cx="2367914" cy="862463"/>
        </a:xfrm>
        <a:prstGeom prst="rect">
          <a:avLst/>
        </a:prstGeom>
        <a:noFill/>
        <a:ln>
          <a:noFill/>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170734</xdr:colOff>
      <xdr:row>1</xdr:row>
      <xdr:rowOff>90767</xdr:rowOff>
    </xdr:from>
    <xdr:to>
      <xdr:col>1</xdr:col>
      <xdr:colOff>608248</xdr:colOff>
      <xdr:row>4</xdr:row>
      <xdr:rowOff>730</xdr:rowOff>
    </xdr:to>
    <xdr:pic>
      <xdr:nvPicPr>
        <xdr:cNvPr id="2" name="Picture 1">
          <a:extLst>
            <a:ext uri="{FF2B5EF4-FFF2-40B4-BE49-F238E27FC236}">
              <a16:creationId xmlns:a16="http://schemas.microsoft.com/office/drawing/2014/main" id="{25244F94-E4CB-A34F-BB6E-A53ECEC3EE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0734" y="344767"/>
          <a:ext cx="2367914" cy="862463"/>
        </a:xfrm>
        <a:prstGeom prst="rect">
          <a:avLst/>
        </a:prstGeom>
        <a:noFill/>
        <a:ln>
          <a:noFill/>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1693333</xdr:colOff>
      <xdr:row>14</xdr:row>
      <xdr:rowOff>295445</xdr:rowOff>
    </xdr:to>
    <xdr:pic>
      <xdr:nvPicPr>
        <xdr:cNvPr id="2" name="Picture 1">
          <a:extLst>
            <a:ext uri="{FF2B5EF4-FFF2-40B4-BE49-F238E27FC236}">
              <a16:creationId xmlns:a16="http://schemas.microsoft.com/office/drawing/2014/main" id="{62387057-AD54-4C44-9323-1C8EC7BE3E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1693333</xdr:colOff>
      <xdr:row>14</xdr:row>
      <xdr:rowOff>295445</xdr:rowOff>
    </xdr:to>
    <xdr:pic>
      <xdr:nvPicPr>
        <xdr:cNvPr id="2" name="Picture 1">
          <a:extLst>
            <a:ext uri="{FF2B5EF4-FFF2-40B4-BE49-F238E27FC236}">
              <a16:creationId xmlns:a16="http://schemas.microsoft.com/office/drawing/2014/main" id="{87E1965F-0E0D-CD45-A0FF-7D5ACCF0AC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9787" cy="1559096"/>
        </a:xfrm>
        <a:prstGeom prst="rect">
          <a:avLst/>
        </a:prstGeom>
        <a:noFill/>
        <a:ln>
          <a:noFill/>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1693333</xdr:colOff>
      <xdr:row>16</xdr:row>
      <xdr:rowOff>136696</xdr:rowOff>
    </xdr:to>
    <xdr:pic>
      <xdr:nvPicPr>
        <xdr:cNvPr id="2" name="Picture 1">
          <a:extLst>
            <a:ext uri="{FF2B5EF4-FFF2-40B4-BE49-F238E27FC236}">
              <a16:creationId xmlns:a16="http://schemas.microsoft.com/office/drawing/2014/main" id="{832B93BA-4162-4943-B0E0-98B65F03AF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9787" cy="1754888"/>
        </a:xfrm>
        <a:prstGeom prst="rect">
          <a:avLst/>
        </a:prstGeom>
        <a:noFill/>
        <a:ln>
          <a:noFill/>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1693333</xdr:colOff>
      <xdr:row>15</xdr:row>
      <xdr:rowOff>110237</xdr:rowOff>
    </xdr:to>
    <xdr:pic>
      <xdr:nvPicPr>
        <xdr:cNvPr id="2" name="Picture 1">
          <a:extLst>
            <a:ext uri="{FF2B5EF4-FFF2-40B4-BE49-F238E27FC236}">
              <a16:creationId xmlns:a16="http://schemas.microsoft.com/office/drawing/2014/main" id="{065EDE0D-0DD3-5B4E-B067-EE8E640179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9787" cy="1754888"/>
        </a:xfrm>
        <a:prstGeom prst="rect">
          <a:avLst/>
        </a:prstGeom>
        <a:noFill/>
        <a:ln>
          <a:noFill/>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1693333</xdr:colOff>
      <xdr:row>15</xdr:row>
      <xdr:rowOff>110237</xdr:rowOff>
    </xdr:to>
    <xdr:pic>
      <xdr:nvPicPr>
        <xdr:cNvPr id="2" name="Picture 1">
          <a:extLst>
            <a:ext uri="{FF2B5EF4-FFF2-40B4-BE49-F238E27FC236}">
              <a16:creationId xmlns:a16="http://schemas.microsoft.com/office/drawing/2014/main" id="{AB686E5E-A062-D543-85BA-1A7EB845B1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9787" cy="1754888"/>
        </a:xfrm>
        <a:prstGeom prst="rect">
          <a:avLst/>
        </a:prstGeom>
        <a:noFill/>
        <a:ln>
          <a:noFill/>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1693333</xdr:colOff>
      <xdr:row>15</xdr:row>
      <xdr:rowOff>110237</xdr:rowOff>
    </xdr:to>
    <xdr:pic>
      <xdr:nvPicPr>
        <xdr:cNvPr id="2" name="Picture 1">
          <a:extLst>
            <a:ext uri="{FF2B5EF4-FFF2-40B4-BE49-F238E27FC236}">
              <a16:creationId xmlns:a16="http://schemas.microsoft.com/office/drawing/2014/main" id="{E8037C9E-72C5-284A-BEBB-6D4FBBFD88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9787" cy="1754888"/>
        </a:xfrm>
        <a:prstGeom prst="rect">
          <a:avLst/>
        </a:prstGeom>
        <a:noFill/>
        <a:ln>
          <a:noFill/>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1693333</xdr:colOff>
      <xdr:row>15</xdr:row>
      <xdr:rowOff>110237</xdr:rowOff>
    </xdr:to>
    <xdr:pic>
      <xdr:nvPicPr>
        <xdr:cNvPr id="2" name="Picture 1">
          <a:extLst>
            <a:ext uri="{FF2B5EF4-FFF2-40B4-BE49-F238E27FC236}">
              <a16:creationId xmlns:a16="http://schemas.microsoft.com/office/drawing/2014/main" id="{EE84A57B-12F6-C74E-A052-0823452DEE6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9787" cy="1754888"/>
        </a:xfrm>
        <a:prstGeom prst="rect">
          <a:avLst/>
        </a:prstGeom>
        <a:noFill/>
        <a:ln>
          <a:noFill/>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1693333</xdr:colOff>
      <xdr:row>14</xdr:row>
      <xdr:rowOff>493883</xdr:rowOff>
    </xdr:to>
    <xdr:pic>
      <xdr:nvPicPr>
        <xdr:cNvPr id="2" name="Picture 1">
          <a:extLst>
            <a:ext uri="{FF2B5EF4-FFF2-40B4-BE49-F238E27FC236}">
              <a16:creationId xmlns:a16="http://schemas.microsoft.com/office/drawing/2014/main" id="{3FD3BED4-F9EF-1A4F-9962-142752AB29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9787" cy="1754888"/>
        </a:xfrm>
        <a:prstGeom prst="rect">
          <a:avLst/>
        </a:prstGeom>
        <a:noFill/>
        <a:ln>
          <a:noFill/>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14</xdr:row>
      <xdr:rowOff>480654</xdr:rowOff>
    </xdr:to>
    <xdr:pic>
      <xdr:nvPicPr>
        <xdr:cNvPr id="2" name="Picture 1">
          <a:extLst>
            <a:ext uri="{FF2B5EF4-FFF2-40B4-BE49-F238E27FC236}">
              <a16:creationId xmlns:a16="http://schemas.microsoft.com/office/drawing/2014/main" id="{85F3FA73-C95F-334B-8092-FB58510B55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4888"/>
        </a:xfrm>
        <a:prstGeom prst="rect">
          <a:avLst/>
        </a:prstGeom>
        <a:noFill/>
        <a:ln>
          <a:noFill/>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14</xdr:row>
      <xdr:rowOff>480654</xdr:rowOff>
    </xdr:to>
    <xdr:pic>
      <xdr:nvPicPr>
        <xdr:cNvPr id="2" name="Picture 1">
          <a:extLst>
            <a:ext uri="{FF2B5EF4-FFF2-40B4-BE49-F238E27FC236}">
              <a16:creationId xmlns:a16="http://schemas.microsoft.com/office/drawing/2014/main" id="{5E40E415-C25B-A04C-8099-6AEA8BE2C1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7005"/>
        </a:xfrm>
        <a:prstGeom prst="rect">
          <a:avLst/>
        </a:prstGeom>
        <a:noFill/>
        <a:ln>
          <a:noFill/>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14</xdr:row>
      <xdr:rowOff>480654</xdr:rowOff>
    </xdr:to>
    <xdr:pic>
      <xdr:nvPicPr>
        <xdr:cNvPr id="2" name="Picture 1">
          <a:extLst>
            <a:ext uri="{FF2B5EF4-FFF2-40B4-BE49-F238E27FC236}">
              <a16:creationId xmlns:a16="http://schemas.microsoft.com/office/drawing/2014/main" id="{E8129E57-BAF9-FD47-BD06-F07F9D387D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7005"/>
        </a:xfrm>
        <a:prstGeom prst="rect">
          <a:avLst/>
        </a:prstGeom>
        <a:noFill/>
        <a:ln>
          <a:noFill/>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193146</xdr:colOff>
      <xdr:row>6</xdr:row>
      <xdr:rowOff>158749</xdr:rowOff>
    </xdr:from>
    <xdr:to>
      <xdr:col>1</xdr:col>
      <xdr:colOff>992187</xdr:colOff>
      <xdr:row>14</xdr:row>
      <xdr:rowOff>480654</xdr:rowOff>
    </xdr:to>
    <xdr:pic>
      <xdr:nvPicPr>
        <xdr:cNvPr id="2" name="Picture 1">
          <a:extLst>
            <a:ext uri="{FF2B5EF4-FFF2-40B4-BE49-F238E27FC236}">
              <a16:creationId xmlns:a16="http://schemas.microsoft.com/office/drawing/2014/main" id="{E082F135-E859-B448-851B-4BDE2F49535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3146" y="1466849"/>
          <a:ext cx="3377141" cy="1757005"/>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c/Mac/Users/chadfrischmann/Box%20Sync/Research/02%20-%20SOLUTION%20MODELS%20&amp;%20TECHNICAL%20REPORTS/SECTOR%20-%20FAMILY%20PLANNING/SolarPVUtility_RRS_ELECGEN_v2(FAMILYPLANNINGexampl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hadfrischmann/Downloads/District%20Heating_RRS_v1.1c_June201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Welcome"/>
      <sheetName val="Basic Controls"/>
      <sheetName val="Advanced Controls"/>
      <sheetName val="Variable Summary"/>
      <sheetName val="Detailed Results"/>
      <sheetName val="Variable Meta-analysis"/>
      <sheetName val="Variable Meta-analysis-Open"/>
      <sheetName val="Adoption Data"/>
      <sheetName val="Operating Cost"/>
      <sheetName val="Net Profit Margin"/>
      <sheetName val="First Cost"/>
      <sheetName val="TAM Data"/>
      <sheetName val="ScenarioRecord"/>
      <sheetName val="Data Interpolator"/>
      <sheetName val="Carbon Price Analysis"/>
      <sheetName val="Custom PDS Adoption"/>
      <sheetName val="Custom REF Adoption"/>
      <sheetName val="S-Curve Adoption"/>
      <sheetName val="Regions-Countries sorting"/>
      <sheetName val="Unit Adoption Calculations"/>
      <sheetName val="FamPlanning"/>
      <sheetName val="XLLang"/>
      <sheetName val="CO2 Calcs"/>
      <sheetName val="CH4 Calcs"/>
      <sheetName val="Emissions Factors"/>
      <sheetName val="Helper Tables"/>
      <sheetName val="IEA Data-ETP 2016"/>
      <sheetName val="SOLAR AMPERE (SPLIT)"/>
      <sheetName val="ADD SHEETS --&g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9">
          <cell r="A9" t="str">
            <v>REF Grid EFs kg CO2-eq per kwh</v>
          </cell>
        </row>
        <row r="64">
          <cell r="A64" t="str">
            <v>REF Grid EFs kg CO2 per kwh</v>
          </cell>
        </row>
        <row r="120">
          <cell r="A120" t="str">
            <v>OPT Grid EFs kg CO2-eq per kwh</v>
          </cell>
        </row>
        <row r="177">
          <cell r="A177" t="str">
            <v>OPT Grid EFs kg CO2 per kwh</v>
          </cell>
        </row>
      </sheetData>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Welcome"/>
      <sheetName val="Basic Controls"/>
      <sheetName val="Advanced Controls"/>
      <sheetName val="Detailed Results"/>
      <sheetName val="ScenarioRecord"/>
      <sheetName val="Variable Meta-analysis"/>
      <sheetName val="Unit Adoption Calculations"/>
      <sheetName val="Variable Meta-analysis-Open"/>
      <sheetName val="Operating Cost"/>
      <sheetName val="First Cost"/>
      <sheetName val="Net Profit Margin"/>
      <sheetName val="Adoption Data"/>
      <sheetName val="Custom PDS Adoption"/>
      <sheetName val="TAM Data"/>
      <sheetName val="Variable Summary"/>
      <sheetName val="Carbon Price Analysis"/>
      <sheetName val="CO2 Calcs"/>
      <sheetName val="Helper Tables"/>
      <sheetName val="Emissions Factors"/>
      <sheetName val="CH4 Calcs"/>
      <sheetName val="Data Interpolator"/>
      <sheetName val="Custom REF Adoption"/>
      <sheetName val="S-Curve Adoption"/>
      <sheetName val="FamPlanning"/>
      <sheetName val="XLLang"/>
      <sheetName val="Regions-Countries Sorting"/>
      <sheetName val="ADD SHEETS --&gt;"/>
      <sheetName val="DH Adoption &amp; TAM IEA ETP 2017"/>
      <sheetName val="ADOPTION Greenpeace"/>
      <sheetName val="DH - Adoption"/>
      <sheetName val="Curr Adoption 2018"/>
    </sheetNames>
    <sheetDataSet>
      <sheetData sheetId="0" refreshError="1"/>
      <sheetData sheetId="1" refreshError="1"/>
      <sheetData sheetId="2" refreshError="1"/>
      <sheetData sheetId="3">
        <row r="40">
          <cell r="C40" t="str">
            <v>Renewable District Heating</v>
          </cell>
        </row>
        <row r="144">
          <cell r="H144" t="str">
            <v>Space Heating &amp; Cooling (weighted average)</v>
          </cell>
        </row>
        <row r="148">
          <cell r="H148" t="str">
            <v>Fuel</v>
          </cell>
        </row>
        <row r="174">
          <cell r="C174" t="str">
            <v>Meta-Analysis</v>
          </cell>
          <cell r="D174" t="str">
            <v>Mean</v>
          </cell>
        </row>
      </sheetData>
      <sheetData sheetId="4">
        <row r="3">
          <cell r="E3">
            <v>2020</v>
          </cell>
        </row>
      </sheetData>
      <sheetData sheetId="5" refreshError="1"/>
      <sheetData sheetId="6">
        <row r="5">
          <cell r="X5">
            <v>277777.77799999999</v>
          </cell>
        </row>
        <row r="8">
          <cell r="R8">
            <v>1.0550558499999999E-3</v>
          </cell>
        </row>
        <row r="33">
          <cell r="T33">
            <v>4.5359274000030203E-4</v>
          </cell>
        </row>
      </sheetData>
      <sheetData sheetId="7">
        <row r="14">
          <cell r="A14" t="str">
            <v>REF TAM</v>
          </cell>
        </row>
      </sheetData>
      <sheetData sheetId="8" refreshError="1"/>
      <sheetData sheetId="9">
        <row r="9">
          <cell r="A9" t="str">
            <v>OPERATING COST | SAVING CALCULATION</v>
          </cell>
        </row>
      </sheetData>
      <sheetData sheetId="10">
        <row r="8">
          <cell r="A8" t="str">
            <v>FIRST COST FORECAST</v>
          </cell>
        </row>
      </sheetData>
      <sheetData sheetId="11" refreshError="1"/>
      <sheetData sheetId="12" refreshError="1"/>
      <sheetData sheetId="13">
        <row r="77">
          <cell r="A77" t="str">
            <v>Scenario 1</v>
          </cell>
        </row>
      </sheetData>
      <sheetData sheetId="14" refreshError="1"/>
      <sheetData sheetId="15" refreshError="1"/>
      <sheetData sheetId="16" refreshError="1"/>
      <sheetData sheetId="17">
        <row r="7">
          <cell r="A7" t="str">
            <v>CO2 MMT Reduced</v>
          </cell>
        </row>
      </sheetData>
      <sheetData sheetId="18">
        <row r="8">
          <cell r="Q8">
            <v>9.9999999999999999E+306</v>
          </cell>
        </row>
      </sheetData>
      <sheetData sheetId="19" refreshError="1"/>
      <sheetData sheetId="20">
        <row r="7">
          <cell r="A7" t="str">
            <v>CH4 Tons Reduced</v>
          </cell>
        </row>
      </sheetData>
      <sheetData sheetId="21" refreshError="1"/>
      <sheetData sheetId="22">
        <row r="77">
          <cell r="A77" t="str">
            <v>Scenario 1</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ec.europa.eu/eurostat/ramon/statmanuals/files/Energy_statistics_manual_2004_EN.pdf" TargetMode="External"/><Relationship Id="rId7" Type="http://schemas.openxmlformats.org/officeDocument/2006/relationships/hyperlink" Target="https://www.engineeringtoolbox.com/wood-biomass-combustion-heat-d_440.html" TargetMode="External"/><Relationship Id="rId2" Type="http://schemas.openxmlformats.org/officeDocument/2006/relationships/hyperlink" Target="http://www.ipcc-nggip.iges.or.jp/public/2006gl/pdf/2_Volume2/V2_1_Ch1_Introduction.pdf" TargetMode="External"/><Relationship Id="rId1" Type="http://schemas.openxmlformats.org/officeDocument/2006/relationships/hyperlink" Target="http://www.ipcc-nggip.iges.or.jp/public/2006gl/pdf/2_Volume2/V2_3_Ch3_Mobile_Combustion.pdf" TargetMode="External"/><Relationship Id="rId6" Type="http://schemas.openxmlformats.org/officeDocument/2006/relationships/hyperlink" Target="http://agnatural.pt/documentos/ver/natural-gas-conversion-guide_cb4f0ccd80ccaf88ca5ec336a38600867db5aaf1.pdf" TargetMode="External"/><Relationship Id="rId11" Type="http://schemas.openxmlformats.org/officeDocument/2006/relationships/comments" Target="../comments2.xml"/><Relationship Id="rId5" Type="http://schemas.openxmlformats.org/officeDocument/2006/relationships/hyperlink" Target="http://www.wolframalpha.com/input/?i=methane+at+288.15K+and+220+atm" TargetMode="External"/><Relationship Id="rId10" Type="http://schemas.openxmlformats.org/officeDocument/2006/relationships/vmlDrawing" Target="../drawings/vmlDrawing2.vml"/><Relationship Id="rId4" Type="http://schemas.openxmlformats.org/officeDocument/2006/relationships/hyperlink" Target="https://www.ipcc.ch/pdf/assessment-report/ar5/wg3/ipcc_wg3_ar5_annex-iii.pdf" TargetMode="External"/><Relationship Id="rId9"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H184"/>
  <sheetViews>
    <sheetView topLeftCell="G38" zoomScale="95" workbookViewId="0">
      <selection activeCell="B53" sqref="B53"/>
    </sheetView>
  </sheetViews>
  <sheetFormatPr defaultColWidth="11" defaultRowHeight="15.6" x14ac:dyDescent="0.3"/>
  <cols>
    <col min="2" max="2" width="17.5" bestFit="1" customWidth="1"/>
    <col min="3" max="3" width="18.296875" customWidth="1"/>
    <col min="5" max="5" width="30.296875" customWidth="1"/>
    <col min="7" max="7" width="17.19921875" bestFit="1" customWidth="1"/>
    <col min="8" max="8" width="29" bestFit="1" customWidth="1"/>
    <col min="9" max="9" width="30.5" customWidth="1"/>
    <col min="10" max="10" width="29.69921875" bestFit="1" customWidth="1"/>
    <col min="11" max="11" width="18.69921875" customWidth="1"/>
    <col min="12" max="12" width="11.69921875" bestFit="1" customWidth="1"/>
    <col min="13" max="14" width="11.69921875" customWidth="1"/>
  </cols>
  <sheetData>
    <row r="1" spans="1:34" ht="64.95" customHeight="1" x14ac:dyDescent="0.3">
      <c r="G1" s="513" t="s">
        <v>299</v>
      </c>
      <c r="H1" s="513" t="s">
        <v>300</v>
      </c>
      <c r="I1" s="326" t="s">
        <v>428</v>
      </c>
      <c r="J1" s="326" t="s">
        <v>429</v>
      </c>
      <c r="K1" s="513" t="s">
        <v>330</v>
      </c>
      <c r="L1" s="513" t="s">
        <v>329</v>
      </c>
      <c r="M1" s="513" t="s">
        <v>327</v>
      </c>
      <c r="N1" s="513" t="s">
        <v>328</v>
      </c>
      <c r="O1" s="513" t="s">
        <v>308</v>
      </c>
      <c r="P1" s="513" t="s">
        <v>313</v>
      </c>
      <c r="Q1" s="513" t="s">
        <v>314</v>
      </c>
      <c r="R1" s="513" t="s">
        <v>320</v>
      </c>
      <c r="S1" s="513" t="s">
        <v>321</v>
      </c>
      <c r="T1" s="513" t="s">
        <v>323</v>
      </c>
      <c r="U1" s="513" t="s">
        <v>324</v>
      </c>
      <c r="V1" s="526" t="s">
        <v>360</v>
      </c>
      <c r="W1" s="526" t="s">
        <v>361</v>
      </c>
      <c r="X1" s="526" t="s">
        <v>379</v>
      </c>
      <c r="Y1" s="526" t="s">
        <v>437</v>
      </c>
      <c r="Z1" s="526" t="s">
        <v>438</v>
      </c>
      <c r="AA1" s="526" t="s">
        <v>395</v>
      </c>
      <c r="AB1" s="523" t="s">
        <v>401</v>
      </c>
      <c r="AC1" s="513" t="s">
        <v>410</v>
      </c>
      <c r="AD1" s="513" t="s">
        <v>411</v>
      </c>
      <c r="AE1" s="513" t="s">
        <v>414</v>
      </c>
      <c r="AF1" s="513" t="s">
        <v>415</v>
      </c>
      <c r="AG1" s="326" t="s">
        <v>425</v>
      </c>
      <c r="AH1" s="326" t="s">
        <v>426</v>
      </c>
    </row>
    <row r="2" spans="1:34" ht="28.95" customHeight="1" x14ac:dyDescent="0.3">
      <c r="A2" s="404"/>
      <c r="B2" s="539" t="s">
        <v>430</v>
      </c>
      <c r="C2" s="539"/>
      <c r="D2" s="539"/>
      <c r="E2" s="539"/>
      <c r="G2" s="326" t="s">
        <v>368</v>
      </c>
      <c r="H2" s="326" t="s">
        <v>369</v>
      </c>
      <c r="I2" s="326" t="s">
        <v>368</v>
      </c>
      <c r="J2" s="326" t="s">
        <v>369</v>
      </c>
      <c r="K2" s="326" t="s">
        <v>368</v>
      </c>
      <c r="L2" s="326" t="s">
        <v>369</v>
      </c>
      <c r="M2" s="326" t="s">
        <v>368</v>
      </c>
      <c r="N2" s="326" t="s">
        <v>369</v>
      </c>
      <c r="O2" s="326" t="s">
        <v>368</v>
      </c>
      <c r="P2" s="326" t="s">
        <v>368</v>
      </c>
      <c r="Q2" s="326" t="s">
        <v>369</v>
      </c>
      <c r="R2" s="326" t="s">
        <v>368</v>
      </c>
      <c r="S2" s="326" t="s">
        <v>369</v>
      </c>
      <c r="T2" s="326" t="s">
        <v>368</v>
      </c>
      <c r="U2" s="326" t="s">
        <v>369</v>
      </c>
      <c r="V2" s="326" t="s">
        <v>368</v>
      </c>
      <c r="W2" s="326" t="s">
        <v>369</v>
      </c>
      <c r="X2" s="326" t="s">
        <v>453</v>
      </c>
      <c r="Y2" s="326" t="s">
        <v>368</v>
      </c>
      <c r="Z2" s="326" t="s">
        <v>369</v>
      </c>
      <c r="AA2" s="326" t="s">
        <v>453</v>
      </c>
      <c r="AB2" s="326" t="s">
        <v>453</v>
      </c>
      <c r="AC2" s="326" t="s">
        <v>368</v>
      </c>
      <c r="AD2" s="326" t="s">
        <v>369</v>
      </c>
      <c r="AE2" s="326" t="s">
        <v>368</v>
      </c>
      <c r="AF2" s="326" t="s">
        <v>369</v>
      </c>
      <c r="AG2" s="326" t="s">
        <v>368</v>
      </c>
      <c r="AH2" s="326" t="s">
        <v>369</v>
      </c>
    </row>
    <row r="3" spans="1:34" x14ac:dyDescent="0.3">
      <c r="A3" s="404"/>
      <c r="B3" s="404" t="s">
        <v>235</v>
      </c>
      <c r="C3" s="404" t="s">
        <v>368</v>
      </c>
      <c r="D3" s="404" t="s">
        <v>369</v>
      </c>
      <c r="E3" s="404" t="s">
        <v>453</v>
      </c>
      <c r="G3" s="325" t="s">
        <v>213</v>
      </c>
      <c r="H3" s="325" t="s">
        <v>213</v>
      </c>
      <c r="I3" s="403" t="s">
        <v>213</v>
      </c>
      <c r="J3" s="403" t="s">
        <v>213</v>
      </c>
      <c r="K3" s="325" t="s">
        <v>213</v>
      </c>
      <c r="L3" s="325" t="s">
        <v>213</v>
      </c>
      <c r="M3" s="325" t="s">
        <v>213</v>
      </c>
      <c r="N3" s="325" t="s">
        <v>213</v>
      </c>
      <c r="O3" s="325" t="s">
        <v>213</v>
      </c>
      <c r="P3" s="325" t="s">
        <v>213</v>
      </c>
      <c r="Q3" s="325" t="s">
        <v>213</v>
      </c>
      <c r="R3" s="325" t="s">
        <v>213</v>
      </c>
      <c r="S3" s="325" t="s">
        <v>213</v>
      </c>
      <c r="T3" s="325" t="s">
        <v>213</v>
      </c>
      <c r="U3" s="325" t="s">
        <v>213</v>
      </c>
      <c r="V3" s="325" t="s">
        <v>213</v>
      </c>
      <c r="W3" s="325" t="s">
        <v>213</v>
      </c>
      <c r="X3" s="325" t="s">
        <v>213</v>
      </c>
      <c r="Y3" s="325" t="s">
        <v>213</v>
      </c>
      <c r="Z3" s="325" t="s">
        <v>213</v>
      </c>
      <c r="AA3" s="325" t="s">
        <v>213</v>
      </c>
      <c r="AB3" s="325" t="s">
        <v>213</v>
      </c>
      <c r="AC3" s="325" t="s">
        <v>213</v>
      </c>
      <c r="AD3" s="325" t="s">
        <v>213</v>
      </c>
      <c r="AE3" s="325" t="s">
        <v>213</v>
      </c>
      <c r="AF3" s="325" t="s">
        <v>213</v>
      </c>
      <c r="AG3" s="325" t="s">
        <v>213</v>
      </c>
      <c r="AH3" s="325" t="s">
        <v>213</v>
      </c>
    </row>
    <row r="4" spans="1:34" x14ac:dyDescent="0.3">
      <c r="A4" s="404">
        <v>2014</v>
      </c>
      <c r="B4" s="405">
        <f t="shared" ref="B4:B50" si="0">SUMIF($G$3:$XFD$3,"Y",$G4:$XFD4)/1000</f>
        <v>-6.8938997001609383E-6</v>
      </c>
      <c r="C4" s="405">
        <f t="shared" ref="C4:C50" si="1">SUMIF($G$2:$XFD$2,"LLDC",$G4:$XFD4)/1000</f>
        <v>0</v>
      </c>
      <c r="D4" s="405">
        <f t="shared" ref="D4:D50" si="2">SUMIF($G$2:$XFD$2,"MDC",$G4:$XFD4)/1000</f>
        <v>-5.3934777983172675E-6</v>
      </c>
      <c r="E4" s="405">
        <f t="shared" ref="E4:E50" si="3">SUMIF($G$2:$XFD$2,$E$3,$G4:$XFD4)/1000</f>
        <v>-1.5004219018436719E-6</v>
      </c>
      <c r="G4" s="324">
        <f>Electricity_cluster!AS133</f>
        <v>0</v>
      </c>
      <c r="H4" s="324">
        <f>Electricity_cluster!X192</f>
        <v>0</v>
      </c>
      <c r="I4" s="324">
        <f>-(SpaceHeating_cluster_lldc!O26+SpaceCooling_cluster_lldc!O26+ComLight_cluster_lldc!O26+ReslLight_cluster_lldc!O26+WaterHeating_cluster_lldc!O26)</f>
        <v>0</v>
      </c>
      <c r="J4" s="324">
        <f>-(SpaceHeating_cluster_mdc!O26+SpaceCooling_cluster_mdc!O26+ComLight_cluster_mdc!O26+ReslLight_cluster_mdc!O26+WaterHeating_cluster_mdc!O26)</f>
        <v>3.0351411555117258E-3</v>
      </c>
      <c r="K4" s="324">
        <f>SpaceHeating_cluster!AU135</f>
        <v>0</v>
      </c>
      <c r="L4" s="324">
        <f>SpaceHeating_cluster!Z194</f>
        <v>0</v>
      </c>
      <c r="M4" s="324">
        <f>SpaceCooling_cluster!AU135</f>
        <v>0</v>
      </c>
      <c r="N4" s="324">
        <f>SpaceCooling_cluster!Z194</f>
        <v>0</v>
      </c>
      <c r="O4" s="324">
        <f>CleanCookstoves_cluster!AU135</f>
        <v>0</v>
      </c>
      <c r="P4" s="323">
        <f>ComLight_cluster!AU135</f>
        <v>0</v>
      </c>
      <c r="Q4" s="323">
        <f>ComLight_cluster!Z194</f>
        <v>0</v>
      </c>
      <c r="R4" s="323">
        <f>ResLight_cluster!AU135</f>
        <v>0</v>
      </c>
      <c r="S4" s="323">
        <f>ResLight_cluster!Z194</f>
        <v>0</v>
      </c>
      <c r="T4" s="323">
        <f>WaterHeating_cluster!AU135</f>
        <v>0</v>
      </c>
      <c r="U4" s="323">
        <f>WaterHeating_cluster!Z194</f>
        <v>0</v>
      </c>
      <c r="V4" s="324">
        <f>'Passenger-km_cluster_lldc'!X26</f>
        <v>0</v>
      </c>
      <c r="W4" s="324">
        <f>'Passenger-km_cluster_mdc'!X26</f>
        <v>-4.7315814271692213E-3</v>
      </c>
      <c r="X4" s="324">
        <f>'NFreight-km_cluster_all'!X26</f>
        <v>-6.3496469038728436E-4</v>
      </c>
      <c r="Y4" s="324">
        <f>'GFreight-km_cluster_lldc'!X26</f>
        <v>0</v>
      </c>
      <c r="Z4" s="324">
        <f>'GFreight-km_cluster_mdc'!X26</f>
        <v>-3.6970375266597716E-3</v>
      </c>
      <c r="AA4" s="324">
        <f>'Air-km_cluster_all'!X26</f>
        <v>-8.6545721145638748E-4</v>
      </c>
      <c r="AB4" s="324">
        <f>Plastics_cluster!Z194</f>
        <v>0</v>
      </c>
      <c r="AC4" s="323">
        <f>Paper_cluster!AU135</f>
        <v>0</v>
      </c>
      <c r="AD4" s="323">
        <f>Paper_cluster!Z194</f>
        <v>0</v>
      </c>
      <c r="AE4" s="323">
        <f>Water_cluster!AU135</f>
        <v>0</v>
      </c>
      <c r="AF4" s="323">
        <f>Water_cluster!Z194</f>
        <v>0</v>
      </c>
      <c r="AG4" s="323">
        <f>DemandFood_cluster!I61</f>
        <v>0</v>
      </c>
      <c r="AH4" s="323">
        <f>DemandFood_cluster!J61</f>
        <v>0</v>
      </c>
    </row>
    <row r="5" spans="1:34" x14ac:dyDescent="0.3">
      <c r="A5" s="404">
        <v>2015</v>
      </c>
      <c r="B5" s="405">
        <f t="shared" si="0"/>
        <v>-5.7409312262930462E-6</v>
      </c>
      <c r="C5" s="405">
        <f t="shared" si="1"/>
        <v>0</v>
      </c>
      <c r="D5" s="405">
        <f t="shared" si="2"/>
        <v>-2.9472360568939893E-6</v>
      </c>
      <c r="E5" s="405">
        <f t="shared" si="3"/>
        <v>-2.7936951693990565E-6</v>
      </c>
      <c r="G5" s="324">
        <f>Electricity_cluster!AS134</f>
        <v>0</v>
      </c>
      <c r="H5" s="324">
        <f>Electricity_cluster!X193</f>
        <v>0</v>
      </c>
      <c r="I5" s="324">
        <f>-(SpaceHeating_cluster_lldc!O27+SpaceCooling_cluster_lldc!O27+ComLight_cluster_lldc!O27+ReslLight_cluster_lldc!O27+WaterHeating_cluster_lldc!O27)</f>
        <v>0</v>
      </c>
      <c r="J5" s="324">
        <f>-(SpaceHeating_cluster_mdc!O27+SpaceCooling_cluster_mdc!O27+ComLight_cluster_mdc!O27+ReslLight_cluster_mdc!O27+WaterHeating_cluster_mdc!O27)</f>
        <v>5.4507723363473185E-3</v>
      </c>
      <c r="K5" s="324">
        <f>SpaceHeating_cluster!AU136</f>
        <v>0</v>
      </c>
      <c r="L5" s="324">
        <f>SpaceHeating_cluster!Z195</f>
        <v>0</v>
      </c>
      <c r="M5" s="324">
        <f>SpaceCooling_cluster!AU136</f>
        <v>0</v>
      </c>
      <c r="N5" s="324">
        <f>SpaceCooling_cluster!Z195</f>
        <v>0</v>
      </c>
      <c r="O5" s="324">
        <f>CleanCookstoves_cluster!AU136</f>
        <v>0</v>
      </c>
      <c r="P5" s="323">
        <f>ComLight_cluster!AU136</f>
        <v>0</v>
      </c>
      <c r="Q5" s="323">
        <f>ComLight_cluster!Z195</f>
        <v>0</v>
      </c>
      <c r="R5" s="323">
        <f>ResLight_cluster!AU136</f>
        <v>0</v>
      </c>
      <c r="S5" s="323">
        <f>ResLight_cluster!Z195</f>
        <v>0</v>
      </c>
      <c r="T5" s="323">
        <f>WaterHeating_cluster!AU136</f>
        <v>0</v>
      </c>
      <c r="U5" s="323">
        <f>WaterHeating_cluster!Z195</f>
        <v>0</v>
      </c>
      <c r="V5" s="324">
        <f>'Passenger-km_cluster_lldc'!X27</f>
        <v>0</v>
      </c>
      <c r="W5" s="324">
        <f>'Passenger-km_cluster_mdc'!X27</f>
        <v>-4.8007384996412508E-3</v>
      </c>
      <c r="X5" s="324">
        <f>'NFreight-km_cluster_all'!X27</f>
        <v>-6.2631833284076239E-4</v>
      </c>
      <c r="Y5" s="324">
        <f>'GFreight-km_cluster_lldc'!X27</f>
        <v>0</v>
      </c>
      <c r="Z5" s="324">
        <f>'GFreight-km_cluster_mdc'!X27</f>
        <v>-3.597269893600057E-3</v>
      </c>
      <c r="AA5" s="324">
        <f>'Air-km_cluster_all'!X27</f>
        <v>-8.7830050758893274E-4</v>
      </c>
      <c r="AB5" s="324">
        <f>Plastics_cluster!Z195</f>
        <v>-1.2890763289693614E-3</v>
      </c>
      <c r="AC5" s="323">
        <f>Paper_cluster!AU136</f>
        <v>0</v>
      </c>
      <c r="AD5" s="323">
        <f>Paper_cluster!Z195</f>
        <v>0</v>
      </c>
      <c r="AE5" s="323">
        <f>Water_cluster!AU136</f>
        <v>0</v>
      </c>
      <c r="AF5" s="323">
        <f>Water_cluster!Z195</f>
        <v>0</v>
      </c>
      <c r="AG5" s="323">
        <f>DemandFood_cluster!I62</f>
        <v>0</v>
      </c>
      <c r="AH5" s="323">
        <f>DemandFood_cluster!J62</f>
        <v>0</v>
      </c>
    </row>
    <row r="6" spans="1:34" x14ac:dyDescent="0.3">
      <c r="A6" s="404">
        <v>2016</v>
      </c>
      <c r="B6" s="405">
        <f t="shared" si="0"/>
        <v>8.5614180880554287E-3</v>
      </c>
      <c r="C6" s="405">
        <f t="shared" si="1"/>
        <v>4.9667936656881181E-3</v>
      </c>
      <c r="D6" s="405">
        <f t="shared" si="2"/>
        <v>3.5974339230256062E-3</v>
      </c>
      <c r="E6" s="405">
        <f t="shared" si="3"/>
        <v>-2.8095006582945718E-6</v>
      </c>
      <c r="G6" s="324">
        <f>Electricity_cluster!AS135</f>
        <v>-1.989597896991227E-2</v>
      </c>
      <c r="H6" s="324">
        <f>Electricity_cluster!X194</f>
        <v>0</v>
      </c>
      <c r="I6" s="324">
        <f>-(SpaceHeating_cluster_lldc!O28+SpaceCooling_cluster_lldc!O28+ComLight_cluster_lldc!O28+ReslLight_cluster_lldc!O28+WaterHeating_cluster_lldc!O28)</f>
        <v>5.4140722682384642E-3</v>
      </c>
      <c r="J6" s="324">
        <f>-(SpaceHeating_cluster_mdc!O28+SpaceCooling_cluster_mdc!O28+ComLight_cluster_mdc!O28+ReslLight_cluster_mdc!O28+WaterHeating_cluster_mdc!O28)</f>
        <v>0</v>
      </c>
      <c r="K6" s="324">
        <f>SpaceHeating_cluster!AU137</f>
        <v>-3.4574248603052192E-3</v>
      </c>
      <c r="L6" s="324">
        <f>SpaceHeating_cluster!Z196</f>
        <v>0</v>
      </c>
      <c r="M6" s="324">
        <f>SpaceCooling_cluster!AU137</f>
        <v>-2.3990683592356758E-3</v>
      </c>
      <c r="N6" s="324">
        <f>SpaceCooling_cluster!Z196</f>
        <v>0</v>
      </c>
      <c r="O6" s="324">
        <f>CleanCookstoves_cluster!AU137</f>
        <v>-6.0478373023313834E-3</v>
      </c>
      <c r="P6" s="323">
        <f>ComLight_cluster!AU137</f>
        <v>-1.0926395141106155E-3</v>
      </c>
      <c r="Q6" s="323">
        <f>ComLight_cluster!Z196</f>
        <v>0</v>
      </c>
      <c r="R6" s="323">
        <f>ResLight_cluster!AU137</f>
        <v>-1.4525523955615451E-3</v>
      </c>
      <c r="S6" s="323">
        <f>ResLight_cluster!Z196</f>
        <v>0</v>
      </c>
      <c r="T6" s="323">
        <f>WaterHeating_cluster!AU137</f>
        <v>-1.4778129818215477E-3</v>
      </c>
      <c r="U6" s="323">
        <f>WaterHeating_cluster!Z196</f>
        <v>0</v>
      </c>
      <c r="V6" s="324">
        <f>'Passenger-km_cluster_lldc'!X28</f>
        <v>0</v>
      </c>
      <c r="W6" s="324">
        <f>'Passenger-km_cluster_mdc'!X28</f>
        <v>-4.8525342473414029E-3</v>
      </c>
      <c r="X6" s="324">
        <f>'NFreight-km_cluster_all'!X28</f>
        <v>-6.2756247067187736E-4</v>
      </c>
      <c r="Y6" s="324">
        <f>'GFreight-km_cluster_lldc'!X28</f>
        <v>0</v>
      </c>
      <c r="Z6" s="324">
        <f>'GFreight-km_cluster_mdc'!X28</f>
        <v>-3.5692423159470309E-3</v>
      </c>
      <c r="AA6" s="324">
        <f>'Air-km_cluster_all'!X28</f>
        <v>-8.9459925988305425E-4</v>
      </c>
      <c r="AB6" s="324">
        <f>Plastics_cluster!Z196</f>
        <v>-1.2873389277396402E-3</v>
      </c>
      <c r="AC6" s="323">
        <f>Paper_cluster!AU137</f>
        <v>-5.9019370512082754E-4</v>
      </c>
      <c r="AD6" s="323">
        <f>Paper_cluster!Z196</f>
        <v>0</v>
      </c>
      <c r="AE6" s="323">
        <f>Water_cluster!AU137</f>
        <v>-4.9391593347108639E-4</v>
      </c>
      <c r="AF6" s="323">
        <f>Water_cluster!Z196</f>
        <v>0</v>
      </c>
      <c r="AG6" s="323">
        <f>DemandFood_cluster!I63</f>
        <v>4.9982870174417497</v>
      </c>
      <c r="AH6" s="323">
        <f>DemandFood_cluster!J63</f>
        <v>3.6058556995888948</v>
      </c>
    </row>
    <row r="7" spans="1:34" x14ac:dyDescent="0.3">
      <c r="A7" s="404">
        <v>2017</v>
      </c>
      <c r="B7" s="405">
        <f t="shared" si="0"/>
        <v>2.1079343231427666E-2</v>
      </c>
      <c r="C7" s="405">
        <f t="shared" si="1"/>
        <v>1.2266804812397223E-2</v>
      </c>
      <c r="D7" s="405">
        <f t="shared" si="2"/>
        <v>8.8153553757669527E-3</v>
      </c>
      <c r="E7" s="405">
        <f t="shared" si="3"/>
        <v>-2.8169567365106843E-6</v>
      </c>
      <c r="G7" s="324">
        <f>Electricity_cluster!AS136</f>
        <v>-1.972994273185491E-2</v>
      </c>
      <c r="H7" s="324">
        <f>Electricity_cluster!X195</f>
        <v>0</v>
      </c>
      <c r="I7" s="324">
        <f>-(SpaceHeating_cluster_lldc!O29+SpaceCooling_cluster_lldc!O29+ComLight_cluster_lldc!O29+ReslLight_cluster_lldc!O29+WaterHeating_cluster_lldc!O29)</f>
        <v>5.330788123054579E-3</v>
      </c>
      <c r="J7" s="324">
        <f>-(SpaceHeating_cluster_mdc!O29+SpaceCooling_cluster_mdc!O29+ComLight_cluster_mdc!O29+ReslLight_cluster_mdc!O29+WaterHeating_cluster_mdc!O29)</f>
        <v>0</v>
      </c>
      <c r="K7" s="324">
        <f>SpaceHeating_cluster!AU138</f>
        <v>-3.4172366548484751E-3</v>
      </c>
      <c r="L7" s="324">
        <f>SpaceHeating_cluster!Z197</f>
        <v>0</v>
      </c>
      <c r="M7" s="324">
        <f>SpaceCooling_cluster!AU138</f>
        <v>-2.3611994571756502E-3</v>
      </c>
      <c r="N7" s="324">
        <f>SpaceCooling_cluster!Z197</f>
        <v>0</v>
      </c>
      <c r="O7" s="324">
        <f>CleanCookstoves_cluster!AU138</f>
        <v>-5.9752976354135127E-3</v>
      </c>
      <c r="P7" s="323">
        <f>ComLight_cluster!AU138</f>
        <v>-1.0994286471106372E-3</v>
      </c>
      <c r="Q7" s="323">
        <f>ComLight_cluster!Z197</f>
        <v>0</v>
      </c>
      <c r="R7" s="323">
        <f>ResLight_cluster!AU138</f>
        <v>-1.4124788157550015E-3</v>
      </c>
      <c r="S7" s="323">
        <f>ResLight_cluster!Z197</f>
        <v>0</v>
      </c>
      <c r="T7" s="323">
        <f>WaterHeating_cluster!AU138</f>
        <v>-1.4467701315114016E-3</v>
      </c>
      <c r="U7" s="323">
        <f>WaterHeating_cluster!Z197</f>
        <v>0</v>
      </c>
      <c r="V7" s="324">
        <f>'Passenger-km_cluster_lldc'!X29</f>
        <v>0</v>
      </c>
      <c r="W7" s="324">
        <f>'Passenger-km_cluster_mdc'!X29</f>
        <v>-4.8738136319173104E-3</v>
      </c>
      <c r="X7" s="324">
        <f>'NFreight-km_cluster_all'!X29</f>
        <v>-6.2682329600816133E-4</v>
      </c>
      <c r="Y7" s="324">
        <f>'GFreight-km_cluster_lldc'!X29</f>
        <v>0</v>
      </c>
      <c r="Z7" s="324">
        <f>'GFreight-km_cluster_mdc'!X29</f>
        <v>-3.5272954386619216E-3</v>
      </c>
      <c r="AA7" s="324">
        <f>'Air-km_cluster_all'!X29</f>
        <v>-9.0799448752225062E-4</v>
      </c>
      <c r="AB7" s="324">
        <f>Plastics_cluster!Z197</f>
        <v>-1.2821389529802723E-3</v>
      </c>
      <c r="AC7" s="323">
        <f>Paper_cluster!AU138</f>
        <v>-5.8483185715137013E-4</v>
      </c>
      <c r="AD7" s="323">
        <f>Paper_cluster!Z197</f>
        <v>0</v>
      </c>
      <c r="AE7" s="323">
        <f>Water_cluster!AU138</f>
        <v>-4.857780078334429E-4</v>
      </c>
      <c r="AF7" s="323">
        <f>Water_cluster!Z197</f>
        <v>0</v>
      </c>
      <c r="AG7" s="323">
        <f>DemandFood_cluster!I64</f>
        <v>12.297986988212823</v>
      </c>
      <c r="AH7" s="323">
        <f>DemandFood_cluster!J64</f>
        <v>8.8237564848375314</v>
      </c>
    </row>
    <row r="8" spans="1:34" x14ac:dyDescent="0.3">
      <c r="A8" s="404">
        <v>2018</v>
      </c>
      <c r="B8" s="405">
        <f t="shared" si="0"/>
        <v>3.6984102475550173E-2</v>
      </c>
      <c r="C8" s="405">
        <f t="shared" si="1"/>
        <v>2.1568907627265554E-2</v>
      </c>
      <c r="D8" s="405">
        <f t="shared" si="2"/>
        <v>1.5418011074347582E-2</v>
      </c>
      <c r="E8" s="405">
        <f t="shared" si="3"/>
        <v>-2.8162260629618276E-6</v>
      </c>
      <c r="G8" s="324">
        <f>Electricity_cluster!AS137</f>
        <v>-1.9524341874082272E-2</v>
      </c>
      <c r="H8" s="324">
        <f>Electricity_cluster!X196</f>
        <v>0</v>
      </c>
      <c r="I8" s="324">
        <f>-(SpaceHeating_cluster_lldc!O30+SpaceCooling_cluster_lldc!O30+ComLight_cluster_lldc!O30+ReslLight_cluster_lldc!O30+WaterHeating_cluster_lldc!O30)</f>
        <v>5.2455906286756945E-3</v>
      </c>
      <c r="J8" s="324">
        <f>-(SpaceHeating_cluster_mdc!O30+SpaceCooling_cluster_mdc!O30+ComLight_cluster_mdc!O30+ReslLight_cluster_mdc!O30+WaterHeating_cluster_mdc!O30)</f>
        <v>0</v>
      </c>
      <c r="K8" s="324">
        <f>SpaceHeating_cluster!AU139</f>
        <v>-3.3669600185492242E-3</v>
      </c>
      <c r="L8" s="324">
        <f>SpaceHeating_cluster!Z198</f>
        <v>0</v>
      </c>
      <c r="M8" s="324">
        <f>SpaceCooling_cluster!AU139</f>
        <v>-2.3225344825125054E-3</v>
      </c>
      <c r="N8" s="324">
        <f>SpaceCooling_cluster!Z198</f>
        <v>0</v>
      </c>
      <c r="O8" s="324">
        <f>CleanCookstoves_cluster!AU139</f>
        <v>-5.882667088645821E-3</v>
      </c>
      <c r="P8" s="323">
        <f>ComLight_cluster!AU139</f>
        <v>-1.1050521960592865E-3</v>
      </c>
      <c r="Q8" s="323">
        <f>ComLight_cluster!Z198</f>
        <v>0</v>
      </c>
      <c r="R8" s="323">
        <f>ResLight_cluster!AU139</f>
        <v>-1.3724223967506435E-3</v>
      </c>
      <c r="S8" s="323">
        <f>ResLight_cluster!Z198</f>
        <v>0</v>
      </c>
      <c r="T8" s="323">
        <f>WaterHeating_cluster!AU139</f>
        <v>-1.4118277351768535E-3</v>
      </c>
      <c r="U8" s="323">
        <f>WaterHeating_cluster!Z198</f>
        <v>0</v>
      </c>
      <c r="V8" s="324">
        <f>'Passenger-km_cluster_lldc'!X30</f>
        <v>0</v>
      </c>
      <c r="W8" s="324">
        <f>'Passenger-km_cluster_mdc'!X30</f>
        <v>-4.8754069221847371E-3</v>
      </c>
      <c r="X8" s="324">
        <f>'NFreight-km_cluster_all'!X30</f>
        <v>-6.2423170998163061E-4</v>
      </c>
      <c r="Y8" s="324">
        <f>'GFreight-km_cluster_lldc'!X30</f>
        <v>0</v>
      </c>
      <c r="Z8" s="324">
        <f>'GFreight-km_cluster_mdc'!X30</f>
        <v>-3.4726557381849115E-3</v>
      </c>
      <c r="AA8" s="324">
        <f>'Air-km_cluster_all'!X30</f>
        <v>-9.1844564170187918E-4</v>
      </c>
      <c r="AB8" s="324">
        <f>Plastics_cluster!Z198</f>
        <v>-1.2735487112783181E-3</v>
      </c>
      <c r="AC8" s="323">
        <f>Paper_cluster!AU139</f>
        <v>-5.7786922316967919E-4</v>
      </c>
      <c r="AD8" s="323">
        <f>Paper_cluster!Z198</f>
        <v>0</v>
      </c>
      <c r="AE8" s="323">
        <f>Water_cluster!AU139</f>
        <v>-4.7744201705577282E-4</v>
      </c>
      <c r="AF8" s="323">
        <f>Water_cluster!Z198</f>
        <v>0</v>
      </c>
      <c r="AG8" s="323">
        <f>DemandFood_cluster!I65</f>
        <v>21.59970315366888</v>
      </c>
      <c r="AH8" s="323">
        <f>DemandFood_cluster!J65</f>
        <v>15.426359137007951</v>
      </c>
    </row>
    <row r="9" spans="1:34" x14ac:dyDescent="0.3">
      <c r="A9" s="404">
        <v>2019</v>
      </c>
      <c r="B9" s="405">
        <f t="shared" si="0"/>
        <v>5.5345428493200545E-2</v>
      </c>
      <c r="C9" s="405">
        <f t="shared" si="1"/>
        <v>3.2332195147288967E-2</v>
      </c>
      <c r="D9" s="405">
        <f t="shared" si="2"/>
        <v>2.3016055140154472E-2</v>
      </c>
      <c r="E9" s="405">
        <f t="shared" si="3"/>
        <v>-2.821794242894897E-6</v>
      </c>
      <c r="G9" s="324">
        <f>Electricity_cluster!AS138</f>
        <v>-1.9412102413610365E-2</v>
      </c>
      <c r="H9" s="324">
        <f>Electricity_cluster!X197</f>
        <v>0</v>
      </c>
      <c r="I9" s="324">
        <f>-(SpaceHeating_cluster_lldc!O31+SpaceCooling_cluster_lldc!O31+ComLight_cluster_lldc!O31+ReslLight_cluster_lldc!O31+WaterHeating_cluster_lldc!O31)</f>
        <v>5.1930233853977638E-3</v>
      </c>
      <c r="J9" s="324">
        <f>-(SpaceHeating_cluster_mdc!O31+SpaceCooling_cluster_mdc!O31+ComLight_cluster_mdc!O31+ReslLight_cluster_mdc!O31+WaterHeating_cluster_mdc!O31)</f>
        <v>0</v>
      </c>
      <c r="K9" s="324">
        <f>SpaceHeating_cluster!AU140</f>
        <v>-3.3245362725433862E-3</v>
      </c>
      <c r="L9" s="324">
        <f>SpaceHeating_cluster!Z199</f>
        <v>0</v>
      </c>
      <c r="M9" s="324">
        <f>SpaceCooling_cluster!AU140</f>
        <v>-2.2983486724164242E-3</v>
      </c>
      <c r="N9" s="324">
        <f>SpaceCooling_cluster!Z199</f>
        <v>0</v>
      </c>
      <c r="O9" s="324">
        <f>CleanCookstoves_cluster!AU140</f>
        <v>-5.8009106985555843E-3</v>
      </c>
      <c r="P9" s="323">
        <f>ComLight_cluster!AU140</f>
        <v>-1.1168881393668222E-3</v>
      </c>
      <c r="Q9" s="323">
        <f>ComLight_cluster!Z199</f>
        <v>0</v>
      </c>
      <c r="R9" s="323">
        <f>ResLight_cluster!AU140</f>
        <v>-1.3413640306106241E-3</v>
      </c>
      <c r="S9" s="323">
        <f>ResLight_cluster!Z199</f>
        <v>0</v>
      </c>
      <c r="T9" s="323">
        <f>WaterHeating_cluster!AU140</f>
        <v>-1.3806395653794214E-3</v>
      </c>
      <c r="U9" s="323">
        <f>WaterHeating_cluster!Z199</f>
        <v>0</v>
      </c>
      <c r="V9" s="324">
        <f>'Passenger-km_cluster_lldc'!X31</f>
        <v>0</v>
      </c>
      <c r="W9" s="324">
        <f>'Passenger-km_cluster_mdc'!X31</f>
        <v>-4.8827388387828914E-3</v>
      </c>
      <c r="X9" s="324">
        <f>'NFreight-km_cluster_all'!X31</f>
        <v>-6.2307340897788186E-4</v>
      </c>
      <c r="Y9" s="324">
        <f>'GFreight-km_cluster_lldc'!X31</f>
        <v>0</v>
      </c>
      <c r="Z9" s="324">
        <f>'GFreight-km_cluster_mdc'!X31</f>
        <v>-3.4239168467702446E-3</v>
      </c>
      <c r="AA9" s="324">
        <f>'Air-km_cluster_all'!X31</f>
        <v>-9.3064417128331121E-4</v>
      </c>
      <c r="AB9" s="324">
        <f>Plastics_cluster!Z199</f>
        <v>-1.2680766626337035E-3</v>
      </c>
      <c r="AC9" s="323">
        <f>Paper_cluster!AU140</f>
        <v>-5.7229218307940685E-4</v>
      </c>
      <c r="AD9" s="323">
        <f>Paper_cluster!Z199</f>
        <v>0</v>
      </c>
      <c r="AE9" s="323">
        <f>Water_cluster!AU140</f>
        <v>-4.7206237014888006E-4</v>
      </c>
      <c r="AF9" s="323">
        <f>Water_cluster!Z199</f>
        <v>0</v>
      </c>
      <c r="AG9" s="323">
        <f>DemandFood_cluster!I66</f>
        <v>32.362721268249274</v>
      </c>
      <c r="AH9" s="323">
        <f>DemandFood_cluster!J66</f>
        <v>23.024361795840026</v>
      </c>
    </row>
    <row r="10" spans="1:34" x14ac:dyDescent="0.3">
      <c r="A10" s="404">
        <v>2020</v>
      </c>
      <c r="B10" s="405">
        <f t="shared" si="0"/>
        <v>7.5445117910188902E-2</v>
      </c>
      <c r="C10" s="405">
        <f t="shared" si="1"/>
        <v>4.4139206242017497E-2</v>
      </c>
      <c r="D10" s="405">
        <f t="shared" si="2"/>
        <v>3.1308746183963267E-2</v>
      </c>
      <c r="E10" s="405">
        <f t="shared" si="3"/>
        <v>-2.834515791856944E-6</v>
      </c>
      <c r="G10" s="324">
        <f>Electricity_cluster!AS139</f>
        <v>-1.9297037131045178E-2</v>
      </c>
      <c r="H10" s="324">
        <f>Electricity_cluster!X198</f>
        <v>0</v>
      </c>
      <c r="I10" s="324">
        <f>-(SpaceHeating_cluster_lldc!O32+SpaceCooling_cluster_lldc!O32+ComLight_cluster_lldc!O32+ReslLight_cluster_lldc!O32+WaterHeating_cluster_lldc!O32)</f>
        <v>5.1457198358068647E-3</v>
      </c>
      <c r="J10" s="324">
        <f>-(SpaceHeating_cluster_mdc!O32+SpaceCooling_cluster_mdc!O32+ComLight_cluster_mdc!O32+ReslLight_cluster_mdc!O32+WaterHeating_cluster_mdc!O32)</f>
        <v>0</v>
      </c>
      <c r="K10" s="324">
        <f>SpaceHeating_cluster!AU141</f>
        <v>-3.2888343591701485E-3</v>
      </c>
      <c r="L10" s="324">
        <f>SpaceHeating_cluster!Z200</f>
        <v>0</v>
      </c>
      <c r="M10" s="324">
        <f>SpaceCooling_cluster!AU141</f>
        <v>-2.2762778085412159E-3</v>
      </c>
      <c r="N10" s="324">
        <f>SpaceCooling_cluster!Z200</f>
        <v>0</v>
      </c>
      <c r="O10" s="324">
        <f>CleanCookstoves_cluster!AU141</f>
        <v>-5.7254083820007092E-3</v>
      </c>
      <c r="P10" s="323">
        <f>ComLight_cluster!AU141</f>
        <v>-1.1294396494102412E-3</v>
      </c>
      <c r="Q10" s="323">
        <f>ComLight_cluster!Z200</f>
        <v>0</v>
      </c>
      <c r="R10" s="323">
        <f>ResLight_cluster!AU141</f>
        <v>-1.3121490332667343E-3</v>
      </c>
      <c r="S10" s="323">
        <f>ResLight_cluster!Z200</f>
        <v>0</v>
      </c>
      <c r="T10" s="323">
        <f>WaterHeating_cluster!AU141</f>
        <v>-1.3526283863284348E-3</v>
      </c>
      <c r="U10" s="323">
        <f>WaterHeating_cluster!Z200</f>
        <v>0</v>
      </c>
      <c r="V10" s="324">
        <f>'Passenger-km_cluster_lldc'!X32</f>
        <v>0</v>
      </c>
      <c r="W10" s="324">
        <f>'Passenger-km_cluster_mdc'!X32</f>
        <v>-4.9230603186074147E-3</v>
      </c>
      <c r="X10" s="324">
        <f>'NFreight-km_cluster_all'!X32</f>
        <v>-6.2357941396896965E-4</v>
      </c>
      <c r="Y10" s="324">
        <f>'GFreight-km_cluster_lldc'!X32</f>
        <v>0</v>
      </c>
      <c r="Z10" s="324">
        <f>'GFreight-km_cluster_mdc'!X32</f>
        <v>-3.3822241100242008E-3</v>
      </c>
      <c r="AA10" s="324">
        <f>'Air-km_cluster_all'!X32</f>
        <v>-9.4494951095725214E-4</v>
      </c>
      <c r="AB10" s="324">
        <f>Plastics_cluster!Z200</f>
        <v>-1.2659868669307221E-3</v>
      </c>
      <c r="AC10" s="323">
        <f>Paper_cluster!AU141</f>
        <v>-5.6821834318340086E-4</v>
      </c>
      <c r="AD10" s="323">
        <f>Paper_cluster!Z200</f>
        <v>0</v>
      </c>
      <c r="AE10" s="323">
        <f>Water_cluster!AU141</f>
        <v>-4.6719620717867614E-4</v>
      </c>
      <c r="AF10" s="323">
        <f>Water_cluster!Z200</f>
        <v>0</v>
      </c>
      <c r="AG10" s="323">
        <f>DemandFood_cluster!I67</f>
        <v>44.169477711481811</v>
      </c>
      <c r="AH10" s="323">
        <f>DemandFood_cluster!J67</f>
        <v>31.317051468391895</v>
      </c>
    </row>
    <row r="11" spans="1:34" x14ac:dyDescent="0.3">
      <c r="A11" s="404">
        <v>2021</v>
      </c>
      <c r="B11" s="405">
        <f t="shared" si="0"/>
        <v>0.1332663981291197</v>
      </c>
      <c r="C11" s="405">
        <f t="shared" si="1"/>
        <v>6.9647675596999442E-2</v>
      </c>
      <c r="D11" s="405">
        <f t="shared" si="2"/>
        <v>6.105321674792126E-2</v>
      </c>
      <c r="E11" s="405">
        <f t="shared" si="3"/>
        <v>2.5655057841989935E-3</v>
      </c>
      <c r="G11" s="324">
        <f>Electricity_cluster!AS140</f>
        <v>4.6045247834015814</v>
      </c>
      <c r="H11" s="324">
        <f>Electricity_cluster!X199</f>
        <v>12.657794935643865</v>
      </c>
      <c r="I11" s="324">
        <f>-(SpaceHeating_cluster_lldc!O33+SpaceCooling_cluster_lldc!O33+ComLight_cluster_lldc!O33+ReslLight_cluster_lldc!O33+WaterHeating_cluster_lldc!O33)</f>
        <v>-1.496302685893161</v>
      </c>
      <c r="J11" s="324">
        <f>-(SpaceHeating_cluster_mdc!O33+SpaceCooling_cluster_mdc!O33+ComLight_cluster_mdc!O33+ReslLight_cluster_mdc!O33+WaterHeating_cluster_mdc!O33)</f>
        <v>-3.0978511507721374</v>
      </c>
      <c r="K11" s="324">
        <f>SpaceHeating_cluster!AU142</f>
        <v>0.98236577746375686</v>
      </c>
      <c r="L11" s="324">
        <f>SpaceHeating_cluster!Z201</f>
        <v>1.9485208611459965</v>
      </c>
      <c r="M11" s="324">
        <f>SpaceCooling_cluster!AU142</f>
        <v>0.67122781163980938</v>
      </c>
      <c r="N11" s="324">
        <f>SpaceCooling_cluster!Z201</f>
        <v>1.3604561294952329</v>
      </c>
      <c r="O11" s="324">
        <f>CleanCookstoves_cluster!AU142</f>
        <v>4.1752447266604431</v>
      </c>
      <c r="P11" s="323">
        <f>ComLight_cluster!AU142</f>
        <v>0.32215594628522881</v>
      </c>
      <c r="Q11" s="323">
        <f>ComLight_cluster!Z201</f>
        <v>0.70623469947860262</v>
      </c>
      <c r="R11" s="323">
        <f>ResLight_cluster!AU142</f>
        <v>0.39388978338232</v>
      </c>
      <c r="S11" s="323">
        <f>ResLight_cluster!Z201</f>
        <v>0.7622752908994983</v>
      </c>
      <c r="T11" s="323">
        <f>WaterHeating_cluster!AU142</f>
        <v>0.23674393330651652</v>
      </c>
      <c r="U11" s="323">
        <f>WaterHeating_cluster!Z201</f>
        <v>0.95668252201878357</v>
      </c>
      <c r="V11" s="324">
        <f>'Passenger-km_cluster_lldc'!X33</f>
        <v>1.7930717536559135</v>
      </c>
      <c r="W11" s="324">
        <f>'Passenger-km_cluster_mdc'!X33</f>
        <v>2.6292902755306247</v>
      </c>
      <c r="X11" s="324">
        <f>'NFreight-km_cluster_all'!X33</f>
        <v>0.56245144379840095</v>
      </c>
      <c r="Y11" s="324">
        <f>'GFreight-km_cluster_lldc'!X33</f>
        <v>0.83389386844395441</v>
      </c>
      <c r="Z11" s="324">
        <f>'GFreight-km_cluster_mdc'!X33</f>
        <v>2.1749024401682822</v>
      </c>
      <c r="AA11" s="324">
        <f>'Air-km_cluster_all'!X33</f>
        <v>0.86413614153204577</v>
      </c>
      <c r="AB11" s="324">
        <f>Plastics_cluster!Z201</f>
        <v>1.1389181988685466</v>
      </c>
      <c r="AC11" s="323">
        <f>Paper_cluster!AU142</f>
        <v>5.4724006652084892E-2</v>
      </c>
      <c r="AD11" s="323">
        <f>Paper_cluster!Z201</f>
        <v>0.45362479510686315</v>
      </c>
      <c r="AE11" s="323">
        <f>Water_cluster!AU142</f>
        <v>0.14709672165807219</v>
      </c>
      <c r="AF11" s="323">
        <f>Water_cluster!Z201</f>
        <v>0.26943051388228628</v>
      </c>
      <c r="AG11" s="323">
        <f>DemandFood_cluster!I68</f>
        <v>56.929039170342925</v>
      </c>
      <c r="AH11" s="323">
        <f>DemandFood_cluster!J68</f>
        <v>40.231855435323361</v>
      </c>
    </row>
    <row r="12" spans="1:34" x14ac:dyDescent="0.3">
      <c r="A12" s="404">
        <v>2022</v>
      </c>
      <c r="B12" s="405">
        <f t="shared" si="0"/>
        <v>0.20306976667279872</v>
      </c>
      <c r="C12" s="405">
        <f t="shared" si="1"/>
        <v>0.10046414110913922</v>
      </c>
      <c r="D12" s="405">
        <f t="shared" si="2"/>
        <v>9.6678013369505086E-2</v>
      </c>
      <c r="E12" s="405">
        <f t="shared" si="3"/>
        <v>5.9276121941543988E-3</v>
      </c>
      <c r="G12" s="324">
        <f>Electricity_cluster!AS141</f>
        <v>11.138072328082778</v>
      </c>
      <c r="H12" s="324">
        <f>Electricity_cluster!X200</f>
        <v>28.229716234234147</v>
      </c>
      <c r="I12" s="324">
        <f>-(SpaceHeating_cluster_lldc!O34+SpaceCooling_cluster_lldc!O34+ComLight_cluster_lldc!O34+ReslLight_cluster_lldc!O34+WaterHeating_cluster_lldc!O34)</f>
        <v>-3.5825573381729279</v>
      </c>
      <c r="J12" s="324">
        <f>-(SpaceHeating_cluster_mdc!O34+SpaceCooling_cluster_mdc!O34+ComLight_cluster_mdc!O34+ReslLight_cluster_mdc!O34+WaterHeating_cluster_mdc!O34)</f>
        <v>-6.8833726585969464</v>
      </c>
      <c r="K12" s="324">
        <f>SpaceHeating_cluster!AU143</f>
        <v>2.3291015813077749</v>
      </c>
      <c r="L12" s="324">
        <f>SpaceHeating_cluster!Z202</f>
        <v>4.3351614854362674</v>
      </c>
      <c r="M12" s="324">
        <f>SpaceCooling_cluster!AU143</f>
        <v>1.6031904629531399</v>
      </c>
      <c r="N12" s="324">
        <f>SpaceCooling_cluster!Z202</f>
        <v>3.0233509556930054</v>
      </c>
      <c r="O12" s="324">
        <f>CleanCookstoves_cluster!AU143</f>
        <v>9.5533177475081139</v>
      </c>
      <c r="P12" s="323">
        <f>ComLight_cluster!AU143</f>
        <v>0.80437495121547675</v>
      </c>
      <c r="Q12" s="323">
        <f>ComLight_cluster!Z202</f>
        <v>1.5839371750611535</v>
      </c>
      <c r="R12" s="323">
        <f>ResLight_cluster!AU143</f>
        <v>0.91721980266586867</v>
      </c>
      <c r="S12" s="323">
        <f>ResLight_cluster!Z202</f>
        <v>1.6820916288027008</v>
      </c>
      <c r="T12" s="323">
        <f>WaterHeating_cluster!AU143</f>
        <v>0.56755682860893564</v>
      </c>
      <c r="U12" s="323">
        <f>WaterHeating_cluster!Z202</f>
        <v>2.1190706995852744</v>
      </c>
      <c r="V12" s="324">
        <f>'Passenger-km_cluster_lldc'!X34</f>
        <v>4.0419660378683302</v>
      </c>
      <c r="W12" s="324">
        <f>'Passenger-km_cluster_mdc'!X34</f>
        <v>6.1433505469440384</v>
      </c>
      <c r="X12" s="324">
        <f>'NFreight-km_cluster_all'!X34</f>
        <v>1.2954580322799905</v>
      </c>
      <c r="Y12" s="324">
        <f>'GFreight-km_cluster_lldc'!X34</f>
        <v>1.8443375909167732</v>
      </c>
      <c r="Z12" s="324">
        <f>'GFreight-km_cluster_mdc'!X34</f>
        <v>4.9855424407590316</v>
      </c>
      <c r="AA12" s="324">
        <f>'Air-km_cluster_all'!X34</f>
        <v>2.0164384202846017</v>
      </c>
      <c r="AB12" s="324">
        <f>Plastics_cluster!Z202</f>
        <v>2.6157157415898067</v>
      </c>
      <c r="AC12" s="323">
        <f>Paper_cluster!AU143</f>
        <v>0.13536516336339491</v>
      </c>
      <c r="AD12" s="323">
        <f>Paper_cluster!Z202</f>
        <v>1.0256165130511177</v>
      </c>
      <c r="AE12" s="323">
        <f>Water_cluster!AU143</f>
        <v>0.34741353624231142</v>
      </c>
      <c r="AF12" s="323">
        <f>Water_cluster!Z202</f>
        <v>0.6002052283380005</v>
      </c>
      <c r="AG12" s="323">
        <f>DemandFood_cluster!I69</f>
        <v>70.764782416579251</v>
      </c>
      <c r="AH12" s="323">
        <f>DemandFood_cluster!J69</f>
        <v>49.833343120197299</v>
      </c>
    </row>
    <row r="13" spans="1:34" x14ac:dyDescent="0.3">
      <c r="A13" s="404">
        <v>2023</v>
      </c>
      <c r="B13" s="405">
        <f t="shared" si="0"/>
        <v>0.28385762040653661</v>
      </c>
      <c r="C13" s="405">
        <f t="shared" si="1"/>
        <v>0.13625415675125954</v>
      </c>
      <c r="D13" s="405">
        <f t="shared" si="2"/>
        <v>0.13755636615778372</v>
      </c>
      <c r="E13" s="405">
        <f t="shared" si="3"/>
        <v>1.0047097497493405E-2</v>
      </c>
      <c r="G13" s="324">
        <f>Electricity_cluster!AS142</f>
        <v>19.399956728872802</v>
      </c>
      <c r="H13" s="324">
        <f>Electricity_cluster!X201</f>
        <v>46.385180747278945</v>
      </c>
      <c r="I13" s="324">
        <f>-(SpaceHeating_cluster_lldc!O35+SpaceCooling_cluster_lldc!O35+ComLight_cluster_lldc!O35+ReslLight_cluster_lldc!O35+WaterHeating_cluster_lldc!O35)</f>
        <v>-6.2021427169244285</v>
      </c>
      <c r="J13" s="324">
        <f>-(SpaceHeating_cluster_mdc!O35+SpaceCooling_cluster_mdc!O35+ComLight_cluster_mdc!O35+ReslLight_cluster_mdc!O35+WaterHeating_cluster_mdc!O35)</f>
        <v>-11.283131375362577</v>
      </c>
      <c r="K13" s="324">
        <f>SpaceHeating_cluster!AU144</f>
        <v>3.9983060335539156</v>
      </c>
      <c r="L13" s="324">
        <f>SpaceHeating_cluster!Z203</f>
        <v>7.1138580363558042</v>
      </c>
      <c r="M13" s="324">
        <f>SpaceCooling_cluster!AU144</f>
        <v>2.7699597918850403</v>
      </c>
      <c r="N13" s="324">
        <f>SpaceCooling_cluster!Z203</f>
        <v>4.956507263175844</v>
      </c>
      <c r="O13" s="324">
        <f>CleanCookstoves_cluster!AU144</f>
        <v>15.986252535709841</v>
      </c>
      <c r="P13" s="323">
        <f>ComLight_cluster!AU144</f>
        <v>1.4435791773997275</v>
      </c>
      <c r="Q13" s="323">
        <f>ComLight_cluster!Z203</f>
        <v>2.6220933819624461</v>
      </c>
      <c r="R13" s="323">
        <f>ResLight_cluster!AU144</f>
        <v>1.5478627860962337</v>
      </c>
      <c r="S13" s="323">
        <f>ResLight_cluster!Z203</f>
        <v>2.7373561051745403</v>
      </c>
      <c r="T13" s="323">
        <f>WaterHeating_cluster!AU144</f>
        <v>0.97975815116057263</v>
      </c>
      <c r="U13" s="323">
        <f>WaterHeating_cluster!Z203</f>
        <v>3.4550011035846517</v>
      </c>
      <c r="V13" s="324">
        <f>'Passenger-km_cluster_lldc'!X35</f>
        <v>6.7641814615683922</v>
      </c>
      <c r="W13" s="324">
        <f>'Passenger-km_cluster_mdc'!X35</f>
        <v>10.431434591332094</v>
      </c>
      <c r="X13" s="324">
        <f>'NFreight-km_cluster_all'!X35</f>
        <v>2.1896567219013336</v>
      </c>
      <c r="Y13" s="324">
        <f>'GFreight-km_cluster_lldc'!X35</f>
        <v>3.0344481815738074</v>
      </c>
      <c r="Z13" s="324">
        <f>'GFreight-km_cluster_mdc'!X35</f>
        <v>8.3352558154529586</v>
      </c>
      <c r="AA13" s="324">
        <f>'Air-km_cluster_all'!X35</f>
        <v>3.4503761898299681</v>
      </c>
      <c r="AB13" s="324">
        <f>Plastics_cluster!Z203</f>
        <v>4.4070645857621038</v>
      </c>
      <c r="AC13" s="323">
        <f>Paper_cluster!AU144</f>
        <v>0.2360565286710509</v>
      </c>
      <c r="AD13" s="323">
        <f>Paper_cluster!Z203</f>
        <v>1.7090518058313386</v>
      </c>
      <c r="AE13" s="323">
        <f>Water_cluster!AU144</f>
        <v>0.59337452107942523</v>
      </c>
      <c r="AF13" s="323">
        <f>Water_cluster!Z203</f>
        <v>0.98767240056358485</v>
      </c>
      <c r="AG13" s="323">
        <f>DemandFood_cluster!I70</f>
        <v>85.702563570613151</v>
      </c>
      <c r="AH13" s="323">
        <f>DemandFood_cluster!J70</f>
        <v>60.106086282434106</v>
      </c>
    </row>
    <row r="14" spans="1:34" x14ac:dyDescent="0.3">
      <c r="A14" s="404">
        <v>2024</v>
      </c>
      <c r="B14" s="405">
        <f t="shared" si="0"/>
        <v>0.3752946175045429</v>
      </c>
      <c r="C14" s="405">
        <f t="shared" si="1"/>
        <v>0.17694772637026215</v>
      </c>
      <c r="D14" s="405">
        <f t="shared" si="2"/>
        <v>0.18341705048999357</v>
      </c>
      <c r="E14" s="405">
        <f t="shared" si="3"/>
        <v>1.4929840644287191E-2</v>
      </c>
      <c r="G14" s="324">
        <f>Electricity_cluster!AS143</f>
        <v>29.298284249251672</v>
      </c>
      <c r="H14" s="324">
        <f>Electricity_cluster!X202</f>
        <v>66.973823006938701</v>
      </c>
      <c r="I14" s="324">
        <f>-(SpaceHeating_cluster_lldc!O36+SpaceCooling_cluster_lldc!O36+ComLight_cluster_lldc!O36+ReslLight_cluster_lldc!O36+WaterHeating_cluster_lldc!O36)</f>
        <v>-9.341033270308996</v>
      </c>
      <c r="J14" s="324">
        <f>-(SpaceHeating_cluster_mdc!O36+SpaceCooling_cluster_mdc!O36+ComLight_cluster_mdc!O36+ReslLight_cluster_mdc!O36+WaterHeating_cluster_mdc!O36)</f>
        <v>-16.262122562470353</v>
      </c>
      <c r="K14" s="324">
        <f>SpaceHeating_cluster!AU145</f>
        <v>5.9754299511574196</v>
      </c>
      <c r="L14" s="324">
        <f>SpaceHeating_cluster!Z204</f>
        <v>10.263261334435057</v>
      </c>
      <c r="M14" s="324">
        <f>SpaceCooling_cluster!AU145</f>
        <v>4.1647636970989534</v>
      </c>
      <c r="N14" s="324">
        <f>SpaceCooling_cluster!Z204</f>
        <v>7.144525916374862</v>
      </c>
      <c r="O14" s="324">
        <f>CleanCookstoves_cluster!AU145</f>
        <v>23.405149558138767</v>
      </c>
      <c r="P14" s="323">
        <f>ComLight_cluster!AU145</f>
        <v>2.2457841446772067</v>
      </c>
      <c r="Q14" s="323">
        <f>ComLight_cluster!Z204</f>
        <v>3.8172058270082556</v>
      </c>
      <c r="R14" s="323">
        <f>ResLight_cluster!AU145</f>
        <v>2.2749465047386863</v>
      </c>
      <c r="S14" s="323">
        <f>ResLight_cluster!Z204</f>
        <v>3.9162044206339126</v>
      </c>
      <c r="T14" s="323">
        <f>WaterHeating_cluster!AU145</f>
        <v>1.4670617958963694</v>
      </c>
      <c r="U14" s="323">
        <f>WaterHeating_cluster!Z204</f>
        <v>4.9479141618401465</v>
      </c>
      <c r="V14" s="324">
        <f>'Passenger-km_cluster_lldc'!X36</f>
        <v>9.9925456324180448</v>
      </c>
      <c r="W14" s="324">
        <f>'Passenger-km_cluster_mdc'!X36</f>
        <v>15.441331880958771</v>
      </c>
      <c r="X14" s="324">
        <f>'NFreight-km_cluster_all'!X36</f>
        <v>3.2461349445546865</v>
      </c>
      <c r="Y14" s="324">
        <f>'GFreight-km_cluster_lldc'!X36</f>
        <v>4.4114330123072163</v>
      </c>
      <c r="Z14" s="324">
        <f>'GFreight-km_cluster_mdc'!X36</f>
        <v>12.178447796589776</v>
      </c>
      <c r="AA14" s="324">
        <f>'Air-km_cluster_all'!X36</f>
        <v>5.1740899672304481</v>
      </c>
      <c r="AB14" s="324">
        <f>Plastics_cluster!Z204</f>
        <v>6.5096157325020574</v>
      </c>
      <c r="AC14" s="323">
        <f>Paper_cluster!AU145</f>
        <v>0.35364529480436435</v>
      </c>
      <c r="AD14" s="323">
        <f>Paper_cluster!Z204</f>
        <v>2.5033785669511328</v>
      </c>
      <c r="AE14" s="323">
        <f>Water_cluster!AU145</f>
        <v>0.88015392841985329</v>
      </c>
      <c r="AF14" s="323">
        <f>Water_cluster!Z204</f>
        <v>1.4318276866260493</v>
      </c>
      <c r="AG14" s="323">
        <f>DemandFood_cluster!I71</f>
        <v>101.81956187166261</v>
      </c>
      <c r="AH14" s="323">
        <f>DemandFood_cluster!J71</f>
        <v>71.06125245410729</v>
      </c>
    </row>
    <row r="15" spans="1:34" x14ac:dyDescent="0.3">
      <c r="A15" s="404">
        <v>2025</v>
      </c>
      <c r="B15" s="405">
        <f t="shared" si="0"/>
        <v>0.47721275806956703</v>
      </c>
      <c r="C15" s="405">
        <f t="shared" si="1"/>
        <v>0.22255146876172865</v>
      </c>
      <c r="D15" s="405">
        <f t="shared" si="2"/>
        <v>0.23406856020443256</v>
      </c>
      <c r="E15" s="405">
        <f t="shared" si="3"/>
        <v>2.0592729103405833E-2</v>
      </c>
      <c r="G15" s="324">
        <f>Electricity_cluster!AS144</f>
        <v>40.792887793623393</v>
      </c>
      <c r="H15" s="324">
        <f>Electricity_cluster!X203</f>
        <v>89.925132074255927</v>
      </c>
      <c r="I15" s="324">
        <f>-(SpaceHeating_cluster_lldc!O37+SpaceCooling_cluster_lldc!O37+ComLight_cluster_lldc!O37+ReslLight_cluster_lldc!O37+WaterHeating_cluster_lldc!O37)</f>
        <v>-13.003046022313677</v>
      </c>
      <c r="J15" s="324">
        <f>-(SpaceHeating_cluster_mdc!O37+SpaceCooling_cluster_mdc!O37+ComLight_cluster_mdc!O37+ReslLight_cluster_mdc!O37+WaterHeating_cluster_mdc!O37)</f>
        <v>-21.805313730319025</v>
      </c>
      <c r="K15" s="324">
        <f>SpaceHeating_cluster!AU146</f>
        <v>8.2531564275706586</v>
      </c>
      <c r="L15" s="324">
        <f>SpaceHeating_cluster!Z205</f>
        <v>13.767605128203869</v>
      </c>
      <c r="M15" s="324">
        <f>SpaceCooling_cluster!AU146</f>
        <v>5.7888549136334806</v>
      </c>
      <c r="N15" s="324">
        <f>SpaceCooling_cluster!Z205</f>
        <v>9.5807719662338489</v>
      </c>
      <c r="O15" s="324">
        <f>CleanCookstoves_cluster!AU146</f>
        <v>31.761543864063675</v>
      </c>
      <c r="P15" s="323">
        <f>ComLight_cluster!AU146</f>
        <v>3.2207552566773687</v>
      </c>
      <c r="Q15" s="323">
        <f>ComLight_cluster!Z205</f>
        <v>5.1699558911832488</v>
      </c>
      <c r="R15" s="323">
        <f>ResLight_cluster!AU146</f>
        <v>3.0923406527640163</v>
      </c>
      <c r="S15" s="323">
        <f>ResLight_cluster!Z205</f>
        <v>5.2118894407618583</v>
      </c>
      <c r="T15" s="323">
        <f>WaterHeating_cluster!AU146</f>
        <v>2.0250900230349349</v>
      </c>
      <c r="U15" s="323">
        <f>WaterHeating_cluster!Z205</f>
        <v>6.5850632622588705</v>
      </c>
      <c r="V15" s="324">
        <f>'Passenger-km_cluster_lldc'!X37</f>
        <v>13.804964214446001</v>
      </c>
      <c r="W15" s="324">
        <f>'Passenger-km_cluster_mdc'!X37</f>
        <v>21.105808998429247</v>
      </c>
      <c r="X15" s="324">
        <f>'NFreight-km_cluster_all'!X37</f>
        <v>4.4689473212621227</v>
      </c>
      <c r="Y15" s="324">
        <f>'GFreight-km_cluster_lldc'!X37</f>
        <v>5.9691215085044398</v>
      </c>
      <c r="Z15" s="324">
        <f>'GFreight-km_cluster_mdc'!X37</f>
        <v>16.496915128430228</v>
      </c>
      <c r="AA15" s="324">
        <f>'Air-km_cluster_all'!X37</f>
        <v>7.199217955467633</v>
      </c>
      <c r="AB15" s="324">
        <f>Plastics_cluster!Z205</f>
        <v>8.9245638266760778</v>
      </c>
      <c r="AC15" s="323">
        <f>Paper_cluster!AU146</f>
        <v>0.48594074271556587</v>
      </c>
      <c r="AD15" s="323">
        <f>Paper_cluster!Z205</f>
        <v>3.4092049891926646</v>
      </c>
      <c r="AE15" s="323">
        <f>Water_cluster!AU146</f>
        <v>1.2050856078375558</v>
      </c>
      <c r="AF15" s="323">
        <f>Water_cluster!Z205</f>
        <v>1.9339665417644534</v>
      </c>
      <c r="AG15" s="323">
        <f>DemandFood_cluster!I72</f>
        <v>119.15477377917122</v>
      </c>
      <c r="AH15" s="323">
        <f>DemandFood_cluster!J72</f>
        <v>82.687560514037372</v>
      </c>
    </row>
    <row r="16" spans="1:34" x14ac:dyDescent="0.3">
      <c r="A16" s="404">
        <v>2026</v>
      </c>
      <c r="B16" s="405">
        <f t="shared" si="0"/>
        <v>0.58902016687683534</v>
      </c>
      <c r="C16" s="405">
        <f t="shared" si="1"/>
        <v>0.27286431590683796</v>
      </c>
      <c r="D16" s="405">
        <f t="shared" si="2"/>
        <v>0.2891051736598238</v>
      </c>
      <c r="E16" s="405">
        <f t="shared" si="3"/>
        <v>2.7050677310173514E-2</v>
      </c>
      <c r="G16" s="324">
        <f>Electricity_cluster!AS145</f>
        <v>53.755466512298369</v>
      </c>
      <c r="H16" s="324">
        <f>Electricity_cluster!X204</f>
        <v>114.93351339352859</v>
      </c>
      <c r="I16" s="324">
        <f>-(SpaceHeating_cluster_lldc!O38+SpaceCooling_cluster_lldc!O38+ComLight_cluster_lldc!O38+ReslLight_cluster_lldc!O38+WaterHeating_cluster_lldc!O38)</f>
        <v>-17.161502635548423</v>
      </c>
      <c r="J16" s="324">
        <f>-(SpaceHeating_cluster_mdc!O38+SpaceCooling_cluster_mdc!O38+ComLight_cluster_mdc!O38+ReslLight_cluster_mdc!O38+WaterHeating_cluster_mdc!O38)</f>
        <v>-27.843939173619138</v>
      </c>
      <c r="K16" s="324">
        <f>SpaceHeating_cluster!AU147</f>
        <v>10.822460086625817</v>
      </c>
      <c r="L16" s="324">
        <f>SpaceHeating_cluster!Z206</f>
        <v>17.605917235543924</v>
      </c>
      <c r="M16" s="324">
        <f>SpaceCooling_cluster!AU147</f>
        <v>7.6299849427362343</v>
      </c>
      <c r="N16" s="324">
        <f>SpaceCooling_cluster!Z206</f>
        <v>12.234976972008928</v>
      </c>
      <c r="O16" s="324">
        <f>CleanCookstoves_cluster!AU147</f>
        <v>41.008310919018982</v>
      </c>
      <c r="P16" s="323">
        <f>ComLight_cluster!AU147</f>
        <v>4.3700447719713935</v>
      </c>
      <c r="Q16" s="323">
        <f>ComLight_cluster!Z206</f>
        <v>6.6680404543260448</v>
      </c>
      <c r="R16" s="323">
        <f>ResLight_cluster!AU147</f>
        <v>3.9871276958186881</v>
      </c>
      <c r="S16" s="323">
        <f>ResLight_cluster!Z206</f>
        <v>6.6049998492197179</v>
      </c>
      <c r="T16" s="323">
        <f>WaterHeating_cluster!AU147</f>
        <v>2.649343322299595</v>
      </c>
      <c r="U16" s="323">
        <f>WaterHeating_cluster!Z206</f>
        <v>8.3511437406244369</v>
      </c>
      <c r="V16" s="324">
        <f>'Passenger-km_cluster_lldc'!X38</f>
        <v>18.119524801983562</v>
      </c>
      <c r="W16" s="324">
        <f>'Passenger-km_cluster_mdc'!X38</f>
        <v>27.452271142696851</v>
      </c>
      <c r="X16" s="324">
        <f>'NFreight-km_cluster_all'!X38</f>
        <v>5.8623182276370063</v>
      </c>
      <c r="Y16" s="324">
        <f>'GFreight-km_cluster_lldc'!X38</f>
        <v>7.7606913413441729</v>
      </c>
      <c r="Z16" s="324">
        <f>'GFreight-km_cluster_mdc'!X38</f>
        <v>21.212660410833156</v>
      </c>
      <c r="AA16" s="324">
        <f>'Air-km_cluster_all'!X38</f>
        <v>9.5364952201225481</v>
      </c>
      <c r="AB16" s="324">
        <f>Plastics_cluster!Z206</f>
        <v>11.651863862413961</v>
      </c>
      <c r="AC16" s="323">
        <f>Paper_cluster!AU147</f>
        <v>0.63107320412752022</v>
      </c>
      <c r="AD16" s="323">
        <f>Paper_cluster!Z206</f>
        <v>4.4263911605986701</v>
      </c>
      <c r="AE16" s="323">
        <f>Water_cluster!AU147</f>
        <v>1.5640342703196688</v>
      </c>
      <c r="AF16" s="323">
        <f>Water_cluster!Z206</f>
        <v>2.4893101150496442</v>
      </c>
      <c r="AG16" s="323">
        <f>DemandFood_cluster!I73</f>
        <v>137.72775667384244</v>
      </c>
      <c r="AH16" s="323">
        <f>DemandFood_cluster!J73</f>
        <v>94.969888359012955</v>
      </c>
    </row>
    <row r="17" spans="1:34" x14ac:dyDescent="0.3">
      <c r="A17" s="404">
        <v>2027</v>
      </c>
      <c r="B17" s="405">
        <f t="shared" si="0"/>
        <v>0.71051156309288677</v>
      </c>
      <c r="C17" s="405">
        <f t="shared" si="1"/>
        <v>0.32790687822026882</v>
      </c>
      <c r="D17" s="405">
        <f t="shared" si="2"/>
        <v>0.34828406493756814</v>
      </c>
      <c r="E17" s="405">
        <f t="shared" si="3"/>
        <v>3.4320619935049652E-2</v>
      </c>
      <c r="G17" s="324">
        <f>Electricity_cluster!AS146</f>
        <v>68.213864999606869</v>
      </c>
      <c r="H17" s="324">
        <f>Electricity_cluster!X205</f>
        <v>141.98842307800018</v>
      </c>
      <c r="I17" s="324">
        <f>-(SpaceHeating_cluster_lldc!O39+SpaceCooling_cluster_lldc!O39+ComLight_cluster_lldc!O39+ReslLight_cluster_lldc!O39+WaterHeating_cluster_lldc!O39)</f>
        <v>-21.836401797459459</v>
      </c>
      <c r="J17" s="324">
        <f>-(SpaceHeating_cluster_mdc!O39+SpaceCooling_cluster_mdc!O39+ComLight_cluster_mdc!O39+ReslLight_cluster_mdc!O39+WaterHeating_cluster_mdc!O39)</f>
        <v>-34.383744942142798</v>
      </c>
      <c r="K17" s="324">
        <f>SpaceHeating_cluster!AU148</f>
        <v>13.678374716420651</v>
      </c>
      <c r="L17" s="324">
        <f>SpaceHeating_cluster!Z207</f>
        <v>21.761197959166168</v>
      </c>
      <c r="M17" s="324">
        <f>SpaceCooling_cluster!AU148</f>
        <v>9.6967653987263418</v>
      </c>
      <c r="N17" s="324">
        <f>SpaceCooling_cluster!Z207</f>
        <v>15.109576330525439</v>
      </c>
      <c r="O17" s="324">
        <f>CleanCookstoves_cluster!AU148</f>
        <v>51.103786667837333</v>
      </c>
      <c r="P17" s="323">
        <f>ComLight_cluster!AU148</f>
        <v>5.7062472771365726</v>
      </c>
      <c r="Q17" s="323">
        <f>ComLight_cluster!Z207</f>
        <v>8.3163912295575173</v>
      </c>
      <c r="R17" s="323">
        <f>ResLight_cluster!AU148</f>
        <v>4.9578098039856613</v>
      </c>
      <c r="S17" s="323">
        <f>ResLight_cluster!Z207</f>
        <v>8.0943002736014265</v>
      </c>
      <c r="T17" s="323">
        <f>WaterHeating_cluster!AU148</f>
        <v>3.337033132224664</v>
      </c>
      <c r="U17" s="323">
        <f>WaterHeating_cluster!Z207</f>
        <v>10.233452881715467</v>
      </c>
      <c r="V17" s="324">
        <f>'Passenger-km_cluster_lldc'!X39</f>
        <v>23.102875670448203</v>
      </c>
      <c r="W17" s="324">
        <f>'Passenger-km_cluster_mdc'!X39</f>
        <v>34.348655440759053</v>
      </c>
      <c r="X17" s="324">
        <f>'NFreight-km_cluster_all'!X39</f>
        <v>7.4315383129106856</v>
      </c>
      <c r="Y17" s="324">
        <f>'GFreight-km_cluster_lldc'!X39</f>
        <v>9.7547806811467268</v>
      </c>
      <c r="Z17" s="324">
        <f>'GFreight-km_cluster_mdc'!X39</f>
        <v>26.33664588180477</v>
      </c>
      <c r="AA17" s="324">
        <f>'Air-km_cluster_all'!X39</f>
        <v>12.197148520638674</v>
      </c>
      <c r="AB17" s="324">
        <f>Plastics_cluster!Z207</f>
        <v>14.691933101500293</v>
      </c>
      <c r="AC17" s="323">
        <f>Paper_cluster!AU148</f>
        <v>0.7876463923612429</v>
      </c>
      <c r="AD17" s="323">
        <f>Paper_cluster!Z207</f>
        <v>5.5546584277173761</v>
      </c>
      <c r="AE17" s="323">
        <f>Water_cluster!AU148</f>
        <v>1.9583035405472482</v>
      </c>
      <c r="AF17" s="323">
        <f>Water_cluster!Z207</f>
        <v>3.0986285995325069</v>
      </c>
      <c r="AG17" s="323">
        <f>DemandFood_cluster!I74</f>
        <v>157.44579173728681</v>
      </c>
      <c r="AH17" s="323">
        <f>DemandFood_cluster!J74</f>
        <v>107.825879777331</v>
      </c>
    </row>
    <row r="18" spans="1:34" x14ac:dyDescent="0.3">
      <c r="A18" s="404">
        <v>2028</v>
      </c>
      <c r="B18" s="405">
        <f t="shared" si="0"/>
        <v>0.84126588015087589</v>
      </c>
      <c r="C18" s="405">
        <f t="shared" si="1"/>
        <v>0.38749120581599528</v>
      </c>
      <c r="D18" s="405">
        <f t="shared" si="2"/>
        <v>0.41132849878858774</v>
      </c>
      <c r="E18" s="405">
        <f t="shared" si="3"/>
        <v>4.244617554629302E-2</v>
      </c>
      <c r="G18" s="324">
        <f>Electricity_cluster!AS147</f>
        <v>84.168343306053515</v>
      </c>
      <c r="H18" s="324">
        <f>Electricity_cluster!X206</f>
        <v>170.96344873794828</v>
      </c>
      <c r="I18" s="324">
        <f>-(SpaceHeating_cluster_lldc!O40+SpaceCooling_cluster_lldc!O40+ComLight_cluster_lldc!O40+ReslLight_cluster_lldc!O40+WaterHeating_cluster_lldc!O40)</f>
        <v>-27.039163371366623</v>
      </c>
      <c r="J18" s="324">
        <f>-(SpaceHeating_cluster_mdc!O40+SpaceCooling_cluster_mdc!O40+ComLight_cluster_mdc!O40+ReslLight_cluster_mdc!O40+WaterHeating_cluster_mdc!O40)</f>
        <v>-41.401631294215086</v>
      </c>
      <c r="K18" s="324">
        <f>SpaceHeating_cluster!AU149</f>
        <v>16.82763668595036</v>
      </c>
      <c r="L18" s="324">
        <f>SpaceHeating_cluster!Z208</f>
        <v>26.227491812983768</v>
      </c>
      <c r="M18" s="324">
        <f>SpaceCooling_cluster!AU149</f>
        <v>11.994038187784859</v>
      </c>
      <c r="N18" s="324">
        <f>SpaceCooling_cluster!Z208</f>
        <v>18.194317349022977</v>
      </c>
      <c r="O18" s="324">
        <f>CleanCookstoves_cluster!AU149</f>
        <v>62.044305736825855</v>
      </c>
      <c r="P18" s="323">
        <f>ComLight_cluster!AU149</f>
        <v>7.2399657941897422</v>
      </c>
      <c r="Q18" s="323">
        <f>ComLight_cluster!Z208</f>
        <v>10.112500617641665</v>
      </c>
      <c r="R18" s="323">
        <f>ResLight_cluster!AU149</f>
        <v>6.0006497841638993</v>
      </c>
      <c r="S18" s="323">
        <f>ResLight_cluster!Z208</f>
        <v>9.6721158119583155</v>
      </c>
      <c r="T18" s="323">
        <f>WaterHeating_cluster!AU149</f>
        <v>4.088411661470631</v>
      </c>
      <c r="U18" s="323">
        <f>WaterHeating_cluster!Z208</f>
        <v>12.224819861887394</v>
      </c>
      <c r="V18" s="324">
        <f>'Passenger-km_cluster_lldc'!X40</f>
        <v>28.748212646448941</v>
      </c>
      <c r="W18" s="324">
        <f>'Passenger-km_cluster_mdc'!X40</f>
        <v>41.819998223144772</v>
      </c>
      <c r="X18" s="324">
        <f>'NFreight-km_cluster_all'!X40</f>
        <v>9.1883183216680884</v>
      </c>
      <c r="Y18" s="324">
        <f>'GFreight-km_cluster_lldc'!X40</f>
        <v>11.970982109314171</v>
      </c>
      <c r="Z18" s="324">
        <f>'GFreight-km_cluster_mdc'!X40</f>
        <v>31.85895555689968</v>
      </c>
      <c r="AA18" s="324">
        <f>'Air-km_cluster_all'!X40</f>
        <v>15.201763733594621</v>
      </c>
      <c r="AB18" s="324">
        <f>Plastics_cluster!Z208</f>
        <v>18.05609349103031</v>
      </c>
      <c r="AC18" s="323">
        <f>Paper_cluster!AU149</f>
        <v>0.95553027595434592</v>
      </c>
      <c r="AD18" s="323">
        <f>Paper_cluster!Z208</f>
        <v>6.7972829283479124</v>
      </c>
      <c r="AE18" s="323">
        <f>Water_cluster!AU149</f>
        <v>2.3882063849138424</v>
      </c>
      <c r="AF18" s="323">
        <f>Water_cluster!Z208</f>
        <v>3.7603476802165914</v>
      </c>
      <c r="AG18" s="323">
        <f>DemandFood_cluster!I75</f>
        <v>178.10408661429167</v>
      </c>
      <c r="AH18" s="323">
        <f>DemandFood_cluster!J75</f>
        <v>121.09885150275147</v>
      </c>
    </row>
    <row r="19" spans="1:34" x14ac:dyDescent="0.3">
      <c r="A19" s="404">
        <v>2029</v>
      </c>
      <c r="B19" s="405">
        <f t="shared" si="0"/>
        <v>0.98095274730064153</v>
      </c>
      <c r="C19" s="405">
        <f t="shared" si="1"/>
        <v>0.45145348816926695</v>
      </c>
      <c r="D19" s="405">
        <f t="shared" si="2"/>
        <v>0.47801748141967132</v>
      </c>
      <c r="E19" s="405">
        <f t="shared" si="3"/>
        <v>5.1481777711702946E-2</v>
      </c>
      <c r="G19" s="324">
        <f>Electricity_cluster!AS148</f>
        <v>101.67310705813152</v>
      </c>
      <c r="H19" s="324">
        <f>Electricity_cluster!X207</f>
        <v>201.80126067672072</v>
      </c>
      <c r="I19" s="324">
        <f>-(SpaceHeating_cluster_lldc!O41+SpaceCooling_cluster_lldc!O41+ComLight_cluster_lldc!O41+ReslLight_cluster_lldc!O41+WaterHeating_cluster_lldc!O41)</f>
        <v>-32.796899274169363</v>
      </c>
      <c r="J19" s="324">
        <f>-(SpaceHeating_cluster_mdc!O41+SpaceCooling_cluster_mdc!O41+ComLight_cluster_mdc!O41+ReslLight_cluster_mdc!O41+WaterHeating_cluster_mdc!O41)</f>
        <v>-48.892172107639126</v>
      </c>
      <c r="K19" s="324">
        <f>SpaceHeating_cluster!AU150</f>
        <v>20.282560179222465</v>
      </c>
      <c r="L19" s="324">
        <f>SpaceHeating_cluster!Z209</f>
        <v>31.003157654311629</v>
      </c>
      <c r="M19" s="324">
        <f>SpaceCooling_cluster!AU150</f>
        <v>14.533669553084342</v>
      </c>
      <c r="N19" s="324">
        <f>SpaceCooling_cluster!Z209</f>
        <v>21.486700860773201</v>
      </c>
      <c r="O19" s="324">
        <f>CleanCookstoves_cluster!AU150</f>
        <v>73.839258622537429</v>
      </c>
      <c r="P19" s="323">
        <f>ComLight_cluster!AU150</f>
        <v>8.985963323319913</v>
      </c>
      <c r="Q19" s="323">
        <f>ComLight_cluster!Z209</f>
        <v>12.057730219648423</v>
      </c>
      <c r="R19" s="323">
        <f>ResLight_cluster!AU150</f>
        <v>7.1153273808975754</v>
      </c>
      <c r="S19" s="323">
        <f>ResLight_cluster!Z209</f>
        <v>11.335269588283227</v>
      </c>
      <c r="T19" s="323">
        <f>WaterHeating_cluster!AU150</f>
        <v>4.9054363752178265</v>
      </c>
      <c r="U19" s="323">
        <f>WaterHeating_cluster!Z209</f>
        <v>14.320240371395943</v>
      </c>
      <c r="V19" s="324">
        <f>'Passenger-km_cluster_lldc'!X41</f>
        <v>35.085564415385065</v>
      </c>
      <c r="W19" s="324">
        <f>'Passenger-km_cluster_mdc'!X41</f>
        <v>49.884283055033897</v>
      </c>
      <c r="X19" s="324">
        <f>'NFreight-km_cluster_all'!X41</f>
        <v>11.147368267239672</v>
      </c>
      <c r="Y19" s="324">
        <f>'GFreight-km_cluster_lldc'!X41</f>
        <v>14.412336563074668</v>
      </c>
      <c r="Z19" s="324">
        <f>'GFreight-km_cluster_mdc'!X41</f>
        <v>37.798056514898001</v>
      </c>
      <c r="AA19" s="324">
        <f>'Air-km_cluster_all'!X41</f>
        <v>18.574921056647174</v>
      </c>
      <c r="AB19" s="324">
        <f>Plastics_cluster!Z209</f>
        <v>21.759488387816099</v>
      </c>
      <c r="AC19" s="323">
        <f>Paper_cluster!AU150</f>
        <v>1.1351883639671887</v>
      </c>
      <c r="AD19" s="323">
        <f>Paper_cluster!Z209</f>
        <v>8.1586248276704509</v>
      </c>
      <c r="AE19" s="323">
        <f>Water_cluster!AU150</f>
        <v>2.8558583701415889</v>
      </c>
      <c r="AF19" s="323">
        <f>Water_cluster!Z209</f>
        <v>4.4741330513182707</v>
      </c>
      <c r="AG19" s="323">
        <f>DemandFood_cluster!I76</f>
        <v>199.42611723845673</v>
      </c>
      <c r="AH19" s="323">
        <f>DemandFood_cluster!J76</f>
        <v>134.59019670725667</v>
      </c>
    </row>
    <row r="20" spans="1:34" x14ac:dyDescent="0.3">
      <c r="A20" s="404">
        <v>2030</v>
      </c>
      <c r="B20" s="405">
        <f t="shared" si="0"/>
        <v>1.1295335280829066</v>
      </c>
      <c r="C20" s="405">
        <f t="shared" si="1"/>
        <v>0.5197743984350196</v>
      </c>
      <c r="D20" s="405">
        <f t="shared" si="2"/>
        <v>0.54827248065662382</v>
      </c>
      <c r="E20" s="405">
        <f t="shared" si="3"/>
        <v>6.148664899126341E-2</v>
      </c>
      <c r="G20" s="324">
        <f>Electricity_cluster!AS149</f>
        <v>120.81348136422608</v>
      </c>
      <c r="H20" s="324">
        <f>Electricity_cluster!X208</f>
        <v>234.50579171681918</v>
      </c>
      <c r="I20" s="324">
        <f>-(SpaceHeating_cluster_lldc!O42+SpaceCooling_cluster_lldc!O42+ComLight_cluster_lldc!O42+ReslLight_cluster_lldc!O42+WaterHeating_cluster_lldc!O42)</f>
        <v>-39.154646211539998</v>
      </c>
      <c r="J20" s="324">
        <f>-(SpaceHeating_cluster_mdc!O42+SpaceCooling_cluster_mdc!O42+ComLight_cluster_mdc!O42+ReslLight_cluster_mdc!O42+WaterHeating_cluster_mdc!O42)</f>
        <v>-56.883932393279203</v>
      </c>
      <c r="K20" s="324">
        <f>SpaceHeating_cluster!AU151</f>
        <v>24.062170022551758</v>
      </c>
      <c r="L20" s="324">
        <f>SpaceHeating_cluster!Z210</f>
        <v>36.10240582546713</v>
      </c>
      <c r="M20" s="324">
        <f>SpaceCooling_cluster!AU151</f>
        <v>17.339012629904111</v>
      </c>
      <c r="N20" s="324">
        <f>SpaceCooling_cluster!Z210</f>
        <v>25.008982857077264</v>
      </c>
      <c r="O20" s="324">
        <f>CleanCookstoves_cluster!AU151</f>
        <v>86.500351576745274</v>
      </c>
      <c r="P20" s="323">
        <f>ComLight_cluster!AU151</f>
        <v>10.962201185917918</v>
      </c>
      <c r="Q20" s="323">
        <f>ComLight_cluster!Z210</f>
        <v>14.156839616973633</v>
      </c>
      <c r="R20" s="323">
        <f>ResLight_cluster!AU151</f>
        <v>8.3036710508577425</v>
      </c>
      <c r="S20" s="323">
        <f>ResLight_cluster!Z210</f>
        <v>13.084042497837508</v>
      </c>
      <c r="T20" s="323">
        <f>WaterHeating_cluster!AU151</f>
        <v>5.7903196455467558</v>
      </c>
      <c r="U20" s="323">
        <f>WaterHeating_cluster!Z210</f>
        <v>16.515701611809096</v>
      </c>
      <c r="V20" s="324">
        <f>'Passenger-km_cluster_lldc'!X42</f>
        <v>42.166272197319159</v>
      </c>
      <c r="W20" s="324">
        <f>'Passenger-km_cluster_mdc'!X42</f>
        <v>58.568422146967443</v>
      </c>
      <c r="X20" s="324">
        <f>'NFreight-km_cluster_all'!X42</f>
        <v>13.325132854702556</v>
      </c>
      <c r="Y20" s="324">
        <f>'GFreight-km_cluster_lldc'!X42</f>
        <v>17.085037890284205</v>
      </c>
      <c r="Z20" s="324">
        <f>'GFreight-km_cluster_mdc'!X42</f>
        <v>44.174523948279358</v>
      </c>
      <c r="AA20" s="324">
        <f>'Air-km_cluster_all'!X42</f>
        <v>22.343127331171409</v>
      </c>
      <c r="AB20" s="324">
        <f>Plastics_cluster!Z210</f>
        <v>25.81838880538945</v>
      </c>
      <c r="AC20" s="323">
        <f>Paper_cluster!AU151</f>
        <v>1.3271419334722454</v>
      </c>
      <c r="AD20" s="323">
        <f>Paper_cluster!Z210</f>
        <v>9.6434861397574849</v>
      </c>
      <c r="AE20" s="323">
        <f>Water_cluster!AU151</f>
        <v>3.3641883405517783</v>
      </c>
      <c r="AF20" s="323">
        <f>Water_cluster!Z210</f>
        <v>5.2411435986627026</v>
      </c>
      <c r="AG20" s="323">
        <f>DemandFood_cluster!I77</f>
        <v>221.21519680918266</v>
      </c>
      <c r="AH20" s="323">
        <f>DemandFood_cluster!J77</f>
        <v>148.15507309025216</v>
      </c>
    </row>
    <row r="21" spans="1:34" x14ac:dyDescent="0.3">
      <c r="A21" s="404">
        <v>2031</v>
      </c>
      <c r="B21" s="405">
        <f t="shared" si="0"/>
        <v>1.2853920715077432</v>
      </c>
      <c r="C21" s="405">
        <f t="shared" si="1"/>
        <v>0.59148348184953925</v>
      </c>
      <c r="D21" s="405">
        <f t="shared" si="2"/>
        <v>0.62139845811931671</v>
      </c>
      <c r="E21" s="405">
        <f t="shared" si="3"/>
        <v>7.2510131538887301E-2</v>
      </c>
      <c r="G21" s="324">
        <f>Electricity_cluster!AS150</f>
        <v>141.51444496784137</v>
      </c>
      <c r="H21" s="324">
        <f>Electricity_cluster!X209</f>
        <v>268.83562164706308</v>
      </c>
      <c r="I21" s="324">
        <f>-(SpaceHeating_cluster_lldc!O43+SpaceCooling_cluster_lldc!O43+ComLight_cluster_lldc!O43+ReslLight_cluster_lldc!O43+WaterHeating_cluster_lldc!O43)</f>
        <v>-46.080720861486412</v>
      </c>
      <c r="J21" s="324">
        <f>-(SpaceHeating_cluster_mdc!O43+SpaceCooling_cluster_mdc!O43+ComLight_cluster_mdc!O43+ReslLight_cluster_mdc!O43+WaterHeating_cluster_mdc!O43)</f>
        <v>-65.266221561312051</v>
      </c>
      <c r="K21" s="324">
        <f>SpaceHeating_cluster!AU152</f>
        <v>28.15639959047499</v>
      </c>
      <c r="L21" s="324">
        <f>SpaceHeating_cluster!Z211</f>
        <v>41.474766297383269</v>
      </c>
      <c r="M21" s="324">
        <f>SpaceCooling_cluster!AU152</f>
        <v>20.38549257198056</v>
      </c>
      <c r="N21" s="324">
        <f>SpaceCooling_cluster!Z211</f>
        <v>28.682925254405674</v>
      </c>
      <c r="O21" s="324">
        <f>CleanCookstoves_cluster!AU152</f>
        <v>99.873098150489426</v>
      </c>
      <c r="P21" s="323">
        <f>ComLight_cluster!AU152</f>
        <v>13.173008232264138</v>
      </c>
      <c r="Q21" s="323">
        <f>ComLight_cluster!Z211</f>
        <v>16.399489908855116</v>
      </c>
      <c r="R21" s="323">
        <f>ResLight_cluster!AU152</f>
        <v>9.5572093607500808</v>
      </c>
      <c r="S21" s="323">
        <f>ResLight_cluster!Z211</f>
        <v>14.90461607009507</v>
      </c>
      <c r="T21" s="323">
        <f>WaterHeating_cluster!AU152</f>
        <v>6.7423159985985226</v>
      </c>
      <c r="U21" s="323">
        <f>WaterHeating_cluster!Z211</f>
        <v>18.80342652434658</v>
      </c>
      <c r="V21" s="324">
        <f>'Passenger-km_cluster_lldc'!X43</f>
        <v>49.985706633606888</v>
      </c>
      <c r="W21" s="324">
        <f>'Passenger-km_cluster_mdc'!X43</f>
        <v>67.834519130209188</v>
      </c>
      <c r="X21" s="324">
        <f>'NFreight-km_cluster_all'!X43</f>
        <v>15.736652601755669</v>
      </c>
      <c r="Y21" s="324">
        <f>'GFreight-km_cluster_lldc'!X43</f>
        <v>20.000707360635939</v>
      </c>
      <c r="Z21" s="324">
        <f>'GFreight-km_cluster_mdc'!X43</f>
        <v>50.994418425684898</v>
      </c>
      <c r="AA21" s="324">
        <f>'Air-km_cluster_all'!X43</f>
        <v>26.529484109482905</v>
      </c>
      <c r="AB21" s="324">
        <f>Plastics_cluster!Z211</f>
        <v>30.243994827648731</v>
      </c>
      <c r="AC21" s="323">
        <f>Paper_cluster!AU152</f>
        <v>1.5310354348195414</v>
      </c>
      <c r="AD21" s="323">
        <f>Paper_cluster!Z211</f>
        <v>11.255422257442611</v>
      </c>
      <c r="AE21" s="323">
        <f>Water_cluster!AU152</f>
        <v>3.9114205787195124</v>
      </c>
      <c r="AF21" s="323">
        <f>Water_cluster!Z211</f>
        <v>6.057466143769199</v>
      </c>
      <c r="AG21" s="323">
        <f>DemandFood_cluster!I78</f>
        <v>242.73336383084464</v>
      </c>
      <c r="AH21" s="323">
        <f>DemandFood_cluster!J78</f>
        <v>161.4220080213741</v>
      </c>
    </row>
    <row r="22" spans="1:34" x14ac:dyDescent="0.3">
      <c r="A22" s="404">
        <v>2032</v>
      </c>
      <c r="B22" s="405">
        <f t="shared" si="0"/>
        <v>1.4494145437154917</v>
      </c>
      <c r="C22" s="405">
        <f t="shared" si="1"/>
        <v>0.66730146061148621</v>
      </c>
      <c r="D22" s="405">
        <f t="shared" si="2"/>
        <v>0.69755531227493739</v>
      </c>
      <c r="E22" s="405">
        <f t="shared" si="3"/>
        <v>8.455777082906818E-2</v>
      </c>
      <c r="G22" s="324">
        <f>Electricity_cluster!AS151</f>
        <v>163.76161991023525</v>
      </c>
      <c r="H22" s="324">
        <f>Electricity_cluster!X210</f>
        <v>304.73136634613343</v>
      </c>
      <c r="I22" s="324">
        <f>-(SpaceHeating_cluster_lldc!O44+SpaceCooling_cluster_lldc!O44+ComLight_cluster_lldc!O44+ReslLight_cluster_lldc!O44+WaterHeating_cluster_lldc!O44)</f>
        <v>-53.606599794723785</v>
      </c>
      <c r="J22" s="324">
        <f>-(SpaceHeating_cluster_mdc!O44+SpaceCooling_cluster_mdc!O44+ComLight_cluster_mdc!O44+ReslLight_cluster_mdc!O44+WaterHeating_cluster_mdc!O44)</f>
        <v>-74.089370722908072</v>
      </c>
      <c r="K22" s="324">
        <f>SpaceHeating_cluster!AU153</f>
        <v>32.567861998459009</v>
      </c>
      <c r="L22" s="324">
        <f>SpaceHeating_cluster!Z212</f>
        <v>47.136439592618181</v>
      </c>
      <c r="M22" s="324">
        <f>SpaceCooling_cluster!AU153</f>
        <v>23.697541116744404</v>
      </c>
      <c r="N22" s="324">
        <f>SpaceCooling_cluster!Z212</f>
        <v>32.560053921009612</v>
      </c>
      <c r="O22" s="324">
        <f>CleanCookstoves_cluster!AU153</f>
        <v>113.99437298497062</v>
      </c>
      <c r="P22" s="323">
        <f>ComLight_cluster!AU153</f>
        <v>15.628239859052165</v>
      </c>
      <c r="Q22" s="323">
        <f>ComLight_cluster!Z212</f>
        <v>18.785842978067709</v>
      </c>
      <c r="R22" s="323">
        <f>ResLight_cluster!AU153</f>
        <v>10.872261875254807</v>
      </c>
      <c r="S22" s="323">
        <f>ResLight_cluster!Z212</f>
        <v>16.793385549860442</v>
      </c>
      <c r="T22" s="323">
        <f>WaterHeating_cluster!AU153</f>
        <v>7.7562121819506995</v>
      </c>
      <c r="U22" s="323">
        <f>WaterHeating_cluster!Z212</f>
        <v>21.167799185832564</v>
      </c>
      <c r="V22" s="324">
        <f>'Passenger-km_cluster_lldc'!X44</f>
        <v>58.612933886520288</v>
      </c>
      <c r="W22" s="324">
        <f>'Passenger-km_cluster_mdc'!X44</f>
        <v>77.650659851634416</v>
      </c>
      <c r="X22" s="324">
        <f>'NFreight-km_cluster_all'!X44</f>
        <v>18.388202801554446</v>
      </c>
      <c r="Y22" s="324">
        <f>'GFreight-km_cluster_lldc'!X44</f>
        <v>23.164144151319576</v>
      </c>
      <c r="Z22" s="324">
        <f>'GFreight-km_cluster_mdc'!X44</f>
        <v>58.230128556049316</v>
      </c>
      <c r="AA22" s="324">
        <f>'Air-km_cluster_all'!X44</f>
        <v>31.141051953829571</v>
      </c>
      <c r="AB22" s="324">
        <f>Plastics_cluster!Z212</f>
        <v>35.028516073684159</v>
      </c>
      <c r="AC22" s="323">
        <f>Paper_cluster!AU153</f>
        <v>1.7451369325926873</v>
      </c>
      <c r="AD22" s="323">
        <f>Paper_cluster!Z212</f>
        <v>12.991447388705867</v>
      </c>
      <c r="AE22" s="323">
        <f>Water_cluster!AU153</f>
        <v>4.4974708091645299</v>
      </c>
      <c r="AF22" s="323">
        <f>Water_cluster!Z212</f>
        <v>6.9233468787873491</v>
      </c>
      <c r="AG22" s="323">
        <f>DemandFood_cluster!I79</f>
        <v>264.6102646999459</v>
      </c>
      <c r="AH22" s="323">
        <f>DemandFood_cluster!J79</f>
        <v>174.67421274914659</v>
      </c>
    </row>
    <row r="23" spans="1:34" x14ac:dyDescent="0.3">
      <c r="A23" s="404">
        <v>2033</v>
      </c>
      <c r="B23" s="405">
        <f t="shared" si="0"/>
        <v>1.6202875754586501</v>
      </c>
      <c r="C23" s="405">
        <f t="shared" si="1"/>
        <v>0.74677531442472322</v>
      </c>
      <c r="D23" s="405">
        <f t="shared" si="2"/>
        <v>0.77595448896755348</v>
      </c>
      <c r="E23" s="405">
        <f t="shared" si="3"/>
        <v>9.7557772066373616E-2</v>
      </c>
      <c r="G23" s="324">
        <f>Electricity_cluster!AS152</f>
        <v>187.26762552529621</v>
      </c>
      <c r="H23" s="324">
        <f>Electricity_cluster!X211</f>
        <v>341.66696496206083</v>
      </c>
      <c r="I23" s="324">
        <f>-(SpaceHeating_cluster_lldc!O45+SpaceCooling_cluster_lldc!O45+ComLight_cluster_lldc!O45+ReslLight_cluster_lldc!O45+WaterHeating_cluster_lldc!O45)</f>
        <v>-61.645097164453738</v>
      </c>
      <c r="J23" s="324">
        <f>-(SpaceHeating_cluster_mdc!O45+SpaceCooling_cluster_mdc!O45+ComLight_cluster_mdc!O45+ReslLight_cluster_mdc!O45+WaterHeating_cluster_mdc!O45)</f>
        <v>-83.212653674280233</v>
      </c>
      <c r="K23" s="324">
        <f>SpaceHeating_cluster!AU154</f>
        <v>37.244931906972482</v>
      </c>
      <c r="L23" s="324">
        <f>SpaceHeating_cluster!Z213</f>
        <v>53.006277654294557</v>
      </c>
      <c r="M23" s="324">
        <f>SpaceCooling_cluster!AU154</f>
        <v>27.233138658992907</v>
      </c>
      <c r="N23" s="324">
        <f>SpaceCooling_cluster!Z213</f>
        <v>36.568703724725012</v>
      </c>
      <c r="O23" s="324">
        <f>CleanCookstoves_cluster!AU154</f>
        <v>128.68816113397247</v>
      </c>
      <c r="P23" s="323">
        <f>ComLight_cluster!AU154</f>
        <v>18.310974311810689</v>
      </c>
      <c r="Q23" s="323">
        <f>ComLight_cluster!Z213</f>
        <v>21.2869107494496</v>
      </c>
      <c r="R23" s="323">
        <f>ResLight_cluster!AU154</f>
        <v>12.227051198799264</v>
      </c>
      <c r="S23" s="323">
        <f>ResLight_cluster!Z213</f>
        <v>18.721617924456716</v>
      </c>
      <c r="T23" s="323">
        <f>WaterHeating_cluster!AU154</f>
        <v>8.8186234226271925</v>
      </c>
      <c r="U23" s="323">
        <f>WaterHeating_cluster!Z213</f>
        <v>23.57486330798185</v>
      </c>
      <c r="V23" s="324">
        <f>'Passenger-km_cluster_lldc'!X45</f>
        <v>67.993202804008547</v>
      </c>
      <c r="W23" s="324">
        <f>'Passenger-km_cluster_mdc'!X45</f>
        <v>87.884002169230527</v>
      </c>
      <c r="X23" s="324">
        <f>'NFreight-km_cluster_all'!X45</f>
        <v>21.269874168151354</v>
      </c>
      <c r="Y23" s="324">
        <f>'GFreight-km_cluster_lldc'!X45</f>
        <v>26.557675251558003</v>
      </c>
      <c r="Z23" s="324">
        <f>'GFreight-km_cluster_mdc'!X45</f>
        <v>65.80804404175359</v>
      </c>
      <c r="AA23" s="324">
        <f>'Air-km_cluster_all'!X45</f>
        <v>36.155893331457335</v>
      </c>
      <c r="AB23" s="324">
        <f>Plastics_cluster!Z213</f>
        <v>40.132004566764927</v>
      </c>
      <c r="AC23" s="323">
        <f>Paper_cluster!AU154</f>
        <v>1.9659841469058219</v>
      </c>
      <c r="AD23" s="323">
        <f>Paper_cluster!Z213</f>
        <v>14.837071126734131</v>
      </c>
      <c r="AE23" s="323">
        <f>Water_cluster!AU154</f>
        <v>5.1150595782588226</v>
      </c>
      <c r="AF23" s="323">
        <f>Water_cluster!Z213</f>
        <v>7.8281094736412076</v>
      </c>
      <c r="AG23" s="323">
        <f>DemandFood_cluster!I80</f>
        <v>286.99798364997457</v>
      </c>
      <c r="AH23" s="323">
        <f>DemandFood_cluster!J80</f>
        <v>187.98457750750578</v>
      </c>
    </row>
    <row r="24" spans="1:34" x14ac:dyDescent="0.3">
      <c r="A24" s="404">
        <v>2034</v>
      </c>
      <c r="B24" s="405">
        <f t="shared" si="0"/>
        <v>1.7964798624060709</v>
      </c>
      <c r="C24" s="405">
        <f t="shared" si="1"/>
        <v>0.82937501240700195</v>
      </c>
      <c r="D24" s="405">
        <f t="shared" si="2"/>
        <v>0.85571605347537771</v>
      </c>
      <c r="E24" s="405">
        <f t="shared" si="3"/>
        <v>0.11138879652369141</v>
      </c>
      <c r="G24" s="324">
        <f>Electricity_cluster!AS153</f>
        <v>211.68247896643618</v>
      </c>
      <c r="H24" s="324">
        <f>Electricity_cluster!X212</f>
        <v>379.04843088518624</v>
      </c>
      <c r="I24" s="324">
        <f>-(SpaceHeating_cluster_lldc!O46+SpaceCooling_cluster_lldc!O46+ComLight_cluster_lldc!O46+ReslLight_cluster_lldc!O46+WaterHeating_cluster_lldc!O46)</f>
        <v>-70.09329684889974</v>
      </c>
      <c r="J24" s="324">
        <f>-(SpaceHeating_cluster_mdc!O46+SpaceCooling_cluster_mdc!O46+ComLight_cluster_mdc!O46+ReslLight_cluster_mdc!O46+WaterHeating_cluster_mdc!O46)</f>
        <v>-92.49673901685469</v>
      </c>
      <c r="K24" s="324">
        <f>SpaceHeating_cluster!AU155</f>
        <v>42.123578914431711</v>
      </c>
      <c r="L24" s="324">
        <f>SpaceHeating_cluster!Z214</f>
        <v>58.997929965474555</v>
      </c>
      <c r="M24" s="324">
        <f>SpaceCooling_cluster!AU155</f>
        <v>30.946915642704191</v>
      </c>
      <c r="N24" s="324">
        <f>SpaceCooling_cluster!Z214</f>
        <v>40.647718811831005</v>
      </c>
      <c r="O24" s="324">
        <f>CleanCookstoves_cluster!AU155</f>
        <v>143.72600855494215</v>
      </c>
      <c r="P24" s="323">
        <f>ComLight_cluster!AU155</f>
        <v>21.195437101411457</v>
      </c>
      <c r="Q24" s="323">
        <f>ComLight_cluster!Z214</f>
        <v>23.867775018839232</v>
      </c>
      <c r="R24" s="323">
        <f>ResLight_cluster!AU155</f>
        <v>13.597007892809</v>
      </c>
      <c r="S24" s="323">
        <f>ResLight_cluster!Z214</f>
        <v>20.657375924396323</v>
      </c>
      <c r="T24" s="323">
        <f>WaterHeating_cluster!AU155</f>
        <v>9.9122899216374165</v>
      </c>
      <c r="U24" s="323">
        <f>WaterHeating_cluster!Z214</f>
        <v>25.983454673037585</v>
      </c>
      <c r="V24" s="324">
        <f>'Passenger-km_cluster_lldc'!X46</f>
        <v>78.051582018741598</v>
      </c>
      <c r="W24" s="324">
        <f>'Passenger-km_cluster_mdc'!X46</f>
        <v>98.374015935153508</v>
      </c>
      <c r="X24" s="324">
        <f>'NFreight-km_cluster_all'!X46</f>
        <v>24.361344807293559</v>
      </c>
      <c r="Y24" s="324">
        <f>'GFreight-km_cluster_lldc'!X46</f>
        <v>30.152361711878221</v>
      </c>
      <c r="Z24" s="324">
        <f>'GFreight-km_cluster_mdc'!X46</f>
        <v>73.62903453126188</v>
      </c>
      <c r="AA24" s="324">
        <f>'Air-km_cluster_all'!X46</f>
        <v>41.532586378825783</v>
      </c>
      <c r="AB24" s="324">
        <f>Plastics_cluster!Z214</f>
        <v>45.494865337572065</v>
      </c>
      <c r="AC24" s="323">
        <f>Paper_cluster!AU155</f>
        <v>2.1892973315789725</v>
      </c>
      <c r="AD24" s="323">
        <f>Paper_cluster!Z214</f>
        <v>16.77090238489188</v>
      </c>
      <c r="AE24" s="323">
        <f>Water_cluster!AU155</f>
        <v>5.7553121228692614</v>
      </c>
      <c r="AF24" s="323">
        <f>Water_cluster!Z214</f>
        <v>8.7591340465389713</v>
      </c>
      <c r="AG24" s="323">
        <f>DemandFood_cluster!I81</f>
        <v>310.13603907646154</v>
      </c>
      <c r="AH24" s="323">
        <f>DemandFood_cluster!J81</f>
        <v>201.47702031562139</v>
      </c>
    </row>
    <row r="25" spans="1:34" x14ac:dyDescent="0.3">
      <c r="A25" s="404">
        <v>2035</v>
      </c>
      <c r="B25" s="405">
        <f t="shared" si="0"/>
        <v>1.97652895343151</v>
      </c>
      <c r="C25" s="405">
        <f t="shared" si="1"/>
        <v>0.91441082447148192</v>
      </c>
      <c r="D25" s="405">
        <f t="shared" si="2"/>
        <v>0.93615541107980971</v>
      </c>
      <c r="E25" s="405">
        <f t="shared" si="3"/>
        <v>0.12596271788021846</v>
      </c>
      <c r="G25" s="324">
        <f>Electricity_cluster!AS154</f>
        <v>236.71735010436362</v>
      </c>
      <c r="H25" s="324">
        <f>Electricity_cluster!X213</f>
        <v>416.37080464511382</v>
      </c>
      <c r="I25" s="324">
        <f>-(SpaceHeating_cluster_lldc!O47+SpaceCooling_cluster_lldc!O47+ComLight_cluster_lldc!O47+ReslLight_cluster_lldc!O47+WaterHeating_cluster_lldc!O47)</f>
        <v>-78.864672322437372</v>
      </c>
      <c r="J25" s="324">
        <f>-(SpaceHeating_cluster_mdc!O47+SpaceCooling_cluster_mdc!O47+ComLight_cluster_mdc!O47+ReslLight_cluster_mdc!O47+WaterHeating_cluster_mdc!O47)</f>
        <v>-101.82103720437586</v>
      </c>
      <c r="K25" s="324">
        <f>SpaceHeating_cluster!AU156</f>
        <v>47.157724249433031</v>
      </c>
      <c r="L25" s="324">
        <f>SpaceHeating_cluster!Z215</f>
        <v>65.045583773955983</v>
      </c>
      <c r="M25" s="324">
        <f>SpaceCooling_cluster!AU156</f>
        <v>34.800827475814735</v>
      </c>
      <c r="N25" s="324">
        <f>SpaceCooling_cluster!Z215</f>
        <v>44.744220172562898</v>
      </c>
      <c r="O25" s="324">
        <f>CleanCookstoves_cluster!AU156</f>
        <v>158.9412444197647</v>
      </c>
      <c r="P25" s="323">
        <f>ComLight_cluster!AU156</f>
        <v>24.258349159782625</v>
      </c>
      <c r="Q25" s="323">
        <f>ComLight_cluster!Z215</f>
        <v>26.496965042726572</v>
      </c>
      <c r="R25" s="323">
        <f>ResLight_cluster!AU156</f>
        <v>14.962751085329433</v>
      </c>
      <c r="S25" s="323">
        <f>ResLight_cluster!Z215</f>
        <v>22.573872561436595</v>
      </c>
      <c r="T25" s="323">
        <f>WaterHeating_cluster!AU156</f>
        <v>11.024761030316228</v>
      </c>
      <c r="U25" s="323">
        <f>WaterHeating_cluster!Z215</f>
        <v>28.363452213438809</v>
      </c>
      <c r="V25" s="324">
        <f>'Passenger-km_cluster_lldc'!X47</f>
        <v>88.39647230187191</v>
      </c>
      <c r="W25" s="324">
        <f>'Passenger-km_cluster_mdc'!X47</f>
        <v>109.04890157162255</v>
      </c>
      <c r="X25" s="324">
        <f>'NFreight-km_cluster_all'!X47</f>
        <v>27.64970761349327</v>
      </c>
      <c r="Y25" s="324">
        <f>'GFreight-km_cluster_lldc'!X47</f>
        <v>33.959643528670306</v>
      </c>
      <c r="Z25" s="324">
        <f>'GFreight-km_cluster_mdc'!X47</f>
        <v>81.595596994616216</v>
      </c>
      <c r="AA25" s="324">
        <f>'Air-km_cluster_all'!X47</f>
        <v>47.240800099976973</v>
      </c>
      <c r="AB25" s="324">
        <f>Plastics_cluster!Z215</f>
        <v>51.072210166748214</v>
      </c>
      <c r="AC25" s="323">
        <f>Paper_cluster!AU156</f>
        <v>2.412324672672824</v>
      </c>
      <c r="AD25" s="323">
        <f>Paper_cluster!Z215</f>
        <v>18.7767081751945</v>
      </c>
      <c r="AE25" s="323">
        <f>Water_cluster!AU156</f>
        <v>6.4109620772385512</v>
      </c>
      <c r="AF25" s="323">
        <f>Water_cluster!Z215</f>
        <v>9.7054433887967644</v>
      </c>
      <c r="AG25" s="323">
        <f>DemandFood_cluster!I82</f>
        <v>334.23308668866133</v>
      </c>
      <c r="AH25" s="323">
        <f>DemandFood_cluster!J82</f>
        <v>215.25489974472094</v>
      </c>
    </row>
    <row r="26" spans="1:34" x14ac:dyDescent="0.3">
      <c r="A26" s="404">
        <v>2036</v>
      </c>
      <c r="B26" s="405">
        <f t="shared" si="0"/>
        <v>2.1611100382473993</v>
      </c>
      <c r="C26" s="405">
        <f t="shared" si="1"/>
        <v>1.0027556954255363</v>
      </c>
      <c r="D26" s="405">
        <f t="shared" si="2"/>
        <v>1.0170980797351696</v>
      </c>
      <c r="E26" s="405">
        <f t="shared" si="3"/>
        <v>0.14125626308669384</v>
      </c>
      <c r="G26" s="324">
        <f>Electricity_cluster!AS155</f>
        <v>262.37392372469867</v>
      </c>
      <c r="H26" s="324">
        <f>Electricity_cluster!X214</f>
        <v>453.58461951720648</v>
      </c>
      <c r="I26" s="324">
        <f>-(SpaceHeating_cluster_lldc!O48+SpaceCooling_cluster_lldc!O48+ComLight_cluster_lldc!O48+ReslLight_cluster_lldc!O48+WaterHeating_cluster_lldc!O48)</f>
        <v>-87.965521213517974</v>
      </c>
      <c r="J26" s="324">
        <f>-(SpaceHeating_cluster_mdc!O48+SpaceCooling_cluster_mdc!O48+ComLight_cluster_mdc!O48+ReslLight_cluster_mdc!O48+WaterHeating_cluster_mdc!O48)</f>
        <v>-111.17350899428546</v>
      </c>
      <c r="K26" s="324">
        <f>SpaceHeating_cluster!AU157</f>
        <v>52.334249613592277</v>
      </c>
      <c r="L26" s="324">
        <f>SpaceHeating_cluster!Z216</f>
        <v>71.119686497859888</v>
      </c>
      <c r="M26" s="324">
        <f>SpaceCooling_cluster!AU157</f>
        <v>38.797829832027929</v>
      </c>
      <c r="N26" s="324">
        <f>SpaceCooling_cluster!Z216</f>
        <v>48.853051819051274</v>
      </c>
      <c r="O26" s="324">
        <f>CleanCookstoves_cluster!AU157</f>
        <v>174.26335448625093</v>
      </c>
      <c r="P26" s="323">
        <f>ComLight_cluster!AU157</f>
        <v>27.5032503167212</v>
      </c>
      <c r="Q26" s="323">
        <f>ComLight_cluster!Z216</f>
        <v>29.170247120683875</v>
      </c>
      <c r="R26" s="323">
        <f>ResLight_cluster!AU157</f>
        <v>16.323930792853503</v>
      </c>
      <c r="S26" s="323">
        <f>ResLight_cluster!Z216</f>
        <v>24.469089691749804</v>
      </c>
      <c r="T26" s="323">
        <f>WaterHeating_cluster!AU157</f>
        <v>12.152068470786663</v>
      </c>
      <c r="U26" s="323">
        <f>WaterHeating_cluster!Z216</f>
        <v>30.702604743343578</v>
      </c>
      <c r="V26" s="324">
        <f>'Passenger-km_cluster_lldc'!X48</f>
        <v>100.01009967927607</v>
      </c>
      <c r="W26" s="324">
        <f>'Passenger-km_cluster_mdc'!X48</f>
        <v>119.72454160758384</v>
      </c>
      <c r="X26" s="324">
        <f>'NFreight-km_cluster_all'!X48</f>
        <v>31.136402173481542</v>
      </c>
      <c r="Y26" s="324">
        <f>'GFreight-km_cluster_lldc'!X48</f>
        <v>37.882397605842982</v>
      </c>
      <c r="Z26" s="324">
        <f>'GFreight-km_cluster_mdc'!X48</f>
        <v>89.786030063949539</v>
      </c>
      <c r="AA26" s="324">
        <f>'Air-km_cluster_all'!X48</f>
        <v>53.27368594709214</v>
      </c>
      <c r="AB26" s="324">
        <f>Plastics_cluster!Z216</f>
        <v>56.846174966120181</v>
      </c>
      <c r="AC26" s="323">
        <f>Paper_cluster!AU157</f>
        <v>2.634552702648064</v>
      </c>
      <c r="AD26" s="323">
        <f>Paper_cluster!Z216</f>
        <v>20.847611437818319</v>
      </c>
      <c r="AE26" s="323">
        <f>Water_cluster!AU157</f>
        <v>7.0824809798785626</v>
      </c>
      <c r="AF26" s="323">
        <f>Water_cluster!Z216</f>
        <v>10.666364908734053</v>
      </c>
      <c r="AG26" s="323">
        <f>DemandFood_cluster!I83</f>
        <v>359.3630784344773</v>
      </c>
      <c r="AH26" s="323">
        <f>DemandFood_cluster!J83</f>
        <v>229.3477413214743</v>
      </c>
    </row>
    <row r="27" spans="1:34" x14ac:dyDescent="0.3">
      <c r="A27" s="404">
        <v>2037</v>
      </c>
      <c r="B27" s="405">
        <f t="shared" si="0"/>
        <v>2.3495155443589422</v>
      </c>
      <c r="C27" s="405">
        <f t="shared" si="1"/>
        <v>1.0936414916231227</v>
      </c>
      <c r="D27" s="405">
        <f t="shared" si="2"/>
        <v>1.0985461836487782</v>
      </c>
      <c r="E27" s="405">
        <f t="shared" si="3"/>
        <v>0.15732786908704172</v>
      </c>
      <c r="G27" s="324">
        <f>Electricity_cluster!AS156</f>
        <v>288.63671460850145</v>
      </c>
      <c r="H27" s="324">
        <f>Electricity_cluster!X215</f>
        <v>490.56195716932774</v>
      </c>
      <c r="I27" s="324">
        <f>-(SpaceHeating_cluster_lldc!O49+SpaceCooling_cluster_lldc!O49+ComLight_cluster_lldc!O49+ReslLight_cluster_lldc!O49+WaterHeating_cluster_lldc!O49)</f>
        <v>-97.39444001923691</v>
      </c>
      <c r="J27" s="324">
        <f>-(SpaceHeating_cluster_mdc!O49+SpaceCooling_cluster_mdc!O49+ComLight_cluster_mdc!O49+ReslLight_cluster_mdc!O49+WaterHeating_cluster_mdc!O49)</f>
        <v>-120.52116141850023</v>
      </c>
      <c r="K27" s="324">
        <f>SpaceHeating_cluster!AU158</f>
        <v>57.671009088541332</v>
      </c>
      <c r="L27" s="324">
        <f>SpaceHeating_cluster!Z217</f>
        <v>77.225738804126465</v>
      </c>
      <c r="M27" s="324">
        <f>SpaceCooling_cluster!AU158</f>
        <v>42.937465235045494</v>
      </c>
      <c r="N27" s="324">
        <f>SpaceCooling_cluster!Z217</f>
        <v>52.959870298142647</v>
      </c>
      <c r="O27" s="324">
        <f>CleanCookstoves_cluster!AU158</f>
        <v>189.72733120063396</v>
      </c>
      <c r="P27" s="323">
        <f>ComLight_cluster!AU158</f>
        <v>30.930997850945559</v>
      </c>
      <c r="Q27" s="323">
        <f>ComLight_cluster!Z217</f>
        <v>31.87760690885473</v>
      </c>
      <c r="R27" s="323">
        <f>ResLight_cluster!AU158</f>
        <v>17.679000349794933</v>
      </c>
      <c r="S27" s="323">
        <f>ResLight_cluster!Z217</f>
        <v>26.336578161565232</v>
      </c>
      <c r="T27" s="323">
        <f>WaterHeating_cluster!AU158</f>
        <v>13.297506296036964</v>
      </c>
      <c r="U27" s="323">
        <f>WaterHeating_cluster!Z217</f>
        <v>33.00412114857248</v>
      </c>
      <c r="V27" s="324">
        <f>'Passenger-km_cluster_lldc'!X49</f>
        <v>111.92529432634385</v>
      </c>
      <c r="W27" s="324">
        <f>'Passenger-km_cluster_mdc'!X49</f>
        <v>130.56468925825743</v>
      </c>
      <c r="X27" s="324">
        <f>'NFreight-km_cluster_all'!X49</f>
        <v>34.841132640456166</v>
      </c>
      <c r="Y27" s="324">
        <f>'GFreight-km_cluster_lldc'!X49</f>
        <v>42.032128782633549</v>
      </c>
      <c r="Z27" s="324">
        <f>'GFreight-km_cluster_mdc'!X49</f>
        <v>98.147208794664607</v>
      </c>
      <c r="AA27" s="324">
        <f>'Air-km_cluster_all'!X49</f>
        <v>59.655008172931225</v>
      </c>
      <c r="AB27" s="324">
        <f>Plastics_cluster!Z217</f>
        <v>62.831728273654313</v>
      </c>
      <c r="AC27" s="323">
        <f>Paper_cluster!AU158</f>
        <v>2.8575855668693206</v>
      </c>
      <c r="AD27" s="323">
        <f>Paper_cluster!Z217</f>
        <v>22.988329407103777</v>
      </c>
      <c r="AE27" s="323">
        <f>Water_cluster!AU158</f>
        <v>7.769719367132474</v>
      </c>
      <c r="AF27" s="323">
        <f>Water_cluster!Z217</f>
        <v>11.639323894202541</v>
      </c>
      <c r="AG27" s="323">
        <f>DemandFood_cluster!I84</f>
        <v>385.57117896988058</v>
      </c>
      <c r="AH27" s="323">
        <f>DemandFood_cluster!J84</f>
        <v>243.76192122246061</v>
      </c>
    </row>
    <row r="28" spans="1:34" x14ac:dyDescent="0.3">
      <c r="A28" s="404">
        <v>2038</v>
      </c>
      <c r="B28" s="405">
        <f t="shared" si="0"/>
        <v>2.5430970506237074</v>
      </c>
      <c r="C28" s="405">
        <f t="shared" si="1"/>
        <v>1.1879143422030904</v>
      </c>
      <c r="D28" s="405">
        <f t="shared" si="2"/>
        <v>1.1809096725908166</v>
      </c>
      <c r="E28" s="405">
        <f t="shared" si="3"/>
        <v>0.17427303582980044</v>
      </c>
      <c r="G28" s="324">
        <f>Electricity_cluster!AS157</f>
        <v>315.67846054288827</v>
      </c>
      <c r="H28" s="324">
        <f>Electricity_cluster!X216</f>
        <v>527.50565287402981</v>
      </c>
      <c r="I28" s="324">
        <f>-(SpaceHeating_cluster_lldc!O50+SpaceCooling_cluster_lldc!O50+ComLight_cluster_lldc!O50+ReslLight_cluster_lldc!O50+WaterHeating_cluster_lldc!O50)</f>
        <v>-107.21319745015049</v>
      </c>
      <c r="J28" s="324">
        <f>-(SpaceHeating_cluster_mdc!O50+SpaceCooling_cluster_mdc!O50+ComLight_cluster_mdc!O50+ReslLight_cluster_mdc!O50+WaterHeating_cluster_mdc!O50)</f>
        <v>-129.9113382730169</v>
      </c>
      <c r="K28" s="324">
        <f>SpaceHeating_cluster!AU159</f>
        <v>63.200144436798809</v>
      </c>
      <c r="L28" s="324">
        <f>SpaceHeating_cluster!Z218</f>
        <v>83.388654579668454</v>
      </c>
      <c r="M28" s="324">
        <f>SpaceCooling_cluster!AU159</f>
        <v>47.247092487867818</v>
      </c>
      <c r="N28" s="324">
        <f>SpaceCooling_cluster!Z218</f>
        <v>57.085689360567834</v>
      </c>
      <c r="O28" s="324">
        <f>CleanCookstoves_cluster!AU159</f>
        <v>205.40686169005767</v>
      </c>
      <c r="P28" s="323">
        <f>ComLight_cluster!AU159</f>
        <v>34.562641622714438</v>
      </c>
      <c r="Q28" s="323">
        <f>ComLight_cluster!Z218</f>
        <v>34.630102805415767</v>
      </c>
      <c r="R28" s="323">
        <f>ResLight_cluster!AU159</f>
        <v>19.037805646824459</v>
      </c>
      <c r="S28" s="323">
        <f>ResLight_cluster!Z218</f>
        <v>28.187546464554355</v>
      </c>
      <c r="T28" s="323">
        <f>WaterHeating_cluster!AU159</f>
        <v>14.467557523858751</v>
      </c>
      <c r="U28" s="323">
        <f>WaterHeating_cluster!Z218</f>
        <v>35.279618928353315</v>
      </c>
      <c r="V28" s="324">
        <f>'Passenger-km_cluster_lldc'!X50</f>
        <v>124.54011363305608</v>
      </c>
      <c r="W28" s="324">
        <f>'Passenger-km_cluster_mdc'!X50</f>
        <v>141.57714569782325</v>
      </c>
      <c r="X28" s="324">
        <f>'NFreight-km_cluster_all'!X50</f>
        <v>38.792324380726704</v>
      </c>
      <c r="Y28" s="324">
        <f>'GFreight-km_cluster_lldc'!X50</f>
        <v>46.407750343144244</v>
      </c>
      <c r="Z28" s="324">
        <f>'GFreight-km_cluster_mdc'!X50</f>
        <v>106.77122042133675</v>
      </c>
      <c r="AA28" s="324">
        <f>'Air-km_cluster_all'!X50</f>
        <v>66.422960631137485</v>
      </c>
      <c r="AB28" s="324">
        <f>Plastics_cluster!Z218</f>
        <v>69.057750817936252</v>
      </c>
      <c r="AC28" s="323">
        <f>Paper_cluster!AU159</f>
        <v>3.0835758682569288</v>
      </c>
      <c r="AD28" s="323">
        <f>Paper_cluster!Z218</f>
        <v>25.208699814481342</v>
      </c>
      <c r="AE28" s="323">
        <f>Water_cluster!AU159</f>
        <v>8.4775127016928842</v>
      </c>
      <c r="AF28" s="323">
        <f>Water_cluster!Z218</f>
        <v>12.629565318504433</v>
      </c>
      <c r="AG28" s="323">
        <f>DemandFood_cluster!I85</f>
        <v>413.01802315608046</v>
      </c>
      <c r="AH28" s="323">
        <f>DemandFood_cluster!J85</f>
        <v>258.55711459909844</v>
      </c>
    </row>
    <row r="29" spans="1:34" x14ac:dyDescent="0.3">
      <c r="A29" s="404">
        <v>2039</v>
      </c>
      <c r="B29" s="405">
        <f t="shared" si="0"/>
        <v>2.7433487010963362</v>
      </c>
      <c r="C29" s="405">
        <f t="shared" si="1"/>
        <v>1.286323442375606</v>
      </c>
      <c r="D29" s="405">
        <f t="shared" si="2"/>
        <v>1.2647845915735123</v>
      </c>
      <c r="E29" s="405">
        <f t="shared" si="3"/>
        <v>0.19224066714721721</v>
      </c>
      <c r="G29" s="324">
        <f>Electricity_cluster!AS158</f>
        <v>343.72269039269042</v>
      </c>
      <c r="H29" s="324">
        <f>Electricity_cluster!X217</f>
        <v>564.68001459847551</v>
      </c>
      <c r="I29" s="324">
        <f>-(SpaceHeating_cluster_lldc!O51+SpaceCooling_cluster_lldc!O51+ComLight_cluster_lldc!O51+ReslLight_cluster_lldc!O51+WaterHeating_cluster_lldc!O51)</f>
        <v>-117.50120492413811</v>
      </c>
      <c r="J29" s="324">
        <f>-(SpaceHeating_cluster_mdc!O51+SpaceCooling_cluster_mdc!O51+ComLight_cluster_mdc!O51+ReslLight_cluster_mdc!O51+WaterHeating_cluster_mdc!O51)</f>
        <v>-139.40633291560809</v>
      </c>
      <c r="K29" s="324">
        <f>SpaceHeating_cluster!AU160</f>
        <v>68.971498018832193</v>
      </c>
      <c r="L29" s="324">
        <f>SpaceHeating_cluster!Z219</f>
        <v>89.653654229729767</v>
      </c>
      <c r="M29" s="324">
        <f>SpaceCooling_cluster!AU160</f>
        <v>51.761780575165247</v>
      </c>
      <c r="N29" s="324">
        <f>SpaceCooling_cluster!Z219</f>
        <v>61.258129621822171</v>
      </c>
      <c r="O29" s="324">
        <f>CleanCookstoves_cluster!AU160</f>
        <v>221.42908317960061</v>
      </c>
      <c r="P29" s="323">
        <f>ComLight_cluster!AU160</f>
        <v>38.425974924622359</v>
      </c>
      <c r="Q29" s="323">
        <f>ComLight_cluster!Z219</f>
        <v>37.443117636791996</v>
      </c>
      <c r="R29" s="323">
        <f>ResLight_cluster!AU160</f>
        <v>20.412473789452534</v>
      </c>
      <c r="S29" s="323">
        <f>ResLight_cluster!Z219</f>
        <v>30.036175766148737</v>
      </c>
      <c r="T29" s="323">
        <f>WaterHeating_cluster!AU160</f>
        <v>15.67249765444935</v>
      </c>
      <c r="U29" s="323">
        <f>WaterHeating_cluster!Z219</f>
        <v>37.548725953912758</v>
      </c>
      <c r="V29" s="324">
        <f>'Passenger-km_cluster_lldc'!X51</f>
        <v>137.95838309307032</v>
      </c>
      <c r="W29" s="324">
        <f>'Passenger-km_cluster_mdc'!X51</f>
        <v>152.85293403345119</v>
      </c>
      <c r="X29" s="324">
        <f>'NFreight-km_cluster_all'!X51</f>
        <v>43.031031212258235</v>
      </c>
      <c r="Y29" s="324">
        <f>'GFreight-km_cluster_lldc'!X51</f>
        <v>51.054700632310137</v>
      </c>
      <c r="Z29" s="324">
        <f>'GFreight-km_cluster_mdc'!X51</f>
        <v>115.74853455608195</v>
      </c>
      <c r="AA29" s="324">
        <f>'Air-km_cluster_all'!X51</f>
        <v>73.636753484550695</v>
      </c>
      <c r="AB29" s="324">
        <f>Plastics_cluster!Z219</f>
        <v>75.572882450408287</v>
      </c>
      <c r="AC29" s="323">
        <f>Paper_cluster!AU160</f>
        <v>3.3155793896650088</v>
      </c>
      <c r="AD29" s="323">
        <f>Paper_cluster!Z219</f>
        <v>27.525606238826938</v>
      </c>
      <c r="AE29" s="323">
        <f>Water_cluster!AU160</f>
        <v>9.2119795152365729</v>
      </c>
      <c r="AF29" s="323">
        <f>Water_cluster!Z219</f>
        <v>13.643952125500611</v>
      </c>
      <c r="AG29" s="323">
        <f>DemandFood_cluster!I86</f>
        <v>441.88800613464952</v>
      </c>
      <c r="AH29" s="323">
        <f>DemandFood_cluster!J86</f>
        <v>273.80007972837865</v>
      </c>
    </row>
    <row r="30" spans="1:34" x14ac:dyDescent="0.3">
      <c r="A30" s="404">
        <v>2040</v>
      </c>
      <c r="B30" s="405">
        <f t="shared" si="0"/>
        <v>2.9508377976741902</v>
      </c>
      <c r="C30" s="405">
        <f t="shared" si="1"/>
        <v>1.389152244116127</v>
      </c>
      <c r="D30" s="405">
        <f t="shared" si="2"/>
        <v>1.3503119239769377</v>
      </c>
      <c r="E30" s="405">
        <f t="shared" si="3"/>
        <v>0.21137362958112552</v>
      </c>
      <c r="G30" s="324">
        <f>Electricity_cluster!AS159</f>
        <v>372.838325877545</v>
      </c>
      <c r="H30" s="324">
        <f>Electricity_cluster!X218</f>
        <v>602.08469934176742</v>
      </c>
      <c r="I30" s="324">
        <f>-(SpaceHeating_cluster_lldc!O52+SpaceCooling_cluster_lldc!O52+ComLight_cluster_lldc!O52+ReslLight_cluster_lldc!O52+WaterHeating_cluster_lldc!O52)</f>
        <v>-128.259624690424</v>
      </c>
      <c r="J30" s="324">
        <f>-(SpaceHeating_cluster_mdc!O52+SpaceCooling_cluster_mdc!O52+ComLight_cluster_mdc!O52+ReslLight_cluster_mdc!O52+WaterHeating_cluster_mdc!O52)</f>
        <v>-148.93913808713609</v>
      </c>
      <c r="K30" s="324">
        <f>SpaceHeating_cluster!AU161</f>
        <v>75.008991302368429</v>
      </c>
      <c r="L30" s="324">
        <f>SpaceHeating_cluster!Z220</f>
        <v>96.006202279271264</v>
      </c>
      <c r="M30" s="324">
        <f>SpaceCooling_cluster!AU161</f>
        <v>56.468965414426734</v>
      </c>
      <c r="N30" s="324">
        <f>SpaceCooling_cluster!Z220</f>
        <v>65.416001603391621</v>
      </c>
      <c r="O30" s="324">
        <f>CleanCookstoves_cluster!AU161</f>
        <v>237.90039499022421</v>
      </c>
      <c r="P30" s="323">
        <f>ComLight_cluster!AU161</f>
        <v>42.532806513324488</v>
      </c>
      <c r="Q30" s="323">
        <f>ComLight_cluster!Z220</f>
        <v>40.314738221549085</v>
      </c>
      <c r="R30" s="323">
        <f>ResLight_cluster!AU161</f>
        <v>21.805199392829394</v>
      </c>
      <c r="S30" s="323">
        <f>ResLight_cluster!Z220</f>
        <v>31.882350140149473</v>
      </c>
      <c r="T30" s="323">
        <f>WaterHeating_cluster!AU161</f>
        <v>16.920658741155862</v>
      </c>
      <c r="U30" s="323">
        <f>WaterHeating_cluster!Z220</f>
        <v>39.825524366774914</v>
      </c>
      <c r="V30" s="324">
        <f>'Passenger-km_cluster_lldc'!X52</f>
        <v>152.09484114857045</v>
      </c>
      <c r="W30" s="324">
        <f>'Passenger-km_cluster_mdc'!X52</f>
        <v>164.31669879466062</v>
      </c>
      <c r="X30" s="324">
        <f>'NFreight-km_cluster_all'!X52</f>
        <v>47.597962768807527</v>
      </c>
      <c r="Y30" s="324">
        <f>'GFreight-km_cluster_lldc'!X52</f>
        <v>55.965281949826206</v>
      </c>
      <c r="Z30" s="324">
        <f>'GFreight-km_cluster_mdc'!X52</f>
        <v>125.21437590677418</v>
      </c>
      <c r="AA30" s="324">
        <f>'Air-km_cluster_all'!X52</f>
        <v>81.354179885980045</v>
      </c>
      <c r="AB30" s="324">
        <f>Plastics_cluster!Z220</f>
        <v>82.421486926337963</v>
      </c>
      <c r="AC30" s="323">
        <f>Paper_cluster!AU161</f>
        <v>3.5563549437402719</v>
      </c>
      <c r="AD30" s="323">
        <f>Paper_cluster!Z220</f>
        <v>29.954270323704911</v>
      </c>
      <c r="AE30" s="323">
        <f>Water_cluster!AU161</f>
        <v>9.9750568861621414</v>
      </c>
      <c r="AF30" s="323">
        <f>Water_cluster!Z220</f>
        <v>14.683078571312194</v>
      </c>
      <c r="AG30" s="323">
        <f>DemandFood_cluster!I87</f>
        <v>472.34499164637782</v>
      </c>
      <c r="AH30" s="323">
        <f>DemandFood_cluster!J87</f>
        <v>289.55312251471827</v>
      </c>
    </row>
    <row r="31" spans="1:34" x14ac:dyDescent="0.3">
      <c r="A31" s="404">
        <v>2041</v>
      </c>
      <c r="B31" s="405">
        <f t="shared" si="0"/>
        <v>3.1681797904561191</v>
      </c>
      <c r="C31" s="405">
        <f t="shared" si="1"/>
        <v>1.4975797896659753</v>
      </c>
      <c r="D31" s="405">
        <f t="shared" si="2"/>
        <v>1.4388480208764414</v>
      </c>
      <c r="E31" s="405">
        <f t="shared" si="3"/>
        <v>0.23175197991370333</v>
      </c>
      <c r="G31" s="324">
        <f>Electricity_cluster!AS160</f>
        <v>403.55074646258788</v>
      </c>
      <c r="H31" s="324">
        <f>Electricity_cluster!X219</f>
        <v>640.47405445421691</v>
      </c>
      <c r="I31" s="324">
        <f>-(SpaceHeating_cluster_lldc!O53+SpaceCooling_cluster_lldc!O53+ComLight_cluster_lldc!O53+ReslLight_cluster_lldc!O53+WaterHeating_cluster_lldc!O53)</f>
        <v>-139.75232356970898</v>
      </c>
      <c r="J31" s="324">
        <f>-(SpaceHeating_cluster_mdc!O53+SpaceCooling_cluster_mdc!O53+ComLight_cluster_mdc!O53+ReslLight_cluster_mdc!O53+WaterHeating_cluster_mdc!O53)</f>
        <v>-158.88549728773955</v>
      </c>
      <c r="K31" s="324">
        <f>SpaceHeating_cluster!AU162</f>
        <v>81.396589263332373</v>
      </c>
      <c r="L31" s="324">
        <f>SpaceHeating_cluster!Z221</f>
        <v>102.60972409857233</v>
      </c>
      <c r="M31" s="324">
        <f>SpaceCooling_cluster!AU162</f>
        <v>61.524010796472091</v>
      </c>
      <c r="N31" s="324">
        <f>SpaceCooling_cluster!Z221</f>
        <v>69.820963871776428</v>
      </c>
      <c r="O31" s="324">
        <f>CleanCookstoves_cluster!AU162</f>
        <v>254.49323187886745</v>
      </c>
      <c r="P31" s="323">
        <f>ComLight_cluster!AU162</f>
        <v>46.948737211474921</v>
      </c>
      <c r="Q31" s="323">
        <f>ComLight_cluster!Z221</f>
        <v>43.293833460648379</v>
      </c>
      <c r="R31" s="323">
        <f>ResLight_cluster!AU162</f>
        <v>23.244172477753448</v>
      </c>
      <c r="S31" s="323">
        <f>ResLight_cluster!Z221</f>
        <v>33.765770301474149</v>
      </c>
      <c r="T31" s="323">
        <f>WaterHeating_cluster!AU162</f>
        <v>18.21665028883649</v>
      </c>
      <c r="U31" s="323">
        <f>WaterHeating_cluster!Z221</f>
        <v>42.116843527957798</v>
      </c>
      <c r="V31" s="324">
        <f>'Passenger-km_cluster_lldc'!X53</f>
        <v>167.54931026690858</v>
      </c>
      <c r="W31" s="324">
        <f>'Passenger-km_cluster_mdc'!X53</f>
        <v>176.46884096176092</v>
      </c>
      <c r="X31" s="324">
        <f>'NFreight-km_cluster_all'!X53</f>
        <v>52.520673601141304</v>
      </c>
      <c r="Y31" s="324">
        <f>'GFreight-km_cluster_lldc'!X53</f>
        <v>61.319306180286468</v>
      </c>
      <c r="Z31" s="324">
        <f>'GFreight-km_cluster_mdc'!X53</f>
        <v>135.06112098034978</v>
      </c>
      <c r="AA31" s="324">
        <f>'Air-km_cluster_all'!X53</f>
        <v>89.609535306945631</v>
      </c>
      <c r="AB31" s="324">
        <f>Plastics_cluster!Z221</f>
        <v>89.621771005616424</v>
      </c>
      <c r="AC31" s="323">
        <f>Paper_cluster!AU162</f>
        <v>3.8072362304196865</v>
      </c>
      <c r="AD31" s="323">
        <f>Paper_cluster!Z221</f>
        <v>32.50057474197709</v>
      </c>
      <c r="AE31" s="323">
        <f>Water_cluster!AU162</f>
        <v>10.780875037977033</v>
      </c>
      <c r="AF31" s="323">
        <f>Water_cluster!Z221</f>
        <v>15.766087070654034</v>
      </c>
      <c r="AG31" s="323">
        <f>DemandFood_cluster!I88</f>
        <v>504.50124714076782</v>
      </c>
      <c r="AH31" s="323">
        <f>DemandFood_cluster!J88</f>
        <v>305.85570469479273</v>
      </c>
    </row>
    <row r="32" spans="1:34" x14ac:dyDescent="0.3">
      <c r="A32" s="404">
        <v>2042</v>
      </c>
      <c r="B32" s="405">
        <f t="shared" si="0"/>
        <v>3.393625018397239</v>
      </c>
      <c r="C32" s="405">
        <f t="shared" si="1"/>
        <v>1.6109234692792425</v>
      </c>
      <c r="D32" s="405">
        <f t="shared" si="2"/>
        <v>1.5292609290657875</v>
      </c>
      <c r="E32" s="405">
        <f t="shared" si="3"/>
        <v>0.25344062005220769</v>
      </c>
      <c r="G32" s="324">
        <f>Electricity_cluster!AS161</f>
        <v>435.46564614378622</v>
      </c>
      <c r="H32" s="324">
        <f>Electricity_cluster!X220</f>
        <v>679.08710557283803</v>
      </c>
      <c r="I32" s="324">
        <f>-(SpaceHeating_cluster_lldc!O54+SpaceCooling_cluster_lldc!O54+ComLight_cluster_lldc!O54+ReslLight_cluster_lldc!O54+WaterHeating_cluster_lldc!O54)</f>
        <v>-151.76926687716991</v>
      </c>
      <c r="J32" s="324">
        <f>-(SpaceHeating_cluster_mdc!O54+SpaceCooling_cluster_mdc!O54+ComLight_cluster_mdc!O54+ReslLight_cluster_mdc!O54+WaterHeating_cluster_mdc!O54)</f>
        <v>-168.86156519409451</v>
      </c>
      <c r="K32" s="324">
        <f>SpaceHeating_cluster!AU163</f>
        <v>88.084177965141251</v>
      </c>
      <c r="L32" s="324">
        <f>SpaceHeating_cluster!Z222</f>
        <v>109.30434702263631</v>
      </c>
      <c r="M32" s="324">
        <f>SpaceCooling_cluster!AU163</f>
        <v>66.795017749368455</v>
      </c>
      <c r="N32" s="324">
        <f>SpaceCooling_cluster!Z222</f>
        <v>74.208644945663409</v>
      </c>
      <c r="O32" s="324">
        <f>CleanCookstoves_cluster!AU163</f>
        <v>271.52795885558237</v>
      </c>
      <c r="P32" s="323">
        <f>ComLight_cluster!AU163</f>
        <v>51.634187833798165</v>
      </c>
      <c r="Q32" s="323">
        <f>ComLight_cluster!Z222</f>
        <v>46.32734820211077</v>
      </c>
      <c r="R32" s="323">
        <f>ResLight_cluster!AU163</f>
        <v>24.703510938131259</v>
      </c>
      <c r="S32" s="323">
        <f>ResLight_cluster!Z222</f>
        <v>35.645828473739954</v>
      </c>
      <c r="T32" s="323">
        <f>WaterHeating_cluster!AU163</f>
        <v>19.560175382878597</v>
      </c>
      <c r="U32" s="323">
        <f>WaterHeating_cluster!Z222</f>
        <v>44.415950195842285</v>
      </c>
      <c r="V32" s="324">
        <f>'Passenger-km_cluster_lldc'!X54</f>
        <v>183.80690019550593</v>
      </c>
      <c r="W32" s="324">
        <f>'Passenger-km_cluster_mdc'!X54</f>
        <v>188.85980050429541</v>
      </c>
      <c r="X32" s="324">
        <f>'NFreight-km_cluster_all'!X54</f>
        <v>57.824036810582236</v>
      </c>
      <c r="Y32" s="324">
        <f>'GFreight-km_cluster_lldc'!X54</f>
        <v>66.985053211290492</v>
      </c>
      <c r="Z32" s="324">
        <f>'GFreight-km_cluster_mdc'!X54</f>
        <v>145.48090735964647</v>
      </c>
      <c r="AA32" s="324">
        <f>'Air-km_cluster_all'!X54</f>
        <v>98.431519619668833</v>
      </c>
      <c r="AB32" s="324">
        <f>Plastics_cluster!Z222</f>
        <v>97.185063621956616</v>
      </c>
      <c r="AC32" s="323">
        <f>Paper_cluster!AU163</f>
        <v>4.0696282521482194</v>
      </c>
      <c r="AD32" s="323">
        <f>Paper_cluster!Z222</f>
        <v>35.167556576617564</v>
      </c>
      <c r="AE32" s="323">
        <f>Water_cluster!AU163</f>
        <v>11.618930222418768</v>
      </c>
      <c r="AF32" s="323">
        <f>Water_cluster!Z222</f>
        <v>16.875115543278142</v>
      </c>
      <c r="AG32" s="323">
        <f>DemandFood_cluster!I89</f>
        <v>538.44154940636258</v>
      </c>
      <c r="AH32" s="323">
        <f>DemandFood_cluster!J89</f>
        <v>322.74988986321392</v>
      </c>
    </row>
    <row r="33" spans="1:34" x14ac:dyDescent="0.3">
      <c r="A33" s="404">
        <v>2043</v>
      </c>
      <c r="B33" s="405">
        <f t="shared" si="0"/>
        <v>3.6289838972519988</v>
      </c>
      <c r="C33" s="405">
        <f t="shared" si="1"/>
        <v>1.730105242205239</v>
      </c>
      <c r="D33" s="405">
        <f t="shared" si="2"/>
        <v>1.6223097282667107</v>
      </c>
      <c r="E33" s="405">
        <f t="shared" si="3"/>
        <v>0.27656892678004941</v>
      </c>
      <c r="G33" s="324">
        <f>Electricity_cluster!AS162</f>
        <v>468.91280365468083</v>
      </c>
      <c r="H33" s="324">
        <f>Electricity_cluster!X221</f>
        <v>718.26993075088751</v>
      </c>
      <c r="I33" s="324">
        <f>-(SpaceHeating_cluster_lldc!O55+SpaceCooling_cluster_lldc!O55+ComLight_cluster_lldc!O55+ReslLight_cluster_lldc!O55+WaterHeating_cluster_lldc!O55)</f>
        <v>-164.45212395151921</v>
      </c>
      <c r="J33" s="324">
        <f>-(SpaceHeating_cluster_mdc!O55+SpaceCooling_cluster_mdc!O55+ComLight_cluster_mdc!O55+ReslLight_cluster_mdc!O55+WaterHeating_cluster_mdc!O55)</f>
        <v>-179.01248640381351</v>
      </c>
      <c r="K33" s="324">
        <f>SpaceHeating_cluster!AU164</f>
        <v>95.132997220608502</v>
      </c>
      <c r="L33" s="324">
        <f>SpaceHeating_cluster!Z223</f>
        <v>116.16140339861576</v>
      </c>
      <c r="M33" s="324">
        <f>SpaceCooling_cluster!AU164</f>
        <v>72.357259622575697</v>
      </c>
      <c r="N33" s="324">
        <f>SpaceCooling_cluster!Z223</f>
        <v>78.675337464597249</v>
      </c>
      <c r="O33" s="324">
        <f>CleanCookstoves_cluster!AU164</f>
        <v>289.07362668482693</v>
      </c>
      <c r="P33" s="323">
        <f>ComLight_cluster!AU164</f>
        <v>56.632005445610517</v>
      </c>
      <c r="Q33" s="323">
        <f>ComLight_cluster!Z223</f>
        <v>49.43610238449822</v>
      </c>
      <c r="R33" s="323">
        <f>ResLight_cluster!AU164</f>
        <v>26.199120577278073</v>
      </c>
      <c r="S33" s="323">
        <f>ResLight_cluster!Z223</f>
        <v>37.540401463036808</v>
      </c>
      <c r="T33" s="323">
        <f>WaterHeating_cluster!AU164</f>
        <v>20.959416678184638</v>
      </c>
      <c r="U33" s="323">
        <f>WaterHeating_cluster!Z223</f>
        <v>46.731769013989833</v>
      </c>
      <c r="V33" s="324">
        <f>'Passenger-km_cluster_lldc'!X55</f>
        <v>201.12740077683316</v>
      </c>
      <c r="W33" s="324">
        <f>'Passenger-km_cluster_mdc'!X55</f>
        <v>201.71785426134861</v>
      </c>
      <c r="X33" s="324">
        <f>'NFreight-km_cluster_all'!X55</f>
        <v>63.548435101052</v>
      </c>
      <c r="Y33" s="324">
        <f>'GFreight-km_cluster_lldc'!X55</f>
        <v>73.050784365626356</v>
      </c>
      <c r="Z33" s="324">
        <f>'GFreight-km_cluster_mdc'!X55</f>
        <v>156.5011277338831</v>
      </c>
      <c r="AA33" s="324">
        <f>'Air-km_cluster_all'!X55</f>
        <v>107.87414451102391</v>
      </c>
      <c r="AB33" s="324">
        <f>Plastics_cluster!Z223</f>
        <v>105.14634716797354</v>
      </c>
      <c r="AC33" s="323">
        <f>Paper_cluster!AU164</f>
        <v>4.3464869967218096</v>
      </c>
      <c r="AD33" s="323">
        <f>Paper_cluster!Z223</f>
        <v>37.96626609432353</v>
      </c>
      <c r="AE33" s="323">
        <f>Water_cluster!AU164</f>
        <v>12.498088937485491</v>
      </c>
      <c r="AF33" s="323">
        <f>Water_cluster!Z223</f>
        <v>18.01927779099351</v>
      </c>
      <c r="AG33" s="323">
        <f>DemandFood_cluster!I90</f>
        <v>574.26737519632582</v>
      </c>
      <c r="AH33" s="323">
        <f>DemandFood_cluster!J90</f>
        <v>340.30274431435004</v>
      </c>
    </row>
    <row r="34" spans="1:34" x14ac:dyDescent="0.3">
      <c r="A34" s="404">
        <v>2044</v>
      </c>
      <c r="B34" s="405">
        <f t="shared" si="0"/>
        <v>3.8753921232975435</v>
      </c>
      <c r="C34" s="405">
        <f t="shared" si="1"/>
        <v>1.855697162352526</v>
      </c>
      <c r="D34" s="405">
        <f t="shared" si="2"/>
        <v>1.7184094838344091</v>
      </c>
      <c r="E34" s="405">
        <f t="shared" si="3"/>
        <v>0.3012854771106086</v>
      </c>
      <c r="G34" s="324">
        <f>Electricity_cluster!AS163</f>
        <v>504.105391875593</v>
      </c>
      <c r="H34" s="324">
        <f>Electricity_cluster!X222</f>
        <v>758.14459521771744</v>
      </c>
      <c r="I34" s="324">
        <f>-(SpaceHeating_cluster_lldc!O56+SpaceCooling_cluster_lldc!O56+ComLight_cluster_lldc!O56+ReslLight_cluster_lldc!O56+WaterHeating_cluster_lldc!O56)</f>
        <v>-177.87609284260236</v>
      </c>
      <c r="J34" s="324">
        <f>-(SpaceHeating_cluster_mdc!O56+SpaceCooling_cluster_mdc!O56+ComLight_cluster_mdc!O56+ReslLight_cluster_mdc!O56+WaterHeating_cluster_mdc!O56)</f>
        <v>-189.36368677333098</v>
      </c>
      <c r="K34" s="324">
        <f>SpaceHeating_cluster!AU165</f>
        <v>102.5890055488205</v>
      </c>
      <c r="L34" s="324">
        <f>SpaceHeating_cluster!Z224</f>
        <v>123.20277900209625</v>
      </c>
      <c r="M34" s="324">
        <f>SpaceCooling_cluster!AU165</f>
        <v>78.243584596932379</v>
      </c>
      <c r="N34" s="324">
        <f>SpaceCooling_cluster!Z224</f>
        <v>83.232717598291586</v>
      </c>
      <c r="O34" s="324">
        <f>CleanCookstoves_cluster!AU165</f>
        <v>307.20923716324756</v>
      </c>
      <c r="P34" s="323">
        <f>ComLight_cluster!AU165</f>
        <v>61.972478211955398</v>
      </c>
      <c r="Q34" s="323">
        <f>ComLight_cluster!Z224</f>
        <v>52.625862285928122</v>
      </c>
      <c r="R34" s="323">
        <f>ResLight_cluster!AU165</f>
        <v>27.7393561325908</v>
      </c>
      <c r="S34" s="323">
        <f>ResLight_cluster!Z224</f>
        <v>39.455391182744819</v>
      </c>
      <c r="T34" s="323">
        <f>WaterHeating_cluster!AU165</f>
        <v>22.423232470536313</v>
      </c>
      <c r="U34" s="323">
        <f>WaterHeating_cluster!Z224</f>
        <v>49.072452732446649</v>
      </c>
      <c r="V34" s="324">
        <f>'Passenger-km_cluster_lldc'!X56</f>
        <v>219.59669090572521</v>
      </c>
      <c r="W34" s="324">
        <f>'Passenger-km_cluster_mdc'!X56</f>
        <v>215.12806407705378</v>
      </c>
      <c r="X34" s="324">
        <f>'NFreight-km_cluster_all'!X56</f>
        <v>69.739828565929045</v>
      </c>
      <c r="Y34" s="324">
        <f>'GFreight-km_cluster_lldc'!X56</f>
        <v>79.557437815976883</v>
      </c>
      <c r="Z34" s="324">
        <f>'GFreight-km_cluster_mdc'!X56</f>
        <v>168.21219517997469</v>
      </c>
      <c r="AA34" s="324">
        <f>'Air-km_cluster_all'!X56</f>
        <v>117.99950498363143</v>
      </c>
      <c r="AB34" s="324">
        <f>Plastics_cluster!Z224</f>
        <v>113.54614356104815</v>
      </c>
      <c r="AC34" s="323">
        <f>Paper_cluster!AU165</f>
        <v>4.6412549178978981</v>
      </c>
      <c r="AD34" s="323">
        <f>Paper_cluster!Z224</f>
        <v>40.909418440846785</v>
      </c>
      <c r="AE34" s="323">
        <f>Water_cluster!AU165</f>
        <v>13.424120974470135</v>
      </c>
      <c r="AF34" s="323">
        <f>Water_cluster!Z224</f>
        <v>19.202267260294839</v>
      </c>
      <c r="AG34" s="323">
        <f>DemandFood_cluster!I91</f>
        <v>612.07146458138232</v>
      </c>
      <c r="AH34" s="323">
        <f>DemandFood_cluster!J91</f>
        <v>358.58742763034473</v>
      </c>
    </row>
    <row r="35" spans="1:34" x14ac:dyDescent="0.3">
      <c r="A35" s="404">
        <v>2045</v>
      </c>
      <c r="B35" s="405">
        <f t="shared" si="0"/>
        <v>4.134208587601842</v>
      </c>
      <c r="C35" s="405">
        <f t="shared" si="1"/>
        <v>1.9884447363651985</v>
      </c>
      <c r="D35" s="405">
        <f t="shared" si="2"/>
        <v>1.8180234377570985</v>
      </c>
      <c r="E35" s="405">
        <f t="shared" si="3"/>
        <v>0.32774041347954402</v>
      </c>
      <c r="G35" s="324">
        <f>Electricity_cluster!AS164</f>
        <v>541.12475665685804</v>
      </c>
      <c r="H35" s="324">
        <f>Electricity_cluster!X223</f>
        <v>798.6562878441772</v>
      </c>
      <c r="I35" s="324">
        <f>-(SpaceHeating_cluster_lldc!O57+SpaceCooling_cluster_lldc!O57+ComLight_cluster_lldc!O57+ReslLight_cluster_lldc!O57+WaterHeating_cluster_lldc!O57)</f>
        <v>-192.07109574699342</v>
      </c>
      <c r="J35" s="324">
        <f>-(SpaceHeating_cluster_mdc!O57+SpaceCooling_cluster_mdc!O57+ComLight_cluster_mdc!O57+ReslLight_cluster_mdc!O57+WaterHeating_cluster_mdc!O57)</f>
        <v>-199.89622086144374</v>
      </c>
      <c r="K35" s="324">
        <f>SpaceHeating_cluster!AU166</f>
        <v>110.49310984156403</v>
      </c>
      <c r="L35" s="324">
        <f>SpaceHeating_cluster!Z225</f>
        <v>130.44675271186105</v>
      </c>
      <c r="M35" s="324">
        <f>SpaceCooling_cluster!AU166</f>
        <v>84.466852298016391</v>
      </c>
      <c r="N35" s="324">
        <f>SpaceCooling_cluster!Z225</f>
        <v>87.873042455757428</v>
      </c>
      <c r="O35" s="324">
        <f>CleanCookstoves_cluster!AU166</f>
        <v>326.00365657642885</v>
      </c>
      <c r="P35" s="323">
        <f>ComLight_cluster!AU166</f>
        <v>67.671042988691767</v>
      </c>
      <c r="Q35" s="323">
        <f>ComLight_cluster!Z225</f>
        <v>55.890051282728599</v>
      </c>
      <c r="R35" s="323">
        <f>ResLight_cluster!AU166</f>
        <v>29.324798376257306</v>
      </c>
      <c r="S35" s="323">
        <f>ResLight_cluster!Z225</f>
        <v>41.387421971436737</v>
      </c>
      <c r="T35" s="323">
        <f>WaterHeating_cluster!AU166</f>
        <v>23.958770190597903</v>
      </c>
      <c r="U35" s="323">
        <f>WaterHeating_cluster!Z225</f>
        <v>51.443959688795054</v>
      </c>
      <c r="V35" s="324">
        <f>'Passenger-km_cluster_lldc'!X57</f>
        <v>239.63214557002976</v>
      </c>
      <c r="W35" s="324">
        <f>'Passenger-km_cluster_mdc'!X57</f>
        <v>229.42226926997941</v>
      </c>
      <c r="X35" s="324">
        <f>'NFreight-km_cluster_all'!X57</f>
        <v>76.445858306943009</v>
      </c>
      <c r="Y35" s="324">
        <f>'GFreight-km_cluster_lldc'!X57</f>
        <v>86.547785056670804</v>
      </c>
      <c r="Z35" s="324">
        <f>'GFreight-km_cluster_mdc'!X57</f>
        <v>180.70391301988991</v>
      </c>
      <c r="AA35" s="324">
        <f>'Air-km_cluster_all'!X57</f>
        <v>128.8709471446422</v>
      </c>
      <c r="AB35" s="324">
        <f>Plastics_cluster!Z225</f>
        <v>122.42360802795882</v>
      </c>
      <c r="AC35" s="323">
        <f>Paper_cluster!AU166</f>
        <v>4.9570772037627755</v>
      </c>
      <c r="AD35" s="323">
        <f>Paper_cluster!Z225</f>
        <v>44.009399447290058</v>
      </c>
      <c r="AE35" s="323">
        <f>Water_cluster!AU166</f>
        <v>14.399281335747581</v>
      </c>
      <c r="AF35" s="323">
        <f>Water_cluster!Z225</f>
        <v>20.423367589764847</v>
      </c>
      <c r="AG35" s="323">
        <f>DemandFood_cluster!I92</f>
        <v>651.93655601756666</v>
      </c>
      <c r="AH35" s="323">
        <f>DemandFood_cluster!J92</f>
        <v>377.66319333686187</v>
      </c>
    </row>
    <row r="36" spans="1:34" x14ac:dyDescent="0.3">
      <c r="A36" s="404">
        <v>2046</v>
      </c>
      <c r="B36" s="405">
        <f t="shared" si="0"/>
        <v>4.4053277121166081</v>
      </c>
      <c r="C36" s="405">
        <f t="shared" si="1"/>
        <v>2.1281003550894142</v>
      </c>
      <c r="D36" s="405">
        <f t="shared" si="2"/>
        <v>1.9211627090799448</v>
      </c>
      <c r="E36" s="405">
        <f t="shared" si="3"/>
        <v>0.35606464794725035</v>
      </c>
      <c r="G36" s="324">
        <f>Electricity_cluster!AS165</f>
        <v>580.42823505527656</v>
      </c>
      <c r="H36" s="324">
        <f>Electricity_cluster!X224</f>
        <v>840.36075539767262</v>
      </c>
      <c r="I36" s="324">
        <f>-(SpaceHeating_cluster_lldc!O58+SpaceCooling_cluster_lldc!O58+ComLight_cluster_lldc!O58+ReslLight_cluster_lldc!O58+WaterHeating_cluster_lldc!O58)</f>
        <v>-207.20259598689222</v>
      </c>
      <c r="J36" s="324">
        <f>-(SpaceHeating_cluster_mdc!O58+SpaceCooling_cluster_mdc!O58+ComLight_cluster_mdc!O58+ReslLight_cluster_mdc!O58+WaterHeating_cluster_mdc!O58)</f>
        <v>-210.7444695769826</v>
      </c>
      <c r="K36" s="324">
        <f>SpaceHeating_cluster!AU167</f>
        <v>118.88024544058632</v>
      </c>
      <c r="L36" s="324">
        <f>SpaceHeating_cluster!Z226</f>
        <v>137.91290892837833</v>
      </c>
      <c r="M36" s="324">
        <f>SpaceCooling_cluster!AU167</f>
        <v>91.099447263953209</v>
      </c>
      <c r="N36" s="324">
        <f>SpaceCooling_cluster!Z226</f>
        <v>92.656099796319964</v>
      </c>
      <c r="O36" s="324">
        <f>CleanCookstoves_cluster!AU167</f>
        <v>345.49489287616592</v>
      </c>
      <c r="P36" s="323">
        <f>ComLight_cluster!AU167</f>
        <v>73.791909337136076</v>
      </c>
      <c r="Q36" s="323">
        <f>ComLight_cluster!Z226</f>
        <v>59.265158452762023</v>
      </c>
      <c r="R36" s="323">
        <f>ResLight_cluster!AU167</f>
        <v>30.975947712176787</v>
      </c>
      <c r="S36" s="323">
        <f>ResLight_cluster!Z226</f>
        <v>43.364627560096167</v>
      </c>
      <c r="T36" s="323">
        <f>WaterHeating_cluster!AU167</f>
        <v>25.571618855477446</v>
      </c>
      <c r="U36" s="323">
        <f>WaterHeating_cluster!Z226</f>
        <v>53.852883742954589</v>
      </c>
      <c r="V36" s="324">
        <f>'Passenger-km_cluster_lldc'!X58</f>
        <v>260.31804226879393</v>
      </c>
      <c r="W36" s="324">
        <f>'Passenger-km_cluster_mdc'!X58</f>
        <v>243.90725515562303</v>
      </c>
      <c r="X36" s="324">
        <f>'NFreight-km_cluster_all'!X58</f>
        <v>83.711023340595091</v>
      </c>
      <c r="Y36" s="324">
        <f>'GFreight-km_cluster_lldc'!X58</f>
        <v>94.063537252039794</v>
      </c>
      <c r="Z36" s="324">
        <f>'GFreight-km_cluster_mdc'!X58</f>
        <v>194.05214842694846</v>
      </c>
      <c r="AA36" s="324">
        <f>'Air-km_cluster_all'!X58</f>
        <v>140.54481824717348</v>
      </c>
      <c r="AB36" s="324">
        <f>Plastics_cluster!Z226</f>
        <v>131.80880635948182</v>
      </c>
      <c r="AC36" s="323">
        <f>Paper_cluster!AU167</f>
        <v>5.2958523119201431</v>
      </c>
      <c r="AD36" s="323">
        <f>Paper_cluster!Z226</f>
        <v>47.276162794705371</v>
      </c>
      <c r="AE36" s="323">
        <f>Water_cluster!AU167</f>
        <v>15.435846259250923</v>
      </c>
      <c r="AF36" s="323">
        <f>Water_cluster!Z226</f>
        <v>21.697544326926469</v>
      </c>
      <c r="AG36" s="323">
        <f>DemandFood_cluster!I93</f>
        <v>693.94737644352915</v>
      </c>
      <c r="AH36" s="323">
        <f>DemandFood_cluster!J93</f>
        <v>397.56163407454039</v>
      </c>
    </row>
    <row r="37" spans="1:34" x14ac:dyDescent="0.3">
      <c r="A37" s="404">
        <v>2047</v>
      </c>
      <c r="B37" s="405">
        <f t="shared" si="0"/>
        <v>4.6903630346506615</v>
      </c>
      <c r="C37" s="405">
        <f t="shared" si="1"/>
        <v>2.2756667288750094</v>
      </c>
      <c r="D37" s="405">
        <f t="shared" si="2"/>
        <v>2.028306539883673</v>
      </c>
      <c r="E37" s="405">
        <f t="shared" si="3"/>
        <v>0.38638976589197932</v>
      </c>
      <c r="G37" s="324">
        <f>Electricity_cluster!AS166</f>
        <v>621.79036771904396</v>
      </c>
      <c r="H37" s="324">
        <f>Electricity_cluster!X225</f>
        <v>882.81979372010994</v>
      </c>
      <c r="I37" s="324">
        <f>-(SpaceHeating_cluster_lldc!O59+SpaceCooling_cluster_lldc!O59+ComLight_cluster_lldc!O59+ReslLight_cluster_lldc!O59+WaterHeating_cluster_lldc!O59)</f>
        <v>-223.19480181103421</v>
      </c>
      <c r="J37" s="324">
        <f>-(SpaceHeating_cluster_mdc!O59+SpaceCooling_cluster_mdc!O59+ComLight_cluster_mdc!O59+ReslLight_cluster_mdc!O59+WaterHeating_cluster_mdc!O59)</f>
        <v>-221.79295710877389</v>
      </c>
      <c r="K37" s="324">
        <f>SpaceHeating_cluster!AU168</f>
        <v>127.77276222164747</v>
      </c>
      <c r="L37" s="324">
        <f>SpaceHeating_cluster!Z227</f>
        <v>145.60717817508834</v>
      </c>
      <c r="M37" s="324">
        <f>SpaceCooling_cluster!AU168</f>
        <v>98.10758944197201</v>
      </c>
      <c r="N37" s="324">
        <f>SpaceCooling_cluster!Z227</f>
        <v>97.531936704460861</v>
      </c>
      <c r="O37" s="324">
        <f>CleanCookstoves_cluster!AU168</f>
        <v>365.71378301401273</v>
      </c>
      <c r="P37" s="323">
        <f>ComLight_cluster!AU168</f>
        <v>80.314967626071635</v>
      </c>
      <c r="Q37" s="323">
        <f>ComLight_cluster!Z227</f>
        <v>62.717578626555365</v>
      </c>
      <c r="R37" s="323">
        <f>ResLight_cluster!AU168</f>
        <v>32.675959907102168</v>
      </c>
      <c r="S37" s="323">
        <f>ResLight_cluster!Z227</f>
        <v>45.363531300101862</v>
      </c>
      <c r="T37" s="323">
        <f>WaterHeating_cluster!AU168</f>
        <v>27.263573540284703</v>
      </c>
      <c r="U37" s="323">
        <f>WaterHeating_cluster!Z227</f>
        <v>56.29902230179691</v>
      </c>
      <c r="V37" s="324">
        <f>'Passenger-km_cluster_lldc'!X59</f>
        <v>282.72022391667963</v>
      </c>
      <c r="W37" s="324">
        <f>'Passenger-km_cluster_mdc'!X59</f>
        <v>259.39424650835736</v>
      </c>
      <c r="X37" s="324">
        <f>'NFreight-km_cluster_all'!X59</f>
        <v>91.581256335544182</v>
      </c>
      <c r="Y37" s="324">
        <f>'GFreight-km_cluster_lldc'!X59</f>
        <v>102.14743733034155</v>
      </c>
      <c r="Z37" s="324">
        <f>'GFreight-km_cluster_mdc'!X59</f>
        <v>208.33388789104399</v>
      </c>
      <c r="AA37" s="324">
        <f>'Air-km_cluster_all'!X59</f>
        <v>153.07816209066328</v>
      </c>
      <c r="AB37" s="324">
        <f>Plastics_cluster!Z227</f>
        <v>141.73034746577184</v>
      </c>
      <c r="AC37" s="323">
        <f>Paper_cluster!AU168</f>
        <v>5.6595640735701593</v>
      </c>
      <c r="AD37" s="323">
        <f>Paper_cluster!Z227</f>
        <v>50.719000968774679</v>
      </c>
      <c r="AE37" s="323">
        <f>Water_cluster!AU168</f>
        <v>16.527808445905958</v>
      </c>
      <c r="AF37" s="323">
        <f>Water_cluster!Z227</f>
        <v>23.014465662773649</v>
      </c>
      <c r="AG37" s="323">
        <f>DemandFood_cluster!I94</f>
        <v>738.16749344941184</v>
      </c>
      <c r="AH37" s="323">
        <f>DemandFood_cluster!J94</f>
        <v>418.29885513338422</v>
      </c>
    </row>
    <row r="38" spans="1:34" x14ac:dyDescent="0.3">
      <c r="A38" s="404">
        <v>2048</v>
      </c>
      <c r="B38" s="405">
        <f t="shared" si="0"/>
        <v>4.9899177328834625</v>
      </c>
      <c r="C38" s="405">
        <f t="shared" si="1"/>
        <v>2.4313430747281286</v>
      </c>
      <c r="D38" s="405">
        <f t="shared" si="2"/>
        <v>2.1396986988398683</v>
      </c>
      <c r="E38" s="405">
        <f t="shared" si="3"/>
        <v>0.41887595931546523</v>
      </c>
      <c r="G38" s="324">
        <f>Electricity_cluster!AS167</f>
        <v>665.48199723383743</v>
      </c>
      <c r="H38" s="324">
        <f>Electricity_cluster!X226</f>
        <v>926.28280604149779</v>
      </c>
      <c r="I38" s="324">
        <f>-(SpaceHeating_cluster_lldc!O60+SpaceCooling_cluster_lldc!O60+ComLight_cluster_lldc!O60+ReslLight_cluster_lldc!O60+WaterHeating_cluster_lldc!O60)</f>
        <v>-240.14769633274722</v>
      </c>
      <c r="J38" s="324">
        <f>-(SpaceHeating_cluster_mdc!O60+SpaceCooling_cluster_mdc!O60+ComLight_cluster_mdc!O60+ReslLight_cluster_mdc!O60+WaterHeating_cluster_mdc!O60)</f>
        <v>-233.09633893492202</v>
      </c>
      <c r="K38" s="324">
        <f>SpaceHeating_cluster!AU169</f>
        <v>137.21065649032016</v>
      </c>
      <c r="L38" s="324">
        <f>SpaceHeating_cluster!Z228</f>
        <v>153.5483099892445</v>
      </c>
      <c r="M38" s="324">
        <f>SpaceCooling_cluster!AU169</f>
        <v>105.53473789612342</v>
      </c>
      <c r="N38" s="324">
        <f>SpaceCooling_cluster!Z228</f>
        <v>102.52543316102212</v>
      </c>
      <c r="O38" s="324">
        <f>CleanCookstoves_cluster!AU169</f>
        <v>386.71164545474289</v>
      </c>
      <c r="P38" s="323">
        <f>ComLight_cluster!AU169</f>
        <v>87.282612724339273</v>
      </c>
      <c r="Q38" s="323">
        <f>ComLight_cluster!Z228</f>
        <v>66.260827191079073</v>
      </c>
      <c r="R38" s="323">
        <f>ResLight_cluster!AU169</f>
        <v>34.434375009765354</v>
      </c>
      <c r="S38" s="323">
        <f>ResLight_cluster!Z228</f>
        <v>47.396210728435527</v>
      </c>
      <c r="T38" s="323">
        <f>WaterHeating_cluster!AU169</f>
        <v>29.0405369534909</v>
      </c>
      <c r="U38" s="323">
        <f>WaterHeating_cluster!Z228</f>
        <v>58.788353189611044</v>
      </c>
      <c r="V38" s="324">
        <f>'Passenger-km_cluster_lldc'!X60</f>
        <v>306.58974301396353</v>
      </c>
      <c r="W38" s="324">
        <f>'Passenger-km_cluster_mdc'!X60</f>
        <v>275.71935364067684</v>
      </c>
      <c r="X38" s="324">
        <f>'NFreight-km_cluster_all'!X60</f>
        <v>100.11062705776865</v>
      </c>
      <c r="Y38" s="324">
        <f>'GFreight-km_cluster_lldc'!X60</f>
        <v>110.84572799731038</v>
      </c>
      <c r="Z38" s="324">
        <f>'GFreight-km_cluster_mdc'!X60</f>
        <v>223.64749695101611</v>
      </c>
      <c r="AA38" s="324">
        <f>'Air-km_cluster_all'!X60</f>
        <v>166.5397930109169</v>
      </c>
      <c r="AB38" s="324">
        <f>Plastics_cluster!Z228</f>
        <v>152.22553924677973</v>
      </c>
      <c r="AC38" s="323">
        <f>Paper_cluster!AU169</f>
        <v>6.0516572533220128</v>
      </c>
      <c r="AD38" s="323">
        <f>Paper_cluster!Z228</f>
        <v>54.349219020192095</v>
      </c>
      <c r="AE38" s="323">
        <f>Water_cluster!AU169</f>
        <v>17.682241277421742</v>
      </c>
      <c r="AF38" s="323">
        <f>Water_cluster!Z228</f>
        <v>24.381512565620401</v>
      </c>
      <c r="AG38" s="323">
        <f>DemandFood_cluster!I95</f>
        <v>784.62483975623888</v>
      </c>
      <c r="AH38" s="323">
        <f>DemandFood_cluster!J95</f>
        <v>439.89551529639482</v>
      </c>
    </row>
    <row r="39" spans="1:34" x14ac:dyDescent="0.3">
      <c r="A39" s="404">
        <v>2049</v>
      </c>
      <c r="B39" s="405">
        <f t="shared" si="0"/>
        <v>5.3064930257346061</v>
      </c>
      <c r="C39" s="405">
        <f t="shared" si="1"/>
        <v>2.5962049854150231</v>
      </c>
      <c r="D39" s="405">
        <f t="shared" si="2"/>
        <v>2.2565932305576495</v>
      </c>
      <c r="E39" s="405">
        <f t="shared" si="3"/>
        <v>0.45369480976193255</v>
      </c>
      <c r="G39" s="324">
        <f>Electricity_cluster!AS168</f>
        <v>712.31913233990372</v>
      </c>
      <c r="H39" s="324">
        <f>Electricity_cluster!X227</f>
        <v>971.72885961883753</v>
      </c>
      <c r="I39" s="324">
        <f>-(SpaceHeating_cluster_lldc!O61+SpaceCooling_cluster_lldc!O61+ComLight_cluster_lldc!O61+ReslLight_cluster_lldc!O61+WaterHeating_cluster_lldc!O61)</f>
        <v>-258.36061929994486</v>
      </c>
      <c r="J39" s="324">
        <f>-(SpaceHeating_cluster_mdc!O61+SpaceCooling_cluster_mdc!O61+ComLight_cluster_mdc!O61+ReslLight_cluster_mdc!O61+WaterHeating_cluster_mdc!O61)</f>
        <v>-244.89219634903156</v>
      </c>
      <c r="K39" s="324">
        <f>SpaceHeating_cluster!AU170</f>
        <v>147.24388382225339</v>
      </c>
      <c r="L39" s="324">
        <f>SpaceHeating_cluster!Z229</f>
        <v>161.764558949796</v>
      </c>
      <c r="M39" s="324">
        <f>SpaceCooling_cluster!AU170</f>
        <v>113.51184524014243</v>
      </c>
      <c r="N39" s="324">
        <f>SpaceCooling_cluster!Z229</f>
        <v>107.74205292095367</v>
      </c>
      <c r="O39" s="324">
        <f>CleanCookstoves_cluster!AU170</f>
        <v>408.54051662539047</v>
      </c>
      <c r="P39" s="323">
        <f>ComLight_cluster!AU170</f>
        <v>94.811709613352519</v>
      </c>
      <c r="Q39" s="323">
        <f>ComLight_cluster!Z229</f>
        <v>69.960708776674934</v>
      </c>
      <c r="R39" s="323">
        <f>ResLight_cluster!AU170</f>
        <v>36.287697772987514</v>
      </c>
      <c r="S39" s="323">
        <f>ResLight_cluster!Z229</f>
        <v>49.511640509016829</v>
      </c>
      <c r="T39" s="323">
        <f>WaterHeating_cluster!AU170</f>
        <v>30.910562563379585</v>
      </c>
      <c r="U39" s="323">
        <f>WaterHeating_cluster!Z229</f>
        <v>61.331258548547311</v>
      </c>
      <c r="V39" s="324">
        <f>'Passenger-km_cluster_lldc'!X61</f>
        <v>332.01089465922496</v>
      </c>
      <c r="W39" s="324">
        <f>'Passenger-km_cluster_mdc'!X61</f>
        <v>292.9777804088568</v>
      </c>
      <c r="X39" s="324">
        <f>'NFreight-km_cluster_all'!X61</f>
        <v>109.35749798929859</v>
      </c>
      <c r="Y39" s="324">
        <f>'GFreight-km_cluster_lldc'!X61</f>
        <v>120.20749569687182</v>
      </c>
      <c r="Z39" s="324">
        <f>'GFreight-km_cluster_mdc'!X61</f>
        <v>240.09947192363131</v>
      </c>
      <c r="AA39" s="324">
        <f>'Air-km_cluster_all'!X61</f>
        <v>181.00358873163984</v>
      </c>
      <c r="AB39" s="324">
        <f>Plastics_cluster!Z229</f>
        <v>163.33372304099416</v>
      </c>
      <c r="AC39" s="323">
        <f>Paper_cluster!AU170</f>
        <v>6.4760608763038716</v>
      </c>
      <c r="AD39" s="323">
        <f>Paper_cluster!Z229</f>
        <v>58.178442662176892</v>
      </c>
      <c r="AE39" s="323">
        <f>Water_cluster!AU170</f>
        <v>18.920603542685186</v>
      </c>
      <c r="AF39" s="323">
        <f>Water_cluster!Z229</f>
        <v>25.825739964968271</v>
      </c>
      <c r="AG39" s="323">
        <f>DemandFood_cluster!I96</f>
        <v>833.32520196247242</v>
      </c>
      <c r="AH39" s="323">
        <f>DemandFood_cluster!J96</f>
        <v>462.3649126232209</v>
      </c>
    </row>
    <row r="40" spans="1:34" x14ac:dyDescent="0.3">
      <c r="A40" s="404">
        <v>2050</v>
      </c>
      <c r="B40" s="405">
        <f t="shared" si="0"/>
        <v>5.6428087967681853</v>
      </c>
      <c r="C40" s="405">
        <f t="shared" si="1"/>
        <v>2.7716543855371927</v>
      </c>
      <c r="D40" s="405">
        <f t="shared" si="2"/>
        <v>2.3801377864971593</v>
      </c>
      <c r="E40" s="405">
        <f t="shared" si="3"/>
        <v>0.49101662473383306</v>
      </c>
      <c r="G40" s="324">
        <f>Electricity_cluster!AS169</f>
        <v>763.27402474780729</v>
      </c>
      <c r="H40" s="324">
        <f>Electricity_cluster!X228</f>
        <v>1020.2893978172599</v>
      </c>
      <c r="I40" s="324">
        <f>-(SpaceHeating_cluster_lldc!O62+SpaceCooling_cluster_lldc!O62+ComLight_cluster_lldc!O62+ReslLight_cluster_lldc!O62+WaterHeating_cluster_lldc!O62)</f>
        <v>-278.22350998068822</v>
      </c>
      <c r="J40" s="324">
        <f>-(SpaceHeating_cluster_mdc!O62+SpaceCooling_cluster_mdc!O62+ComLight_cluster_mdc!O62+ReslLight_cluster_mdc!O62+WaterHeating_cluster_mdc!O62)</f>
        <v>-257.52088355740295</v>
      </c>
      <c r="K40" s="324">
        <f>SpaceHeating_cluster!AU171</f>
        <v>157.94302646248775</v>
      </c>
      <c r="L40" s="324">
        <f>SpaceHeating_cluster!Z230</f>
        <v>170.3353806080724</v>
      </c>
      <c r="M40" s="324">
        <f>SpaceCooling_cluster!AU171</f>
        <v>122.22404148632381</v>
      </c>
      <c r="N40" s="324">
        <f>SpaceCooling_cluster!Z230</f>
        <v>113.36426788975186</v>
      </c>
      <c r="O40" s="324">
        <f>CleanCookstoves_cluster!AU171</f>
        <v>431.23983394400886</v>
      </c>
      <c r="P40" s="323">
        <f>ComLight_cluster!AU171</f>
        <v>103.0458565879342</v>
      </c>
      <c r="Q40" s="323">
        <f>ComLight_cluster!Z230</f>
        <v>73.895762779647384</v>
      </c>
      <c r="R40" s="323">
        <f>ResLight_cluster!AU171</f>
        <v>38.27776689853777</v>
      </c>
      <c r="S40" s="323">
        <f>ResLight_cluster!Z230</f>
        <v>51.765584602371298</v>
      </c>
      <c r="T40" s="323">
        <f>WaterHeating_cluster!AU171</f>
        <v>32.881120781429203</v>
      </c>
      <c r="U40" s="323">
        <f>WaterHeating_cluster!Z230</f>
        <v>63.937568388748375</v>
      </c>
      <c r="V40" s="324">
        <f>'Passenger-km_cluster_lldc'!X62</f>
        <v>359.13815029562357</v>
      </c>
      <c r="W40" s="324">
        <f>'Passenger-km_cluster_mdc'!X62</f>
        <v>311.0552696496199</v>
      </c>
      <c r="X40" s="324">
        <f>'NFreight-km_cluster_all'!X62</f>
        <v>119.38158743707133</v>
      </c>
      <c r="Y40" s="324">
        <f>'GFreight-km_cluster_lldc'!X62</f>
        <v>130.37264679753397</v>
      </c>
      <c r="Z40" s="324">
        <f>'GFreight-km_cluster_mdc'!X62</f>
        <v>257.70675733388941</v>
      </c>
      <c r="AA40" s="324">
        <f>'Air-km_cluster_all'!X62</f>
        <v>196.54345356389987</v>
      </c>
      <c r="AB40" s="324">
        <f>Plastics_cluster!Z230</f>
        <v>175.09158373286184</v>
      </c>
      <c r="AC40" s="323">
        <f>Paper_cluster!AU171</f>
        <v>6.9361292255626585</v>
      </c>
      <c r="AD40" s="323">
        <f>Paper_cluster!Z230</f>
        <v>62.217831503638536</v>
      </c>
      <c r="AE40" s="323">
        <f>Water_cluster!AU171</f>
        <v>20.268513493297959</v>
      </c>
      <c r="AF40" s="323">
        <f>Water_cluster!Z230</f>
        <v>27.379200297086616</v>
      </c>
      <c r="AG40" s="323">
        <f>DemandFood_cluster!I97</f>
        <v>884.27678479733424</v>
      </c>
      <c r="AH40" s="323">
        <f>DemandFood_cluster!J97</f>
        <v>485.71164918447664</v>
      </c>
    </row>
    <row r="41" spans="1:34" x14ac:dyDescent="0.3">
      <c r="A41" s="404">
        <v>2051</v>
      </c>
      <c r="B41" s="405">
        <f t="shared" si="0"/>
        <v>5.9958309391973899</v>
      </c>
      <c r="C41" s="405">
        <f t="shared" si="1"/>
        <v>2.9555227486133759</v>
      </c>
      <c r="D41" s="405">
        <f t="shared" si="2"/>
        <v>2.5093036700296203</v>
      </c>
      <c r="E41" s="405">
        <f t="shared" si="3"/>
        <v>0.53100452055439262</v>
      </c>
      <c r="G41" s="324">
        <f>Electricity_cluster!AS170</f>
        <v>817.04195045198014</v>
      </c>
      <c r="H41" s="324">
        <f>Electricity_cluster!X229</f>
        <v>1070.0374874985828</v>
      </c>
      <c r="I41" s="324">
        <f>-(SpaceHeating_cluster_lldc!O63+SpaceCooling_cluster_lldc!O63+ComLight_cluster_lldc!O63+ReslLight_cluster_lldc!O63+WaterHeating_cluster_lldc!O63)</f>
        <v>-299.18113906028043</v>
      </c>
      <c r="J41" s="324">
        <f>-(SpaceHeating_cluster_mdc!O63+SpaceCooling_cluster_mdc!O63+ComLight_cluster_mdc!O63+ReslLight_cluster_mdc!O63+WaterHeating_cluster_mdc!O63)</f>
        <v>-270.29987785396628</v>
      </c>
      <c r="K41" s="324">
        <f>SpaceHeating_cluster!AU172</f>
        <v>169.24967106927446</v>
      </c>
      <c r="L41" s="324">
        <f>SpaceHeating_cluster!Z231</f>
        <v>179.09406426249544</v>
      </c>
      <c r="M41" s="324">
        <f>SpaceCooling_cluster!AU172</f>
        <v>131.38282899838961</v>
      </c>
      <c r="N41" s="324">
        <f>SpaceCooling_cluster!Z231</f>
        <v>118.99852492327796</v>
      </c>
      <c r="O41" s="324">
        <f>CleanCookstoves_cluster!AU172</f>
        <v>454.30961153982048</v>
      </c>
      <c r="P41" s="323">
        <f>ComLight_cluster!AU172</f>
        <v>111.82295183557071</v>
      </c>
      <c r="Q41" s="323">
        <f>ComLight_cluster!Z231</f>
        <v>77.923866451042869</v>
      </c>
      <c r="R41" s="323">
        <f>ResLight_cluster!AU172</f>
        <v>40.331054483764376</v>
      </c>
      <c r="S41" s="323">
        <f>ResLight_cluster!Z231</f>
        <v>54.058222294083137</v>
      </c>
      <c r="T41" s="323">
        <f>WaterHeating_cluster!AU172</f>
        <v>34.949177257656991</v>
      </c>
      <c r="U41" s="323">
        <f>WaterHeating_cluster!Z231</f>
        <v>66.597243825992734</v>
      </c>
      <c r="V41" s="324">
        <f>'Passenger-km_cluster_lldc'!X63</f>
        <v>387.8360355864383</v>
      </c>
      <c r="W41" s="324">
        <f>'Passenger-km_cluster_mdc'!X63</f>
        <v>330.64357833918382</v>
      </c>
      <c r="X41" s="324">
        <f>'NFreight-km_cluster_all'!X63</f>
        <v>130.24252458254918</v>
      </c>
      <c r="Y41" s="324">
        <f>'GFreight-km_cluster_lldc'!X63</f>
        <v>141.12845270155537</v>
      </c>
      <c r="Z41" s="324">
        <f>'GFreight-km_cluster_mdc'!X63</f>
        <v>276.83609159240075</v>
      </c>
      <c r="AA41" s="324">
        <f>'Air-km_cluster_all'!X63</f>
        <v>213.23088983383604</v>
      </c>
      <c r="AB41" s="324">
        <f>Plastics_cluster!Z231</f>
        <v>187.53110613800732</v>
      </c>
      <c r="AC41" s="323">
        <f>Paper_cluster!AU172</f>
        <v>7.4341356552901843</v>
      </c>
      <c r="AD41" s="323">
        <f>Paper_cluster!Z231</f>
        <v>66.477806788867341</v>
      </c>
      <c r="AE41" s="323">
        <f>Water_cluster!AU172</f>
        <v>21.691226327969968</v>
      </c>
      <c r="AF41" s="323">
        <f>Water_cluster!Z231</f>
        <v>28.992075238762471</v>
      </c>
      <c r="AG41" s="323">
        <f>DemandFood_cluster!I98</f>
        <v>937.5267917659454</v>
      </c>
      <c r="AH41" s="323">
        <f>DemandFood_cluster!J98</f>
        <v>509.94458666889716</v>
      </c>
    </row>
    <row r="42" spans="1:34" x14ac:dyDescent="0.3">
      <c r="A42" s="404">
        <v>2052</v>
      </c>
      <c r="B42" s="405">
        <f t="shared" si="0"/>
        <v>6.3674818671032014</v>
      </c>
      <c r="C42" s="405">
        <f t="shared" si="1"/>
        <v>3.1495517384244951</v>
      </c>
      <c r="D42" s="405">
        <f t="shared" si="2"/>
        <v>2.6441183003305313</v>
      </c>
      <c r="E42" s="405">
        <f t="shared" si="3"/>
        <v>0.57381182834817468</v>
      </c>
      <c r="G42" s="324">
        <f>Electricity_cluster!AS171</f>
        <v>874.1254452101789</v>
      </c>
      <c r="H42" s="324">
        <f>Electricity_cluster!X230</f>
        <v>1121.5522958611896</v>
      </c>
      <c r="I42" s="324">
        <f>-(SpaceHeating_cluster_lldc!O64+SpaceCooling_cluster_lldc!O64+ComLight_cluster_lldc!O64+ReslLight_cluster_lldc!O64+WaterHeating_cluster_lldc!O64)</f>
        <v>-321.50643409100417</v>
      </c>
      <c r="J42" s="324">
        <f>-(SpaceHeating_cluster_mdc!O64+SpaceCooling_cluster_mdc!O64+ComLight_cluster_mdc!O64+ReslLight_cluster_mdc!O64+WaterHeating_cluster_mdc!O64)</f>
        <v>-283.55658048886045</v>
      </c>
      <c r="K42" s="324">
        <f>SpaceHeating_cluster!AU173</f>
        <v>181.25869577195311</v>
      </c>
      <c r="L42" s="324">
        <f>SpaceHeating_cluster!Z232</f>
        <v>188.21027894672079</v>
      </c>
      <c r="M42" s="324">
        <f>SpaceCooling_cluster!AU173</f>
        <v>141.15088664045629</v>
      </c>
      <c r="N42" s="324">
        <f>SpaceCooling_cluster!Z232</f>
        <v>124.88498835732712</v>
      </c>
      <c r="O42" s="324">
        <f>CleanCookstoves_cluster!AU173</f>
        <v>478.23967731046298</v>
      </c>
      <c r="P42" s="323">
        <f>ComLight_cluster!AU173</f>
        <v>121.22132214943457</v>
      </c>
      <c r="Q42" s="323">
        <f>ComLight_cluster!Z232</f>
        <v>82.083252964530104</v>
      </c>
      <c r="R42" s="323">
        <f>ResLight_cluster!AU173</f>
        <v>42.465989376782005</v>
      </c>
      <c r="S42" s="323">
        <f>ResLight_cluster!Z232</f>
        <v>56.41736956643129</v>
      </c>
      <c r="T42" s="323">
        <f>WaterHeating_cluster!AU173</f>
        <v>37.117277252508295</v>
      </c>
      <c r="U42" s="323">
        <f>WaterHeating_cluster!Z232</f>
        <v>69.313754228896713</v>
      </c>
      <c r="V42" s="324">
        <f>'Passenger-km_cluster_lldc'!X64</f>
        <v>418.39515343265361</v>
      </c>
      <c r="W42" s="324">
        <f>'Passenger-km_cluster_mdc'!X64</f>
        <v>351.19611742060022</v>
      </c>
      <c r="X42" s="324">
        <f>'NFreight-km_cluster_all'!X64</f>
        <v>141.99913958133561</v>
      </c>
      <c r="Y42" s="324">
        <f>'GFreight-km_cluster_lldc'!X64</f>
        <v>152.79662580521477</v>
      </c>
      <c r="Z42" s="324">
        <f>'GFreight-km_cluster_mdc'!X64</f>
        <v>297.31545550811416</v>
      </c>
      <c r="AA42" s="324">
        <f>'Air-km_cluster_all'!X64</f>
        <v>231.13386824910853</v>
      </c>
      <c r="AB42" s="324">
        <f>Plastics_cluster!Z232</f>
        <v>200.67882051773049</v>
      </c>
      <c r="AC42" s="323">
        <f>Paper_cluster!AU173</f>
        <v>7.9712096610584382</v>
      </c>
      <c r="AD42" s="323">
        <f>Paper_cluster!Z232</f>
        <v>70.967849512195812</v>
      </c>
      <c r="AE42" s="323">
        <f>Water_cluster!AU173</f>
        <v>23.201995864994785</v>
      </c>
      <c r="AF42" s="323">
        <f>Water_cluster!Z232</f>
        <v>30.681003541309622</v>
      </c>
      <c r="AG42" s="323">
        <f>DemandFood_cluster!I99</f>
        <v>993.11389403980115</v>
      </c>
      <c r="AH42" s="323">
        <f>DemandFood_cluster!J99</f>
        <v>535.0525149120765</v>
      </c>
    </row>
    <row r="43" spans="1:34" x14ac:dyDescent="0.3">
      <c r="A43" s="404">
        <v>2053</v>
      </c>
      <c r="B43" s="405">
        <f t="shared" si="0"/>
        <v>6.7579560112174413</v>
      </c>
      <c r="C43" s="405">
        <f t="shared" si="1"/>
        <v>3.3535806716394561</v>
      </c>
      <c r="D43" s="405">
        <f t="shared" si="2"/>
        <v>2.7847854848182987</v>
      </c>
      <c r="E43" s="405">
        <f t="shared" si="3"/>
        <v>0.61958985475968609</v>
      </c>
      <c r="G43" s="324">
        <f>Electricity_cluster!AS172</f>
        <v>934.4313780351174</v>
      </c>
      <c r="H43" s="324">
        <f>Electricity_cluster!X231</f>
        <v>1174.6568445294135</v>
      </c>
      <c r="I43" s="324">
        <f>-(SpaceHeating_cluster_lldc!O65+SpaceCooling_cluster_lldc!O65+ComLight_cluster_lldc!O65+ReslLight_cluster_lldc!O65+WaterHeating_cluster_lldc!O65)</f>
        <v>-345.14055678384381</v>
      </c>
      <c r="J43" s="324">
        <f>-(SpaceHeating_cluster_mdc!O65+SpaceCooling_cluster_mdc!O65+ComLight_cluster_mdc!O65+ReslLight_cluster_mdc!O65+WaterHeating_cluster_mdc!O65)</f>
        <v>-297.17381540143776</v>
      </c>
      <c r="K43" s="324">
        <f>SpaceHeating_cluster!AU174</f>
        <v>193.96269243893198</v>
      </c>
      <c r="L43" s="324">
        <f>SpaceHeating_cluster!Z233</f>
        <v>197.63848790796058</v>
      </c>
      <c r="M43" s="324">
        <f>SpaceCooling_cluster!AU174</f>
        <v>151.48675387983627</v>
      </c>
      <c r="N43" s="324">
        <f>SpaceCooling_cluster!Z233</f>
        <v>130.94204277195286</v>
      </c>
      <c r="O43" s="324">
        <f>CleanCookstoves_cluster!AU174</f>
        <v>503.02583862634492</v>
      </c>
      <c r="P43" s="323">
        <f>ComLight_cluster!AU174</f>
        <v>131.23972959957808</v>
      </c>
      <c r="Q43" s="323">
        <f>ComLight_cluster!Z233</f>
        <v>86.356688024755684</v>
      </c>
      <c r="R43" s="323">
        <f>ResLight_cluster!AU174</f>
        <v>44.67093971976108</v>
      </c>
      <c r="S43" s="323">
        <f>ResLight_cluster!Z233</f>
        <v>58.832383045817927</v>
      </c>
      <c r="T43" s="323">
        <f>WaterHeating_cluster!AU174</f>
        <v>39.384108625396273</v>
      </c>
      <c r="U43" s="323">
        <f>WaterHeating_cluster!Z233</f>
        <v>72.086090428355689</v>
      </c>
      <c r="V43" s="324">
        <f>'Passenger-km_cluster_lldc'!X65</f>
        <v>450.80838916338593</v>
      </c>
      <c r="W43" s="324">
        <f>'Passenger-km_cluster_mdc'!X65</f>
        <v>372.98710712501946</v>
      </c>
      <c r="X43" s="324">
        <f>'NFreight-km_cluster_all'!X65</f>
        <v>154.71129215007318</v>
      </c>
      <c r="Y43" s="324">
        <f>'GFreight-km_cluster_lldc'!X65</f>
        <v>165.34404333872959</v>
      </c>
      <c r="Z43" s="324">
        <f>'GFreight-km_cluster_mdc'!X65</f>
        <v>319.32989519396364</v>
      </c>
      <c r="AA43" s="324">
        <f>'Air-km_cluster_all'!X65</f>
        <v>250.3198704694488</v>
      </c>
      <c r="AB43" s="324">
        <f>Plastics_cluster!Z233</f>
        <v>214.55869214016414</v>
      </c>
      <c r="AC43" s="323">
        <f>Paper_cluster!AU174</f>
        <v>8.5480837960495499</v>
      </c>
      <c r="AD43" s="323">
        <f>Paper_cluster!Z233</f>
        <v>75.696918308594931</v>
      </c>
      <c r="AE43" s="323">
        <f>Water_cluster!AU174</f>
        <v>24.79807242588069</v>
      </c>
      <c r="AF43" s="323">
        <f>Water_cluster!Z233</f>
        <v>32.442388346072526</v>
      </c>
      <c r="AG43" s="323">
        <f>DemandFood_cluster!I100</f>
        <v>1051.0211987742882</v>
      </c>
      <c r="AH43" s="323">
        <f>DemandFood_cluster!J100</f>
        <v>560.99045453782924</v>
      </c>
    </row>
    <row r="44" spans="1:34" x14ac:dyDescent="0.3">
      <c r="A44" s="404">
        <v>2054</v>
      </c>
      <c r="B44" s="405">
        <f t="shared" si="0"/>
        <v>7.1676596205995677</v>
      </c>
      <c r="C44" s="405">
        <f t="shared" si="1"/>
        <v>3.5677278295478936</v>
      </c>
      <c r="D44" s="405">
        <f t="shared" si="2"/>
        <v>2.9314485098239218</v>
      </c>
      <c r="E44" s="405">
        <f t="shared" si="3"/>
        <v>0.66848328122775058</v>
      </c>
      <c r="G44" s="324">
        <f>Electricity_cluster!AS173</f>
        <v>998.00528701347184</v>
      </c>
      <c r="H44" s="324">
        <f>Electricity_cluster!X232</f>
        <v>1229.3829395903226</v>
      </c>
      <c r="I44" s="324">
        <f>-(SpaceHeating_cluster_lldc!O66+SpaceCooling_cluster_lldc!O66+ComLight_cluster_lldc!O66+ReslLight_cluster_lldc!O66+WaterHeating_cluster_lldc!O66)</f>
        <v>-370.10360045130318</v>
      </c>
      <c r="J44" s="324">
        <f>-(SpaceHeating_cluster_mdc!O66+SpaceCooling_cluster_mdc!O66+ComLight_cluster_mdc!O66+ReslLight_cluster_mdc!O66+WaterHeating_cluster_mdc!O66)</f>
        <v>-311.14934340026304</v>
      </c>
      <c r="K44" s="324">
        <f>SpaceHeating_cluster!AU175</f>
        <v>207.37359486147221</v>
      </c>
      <c r="L44" s="324">
        <f>SpaceHeating_cluster!Z234</f>
        <v>207.38501846374629</v>
      </c>
      <c r="M44" s="324">
        <f>SpaceCooling_cluster!AU175</f>
        <v>162.39809289889382</v>
      </c>
      <c r="N44" s="324">
        <f>SpaceCooling_cluster!Z234</f>
        <v>137.17029010227134</v>
      </c>
      <c r="O44" s="324">
        <f>CleanCookstoves_cluster!AU175</f>
        <v>528.6519942947657</v>
      </c>
      <c r="P44" s="323">
        <f>ComLight_cluster!AU175</f>
        <v>141.89570678715103</v>
      </c>
      <c r="Q44" s="323">
        <f>ComLight_cluster!Z234</f>
        <v>90.741697937491679</v>
      </c>
      <c r="R44" s="323">
        <f>ResLight_cluster!AU175</f>
        <v>46.941076656662688</v>
      </c>
      <c r="S44" s="323">
        <f>ResLight_cluster!Z234</f>
        <v>61.303072328058839</v>
      </c>
      <c r="T44" s="323">
        <f>WaterHeating_cluster!AU175</f>
        <v>41.747658429874832</v>
      </c>
      <c r="U44" s="323">
        <f>WaterHeating_cluster!Z234</f>
        <v>74.913701825233872</v>
      </c>
      <c r="V44" s="324">
        <f>'Passenger-km_cluster_lldc'!X66</f>
        <v>485.13319758626653</v>
      </c>
      <c r="W44" s="324">
        <f>'Passenger-km_cluster_mdc'!X66</f>
        <v>396.08150754310486</v>
      </c>
      <c r="X44" s="324">
        <f>'NFreight-km_cluster_all'!X66</f>
        <v>168.43867909849206</v>
      </c>
      <c r="Y44" s="324">
        <f>'GFreight-km_cluster_lldc'!X66</f>
        <v>178.82800423760881</v>
      </c>
      <c r="Z44" s="324">
        <f>'GFreight-km_cluster_mdc'!X66</f>
        <v>342.97296211656766</v>
      </c>
      <c r="AA44" s="324">
        <f>'Air-km_cluster_all'!X66</f>
        <v>270.85398583183041</v>
      </c>
      <c r="AB44" s="324">
        <f>Plastics_cluster!Z234</f>
        <v>229.19061629742811</v>
      </c>
      <c r="AC44" s="323">
        <f>Paper_cluster!AU175</f>
        <v>9.164814389367173</v>
      </c>
      <c r="AD44" s="323">
        <f>Paper_cluster!Z234</f>
        <v>80.673154672113014</v>
      </c>
      <c r="AE44" s="323">
        <f>Water_cluster!AU175</f>
        <v>26.480265658222248</v>
      </c>
      <c r="AF44" s="323">
        <f>Water_cluster!Z234</f>
        <v>34.278225092715815</v>
      </c>
      <c r="AG44" s="323">
        <f>DemandFood_cluster!I101</f>
        <v>1111.2117371854397</v>
      </c>
      <c r="AH44" s="323">
        <f>DemandFood_cluster!J101</f>
        <v>587.69528355255966</v>
      </c>
    </row>
    <row r="45" spans="1:34" x14ac:dyDescent="0.3">
      <c r="A45" s="404">
        <v>2055</v>
      </c>
      <c r="B45" s="405">
        <f t="shared" si="0"/>
        <v>7.5968185614050503</v>
      </c>
      <c r="C45" s="405">
        <f t="shared" si="1"/>
        <v>3.7923906205097535</v>
      </c>
      <c r="D45" s="405">
        <f t="shared" si="2"/>
        <v>3.0837892198625587</v>
      </c>
      <c r="E45" s="405">
        <f t="shared" si="3"/>
        <v>0.72063872103273829</v>
      </c>
      <c r="G45" s="324">
        <f>Electricity_cluster!AS174</f>
        <v>1064.8040625607421</v>
      </c>
      <c r="H45" s="324">
        <f>Electricity_cluster!X233</f>
        <v>1285.6484034829396</v>
      </c>
      <c r="I45" s="324">
        <f>-(SpaceHeating_cluster_lldc!O67+SpaceCooling_cluster_lldc!O67+ComLight_cluster_lldc!O67+ReslLight_cluster_lldc!O67+WaterHeating_cluster_lldc!O67)</f>
        <v>-396.38088514886329</v>
      </c>
      <c r="J45" s="324">
        <f>-(SpaceHeating_cluster_mdc!O67+SpaceCooling_cluster_mdc!O67+ComLight_cluster_mdc!O67+ReslLight_cluster_mdc!O67+WaterHeating_cluster_mdc!O67)</f>
        <v>-325.45117839971283</v>
      </c>
      <c r="K45" s="324">
        <f>SpaceHeating_cluster!AU176</f>
        <v>221.5017457239328</v>
      </c>
      <c r="L45" s="324">
        <f>SpaceHeating_cluster!Z235</f>
        <v>217.45382360877409</v>
      </c>
      <c r="M45" s="324">
        <f>SpaceCooling_cluster!AU176</f>
        <v>173.87716809596941</v>
      </c>
      <c r="N45" s="324">
        <f>SpaceCooling_cluster!Z235</f>
        <v>143.55744413829652</v>
      </c>
      <c r="O45" s="324">
        <f>CleanCookstoves_cluster!AU176</f>
        <v>555.09810421627139</v>
      </c>
      <c r="P45" s="323">
        <f>ComLight_cluster!AU176</f>
        <v>153.19337646686066</v>
      </c>
      <c r="Q45" s="323">
        <f>ComLight_cluster!Z235</f>
        <v>95.226800512411188</v>
      </c>
      <c r="R45" s="323">
        <f>ResLight_cluster!AU176</f>
        <v>49.26734892523173</v>
      </c>
      <c r="S45" s="323">
        <f>ResLight_cluster!Z235</f>
        <v>63.823442672074769</v>
      </c>
      <c r="T45" s="323">
        <f>WaterHeating_cluster!AU176</f>
        <v>44.205532439851979</v>
      </c>
      <c r="U45" s="323">
        <f>WaterHeating_cluster!Z235</f>
        <v>77.795032074773133</v>
      </c>
      <c r="V45" s="324">
        <f>'Passenger-km_cluster_lldc'!X67</f>
        <v>521.74611587865581</v>
      </c>
      <c r="W45" s="324">
        <f>'Passenger-km_cluster_mdc'!X67</f>
        <v>420.22580532739789</v>
      </c>
      <c r="X45" s="324">
        <f>'NFreight-km_cluster_all'!X67</f>
        <v>183.24291784286345</v>
      </c>
      <c r="Y45" s="324">
        <f>'GFreight-km_cluster_lldc'!X67</f>
        <v>193.34420165645531</v>
      </c>
      <c r="Z45" s="324">
        <f>'GFreight-km_cluster_mdc'!X67</f>
        <v>368.30566859793385</v>
      </c>
      <c r="AA45" s="324">
        <f>'Air-km_cluster_all'!X67</f>
        <v>292.80232644590592</v>
      </c>
      <c r="AB45" s="324">
        <f>Plastics_cluster!Z235</f>
        <v>244.59347674396892</v>
      </c>
      <c r="AC45" s="323">
        <f>Paper_cluster!AU176</f>
        <v>9.8213503877512789</v>
      </c>
      <c r="AD45" s="323">
        <f>Paper_cluster!Z235</f>
        <v>85.904529283892998</v>
      </c>
      <c r="AE45" s="323">
        <f>Water_cluster!AU176</f>
        <v>28.246924964396264</v>
      </c>
      <c r="AF45" s="323">
        <f>Water_cluster!Z235</f>
        <v>36.187274204598062</v>
      </c>
      <c r="AG45" s="323">
        <f>DemandFood_cluster!I102</f>
        <v>1173.6655743424978</v>
      </c>
      <c r="AH45" s="323">
        <f>DemandFood_cluster!J102</f>
        <v>615.11217435917922</v>
      </c>
    </row>
    <row r="46" spans="1:34" x14ac:dyDescent="0.3">
      <c r="A46" s="404">
        <v>2056</v>
      </c>
      <c r="B46" s="405">
        <f t="shared" si="0"/>
        <v>8.0467003070634444</v>
      </c>
      <c r="C46" s="405">
        <f t="shared" si="1"/>
        <v>4.0270392596139013</v>
      </c>
      <c r="D46" s="405">
        <f t="shared" si="2"/>
        <v>3.2434373474704508</v>
      </c>
      <c r="E46" s="405">
        <f t="shared" si="3"/>
        <v>0.77622369997909091</v>
      </c>
      <c r="G46" s="324">
        <f>Electricity_cluster!AS175</f>
        <v>1135.1873093730846</v>
      </c>
      <c r="H46" s="324">
        <f>Electricity_cluster!X234</f>
        <v>1343.8056508807604</v>
      </c>
      <c r="I46" s="324">
        <f>-(SpaceHeating_cluster_lldc!O68+SpaceCooling_cluster_lldc!O68+ComLight_cluster_lldc!O68+ReslLight_cluster_lldc!O68+WaterHeating_cluster_lldc!O68)</f>
        <v>-424.10416243893286</v>
      </c>
      <c r="J46" s="324">
        <f>-(SpaceHeating_cluster_mdc!O68+SpaceCooling_cluster_mdc!O68+ComLight_cluster_mdc!O68+ReslLight_cluster_mdc!O68+WaterHeating_cluster_mdc!O68)</f>
        <v>-340.15578897092536</v>
      </c>
      <c r="K46" s="324">
        <f>SpaceHeating_cluster!AU177</f>
        <v>236.37212059390322</v>
      </c>
      <c r="L46" s="324">
        <f>SpaceHeating_cluster!Z236</f>
        <v>227.85504464387623</v>
      </c>
      <c r="M46" s="324">
        <f>SpaceCooling_cluster!AU177</f>
        <v>185.98038407839141</v>
      </c>
      <c r="N46" s="324">
        <f>SpaceCooling_cluster!Z236</f>
        <v>150.13929915243574</v>
      </c>
      <c r="O46" s="324">
        <f>CleanCookstoves_cluster!AU177</f>
        <v>582.35548128232995</v>
      </c>
      <c r="P46" s="323">
        <f>ComLight_cluster!AU177</f>
        <v>165.19310444796582</v>
      </c>
      <c r="Q46" s="323">
        <f>ComLight_cluster!Z236</f>
        <v>99.83173679148085</v>
      </c>
      <c r="R46" s="323">
        <f>ResLight_cluster!AU177</f>
        <v>51.659261335903992</v>
      </c>
      <c r="S46" s="323">
        <f>ResLight_cluster!Z236</f>
        <v>66.40894942747407</v>
      </c>
      <c r="T46" s="323">
        <f>WaterHeating_cluster!AU177</f>
        <v>46.758870685768869</v>
      </c>
      <c r="U46" s="323">
        <f>WaterHeating_cluster!Z236</f>
        <v>80.731459725715112</v>
      </c>
      <c r="V46" s="324">
        <f>'Passenger-km_cluster_lldc'!X68</f>
        <v>559.74622652877542</v>
      </c>
      <c r="W46" s="324">
        <f>'Passenger-km_cluster_mdc'!X68</f>
        <v>446.47001927985434</v>
      </c>
      <c r="X46" s="324">
        <f>'NFreight-km_cluster_all'!X68</f>
        <v>199.1924174976925</v>
      </c>
      <c r="Y46" s="324">
        <f>'GFreight-km_cluster_lldc'!X68</f>
        <v>208.85132677103056</v>
      </c>
      <c r="Z46" s="324">
        <f>'GFreight-km_cluster_mdc'!X68</f>
        <v>395.54680646522007</v>
      </c>
      <c r="AA46" s="324">
        <f>'Air-km_cluster_all'!X68</f>
        <v>316.23975091811423</v>
      </c>
      <c r="AB46" s="324">
        <f>Plastics_cluster!Z236</f>
        <v>260.7915315632842</v>
      </c>
      <c r="AC46" s="323">
        <f>Paper_cluster!AU177</f>
        <v>10.518699236474324</v>
      </c>
      <c r="AD46" s="323">
        <f>Paper_cluster!Z236</f>
        <v>91.400178108445118</v>
      </c>
      <c r="AE46" s="323">
        <f>Water_cluster!AU177</f>
        <v>30.10699817459632</v>
      </c>
      <c r="AF46" s="323">
        <f>Water_cluster!Z236</f>
        <v>38.180505144188459</v>
      </c>
      <c r="AG46" s="323">
        <f>DemandFood_cluster!I103</f>
        <v>1238.4136395446096</v>
      </c>
      <c r="AH46" s="323">
        <f>DemandFood_cluster!J103</f>
        <v>643.2234868219258</v>
      </c>
    </row>
    <row r="47" spans="1:34" x14ac:dyDescent="0.3">
      <c r="A47" s="404">
        <v>2057</v>
      </c>
      <c r="B47" s="405">
        <f t="shared" si="0"/>
        <v>8.517304207724159</v>
      </c>
      <c r="C47" s="405">
        <f t="shared" si="1"/>
        <v>4.2727177044800522</v>
      </c>
      <c r="D47" s="405">
        <f t="shared" si="2"/>
        <v>3.4091878062661789</v>
      </c>
      <c r="E47" s="405">
        <f t="shared" si="3"/>
        <v>0.83539869697792768</v>
      </c>
      <c r="G47" s="324">
        <f>Electricity_cluster!AS176</f>
        <v>1208.9634997539115</v>
      </c>
      <c r="H47" s="324">
        <f>Electricity_cluster!X235</f>
        <v>1403.5451222883025</v>
      </c>
      <c r="I47" s="324">
        <f>-(SpaceHeating_cluster_lldc!O69+SpaceCooling_cluster_lldc!O69+ComLight_cluster_lldc!O69+ReslLight_cluster_lldc!O69+WaterHeating_cluster_lldc!O69)</f>
        <v>-453.19804501251065</v>
      </c>
      <c r="J47" s="324">
        <f>-(SpaceHeating_cluster_mdc!O69+SpaceCooling_cluster_mdc!O69+ComLight_cluster_mdc!O69+ReslLight_cluster_mdc!O69+WaterHeating_cluster_mdc!O69)</f>
        <v>-355.1721071883818</v>
      </c>
      <c r="K47" s="324">
        <f>SpaceHeating_cluster!AU178</f>
        <v>251.99736597556165</v>
      </c>
      <c r="L47" s="324">
        <f>SpaceHeating_cluster!Z237</f>
        <v>238.58849768395419</v>
      </c>
      <c r="M47" s="324">
        <f>SpaceCooling_cluster!AU178</f>
        <v>198.6730857766629</v>
      </c>
      <c r="N47" s="324">
        <f>SpaceCooling_cluster!Z237</f>
        <v>156.87811903233512</v>
      </c>
      <c r="O47" s="324">
        <f>CleanCookstoves_cluster!AU178</f>
        <v>610.40316541703032</v>
      </c>
      <c r="P47" s="323">
        <f>ComLight_cluster!AU178</f>
        <v>177.87534786824455</v>
      </c>
      <c r="Q47" s="323">
        <f>ComLight_cluster!Z237</f>
        <v>104.52696015238661</v>
      </c>
      <c r="R47" s="323">
        <f>ResLight_cluster!AU178</f>
        <v>54.100622405194372</v>
      </c>
      <c r="S47" s="323">
        <f>ResLight_cluster!Z237</f>
        <v>69.04206526494572</v>
      </c>
      <c r="T47" s="323">
        <f>WaterHeating_cluster!AU178</f>
        <v>49.405893794243127</v>
      </c>
      <c r="U47" s="323">
        <f>WaterHeating_cluster!Z237</f>
        <v>83.719536494017916</v>
      </c>
      <c r="V47" s="324">
        <f>'Passenger-km_cluster_lldc'!X69</f>
        <v>600.15635240818119</v>
      </c>
      <c r="W47" s="324">
        <f>'Passenger-km_cluster_mdc'!X69</f>
        <v>473.9298521195895</v>
      </c>
      <c r="X47" s="324">
        <f>'NFreight-km_cluster_all'!X69</f>
        <v>216.35536041143268</v>
      </c>
      <c r="Y47" s="324">
        <f>'GFreight-km_cluster_lldc'!X69</f>
        <v>225.52452072994242</v>
      </c>
      <c r="Z47" s="324">
        <f>'GFreight-km_cluster_mdc'!X69</f>
        <v>424.69782800837817</v>
      </c>
      <c r="AA47" s="324">
        <f>'Air-km_cluster_all'!X69</f>
        <v>341.2385365257843</v>
      </c>
      <c r="AB47" s="324">
        <f>Plastics_cluster!Z237</f>
        <v>277.80480004071069</v>
      </c>
      <c r="AC47" s="323">
        <f>Paper_cluster!AU178</f>
        <v>11.257198871830118</v>
      </c>
      <c r="AD47" s="323">
        <f>Paper_cluster!Z237</f>
        <v>97.168367649941587</v>
      </c>
      <c r="AE47" s="323">
        <f>Water_cluster!AU178</f>
        <v>32.054755073685278</v>
      </c>
      <c r="AF47" s="323">
        <f>Water_cluster!Z237</f>
        <v>40.250166413913021</v>
      </c>
      <c r="AG47" s="323">
        <f>DemandFood_cluster!I104</f>
        <v>1305.5039414180756</v>
      </c>
      <c r="AH47" s="323">
        <f>DemandFood_cluster!J104</f>
        <v>672.01339834679595</v>
      </c>
    </row>
    <row r="48" spans="1:34" x14ac:dyDescent="0.3">
      <c r="A48" s="404">
        <v>2058</v>
      </c>
      <c r="B48" s="405">
        <f t="shared" si="0"/>
        <v>9.0090761877322336</v>
      </c>
      <c r="C48" s="405">
        <f t="shared" si="1"/>
        <v>4.5292152875921206</v>
      </c>
      <c r="D48" s="405">
        <f t="shared" si="2"/>
        <v>3.5815720297491742</v>
      </c>
      <c r="E48" s="405">
        <f t="shared" si="3"/>
        <v>0.8982888703909373</v>
      </c>
      <c r="G48" s="324">
        <f>Electricity_cluster!AS177</f>
        <v>1286.2183323699273</v>
      </c>
      <c r="H48" s="324">
        <f>Electricity_cluster!X236</f>
        <v>1464.9413736793472</v>
      </c>
      <c r="I48" s="324">
        <f>-(SpaceHeating_cluster_lldc!O70+SpaceCooling_cluster_lldc!O70+ComLight_cluster_lldc!O70+ReslLight_cluster_lldc!O70+WaterHeating_cluster_lldc!O70)</f>
        <v>-483.68954178772196</v>
      </c>
      <c r="J48" s="324">
        <f>-(SpaceHeating_cluster_mdc!O70+SpaceCooling_cluster_mdc!O70+ComLight_cluster_mdc!O70+ReslLight_cluster_mdc!O70+WaterHeating_cluster_mdc!O70)</f>
        <v>-370.50696582697719</v>
      </c>
      <c r="K48" s="324">
        <f>SpaceHeating_cluster!AU179</f>
        <v>268.37929673067629</v>
      </c>
      <c r="L48" s="324">
        <f>SpaceHeating_cluster!Z238</f>
        <v>249.65273532464101</v>
      </c>
      <c r="M48" s="324">
        <f>SpaceCooling_cluster!AU179</f>
        <v>211.9652886221748</v>
      </c>
      <c r="N48" s="324">
        <f>SpaceCooling_cluster!Z238</f>
        <v>163.77970842131094</v>
      </c>
      <c r="O48" s="324">
        <f>CleanCookstoves_cluster!AU179</f>
        <v>639.18801648226554</v>
      </c>
      <c r="P48" s="323">
        <f>ComLight_cluster!AU179</f>
        <v>191.26035685250298</v>
      </c>
      <c r="Q48" s="323">
        <f>ComLight_cluster!Z238</f>
        <v>109.31146205271406</v>
      </c>
      <c r="R48" s="323">
        <f>ResLight_cluster!AU179</f>
        <v>56.588022203994342</v>
      </c>
      <c r="S48" s="323">
        <f>ResLight_cluster!Z238</f>
        <v>71.724219877031317</v>
      </c>
      <c r="T48" s="323">
        <f>WaterHeating_cluster!AU179</f>
        <v>52.142776229551259</v>
      </c>
      <c r="U48" s="323">
        <f>WaterHeating_cluster!Z238</f>
        <v>86.755390191070703</v>
      </c>
      <c r="V48" s="324">
        <f>'Passenger-km_cluster_lldc'!X70</f>
        <v>642.68725887567643</v>
      </c>
      <c r="W48" s="324">
        <f>'Passenger-km_cluster_mdc'!X70</f>
        <v>502.98638084811432</v>
      </c>
      <c r="X48" s="324">
        <f>'NFreight-km_cluster_all'!X70</f>
        <v>234.79220531196316</v>
      </c>
      <c r="Y48" s="324">
        <f>'GFreight-km_cluster_lldc'!X70</f>
        <v>243.39209603233132</v>
      </c>
      <c r="Z48" s="324">
        <f>'GFreight-km_cluster_mdc'!X70</f>
        <v>455.88429383264031</v>
      </c>
      <c r="AA48" s="324">
        <f>'Air-km_cluster_all'!X70</f>
        <v>367.85674102134095</v>
      </c>
      <c r="AB48" s="324">
        <f>Plastics_cluster!Z238</f>
        <v>295.63992405763321</v>
      </c>
      <c r="AC48" s="323">
        <f>Paper_cluster!AU179</f>
        <v>12.035092477557523</v>
      </c>
      <c r="AD48" s="323">
        <f>Paper_cluster!Z238</f>
        <v>103.21437304994367</v>
      </c>
      <c r="AE48" s="323">
        <f>Water_cluster!AU179</f>
        <v>34.091722979482697</v>
      </c>
      <c r="AF48" s="323">
        <f>Water_cluster!Z238</f>
        <v>42.399169178798815</v>
      </c>
      <c r="AG48" s="323">
        <f>DemandFood_cluster!I105</f>
        <v>1374.9565695237022</v>
      </c>
      <c r="AH48" s="323">
        <f>DemandFood_cluster!J105</f>
        <v>701.42988912053966</v>
      </c>
    </row>
    <row r="49" spans="1:34" x14ac:dyDescent="0.3">
      <c r="A49" s="404">
        <v>2059</v>
      </c>
      <c r="B49" s="405">
        <f t="shared" si="0"/>
        <v>9.5221227148841479</v>
      </c>
      <c r="C49" s="405">
        <f t="shared" si="1"/>
        <v>4.7965202619552567</v>
      </c>
      <c r="D49" s="405">
        <f t="shared" si="2"/>
        <v>3.7606002526760953</v>
      </c>
      <c r="E49" s="405">
        <f t="shared" si="3"/>
        <v>0.96500220025279759</v>
      </c>
      <c r="G49" s="324">
        <f>Electricity_cluster!AS178</f>
        <v>1366.9162833198602</v>
      </c>
      <c r="H49" s="324">
        <f>Electricity_cluster!X237</f>
        <v>1527.9396263160247</v>
      </c>
      <c r="I49" s="324">
        <f>-(SpaceHeating_cluster_lldc!O71+SpaceCooling_cluster_lldc!O71+ComLight_cluster_lldc!O71+ReslLight_cluster_lldc!O71+WaterHeating_cluster_lldc!O71)</f>
        <v>-515.55854359389286</v>
      </c>
      <c r="J49" s="324">
        <f>-(SpaceHeating_cluster_mdc!O71+SpaceCooling_cluster_mdc!O71+ComLight_cluster_mdc!O71+ReslLight_cluster_mdc!O71+WaterHeating_cluster_mdc!O71)</f>
        <v>-386.13423960688328</v>
      </c>
      <c r="K49" s="324">
        <f>SpaceHeating_cluster!AU180</f>
        <v>285.51132220909943</v>
      </c>
      <c r="L49" s="324">
        <f>SpaceHeating_cluster!Z239</f>
        <v>261.04182349645282</v>
      </c>
      <c r="M49" s="324">
        <f>SpaceCooling_cluster!AU180</f>
        <v>225.84613504549998</v>
      </c>
      <c r="N49" s="324">
        <f>SpaceCooling_cluster!Z239</f>
        <v>170.83567367805352</v>
      </c>
      <c r="O49" s="324">
        <f>CleanCookstoves_cluster!AU180</f>
        <v>668.64203640319568</v>
      </c>
      <c r="P49" s="323">
        <f>ComLight_cluster!AU180</f>
        <v>205.34992399316053</v>
      </c>
      <c r="Q49" s="323">
        <f>ComLight_cluster!Z239</f>
        <v>114.17422538108865</v>
      </c>
      <c r="R49" s="323">
        <f>ResLight_cluster!AU180</f>
        <v>59.112597612050266</v>
      </c>
      <c r="S49" s="323">
        <f>ResLight_cluster!Z239</f>
        <v>74.450346474815206</v>
      </c>
      <c r="T49" s="323">
        <f>WaterHeating_cluster!AU180</f>
        <v>54.964017265056526</v>
      </c>
      <c r="U49" s="323">
        <f>WaterHeating_cluster!Z239</f>
        <v>89.833314320919257</v>
      </c>
      <c r="V49" s="324">
        <f>'Passenger-km_cluster_lldc'!X71</f>
        <v>687.35838806010429</v>
      </c>
      <c r="W49" s="324">
        <f>'Passenger-km_cluster_mdc'!X71</f>
        <v>533.69083218958576</v>
      </c>
      <c r="X49" s="324">
        <f>'NFreight-km_cluster_all'!X71</f>
        <v>254.56001895195436</v>
      </c>
      <c r="Y49" s="324">
        <f>'GFreight-km_cluster_lldc'!X71</f>
        <v>262.51832654411731</v>
      </c>
      <c r="Z49" s="324">
        <f>'GFreight-km_cluster_mdc'!X71</f>
        <v>489.18724343822237</v>
      </c>
      <c r="AA49" s="324">
        <f>'Air-km_cluster_all'!X71</f>
        <v>396.14545363496507</v>
      </c>
      <c r="AB49" s="324">
        <f>Plastics_cluster!Z239</f>
        <v>314.29672766587817</v>
      </c>
      <c r="AC49" s="323">
        <f>Paper_cluster!AU180</f>
        <v>12.849664038977403</v>
      </c>
      <c r="AD49" s="323">
        <f>Paper_cluster!Z239</f>
        <v>109.54192819864038</v>
      </c>
      <c r="AE49" s="323">
        <f>Water_cluster!AU180</f>
        <v>36.216082568157951</v>
      </c>
      <c r="AF49" s="323">
        <f>Water_cluster!Z239</f>
        <v>44.626645111524297</v>
      </c>
      <c r="AG49" s="323">
        <f>DemandFood_cluster!I106</f>
        <v>1446.7940284898691</v>
      </c>
      <c r="AH49" s="323">
        <f>DemandFood_cluster!J106</f>
        <v>731.41283367765163</v>
      </c>
    </row>
    <row r="50" spans="1:34" x14ac:dyDescent="0.3">
      <c r="A50" s="404">
        <v>2060</v>
      </c>
      <c r="B50" s="405">
        <f t="shared" si="0"/>
        <v>10.057676982889603</v>
      </c>
      <c r="C50" s="405">
        <f t="shared" si="1"/>
        <v>5.0747209292259399</v>
      </c>
      <c r="D50" s="405">
        <f t="shared" si="2"/>
        <v>3.9473005895734197</v>
      </c>
      <c r="E50" s="405">
        <f t="shared" si="3"/>
        <v>1.0356554640902431</v>
      </c>
      <c r="G50" s="324">
        <f>Electricity_cluster!AS179</f>
        <v>1451.5291036297313</v>
      </c>
      <c r="H50" s="324">
        <f>Electricity_cluster!X238</f>
        <v>1593.0236995956705</v>
      </c>
      <c r="I50" s="324">
        <f>-(SpaceHeating_cluster_lldc!O72+SpaceCooling_cluster_lldc!O72+ComLight_cluster_lldc!O72+ReslLight_cluster_lldc!O72+WaterHeating_cluster_lldc!O72)</f>
        <v>-548.96275699471687</v>
      </c>
      <c r="J50" s="324">
        <f>-(SpaceHeating_cluster_mdc!O72+SpaceCooling_cluster_mdc!O72+ComLight_cluster_mdc!O72+ReslLight_cluster_mdc!O72+WaterHeating_cluster_mdc!O72)</f>
        <v>-402.14056163691419</v>
      </c>
      <c r="K50" s="324">
        <f>SpaceHeating_cluster!AU181</f>
        <v>303.38928161666354</v>
      </c>
      <c r="L50" s="324">
        <f>SpaceHeating_cluster!Z240</f>
        <v>272.73849395753058</v>
      </c>
      <c r="M50" s="324">
        <f>SpaceCooling_cluster!AU181</f>
        <v>240.37677123901608</v>
      </c>
      <c r="N50" s="324">
        <f>SpaceCooling_cluster!Z240</f>
        <v>178.07702326267017</v>
      </c>
      <c r="O50" s="324">
        <f>CleanCookstoves_cluster!AU181</f>
        <v>698.70282704539579</v>
      </c>
      <c r="P50" s="323">
        <f>ComLight_cluster!AU181</f>
        <v>220.22121883246467</v>
      </c>
      <c r="Q50" s="323">
        <f>ComLight_cluster!Z240</f>
        <v>119.14346796094031</v>
      </c>
      <c r="R50" s="323">
        <f>ResLight_cluster!AU181</f>
        <v>61.687269295605049</v>
      </c>
      <c r="S50" s="323">
        <f>ResLight_cluster!Z240</f>
        <v>77.241449896711714</v>
      </c>
      <c r="T50" s="323">
        <f>WaterHeating_cluster!AU181</f>
        <v>57.866893911246073</v>
      </c>
      <c r="U50" s="323">
        <f>WaterHeating_cluster!Z240</f>
        <v>92.951014935415031</v>
      </c>
      <c r="V50" s="324">
        <f>'Passenger-km_cluster_lldc'!X72</f>
        <v>733.8341998556607</v>
      </c>
      <c r="W50" s="324">
        <f>'Passenger-km_cluster_mdc'!X72</f>
        <v>566.46141867358688</v>
      </c>
      <c r="X50" s="324">
        <f>'NFreight-km_cluster_all'!X72</f>
        <v>275.71914525989882</v>
      </c>
      <c r="Y50" s="324">
        <f>'GFreight-km_cluster_lldc'!X72</f>
        <v>282.88081278441496</v>
      </c>
      <c r="Z50" s="324">
        <f>'GFreight-km_cluster_mdc'!X72</f>
        <v>524.78596600058631</v>
      </c>
      <c r="AA50" s="324">
        <f>'Air-km_cluster_all'!X72</f>
        <v>426.15939277379198</v>
      </c>
      <c r="AB50" s="324">
        <f>Plastics_cluster!Z240</f>
        <v>333.7769260565525</v>
      </c>
      <c r="AC50" s="323">
        <f>Paper_cluster!AU181</f>
        <v>13.698711235548746</v>
      </c>
      <c r="AD50" s="323">
        <f>Paper_cluster!Z240</f>
        <v>116.15515089811346</v>
      </c>
      <c r="AE50" s="323">
        <f>Water_cluster!AU181</f>
        <v>38.439289552651417</v>
      </c>
      <c r="AF50" s="323">
        <f>Water_cluster!Z240</f>
        <v>46.947525722918421</v>
      </c>
      <c r="AG50" s="323">
        <f>DemandFood_cluster!I107</f>
        <v>1521.057307222258</v>
      </c>
      <c r="AH50" s="323">
        <f>DemandFood_cluster!J107</f>
        <v>761.91594030619035</v>
      </c>
    </row>
    <row r="52" spans="1:34" x14ac:dyDescent="0.3">
      <c r="A52" s="407"/>
      <c r="B52" s="407" t="s">
        <v>303</v>
      </c>
      <c r="C52" s="407" t="s">
        <v>368</v>
      </c>
      <c r="D52" s="407" t="s">
        <v>369</v>
      </c>
      <c r="E52" s="407" t="s">
        <v>453</v>
      </c>
      <c r="G52" t="s">
        <v>303</v>
      </c>
      <c r="H52" t="s">
        <v>303</v>
      </c>
      <c r="I52" t="s">
        <v>303</v>
      </c>
      <c r="J52" t="s">
        <v>303</v>
      </c>
      <c r="K52" t="s">
        <v>303</v>
      </c>
      <c r="L52" t="s">
        <v>303</v>
      </c>
      <c r="M52" t="s">
        <v>303</v>
      </c>
      <c r="N52" t="s">
        <v>303</v>
      </c>
      <c r="O52" t="s">
        <v>303</v>
      </c>
      <c r="P52" t="s">
        <v>303</v>
      </c>
      <c r="Q52" t="s">
        <v>303</v>
      </c>
      <c r="R52" t="s">
        <v>303</v>
      </c>
      <c r="S52" t="s">
        <v>303</v>
      </c>
      <c r="T52" t="s">
        <v>303</v>
      </c>
      <c r="U52" t="s">
        <v>303</v>
      </c>
      <c r="V52" t="s">
        <v>303</v>
      </c>
      <c r="W52" t="s">
        <v>303</v>
      </c>
      <c r="X52" t="s">
        <v>303</v>
      </c>
      <c r="Y52" t="s">
        <v>303</v>
      </c>
      <c r="Z52" t="s">
        <v>303</v>
      </c>
      <c r="AA52" t="s">
        <v>303</v>
      </c>
      <c r="AB52" t="s">
        <v>303</v>
      </c>
      <c r="AC52" t="s">
        <v>303</v>
      </c>
      <c r="AD52" t="s">
        <v>303</v>
      </c>
      <c r="AE52" t="s">
        <v>303</v>
      </c>
      <c r="AF52" t="s">
        <v>303</v>
      </c>
      <c r="AG52" t="s">
        <v>303</v>
      </c>
      <c r="AH52" t="s">
        <v>303</v>
      </c>
    </row>
    <row r="53" spans="1:34" x14ac:dyDescent="0.3">
      <c r="A53" s="407" t="s">
        <v>301</v>
      </c>
      <c r="B53" s="408">
        <f>SUM(B10:B40)</f>
        <v>69.910742021875208</v>
      </c>
      <c r="C53" s="408">
        <f>SUM(C10:C40)</f>
        <v>33.304347900399463</v>
      </c>
      <c r="D53" s="408">
        <f>SUM(D10:D40)</f>
        <v>31.470270392716824</v>
      </c>
      <c r="E53" s="408">
        <f>SUM(E10:E40)</f>
        <v>5.1361237287589221</v>
      </c>
      <c r="G53" s="323">
        <f t="shared" ref="G53:AH53" si="4">SUM(G10:G40)/1000</f>
        <v>8.7544854285962881</v>
      </c>
      <c r="H53" s="323">
        <f>SUM(H10:H40)/1000</f>
        <v>13.693547803022946</v>
      </c>
      <c r="I53" s="323">
        <f t="shared" si="4"/>
        <v>-3.0532830512926306</v>
      </c>
      <c r="J53" s="323">
        <f t="shared" si="4"/>
        <v>-3.3996410153042298</v>
      </c>
      <c r="K53" s="323">
        <f t="shared" si="4"/>
        <v>1.7783911160241315</v>
      </c>
      <c r="L53" s="323">
        <f t="shared" si="4"/>
        <v>2.2040768538917934</v>
      </c>
      <c r="M53" s="323">
        <f t="shared" si="4"/>
        <v>1.3443306265142878</v>
      </c>
      <c r="N53" s="323">
        <f t="shared" si="4"/>
        <v>1.4945070279964847</v>
      </c>
      <c r="O53" s="323">
        <f t="shared" si="4"/>
        <v>5.4593300904108446</v>
      </c>
      <c r="P53" s="323">
        <f t="shared" si="4"/>
        <v>1.0359271298621544</v>
      </c>
      <c r="Q53" s="323">
        <f t="shared" si="4"/>
        <v>0.92515695894670757</v>
      </c>
      <c r="R53" s="323">
        <f t="shared" si="4"/>
        <v>0.4989269302836154</v>
      </c>
      <c r="S53" s="323">
        <f t="shared" si="4"/>
        <v>0.72285956125403972</v>
      </c>
      <c r="T53" s="323">
        <f t="shared" si="4"/>
        <v>0.39359555118689388</v>
      </c>
      <c r="U53" s="323">
        <f t="shared" si="4"/>
        <v>0.90195274259300429</v>
      </c>
      <c r="V53" s="323">
        <f t="shared" si="4"/>
        <v>3.7056773102258957</v>
      </c>
      <c r="W53" s="323">
        <f t="shared" si="4"/>
        <v>3.8122987657286762</v>
      </c>
      <c r="X53" s="323">
        <f t="shared" si="4"/>
        <v>1.1857421605824445</v>
      </c>
      <c r="Y53" s="323">
        <f t="shared" si="4"/>
        <v>1.3693510657686776</v>
      </c>
      <c r="Z53" s="323">
        <f t="shared" si="4"/>
        <v>2.9812721428024513</v>
      </c>
      <c r="AA53" s="323">
        <f t="shared" si="4"/>
        <v>1.9939946407924776</v>
      </c>
      <c r="AB53" s="323">
        <f t="shared" si="4"/>
        <v>1.9563869273839998</v>
      </c>
      <c r="AC53" s="322">
        <f t="shared" si="4"/>
        <v>8.3634118019124501E-2</v>
      </c>
      <c r="AD53" s="322">
        <f t="shared" si="4"/>
        <v>0.70813126095967183</v>
      </c>
      <c r="AE53" s="322">
        <f t="shared" si="4"/>
        <v>0.23506653216851828</v>
      </c>
      <c r="AF53" s="322">
        <f t="shared" si="4"/>
        <v>0.3394070282381022</v>
      </c>
      <c r="AG53" s="322">
        <f t="shared" si="4"/>
        <v>11.698915052631657</v>
      </c>
      <c r="AH53" s="322">
        <f t="shared" si="4"/>
        <v>7.0867012625871739</v>
      </c>
    </row>
    <row r="54" spans="1:34" x14ac:dyDescent="0.3">
      <c r="A54" s="407" t="s">
        <v>302</v>
      </c>
      <c r="B54" s="408">
        <f>SUM(B5:B50)</f>
        <v>149.07133397304844</v>
      </c>
      <c r="C54" s="408">
        <f>SUM(C5:C50)</f>
        <v>72.894469653254333</v>
      </c>
      <c r="D54" s="408">
        <f>SUM(D5:D50)</f>
        <v>63.416657511594323</v>
      </c>
      <c r="E54" s="408">
        <f>SUM(E5:E50)</f>
        <v>12.760206808199792</v>
      </c>
      <c r="G54" s="323">
        <f t="shared" ref="G54:AH54" si="5">SUM(G5:G50)/1000</f>
        <v>19.891629517948306</v>
      </c>
      <c r="H54" s="323">
        <f t="shared" si="5"/>
        <v>26.908081246745496</v>
      </c>
      <c r="I54" s="323">
        <f t="shared" si="5"/>
        <v>-7.2110875331812956</v>
      </c>
      <c r="J54" s="323">
        <f t="shared" si="5"/>
        <v>-6.7413760233062163</v>
      </c>
      <c r="K54" s="323">
        <f t="shared" si="5"/>
        <v>4.0973733368577943</v>
      </c>
      <c r="L54" s="323">
        <f t="shared" si="5"/>
        <v>4.4437351221879453</v>
      </c>
      <c r="M54" s="323">
        <f t="shared" si="5"/>
        <v>3.1674586406386069</v>
      </c>
      <c r="N54" s="323">
        <f t="shared" si="5"/>
        <v>2.969770141836416</v>
      </c>
      <c r="O54" s="323">
        <f t="shared" si="5"/>
        <v>11.177923136316002</v>
      </c>
      <c r="P54" s="323">
        <f t="shared" si="5"/>
        <v>2.6551957546865919</v>
      </c>
      <c r="Q54" s="323">
        <f t="shared" si="5"/>
        <v>1.9044771171755497</v>
      </c>
      <c r="R54" s="323">
        <f t="shared" si="5"/>
        <v>1.0057455334809267</v>
      </c>
      <c r="S54" s="323">
        <f t="shared" si="5"/>
        <v>1.3761610821014836</v>
      </c>
      <c r="T54" s="323">
        <f t="shared" si="5"/>
        <v>0.85213204002763421</v>
      </c>
      <c r="U54" s="323">
        <f t="shared" si="5"/>
        <v>1.6966492806433942</v>
      </c>
      <c r="V54" s="323">
        <f t="shared" si="5"/>
        <v>9.1933786276016924</v>
      </c>
      <c r="W54" s="323">
        <f t="shared" si="5"/>
        <v>8.2069470993625728</v>
      </c>
      <c r="X54" s="323">
        <f t="shared" si="5"/>
        <v>3.1449927332614815</v>
      </c>
      <c r="Y54" s="323">
        <f t="shared" si="5"/>
        <v>3.423959476370078</v>
      </c>
      <c r="Z54" s="323">
        <f t="shared" si="5"/>
        <v>6.8761167631762463</v>
      </c>
      <c r="AA54" s="323">
        <f t="shared" si="5"/>
        <v>5.0999709265125359</v>
      </c>
      <c r="AB54" s="323">
        <f t="shared" si="5"/>
        <v>4.5152431484257738</v>
      </c>
      <c r="AC54" s="322">
        <f t="shared" si="5"/>
        <v>0.18693075258206074</v>
      </c>
      <c r="AD54" s="322">
        <f t="shared" si="5"/>
        <v>1.6053315174304204</v>
      </c>
      <c r="AE54" s="322">
        <f t="shared" si="5"/>
        <v>0.53039193656022732</v>
      </c>
      <c r="AF54" s="322">
        <f t="shared" si="5"/>
        <v>0.71439200623290366</v>
      </c>
      <c r="AG54" s="322">
        <f t="shared" si="5"/>
        <v>23.923438433365718</v>
      </c>
      <c r="AH54" s="322">
        <f t="shared" si="5"/>
        <v>13.456372158008097</v>
      </c>
    </row>
    <row r="55" spans="1:34" x14ac:dyDescent="0.3">
      <c r="C55" s="412">
        <f>C53/B53</f>
        <v>0.47638384227102709</v>
      </c>
      <c r="D55" s="412">
        <f>D53/B53</f>
        <v>0.45014928296526613</v>
      </c>
      <c r="E55" s="412">
        <f>E53/B53</f>
        <v>7.3466874763706821E-2</v>
      </c>
      <c r="G55" s="536" t="s">
        <v>172</v>
      </c>
      <c r="H55" s="536"/>
      <c r="I55" s="536"/>
      <c r="J55" s="536"/>
      <c r="K55" s="540" t="s">
        <v>325</v>
      </c>
      <c r="L55" s="540"/>
      <c r="M55" s="540"/>
      <c r="N55" s="540"/>
      <c r="O55" s="540"/>
      <c r="P55" s="540"/>
      <c r="Q55" s="540"/>
      <c r="R55" s="540"/>
      <c r="S55" s="540"/>
      <c r="T55" s="540"/>
      <c r="U55" s="540"/>
      <c r="V55" s="541" t="s">
        <v>380</v>
      </c>
      <c r="W55" s="541"/>
      <c r="X55" s="541"/>
      <c r="Y55" s="541"/>
      <c r="Z55" s="541"/>
      <c r="AA55" s="541"/>
      <c r="AB55" s="542" t="s">
        <v>402</v>
      </c>
      <c r="AC55" s="542"/>
      <c r="AD55" s="542"/>
      <c r="AE55" s="542"/>
      <c r="AF55" s="542"/>
      <c r="AG55" s="535" t="s">
        <v>427</v>
      </c>
      <c r="AH55" s="535"/>
    </row>
    <row r="63" spans="1:34" x14ac:dyDescent="0.3">
      <c r="C63" t="s">
        <v>458</v>
      </c>
    </row>
    <row r="64" spans="1:34" s="379" customFormat="1" x14ac:dyDescent="0.3">
      <c r="B64" s="379" t="s">
        <v>371</v>
      </c>
      <c r="C64" s="379" t="s">
        <v>372</v>
      </c>
      <c r="G64" s="382" t="s">
        <v>371</v>
      </c>
      <c r="H64" s="382" t="s">
        <v>372</v>
      </c>
      <c r="I64" s="382"/>
      <c r="J64" s="382"/>
      <c r="K64" s="382" t="s">
        <v>404</v>
      </c>
      <c r="O64" s="381" t="s">
        <v>371</v>
      </c>
      <c r="P64" s="381" t="s">
        <v>372</v>
      </c>
      <c r="V64" s="380" t="s">
        <v>371</v>
      </c>
      <c r="W64" s="380" t="s">
        <v>372</v>
      </c>
    </row>
    <row r="65" spans="1:23" x14ac:dyDescent="0.3">
      <c r="A65" t="s">
        <v>370</v>
      </c>
      <c r="B65">
        <v>19.78</v>
      </c>
      <c r="C65">
        <v>83.18</v>
      </c>
      <c r="G65">
        <v>9.6900000000000013</v>
      </c>
      <c r="H65">
        <v>27.53</v>
      </c>
      <c r="K65" s="322">
        <v>-16.240524657338721</v>
      </c>
      <c r="O65" s="323">
        <v>5.4107161471736607</v>
      </c>
      <c r="P65" s="323">
        <v>32.376645269793471</v>
      </c>
      <c r="V65" s="323">
        <v>3.1988117364866047</v>
      </c>
      <c r="W65" s="323">
        <v>18.089553765981712</v>
      </c>
    </row>
    <row r="66" spans="1:23" x14ac:dyDescent="0.3">
      <c r="A66" t="s">
        <v>403</v>
      </c>
      <c r="B66" t="s">
        <v>177</v>
      </c>
      <c r="C66" s="323">
        <f>B53</f>
        <v>69.910742021875208</v>
      </c>
      <c r="H66" s="323">
        <f>SUM(G53:H53)</f>
        <v>22.448033231619235</v>
      </c>
      <c r="I66" s="323"/>
      <c r="J66" s="323"/>
      <c r="P66" s="323">
        <f>SUM(K53:U53)</f>
        <v>16.759054588963959</v>
      </c>
      <c r="W66" s="323">
        <f>SUM(V53:AA53)</f>
        <v>15.048336085900623</v>
      </c>
    </row>
    <row r="70" spans="1:23" x14ac:dyDescent="0.3">
      <c r="G70" s="537" t="s">
        <v>456</v>
      </c>
      <c r="H70" s="538"/>
      <c r="I70" s="538"/>
      <c r="J70" s="538"/>
    </row>
    <row r="71" spans="1:23" x14ac:dyDescent="0.3">
      <c r="B71" t="s">
        <v>368</v>
      </c>
      <c r="D71" t="s">
        <v>369</v>
      </c>
      <c r="G71" s="404" t="s">
        <v>419</v>
      </c>
      <c r="H71" s="404" t="s">
        <v>454</v>
      </c>
      <c r="I71" s="404" t="s">
        <v>455</v>
      </c>
      <c r="J71" s="410" t="s">
        <v>457</v>
      </c>
    </row>
    <row r="72" spans="1:23" x14ac:dyDescent="0.3">
      <c r="A72">
        <v>2014</v>
      </c>
      <c r="B72" s="384">
        <f>(Population_Tables!F3+Population_Tables!G3-Population_Tables!I3)*10^6</f>
        <v>3940708813.000001</v>
      </c>
      <c r="C72">
        <f>C4/B72</f>
        <v>0</v>
      </c>
      <c r="D72">
        <f>Population_Tables!D3+Population_Tables!E3+Population_Tables!H3+Population_Tables!I3</f>
        <v>3353.9422210000002</v>
      </c>
      <c r="E72">
        <f>D4/D72</f>
        <v>-1.6081009877114598E-9</v>
      </c>
      <c r="G72" s="404">
        <v>2014</v>
      </c>
      <c r="H72" s="409">
        <f>C4</f>
        <v>0</v>
      </c>
      <c r="I72" s="409">
        <f>D4</f>
        <v>-5.3934777983172675E-6</v>
      </c>
      <c r="J72" s="409">
        <f>E4</f>
        <v>-1.5004219018436719E-6</v>
      </c>
    </row>
    <row r="73" spans="1:23" x14ac:dyDescent="0.3">
      <c r="A73">
        <v>2015</v>
      </c>
      <c r="B73" s="384">
        <f>(Population_Tables!F4+Population_Tables!G4-Population_Tables!I4)*10^6</f>
        <v>4006161192.9999981</v>
      </c>
      <c r="C73">
        <f t="shared" ref="C73:C118" si="6">C5/B73</f>
        <v>0</v>
      </c>
      <c r="D73">
        <f>Population_Tables!D4+Population_Tables!E4+Population_Tables!H4+Population_Tables!I4</f>
        <v>3372.9956860000002</v>
      </c>
      <c r="E73">
        <f t="shared" ref="E73:E118" si="7">D5/D73</f>
        <v>-8.7377403686782806E-10</v>
      </c>
      <c r="G73" s="404">
        <v>2015</v>
      </c>
      <c r="H73" s="409">
        <f>H72+C5</f>
        <v>0</v>
      </c>
      <c r="I73" s="409">
        <f>I72+D5</f>
        <v>-8.3407138552112572E-6</v>
      </c>
      <c r="J73" s="409">
        <f>J72+E5</f>
        <v>-4.2941170712427282E-6</v>
      </c>
    </row>
    <row r="74" spans="1:23" x14ac:dyDescent="0.3">
      <c r="A74">
        <v>2016</v>
      </c>
      <c r="B74" s="384">
        <f>(Population_Tables!F5+Population_Tables!G5-Population_Tables!I5)*10^6</f>
        <v>4071800552</v>
      </c>
      <c r="C74">
        <f t="shared" si="6"/>
        <v>1.2198027880438574E-12</v>
      </c>
      <c r="D74">
        <f>Population_Tables!D5+Population_Tables!E5+Population_Tables!H5+Population_Tables!I5</f>
        <v>3391.5810550000001</v>
      </c>
      <c r="E74">
        <f t="shared" si="7"/>
        <v>1.060695252357932E-6</v>
      </c>
      <c r="G74" s="404">
        <v>2016</v>
      </c>
      <c r="H74" s="409">
        <f t="shared" ref="H74:H118" si="8">H73+C6</f>
        <v>4.9667936656881181E-3</v>
      </c>
      <c r="I74" s="409">
        <f t="shared" ref="I74:I118" si="9">I73+D6</f>
        <v>3.5890932091703948E-3</v>
      </c>
      <c r="J74" s="409">
        <f t="shared" ref="J74:J118" si="10">J73+E6</f>
        <v>-7.1036177295372996E-6</v>
      </c>
    </row>
    <row r="75" spans="1:23" x14ac:dyDescent="0.3">
      <c r="A75">
        <v>2017</v>
      </c>
      <c r="B75" s="384">
        <f>(Population_Tables!F6+Population_Tables!G6-Population_Tables!I6)*10^6</f>
        <v>4137593717.999999</v>
      </c>
      <c r="C75">
        <f t="shared" si="6"/>
        <v>2.9647195081122334E-12</v>
      </c>
      <c r="D75">
        <f>Population_Tables!D6+Population_Tables!E6+Population_Tables!H6+Population_Tables!I6</f>
        <v>3409.6247169999997</v>
      </c>
      <c r="E75">
        <f t="shared" si="7"/>
        <v>2.5854327403877023E-6</v>
      </c>
      <c r="G75" s="404">
        <v>2017</v>
      </c>
      <c r="H75" s="409">
        <f t="shared" si="8"/>
        <v>1.7233598478085341E-2</v>
      </c>
      <c r="I75" s="409">
        <f t="shared" si="9"/>
        <v>1.2404448584937347E-2</v>
      </c>
      <c r="J75" s="409">
        <f t="shared" si="10"/>
        <v>-9.9205744660479834E-6</v>
      </c>
    </row>
    <row r="76" spans="1:23" x14ac:dyDescent="0.3">
      <c r="A76">
        <v>2018</v>
      </c>
      <c r="B76" s="384">
        <f>(Population_Tables!F7+Population_Tables!G7-Population_Tables!I7)*10^6</f>
        <v>4203504910.9999981</v>
      </c>
      <c r="C76">
        <f t="shared" si="6"/>
        <v>5.1311722203113568E-12</v>
      </c>
      <c r="D76">
        <f>Population_Tables!D7+Population_Tables!E7+Population_Tables!H7+Population_Tables!I7</f>
        <v>3426.9457070000003</v>
      </c>
      <c r="E76">
        <f t="shared" si="7"/>
        <v>4.4990532073076644E-6</v>
      </c>
      <c r="G76" s="404">
        <v>2018</v>
      </c>
      <c r="H76" s="409">
        <f t="shared" si="8"/>
        <v>3.8802506105350895E-2</v>
      </c>
      <c r="I76" s="409">
        <f t="shared" si="9"/>
        <v>2.782245965928493E-2</v>
      </c>
      <c r="J76" s="409">
        <f t="shared" si="10"/>
        <v>-1.2736800529009811E-5</v>
      </c>
    </row>
    <row r="77" spans="1:23" x14ac:dyDescent="0.3">
      <c r="A77">
        <v>2019</v>
      </c>
      <c r="B77" s="384">
        <f>(Population_Tables!F8+Population_Tables!G8-Population_Tables!I8)*10^6</f>
        <v>4269502845.9999995</v>
      </c>
      <c r="C77">
        <f t="shared" si="6"/>
        <v>7.5728243576603465E-12</v>
      </c>
      <c r="D77">
        <f>Population_Tables!D8+Population_Tables!E8+Population_Tables!H8+Population_Tables!I8</f>
        <v>3443.3248739999999</v>
      </c>
      <c r="E77">
        <f t="shared" si="7"/>
        <v>6.6842531513494575E-6</v>
      </c>
      <c r="G77" s="404">
        <v>2019</v>
      </c>
      <c r="H77" s="409">
        <f t="shared" si="8"/>
        <v>7.1134701252639862E-2</v>
      </c>
      <c r="I77" s="409">
        <f t="shared" si="9"/>
        <v>5.0838514799439405E-2</v>
      </c>
      <c r="J77" s="409">
        <f t="shared" si="10"/>
        <v>-1.5558594771904707E-5</v>
      </c>
    </row>
    <row r="78" spans="1:23" x14ac:dyDescent="0.3">
      <c r="A78">
        <v>2020</v>
      </c>
      <c r="B78" s="384">
        <f>(Population_Tables!F9+Population_Tables!G9-Population_Tables!I9)*10^6</f>
        <v>4335553174.0000029</v>
      </c>
      <c r="C78">
        <f t="shared" si="6"/>
        <v>1.0180755366285692E-11</v>
      </c>
      <c r="D78">
        <f>Population_Tables!D9+Population_Tables!E9+Population_Tables!H9+Population_Tables!I9</f>
        <v>3459.2282379999997</v>
      </c>
      <c r="E78">
        <f t="shared" si="7"/>
        <v>9.0507893755125124E-6</v>
      </c>
      <c r="G78" s="404">
        <v>2020</v>
      </c>
      <c r="H78" s="409">
        <f t="shared" si="8"/>
        <v>0.11527390749465735</v>
      </c>
      <c r="I78" s="409">
        <f t="shared" si="9"/>
        <v>8.2147260983402665E-2</v>
      </c>
      <c r="J78" s="409">
        <f t="shared" si="10"/>
        <v>-1.8393110563761649E-5</v>
      </c>
    </row>
    <row r="79" spans="1:23" x14ac:dyDescent="0.3">
      <c r="A79">
        <v>2021</v>
      </c>
      <c r="B79" s="384">
        <f>(Population_Tables!F10+Population_Tables!G10-Population_Tables!I10)*10^6</f>
        <v>4406286788.9999981</v>
      </c>
      <c r="C79">
        <f t="shared" si="6"/>
        <v>1.580643270221771E-11</v>
      </c>
      <c r="D79">
        <f>Population_Tables!D10+Population_Tables!E10+Population_Tables!H10+Population_Tables!I10</f>
        <v>3473.5999599999996</v>
      </c>
      <c r="E79">
        <f t="shared" si="7"/>
        <v>1.7576352329276647E-5</v>
      </c>
      <c r="G79" s="404">
        <v>2021</v>
      </c>
      <c r="H79" s="409">
        <f t="shared" si="8"/>
        <v>0.18492158309165679</v>
      </c>
      <c r="I79" s="409">
        <f t="shared" si="9"/>
        <v>0.14320047773132394</v>
      </c>
      <c r="J79" s="409">
        <f t="shared" si="10"/>
        <v>2.547112673635232E-3</v>
      </c>
    </row>
    <row r="80" spans="1:23" x14ac:dyDescent="0.3">
      <c r="A80">
        <v>2022</v>
      </c>
      <c r="B80" s="384">
        <f>(Population_Tables!F11+Population_Tables!G11-Population_Tables!I11)*10^6</f>
        <v>4478675730</v>
      </c>
      <c r="C80">
        <f t="shared" si="6"/>
        <v>2.2431662206796833E-11</v>
      </c>
      <c r="D80">
        <f>Population_Tables!D11+Population_Tables!E11+Population_Tables!H11+Population_Tables!I11</f>
        <v>3487.2222940000001</v>
      </c>
      <c r="E80">
        <f t="shared" si="7"/>
        <v>2.772350174975828E-5</v>
      </c>
      <c r="G80" s="404">
        <v>2022</v>
      </c>
      <c r="H80" s="409">
        <f t="shared" si="8"/>
        <v>0.285385724200796</v>
      </c>
      <c r="I80" s="409">
        <f t="shared" si="9"/>
        <v>0.23987849110082904</v>
      </c>
      <c r="J80" s="409">
        <f t="shared" si="10"/>
        <v>8.4747248677896313E-3</v>
      </c>
    </row>
    <row r="81" spans="1:10" x14ac:dyDescent="0.3">
      <c r="A81">
        <v>2023</v>
      </c>
      <c r="B81" s="384">
        <f>(Population_Tables!F12+Population_Tables!G12-Population_Tables!I12)*10^6</f>
        <v>4552396788</v>
      </c>
      <c r="C81">
        <f t="shared" si="6"/>
        <v>2.993020228606214E-11</v>
      </c>
      <c r="D81">
        <f>Population_Tables!D12+Population_Tables!E12+Population_Tables!H12+Population_Tables!I12</f>
        <v>3500.086421</v>
      </c>
      <c r="E81">
        <f t="shared" si="7"/>
        <v>3.9300848496901646E-5</v>
      </c>
      <c r="G81" s="404">
        <v>2023</v>
      </c>
      <c r="H81" s="409">
        <f t="shared" si="8"/>
        <v>0.42163988095205551</v>
      </c>
      <c r="I81" s="409">
        <f t="shared" si="9"/>
        <v>0.37743485725861275</v>
      </c>
      <c r="J81" s="409">
        <f t="shared" si="10"/>
        <v>1.8521822365283037E-2</v>
      </c>
    </row>
    <row r="82" spans="1:10" x14ac:dyDescent="0.3">
      <c r="A82">
        <v>2024</v>
      </c>
      <c r="B82" s="384">
        <f>(Population_Tables!F13+Population_Tables!G13-Population_Tables!I13)*10^6</f>
        <v>4627189625.999999</v>
      </c>
      <c r="C82">
        <f t="shared" si="6"/>
        <v>3.8240863390598849E-11</v>
      </c>
      <c r="D82">
        <f>Population_Tables!D13+Population_Tables!E13+Population_Tables!H13+Population_Tables!I13</f>
        <v>3512.1920639999998</v>
      </c>
      <c r="E82">
        <f t="shared" si="7"/>
        <v>5.222295567774325E-5</v>
      </c>
      <c r="G82" s="404">
        <v>2024</v>
      </c>
      <c r="H82" s="409">
        <f t="shared" si="8"/>
        <v>0.59858760732231764</v>
      </c>
      <c r="I82" s="409">
        <f t="shared" si="9"/>
        <v>0.56085190774860627</v>
      </c>
      <c r="J82" s="409">
        <f t="shared" si="10"/>
        <v>3.3451663009570226E-2</v>
      </c>
    </row>
    <row r="83" spans="1:10" x14ac:dyDescent="0.3">
      <c r="A83">
        <v>2025</v>
      </c>
      <c r="B83" s="384">
        <f>(Population_Tables!F14+Population_Tables!G14-Population_Tables!I14)*10^6</f>
        <v>4702856763.9999981</v>
      </c>
      <c r="C83">
        <f t="shared" si="6"/>
        <v>4.7322612601205034E-11</v>
      </c>
      <c r="D83">
        <f>Population_Tables!D14+Population_Tables!E14+Population_Tables!H14+Population_Tables!I14</f>
        <v>3523.547599</v>
      </c>
      <c r="E83">
        <f t="shared" si="7"/>
        <v>6.6429799407523925E-5</v>
      </c>
      <c r="G83" s="404">
        <v>2025</v>
      </c>
      <c r="H83" s="409">
        <f t="shared" si="8"/>
        <v>0.82113907608404624</v>
      </c>
      <c r="I83" s="409">
        <f t="shared" si="9"/>
        <v>0.79492046795303883</v>
      </c>
      <c r="J83" s="409">
        <f t="shared" si="10"/>
        <v>5.4044392112976056E-2</v>
      </c>
    </row>
    <row r="84" spans="1:10" x14ac:dyDescent="0.3">
      <c r="A84">
        <v>2026</v>
      </c>
      <c r="B84" s="384">
        <f>(Population_Tables!F15+Population_Tables!G15-Population_Tables!I15)*10^6</f>
        <v>4779267396.999999</v>
      </c>
      <c r="C84">
        <f t="shared" si="6"/>
        <v>5.7093335283587195E-11</v>
      </c>
      <c r="D84">
        <f>Population_Tables!D15+Population_Tables!E15+Population_Tables!H15+Population_Tables!I15</f>
        <v>3534.1705299999994</v>
      </c>
      <c r="E84">
        <f t="shared" si="7"/>
        <v>8.1802836395623456E-5</v>
      </c>
      <c r="G84" s="404">
        <v>2026</v>
      </c>
      <c r="H84" s="409">
        <f t="shared" si="8"/>
        <v>1.0940033919908843</v>
      </c>
      <c r="I84" s="409">
        <f t="shared" si="9"/>
        <v>1.0840256416128626</v>
      </c>
      <c r="J84" s="409">
        <f t="shared" si="10"/>
        <v>8.1095069423149563E-2</v>
      </c>
    </row>
    <row r="85" spans="1:10" x14ac:dyDescent="0.3">
      <c r="A85">
        <v>2027</v>
      </c>
      <c r="B85" s="384">
        <f>(Population_Tables!F16+Population_Tables!G16-Population_Tables!I16)*10^6</f>
        <v>4856353182.0000029</v>
      </c>
      <c r="C85">
        <f t="shared" si="6"/>
        <v>6.7521217244999913E-11</v>
      </c>
      <c r="D85">
        <f>Population_Tables!D16+Population_Tables!E16+Population_Tables!H16+Population_Tables!I16</f>
        <v>3544.086781</v>
      </c>
      <c r="E85">
        <f t="shared" si="7"/>
        <v>9.8271878331177953E-5</v>
      </c>
      <c r="G85" s="404">
        <v>2027</v>
      </c>
      <c r="H85" s="409">
        <f t="shared" si="8"/>
        <v>1.421910270211153</v>
      </c>
      <c r="I85" s="409">
        <f t="shared" si="9"/>
        <v>1.4323097065504307</v>
      </c>
      <c r="J85" s="409">
        <f t="shared" si="10"/>
        <v>0.11541568935819921</v>
      </c>
    </row>
    <row r="86" spans="1:10" x14ac:dyDescent="0.3">
      <c r="A86">
        <v>2028</v>
      </c>
      <c r="B86" s="384">
        <f>(Population_Tables!F17+Population_Tables!G17-Population_Tables!I17)*10^6</f>
        <v>4934099929.9999981</v>
      </c>
      <c r="C86">
        <f t="shared" si="6"/>
        <v>7.8533311305674234E-11</v>
      </c>
      <c r="D86">
        <f>Population_Tables!D17+Population_Tables!E17+Population_Tables!H17+Population_Tables!I17</f>
        <v>3553.3295779999994</v>
      </c>
      <c r="E86">
        <f t="shared" si="7"/>
        <v>1.1575861167938862E-4</v>
      </c>
      <c r="G86" s="404">
        <v>2028</v>
      </c>
      <c r="H86" s="409">
        <f t="shared" si="8"/>
        <v>1.8094014760271482</v>
      </c>
      <c r="I86" s="409">
        <f t="shared" si="9"/>
        <v>1.8436382053390183</v>
      </c>
      <c r="J86" s="409">
        <f t="shared" si="10"/>
        <v>0.15786186490449222</v>
      </c>
    </row>
    <row r="87" spans="1:10" x14ac:dyDescent="0.3">
      <c r="A87">
        <v>2029</v>
      </c>
      <c r="B87" s="384">
        <f>(Population_Tables!F18+Population_Tables!G18-Population_Tables!I18)*10^6</f>
        <v>5012531616.9999981</v>
      </c>
      <c r="C87">
        <f t="shared" si="6"/>
        <v>9.006496570279232E-11</v>
      </c>
      <c r="D87">
        <f>Population_Tables!D18+Population_Tables!E18+Population_Tables!H18+Population_Tables!I18</f>
        <v>3561.9362490000003</v>
      </c>
      <c r="E87">
        <f t="shared" si="7"/>
        <v>1.342015825111617E-4</v>
      </c>
      <c r="G87" s="404">
        <v>2029</v>
      </c>
      <c r="H87" s="409">
        <f t="shared" si="8"/>
        <v>2.2608549641964153</v>
      </c>
      <c r="I87" s="409">
        <f t="shared" si="9"/>
        <v>2.3216556867586897</v>
      </c>
      <c r="J87" s="409">
        <f t="shared" si="10"/>
        <v>0.20934364261619517</v>
      </c>
    </row>
    <row r="88" spans="1:10" x14ac:dyDescent="0.3">
      <c r="A88">
        <v>2030</v>
      </c>
      <c r="B88" s="384">
        <f>(Population_Tables!F19+Population_Tables!G19-Population_Tables!I19)*10^6</f>
        <v>5091664354</v>
      </c>
      <c r="C88">
        <f t="shared" si="6"/>
        <v>1.020833979417135E-10</v>
      </c>
      <c r="D88">
        <f>Population_Tables!D19+Population_Tables!E19+Population_Tables!H19+Population_Tables!I19</f>
        <v>3569.9403329999996</v>
      </c>
      <c r="E88">
        <f t="shared" si="7"/>
        <v>1.5358029252995469E-4</v>
      </c>
      <c r="G88" s="404">
        <v>2030</v>
      </c>
      <c r="H88" s="409">
        <f t="shared" si="8"/>
        <v>2.7806293626314349</v>
      </c>
      <c r="I88" s="409">
        <f t="shared" si="9"/>
        <v>2.8699281674153134</v>
      </c>
      <c r="J88" s="409">
        <f t="shared" si="10"/>
        <v>0.27083029160745858</v>
      </c>
    </row>
    <row r="89" spans="1:10" x14ac:dyDescent="0.3">
      <c r="A89">
        <v>2031</v>
      </c>
      <c r="B89" s="384">
        <f>(Population_Tables!F20+Population_Tables!G20-Population_Tables!I20)*10^6</f>
        <v>5171456788.9999981</v>
      </c>
      <c r="C89">
        <f t="shared" si="6"/>
        <v>1.1437463484325353E-10</v>
      </c>
      <c r="D89">
        <f>Population_Tables!D20+Population_Tables!E20+Population_Tables!H20+Population_Tables!I20</f>
        <v>3577.3634079999997</v>
      </c>
      <c r="E89">
        <f t="shared" si="7"/>
        <v>1.7370291671505708E-4</v>
      </c>
      <c r="G89" s="404">
        <v>2031</v>
      </c>
      <c r="H89" s="409">
        <f t="shared" si="8"/>
        <v>3.372112844480974</v>
      </c>
      <c r="I89" s="409">
        <f t="shared" si="9"/>
        <v>3.4913266255346302</v>
      </c>
      <c r="J89" s="409">
        <f t="shared" si="10"/>
        <v>0.34334042314634589</v>
      </c>
    </row>
    <row r="90" spans="1:10" x14ac:dyDescent="0.3">
      <c r="A90">
        <v>2032</v>
      </c>
      <c r="B90" s="384">
        <f>(Population_Tables!F21+Population_Tables!G21-Population_Tables!I21)*10^6</f>
        <v>5251767191.0000029</v>
      </c>
      <c r="C90">
        <f t="shared" si="6"/>
        <v>1.2706226996410776E-10</v>
      </c>
      <c r="D90">
        <f>Population_Tables!D21+Population_Tables!E21+Population_Tables!H21+Population_Tables!I21</f>
        <v>3584.2069620000002</v>
      </c>
      <c r="E90">
        <f t="shared" si="7"/>
        <v>1.9461914997388963E-4</v>
      </c>
      <c r="G90" s="404">
        <v>2032</v>
      </c>
      <c r="H90" s="409">
        <f t="shared" si="8"/>
        <v>4.0394143050924605</v>
      </c>
      <c r="I90" s="409">
        <f t="shared" si="9"/>
        <v>4.1888819378095672</v>
      </c>
      <c r="J90" s="409">
        <f t="shared" si="10"/>
        <v>0.42789819397541407</v>
      </c>
    </row>
    <row r="91" spans="1:10" x14ac:dyDescent="0.3">
      <c r="A91">
        <v>2033</v>
      </c>
      <c r="B91" s="384">
        <f>(Population_Tables!F22+Population_Tables!G22-Population_Tables!I22)*10^6</f>
        <v>5332334607</v>
      </c>
      <c r="C91">
        <f t="shared" si="6"/>
        <v>1.4004659674664773E-10</v>
      </c>
      <c r="D91">
        <f>Population_Tables!D22+Population_Tables!E22+Population_Tables!H22+Population_Tables!I22</f>
        <v>3590.4497350000001</v>
      </c>
      <c r="E91">
        <f t="shared" si="7"/>
        <v>2.1611623786387682E-4</v>
      </c>
      <c r="G91" s="404">
        <v>2033</v>
      </c>
      <c r="H91" s="409">
        <f t="shared" si="8"/>
        <v>4.7861896195171836</v>
      </c>
      <c r="I91" s="409">
        <f t="shared" si="9"/>
        <v>4.9648364267771203</v>
      </c>
      <c r="J91" s="409">
        <f t="shared" si="10"/>
        <v>0.52545596604178768</v>
      </c>
    </row>
    <row r="92" spans="1:10" x14ac:dyDescent="0.3">
      <c r="A92">
        <v>2034</v>
      </c>
      <c r="B92" s="384">
        <f>(Population_Tables!F23+Population_Tables!G23-Population_Tables!I23)*10^6</f>
        <v>5412831268.0000019</v>
      </c>
      <c r="C92">
        <f t="shared" si="6"/>
        <v>1.5322388069071464E-10</v>
      </c>
      <c r="D92">
        <f>Population_Tables!D23+Population_Tables!E23+Population_Tables!H23+Population_Tables!I23</f>
        <v>3596.0563499999998</v>
      </c>
      <c r="E92">
        <f t="shared" si="7"/>
        <v>2.3795957854647572E-4</v>
      </c>
      <c r="G92" s="404">
        <v>2034</v>
      </c>
      <c r="H92" s="409">
        <f t="shared" si="8"/>
        <v>5.6155646319241859</v>
      </c>
      <c r="I92" s="409">
        <f t="shared" si="9"/>
        <v>5.8205524802524984</v>
      </c>
      <c r="J92" s="409">
        <f t="shared" si="10"/>
        <v>0.63684476256547906</v>
      </c>
    </row>
    <row r="93" spans="1:10" x14ac:dyDescent="0.3">
      <c r="A93">
        <v>2035</v>
      </c>
      <c r="B93" s="384">
        <f>(Population_Tables!F24+Population_Tables!G24-Population_Tables!I24)*10^6</f>
        <v>5493017510.9999962</v>
      </c>
      <c r="C93">
        <f t="shared" si="6"/>
        <v>1.6646785171180252E-10</v>
      </c>
      <c r="D93">
        <f>Population_Tables!D24+Population_Tables!E24+Population_Tables!H24+Population_Tables!I24</f>
        <v>3601.0043449999998</v>
      </c>
      <c r="E93">
        <f t="shared" si="7"/>
        <v>2.5997064190707322E-4</v>
      </c>
      <c r="G93" s="404">
        <v>2035</v>
      </c>
      <c r="H93" s="409">
        <f t="shared" si="8"/>
        <v>6.5299754563956682</v>
      </c>
      <c r="I93" s="409">
        <f t="shared" si="9"/>
        <v>6.756707891332308</v>
      </c>
      <c r="J93" s="409">
        <f t="shared" si="10"/>
        <v>0.76280748044569746</v>
      </c>
    </row>
    <row r="94" spans="1:10" x14ac:dyDescent="0.3">
      <c r="A94">
        <v>2036</v>
      </c>
      <c r="B94" s="384">
        <f>(Population_Tables!F25+Population_Tables!G25-Population_Tables!I25)*10^6</f>
        <v>5572788712.999999</v>
      </c>
      <c r="C94">
        <f t="shared" si="6"/>
        <v>1.7993786362047861E-10</v>
      </c>
      <c r="D94">
        <f>Population_Tables!D25+Population_Tables!E25+Population_Tables!H25+Population_Tables!I25</f>
        <v>3605.2937119999997</v>
      </c>
      <c r="E94">
        <f t="shared" si="7"/>
        <v>2.821124049754451E-4</v>
      </c>
      <c r="G94" s="404">
        <v>2036</v>
      </c>
      <c r="H94" s="409">
        <f t="shared" si="8"/>
        <v>7.5327311518212046</v>
      </c>
      <c r="I94" s="409">
        <f t="shared" si="9"/>
        <v>7.7738059710674774</v>
      </c>
      <c r="J94" s="409">
        <f t="shared" si="10"/>
        <v>0.90406374353239127</v>
      </c>
    </row>
    <row r="95" spans="1:10" x14ac:dyDescent="0.3">
      <c r="A95">
        <v>2037</v>
      </c>
      <c r="B95" s="384">
        <f>(Population_Tables!F26+Population_Tables!G26-Population_Tables!I26)*10^6</f>
        <v>5652180420</v>
      </c>
      <c r="C95">
        <f t="shared" si="6"/>
        <v>1.9349019499684031E-10</v>
      </c>
      <c r="D95">
        <f>Population_Tables!D26+Population_Tables!E26+Population_Tables!H26+Population_Tables!I26</f>
        <v>3608.9451230000004</v>
      </c>
      <c r="E95">
        <f t="shared" si="7"/>
        <v>3.0439536934149668E-4</v>
      </c>
      <c r="G95" s="404">
        <v>2037</v>
      </c>
      <c r="H95" s="409">
        <f t="shared" si="8"/>
        <v>8.6263726434443271</v>
      </c>
      <c r="I95" s="409">
        <f t="shared" si="9"/>
        <v>8.8723521547162552</v>
      </c>
      <c r="J95" s="409">
        <f t="shared" si="10"/>
        <v>1.0613916126194329</v>
      </c>
    </row>
    <row r="96" spans="1:10" x14ac:dyDescent="0.3">
      <c r="A96">
        <v>2038</v>
      </c>
      <c r="B96" s="384">
        <f>(Population_Tables!F27+Population_Tables!G27-Population_Tables!I27)*10^6</f>
        <v>5731273033</v>
      </c>
      <c r="C96">
        <f t="shared" si="6"/>
        <v>2.0726884504772648E-10</v>
      </c>
      <c r="D96">
        <f>Population_Tables!D27+Population_Tables!E27+Population_Tables!H27+Population_Tables!I27</f>
        <v>3611.9832530000003</v>
      </c>
      <c r="E96">
        <f t="shared" si="7"/>
        <v>3.2694217826452818E-4</v>
      </c>
      <c r="G96" s="404">
        <v>2038</v>
      </c>
      <c r="H96" s="409">
        <f t="shared" si="8"/>
        <v>9.8142869856474171</v>
      </c>
      <c r="I96" s="409">
        <f t="shared" si="9"/>
        <v>10.053261827307072</v>
      </c>
      <c r="J96" s="409">
        <f t="shared" si="10"/>
        <v>1.2356646484492333</v>
      </c>
    </row>
    <row r="97" spans="1:10" x14ac:dyDescent="0.3">
      <c r="A97">
        <v>2039</v>
      </c>
      <c r="B97" s="384">
        <f>(Population_Tables!F28+Population_Tables!G28-Population_Tables!I28)*10^6</f>
        <v>5810214072.0000029</v>
      </c>
      <c r="C97">
        <f t="shared" si="6"/>
        <v>2.2139002564028167E-10</v>
      </c>
      <c r="D97">
        <f>Population_Tables!D28+Population_Tables!E28+Population_Tables!H28+Population_Tables!I28</f>
        <v>3614.4413200000004</v>
      </c>
      <c r="E97">
        <f t="shared" si="7"/>
        <v>3.4992533550759437E-4</v>
      </c>
      <c r="G97" s="404">
        <v>2039</v>
      </c>
      <c r="H97" s="409">
        <f t="shared" si="8"/>
        <v>11.100610428023023</v>
      </c>
      <c r="I97" s="409">
        <f t="shared" si="9"/>
        <v>11.318046418880584</v>
      </c>
      <c r="J97" s="409">
        <f t="shared" si="10"/>
        <v>1.4279053155964505</v>
      </c>
    </row>
    <row r="98" spans="1:10" x14ac:dyDescent="0.3">
      <c r="A98">
        <v>2040</v>
      </c>
      <c r="B98" s="384">
        <f>(Population_Tables!F29+Population_Tables!G29-Population_Tables!I29)*10^6</f>
        <v>5889124217.000001</v>
      </c>
      <c r="C98">
        <f t="shared" si="6"/>
        <v>2.3588435103917367E-10</v>
      </c>
      <c r="D98">
        <f>Population_Tables!D29+Population_Tables!E29+Population_Tables!H29+Population_Tables!I29</f>
        <v>3616.3467250000003</v>
      </c>
      <c r="E98">
        <f t="shared" si="7"/>
        <v>3.7339116701453387E-4</v>
      </c>
      <c r="G98" s="404">
        <v>2040</v>
      </c>
      <c r="H98" s="409">
        <f t="shared" si="8"/>
        <v>12.48976267213915</v>
      </c>
      <c r="I98" s="409">
        <f t="shared" si="9"/>
        <v>12.668358342857521</v>
      </c>
      <c r="J98" s="409">
        <f t="shared" si="10"/>
        <v>1.639278945177576</v>
      </c>
    </row>
    <row r="99" spans="1:10" x14ac:dyDescent="0.3">
      <c r="A99">
        <v>2041</v>
      </c>
      <c r="B99" s="384">
        <f>(Population_Tables!F30+Population_Tables!G30-Population_Tables!I30)*10^6</f>
        <v>5968018132.0000029</v>
      </c>
      <c r="C99">
        <f t="shared" si="6"/>
        <v>2.5093418896234254E-10</v>
      </c>
      <c r="D99">
        <f>Population_Tables!D30+Population_Tables!E30+Population_Tables!H30+Population_Tables!I30</f>
        <v>3617.7144600000006</v>
      </c>
      <c r="E99">
        <f t="shared" si="7"/>
        <v>3.9772293717079072E-4</v>
      </c>
      <c r="G99" s="404">
        <v>2041</v>
      </c>
      <c r="H99" s="409">
        <f t="shared" si="8"/>
        <v>13.987342461805126</v>
      </c>
      <c r="I99" s="409">
        <f t="shared" si="9"/>
        <v>14.107206363733964</v>
      </c>
      <c r="J99" s="409">
        <f t="shared" si="10"/>
        <v>1.8710309250912793</v>
      </c>
    </row>
    <row r="100" spans="1:10" x14ac:dyDescent="0.3">
      <c r="A100">
        <v>2042</v>
      </c>
      <c r="B100" s="384">
        <f>(Population_Tables!F31+Population_Tables!G31-Population_Tables!I31)*10^6</f>
        <v>6046889431.0000029</v>
      </c>
      <c r="C100">
        <f t="shared" si="6"/>
        <v>2.6640531262580675E-10</v>
      </c>
      <c r="D100">
        <f>Population_Tables!D31+Population_Tables!E31+Population_Tables!H31+Population_Tables!I31</f>
        <v>3618.5505519999997</v>
      </c>
      <c r="E100">
        <f t="shared" si="7"/>
        <v>4.2261698630147746E-4</v>
      </c>
      <c r="G100" s="404">
        <v>2042</v>
      </c>
      <c r="H100" s="409">
        <f t="shared" si="8"/>
        <v>15.598265931084368</v>
      </c>
      <c r="I100" s="409">
        <f t="shared" si="9"/>
        <v>15.63646729279975</v>
      </c>
      <c r="J100" s="409">
        <f t="shared" si="10"/>
        <v>2.124471545143487</v>
      </c>
    </row>
    <row r="101" spans="1:10" x14ac:dyDescent="0.3">
      <c r="A101">
        <v>2043</v>
      </c>
      <c r="B101" s="384">
        <f>(Population_Tables!F32+Population_Tables!G32-Population_Tables!I32)*10^6</f>
        <v>6125820101.999999</v>
      </c>
      <c r="C101">
        <f t="shared" si="6"/>
        <v>2.8242834647403088E-10</v>
      </c>
      <c r="D101">
        <f>Population_Tables!D32+Population_Tables!E32+Population_Tables!H32+Population_Tables!I32</f>
        <v>3618.8626379999996</v>
      </c>
      <c r="E101">
        <f t="shared" si="7"/>
        <v>4.4829270700456767E-4</v>
      </c>
      <c r="G101" s="404">
        <v>2043</v>
      </c>
      <c r="H101" s="409">
        <f t="shared" si="8"/>
        <v>17.328371173289607</v>
      </c>
      <c r="I101" s="409">
        <f t="shared" si="9"/>
        <v>17.258777021066461</v>
      </c>
      <c r="J101" s="409">
        <f t="shared" si="10"/>
        <v>2.4010404719235363</v>
      </c>
    </row>
    <row r="102" spans="1:10" x14ac:dyDescent="0.3">
      <c r="A102">
        <v>2044</v>
      </c>
      <c r="B102" s="384">
        <f>(Population_Tables!F33+Population_Tables!G33-Population_Tables!I33)*10^6</f>
        <v>6204908119.999999</v>
      </c>
      <c r="C102">
        <f t="shared" si="6"/>
        <v>2.9906924106920157E-10</v>
      </c>
      <c r="D102">
        <f>Population_Tables!D33+Population_Tables!E33+Population_Tables!H33+Population_Tables!I33</f>
        <v>3618.6559470000002</v>
      </c>
      <c r="E102">
        <f t="shared" si="7"/>
        <v>4.7487506660008231E-4</v>
      </c>
      <c r="G102" s="404">
        <v>2044</v>
      </c>
      <c r="H102" s="409">
        <f t="shared" si="8"/>
        <v>19.184068335642134</v>
      </c>
      <c r="I102" s="409">
        <f t="shared" si="9"/>
        <v>18.977186504900871</v>
      </c>
      <c r="J102" s="409">
        <f t="shared" si="10"/>
        <v>2.7023259490341447</v>
      </c>
    </row>
    <row r="103" spans="1:10" x14ac:dyDescent="0.3">
      <c r="A103">
        <v>2045</v>
      </c>
      <c r="B103" s="384">
        <f>(Population_Tables!F34+Population_Tables!G34-Population_Tables!I34)*10^6</f>
        <v>6284234449</v>
      </c>
      <c r="C103">
        <f t="shared" si="6"/>
        <v>3.1641797461608336E-10</v>
      </c>
      <c r="D103">
        <f>Population_Tables!D34+Population_Tables!E34+Population_Tables!H34+Population_Tables!I34</f>
        <v>3617.9381840000001</v>
      </c>
      <c r="E103">
        <f t="shared" si="7"/>
        <v>5.025026258870703E-4</v>
      </c>
      <c r="G103" s="404">
        <v>2045</v>
      </c>
      <c r="H103" s="409">
        <f t="shared" si="8"/>
        <v>21.172513072007334</v>
      </c>
      <c r="I103" s="409">
        <f t="shared" si="9"/>
        <v>20.795209942657969</v>
      </c>
      <c r="J103" s="409">
        <f t="shared" si="10"/>
        <v>3.0300663625136885</v>
      </c>
    </row>
    <row r="104" spans="1:10" x14ac:dyDescent="0.3">
      <c r="A104">
        <v>2046</v>
      </c>
      <c r="B104" s="384">
        <f>(Population_Tables!F35+Population_Tables!G35-Population_Tables!I35)*10^6</f>
        <v>6363832399.999999</v>
      </c>
      <c r="C104">
        <f t="shared" si="6"/>
        <v>3.3440546848616163E-10</v>
      </c>
      <c r="D104">
        <f>Population_Tables!D35+Population_Tables!E35+Population_Tables!H35+Population_Tables!I35</f>
        <v>3616.7239679999998</v>
      </c>
      <c r="E104">
        <f t="shared" si="7"/>
        <v>5.3118864643195932E-4</v>
      </c>
      <c r="G104" s="404">
        <v>2046</v>
      </c>
      <c r="H104" s="409">
        <f t="shared" si="8"/>
        <v>23.300613427096749</v>
      </c>
      <c r="I104" s="409">
        <f t="shared" si="9"/>
        <v>22.716372651737913</v>
      </c>
      <c r="J104" s="409">
        <f t="shared" si="10"/>
        <v>3.386131010460939</v>
      </c>
    </row>
    <row r="105" spans="1:10" x14ac:dyDescent="0.3">
      <c r="A105">
        <v>2047</v>
      </c>
      <c r="B105" s="384">
        <f>(Population_Tables!F36+Population_Tables!G36-Population_Tables!I36)*10^6</f>
        <v>6443723938.000001</v>
      </c>
      <c r="C105">
        <f t="shared" si="6"/>
        <v>3.5316018357877223E-10</v>
      </c>
      <c r="D105">
        <f>Population_Tables!D36+Population_Tables!E36+Population_Tables!H36+Population_Tables!I36</f>
        <v>3615.0299260000002</v>
      </c>
      <c r="E105">
        <f t="shared" si="7"/>
        <v>5.6107600252371266E-4</v>
      </c>
      <c r="G105" s="404">
        <v>2047</v>
      </c>
      <c r="H105" s="409">
        <f t="shared" si="8"/>
        <v>25.576280155971759</v>
      </c>
      <c r="I105" s="409">
        <f t="shared" si="9"/>
        <v>24.744679191621586</v>
      </c>
      <c r="J105" s="409">
        <f t="shared" si="10"/>
        <v>3.7725207763529185</v>
      </c>
    </row>
    <row r="106" spans="1:10" x14ac:dyDescent="0.3">
      <c r="A106">
        <v>2048</v>
      </c>
      <c r="B106" s="384">
        <f>(Population_Tables!F37+Population_Tables!G37-Population_Tables!I37)*10^6</f>
        <v>6523961830.999999</v>
      </c>
      <c r="C106">
        <f t="shared" si="6"/>
        <v>3.7267892389791162E-10</v>
      </c>
      <c r="D106">
        <f>Population_Tables!D37+Population_Tables!E37+Population_Tables!H37+Population_Tables!I37</f>
        <v>3612.8685580000001</v>
      </c>
      <c r="E106">
        <f t="shared" si="7"/>
        <v>5.9224371562090693E-4</v>
      </c>
      <c r="G106" s="404">
        <v>2048</v>
      </c>
      <c r="H106" s="409">
        <f t="shared" si="8"/>
        <v>28.007623230699888</v>
      </c>
      <c r="I106" s="409">
        <f t="shared" si="9"/>
        <v>26.884377890461455</v>
      </c>
      <c r="J106" s="409">
        <f t="shared" si="10"/>
        <v>4.1913967356683841</v>
      </c>
    </row>
    <row r="107" spans="1:10" x14ac:dyDescent="0.3">
      <c r="A107">
        <v>2049</v>
      </c>
      <c r="B107" s="384">
        <f>(Population_Tables!F38+Population_Tables!G38-Population_Tables!I38)*10^6</f>
        <v>6604600133.0000019</v>
      </c>
      <c r="C107">
        <f t="shared" si="6"/>
        <v>3.9309041170305507E-10</v>
      </c>
      <c r="D107">
        <f>Population_Tables!D38+Population_Tables!E38+Population_Tables!H38+Population_Tables!I38</f>
        <v>3610.252653</v>
      </c>
      <c r="E107">
        <f t="shared" si="7"/>
        <v>6.2505133226132951E-4</v>
      </c>
      <c r="G107" s="404">
        <v>2049</v>
      </c>
      <c r="H107" s="409">
        <f t="shared" si="8"/>
        <v>30.603828216114913</v>
      </c>
      <c r="I107" s="409">
        <f t="shared" si="9"/>
        <v>29.140971121019103</v>
      </c>
      <c r="J107" s="409">
        <f t="shared" si="10"/>
        <v>4.6450915454303168</v>
      </c>
    </row>
    <row r="108" spans="1:10" x14ac:dyDescent="0.3">
      <c r="A108">
        <v>2050</v>
      </c>
      <c r="B108" s="384">
        <f>(Population_Tables!F39+Population_Tables!G39-Population_Tables!I39)*10^6</f>
        <v>6685674301.0000019</v>
      </c>
      <c r="C108">
        <f t="shared" si="6"/>
        <v>4.1456616950703473E-10</v>
      </c>
      <c r="D108">
        <f>Population_Tables!D39+Population_Tables!E39+Population_Tables!H39+Population_Tables!I39</f>
        <v>3607.1969490000001</v>
      </c>
      <c r="E108">
        <f t="shared" si="7"/>
        <v>6.598302837767119E-4</v>
      </c>
      <c r="G108" s="404">
        <v>2050</v>
      </c>
      <c r="H108" s="409">
        <f t="shared" si="8"/>
        <v>33.375482601652102</v>
      </c>
      <c r="I108" s="409">
        <f t="shared" si="9"/>
        <v>31.521108907516261</v>
      </c>
      <c r="J108" s="409">
        <f t="shared" si="10"/>
        <v>5.1361081701641496</v>
      </c>
    </row>
    <row r="109" spans="1:10" x14ac:dyDescent="0.3">
      <c r="A109">
        <v>2051</v>
      </c>
      <c r="B109" s="384">
        <f>(Population_Tables!F40+Population_Tables!G40-Population_Tables!I40)*10^6</f>
        <v>6767202814</v>
      </c>
      <c r="C109">
        <f t="shared" si="6"/>
        <v>4.3674215622723552E-10</v>
      </c>
      <c r="D109">
        <f>Population_Tables!D40+Population_Tables!E40+Population_Tables!H40+Population_Tables!I40</f>
        <v>3603.7185089999998</v>
      </c>
      <c r="E109">
        <f t="shared" si="7"/>
        <v>6.9630956573407004E-4</v>
      </c>
      <c r="G109" s="404">
        <v>2051</v>
      </c>
      <c r="H109" s="409">
        <f t="shared" si="8"/>
        <v>36.331005350265478</v>
      </c>
      <c r="I109" s="409">
        <f t="shared" si="9"/>
        <v>34.030412577545881</v>
      </c>
      <c r="J109" s="409">
        <f t="shared" si="10"/>
        <v>5.6671126907185423</v>
      </c>
    </row>
    <row r="110" spans="1:10" x14ac:dyDescent="0.3">
      <c r="A110">
        <v>2052</v>
      </c>
      <c r="B110" s="384">
        <f>(Population_Tables!F41+Population_Tables!G41-Population_Tables!I41)*10^6</f>
        <v>6849173723.9999981</v>
      </c>
      <c r="C110">
        <f t="shared" si="6"/>
        <v>4.5984404328776753E-10</v>
      </c>
      <c r="D110">
        <f>Population_Tables!D41+Population_Tables!E41+Population_Tables!H41+Population_Tables!I41</f>
        <v>3599.8374579999995</v>
      </c>
      <c r="E110">
        <f t="shared" si="7"/>
        <v>7.3451046920311577E-4</v>
      </c>
      <c r="G110" s="404">
        <v>2052</v>
      </c>
      <c r="H110" s="409">
        <f t="shared" si="8"/>
        <v>39.48055708868997</v>
      </c>
      <c r="I110" s="409">
        <f t="shared" si="9"/>
        <v>36.674530877876414</v>
      </c>
      <c r="J110" s="409">
        <f t="shared" si="10"/>
        <v>6.2409245190667173</v>
      </c>
    </row>
    <row r="111" spans="1:10" x14ac:dyDescent="0.3">
      <c r="A111">
        <v>2053</v>
      </c>
      <c r="B111" s="384">
        <f>(Population_Tables!F42+Population_Tables!G42-Population_Tables!I42)*10^6</f>
        <v>6931549778.999999</v>
      </c>
      <c r="C111">
        <f t="shared" si="6"/>
        <v>4.8381397790715576E-10</v>
      </c>
      <c r="D111">
        <f>Population_Tables!D42+Population_Tables!E42+Population_Tables!H42+Population_Tables!I42</f>
        <v>3595.5769810000002</v>
      </c>
      <c r="E111">
        <f t="shared" si="7"/>
        <v>7.745030907511805E-4</v>
      </c>
      <c r="G111" s="404">
        <v>2053</v>
      </c>
      <c r="H111" s="409">
        <f t="shared" si="8"/>
        <v>42.834137760329426</v>
      </c>
      <c r="I111" s="409">
        <f t="shared" si="9"/>
        <v>39.459316362694715</v>
      </c>
      <c r="J111" s="409">
        <f t="shared" si="10"/>
        <v>6.8605143738264029</v>
      </c>
    </row>
    <row r="112" spans="1:10" x14ac:dyDescent="0.3">
      <c r="A112">
        <v>2054</v>
      </c>
      <c r="B112" s="384">
        <f>(Population_Tables!F43+Population_Tables!G43-Population_Tables!I43)*10^6</f>
        <v>7014273126.000001</v>
      </c>
      <c r="C112">
        <f t="shared" si="6"/>
        <v>5.0863828160943684E-10</v>
      </c>
      <c r="D112">
        <f>Population_Tables!D43+Population_Tables!E43+Population_Tables!H43+Population_Tables!I43</f>
        <v>3590.9620970000001</v>
      </c>
      <c r="E112">
        <f t="shared" si="7"/>
        <v>8.1634069941115327E-4</v>
      </c>
      <c r="G112" s="404">
        <v>2054</v>
      </c>
      <c r="H112" s="409">
        <f t="shared" si="8"/>
        <v>46.401865589877318</v>
      </c>
      <c r="I112" s="409">
        <f t="shared" si="9"/>
        <v>42.390764872518638</v>
      </c>
      <c r="J112" s="409">
        <f t="shared" si="10"/>
        <v>7.5289976550541535</v>
      </c>
    </row>
    <row r="113" spans="1:10" x14ac:dyDescent="0.3">
      <c r="A113">
        <v>2055</v>
      </c>
      <c r="B113" s="384">
        <f>(Population_Tables!F44+Population_Tables!G44-Population_Tables!I44)*10^6</f>
        <v>7097291008</v>
      </c>
      <c r="C113">
        <f t="shared" si="6"/>
        <v>5.3434340176202528E-10</v>
      </c>
      <c r="D113">
        <f>Population_Tables!D44+Population_Tables!E44+Population_Tables!H44+Population_Tables!I44</f>
        <v>3586.0180030000001</v>
      </c>
      <c r="E113">
        <f t="shared" si="7"/>
        <v>8.5994805862176773E-4</v>
      </c>
      <c r="G113" s="404">
        <v>2055</v>
      </c>
      <c r="H113" s="409">
        <f t="shared" si="8"/>
        <v>50.194256210387074</v>
      </c>
      <c r="I113" s="409">
        <f t="shared" si="9"/>
        <v>45.474554092381197</v>
      </c>
      <c r="J113" s="409">
        <f t="shared" si="10"/>
        <v>8.249636376086892</v>
      </c>
    </row>
    <row r="114" spans="1:10" x14ac:dyDescent="0.3">
      <c r="A114">
        <v>2056</v>
      </c>
      <c r="B114" s="384">
        <f>(Population_Tables!F45+Population_Tables!G45-Population_Tables!I45)*10^6</f>
        <v>7180581587.000001</v>
      </c>
      <c r="C114">
        <f t="shared" si="6"/>
        <v>5.6082355040775623E-10</v>
      </c>
      <c r="D114">
        <f>Population_Tables!D45+Population_Tables!E45+Population_Tables!H45+Population_Tables!I45</f>
        <v>3580.7649300000003</v>
      </c>
      <c r="E114">
        <f t="shared" si="7"/>
        <v>9.0579454694068688E-4</v>
      </c>
      <c r="G114" s="404">
        <v>2056</v>
      </c>
      <c r="H114" s="409">
        <f t="shared" si="8"/>
        <v>54.221295470000975</v>
      </c>
      <c r="I114" s="409">
        <f t="shared" si="9"/>
        <v>48.717991439851644</v>
      </c>
      <c r="J114" s="409">
        <f t="shared" si="10"/>
        <v>9.0258600760659835</v>
      </c>
    </row>
    <row r="115" spans="1:10" x14ac:dyDescent="0.3">
      <c r="A115">
        <v>2057</v>
      </c>
      <c r="B115" s="384">
        <f>(Population_Tables!F46+Population_Tables!G46-Population_Tables!I46)*10^6</f>
        <v>7264121353</v>
      </c>
      <c r="C115">
        <f t="shared" si="6"/>
        <v>5.8819470337117486E-10</v>
      </c>
      <c r="D115">
        <f>Population_Tables!D46+Population_Tables!E46+Population_Tables!H46+Population_Tables!I46</f>
        <v>3575.2254500000004</v>
      </c>
      <c r="E115">
        <f t="shared" si="7"/>
        <v>9.5355883256709824E-4</v>
      </c>
      <c r="G115" s="404">
        <v>2057</v>
      </c>
      <c r="H115" s="409">
        <f t="shared" si="8"/>
        <v>58.494013174481026</v>
      </c>
      <c r="I115" s="409">
        <f t="shared" si="9"/>
        <v>52.127179246117826</v>
      </c>
      <c r="J115" s="409">
        <f t="shared" si="10"/>
        <v>9.861258773043911</v>
      </c>
    </row>
    <row r="116" spans="1:10" x14ac:dyDescent="0.3">
      <c r="A116">
        <v>2058</v>
      </c>
      <c r="B116" s="384">
        <f>(Population_Tables!F47+Population_Tables!G47-Population_Tables!I47)*10^6</f>
        <v>7347849823</v>
      </c>
      <c r="C116">
        <f t="shared" si="6"/>
        <v>6.1640008937239279E-10</v>
      </c>
      <c r="D116">
        <f>Population_Tables!D47+Population_Tables!E47+Population_Tables!H47+Population_Tables!I47</f>
        <v>3569.4292489999998</v>
      </c>
      <c r="E116">
        <f t="shared" si="7"/>
        <v>1.0034018830188541E-3</v>
      </c>
      <c r="G116" s="404">
        <v>2058</v>
      </c>
      <c r="H116" s="409">
        <f t="shared" si="8"/>
        <v>63.023228462073149</v>
      </c>
      <c r="I116" s="409">
        <f t="shared" si="9"/>
        <v>55.708751275867002</v>
      </c>
      <c r="J116" s="409">
        <f t="shared" si="10"/>
        <v>10.759547643434848</v>
      </c>
    </row>
    <row r="117" spans="1:10" x14ac:dyDescent="0.3">
      <c r="A117">
        <v>2059</v>
      </c>
      <c r="B117" s="384">
        <f>(Population_Tables!F48+Population_Tables!G48-Population_Tables!I48)*10^6</f>
        <v>7431695675.999999</v>
      </c>
      <c r="C117">
        <f t="shared" si="6"/>
        <v>6.4541397698040746E-10</v>
      </c>
      <c r="D117">
        <f>Population_Tables!D48+Population_Tables!E48+Population_Tables!H48+Population_Tables!I48</f>
        <v>3563.4090120000001</v>
      </c>
      <c r="E117">
        <f t="shared" si="7"/>
        <v>1.0553378071425541E-3</v>
      </c>
      <c r="G117" s="404">
        <v>2059</v>
      </c>
      <c r="H117" s="409">
        <f t="shared" si="8"/>
        <v>67.8197487240284</v>
      </c>
      <c r="I117" s="409">
        <f t="shared" si="9"/>
        <v>59.4693515285431</v>
      </c>
      <c r="J117" s="409">
        <f t="shared" si="10"/>
        <v>11.724549843687646</v>
      </c>
    </row>
    <row r="118" spans="1:10" x14ac:dyDescent="0.3">
      <c r="A118">
        <v>2060</v>
      </c>
      <c r="B118" s="384">
        <f>(Population_Tables!F49+Population_Tables!G49-Population_Tables!I49)*10^6</f>
        <v>7515597361</v>
      </c>
      <c r="C118">
        <f t="shared" si="6"/>
        <v>6.752252263485699E-10</v>
      </c>
      <c r="D118">
        <f>Population_Tables!D49+Population_Tables!E49+Population_Tables!H49+Population_Tables!I49</f>
        <v>3557.1941610000003</v>
      </c>
      <c r="E118">
        <f t="shared" si="7"/>
        <v>1.1096668921956603E-3</v>
      </c>
      <c r="G118" s="404">
        <v>2060</v>
      </c>
      <c r="H118" s="409">
        <f t="shared" si="8"/>
        <v>72.894469653254333</v>
      </c>
      <c r="I118" s="409">
        <f t="shared" si="9"/>
        <v>63.416652118116517</v>
      </c>
      <c r="J118" s="409">
        <f t="shared" si="10"/>
        <v>12.760205307777889</v>
      </c>
    </row>
    <row r="119" spans="1:10" x14ac:dyDescent="0.3">
      <c r="G119" s="411"/>
      <c r="H119" s="411"/>
      <c r="I119" s="411"/>
    </row>
    <row r="121" spans="1:10" x14ac:dyDescent="0.3">
      <c r="B121">
        <f>AVERAGE(B72:B118)</f>
        <v>5667534772.1914892</v>
      </c>
      <c r="C121">
        <f>AVERAGE(C72:C118)</f>
        <v>2.3633700888088104E-10</v>
      </c>
      <c r="D121">
        <f>AVERAGE(D72:D118)</f>
        <v>3555.314360106383</v>
      </c>
      <c r="E121">
        <f>AVERAGE(E72:E118)</f>
        <v>3.7563092617521547E-4</v>
      </c>
    </row>
    <row r="129" spans="1:11" x14ac:dyDescent="0.3">
      <c r="B129" s="385">
        <f>B124-B119</f>
        <v>0</v>
      </c>
      <c r="C129" s="252">
        <f>B129+B130</f>
        <v>0</v>
      </c>
      <c r="D129" s="386" t="e">
        <f>C53/C129*10^9</f>
        <v>#DIV/0!</v>
      </c>
      <c r="E129" s="386">
        <f>(D53+E53)*10^9/C130</f>
        <v>-6.4589624224433297</v>
      </c>
    </row>
    <row r="130" spans="1:11" x14ac:dyDescent="0.3">
      <c r="B130" s="385">
        <f>B125-B120</f>
        <v>0</v>
      </c>
      <c r="C130" s="385">
        <f>B126-B121</f>
        <v>-5667534772.1914892</v>
      </c>
    </row>
    <row r="135" spans="1:11" ht="78" x14ac:dyDescent="0.3">
      <c r="B135" s="543" t="s">
        <v>463</v>
      </c>
      <c r="C135" s="543"/>
      <c r="D135" s="543"/>
      <c r="E135" s="543"/>
      <c r="G135" s="425" t="s">
        <v>464</v>
      </c>
      <c r="J135" s="425" t="s">
        <v>465</v>
      </c>
    </row>
    <row r="136" spans="1:11" ht="27" customHeight="1" x14ac:dyDescent="0.3">
      <c r="B136" s="534" t="str">
        <f>CONCATENATE($B$2," to ",$B$4," only")</f>
        <v>Gt-CO2-eq Avoided to -6.89389970016094E-06 only</v>
      </c>
      <c r="C136" s="534"/>
      <c r="D136" s="534" t="s">
        <v>218</v>
      </c>
      <c r="E136" s="534"/>
      <c r="G136" s="426" t="s">
        <v>430</v>
      </c>
      <c r="H136" t="s">
        <v>467</v>
      </c>
      <c r="J136" s="426" t="s">
        <v>430</v>
      </c>
      <c r="K136" s="426" t="s">
        <v>468</v>
      </c>
    </row>
    <row r="137" spans="1:11" x14ac:dyDescent="0.3">
      <c r="B137" s="423" t="s">
        <v>227</v>
      </c>
      <c r="C137" s="423" t="s">
        <v>228</v>
      </c>
      <c r="D137" s="423" t="s">
        <v>227</v>
      </c>
      <c r="E137" s="423" t="s">
        <v>228</v>
      </c>
      <c r="G137" s="426" t="s">
        <v>368</v>
      </c>
      <c r="H137" s="427" t="s">
        <v>368</v>
      </c>
      <c r="J137" s="410" t="s">
        <v>466</v>
      </c>
      <c r="K137" s="426" t="s">
        <v>466</v>
      </c>
    </row>
    <row r="138" spans="1:11" x14ac:dyDescent="0.3">
      <c r="A138">
        <v>2014</v>
      </c>
      <c r="B138" s="422" t="e">
        <f>Electricity_cluster!#REF!</f>
        <v>#REF!</v>
      </c>
      <c r="C138" s="422" t="e">
        <f>Electricity_cluster!#REF!</f>
        <v>#REF!</v>
      </c>
      <c r="D138" s="422" t="str">
        <f>Electricity_cluster!BC133</f>
        <v/>
      </c>
      <c r="E138" s="422" t="str">
        <f>Electricity_cluster!BD133</f>
        <v/>
      </c>
      <c r="G138" s="424" t="str">
        <f>IFERROR(D138*C4,"")</f>
        <v/>
      </c>
      <c r="H138" s="428" t="str">
        <f>IFERROR(G138*1000,"")</f>
        <v/>
      </c>
      <c r="J138" s="424" t="str">
        <f t="shared" ref="J138:J184" si="11">IFERROR(B4-G138,"")</f>
        <v/>
      </c>
      <c r="K138" s="410" t="str">
        <f>IFERROR(J138*1000,"")</f>
        <v/>
      </c>
    </row>
    <row r="139" spans="1:11" x14ac:dyDescent="0.3">
      <c r="A139">
        <v>2015</v>
      </c>
      <c r="B139" s="422" t="e">
        <f>Electricity_cluster!#REF!</f>
        <v>#REF!</v>
      </c>
      <c r="C139" s="422" t="e">
        <f>Electricity_cluster!#REF!</f>
        <v>#REF!</v>
      </c>
      <c r="D139" s="422" t="str">
        <f>Electricity_cluster!BC134</f>
        <v/>
      </c>
      <c r="E139" s="422" t="str">
        <f>Electricity_cluster!BD134</f>
        <v/>
      </c>
      <c r="G139" s="424" t="str">
        <f t="shared" ref="G139:G184" si="12">IFERROR(D139*C5,"")</f>
        <v/>
      </c>
      <c r="H139" s="428" t="str">
        <f>IFERROR(G139*1000,"")</f>
        <v/>
      </c>
      <c r="J139" s="424" t="str">
        <f t="shared" si="11"/>
        <v/>
      </c>
      <c r="K139" s="410" t="str">
        <f t="shared" ref="K139:K184" si="13">IFERROR(J139*1000,"")</f>
        <v/>
      </c>
    </row>
    <row r="140" spans="1:11" x14ac:dyDescent="0.3">
      <c r="A140">
        <v>2016</v>
      </c>
      <c r="B140" s="422" t="e">
        <f>Electricity_cluster!#REF!</f>
        <v>#REF!</v>
      </c>
      <c r="C140" s="422" t="e">
        <f>Electricity_cluster!#REF!</f>
        <v>#REF!</v>
      </c>
      <c r="D140" s="422">
        <f>Electricity_cluster!BC135</f>
        <v>0.26771200338927126</v>
      </c>
      <c r="E140" s="422" t="str">
        <f>Electricity_cluster!BD135</f>
        <v/>
      </c>
      <c r="G140" s="424">
        <f t="shared" si="12"/>
        <v>1.3296702826625084E-3</v>
      </c>
      <c r="H140" s="428">
        <f>IFERROR(G140*1000,"")</f>
        <v>1.3296702826625084</v>
      </c>
      <c r="J140" s="424">
        <f t="shared" si="11"/>
        <v>7.2317478053929201E-3</v>
      </c>
      <c r="K140" s="424">
        <f t="shared" si="13"/>
        <v>7.2317478053929198</v>
      </c>
    </row>
    <row r="141" spans="1:11" x14ac:dyDescent="0.3">
      <c r="A141">
        <v>2017</v>
      </c>
      <c r="B141" s="422" t="e">
        <f>Electricity_cluster!#REF!</f>
        <v>#REF!</v>
      </c>
      <c r="C141" s="422" t="e">
        <f>Electricity_cluster!#REF!</f>
        <v>#REF!</v>
      </c>
      <c r="D141" s="422">
        <f>Electricity_cluster!BC136</f>
        <v>0.26841350251310842</v>
      </c>
      <c r="E141" s="422" t="str">
        <f>Electricity_cluster!BD136</f>
        <v/>
      </c>
      <c r="G141" s="424">
        <f t="shared" si="12"/>
        <v>3.2925760443401927E-3</v>
      </c>
      <c r="H141" s="428">
        <f t="shared" ref="H141:H184" si="14">IFERROR(G141*1000,"")</f>
        <v>3.2925760443401928</v>
      </c>
      <c r="J141" s="424">
        <f t="shared" si="11"/>
        <v>1.7786767187087472E-2</v>
      </c>
      <c r="K141" s="424">
        <f t="shared" si="13"/>
        <v>17.786767187087474</v>
      </c>
    </row>
    <row r="142" spans="1:11" x14ac:dyDescent="0.3">
      <c r="A142">
        <v>2018</v>
      </c>
      <c r="B142" s="422" t="e">
        <f>Electricity_cluster!#REF!</f>
        <v>#REF!</v>
      </c>
      <c r="C142" s="422" t="e">
        <f>Electricity_cluster!#REF!</f>
        <v>#REF!</v>
      </c>
      <c r="D142" s="422">
        <f>Electricity_cluster!BC137</f>
        <v>0.26911507560058989</v>
      </c>
      <c r="E142" s="422" t="str">
        <f>Electricity_cluster!BD137</f>
        <v/>
      </c>
      <c r="G142" s="424">
        <f t="shared" si="12"/>
        <v>5.8045182067337098E-3</v>
      </c>
      <c r="H142" s="428">
        <f t="shared" si="14"/>
        <v>5.80451820673371</v>
      </c>
      <c r="J142" s="424">
        <f t="shared" si="11"/>
        <v>3.1179584268816465E-2</v>
      </c>
      <c r="K142" s="424">
        <f t="shared" si="13"/>
        <v>31.179584268816466</v>
      </c>
    </row>
    <row r="143" spans="1:11" x14ac:dyDescent="0.3">
      <c r="A143">
        <v>2019</v>
      </c>
      <c r="B143" s="422" t="e">
        <f>Electricity_cluster!#REF!</f>
        <v>#REF!</v>
      </c>
      <c r="C143" s="422" t="e">
        <f>Electricity_cluster!#REF!</f>
        <v>#REF!</v>
      </c>
      <c r="D143" s="422">
        <f>Electricity_cluster!BC138</f>
        <v>0.26982439276374132</v>
      </c>
      <c r="E143" s="422" t="str">
        <f>Electricity_cluster!BD138</f>
        <v/>
      </c>
      <c r="G143" s="424">
        <f t="shared" si="12"/>
        <v>8.7240149223360292E-3</v>
      </c>
      <c r="H143" s="428">
        <f t="shared" si="14"/>
        <v>8.7240149223360284</v>
      </c>
      <c r="J143" s="424">
        <f t="shared" si="11"/>
        <v>4.6621413570864516E-2</v>
      </c>
      <c r="K143" s="424">
        <f t="shared" si="13"/>
        <v>46.621413570864519</v>
      </c>
    </row>
    <row r="144" spans="1:11" x14ac:dyDescent="0.3">
      <c r="A144">
        <v>2020</v>
      </c>
      <c r="B144" s="422" t="e">
        <f>Electricity_cluster!#REF!</f>
        <v>#REF!</v>
      </c>
      <c r="C144" s="422" t="e">
        <f>Electricity_cluster!#REF!</f>
        <v>#REF!</v>
      </c>
      <c r="D144" s="422">
        <f>Electricity_cluster!BC139</f>
        <v>0.27054749398856015</v>
      </c>
      <c r="E144" s="422" t="str">
        <f>Electricity_cluster!BD139</f>
        <v/>
      </c>
      <c r="G144" s="424">
        <f t="shared" si="12"/>
        <v>1.1941751635422045E-2</v>
      </c>
      <c r="H144" s="428">
        <f t="shared" si="14"/>
        <v>11.941751635422046</v>
      </c>
      <c r="J144" s="424">
        <f t="shared" si="11"/>
        <v>6.3503366274766854E-2</v>
      </c>
      <c r="K144" s="424">
        <f t="shared" si="13"/>
        <v>63.503366274766854</v>
      </c>
    </row>
    <row r="145" spans="1:11" x14ac:dyDescent="0.3">
      <c r="A145">
        <v>2021</v>
      </c>
      <c r="B145" s="422" t="e">
        <f>Electricity_cluster!#REF!</f>
        <v>#REF!</v>
      </c>
      <c r="C145" s="422" t="e">
        <f>Electricity_cluster!#REF!</f>
        <v>#REF!</v>
      </c>
      <c r="D145" s="422">
        <f>Electricity_cluster!BC140</f>
        <v>0.27130078326630008</v>
      </c>
      <c r="E145" s="422" t="str">
        <f>Electricity_cluster!BD140</f>
        <v/>
      </c>
      <c r="G145" s="424">
        <f t="shared" si="12"/>
        <v>1.8895468942143123E-2</v>
      </c>
      <c r="H145" s="428">
        <f t="shared" si="14"/>
        <v>18.895468942143122</v>
      </c>
      <c r="J145" s="424">
        <f t="shared" si="11"/>
        <v>0.11437092918697657</v>
      </c>
      <c r="K145" s="424">
        <f t="shared" si="13"/>
        <v>114.37092918697657</v>
      </c>
    </row>
    <row r="146" spans="1:11" x14ac:dyDescent="0.3">
      <c r="A146">
        <v>2022</v>
      </c>
      <c r="B146" s="422" t="e">
        <f>Electricity_cluster!#REF!</f>
        <v>#REF!</v>
      </c>
      <c r="C146" s="422" t="e">
        <f>Electricity_cluster!#REF!</f>
        <v>#REF!</v>
      </c>
      <c r="D146" s="422">
        <f>Electricity_cluster!BC141</f>
        <v>0.27207237397529066</v>
      </c>
      <c r="E146" s="422" t="str">
        <f>Electricity_cluster!BD141</f>
        <v/>
      </c>
      <c r="G146" s="424">
        <f t="shared" si="12"/>
        <v>2.7333517370952097E-2</v>
      </c>
      <c r="H146" s="428">
        <f t="shared" si="14"/>
        <v>27.333517370952098</v>
      </c>
      <c r="J146" s="424">
        <f t="shared" si="11"/>
        <v>0.17573624930184661</v>
      </c>
      <c r="K146" s="424">
        <f t="shared" si="13"/>
        <v>175.73624930184661</v>
      </c>
    </row>
    <row r="147" spans="1:11" x14ac:dyDescent="0.3">
      <c r="A147">
        <v>2023</v>
      </c>
      <c r="B147" s="422" t="e">
        <f>Electricity_cluster!#REF!</f>
        <v>#REF!</v>
      </c>
      <c r="C147" s="422" t="e">
        <f>Electricity_cluster!#REF!</f>
        <v>#REF!</v>
      </c>
      <c r="D147" s="422">
        <f>Electricity_cluster!BC142</f>
        <v>0.27286238928951706</v>
      </c>
      <c r="E147" s="422" t="str">
        <f>Electricity_cluster!BD142</f>
        <v/>
      </c>
      <c r="G147" s="424">
        <f t="shared" si="12"/>
        <v>3.717863476177706E-2</v>
      </c>
      <c r="H147" s="428">
        <f t="shared" si="14"/>
        <v>37.178634761777062</v>
      </c>
      <c r="J147" s="424">
        <f t="shared" si="11"/>
        <v>0.24667898564475954</v>
      </c>
      <c r="K147" s="424">
        <f t="shared" si="13"/>
        <v>246.67898564475954</v>
      </c>
    </row>
    <row r="148" spans="1:11" x14ac:dyDescent="0.3">
      <c r="A148">
        <v>2024</v>
      </c>
      <c r="B148" s="422" t="e">
        <f>Electricity_cluster!#REF!</f>
        <v>#REF!</v>
      </c>
      <c r="C148" s="422" t="e">
        <f>Electricity_cluster!#REF!</f>
        <v>#REF!</v>
      </c>
      <c r="D148" s="422">
        <f>Electricity_cluster!BC143</f>
        <v>0.27367022792600615</v>
      </c>
      <c r="E148" s="422" t="str">
        <f>Electricity_cluster!BD143</f>
        <v/>
      </c>
      <c r="G148" s="424">
        <f t="shared" si="12"/>
        <v>4.8425324606738214E-2</v>
      </c>
      <c r="H148" s="428">
        <f t="shared" si="14"/>
        <v>48.425324606738215</v>
      </c>
      <c r="J148" s="424">
        <f t="shared" si="11"/>
        <v>0.3268692928978047</v>
      </c>
      <c r="K148" s="424">
        <f t="shared" si="13"/>
        <v>326.86929289780471</v>
      </c>
    </row>
    <row r="149" spans="1:11" x14ac:dyDescent="0.3">
      <c r="A149">
        <v>2025</v>
      </c>
      <c r="B149" s="422" t="e">
        <f>Electricity_cluster!#REF!</f>
        <v>#REF!</v>
      </c>
      <c r="C149" s="422" t="e">
        <f>Electricity_cluster!#REF!</f>
        <v>#REF!</v>
      </c>
      <c r="D149" s="422">
        <f>Electricity_cluster!BC144</f>
        <v>0.27449514726042029</v>
      </c>
      <c r="E149" s="422" t="str">
        <f>Electricity_cluster!BD144</f>
        <v/>
      </c>
      <c r="G149" s="424">
        <f t="shared" si="12"/>
        <v>6.1089298190773536E-2</v>
      </c>
      <c r="H149" s="428">
        <f t="shared" si="14"/>
        <v>61.089298190773533</v>
      </c>
      <c r="J149" s="424">
        <f t="shared" si="11"/>
        <v>0.41612345987879351</v>
      </c>
      <c r="K149" s="424">
        <f t="shared" si="13"/>
        <v>416.12345987879348</v>
      </c>
    </row>
    <row r="150" spans="1:11" x14ac:dyDescent="0.3">
      <c r="A150">
        <v>2026</v>
      </c>
      <c r="B150" s="422" t="e">
        <f>Electricity_cluster!#REF!</f>
        <v>#REF!</v>
      </c>
      <c r="C150" s="422" t="e">
        <f>Electricity_cluster!#REF!</f>
        <v>#REF!</v>
      </c>
      <c r="D150" s="422">
        <f>Electricity_cluster!BC145</f>
        <v>0.27533665762411441</v>
      </c>
      <c r="E150" s="422" t="str">
        <f>Electricity_cluster!BD145</f>
        <v/>
      </c>
      <c r="G150" s="424">
        <f t="shared" si="12"/>
        <v>7.5129548726679235E-2</v>
      </c>
      <c r="H150" s="428">
        <f t="shared" si="14"/>
        <v>75.129548726679232</v>
      </c>
      <c r="J150" s="424">
        <f t="shared" si="11"/>
        <v>0.51389061815015613</v>
      </c>
      <c r="K150" s="424">
        <f t="shared" si="13"/>
        <v>513.89061815015612</v>
      </c>
    </row>
    <row r="151" spans="1:11" x14ac:dyDescent="0.3">
      <c r="A151">
        <v>2027</v>
      </c>
      <c r="B151" s="422" t="e">
        <f>Electricity_cluster!#REF!</f>
        <v>#REF!</v>
      </c>
      <c r="C151" s="422" t="e">
        <f>Electricity_cluster!#REF!</f>
        <v>#REF!</v>
      </c>
      <c r="D151" s="422">
        <f>Electricity_cluster!BC146</f>
        <v>0.2761941225442579</v>
      </c>
      <c r="E151" s="422" t="str">
        <f>Electricity_cluster!BD146</f>
        <v/>
      </c>
      <c r="G151" s="424">
        <f t="shared" si="12"/>
        <v>9.0565952506273972E-2</v>
      </c>
      <c r="H151" s="428">
        <f t="shared" si="14"/>
        <v>90.565952506273973</v>
      </c>
      <c r="J151" s="424">
        <f t="shared" si="11"/>
        <v>0.61994561058661279</v>
      </c>
      <c r="K151" s="424">
        <f t="shared" si="13"/>
        <v>619.94561058661282</v>
      </c>
    </row>
    <row r="152" spans="1:11" x14ac:dyDescent="0.3">
      <c r="A152">
        <v>2028</v>
      </c>
      <c r="B152" s="422" t="e">
        <f>Electricity_cluster!#REF!</f>
        <v>#REF!</v>
      </c>
      <c r="C152" s="422" t="e">
        <f>Electricity_cluster!#REF!</f>
        <v>#REF!</v>
      </c>
      <c r="D152" s="422">
        <f>Electricity_cluster!BC147</f>
        <v>0.27706625165881155</v>
      </c>
      <c r="E152" s="422" t="str">
        <f>Electricity_cluster!BD147</f>
        <v/>
      </c>
      <c r="G152" s="424">
        <f t="shared" si="12"/>
        <v>0.10736073594619089</v>
      </c>
      <c r="H152" s="428">
        <f t="shared" si="14"/>
        <v>107.36073594619089</v>
      </c>
      <c r="J152" s="424">
        <f t="shared" si="11"/>
        <v>0.733905144204685</v>
      </c>
      <c r="K152" s="424">
        <f t="shared" si="13"/>
        <v>733.90514420468503</v>
      </c>
    </row>
    <row r="153" spans="1:11" x14ac:dyDescent="0.3">
      <c r="A153">
        <v>2029</v>
      </c>
      <c r="B153" s="422" t="e">
        <f>Electricity_cluster!#REF!</f>
        <v>#REF!</v>
      </c>
      <c r="C153" s="422" t="e">
        <f>Electricity_cluster!#REF!</f>
        <v>#REF!</v>
      </c>
      <c r="D153" s="422">
        <f>Electricity_cluster!BC148</f>
        <v>0.27795158576428397</v>
      </c>
      <c r="E153" s="422" t="str">
        <f>Electricity_cluster!BD148</f>
        <v/>
      </c>
      <c r="G153" s="424">
        <f t="shared" si="12"/>
        <v>0.12548221293546516</v>
      </c>
      <c r="H153" s="428">
        <f t="shared" si="14"/>
        <v>125.48221293546516</v>
      </c>
      <c r="J153" s="424">
        <f t="shared" si="11"/>
        <v>0.85547053436517639</v>
      </c>
      <c r="K153" s="424">
        <f t="shared" si="13"/>
        <v>855.47053436517638</v>
      </c>
    </row>
    <row r="154" spans="1:11" x14ac:dyDescent="0.3">
      <c r="A154">
        <v>2030</v>
      </c>
      <c r="B154" s="422" t="e">
        <f>Electricity_cluster!#REF!</f>
        <v>#REF!</v>
      </c>
      <c r="C154" s="422" t="e">
        <f>Electricity_cluster!#REF!</f>
        <v>#REF!</v>
      </c>
      <c r="D154" s="422">
        <f>Electricity_cluster!BC149</f>
        <v>0.27884872180359921</v>
      </c>
      <c r="E154" s="422" t="str">
        <f>Electricity_cluster!BD149</f>
        <v/>
      </c>
      <c r="G154" s="424">
        <f t="shared" si="12"/>
        <v>0.14493842662983991</v>
      </c>
      <c r="H154" s="428">
        <f t="shared" si="14"/>
        <v>144.93842662983991</v>
      </c>
      <c r="J154" s="424">
        <f t="shared" si="11"/>
        <v>0.98459510145306672</v>
      </c>
      <c r="K154" s="424">
        <f t="shared" si="13"/>
        <v>984.59510145306672</v>
      </c>
    </row>
    <row r="155" spans="1:11" x14ac:dyDescent="0.3">
      <c r="A155">
        <v>2031</v>
      </c>
      <c r="B155" s="422" t="e">
        <f>Electricity_cluster!#REF!</f>
        <v>#REF!</v>
      </c>
      <c r="C155" s="422" t="e">
        <f>Electricity_cluster!#REF!</f>
        <v>#REF!</v>
      </c>
      <c r="D155" s="422">
        <f>Electricity_cluster!BC150</f>
        <v>0.27975677656602305</v>
      </c>
      <c r="E155" s="422" t="str">
        <f>Electricity_cluster!BD150</f>
        <v/>
      </c>
      <c r="G155" s="424">
        <f t="shared" si="12"/>
        <v>0.1654715122742749</v>
      </c>
      <c r="H155" s="428">
        <f t="shared" si="14"/>
        <v>165.47151227427489</v>
      </c>
      <c r="J155" s="424">
        <f t="shared" si="11"/>
        <v>1.1199205592334682</v>
      </c>
      <c r="K155" s="424">
        <f t="shared" si="13"/>
        <v>1119.9205592334683</v>
      </c>
    </row>
    <row r="156" spans="1:11" x14ac:dyDescent="0.3">
      <c r="A156">
        <v>2032</v>
      </c>
      <c r="B156" s="422" t="e">
        <f>Electricity_cluster!#REF!</f>
        <v>#REF!</v>
      </c>
      <c r="C156" s="422" t="e">
        <f>Electricity_cluster!#REF!</f>
        <v>#REF!</v>
      </c>
      <c r="D156" s="422">
        <f>Electricity_cluster!BC151</f>
        <v>0.28067427297761482</v>
      </c>
      <c r="E156" s="422" t="str">
        <f>Electricity_cluster!BD151</f>
        <v/>
      </c>
      <c r="G156" s="424">
        <f t="shared" si="12"/>
        <v>0.18729435231402936</v>
      </c>
      <c r="H156" s="428">
        <f t="shared" si="14"/>
        <v>187.29435231402937</v>
      </c>
      <c r="J156" s="424">
        <f t="shared" si="11"/>
        <v>1.2621201914014624</v>
      </c>
      <c r="K156" s="424">
        <f t="shared" si="13"/>
        <v>1262.1201914014623</v>
      </c>
    </row>
    <row r="157" spans="1:11" x14ac:dyDescent="0.3">
      <c r="A157">
        <v>2033</v>
      </c>
      <c r="B157" s="422" t="e">
        <f>Electricity_cluster!#REF!</f>
        <v>#REF!</v>
      </c>
      <c r="C157" s="422" t="e">
        <f>Electricity_cluster!#REF!</f>
        <v>#REF!</v>
      </c>
      <c r="D157" s="422">
        <f>Electricity_cluster!BC152</f>
        <v>0.28159838393614395</v>
      </c>
      <c r="E157" s="422" t="str">
        <f>Electricity_cluster!BD152</f>
        <v/>
      </c>
      <c r="G157" s="424">
        <f t="shared" si="12"/>
        <v>0.21029072170540783</v>
      </c>
      <c r="H157" s="428">
        <f t="shared" si="14"/>
        <v>210.29072170540783</v>
      </c>
      <c r="J157" s="424">
        <f t="shared" si="11"/>
        <v>1.4099968537532424</v>
      </c>
      <c r="K157" s="424">
        <f t="shared" si="13"/>
        <v>1409.9968537532422</v>
      </c>
    </row>
    <row r="158" spans="1:11" x14ac:dyDescent="0.3">
      <c r="A158">
        <v>2034</v>
      </c>
      <c r="B158" s="422" t="e">
        <f>Electricity_cluster!#REF!</f>
        <v>#REF!</v>
      </c>
      <c r="C158" s="422" t="e">
        <f>Electricity_cluster!#REF!</f>
        <v>#REF!</v>
      </c>
      <c r="D158" s="422">
        <f>Electricity_cluster!BC153</f>
        <v>0.28252561365548218</v>
      </c>
      <c r="E158" s="422" t="str">
        <f>Electricity_cluster!BD153</f>
        <v/>
      </c>
      <c r="G158" s="424">
        <f t="shared" si="12"/>
        <v>0.23431968433081138</v>
      </c>
      <c r="H158" s="428">
        <f t="shared" si="14"/>
        <v>234.31968433081138</v>
      </c>
      <c r="J158" s="424">
        <f t="shared" si="11"/>
        <v>1.5621601780752596</v>
      </c>
      <c r="K158" s="424">
        <f t="shared" si="13"/>
        <v>1562.1601780752596</v>
      </c>
    </row>
    <row r="159" spans="1:11" x14ac:dyDescent="0.3">
      <c r="A159">
        <v>2035</v>
      </c>
      <c r="B159" s="422" t="e">
        <f>Electricity_cluster!#REF!</f>
        <v>#REF!</v>
      </c>
      <c r="C159" s="422" t="e">
        <f>Electricity_cluster!#REF!</f>
        <v>#REF!</v>
      </c>
      <c r="D159" s="422">
        <f>Electricity_cluster!BC154</f>
        <v>0.28345286707866335</v>
      </c>
      <c r="E159" s="422" t="str">
        <f>Electricity_cluster!BD154</f>
        <v/>
      </c>
      <c r="G159" s="424">
        <f t="shared" si="12"/>
        <v>0.25919236988420591</v>
      </c>
      <c r="H159" s="428">
        <f t="shared" si="14"/>
        <v>259.1923698842059</v>
      </c>
      <c r="J159" s="424">
        <f t="shared" si="11"/>
        <v>1.7173365835473042</v>
      </c>
      <c r="K159" s="424">
        <f t="shared" si="13"/>
        <v>1717.3365835473041</v>
      </c>
    </row>
    <row r="160" spans="1:11" x14ac:dyDescent="0.3">
      <c r="A160">
        <v>2036</v>
      </c>
      <c r="B160" s="422" t="e">
        <f>Electricity_cluster!#REF!</f>
        <v>#REF!</v>
      </c>
      <c r="C160" s="422" t="e">
        <f>Electricity_cluster!#REF!</f>
        <v>#REF!</v>
      </c>
      <c r="D160" s="422">
        <f>Electricity_cluster!BC155</f>
        <v>0.28437809037855671</v>
      </c>
      <c r="E160" s="422" t="str">
        <f>Electricity_cluster!BD155</f>
        <v/>
      </c>
      <c r="G160" s="424">
        <f t="shared" si="12"/>
        <v>0.28516174978133568</v>
      </c>
      <c r="H160" s="428">
        <f t="shared" si="14"/>
        <v>285.16174978133569</v>
      </c>
      <c r="J160" s="424">
        <f t="shared" si="11"/>
        <v>1.8759482884660637</v>
      </c>
      <c r="K160" s="424">
        <f t="shared" si="13"/>
        <v>1875.9482884660636</v>
      </c>
    </row>
    <row r="161" spans="1:11" x14ac:dyDescent="0.3">
      <c r="A161">
        <v>2037</v>
      </c>
      <c r="B161" s="422" t="e">
        <f>Electricity_cluster!#REF!</f>
        <v>#REF!</v>
      </c>
      <c r="C161" s="422" t="e">
        <f>Electricity_cluster!#REF!</f>
        <v>#REF!</v>
      </c>
      <c r="D161" s="422">
        <f>Electricity_cluster!BC156</f>
        <v>0.28530030990624011</v>
      </c>
      <c r="E161" s="422" t="str">
        <f>Electricity_cluster!BD156</f>
        <v/>
      </c>
      <c r="G161" s="424">
        <f t="shared" si="12"/>
        <v>0.31201625648639963</v>
      </c>
      <c r="H161" s="428">
        <f t="shared" si="14"/>
        <v>312.01625648639964</v>
      </c>
      <c r="J161" s="424">
        <f t="shared" si="11"/>
        <v>2.0374992878725426</v>
      </c>
      <c r="K161" s="424">
        <f t="shared" si="13"/>
        <v>2037.4992878725427</v>
      </c>
    </row>
    <row r="162" spans="1:11" x14ac:dyDescent="0.3">
      <c r="A162">
        <v>2038</v>
      </c>
      <c r="B162" s="422" t="e">
        <f>Electricity_cluster!#REF!</f>
        <v>#REF!</v>
      </c>
      <c r="C162" s="422" t="e">
        <f>Electricity_cluster!#REF!</f>
        <v>#REF!</v>
      </c>
      <c r="D162" s="422">
        <f>Electricity_cluster!BC157</f>
        <v>0.28621896814851566</v>
      </c>
      <c r="E162" s="422" t="str">
        <f>Electricity_cluster!BD157</f>
        <v/>
      </c>
      <c r="G162" s="424">
        <f t="shared" si="12"/>
        <v>0.34000361727419126</v>
      </c>
      <c r="H162" s="428">
        <f t="shared" si="14"/>
        <v>340.00361727419124</v>
      </c>
      <c r="J162" s="424">
        <f t="shared" si="11"/>
        <v>2.2030934333495162</v>
      </c>
      <c r="K162" s="424">
        <f t="shared" si="13"/>
        <v>2203.0934333495161</v>
      </c>
    </row>
    <row r="163" spans="1:11" x14ac:dyDescent="0.3">
      <c r="A163">
        <v>2039</v>
      </c>
      <c r="B163" s="422" t="e">
        <f>Electricity_cluster!#REF!</f>
        <v>#REF!</v>
      </c>
      <c r="C163" s="422" t="e">
        <f>Electricity_cluster!#REF!</f>
        <v>#REF!</v>
      </c>
      <c r="D163" s="422">
        <f>Electricity_cluster!BC158</f>
        <v>0.28713423537767507</v>
      </c>
      <c r="E163" s="422" t="str">
        <f>Electricity_cluster!BD158</f>
        <v/>
      </c>
      <c r="G163" s="424">
        <f t="shared" si="12"/>
        <v>0.36934749807489853</v>
      </c>
      <c r="H163" s="428">
        <f t="shared" si="14"/>
        <v>369.34749807489851</v>
      </c>
      <c r="J163" s="424">
        <f t="shared" si="11"/>
        <v>2.3740012030214377</v>
      </c>
      <c r="K163" s="424">
        <f t="shared" si="13"/>
        <v>2374.0012030214375</v>
      </c>
    </row>
    <row r="164" spans="1:11" x14ac:dyDescent="0.3">
      <c r="A164">
        <v>2040</v>
      </c>
      <c r="B164" s="422" t="e">
        <f>Electricity_cluster!#REF!</f>
        <v>#REF!</v>
      </c>
      <c r="C164" s="422" t="e">
        <f>Electricity_cluster!#REF!</f>
        <v>#REF!</v>
      </c>
      <c r="D164" s="422">
        <f>Electricity_cluster!BC159</f>
        <v>0.28804630801417053</v>
      </c>
      <c r="E164" s="422" t="str">
        <f>Electricity_cluster!BD159</f>
        <v/>
      </c>
      <c r="G164" s="424">
        <f t="shared" si="12"/>
        <v>0.40014017518725015</v>
      </c>
      <c r="H164" s="428">
        <f t="shared" si="14"/>
        <v>400.14017518725012</v>
      </c>
      <c r="J164" s="424">
        <f t="shared" si="11"/>
        <v>2.5506976224869402</v>
      </c>
      <c r="K164" s="424">
        <f t="shared" si="13"/>
        <v>2550.6976224869404</v>
      </c>
    </row>
    <row r="165" spans="1:11" x14ac:dyDescent="0.3">
      <c r="A165">
        <v>2041</v>
      </c>
      <c r="B165" s="422" t="e">
        <f>Electricity_cluster!#REF!</f>
        <v>#REF!</v>
      </c>
      <c r="C165" s="422" t="e">
        <f>Electricity_cluster!#REF!</f>
        <v>#REF!</v>
      </c>
      <c r="D165" s="422">
        <f>Electricity_cluster!BC160</f>
        <v>0.28895451219424245</v>
      </c>
      <c r="E165" s="422" t="str">
        <f>Electricity_cluster!BD160</f>
        <v/>
      </c>
      <c r="G165" s="424">
        <f t="shared" si="12"/>
        <v>0.43273243759488811</v>
      </c>
      <c r="H165" s="428">
        <f t="shared" si="14"/>
        <v>432.7324375948881</v>
      </c>
      <c r="J165" s="424">
        <f t="shared" si="11"/>
        <v>2.7354473528612311</v>
      </c>
      <c r="K165" s="424">
        <f t="shared" si="13"/>
        <v>2735.4473528612311</v>
      </c>
    </row>
    <row r="166" spans="1:11" x14ac:dyDescent="0.3">
      <c r="A166">
        <v>2042</v>
      </c>
      <c r="B166" s="422" t="e">
        <f>Electricity_cluster!#REF!</f>
        <v>#REF!</v>
      </c>
      <c r="C166" s="422" t="e">
        <f>Electricity_cluster!#REF!</f>
        <v>#REF!</v>
      </c>
      <c r="D166" s="422">
        <f>Electricity_cluster!BC161</f>
        <v>0.2898583153494651</v>
      </c>
      <c r="E166" s="422" t="str">
        <f>Electricity_cluster!BD161</f>
        <v/>
      </c>
      <c r="G166" s="424">
        <f t="shared" si="12"/>
        <v>0.46693956296219702</v>
      </c>
      <c r="H166" s="428">
        <f t="shared" si="14"/>
        <v>466.93956296219704</v>
      </c>
      <c r="J166" s="424">
        <f t="shared" si="11"/>
        <v>2.9266854554350421</v>
      </c>
      <c r="K166" s="424">
        <f t="shared" si="13"/>
        <v>2926.6854554350421</v>
      </c>
    </row>
    <row r="167" spans="1:11" x14ac:dyDescent="0.3">
      <c r="A167">
        <v>2043</v>
      </c>
      <c r="B167" s="422" t="e">
        <f>Electricity_cluster!#REF!</f>
        <v>#REF!</v>
      </c>
      <c r="C167" s="422" t="e">
        <f>Electricity_cluster!#REF!</f>
        <v>#REF!</v>
      </c>
      <c r="D167" s="422">
        <f>Electricity_cluster!BC162</f>
        <v>0.29075851738014635</v>
      </c>
      <c r="E167" s="422" t="str">
        <f>Electricity_cluster!BD162</f>
        <v/>
      </c>
      <c r="G167" s="424">
        <f t="shared" si="12"/>
        <v>0.50304283513521431</v>
      </c>
      <c r="H167" s="428">
        <f t="shared" si="14"/>
        <v>503.04283513521432</v>
      </c>
      <c r="J167" s="424">
        <f t="shared" si="11"/>
        <v>3.1259410621167847</v>
      </c>
      <c r="K167" s="424">
        <f t="shared" si="13"/>
        <v>3125.9410621167849</v>
      </c>
    </row>
    <row r="168" spans="1:11" x14ac:dyDescent="0.3">
      <c r="A168">
        <v>2044</v>
      </c>
      <c r="B168" s="422" t="e">
        <f>Electricity_cluster!#REF!</f>
        <v>#REF!</v>
      </c>
      <c r="C168" s="422" t="e">
        <f>Electricity_cluster!#REF!</f>
        <v>#REF!</v>
      </c>
      <c r="D168" s="422">
        <f>Electricity_cluster!BC163</f>
        <v>0.29165636414131829</v>
      </c>
      <c r="E168" s="422" t="str">
        <f>Electricity_cluster!BD163</f>
        <v/>
      </c>
      <c r="G168" s="424">
        <f t="shared" si="12"/>
        <v>0.54122588731909937</v>
      </c>
      <c r="H168" s="428">
        <f t="shared" si="14"/>
        <v>541.22588731909934</v>
      </c>
      <c r="J168" s="424">
        <f t="shared" si="11"/>
        <v>3.3341662359784441</v>
      </c>
      <c r="K168" s="424">
        <f t="shared" si="13"/>
        <v>3334.1662359784441</v>
      </c>
    </row>
    <row r="169" spans="1:11" x14ac:dyDescent="0.3">
      <c r="A169">
        <v>2045</v>
      </c>
      <c r="B169" s="422" t="e">
        <f>Electricity_cluster!#REF!</f>
        <v>#REF!</v>
      </c>
      <c r="C169" s="422" t="e">
        <f>Electricity_cluster!#REF!</f>
        <v>#REF!</v>
      </c>
      <c r="D169" s="422">
        <f>Electricity_cluster!BC164</f>
        <v>0.29255290790106564</v>
      </c>
      <c r="E169" s="422" t="str">
        <f>Electricity_cluster!BD164</f>
        <v/>
      </c>
      <c r="G169" s="424">
        <f t="shared" si="12"/>
        <v>0.58172528982420668</v>
      </c>
      <c r="H169" s="428">
        <f t="shared" si="14"/>
        <v>581.7252898242067</v>
      </c>
      <c r="J169" s="424">
        <f t="shared" si="11"/>
        <v>3.5524832977776351</v>
      </c>
      <c r="K169" s="424">
        <f t="shared" si="13"/>
        <v>3552.483297777635</v>
      </c>
    </row>
    <row r="170" spans="1:11" x14ac:dyDescent="0.3">
      <c r="A170">
        <v>2046</v>
      </c>
      <c r="B170" s="422" t="e">
        <f>Electricity_cluster!#REF!</f>
        <v>#REF!</v>
      </c>
      <c r="C170" s="422" t="e">
        <f>Electricity_cluster!#REF!</f>
        <v>#REF!</v>
      </c>
      <c r="D170" s="422">
        <f>Electricity_cluster!BC165</f>
        <v>0.29344852641766916</v>
      </c>
      <c r="E170" s="422" t="str">
        <f>Electricity_cluster!BD165</f>
        <v/>
      </c>
      <c r="G170" s="424">
        <f t="shared" si="12"/>
        <v>0.62448791326990705</v>
      </c>
      <c r="H170" s="428">
        <f t="shared" si="14"/>
        <v>624.48791326990704</v>
      </c>
      <c r="J170" s="424">
        <f t="shared" si="11"/>
        <v>3.7808397988467011</v>
      </c>
      <c r="K170" s="424">
        <f t="shared" si="13"/>
        <v>3780.8397988467009</v>
      </c>
    </row>
    <row r="171" spans="1:11" x14ac:dyDescent="0.3">
      <c r="A171">
        <v>2047</v>
      </c>
      <c r="B171" s="422" t="e">
        <f>Electricity_cluster!#REF!</f>
        <v>#REF!</v>
      </c>
      <c r="C171" s="422" t="e">
        <f>Electricity_cluster!#REF!</f>
        <v>#REF!</v>
      </c>
      <c r="D171" s="422">
        <f>Electricity_cluster!BC166</f>
        <v>0.29434312287283687</v>
      </c>
      <c r="E171" s="422" t="str">
        <f>Electricity_cluster!BD166</f>
        <v/>
      </c>
      <c r="G171" s="424">
        <f t="shared" si="12"/>
        <v>0.66982685159488364</v>
      </c>
      <c r="H171" s="428">
        <f t="shared" si="14"/>
        <v>669.82685159488369</v>
      </c>
      <c r="J171" s="424">
        <f t="shared" si="11"/>
        <v>4.0205361830557775</v>
      </c>
      <c r="K171" s="424">
        <f t="shared" si="13"/>
        <v>4020.5361830557777</v>
      </c>
    </row>
    <row r="172" spans="1:11" x14ac:dyDescent="0.3">
      <c r="A172">
        <v>2048</v>
      </c>
      <c r="B172" s="422" t="e">
        <f>Electricity_cluster!#REF!</f>
        <v>#REF!</v>
      </c>
      <c r="C172" s="422" t="e">
        <f>Electricity_cluster!#REF!</f>
        <v>#REF!</v>
      </c>
      <c r="D172" s="422">
        <f>Electricity_cluster!BC167</f>
        <v>0.29523676630937767</v>
      </c>
      <c r="E172" s="422" t="str">
        <f>Electricity_cluster!BD167</f>
        <v/>
      </c>
      <c r="G172" s="424">
        <f t="shared" si="12"/>
        <v>0.71782186717143226</v>
      </c>
      <c r="H172" s="428">
        <f t="shared" si="14"/>
        <v>717.82186717143225</v>
      </c>
      <c r="J172" s="424">
        <f t="shared" si="11"/>
        <v>4.2720958657120303</v>
      </c>
      <c r="K172" s="424">
        <f t="shared" si="13"/>
        <v>4272.09586571203</v>
      </c>
    </row>
    <row r="173" spans="1:11" x14ac:dyDescent="0.3">
      <c r="A173">
        <v>2049</v>
      </c>
      <c r="B173" s="422" t="e">
        <f>Electricity_cluster!#REF!</f>
        <v>#REF!</v>
      </c>
      <c r="C173" s="422" t="e">
        <f>Electricity_cluster!#REF!</f>
        <v>#REF!</v>
      </c>
      <c r="D173" s="422">
        <f>Electricity_cluster!BC168</f>
        <v>0.29612944167055144</v>
      </c>
      <c r="E173" s="422" t="str">
        <f>Electricity_cluster!BD168</f>
        <v/>
      </c>
      <c r="G173" s="424">
        <f t="shared" si="12"/>
        <v>0.76881273279325291</v>
      </c>
      <c r="H173" s="428">
        <f t="shared" si="14"/>
        <v>768.81273279325296</v>
      </c>
      <c r="J173" s="424">
        <f t="shared" si="11"/>
        <v>4.5376802929413529</v>
      </c>
      <c r="K173" s="424">
        <f t="shared" si="13"/>
        <v>4537.6802929413525</v>
      </c>
    </row>
    <row r="174" spans="1:11" x14ac:dyDescent="0.3">
      <c r="A174">
        <v>2050</v>
      </c>
      <c r="B174" s="422" t="e">
        <f>Electricity_cluster!#REF!</f>
        <v>#REF!</v>
      </c>
      <c r="C174" s="422" t="e">
        <f>Electricity_cluster!#REF!</f>
        <v>#REF!</v>
      </c>
      <c r="D174" s="422">
        <f>Electricity_cluster!BC169</f>
        <v>0.29702122640811007</v>
      </c>
      <c r="E174" s="422" t="str">
        <f>Electricity_cluster!BD169</f>
        <v/>
      </c>
      <c r="G174" s="424">
        <f t="shared" si="12"/>
        <v>0.82324018477167371</v>
      </c>
      <c r="H174" s="428">
        <f t="shared" si="14"/>
        <v>823.24018477167374</v>
      </c>
      <c r="J174" s="424">
        <f t="shared" si="11"/>
        <v>4.8195686119965115</v>
      </c>
      <c r="K174" s="424">
        <f t="shared" si="13"/>
        <v>4819.5686119965112</v>
      </c>
    </row>
    <row r="175" spans="1:11" x14ac:dyDescent="0.3">
      <c r="A175">
        <v>2051</v>
      </c>
      <c r="B175" s="422" t="e">
        <f>Electricity_cluster!#REF!</f>
        <v>#REF!</v>
      </c>
      <c r="C175" s="422" t="e">
        <f>Electricity_cluster!#REF!</f>
        <v>#REF!</v>
      </c>
      <c r="D175" s="422">
        <f>Electricity_cluster!BC170</f>
        <v>0.29791239087841931</v>
      </c>
      <c r="E175" s="422" t="str">
        <f>Electricity_cluster!BD170</f>
        <v/>
      </c>
      <c r="G175" s="424">
        <f t="shared" si="12"/>
        <v>0.88048684833496826</v>
      </c>
      <c r="H175" s="428">
        <f t="shared" si="14"/>
        <v>880.48684833496827</v>
      </c>
      <c r="J175" s="424">
        <f t="shared" si="11"/>
        <v>5.1153440908624219</v>
      </c>
      <c r="K175" s="424">
        <f t="shared" si="13"/>
        <v>5115.3440908624216</v>
      </c>
    </row>
    <row r="176" spans="1:11" x14ac:dyDescent="0.3">
      <c r="A176">
        <v>2052</v>
      </c>
      <c r="B176" s="422" t="e">
        <f>Electricity_cluster!#REF!</f>
        <v>#REF!</v>
      </c>
      <c r="C176" s="422" t="e">
        <f>Electricity_cluster!#REF!</f>
        <v>#REF!</v>
      </c>
      <c r="D176" s="422">
        <f>Electricity_cluster!BC171</f>
        <v>0.29880309677716826</v>
      </c>
      <c r="E176" s="422" t="str">
        <f>Electricity_cluster!BD171</f>
        <v/>
      </c>
      <c r="G176" s="424">
        <f t="shared" si="12"/>
        <v>0.94109581290115296</v>
      </c>
      <c r="H176" s="428">
        <f t="shared" si="14"/>
        <v>941.09581290115295</v>
      </c>
      <c r="J176" s="424">
        <f t="shared" si="11"/>
        <v>5.4263860542020481</v>
      </c>
      <c r="K176" s="424">
        <f t="shared" si="13"/>
        <v>5426.3860542020484</v>
      </c>
    </row>
    <row r="177" spans="1:11" x14ac:dyDescent="0.3">
      <c r="A177">
        <v>2053</v>
      </c>
      <c r="B177" s="422" t="e">
        <f>Electricity_cluster!#REF!</f>
        <v>#REF!</v>
      </c>
      <c r="C177" s="422" t="e">
        <f>Electricity_cluster!#REF!</f>
        <v>#REF!</v>
      </c>
      <c r="D177" s="422">
        <f>Electricity_cluster!BC172</f>
        <v>0.29969304663774748</v>
      </c>
      <c r="E177" s="422" t="str">
        <f>Electricity_cluster!BD172</f>
        <v/>
      </c>
      <c r="G177" s="424">
        <f t="shared" si="12"/>
        <v>1.005044808629092</v>
      </c>
      <c r="H177" s="428">
        <f t="shared" si="14"/>
        <v>1005.0448086290919</v>
      </c>
      <c r="J177" s="424">
        <f t="shared" si="11"/>
        <v>5.7529112025883489</v>
      </c>
      <c r="K177" s="424">
        <f t="shared" si="13"/>
        <v>5752.9112025883487</v>
      </c>
    </row>
    <row r="178" spans="1:11" x14ac:dyDescent="0.3">
      <c r="A178">
        <v>2054</v>
      </c>
      <c r="B178" s="422" t="e">
        <f>Electricity_cluster!#REF!</f>
        <v>#REF!</v>
      </c>
      <c r="C178" s="422" t="e">
        <f>Electricity_cluster!#REF!</f>
        <v>#REF!</v>
      </c>
      <c r="D178" s="422">
        <f>Electricity_cluster!BC173</f>
        <v>0.30058171874832851</v>
      </c>
      <c r="E178" s="422" t="str">
        <f>Electricity_cluster!BD173</f>
        <v/>
      </c>
      <c r="G178" s="424">
        <f t="shared" si="12"/>
        <v>1.0723937630317495</v>
      </c>
      <c r="H178" s="428">
        <f t="shared" si="14"/>
        <v>1072.3937630317496</v>
      </c>
      <c r="J178" s="424">
        <f t="shared" si="11"/>
        <v>6.095265857567818</v>
      </c>
      <c r="K178" s="424">
        <f t="shared" si="13"/>
        <v>6095.2658575678179</v>
      </c>
    </row>
    <row r="179" spans="1:11" x14ac:dyDescent="0.3">
      <c r="A179">
        <v>2055</v>
      </c>
      <c r="B179" s="422" t="e">
        <f>Electricity_cluster!#REF!</f>
        <v>#REF!</v>
      </c>
      <c r="C179" s="422" t="e">
        <f>Electricity_cluster!#REF!</f>
        <v>#REF!</v>
      </c>
      <c r="D179" s="422">
        <f>Electricity_cluster!BC174</f>
        <v>0.30146855721123456</v>
      </c>
      <c r="E179" s="422" t="str">
        <f>Electricity_cluster!BD174</f>
        <v/>
      </c>
      <c r="G179" s="424">
        <f t="shared" si="12"/>
        <v>1.1432865287464939</v>
      </c>
      <c r="H179" s="428">
        <f t="shared" si="14"/>
        <v>1143.286528746494</v>
      </c>
      <c r="J179" s="424">
        <f t="shared" si="11"/>
        <v>6.4535320326585559</v>
      </c>
      <c r="K179" s="424">
        <f t="shared" si="13"/>
        <v>6453.5320326585561</v>
      </c>
    </row>
    <row r="180" spans="1:11" x14ac:dyDescent="0.3">
      <c r="A180">
        <v>2056</v>
      </c>
      <c r="B180" s="422" t="e">
        <f>Electricity_cluster!#REF!</f>
        <v>#REF!</v>
      </c>
      <c r="C180" s="422" t="e">
        <f>Electricity_cluster!#REF!</f>
        <v>#REF!</v>
      </c>
      <c r="D180" s="422">
        <f>Electricity_cluster!BC175</f>
        <v>0.3023532427673401</v>
      </c>
      <c r="E180" s="422" t="str">
        <f>Electricity_cluster!BD175</f>
        <v/>
      </c>
      <c r="G180" s="424">
        <f t="shared" si="12"/>
        <v>1.2175883788956514</v>
      </c>
      <c r="H180" s="428">
        <f t="shared" si="14"/>
        <v>1217.5883788956514</v>
      </c>
      <c r="J180" s="424">
        <f t="shared" si="11"/>
        <v>6.8291119281677926</v>
      </c>
      <c r="K180" s="424">
        <f t="shared" si="13"/>
        <v>6829.1119281677929</v>
      </c>
    </row>
    <row r="181" spans="1:11" x14ac:dyDescent="0.3">
      <c r="A181">
        <v>2057</v>
      </c>
      <c r="B181" s="422" t="e">
        <f>Electricity_cluster!#REF!</f>
        <v>#REF!</v>
      </c>
      <c r="C181" s="422" t="e">
        <f>Electricity_cluster!#REF!</f>
        <v>#REF!</v>
      </c>
      <c r="D181" s="422">
        <f>Electricity_cluster!BC176</f>
        <v>0.30323544855939577</v>
      </c>
      <c r="E181" s="422" t="str">
        <f>Electricity_cluster!BD176</f>
        <v/>
      </c>
      <c r="G181" s="424">
        <f t="shared" si="12"/>
        <v>1.2956394696856803</v>
      </c>
      <c r="H181" s="428">
        <f t="shared" si="14"/>
        <v>1295.6394696856803</v>
      </c>
      <c r="J181" s="424">
        <f t="shared" si="11"/>
        <v>7.2216647380384789</v>
      </c>
      <c r="K181" s="424">
        <f t="shared" si="13"/>
        <v>7221.6647380384793</v>
      </c>
    </row>
    <row r="182" spans="1:11" x14ac:dyDescent="0.3">
      <c r="A182">
        <v>2058</v>
      </c>
      <c r="B182" s="422" t="e">
        <f>Electricity_cluster!#REF!</f>
        <v>#REF!</v>
      </c>
      <c r="C182" s="422" t="e">
        <f>Electricity_cluster!#REF!</f>
        <v>#REF!</v>
      </c>
      <c r="D182" s="422">
        <f>Electricity_cluster!BC177</f>
        <v>0.30411441817875368</v>
      </c>
      <c r="E182" s="422" t="str">
        <f>Electricity_cluster!BD177</f>
        <v/>
      </c>
      <c r="G182" s="424">
        <f t="shared" si="12"/>
        <v>1.3773996719923942</v>
      </c>
      <c r="H182" s="428">
        <f t="shared" si="14"/>
        <v>1377.3996719923941</v>
      </c>
      <c r="J182" s="424">
        <f t="shared" si="11"/>
        <v>7.631676515739839</v>
      </c>
      <c r="K182" s="424">
        <f t="shared" si="13"/>
        <v>7631.6765157398386</v>
      </c>
    </row>
    <row r="183" spans="1:11" x14ac:dyDescent="0.3">
      <c r="A183">
        <v>2059</v>
      </c>
      <c r="B183" s="422" t="e">
        <f>Electricity_cluster!#REF!</f>
        <v>#REF!</v>
      </c>
      <c r="C183" s="422" t="e">
        <f>Electricity_cluster!#REF!</f>
        <v>#REF!</v>
      </c>
      <c r="D183" s="422">
        <f>Electricity_cluster!BC178</f>
        <v>0.30498918943864883</v>
      </c>
      <c r="E183" s="422" t="str">
        <f>Electricity_cluster!BD178</f>
        <v/>
      </c>
      <c r="G183" s="424">
        <f t="shared" si="12"/>
        <v>1.4628868268197892</v>
      </c>
      <c r="H183" s="428">
        <f t="shared" si="14"/>
        <v>1462.8868268197891</v>
      </c>
      <c r="J183" s="424">
        <f t="shared" si="11"/>
        <v>8.0592358880643591</v>
      </c>
      <c r="K183" s="424">
        <f t="shared" si="13"/>
        <v>8059.2358880643587</v>
      </c>
    </row>
    <row r="184" spans="1:11" x14ac:dyDescent="0.3">
      <c r="A184">
        <v>2060</v>
      </c>
      <c r="B184" s="422" t="e">
        <f>Electricity_cluster!#REF!</f>
        <v>#REF!</v>
      </c>
      <c r="C184" s="422" t="e">
        <f>Electricity_cluster!#REF!</f>
        <v>#REF!</v>
      </c>
      <c r="D184" s="422">
        <f>Electricity_cluster!BC179</f>
        <v>0.30585880353860939</v>
      </c>
      <c r="E184" s="422" t="str">
        <f>Electricity_cluster!BD179</f>
        <v/>
      </c>
      <c r="G184" s="424">
        <f t="shared" si="12"/>
        <v>1.5521480717053859</v>
      </c>
      <c r="H184" s="428">
        <f t="shared" si="14"/>
        <v>1552.148071705386</v>
      </c>
      <c r="J184" s="424">
        <f t="shared" si="11"/>
        <v>8.5055289111842178</v>
      </c>
      <c r="K184" s="424">
        <f t="shared" si="13"/>
        <v>8505.5289111842176</v>
      </c>
    </row>
  </sheetData>
  <mergeCells count="10">
    <mergeCell ref="B2:E2"/>
    <mergeCell ref="K55:U55"/>
    <mergeCell ref="V55:AA55"/>
    <mergeCell ref="AB55:AF55"/>
    <mergeCell ref="B135:E135"/>
    <mergeCell ref="B136:C136"/>
    <mergeCell ref="D136:E136"/>
    <mergeCell ref="AG55:AH55"/>
    <mergeCell ref="G55:J55"/>
    <mergeCell ref="G70:J70"/>
  </mergeCells>
  <dataValidations count="1">
    <dataValidation type="list" allowBlank="1" showInputMessage="1" showErrorMessage="1" sqref="G3:AH3">
      <formula1>"Y,N"</formula1>
    </dataValidation>
  </dataValidations>
  <pageMargins left="0.7" right="0.7" top="0.75" bottom="0.75" header="0.3" footer="0.3"/>
  <pageSetup orientation="portrait" horizontalDpi="0" verticalDpi="0"/>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5" tint="0.59999389629810485"/>
  </sheetPr>
  <dimension ref="A1:AH339"/>
  <sheetViews>
    <sheetView showGridLines="0" tabSelected="1" topLeftCell="C287" zoomScale="70" zoomScaleNormal="70" zoomScalePageLayoutView="70" workbookViewId="0">
      <selection activeCell="D134" sqref="D134"/>
    </sheetView>
  </sheetViews>
  <sheetFormatPr defaultColWidth="8.796875" defaultRowHeight="15.6" x14ac:dyDescent="0.3"/>
  <cols>
    <col min="1" max="1" width="40.5" style="7" customWidth="1"/>
    <col min="2" max="2" width="13.19921875" style="7" bestFit="1" customWidth="1"/>
    <col min="3" max="11" width="13.5" style="7" bestFit="1" customWidth="1"/>
    <col min="12" max="12" width="18.5" style="7" customWidth="1"/>
    <col min="13" max="13" width="8.796875" style="7"/>
    <col min="14" max="14" width="8.796875" style="10"/>
    <col min="15" max="15" width="8.796875" style="7"/>
    <col min="16" max="16" width="32.5" style="7" customWidth="1"/>
    <col min="17" max="18" width="23.5" style="7" customWidth="1"/>
    <col min="19" max="19" width="13.5" style="7" customWidth="1"/>
    <col min="20" max="20" width="19.5" style="7" bestFit="1" customWidth="1"/>
    <col min="21" max="21" width="20.5" style="7" customWidth="1"/>
    <col min="22" max="22" width="16" style="7" customWidth="1"/>
    <col min="23" max="23" width="16.5" style="7" bestFit="1" customWidth="1"/>
    <col min="24" max="25" width="16.5" style="7" customWidth="1"/>
    <col min="26" max="26" width="18.796875" style="7" customWidth="1"/>
    <col min="27" max="28" width="31.796875" style="7" customWidth="1"/>
    <col min="29" max="29" width="16.5" style="7" bestFit="1" customWidth="1"/>
    <col min="30" max="32" width="16.5" style="7" customWidth="1"/>
    <col min="33" max="33" width="28.19921875" style="7" customWidth="1"/>
    <col min="34" max="34" width="8.796875" style="10"/>
    <col min="35" max="16384" width="8.796875" style="7"/>
  </cols>
  <sheetData>
    <row r="1" spans="1:34" s="3" customFormat="1" ht="18.600000000000001" x14ac:dyDescent="0.3">
      <c r="A1" s="1" t="str">
        <f ca="1">MID(CELL("filename",A1),FIND("]",CELL("filename",A1))+1,256)</f>
        <v>Emissions Factors</v>
      </c>
      <c r="B1" s="544"/>
      <c r="C1" s="544"/>
      <c r="D1" s="544"/>
      <c r="E1" s="544"/>
      <c r="F1" s="544"/>
      <c r="G1" s="544"/>
      <c r="H1" s="544"/>
      <c r="I1" s="544"/>
      <c r="J1" s="544"/>
      <c r="K1" s="544"/>
      <c r="L1" s="2"/>
      <c r="N1" s="4"/>
      <c r="O1" s="2"/>
      <c r="AH1" s="5"/>
    </row>
    <row r="2" spans="1:34" x14ac:dyDescent="0.3">
      <c r="A2" s="6" t="s">
        <v>0</v>
      </c>
      <c r="J2" s="8"/>
      <c r="K2" s="8"/>
      <c r="L2" s="9"/>
      <c r="M2" s="8"/>
    </row>
    <row r="3" spans="1:34" x14ac:dyDescent="0.3">
      <c r="A3" s="11" t="e">
        <f ca="1">HYPERLINK("#"&amp;"'"&amp;A$1&amp;"'!EmissionsFactorsBAUGridEFCO2eq",EmissionsFactorsBAUGridEFCO2eq)</f>
        <v>#NAME?</v>
      </c>
      <c r="J3" s="8"/>
      <c r="K3" s="8"/>
      <c r="L3" s="9"/>
      <c r="M3" s="8"/>
    </row>
    <row r="4" spans="1:34" x14ac:dyDescent="0.3">
      <c r="A4" s="11" t="e">
        <f ca="1">HYPERLINK("#"&amp;"'"&amp;A$1&amp;"'!EmissionsFactorsBAUGridEFCO2",EmissionsFactorsBAUGridEFCO2)</f>
        <v>#NAME?</v>
      </c>
      <c r="J4" s="8"/>
      <c r="K4" s="8"/>
      <c r="L4" s="9"/>
      <c r="M4" s="8"/>
    </row>
    <row r="5" spans="1:34" x14ac:dyDescent="0.3">
      <c r="A5" s="11" t="e">
        <f ca="1">HYPERLINK("#"&amp;"'"&amp;A$1&amp;"'!EmissionsFactorsOPTGridEFCO2eq",EmissionsFactorsOPTGridEFCO2eq)</f>
        <v>#NAME?</v>
      </c>
      <c r="J5" s="8"/>
      <c r="K5" s="8"/>
      <c r="L5" s="9"/>
      <c r="M5" s="8"/>
    </row>
    <row r="6" spans="1:34" x14ac:dyDescent="0.3">
      <c r="A6" s="11" t="e">
        <f ca="1">HYPERLINK("#"&amp;"'"&amp;A$1&amp;"'!EmissionsFactorsOPTGridEFCO2",EmissionsFactorsOPTGridEFCO2)</f>
        <v>#NAME?</v>
      </c>
      <c r="J6" s="8"/>
      <c r="K6" s="8"/>
      <c r="L6" s="9"/>
      <c r="M6" s="8"/>
    </row>
    <row r="7" spans="1:34" ht="99" customHeight="1" x14ac:dyDescent="0.3">
      <c r="A7" s="12" t="str">
        <f ca="1">HYPERLINK("#"&amp;"'"&amp;A$1&amp;"'!O8",O8)</f>
        <v>FUEL EMISSIONS FACTORS and COSTS</v>
      </c>
    </row>
    <row r="8" spans="1:34" ht="28.2" x14ac:dyDescent="0.3">
      <c r="A8" s="590" t="s">
        <v>1</v>
      </c>
      <c r="B8" s="591"/>
      <c r="C8" s="591"/>
      <c r="D8" s="591"/>
      <c r="E8" s="591"/>
      <c r="F8" s="591"/>
      <c r="G8" s="591"/>
      <c r="H8" s="591"/>
      <c r="I8" s="591"/>
      <c r="J8" s="591"/>
      <c r="K8" s="591"/>
      <c r="L8" s="591"/>
      <c r="M8" s="591"/>
      <c r="O8" s="590" t="s">
        <v>269</v>
      </c>
      <c r="P8" s="591"/>
      <c r="Q8" s="591"/>
      <c r="R8" s="591"/>
      <c r="S8" s="591"/>
      <c r="T8" s="591"/>
      <c r="U8" s="591"/>
      <c r="V8" s="591"/>
      <c r="W8" s="591"/>
      <c r="X8" s="591"/>
      <c r="Y8" s="591"/>
      <c r="Z8" s="591"/>
      <c r="AA8" s="591"/>
      <c r="AB8" s="591"/>
      <c r="AC8" s="591"/>
      <c r="AD8" s="591"/>
      <c r="AE8" s="591"/>
      <c r="AF8" s="591"/>
      <c r="AG8" s="591"/>
    </row>
    <row r="9" spans="1:34" s="3" customFormat="1" ht="18.600000000000001" x14ac:dyDescent="0.3">
      <c r="A9" s="1" t="s">
        <v>2</v>
      </c>
      <c r="B9" s="544"/>
      <c r="C9" s="544"/>
      <c r="D9" s="544"/>
      <c r="E9" s="544"/>
      <c r="F9" s="544"/>
      <c r="G9" s="544"/>
      <c r="H9" s="544"/>
      <c r="I9" s="544"/>
      <c r="J9" s="544"/>
      <c r="K9" s="544"/>
      <c r="L9" s="2"/>
      <c r="N9" s="4"/>
      <c r="O9" s="2"/>
      <c r="AH9" s="5"/>
    </row>
    <row r="10" spans="1:34" ht="70.05" customHeight="1" thickBot="1" x14ac:dyDescent="0.35">
      <c r="W10" s="13"/>
      <c r="X10" s="13"/>
      <c r="Y10" s="13"/>
      <c r="Z10" s="13"/>
      <c r="AA10" s="13"/>
    </row>
    <row r="11" spans="1:34" ht="78.599999999999994" thickBot="1" x14ac:dyDescent="0.45">
      <c r="A11" s="14" t="s">
        <v>3</v>
      </c>
      <c r="B11" s="15" t="s">
        <v>4</v>
      </c>
      <c r="C11" s="15" t="s">
        <v>5</v>
      </c>
      <c r="D11" s="15" t="s">
        <v>6</v>
      </c>
      <c r="E11" s="15" t="s">
        <v>7</v>
      </c>
      <c r="F11" s="15" t="s">
        <v>8</v>
      </c>
      <c r="G11" s="15" t="s">
        <v>9</v>
      </c>
      <c r="H11" s="15" t="s">
        <v>10</v>
      </c>
      <c r="I11" s="15" t="s">
        <v>11</v>
      </c>
      <c r="J11" s="15" t="s">
        <v>12</v>
      </c>
      <c r="K11" s="15" t="s">
        <v>13</v>
      </c>
      <c r="P11" s="592" t="s">
        <v>14</v>
      </c>
      <c r="Q11" s="592"/>
      <c r="R11" s="592"/>
      <c r="S11" s="592"/>
      <c r="T11" s="592"/>
      <c r="U11" s="592"/>
      <c r="V11" s="592"/>
      <c r="W11" s="16" t="s">
        <v>15</v>
      </c>
      <c r="X11" s="593" t="s">
        <v>16</v>
      </c>
      <c r="Y11" s="593"/>
      <c r="Z11" s="593"/>
      <c r="AA11" s="594"/>
      <c r="AB11" s="13"/>
      <c r="AC11" s="17"/>
      <c r="AD11" s="17"/>
      <c r="AE11" s="17"/>
      <c r="AF11" s="17"/>
    </row>
    <row r="12" spans="1:34" x14ac:dyDescent="0.3">
      <c r="A12" s="14">
        <v>2015</v>
      </c>
      <c r="B12" s="18">
        <f>IF('[2]Advanced Controls'!$D$174='Emissions Factors'!$B$241,'Emissions Factors'!B242,IF('[2]Advanced Controls'!$D$174='Emissions Factors'!$C$241,'Emissions Factors'!C242,'Emissions Factors'!D242))</f>
        <v>0.61738162752325509</v>
      </c>
      <c r="C12" s="19">
        <v>0.45406898856163025</v>
      </c>
      <c r="D12" s="19">
        <v>0.72474795579910278</v>
      </c>
      <c r="E12" s="19">
        <v>0.45765894651412964</v>
      </c>
      <c r="F12" s="19">
        <v>0.28224390745162964</v>
      </c>
      <c r="G12" s="19">
        <v>0.56439471244812012</v>
      </c>
      <c r="H12" s="19">
        <v>0.53596240282058716</v>
      </c>
      <c r="I12" s="19">
        <v>0.78783237934112549</v>
      </c>
      <c r="J12" s="19">
        <v>0.36062929034233093</v>
      </c>
      <c r="K12" s="20">
        <v>0.66507166624069214</v>
      </c>
      <c r="P12" s="21"/>
      <c r="Q12" s="22" t="s">
        <v>17</v>
      </c>
      <c r="R12" s="14" t="s">
        <v>18</v>
      </c>
      <c r="S12" s="14"/>
      <c r="W12" s="13"/>
      <c r="X12" s="13"/>
      <c r="Y12" s="13"/>
      <c r="Z12" s="13"/>
      <c r="AA12" s="13"/>
      <c r="AB12" s="13"/>
      <c r="AC12" s="17"/>
      <c r="AD12" s="17"/>
      <c r="AE12" s="17"/>
      <c r="AF12" s="17"/>
    </row>
    <row r="13" spans="1:34" ht="15" customHeight="1" x14ac:dyDescent="0.3">
      <c r="A13" s="14">
        <v>2016</v>
      </c>
      <c r="B13" s="24">
        <f>IF('[2]Advanced Controls'!$D$174='Emissions Factors'!$B$241,'Emissions Factors'!B243,IF('[2]Advanced Controls'!$D$174='Emissions Factors'!$C$241,'Emissions Factors'!C243,'Emissions Factors'!D243))</f>
        <v>0.61305371191767377</v>
      </c>
      <c r="C13" s="25">
        <v>0.45406898856163025</v>
      </c>
      <c r="D13" s="25">
        <v>0.72474795579910278</v>
      </c>
      <c r="E13" s="25">
        <v>0.45765894651412964</v>
      </c>
      <c r="F13" s="25">
        <v>0.28224390745162964</v>
      </c>
      <c r="G13" s="25">
        <v>0.56439471244812012</v>
      </c>
      <c r="H13" s="25">
        <v>0.53596240282058716</v>
      </c>
      <c r="I13" s="25">
        <v>0.78783237934112549</v>
      </c>
      <c r="J13" s="25">
        <v>0.36062929034233093</v>
      </c>
      <c r="K13" s="26">
        <v>0.66507166624069214</v>
      </c>
      <c r="P13" s="21"/>
      <c r="Q13" s="13" t="s">
        <v>20</v>
      </c>
      <c r="R13" s="13"/>
    </row>
    <row r="14" spans="1:34" ht="15" customHeight="1" x14ac:dyDescent="0.3">
      <c r="A14" s="14">
        <v>2017</v>
      </c>
      <c r="B14" s="24">
        <f>IF('[2]Advanced Controls'!$D$174='Emissions Factors'!$B$241,'Emissions Factors'!B244,IF('[2]Advanced Controls'!$D$174='Emissions Factors'!$C$241,'Emissions Factors'!C244,'Emissions Factors'!D244))</f>
        <v>0.60555902111379423</v>
      </c>
      <c r="C14" s="25">
        <v>0.45406898856163025</v>
      </c>
      <c r="D14" s="25">
        <v>0.72474795579910278</v>
      </c>
      <c r="E14" s="25">
        <v>0.45765894651412964</v>
      </c>
      <c r="F14" s="25">
        <v>0.28224390745162964</v>
      </c>
      <c r="G14" s="25">
        <v>0.56439471244812012</v>
      </c>
      <c r="H14" s="25">
        <v>0.53596240282058716</v>
      </c>
      <c r="I14" s="25">
        <v>0.78783237934112549</v>
      </c>
      <c r="J14" s="25">
        <v>0.36062929034233093</v>
      </c>
      <c r="K14" s="26">
        <v>0.66507166624069214</v>
      </c>
      <c r="P14" s="13"/>
      <c r="Q14" s="27" t="s">
        <v>21</v>
      </c>
      <c r="R14" s="28" t="s">
        <v>22</v>
      </c>
      <c r="V14" s="23"/>
      <c r="AA14" s="585" t="s">
        <v>19</v>
      </c>
      <c r="AB14" s="585"/>
      <c r="AC14" s="585"/>
      <c r="AD14" s="585"/>
      <c r="AE14" s="23"/>
      <c r="AF14" s="13"/>
    </row>
    <row r="15" spans="1:34" x14ac:dyDescent="0.3">
      <c r="A15" s="14">
        <v>2018</v>
      </c>
      <c r="B15" s="24">
        <f>IF('[2]Advanced Controls'!$D$174='Emissions Factors'!$B$241,'Emissions Factors'!B245,IF('[2]Advanced Controls'!$D$174='Emissions Factors'!$C$241,'Emissions Factors'!C245,'Emissions Factors'!D245))</f>
        <v>0.59982376403752224</v>
      </c>
      <c r="C15" s="25">
        <v>0.45406898856163025</v>
      </c>
      <c r="D15" s="25">
        <v>0.72474795579910278</v>
      </c>
      <c r="E15" s="25">
        <v>0.45765894651412964</v>
      </c>
      <c r="F15" s="25">
        <v>0.28224390745162964</v>
      </c>
      <c r="G15" s="25">
        <v>0.56439471244812012</v>
      </c>
      <c r="H15" s="25">
        <v>0.53596240282058716</v>
      </c>
      <c r="I15" s="25">
        <v>0.78783237934112549</v>
      </c>
      <c r="J15" s="25">
        <v>0.36062929034233093</v>
      </c>
      <c r="K15" s="26">
        <v>0.66507166624069214</v>
      </c>
      <c r="P15" s="13"/>
      <c r="Q15" s="27" t="s">
        <v>24</v>
      </c>
      <c r="R15" s="28" t="s">
        <v>25</v>
      </c>
      <c r="AA15" s="586"/>
      <c r="AB15" s="586"/>
      <c r="AC15" s="586"/>
      <c r="AD15" s="586"/>
      <c r="AE15" s="23"/>
      <c r="AF15" s="13"/>
      <c r="AG15" s="14"/>
    </row>
    <row r="16" spans="1:34" x14ac:dyDescent="0.3">
      <c r="A16" s="14">
        <v>2019</v>
      </c>
      <c r="B16" s="24">
        <f>IF('[2]Advanced Controls'!$D$174='Emissions Factors'!$B$241,'Emissions Factors'!B246,IF('[2]Advanced Controls'!$D$174='Emissions Factors'!$C$241,'Emissions Factors'!C246,'Emissions Factors'!D246))</f>
        <v>0.59669210913865367</v>
      </c>
      <c r="C16" s="25">
        <v>0.45406898856163025</v>
      </c>
      <c r="D16" s="25">
        <v>0.72474795579910278</v>
      </c>
      <c r="E16" s="25">
        <v>0.45765894651412964</v>
      </c>
      <c r="F16" s="25">
        <v>0.28224390745162964</v>
      </c>
      <c r="G16" s="25">
        <v>0.56439471244812012</v>
      </c>
      <c r="H16" s="25">
        <v>0.53596240282058716</v>
      </c>
      <c r="I16" s="25">
        <v>0.78783237934112549</v>
      </c>
      <c r="J16" s="25">
        <v>0.36062929034233093</v>
      </c>
      <c r="K16" s="26">
        <v>0.66507166624069214</v>
      </c>
      <c r="P16" s="13"/>
      <c r="Q16" s="27" t="s">
        <v>27</v>
      </c>
      <c r="R16" s="28" t="s">
        <v>28</v>
      </c>
      <c r="V16" s="587" t="s">
        <v>29</v>
      </c>
      <c r="AA16" s="29" t="s">
        <v>23</v>
      </c>
      <c r="AB16" s="29">
        <v>400</v>
      </c>
      <c r="AC16" s="29"/>
      <c r="AD16" s="29"/>
      <c r="AE16" s="13"/>
      <c r="AF16" s="13"/>
    </row>
    <row r="17" spans="1:33" x14ac:dyDescent="0.3">
      <c r="A17" s="14">
        <v>2020</v>
      </c>
      <c r="B17" s="24">
        <f>IF('[2]Advanced Controls'!$D$174='Emissions Factors'!$B$241,'Emissions Factors'!B247,IF('[2]Advanced Controls'!$D$174='Emissions Factors'!$C$241,'Emissions Factors'!C247,'Emissions Factors'!D247))</f>
        <v>0.59295646517441447</v>
      </c>
      <c r="C17" s="25">
        <v>0.45406898856163025</v>
      </c>
      <c r="D17" s="25">
        <v>0.72474795579910278</v>
      </c>
      <c r="E17" s="25">
        <v>0.45765894651412964</v>
      </c>
      <c r="F17" s="25">
        <v>0.28224390745162964</v>
      </c>
      <c r="G17" s="25">
        <v>0.56439471244812012</v>
      </c>
      <c r="H17" s="25">
        <v>0.53596240282058716</v>
      </c>
      <c r="I17" s="25">
        <v>0.78783237934112549</v>
      </c>
      <c r="J17" s="25">
        <v>0.36062929034233093</v>
      </c>
      <c r="K17" s="26">
        <v>0.66507166624069214</v>
      </c>
      <c r="P17" s="13"/>
      <c r="Q17" s="31" t="s">
        <v>30</v>
      </c>
      <c r="R17" s="13" t="s">
        <v>31</v>
      </c>
      <c r="V17" s="587"/>
      <c r="W17" s="32" t="s">
        <v>32</v>
      </c>
      <c r="X17" s="33" t="e">
        <f>IF(AND(VLOOKUP('[2]Advanced Controls'!H144,$Q$21:$U$50,5,FALSE)&lt;&gt;VLOOKUP('[2]Advanced Controls'!H148,$Q$21:$U$50,5,FALSE),VLOOKUP('[2]Advanced Controls'!H144,$Q$21:$U$50,5,FALSE)&lt;&gt;"",VLOOKUP('[2]Advanced Controls'!H148,$Q$21:$U$50,5,FALSE)&lt;&gt;""),CONCATENATE(LEFT(VLOOKUP('[2]Advanced Controls'!H144,$Q$21:$U$50,5,FALSE),2),"→",LEFT(VLOOKUP('[2]Advanced Controls'!H148,$Q$21:$U$50,5,FALSE),2)),"None")</f>
        <v>#N/A</v>
      </c>
      <c r="AA17" s="7" t="s">
        <v>26</v>
      </c>
      <c r="AB17" s="13"/>
      <c r="AC17" s="13"/>
      <c r="AD17" s="13"/>
      <c r="AE17" s="13"/>
      <c r="AG17" s="30"/>
    </row>
    <row r="18" spans="1:33" x14ac:dyDescent="0.3">
      <c r="A18" s="14">
        <v>2021</v>
      </c>
      <c r="B18" s="24">
        <f>IF('[2]Advanced Controls'!$D$174='Emissions Factors'!$B$241,'Emissions Factors'!B248,IF('[2]Advanced Controls'!$D$174='Emissions Factors'!$C$241,'Emissions Factors'!C248,'Emissions Factors'!D248))</f>
        <v>0.58939421049832963</v>
      </c>
      <c r="C18" s="25">
        <v>0.45406898856163025</v>
      </c>
      <c r="D18" s="25">
        <v>0.72474795579910278</v>
      </c>
      <c r="E18" s="25">
        <v>0.45765894651413003</v>
      </c>
      <c r="F18" s="25">
        <v>0.28224390745162964</v>
      </c>
      <c r="G18" s="25">
        <v>0.56439471244812012</v>
      </c>
      <c r="H18" s="25">
        <v>0.53596240282058716</v>
      </c>
      <c r="I18" s="25">
        <v>0.78783237934112549</v>
      </c>
      <c r="J18" s="25">
        <v>0.36062929034233093</v>
      </c>
      <c r="K18" s="26">
        <v>0.66507166624069214</v>
      </c>
      <c r="P18" s="13"/>
      <c r="Q18" s="34" t="s">
        <v>33</v>
      </c>
      <c r="V18" s="587"/>
      <c r="W18" s="32" t="s">
        <v>34</v>
      </c>
      <c r="X18" s="33" t="str">
        <f>IFERROR(IF(AND(VLOOKUP('[2]Advanced Controls'!H144,$Q$21:$U$50,5,FALSE)&lt;&gt;VLOOKUP('[2]Advanced Controls'!H148,$Q$21:$U$50,5,FALSE),VLOOKUP('[2]Advanced Controls'!H144,$Q$21:$U$50,5,FALSE)&lt;&gt;"",VLOOKUP('[2]Advanced Controls'!H148,$Q$21:$U$50,5,FALSE)&lt;&gt;""),IF(VLOOKUP('[2]Advanced Controls'!H144,$Q$21:$U$50,5,FALSE)="Liter",'[2]Advanced Controls'!H144,IF(VLOOKUP('[2]Advanced Controls'!H148,$Q$21:$U$50,5,FALSE)="Liter",'[2]Advanced Controls'!H148,"")),""),"")</f>
        <v/>
      </c>
      <c r="AA18" s="13"/>
      <c r="AB18" s="13"/>
      <c r="AC18" s="13"/>
      <c r="AD18" s="13"/>
      <c r="AE18" s="13"/>
    </row>
    <row r="19" spans="1:33" ht="16.2" thickBot="1" x14ac:dyDescent="0.35">
      <c r="A19" s="14">
        <v>2022</v>
      </c>
      <c r="B19" s="24">
        <f>IF('[2]Advanced Controls'!$D$174='Emissions Factors'!$B$241,'Emissions Factors'!B249,IF('[2]Advanced Controls'!$D$174='Emissions Factors'!$C$241,'Emissions Factors'!C249,'Emissions Factors'!D249))</f>
        <v>0.58588994080431167</v>
      </c>
      <c r="C19" s="25">
        <v>0.45406898856163025</v>
      </c>
      <c r="D19" s="25">
        <v>0.72474795579910278</v>
      </c>
      <c r="E19" s="25">
        <v>0.45765894651412964</v>
      </c>
      <c r="F19" s="25">
        <v>0.28224390745162964</v>
      </c>
      <c r="G19" s="25">
        <v>0.56439471244812012</v>
      </c>
      <c r="H19" s="25">
        <v>0.53596240282058716</v>
      </c>
      <c r="I19" s="25">
        <v>0.78783237934112549</v>
      </c>
      <c r="J19" s="25">
        <v>0.36062929034233093</v>
      </c>
      <c r="K19" s="26">
        <v>0.66507166624069214</v>
      </c>
      <c r="P19" s="13"/>
      <c r="Q19" s="35" t="s">
        <v>35</v>
      </c>
      <c r="V19" s="587"/>
    </row>
    <row r="20" spans="1:33" ht="16.2" thickBot="1" x14ac:dyDescent="0.35">
      <c r="A20" s="14">
        <v>2023</v>
      </c>
      <c r="B20" s="24">
        <f>IF('[2]Advanced Controls'!$D$174='Emissions Factors'!$B$241,'Emissions Factors'!B250,IF('[2]Advanced Controls'!$D$174='Emissions Factors'!$C$241,'Emissions Factors'!C250,'Emissions Factors'!D250))</f>
        <v>0.58246996648857108</v>
      </c>
      <c r="C20" s="25">
        <v>0.45406898856163025</v>
      </c>
      <c r="D20" s="25">
        <v>0.72474795579910278</v>
      </c>
      <c r="E20" s="25">
        <v>0.45765894651412964</v>
      </c>
      <c r="F20" s="25">
        <v>0.28224390745162964</v>
      </c>
      <c r="G20" s="25">
        <v>0.56439471244812012</v>
      </c>
      <c r="H20" s="25">
        <v>0.53596240282058716</v>
      </c>
      <c r="I20" s="25">
        <v>0.78783237934112549</v>
      </c>
      <c r="J20" s="25">
        <v>0.36062929034233093</v>
      </c>
      <c r="K20" s="26">
        <v>0.66507166624069214</v>
      </c>
      <c r="P20" s="262" t="s">
        <v>270</v>
      </c>
      <c r="Q20" s="36" t="s">
        <v>36</v>
      </c>
      <c r="R20" s="36" t="s">
        <v>37</v>
      </c>
      <c r="S20" s="36" t="s">
        <v>38</v>
      </c>
      <c r="T20" s="36" t="s">
        <v>39</v>
      </c>
      <c r="U20" s="35" t="s">
        <v>271</v>
      </c>
      <c r="V20" s="35" t="s">
        <v>272</v>
      </c>
      <c r="W20" s="7" t="s">
        <v>40</v>
      </c>
      <c r="X20" s="263" t="s">
        <v>41</v>
      </c>
      <c r="Z20" s="263" t="s">
        <v>42</v>
      </c>
      <c r="AA20" s="37" t="s">
        <v>43</v>
      </c>
      <c r="AB20" s="38" t="s">
        <v>44</v>
      </c>
      <c r="AC20" s="39"/>
    </row>
    <row r="21" spans="1:33" ht="16.2" thickBot="1" x14ac:dyDescent="0.35">
      <c r="A21" s="14">
        <v>2024</v>
      </c>
      <c r="B21" s="24">
        <f>IF('[2]Advanced Controls'!$D$174='Emissions Factors'!$B$241,'Emissions Factors'!B251,IF('[2]Advanced Controls'!$D$174='Emissions Factors'!$C$241,'Emissions Factors'!C251,'Emissions Factors'!D251))</f>
        <v>0.57912650833647206</v>
      </c>
      <c r="C21" s="25">
        <v>0.45406898856163025</v>
      </c>
      <c r="D21" s="25">
        <v>0.72474795579910278</v>
      </c>
      <c r="E21" s="25">
        <v>0.45765894651412964</v>
      </c>
      <c r="F21" s="25">
        <v>0.28224390745162964</v>
      </c>
      <c r="G21" s="25">
        <v>0.56439471244812012</v>
      </c>
      <c r="H21" s="25">
        <v>0.53596240282058716</v>
      </c>
      <c r="I21" s="25">
        <v>0.78783237934112549</v>
      </c>
      <c r="J21" s="25">
        <v>0.36062929034233093</v>
      </c>
      <c r="K21" s="26">
        <v>0.66507166624069214</v>
      </c>
      <c r="P21" s="13"/>
      <c r="Q21" s="40" t="s">
        <v>45</v>
      </c>
      <c r="R21" s="264">
        <f>R60*(W92*((AD60/10^6)))</f>
        <v>2.273941593E-3</v>
      </c>
      <c r="S21" s="264">
        <f>S56*(W92*((AE60/10^6)))</f>
        <v>2.2382102250000004E-3</v>
      </c>
      <c r="T21" s="264">
        <f>T56*(W92*((AF60/10^6)))</f>
        <v>2.50534368E-3</v>
      </c>
      <c r="U21" s="7" t="s">
        <v>46</v>
      </c>
      <c r="V21" s="265">
        <v>1.0356560210057262</v>
      </c>
      <c r="W21" s="7" t="s">
        <v>47</v>
      </c>
      <c r="X21" s="266" t="e">
        <f>IF($X$17="None",1,IF(RIGHT($X$17,2)="TJ",AD60*W92/10^6,1/(AD60*W92/10^6)))</f>
        <v>#N/A</v>
      </c>
      <c r="Y21" s="267" t="e">
        <f>IF($X$17="None","",IF(RIGHT($X$17,2)="TJ","TJ/L","L/TJ"))</f>
        <v>#N/A</v>
      </c>
      <c r="Z21" s="268">
        <f>AD60*W92/10^6</f>
        <v>3.281301E-5</v>
      </c>
      <c r="AA21" s="44"/>
      <c r="AB21" s="29" t="s">
        <v>48</v>
      </c>
      <c r="AC21" s="45" t="s">
        <v>49</v>
      </c>
    </row>
    <row r="22" spans="1:33" ht="16.2" thickBot="1" x14ac:dyDescent="0.35">
      <c r="A22" s="14">
        <v>2025</v>
      </c>
      <c r="B22" s="24">
        <f>IF('[2]Advanced Controls'!$D$174='Emissions Factors'!$B$241,'Emissions Factors'!B252,IF('[2]Advanced Controls'!$D$174='Emissions Factors'!$C$241,'Emissions Factors'!C252,'Emissions Factors'!D252))</f>
        <v>0.57618072379377094</v>
      </c>
      <c r="C22" s="25">
        <v>0.45406898856163025</v>
      </c>
      <c r="D22" s="25">
        <v>0.72474795579910278</v>
      </c>
      <c r="E22" s="25">
        <v>0.45765894651412964</v>
      </c>
      <c r="F22" s="25">
        <v>0.28224390745162964</v>
      </c>
      <c r="G22" s="25">
        <v>0.56439471244812012</v>
      </c>
      <c r="H22" s="25">
        <v>0.53596240282058716</v>
      </c>
      <c r="I22" s="25">
        <v>0.78783237934112549</v>
      </c>
      <c r="J22" s="25">
        <v>0.36062929034233093</v>
      </c>
      <c r="K22" s="26">
        <v>0.66507166624069214</v>
      </c>
      <c r="P22" s="13"/>
      <c r="Q22" s="40" t="s">
        <v>50</v>
      </c>
      <c r="R22" s="264">
        <f>R65*(W93*((AD65/10^6)))</f>
        <v>2.6889185700000001E-3</v>
      </c>
      <c r="S22" s="264">
        <f>S65*(W93*((AE65/10^6)))</f>
        <v>2.5364595959999998E-3</v>
      </c>
      <c r="T22" s="264">
        <f>T65*(W93*((AF66/10^6)))</f>
        <v>3.2950581840000001E-3</v>
      </c>
      <c r="U22" s="7" t="s">
        <v>46</v>
      </c>
      <c r="V22" s="265">
        <v>1.2744161160259755</v>
      </c>
      <c r="W22" s="7" t="s">
        <v>47</v>
      </c>
      <c r="X22" s="42" t="e">
        <f>IF($X$17="None",1,IF(RIGHT($X$17,2)="TJ",AD65*W93/10^6,1/(AD65*W93/10^6)))</f>
        <v>#N/A</v>
      </c>
      <c r="Y22" s="269" t="e">
        <f>IF($X$17="None","",IF(RIGHT($X$17,2)="TJ","TJ/L","L/TJ"))</f>
        <v>#N/A</v>
      </c>
      <c r="Z22" s="43">
        <f>AD65*W93/10^6</f>
        <v>3.6287700000000002E-5</v>
      </c>
      <c r="AA22" s="44" t="s">
        <v>51</v>
      </c>
      <c r="AB22" s="140">
        <v>298</v>
      </c>
      <c r="AC22" s="270">
        <v>34</v>
      </c>
    </row>
    <row r="23" spans="1:33" ht="34.049999999999997" customHeight="1" thickBot="1" x14ac:dyDescent="0.35">
      <c r="A23" s="14">
        <v>2026</v>
      </c>
      <c r="B23" s="24">
        <f>IF('[2]Advanced Controls'!$D$174='Emissions Factors'!$B$241,'Emissions Factors'!B253,IF('[2]Advanced Controls'!$D$174='Emissions Factors'!$C$241,'Emissions Factors'!C253,'Emissions Factors'!D253))</f>
        <v>0.57264047312675959</v>
      </c>
      <c r="C23" s="25">
        <v>0.45406898856163025</v>
      </c>
      <c r="D23" s="25">
        <v>0.72474795579910278</v>
      </c>
      <c r="E23" s="25">
        <v>0.45765894651412964</v>
      </c>
      <c r="F23" s="25">
        <v>0.28224390745162964</v>
      </c>
      <c r="G23" s="25">
        <v>0.56439471244812012</v>
      </c>
      <c r="H23" s="25">
        <v>0.53596240282058716</v>
      </c>
      <c r="I23" s="25">
        <v>0.78783237934112549</v>
      </c>
      <c r="J23" s="25">
        <v>0.36062929034233093</v>
      </c>
      <c r="K23" s="26">
        <v>0.66507166624069214</v>
      </c>
      <c r="P23" s="13"/>
      <c r="Q23" s="40" t="s">
        <v>52</v>
      </c>
      <c r="R23" s="264">
        <f>R58*(W94*((AD62/10^6)))</f>
        <v>1.9641078359999998E-3</v>
      </c>
      <c r="S23" s="264">
        <f>S58*(W94*((AE62/10^6)))</f>
        <v>1.7111341500000001E-3</v>
      </c>
      <c r="T23" s="264">
        <f>T58*(W94*((AF62/10^6)))</f>
        <v>2.1780971520000002E-3</v>
      </c>
      <c r="U23" s="7" t="s">
        <v>46</v>
      </c>
      <c r="V23" s="265">
        <v>0.78643800201914726</v>
      </c>
      <c r="W23" s="7" t="s">
        <v>47</v>
      </c>
      <c r="X23" s="42" t="e">
        <f>IF($X$17="None",1,IF(RIGHT($X$17,2)="TJ",AD66*W98/10^6,1/(AD66*W98/10^6)))</f>
        <v>#N/A</v>
      </c>
      <c r="Y23" s="269" t="e">
        <f>IF($X$17="None","",IF(RIGHT($X$17,2)="TJ","TJ/L","L/TJ"))</f>
        <v>#N/A</v>
      </c>
      <c r="Z23" s="43">
        <f>AD66*W98/10^6</f>
        <v>2.46906E-5</v>
      </c>
      <c r="AA23" s="44" t="s">
        <v>53</v>
      </c>
      <c r="AB23" s="140">
        <v>298</v>
      </c>
      <c r="AC23" s="270">
        <v>25</v>
      </c>
    </row>
    <row r="24" spans="1:33" ht="16.2" thickBot="1" x14ac:dyDescent="0.35">
      <c r="A24" s="14">
        <v>2027</v>
      </c>
      <c r="B24" s="24">
        <f>IF('[2]Advanced Controls'!$D$174='Emissions Factors'!$B$241,'Emissions Factors'!B254,IF('[2]Advanced Controls'!$D$174='Emissions Factors'!$C$241,'Emissions Factors'!C254,'Emissions Factors'!D254))</f>
        <v>0.56948465381757352</v>
      </c>
      <c r="C24" s="25">
        <v>0.45406898856163025</v>
      </c>
      <c r="D24" s="25">
        <v>0.72474795579910278</v>
      </c>
      <c r="E24" s="25">
        <v>0.45765894651412964</v>
      </c>
      <c r="F24" s="25">
        <v>0.28224390745162964</v>
      </c>
      <c r="G24" s="25">
        <v>0.56439471244812012</v>
      </c>
      <c r="H24" s="25">
        <v>0.53596240282058716</v>
      </c>
      <c r="I24" s="25">
        <v>0.78783237934112549</v>
      </c>
      <c r="J24" s="25">
        <v>0.36062929034233093</v>
      </c>
      <c r="K24" s="26">
        <v>0.66507166624069214</v>
      </c>
      <c r="P24" s="271" t="s">
        <v>273</v>
      </c>
      <c r="Q24" s="40" t="s">
        <v>54</v>
      </c>
      <c r="R24" s="264">
        <f>R59*(W95*((AD63/10^6)))</f>
        <v>1.7733703679999999E-3</v>
      </c>
      <c r="S24" s="264">
        <f>S59*(W95*((AE63/10^6)))</f>
        <v>1.6347340799999998E-3</v>
      </c>
      <c r="T24" s="264">
        <f>T59*(W95*((AF63/10^6)))</f>
        <v>1.8805248000000002E-3</v>
      </c>
      <c r="U24" s="7" t="s">
        <v>46</v>
      </c>
      <c r="V24" s="265">
        <v>0.98080702378275064</v>
      </c>
      <c r="W24" s="7" t="s">
        <v>47</v>
      </c>
      <c r="X24" s="272" t="e">
        <f>IF($X$17="None",1,IF(RIGHT($X$17,2)="TJ",AD63*W95/10^6,1/(AD63*W95/10^6)))</f>
        <v>#N/A</v>
      </c>
      <c r="Y24" s="273" t="e">
        <f>IF($X$17="None","",IF(RIGHT($X$17,2)="TJ","TJ/L","L/TJ"))</f>
        <v>#N/A</v>
      </c>
      <c r="Z24" s="274">
        <f>AD63*W95/10^6</f>
        <v>3.1610880000000005E-5</v>
      </c>
      <c r="AA24" s="275" t="s">
        <v>55</v>
      </c>
      <c r="AB24" s="276">
        <v>310</v>
      </c>
      <c r="AC24" s="277">
        <v>21</v>
      </c>
    </row>
    <row r="25" spans="1:33" ht="16.2" thickBot="1" x14ac:dyDescent="0.35">
      <c r="A25" s="14">
        <v>2028</v>
      </c>
      <c r="B25" s="24">
        <f>IF('[2]Advanced Controls'!$D$174='Emissions Factors'!$B$241,'Emissions Factors'!B255,IF('[2]Advanced Controls'!$D$174='Emissions Factors'!$C$241,'Emissions Factors'!C255,'Emissions Factors'!D255))</f>
        <v>0.56637878769780614</v>
      </c>
      <c r="C25" s="25">
        <v>0.45406898856163025</v>
      </c>
      <c r="D25" s="25">
        <v>0.72474795579910278</v>
      </c>
      <c r="E25" s="25">
        <v>0.45765894651412964</v>
      </c>
      <c r="F25" s="25">
        <v>0.28224390745162964</v>
      </c>
      <c r="G25" s="25">
        <v>0.56439471244812012</v>
      </c>
      <c r="H25" s="25">
        <v>0.53596240282058716</v>
      </c>
      <c r="I25" s="25">
        <v>0.78783237934112549</v>
      </c>
      <c r="J25" s="25">
        <v>0.36062929034233093</v>
      </c>
      <c r="K25" s="26">
        <v>0.66507166624069214</v>
      </c>
      <c r="P25" s="13"/>
      <c r="Q25" s="40" t="s">
        <v>56</v>
      </c>
      <c r="R25" s="47">
        <f>AVERAGE(R108,R116,R124)</f>
        <v>56.1</v>
      </c>
      <c r="S25" s="47">
        <f>AVERAGE(S108,S116,S124)</f>
        <v>54.29999999999999</v>
      </c>
      <c r="T25" s="47">
        <f>AVERAGE(T108,T116,T124)</f>
        <v>58.29999999999999</v>
      </c>
      <c r="U25" s="7" t="s">
        <v>57</v>
      </c>
      <c r="V25" s="265">
        <v>3.2490859776201989E-2</v>
      </c>
      <c r="W25" s="7" t="s">
        <v>58</v>
      </c>
      <c r="X25" s="46"/>
    </row>
    <row r="26" spans="1:33" ht="16.2" thickBot="1" x14ac:dyDescent="0.35">
      <c r="A26" s="14">
        <v>2029</v>
      </c>
      <c r="B26" s="24">
        <f>IF('[2]Advanced Controls'!$D$174='Emissions Factors'!$B$241,'Emissions Factors'!B256,IF('[2]Advanced Controls'!$D$174='Emissions Factors'!$C$241,'Emissions Factors'!C256,'Emissions Factors'!D256))</f>
        <v>0.56331717527224701</v>
      </c>
      <c r="C26" s="25">
        <v>0.45406898856163025</v>
      </c>
      <c r="D26" s="25">
        <v>0.72474795579910278</v>
      </c>
      <c r="E26" s="25">
        <v>0.45765894651412964</v>
      </c>
      <c r="F26" s="25">
        <v>0.28224390745162964</v>
      </c>
      <c r="G26" s="25">
        <v>0.56439471244812012</v>
      </c>
      <c r="H26" s="25">
        <v>0.53596240282058716</v>
      </c>
      <c r="I26" s="25">
        <v>0.78783237934112549</v>
      </c>
      <c r="J26" s="25">
        <v>0.36062929034233093</v>
      </c>
      <c r="K26" s="26">
        <v>0.66507166624069214</v>
      </c>
      <c r="P26" s="13"/>
      <c r="Q26" s="40" t="s">
        <v>59</v>
      </c>
      <c r="R26" s="47">
        <f>AVERAGE($R$108,$R$116,$R$124)</f>
        <v>56.1</v>
      </c>
      <c r="S26" s="47">
        <f>AVERAGE($S$108,$S$116,$S$124)</f>
        <v>54.29999999999999</v>
      </c>
      <c r="T26" s="47">
        <f>AVERAGE($T$108,$T$116,$T$124)</f>
        <v>58.29999999999999</v>
      </c>
      <c r="U26" s="7" t="s">
        <v>57</v>
      </c>
      <c r="V26" s="265">
        <v>6.1165318852546162E-2</v>
      </c>
      <c r="W26" s="7" t="s">
        <v>58</v>
      </c>
      <c r="X26" s="46"/>
    </row>
    <row r="27" spans="1:33" ht="16.2" thickBot="1" x14ac:dyDescent="0.35">
      <c r="A27" s="14">
        <v>2030</v>
      </c>
      <c r="B27" s="24">
        <f>IF('[2]Advanced Controls'!$D$174='Emissions Factors'!$B$241,'Emissions Factors'!B257,IF('[2]Advanced Controls'!$D$174='Emissions Factors'!$C$241,'Emissions Factors'!C257,'Emissions Factors'!D257))</f>
        <v>0.560425096459919</v>
      </c>
      <c r="C27" s="25">
        <v>0.45406898856163025</v>
      </c>
      <c r="D27" s="25">
        <v>0.72474795579910278</v>
      </c>
      <c r="E27" s="25">
        <v>0.45765894651412964</v>
      </c>
      <c r="F27" s="25">
        <v>0.28224390745162964</v>
      </c>
      <c r="G27" s="25">
        <v>0.56439471244812012</v>
      </c>
      <c r="H27" s="25">
        <v>0.53596240282058716</v>
      </c>
      <c r="I27" s="25">
        <v>0.78783237934112549</v>
      </c>
      <c r="J27" s="25">
        <v>0.36062929034233093</v>
      </c>
      <c r="K27" s="26">
        <v>0.66507166624069214</v>
      </c>
      <c r="P27" s="271" t="s">
        <v>274</v>
      </c>
      <c r="Q27" s="40" t="s">
        <v>60</v>
      </c>
      <c r="R27" s="47">
        <f>AVERAGE(R107,R115,R123)</f>
        <v>64.2</v>
      </c>
      <c r="S27" s="47">
        <f>AVERAGE(S107,S115,S123)</f>
        <v>58.29999999999999</v>
      </c>
      <c r="T27" s="47">
        <f>AVERAGE(T107,T115,T123)</f>
        <v>70.400000000000006</v>
      </c>
      <c r="U27" s="7" t="s">
        <v>57</v>
      </c>
      <c r="V27" s="265">
        <v>4.1443340900228845E-2</v>
      </c>
      <c r="W27" s="7" t="s">
        <v>58</v>
      </c>
      <c r="X27" s="46"/>
    </row>
    <row r="28" spans="1:33" ht="16.2" thickBot="1" x14ac:dyDescent="0.35">
      <c r="A28" s="14">
        <v>2031</v>
      </c>
      <c r="B28" s="24">
        <f>IF('[2]Advanced Controls'!$D$174='Emissions Factors'!$B$241,'Emissions Factors'!B258,IF('[2]Advanced Controls'!$D$174='Emissions Factors'!$C$241,'Emissions Factors'!C258,'Emissions Factors'!D258))</f>
        <v>0.55730544009315097</v>
      </c>
      <c r="C28" s="25">
        <v>0.45406898856163025</v>
      </c>
      <c r="D28" s="25">
        <v>0.72474795579910278</v>
      </c>
      <c r="E28" s="25">
        <v>0.45765894651412964</v>
      </c>
      <c r="F28" s="25">
        <v>0.28224390745162964</v>
      </c>
      <c r="G28" s="25">
        <v>0.56439471244812012</v>
      </c>
      <c r="H28" s="25">
        <v>0.53596240282058716</v>
      </c>
      <c r="I28" s="25">
        <v>0.78783237934112549</v>
      </c>
      <c r="J28" s="25">
        <v>0.36062929034233093</v>
      </c>
      <c r="K28" s="26">
        <v>0.66507166624069214</v>
      </c>
      <c r="P28" s="13"/>
      <c r="Q28" s="40" t="s">
        <v>61</v>
      </c>
      <c r="R28" s="278">
        <f>(760/1000000)/(3.6*10^-6)</f>
        <v>211.11111111111114</v>
      </c>
      <c r="S28" s="279">
        <f>(670/1000000)/(3.6*10^-6)</f>
        <v>186.11111111111111</v>
      </c>
      <c r="T28" s="279">
        <f>(870/1000000)/(3.6*10^-6)</f>
        <v>241.66666666666669</v>
      </c>
      <c r="U28" s="7" t="s">
        <v>57</v>
      </c>
      <c r="V28" s="265">
        <v>1.9386217842586016E-2</v>
      </c>
      <c r="W28" s="7" t="s">
        <v>58</v>
      </c>
      <c r="X28" s="46"/>
      <c r="AA28" s="588" t="s">
        <v>63</v>
      </c>
      <c r="AB28" s="588"/>
      <c r="AC28" s="588"/>
      <c r="AD28" s="588"/>
      <c r="AE28" s="588"/>
      <c r="AF28" s="588"/>
      <c r="AG28" s="588"/>
    </row>
    <row r="29" spans="1:33" ht="16.2" thickBot="1" x14ac:dyDescent="0.35">
      <c r="A29" s="14">
        <v>2032</v>
      </c>
      <c r="B29" s="24">
        <f>IF('[2]Advanced Controls'!$D$174='Emissions Factors'!$B$241,'Emissions Factors'!B259,IF('[2]Advanced Controls'!$D$174='Emissions Factors'!$C$241,'Emissions Factors'!C259,'Emissions Factors'!D259))</f>
        <v>0.5543453651211373</v>
      </c>
      <c r="C29" s="25">
        <v>0.45406898856163025</v>
      </c>
      <c r="D29" s="25">
        <v>0.72474795579910278</v>
      </c>
      <c r="E29" s="25">
        <v>0.45765894651412964</v>
      </c>
      <c r="F29" s="25">
        <v>0.28224390745162964</v>
      </c>
      <c r="G29" s="25">
        <v>0.56439471244812012</v>
      </c>
      <c r="H29" s="25">
        <v>0.53596240282058716</v>
      </c>
      <c r="I29" s="25">
        <v>0.78783237934112549</v>
      </c>
      <c r="J29" s="25">
        <v>0.36062929034233093</v>
      </c>
      <c r="K29" s="26">
        <v>0.66507166624069214</v>
      </c>
      <c r="P29" s="13"/>
      <c r="Q29" s="40" t="s">
        <v>62</v>
      </c>
      <c r="R29" s="47">
        <f>AVERAGE(R56,R64,R65)</f>
        <v>73.099999999999994</v>
      </c>
      <c r="S29" s="47">
        <f>AVERAGE(S56,S64,S65)</f>
        <v>71.499999999999986</v>
      </c>
      <c r="T29" s="47">
        <f>AVERAGE(T56,T64,T65)</f>
        <v>74.666666666666671</v>
      </c>
      <c r="U29" s="7" t="s">
        <v>57</v>
      </c>
      <c r="V29" s="265">
        <v>6.3732305317880364E-2</v>
      </c>
      <c r="W29" s="7" t="s">
        <v>58</v>
      </c>
      <c r="X29" s="46"/>
      <c r="AB29" s="22" t="s">
        <v>69</v>
      </c>
      <c r="AC29" s="49" t="s">
        <v>70</v>
      </c>
      <c r="AD29" s="14" t="s">
        <v>71</v>
      </c>
      <c r="AE29" s="14" t="s">
        <v>72</v>
      </c>
    </row>
    <row r="30" spans="1:33" ht="42.45" customHeight="1" thickBot="1" x14ac:dyDescent="0.35">
      <c r="A30" s="14">
        <v>2033</v>
      </c>
      <c r="B30" s="24">
        <f>IF('[2]Advanced Controls'!$D$174='Emissions Factors'!$B$241,'Emissions Factors'!B260,IF('[2]Advanced Controls'!$D$174='Emissions Factors'!$C$241,'Emissions Factors'!C260,'Emissions Factors'!D260))</f>
        <v>0.5514095918414389</v>
      </c>
      <c r="C30" s="25">
        <v>0.45406898856163025</v>
      </c>
      <c r="D30" s="25">
        <v>0.72474795579910278</v>
      </c>
      <c r="E30" s="25">
        <v>0.45765894651412964</v>
      </c>
      <c r="F30" s="25">
        <v>0.28224390745162964</v>
      </c>
      <c r="G30" s="25">
        <v>0.56439471244812012</v>
      </c>
      <c r="H30" s="25">
        <v>0.53596240282058716</v>
      </c>
      <c r="I30" s="25">
        <v>0.78783237934112549</v>
      </c>
      <c r="J30" s="25">
        <v>0.36062929034233093</v>
      </c>
      <c r="K30" s="26">
        <v>0.66507166624069214</v>
      </c>
      <c r="Q30" s="40" t="s">
        <v>64</v>
      </c>
      <c r="R30" s="47">
        <f>T165</f>
        <v>150.06329737415379</v>
      </c>
      <c r="S30" s="47"/>
      <c r="T30" s="47"/>
      <c r="U30" s="7" t="s">
        <v>57</v>
      </c>
      <c r="V30" s="41">
        <f>SUMPRODUCT($R$162:$R$164,$S$162:$S$164)/SUM($S$162:$S$164)</f>
        <v>2.0178636760205284E-2</v>
      </c>
      <c r="W30" s="7" t="s">
        <v>58</v>
      </c>
      <c r="X30" s="46"/>
      <c r="AB30" s="51" t="s">
        <v>20</v>
      </c>
      <c r="AC30" s="13"/>
      <c r="AD30" s="13"/>
      <c r="AE30" s="13"/>
    </row>
    <row r="31" spans="1:33" ht="16.2" thickBot="1" x14ac:dyDescent="0.35">
      <c r="A31" s="14">
        <v>2034</v>
      </c>
      <c r="B31" s="24">
        <f>IF('[2]Advanced Controls'!$D$174='Emissions Factors'!$B$241,'Emissions Factors'!B261,IF('[2]Advanced Controls'!$D$174='Emissions Factors'!$C$241,'Emissions Factors'!C261,'Emissions Factors'!D261))</f>
        <v>0.54849372430798871</v>
      </c>
      <c r="C31" s="25">
        <v>0.45406898856163025</v>
      </c>
      <c r="D31" s="25">
        <v>0.72474795579910278</v>
      </c>
      <c r="E31" s="25">
        <v>0.45765894651412964</v>
      </c>
      <c r="F31" s="25">
        <v>0.28224390745162964</v>
      </c>
      <c r="G31" s="25">
        <v>0.56439471244812012</v>
      </c>
      <c r="H31" s="25">
        <v>0.53596240282058716</v>
      </c>
      <c r="I31" s="25">
        <v>0.78783237934112549</v>
      </c>
      <c r="J31" s="25">
        <v>0.36062929034233093</v>
      </c>
      <c r="K31" s="26">
        <v>0.66507166624069214</v>
      </c>
      <c r="Q31" s="40" t="s">
        <v>65</v>
      </c>
      <c r="R31" s="280" t="s">
        <v>66</v>
      </c>
      <c r="S31" s="281" t="s">
        <v>66</v>
      </c>
      <c r="T31" s="281" t="s">
        <v>66</v>
      </c>
      <c r="V31" s="265">
        <v>0.13899754666067096</v>
      </c>
      <c r="W31" s="7" t="s">
        <v>58</v>
      </c>
      <c r="AB31" s="52" t="s">
        <v>75</v>
      </c>
      <c r="AC31" s="7" t="s">
        <v>76</v>
      </c>
    </row>
    <row r="32" spans="1:33" ht="16.2" thickBot="1" x14ac:dyDescent="0.35">
      <c r="A32" s="14">
        <v>2035</v>
      </c>
      <c r="B32" s="24">
        <f>IF('[2]Advanced Controls'!$D$174='Emissions Factors'!$B$241,'Emissions Factors'!B262,IF('[2]Advanced Controls'!$D$174='Emissions Factors'!$C$241,'Emissions Factors'!C262,'Emissions Factors'!D262))</f>
        <v>0.54551374348886839</v>
      </c>
      <c r="C32" s="25">
        <v>0.45406898856163025</v>
      </c>
      <c r="D32" s="25">
        <v>0.72474795579910278</v>
      </c>
      <c r="E32" s="25">
        <v>0.45765894651412964</v>
      </c>
      <c r="F32" s="25">
        <v>0.28224390745162964</v>
      </c>
      <c r="G32" s="25">
        <v>0.56439471244812012</v>
      </c>
      <c r="H32" s="25">
        <v>0.53596240282058716</v>
      </c>
      <c r="I32" s="25">
        <v>0.78783237934112549</v>
      </c>
      <c r="J32" s="25">
        <v>0.36062929034233093</v>
      </c>
      <c r="K32" s="26">
        <v>0.66507166624069214</v>
      </c>
      <c r="Q32" s="40" t="s">
        <v>67</v>
      </c>
      <c r="R32" s="47">
        <f>T156</f>
        <v>109.31435918256869</v>
      </c>
      <c r="S32" s="47"/>
      <c r="T32" s="47"/>
      <c r="U32" s="7" t="s">
        <v>57</v>
      </c>
      <c r="V32" s="265"/>
      <c r="W32" s="7" t="s">
        <v>68</v>
      </c>
      <c r="AB32" s="52" t="s">
        <v>78</v>
      </c>
      <c r="AC32" s="7" t="s">
        <v>79</v>
      </c>
    </row>
    <row r="33" spans="1:33" ht="27" thickBot="1" x14ac:dyDescent="0.35">
      <c r="A33" s="14">
        <v>2036</v>
      </c>
      <c r="B33" s="24">
        <f>IF('[2]Advanced Controls'!$D$174='Emissions Factors'!$B$241,'Emissions Factors'!B263,IF('[2]Advanced Controls'!$D$174='Emissions Factors'!$C$241,'Emissions Factors'!C263,'Emissions Factors'!D263))</f>
        <v>0.54268805562843603</v>
      </c>
      <c r="C33" s="25">
        <v>0.45406898856163025</v>
      </c>
      <c r="D33" s="25">
        <v>0.72474795579910278</v>
      </c>
      <c r="E33" s="25">
        <v>0.45765894651412964</v>
      </c>
      <c r="F33" s="25">
        <v>0.28224390745162964</v>
      </c>
      <c r="G33" s="25">
        <v>0.56439471244812012</v>
      </c>
      <c r="H33" s="25">
        <v>0.53596240282058716</v>
      </c>
      <c r="I33" s="25">
        <v>0.78783237934112549</v>
      </c>
      <c r="J33" s="25">
        <v>0.36062929034233093</v>
      </c>
      <c r="K33" s="26">
        <v>0.66507166624069214</v>
      </c>
      <c r="Q33" s="40" t="s">
        <v>73</v>
      </c>
      <c r="R33" s="47">
        <f>T143</f>
        <v>87.03609646633511</v>
      </c>
      <c r="S33" s="47"/>
      <c r="T33" s="47"/>
      <c r="U33" s="7" t="s">
        <v>57</v>
      </c>
      <c r="V33" s="41">
        <f>U143</f>
        <v>7.1507756269672984E-2</v>
      </c>
      <c r="W33" s="7" t="s">
        <v>58</v>
      </c>
      <c r="AB33" s="52" t="s">
        <v>80</v>
      </c>
      <c r="AC33" s="7" t="s">
        <v>81</v>
      </c>
      <c r="AF33" s="13"/>
      <c r="AG33" s="13"/>
    </row>
    <row r="34" spans="1:33" ht="38.549999999999997" customHeight="1" thickBot="1" x14ac:dyDescent="0.35">
      <c r="A34" s="14">
        <v>2037</v>
      </c>
      <c r="B34" s="24">
        <f>IF('[2]Advanced Controls'!$D$174='Emissions Factors'!$B$241,'Emissions Factors'!B264,IF('[2]Advanced Controls'!$D$174='Emissions Factors'!$C$241,'Emissions Factors'!C264,'Emissions Factors'!D264))</f>
        <v>0.53979440343495388</v>
      </c>
      <c r="C34" s="25">
        <v>0.45406898856163025</v>
      </c>
      <c r="D34" s="25">
        <v>0.72474795579910278</v>
      </c>
      <c r="E34" s="25">
        <v>0.45765894651412964</v>
      </c>
      <c r="F34" s="25">
        <v>0.28224390745162964</v>
      </c>
      <c r="G34" s="25">
        <v>0.56439471244812012</v>
      </c>
      <c r="H34" s="25">
        <v>0.53596240282058716</v>
      </c>
      <c r="I34" s="25">
        <v>0.78783237934112549</v>
      </c>
      <c r="J34" s="25">
        <v>0.36062929034233093</v>
      </c>
      <c r="K34" s="26">
        <v>0.66507166624069214</v>
      </c>
      <c r="Q34" s="40" t="s">
        <v>275</v>
      </c>
      <c r="R34" s="47">
        <f>T142</f>
        <v>87.03609646633511</v>
      </c>
      <c r="S34" s="47"/>
      <c r="T34" s="47"/>
      <c r="U34" s="7" t="s">
        <v>57</v>
      </c>
      <c r="V34" s="41">
        <f>U142</f>
        <v>5.3299312342836705E-2</v>
      </c>
      <c r="W34" s="7" t="s">
        <v>58</v>
      </c>
      <c r="AB34" s="52" t="s">
        <v>82</v>
      </c>
      <c r="AC34" s="7" t="s">
        <v>83</v>
      </c>
      <c r="AF34" s="13"/>
      <c r="AG34" s="13"/>
    </row>
    <row r="35" spans="1:33" ht="27" thickBot="1" x14ac:dyDescent="0.35">
      <c r="A35" s="14">
        <v>2038</v>
      </c>
      <c r="B35" s="24">
        <f>IF('[2]Advanced Controls'!$D$174='Emissions Factors'!$B$241,'Emissions Factors'!B265,IF('[2]Advanced Controls'!$D$174='Emissions Factors'!$C$241,'Emissions Factors'!C265,'Emissions Factors'!D265))</f>
        <v>0.5369035412063744</v>
      </c>
      <c r="C35" s="25">
        <v>0.45406898856163025</v>
      </c>
      <c r="D35" s="25">
        <v>0.72474795579910278</v>
      </c>
      <c r="E35" s="25">
        <v>0.45765894651412964</v>
      </c>
      <c r="F35" s="25">
        <v>0.28224390745162964</v>
      </c>
      <c r="G35" s="25">
        <v>0.56439471244812012</v>
      </c>
      <c r="H35" s="25">
        <v>0.53596240282058716</v>
      </c>
      <c r="I35" s="25">
        <v>0.78783237934112549</v>
      </c>
      <c r="J35" s="25">
        <v>0.36062929034233093</v>
      </c>
      <c r="K35" s="26">
        <v>0.66507166624069214</v>
      </c>
      <c r="Q35" s="40" t="s">
        <v>74</v>
      </c>
      <c r="R35" s="47">
        <f>T178</f>
        <v>88.634691742038655</v>
      </c>
      <c r="S35" s="47"/>
      <c r="T35" s="47"/>
      <c r="U35" s="7" t="s">
        <v>57</v>
      </c>
      <c r="V35" s="41">
        <f>U178</f>
        <v>7.1878300182755803E-2</v>
      </c>
      <c r="W35" s="7" t="s">
        <v>58</v>
      </c>
    </row>
    <row r="36" spans="1:33" ht="16.2" thickBot="1" x14ac:dyDescent="0.35">
      <c r="A36" s="14">
        <v>2039</v>
      </c>
      <c r="B36" s="24">
        <f>IF('[2]Advanced Controls'!$D$174='Emissions Factors'!$B$241,'Emissions Factors'!B266,IF('[2]Advanced Controls'!$D$174='Emissions Factors'!$C$241,'Emissions Factors'!C266,'Emissions Factors'!D266))</f>
        <v>0.53399834691699766</v>
      </c>
      <c r="C36" s="25">
        <v>0.45406898856163025</v>
      </c>
      <c r="D36" s="25">
        <v>0.72474795579910278</v>
      </c>
      <c r="E36" s="25">
        <v>0.45765894651412964</v>
      </c>
      <c r="F36" s="25">
        <v>0.28224390745162964</v>
      </c>
      <c r="G36" s="25">
        <v>0.56439471244812012</v>
      </c>
      <c r="H36" s="25">
        <v>0.53596240282058716</v>
      </c>
      <c r="I36" s="25">
        <v>0.78783237934112549</v>
      </c>
      <c r="J36" s="25">
        <v>0.36062929034233093</v>
      </c>
      <c r="K36" s="26">
        <v>0.66507166624069214</v>
      </c>
      <c r="Q36" s="40" t="s">
        <v>77</v>
      </c>
      <c r="R36" s="47">
        <f>AVERAGE(R72:R74)</f>
        <v>108</v>
      </c>
      <c r="S36" s="47">
        <f>AVERAGE(S72:S74)</f>
        <v>91.566666666666663</v>
      </c>
      <c r="T36" s="47">
        <f>AVERAGE(T72:T74)</f>
        <v>127</v>
      </c>
      <c r="U36" s="7" t="s">
        <v>57</v>
      </c>
      <c r="V36" s="265"/>
      <c r="W36" s="7" t="s">
        <v>68</v>
      </c>
    </row>
    <row r="37" spans="1:33" ht="16.2" thickBot="1" x14ac:dyDescent="0.35">
      <c r="A37" s="14">
        <v>2040</v>
      </c>
      <c r="B37" s="24">
        <f>IF('[2]Advanced Controls'!$D$174='Emissions Factors'!$B$241,'Emissions Factors'!B267,IF('[2]Advanced Controls'!$D$174='Emissions Factors'!$C$241,'Emissions Factors'!C267,'Emissions Factors'!D267))</f>
        <v>0.5308801842080676</v>
      </c>
      <c r="C37" s="25">
        <v>0.45406898856163025</v>
      </c>
      <c r="D37" s="25">
        <v>0.72474795579910278</v>
      </c>
      <c r="E37" s="25">
        <v>0.45765894651412964</v>
      </c>
      <c r="F37" s="25">
        <v>0.28224390745162964</v>
      </c>
      <c r="G37" s="25">
        <v>0.56439471244812012</v>
      </c>
      <c r="H37" s="25">
        <v>0.53596240282058716</v>
      </c>
      <c r="I37" s="25">
        <v>0.78783237934112549</v>
      </c>
      <c r="J37" s="25">
        <v>0.36062929034233093</v>
      </c>
      <c r="K37" s="26">
        <v>0.66507166624069214</v>
      </c>
      <c r="Q37" s="40" t="str">
        <f>P76</f>
        <v>Gas Biomass</v>
      </c>
      <c r="R37" s="47">
        <f>AVERAGE(R76:R78)</f>
        <v>54.6</v>
      </c>
      <c r="S37" s="47">
        <f>AVERAGE(S76:S78)</f>
        <v>46.20000000000001</v>
      </c>
      <c r="T37" s="47">
        <f>AVERAGE(T76:T78)</f>
        <v>66</v>
      </c>
      <c r="U37" s="7" t="s">
        <v>57</v>
      </c>
      <c r="V37" s="265"/>
      <c r="W37" s="7" t="s">
        <v>68</v>
      </c>
    </row>
    <row r="38" spans="1:33" ht="16.2" thickBot="1" x14ac:dyDescent="0.35">
      <c r="A38" s="14">
        <v>2041</v>
      </c>
      <c r="B38" s="24">
        <f>IF('[2]Advanced Controls'!$D$174='Emissions Factors'!$B$241,'Emissions Factors'!B268,IF('[2]Advanced Controls'!$D$174='Emissions Factors'!$C$241,'Emissions Factors'!C268,'Emissions Factors'!D268))</f>
        <v>0.52818505459315956</v>
      </c>
      <c r="C38" s="25">
        <v>0.45406898856163025</v>
      </c>
      <c r="D38" s="25">
        <v>0.72474795579910278</v>
      </c>
      <c r="E38" s="25">
        <v>0.45765894651412964</v>
      </c>
      <c r="F38" s="25">
        <v>0.28224390745162964</v>
      </c>
      <c r="G38" s="25">
        <v>0.56439471244812012</v>
      </c>
      <c r="H38" s="25">
        <v>0.53596240282058716</v>
      </c>
      <c r="I38" s="25">
        <v>0.78783237934112549</v>
      </c>
      <c r="J38" s="25">
        <v>0.36062929034233093</v>
      </c>
      <c r="K38" s="26">
        <v>0.66507166624069214</v>
      </c>
      <c r="Q38" s="40" t="str">
        <f>Q76</f>
        <v>Landfill Gas</v>
      </c>
      <c r="R38" s="47">
        <f>R76</f>
        <v>54.6</v>
      </c>
      <c r="S38" s="47">
        <f>S76</f>
        <v>46.2</v>
      </c>
      <c r="T38" s="47">
        <f>T76</f>
        <v>66</v>
      </c>
      <c r="U38" s="7" t="s">
        <v>57</v>
      </c>
      <c r="V38" s="265"/>
      <c r="W38" s="7" t="s">
        <v>68</v>
      </c>
    </row>
    <row r="39" spans="1:33" ht="16.2" thickBot="1" x14ac:dyDescent="0.35">
      <c r="A39" s="14">
        <v>2042</v>
      </c>
      <c r="B39" s="24">
        <f>IF('[2]Advanced Controls'!$D$174='Emissions Factors'!$B$241,'Emissions Factors'!B269,IF('[2]Advanced Controls'!$D$174='Emissions Factors'!$C$241,'Emissions Factors'!C269,'Emissions Factors'!D269))</f>
        <v>0.5252684723467469</v>
      </c>
      <c r="C39" s="25">
        <v>0.45406898856163025</v>
      </c>
      <c r="D39" s="25">
        <v>0.72474795579910278</v>
      </c>
      <c r="E39" s="25">
        <v>0.45765894651412964</v>
      </c>
      <c r="F39" s="25">
        <v>0.28224390745162964</v>
      </c>
      <c r="G39" s="25">
        <v>0.56439471244812012</v>
      </c>
      <c r="H39" s="25">
        <v>0.53596240282058716</v>
      </c>
      <c r="I39" s="25">
        <v>0.78783237934112549</v>
      </c>
      <c r="J39" s="25">
        <v>0.36062929034233093</v>
      </c>
      <c r="K39" s="26">
        <v>0.66507166624069214</v>
      </c>
      <c r="Q39" s="40" t="s">
        <v>276</v>
      </c>
      <c r="R39" s="264">
        <f>$R$63*($W$97*(($AD$63/10^6)))</f>
        <v>2.5307181900000001E-3</v>
      </c>
      <c r="S39" s="264">
        <f>$S$63*($W$96*(($AE$63/10^6)))</f>
        <v>2.3495312400000001E-3</v>
      </c>
      <c r="T39" s="264">
        <f>$T$63*($W$96*(($AF$63/10^6)))</f>
        <v>2.6871048000000003E-3</v>
      </c>
      <c r="U39" s="7" t="s">
        <v>46</v>
      </c>
      <c r="V39" s="265">
        <v>0.61714739271968511</v>
      </c>
      <c r="W39" s="7" t="s">
        <v>47</v>
      </c>
    </row>
    <row r="40" spans="1:33" ht="33" customHeight="1" thickBot="1" x14ac:dyDescent="0.35">
      <c r="A40" s="14">
        <v>2043</v>
      </c>
      <c r="B40" s="24">
        <f>IF('[2]Advanced Controls'!$D$174='Emissions Factors'!$B$241,'Emissions Factors'!B270,IF('[2]Advanced Controls'!$D$174='Emissions Factors'!$C$241,'Emissions Factors'!C270,'Emissions Factors'!D270))</f>
        <v>0.52233785854974035</v>
      </c>
      <c r="C40" s="25">
        <v>0.45406898856163025</v>
      </c>
      <c r="D40" s="25">
        <v>0.72474795579910278</v>
      </c>
      <c r="E40" s="25">
        <v>0.45765894651412964</v>
      </c>
      <c r="F40" s="25">
        <v>0.28224390745162964</v>
      </c>
      <c r="G40" s="25">
        <v>0.56439471244812012</v>
      </c>
      <c r="H40" s="25">
        <v>0.53596240282058716</v>
      </c>
      <c r="I40" s="25">
        <v>0.78783237934112549</v>
      </c>
      <c r="J40" s="25">
        <v>0.36062929034233093</v>
      </c>
      <c r="K40" s="26">
        <v>0.66507166624069214</v>
      </c>
      <c r="Q40" s="40" t="s">
        <v>277</v>
      </c>
      <c r="R40" s="50">
        <f>AVERAGE($R$64,$R$66,$R$72,$R$73,$R$74)</f>
        <v>91.8</v>
      </c>
      <c r="S40" s="50"/>
      <c r="T40" s="50"/>
      <c r="U40" s="7" t="s">
        <v>57</v>
      </c>
      <c r="V40" s="265"/>
      <c r="W40" s="7" t="s">
        <v>68</v>
      </c>
    </row>
    <row r="41" spans="1:33" ht="16.2" thickBot="1" x14ac:dyDescent="0.35">
      <c r="A41" s="14">
        <v>2044</v>
      </c>
      <c r="B41" s="24">
        <f>IF('[2]Advanced Controls'!$D$174='Emissions Factors'!$B$241,'Emissions Factors'!B271,IF('[2]Advanced Controls'!$D$174='Emissions Factors'!$C$241,'Emissions Factors'!C271,'Emissions Factors'!D271))</f>
        <v>0.51939012750867475</v>
      </c>
      <c r="C41" s="25">
        <v>0.45406898856163025</v>
      </c>
      <c r="D41" s="25">
        <v>0.72474795579910278</v>
      </c>
      <c r="E41" s="25">
        <v>0.45765894651412964</v>
      </c>
      <c r="F41" s="25">
        <v>0.28224390745162964</v>
      </c>
      <c r="G41" s="25">
        <v>0.56439471244812012</v>
      </c>
      <c r="H41" s="25">
        <v>0.53596240282058716</v>
      </c>
      <c r="I41" s="25">
        <v>0.78783237934112549</v>
      </c>
      <c r="J41" s="25">
        <v>0.36062929034233093</v>
      </c>
      <c r="K41" s="26">
        <v>0.66507166624069214</v>
      </c>
      <c r="P41" s="271" t="s">
        <v>278</v>
      </c>
      <c r="Q41" s="40" t="s">
        <v>279</v>
      </c>
      <c r="R41" s="282">
        <f>3.114*930/10^6</f>
        <v>2.89602E-3</v>
      </c>
      <c r="S41" s="264">
        <f>$S$65*$AE$65/10^6*$W$93</f>
        <v>2.5364595959999998E-3</v>
      </c>
      <c r="T41" s="264">
        <f>$T$65*$AF$65/10^6*$W$93</f>
        <v>2.7332570759999999E-3</v>
      </c>
      <c r="U41" s="7" t="s">
        <v>46</v>
      </c>
      <c r="V41" s="265">
        <v>0.54787497236668259</v>
      </c>
      <c r="W41" s="7" t="s">
        <v>47</v>
      </c>
      <c r="X41" s="7" t="s">
        <v>280</v>
      </c>
    </row>
    <row r="42" spans="1:33" ht="16.2" thickBot="1" x14ac:dyDescent="0.35">
      <c r="A42" s="14">
        <v>2045</v>
      </c>
      <c r="B42" s="24">
        <f>IF('[2]Advanced Controls'!$D$174='Emissions Factors'!$B$241,'Emissions Factors'!B272,IF('[2]Advanced Controls'!$D$174='Emissions Factors'!$C$241,'Emissions Factors'!C272,'Emissions Factors'!D272))</f>
        <v>0.51631618259465772</v>
      </c>
      <c r="C42" s="25">
        <v>0.45406898856163025</v>
      </c>
      <c r="D42" s="25">
        <v>0.72474795579910278</v>
      </c>
      <c r="E42" s="25">
        <v>0.45765894651412964</v>
      </c>
      <c r="F42" s="25">
        <v>0.28224390745162964</v>
      </c>
      <c r="G42" s="25">
        <v>0.56439471244812012</v>
      </c>
      <c r="H42" s="25">
        <v>0.53596240282058716</v>
      </c>
      <c r="I42" s="25">
        <v>0.78783237934112549</v>
      </c>
      <c r="J42" s="25">
        <v>0.36062929034233093</v>
      </c>
      <c r="K42" s="26">
        <v>0.66507166624069214</v>
      </c>
      <c r="Q42" s="40" t="s">
        <v>281</v>
      </c>
      <c r="R42" s="280">
        <f>(760/1000000)/(3.6*10^-6)</f>
        <v>211.11111111111114</v>
      </c>
      <c r="S42" s="281">
        <f>(670/1000000)/(3.6*10^-6)</f>
        <v>186.11111111111111</v>
      </c>
      <c r="T42" s="281">
        <f>(870/1000000)/(3.6*10^-6)</f>
        <v>241.66666666666669</v>
      </c>
      <c r="U42" s="7" t="s">
        <v>57</v>
      </c>
      <c r="V42" s="265">
        <v>1.0762150006776362E-2</v>
      </c>
      <c r="W42" s="7" t="s">
        <v>58</v>
      </c>
    </row>
    <row r="43" spans="1:33" ht="13.95" customHeight="1" thickBot="1" x14ac:dyDescent="0.35">
      <c r="A43" s="14">
        <v>2046</v>
      </c>
      <c r="B43" s="24">
        <f>IF('[2]Advanced Controls'!$D$174='Emissions Factors'!$B$241,'Emissions Factors'!B273,IF('[2]Advanced Controls'!$D$174='Emissions Factors'!$C$241,'Emissions Factors'!C273,'Emissions Factors'!D273))</f>
        <v>0.51343131716327794</v>
      </c>
      <c r="C43" s="25">
        <v>0.45406898856163003</v>
      </c>
      <c r="D43" s="25">
        <v>0.72474795579910301</v>
      </c>
      <c r="E43" s="25">
        <v>0.45765894651413003</v>
      </c>
      <c r="F43" s="25">
        <v>0.28224390745163003</v>
      </c>
      <c r="G43" s="25">
        <v>0.56439471244812001</v>
      </c>
      <c r="H43" s="25">
        <v>0.53596240282058705</v>
      </c>
      <c r="I43" s="25">
        <v>0.78783237934112504</v>
      </c>
      <c r="J43" s="25">
        <v>0.36062929034233099</v>
      </c>
      <c r="K43" s="26">
        <v>0.66507166624069203</v>
      </c>
      <c r="Q43" s="40" t="s">
        <v>282</v>
      </c>
      <c r="R43" s="47">
        <f>AVERAGE($R$108,$R$116,$R$124)</f>
        <v>56.1</v>
      </c>
      <c r="S43" s="47">
        <f>AVERAGE($S$108,$S$116,$S$124)</f>
        <v>54.29999999999999</v>
      </c>
      <c r="T43" s="47">
        <f>AVERAGE($T$108,$T$116,$T$124)</f>
        <v>58.29999999999999</v>
      </c>
      <c r="U43" s="7" t="s">
        <v>57</v>
      </c>
      <c r="V43" s="265">
        <v>3.2490859776201989E-2</v>
      </c>
      <c r="W43" s="7" t="s">
        <v>58</v>
      </c>
    </row>
    <row r="44" spans="1:33" ht="15" customHeight="1" thickBot="1" x14ac:dyDescent="0.35">
      <c r="A44" s="14">
        <v>2047</v>
      </c>
      <c r="B44" s="24">
        <f>IF('[2]Advanced Controls'!$D$174='Emissions Factors'!$B$241,'Emissions Factors'!B274,IF('[2]Advanced Controls'!$D$174='Emissions Factors'!$C$241,'Emissions Factors'!C274,'Emissions Factors'!D274))</f>
        <v>0.51041438880314205</v>
      </c>
      <c r="C44" s="25">
        <v>0.45406898856163003</v>
      </c>
      <c r="D44" s="25">
        <v>0.72474795579910301</v>
      </c>
      <c r="E44" s="25">
        <v>0.45765894651413003</v>
      </c>
      <c r="F44" s="25">
        <v>0.28224390745163003</v>
      </c>
      <c r="G44" s="25">
        <v>0.56439471244812001</v>
      </c>
      <c r="H44" s="25">
        <v>0.53596240282058705</v>
      </c>
      <c r="I44" s="25">
        <v>0.78783237934112504</v>
      </c>
      <c r="J44" s="25">
        <v>0.36062929034233099</v>
      </c>
      <c r="K44" s="26">
        <v>0.66507166624069203</v>
      </c>
      <c r="Q44" s="40" t="s">
        <v>283</v>
      </c>
      <c r="R44" s="281">
        <v>77.400000000000006</v>
      </c>
      <c r="S44" s="47"/>
      <c r="T44" s="47"/>
      <c r="U44" s="7" t="s">
        <v>57</v>
      </c>
      <c r="V44" s="265">
        <v>4.6571222891250597E-2</v>
      </c>
      <c r="W44" s="7" t="s">
        <v>58</v>
      </c>
    </row>
    <row r="45" spans="1:33" ht="16.2" thickBot="1" x14ac:dyDescent="0.35">
      <c r="A45" s="14">
        <v>2048</v>
      </c>
      <c r="B45" s="24">
        <f>IF('[2]Advanced Controls'!$D$174='Emissions Factors'!$B$241,'Emissions Factors'!B275,IF('[2]Advanced Controls'!$D$174='Emissions Factors'!$C$241,'Emissions Factors'!C275,'Emissions Factors'!D275))</f>
        <v>0.50736863022278345</v>
      </c>
      <c r="C45" s="25">
        <v>0.45406898856163003</v>
      </c>
      <c r="D45" s="25">
        <v>0.72474795579910301</v>
      </c>
      <c r="E45" s="25">
        <v>0.45765894651413003</v>
      </c>
      <c r="F45" s="25">
        <v>0.28224390745163003</v>
      </c>
      <c r="G45" s="25">
        <v>0.56439471244812001</v>
      </c>
      <c r="H45" s="25">
        <v>0.53596240282058705</v>
      </c>
      <c r="I45" s="25">
        <v>0.78783237934112504</v>
      </c>
      <c r="J45" s="25">
        <v>0.36062929034233099</v>
      </c>
      <c r="K45" s="26">
        <v>0.66507166624069203</v>
      </c>
      <c r="Q45" s="40" t="s">
        <v>284</v>
      </c>
      <c r="R45" s="47"/>
      <c r="S45" s="47"/>
      <c r="T45" s="47"/>
      <c r="U45" s="7" t="s">
        <v>57</v>
      </c>
      <c r="V45" s="265">
        <v>4.5468441413407017E-3</v>
      </c>
      <c r="W45" s="7" t="s">
        <v>58</v>
      </c>
    </row>
    <row r="46" spans="1:33" ht="16.2" thickBot="1" x14ac:dyDescent="0.35">
      <c r="A46" s="14">
        <v>2049</v>
      </c>
      <c r="B46" s="24">
        <f>IF('[2]Advanced Controls'!$D$174='Emissions Factors'!$B$241,'Emissions Factors'!B276,IF('[2]Advanced Controls'!$D$174='Emissions Factors'!$C$241,'Emissions Factors'!C276,'Emissions Factors'!D276))</f>
        <v>0.50475347153800509</v>
      </c>
      <c r="C46" s="25">
        <v>0.45406898856163003</v>
      </c>
      <c r="D46" s="25">
        <v>0.72474795579910301</v>
      </c>
      <c r="E46" s="25">
        <v>0.45765894651413003</v>
      </c>
      <c r="F46" s="25">
        <v>0.28224390745163003</v>
      </c>
      <c r="G46" s="25">
        <v>0.56439471244812001</v>
      </c>
      <c r="H46" s="25">
        <v>0.53596240282058705</v>
      </c>
      <c r="I46" s="25">
        <v>0.78783237934112504</v>
      </c>
      <c r="J46" s="25">
        <v>0.36062929034233099</v>
      </c>
      <c r="K46" s="26">
        <v>0.66507166624069203</v>
      </c>
      <c r="Q46" s="40" t="s">
        <v>285</v>
      </c>
      <c r="R46" s="47">
        <f>AVERAGE(R72:R75)</f>
        <v>104.825</v>
      </c>
      <c r="S46" s="47">
        <f>AVERAGE(S72:S75)</f>
        <v>88.85</v>
      </c>
      <c r="T46" s="47">
        <f>AVERAGE(T72:T75)</f>
        <v>122.75</v>
      </c>
      <c r="U46" s="7" t="s">
        <v>57</v>
      </c>
      <c r="V46" s="265">
        <v>8.2103463898921661E-2</v>
      </c>
      <c r="W46" s="7" t="s">
        <v>58</v>
      </c>
    </row>
    <row r="47" spans="1:33" ht="16.2" thickBot="1" x14ac:dyDescent="0.35">
      <c r="A47" s="14">
        <v>2050</v>
      </c>
      <c r="B47" s="24">
        <f>IF('[2]Advanced Controls'!$D$174='Emissions Factors'!$B$241,'Emissions Factors'!B277,IF('[2]Advanced Controls'!$D$174='Emissions Factors'!$C$241,'Emissions Factors'!C277,'Emissions Factors'!D277))</f>
        <v>0.50301766256342684</v>
      </c>
      <c r="C47" s="25">
        <v>0.45406898856163003</v>
      </c>
      <c r="D47" s="25">
        <v>0.72474795579910301</v>
      </c>
      <c r="E47" s="25">
        <v>0.45765894651413003</v>
      </c>
      <c r="F47" s="25">
        <v>0.28224390745163003</v>
      </c>
      <c r="G47" s="25">
        <v>0.56439471244812001</v>
      </c>
      <c r="H47" s="25">
        <v>0.53596240282058705</v>
      </c>
      <c r="I47" s="25">
        <v>0.78783237934112504</v>
      </c>
      <c r="J47" s="25">
        <v>0.36062929034233099</v>
      </c>
      <c r="K47" s="26">
        <v>0.66507166624069203</v>
      </c>
      <c r="Q47" s="40"/>
      <c r="R47" s="281"/>
      <c r="S47" s="281"/>
      <c r="T47" s="281"/>
      <c r="V47" s="265"/>
    </row>
    <row r="48" spans="1:33" ht="16.2" thickBot="1" x14ac:dyDescent="0.35">
      <c r="A48" s="14">
        <v>2051</v>
      </c>
      <c r="B48" s="24">
        <f>IF('[2]Advanced Controls'!$D$174='Emissions Factors'!$B$241,'Emissions Factors'!B278,IF('[2]Advanced Controls'!$D$174='Emissions Factors'!$C$241,'Emissions Factors'!C278,'Emissions Factors'!D278))</f>
        <v>0.50109509757419579</v>
      </c>
      <c r="C48" s="25">
        <v>0.45406898856163003</v>
      </c>
      <c r="D48" s="25">
        <v>0.72474795579910301</v>
      </c>
      <c r="E48" s="25">
        <v>0.45765894651413003</v>
      </c>
      <c r="F48" s="25">
        <v>0.28224390745163003</v>
      </c>
      <c r="G48" s="25">
        <v>0.56439471244812001</v>
      </c>
      <c r="H48" s="25">
        <v>0.53596240282058705</v>
      </c>
      <c r="I48" s="25">
        <v>0.78783237934112504</v>
      </c>
      <c r="J48" s="25">
        <v>0.36062929034233099</v>
      </c>
      <c r="K48" s="26">
        <v>0.66507166624069203</v>
      </c>
      <c r="Q48" s="40"/>
      <c r="R48" s="281"/>
      <c r="S48" s="281"/>
      <c r="T48" s="281"/>
      <c r="V48" s="265"/>
    </row>
    <row r="49" spans="1:34" s="3" customFormat="1" ht="16.2" thickBot="1" x14ac:dyDescent="0.35">
      <c r="A49" s="14">
        <v>2052</v>
      </c>
      <c r="B49" s="24">
        <f>IF('[2]Advanced Controls'!$D$174='Emissions Factors'!$B$241,'Emissions Factors'!B279,IF('[2]Advanced Controls'!$D$174='Emissions Factors'!$C$241,'Emissions Factors'!C279,'Emissions Factors'!D279))</f>
        <v>0.49924474136077335</v>
      </c>
      <c r="C49" s="25">
        <v>0.45406898856163003</v>
      </c>
      <c r="D49" s="25">
        <v>0.72474795579910301</v>
      </c>
      <c r="E49" s="25">
        <v>0.45765894651413003</v>
      </c>
      <c r="F49" s="25">
        <v>0.28224390745163003</v>
      </c>
      <c r="G49" s="25">
        <v>0.56439471244812001</v>
      </c>
      <c r="H49" s="25">
        <v>0.53596240282058705</v>
      </c>
      <c r="I49" s="25">
        <v>0.78783237934112504</v>
      </c>
      <c r="J49" s="25">
        <v>0.36062929034233099</v>
      </c>
      <c r="K49" s="26">
        <v>0.66507166624069203</v>
      </c>
      <c r="L49" s="7"/>
      <c r="M49" s="7"/>
      <c r="N49" s="10"/>
      <c r="O49" s="7"/>
      <c r="P49" s="7"/>
      <c r="Q49" s="40" t="s">
        <v>84</v>
      </c>
      <c r="R49" s="47">
        <f>AVERAGE(R77:R78)</f>
        <v>54.6</v>
      </c>
      <c r="S49" s="47">
        <f>AVERAGE(S77:S78)</f>
        <v>46.2</v>
      </c>
      <c r="T49" s="47">
        <f>AVERAGE(T77:T78)</f>
        <v>66</v>
      </c>
      <c r="U49" s="7" t="s">
        <v>57</v>
      </c>
      <c r="V49" s="265"/>
      <c r="W49" s="7" t="s">
        <v>68</v>
      </c>
      <c r="X49" s="7"/>
      <c r="Y49" s="7"/>
      <c r="Z49" s="7"/>
      <c r="AA49" s="7"/>
      <c r="AB49" s="7"/>
      <c r="AC49" s="7"/>
      <c r="AD49" s="7"/>
      <c r="AE49" s="7"/>
      <c r="AF49" s="7"/>
      <c r="AG49" s="7"/>
      <c r="AH49" s="5"/>
    </row>
    <row r="50" spans="1:34" ht="61.95" customHeight="1" thickBot="1" x14ac:dyDescent="0.35">
      <c r="A50" s="14">
        <v>2053</v>
      </c>
      <c r="B50" s="24">
        <f>IF('[2]Advanced Controls'!$D$174='Emissions Factors'!$B$241,'Emissions Factors'!B280,IF('[2]Advanced Controls'!$D$174='Emissions Factors'!$C$241,'Emissions Factors'!C280,'Emissions Factors'!D280))</f>
        <v>0.49735561011220869</v>
      </c>
      <c r="C50" s="25">
        <v>0.45406898856163003</v>
      </c>
      <c r="D50" s="25">
        <v>0.72474795579910301</v>
      </c>
      <c r="E50" s="25">
        <v>0.45765894651413003</v>
      </c>
      <c r="F50" s="25">
        <v>0.28224390745163003</v>
      </c>
      <c r="G50" s="25">
        <v>0.56439471244812001</v>
      </c>
      <c r="H50" s="25">
        <v>0.53596240282058705</v>
      </c>
      <c r="I50" s="25">
        <v>0.78783237934112504</v>
      </c>
      <c r="J50" s="25">
        <v>0.36062929034233099</v>
      </c>
      <c r="K50" s="26">
        <v>0.66507166624069203</v>
      </c>
      <c r="Q50" s="40" t="s">
        <v>85</v>
      </c>
      <c r="R50" s="48" t="s">
        <v>66</v>
      </c>
      <c r="S50" s="47" t="s">
        <v>66</v>
      </c>
      <c r="T50" s="47" t="s">
        <v>66</v>
      </c>
      <c r="V50" s="265">
        <v>9.4594666778771055E-2</v>
      </c>
      <c r="W50" s="7" t="s">
        <v>58</v>
      </c>
      <c r="X50" s="13"/>
      <c r="Y50" s="13"/>
      <c r="Z50" s="13"/>
      <c r="AA50" s="13"/>
      <c r="AB50" s="13"/>
    </row>
    <row r="51" spans="1:34" ht="18" thickBot="1" x14ac:dyDescent="0.35">
      <c r="A51" s="14">
        <v>2054</v>
      </c>
      <c r="B51" s="24">
        <f>IF('[2]Advanced Controls'!$D$174='Emissions Factors'!$B$241,'Emissions Factors'!B281,IF('[2]Advanced Controls'!$D$174='Emissions Factors'!$C$241,'Emissions Factors'!C281,'Emissions Factors'!D281))</f>
        <v>0.49542575244029269</v>
      </c>
      <c r="C51" s="25">
        <v>0.45406898856163003</v>
      </c>
      <c r="D51" s="25">
        <v>0.72474795579910301</v>
      </c>
      <c r="E51" s="25">
        <v>0.45765894651413003</v>
      </c>
      <c r="F51" s="25">
        <v>0.28224390745163003</v>
      </c>
      <c r="G51" s="25">
        <v>0.56439471244812001</v>
      </c>
      <c r="H51" s="25">
        <v>0.53596240282058705</v>
      </c>
      <c r="I51" s="25">
        <v>0.78783237934112504</v>
      </c>
      <c r="J51" s="25">
        <v>0.36062929034233099</v>
      </c>
      <c r="K51" s="26">
        <v>0.66507166624069203</v>
      </c>
      <c r="P51" s="562" t="s">
        <v>86</v>
      </c>
      <c r="Q51" s="562"/>
      <c r="R51" s="562"/>
      <c r="S51" s="562"/>
      <c r="T51" s="562"/>
      <c r="U51" s="562"/>
      <c r="V51" s="562"/>
      <c r="W51" s="562"/>
      <c r="X51" s="562"/>
      <c r="Y51" s="562"/>
      <c r="Z51" s="562"/>
      <c r="AA51" s="13"/>
      <c r="AB51" s="13"/>
    </row>
    <row r="52" spans="1:34" ht="16.05" customHeight="1" thickBot="1" x14ac:dyDescent="0.35">
      <c r="A52" s="14">
        <v>2055</v>
      </c>
      <c r="B52" s="24">
        <f>IF('[2]Advanced Controls'!$D$174='Emissions Factors'!$B$241,'Emissions Factors'!B282,IF('[2]Advanced Controls'!$D$174='Emissions Factors'!$C$241,'Emissions Factors'!C282,'Emissions Factors'!D282))</f>
        <v>0.49341223918682564</v>
      </c>
      <c r="C52" s="25">
        <v>0.45406898856163003</v>
      </c>
      <c r="D52" s="25">
        <v>0.72474795579910301</v>
      </c>
      <c r="E52" s="25">
        <v>0.45765894651413003</v>
      </c>
      <c r="F52" s="25">
        <v>0.28224390745163003</v>
      </c>
      <c r="G52" s="25">
        <v>0.56439471244812001</v>
      </c>
      <c r="H52" s="25">
        <v>0.53596240282058705</v>
      </c>
      <c r="I52" s="25">
        <v>0.78783237934112504</v>
      </c>
      <c r="J52" s="25">
        <v>0.36062929034233099</v>
      </c>
      <c r="K52" s="26">
        <v>0.66507166624069203</v>
      </c>
      <c r="P52" s="551" t="s">
        <v>87</v>
      </c>
      <c r="Q52" s="553"/>
      <c r="R52" s="563" t="s">
        <v>88</v>
      </c>
      <c r="S52" s="564"/>
      <c r="T52" s="565"/>
      <c r="U52" s="563" t="s">
        <v>89</v>
      </c>
      <c r="V52" s="564"/>
      <c r="W52" s="565"/>
      <c r="X52" s="563" t="s">
        <v>90</v>
      </c>
      <c r="Y52" s="564"/>
      <c r="Z52" s="565"/>
      <c r="AB52" s="589" t="s">
        <v>91</v>
      </c>
      <c r="AC52" s="589"/>
      <c r="AD52" s="589"/>
      <c r="AE52" s="589"/>
      <c r="AF52" s="589"/>
      <c r="AG52" s="53"/>
    </row>
    <row r="53" spans="1:34" ht="47.4" thickBot="1" x14ac:dyDescent="0.35">
      <c r="A53" s="14">
        <v>2056</v>
      </c>
      <c r="B53" s="24">
        <f>IF('[2]Advanced Controls'!$D$174='Emissions Factors'!$B$241,'Emissions Factors'!B283,IF('[2]Advanced Controls'!$D$174='Emissions Factors'!$C$241,'Emissions Factors'!C283,'Emissions Factors'!D283))</f>
        <v>0.49143659747154755</v>
      </c>
      <c r="C53" s="25">
        <v>0.45406898856163003</v>
      </c>
      <c r="D53" s="25">
        <v>0.72474795579910301</v>
      </c>
      <c r="E53" s="25">
        <v>0.45765894651413003</v>
      </c>
      <c r="F53" s="25">
        <v>0.28224390745163003</v>
      </c>
      <c r="G53" s="25">
        <v>0.56439471244812001</v>
      </c>
      <c r="H53" s="25">
        <v>0.53596240282058705</v>
      </c>
      <c r="I53" s="25">
        <v>0.78783237934112504</v>
      </c>
      <c r="J53" s="25">
        <v>0.36062929034233099</v>
      </c>
      <c r="K53" s="26">
        <v>0.66507166624069203</v>
      </c>
      <c r="P53" s="554"/>
      <c r="Q53" s="556"/>
      <c r="R53" s="54" t="s">
        <v>37</v>
      </c>
      <c r="S53" s="55" t="s">
        <v>38</v>
      </c>
      <c r="T53" s="56" t="s">
        <v>39</v>
      </c>
      <c r="U53" s="57" t="s">
        <v>37</v>
      </c>
      <c r="V53" s="57" t="s">
        <v>38</v>
      </c>
      <c r="W53" s="54" t="s">
        <v>39</v>
      </c>
      <c r="X53" s="58" t="s">
        <v>37</v>
      </c>
      <c r="Y53" s="57" t="s">
        <v>38</v>
      </c>
      <c r="Z53" s="54" t="s">
        <v>39</v>
      </c>
      <c r="AB53" s="59" t="s">
        <v>92</v>
      </c>
      <c r="AC53" s="60"/>
      <c r="AD53" s="61" t="s">
        <v>93</v>
      </c>
      <c r="AE53" s="62" t="s">
        <v>38</v>
      </c>
      <c r="AF53" s="62" t="s">
        <v>39</v>
      </c>
      <c r="AG53" s="62" t="s">
        <v>286</v>
      </c>
    </row>
    <row r="54" spans="1:34" ht="15.75" customHeight="1" x14ac:dyDescent="0.3">
      <c r="A54" s="14">
        <v>2057</v>
      </c>
      <c r="B54" s="24">
        <f>IF('[2]Advanced Controls'!$D$174='Emissions Factors'!$B$241,'Emissions Factors'!B284,IF('[2]Advanced Controls'!$D$174='Emissions Factors'!$C$241,'Emissions Factors'!C284,'Emissions Factors'!D284))</f>
        <v>0.48937393118142186</v>
      </c>
      <c r="C54" s="25">
        <v>0.45406898856163003</v>
      </c>
      <c r="D54" s="25">
        <v>0.72474795579910301</v>
      </c>
      <c r="E54" s="25">
        <v>0.45765894651413003</v>
      </c>
      <c r="F54" s="25">
        <v>0.28224390745163003</v>
      </c>
      <c r="G54" s="25">
        <v>0.56439471244812001</v>
      </c>
      <c r="H54" s="25">
        <v>0.53596240282058705</v>
      </c>
      <c r="I54" s="25">
        <v>0.78783237934112504</v>
      </c>
      <c r="J54" s="25">
        <v>0.36062929034233099</v>
      </c>
      <c r="K54" s="26">
        <v>0.66507166624069203</v>
      </c>
      <c r="P54" s="551" t="s">
        <v>94</v>
      </c>
      <c r="Q54" s="552"/>
      <c r="R54" s="552"/>
      <c r="S54" s="552"/>
      <c r="T54" s="552"/>
      <c r="U54" s="552"/>
      <c r="V54" s="552"/>
      <c r="W54" s="552"/>
      <c r="X54" s="552"/>
      <c r="Y54" s="552"/>
      <c r="Z54" s="553"/>
      <c r="AB54" s="63" t="s">
        <v>94</v>
      </c>
      <c r="AC54" s="64"/>
      <c r="AD54" s="64"/>
      <c r="AE54" s="64"/>
      <c r="AF54" s="65"/>
    </row>
    <row r="55" spans="1:34" ht="15.75" customHeight="1" thickBot="1" x14ac:dyDescent="0.35">
      <c r="A55" s="14">
        <v>2058</v>
      </c>
      <c r="B55" s="24">
        <f>IF('[2]Advanced Controls'!$D$174='Emissions Factors'!$B$241,'Emissions Factors'!B285,IF('[2]Advanced Controls'!$D$174='Emissions Factors'!$C$241,'Emissions Factors'!C285,'Emissions Factors'!D285))</f>
        <v>0.48726379355760413</v>
      </c>
      <c r="C55" s="25">
        <v>0.45406898856163003</v>
      </c>
      <c r="D55" s="25">
        <v>0.72474795579910301</v>
      </c>
      <c r="E55" s="25">
        <v>0.45765894651413003</v>
      </c>
      <c r="F55" s="25">
        <v>0.28224390745163003</v>
      </c>
      <c r="G55" s="25">
        <v>0.56439471244812001</v>
      </c>
      <c r="H55" s="25">
        <v>0.53596240282058705</v>
      </c>
      <c r="I55" s="25">
        <v>0.78783237934112504</v>
      </c>
      <c r="J55" s="25">
        <v>0.36062929034233099</v>
      </c>
      <c r="K55" s="26">
        <v>0.66507166624069203</v>
      </c>
      <c r="P55" s="554"/>
      <c r="Q55" s="555"/>
      <c r="R55" s="555"/>
      <c r="S55" s="555"/>
      <c r="T55" s="555"/>
      <c r="U55" s="555"/>
      <c r="V55" s="555"/>
      <c r="W55" s="555"/>
      <c r="X55" s="555"/>
      <c r="Y55" s="555"/>
      <c r="Z55" s="556"/>
      <c r="AB55" s="66"/>
      <c r="AC55" s="67"/>
      <c r="AD55" s="67"/>
      <c r="AE55" s="67"/>
      <c r="AF55" s="68"/>
    </row>
    <row r="56" spans="1:34" ht="15.75" customHeight="1" thickBot="1" x14ac:dyDescent="0.35">
      <c r="A56" s="14">
        <v>2059</v>
      </c>
      <c r="B56" s="24">
        <f>IF('[2]Advanced Controls'!$D$174='Emissions Factors'!$B$241,'Emissions Factors'!B286,IF('[2]Advanced Controls'!$D$174='Emissions Factors'!$C$241,'Emissions Factors'!C286,'Emissions Factors'!D286))</f>
        <v>0.48510474616620997</v>
      </c>
      <c r="C56" s="25">
        <v>0.45406898856163003</v>
      </c>
      <c r="D56" s="25">
        <v>0.72474795579910301</v>
      </c>
      <c r="E56" s="25">
        <v>0.45765894651413003</v>
      </c>
      <c r="F56" s="25">
        <v>0.28224390745163003</v>
      </c>
      <c r="G56" s="25">
        <v>0.56439471244812001</v>
      </c>
      <c r="H56" s="25">
        <v>0.53596240282058705</v>
      </c>
      <c r="I56" s="25">
        <v>0.78783237934112504</v>
      </c>
      <c r="J56" s="25">
        <v>0.36062929034233099</v>
      </c>
      <c r="K56" s="26">
        <v>0.66507166624069203</v>
      </c>
      <c r="P56" s="557" t="s">
        <v>95</v>
      </c>
      <c r="Q56" s="558"/>
      <c r="R56" s="69">
        <v>73.3</v>
      </c>
      <c r="S56" s="70">
        <v>71.099999999999994</v>
      </c>
      <c r="T56" s="70">
        <v>75.5</v>
      </c>
      <c r="U56" s="71">
        <v>3.0000000000000001E-3</v>
      </c>
      <c r="V56" s="71">
        <v>1E-3</v>
      </c>
      <c r="W56" s="71">
        <v>0.01</v>
      </c>
      <c r="X56" s="71">
        <v>5.9999999999999995E-4</v>
      </c>
      <c r="Y56" s="72">
        <v>2.0000000000000001E-4</v>
      </c>
      <c r="Z56" s="71">
        <v>2E-3</v>
      </c>
      <c r="AB56" s="73" t="s">
        <v>95</v>
      </c>
      <c r="AC56" s="74"/>
      <c r="AD56" s="75">
        <v>42.3</v>
      </c>
      <c r="AE56" s="75">
        <v>40.1</v>
      </c>
      <c r="AF56" s="75">
        <v>44.8</v>
      </c>
    </row>
    <row r="57" spans="1:34" ht="15.75" customHeight="1" thickBot="1" x14ac:dyDescent="0.35">
      <c r="A57" s="14">
        <v>2060</v>
      </c>
      <c r="B57" s="283">
        <f>IF('[2]Advanced Controls'!$D$174='Emissions Factors'!$B$241,'Emissions Factors'!B287,IF('[2]Advanced Controls'!$D$174='Emissions Factors'!$C$241,'Emissions Factors'!C287,'Emissions Factors'!D287))</f>
        <v>0.4830570645369755</v>
      </c>
      <c r="C57" s="87">
        <v>0.45406898856163003</v>
      </c>
      <c r="D57" s="87">
        <v>0.72474795579910301</v>
      </c>
      <c r="E57" s="87">
        <v>0.45765894651413003</v>
      </c>
      <c r="F57" s="87">
        <v>0.28224390745163003</v>
      </c>
      <c r="G57" s="87">
        <v>0.56439471244812001</v>
      </c>
      <c r="H57" s="87">
        <v>0.53596240282058705</v>
      </c>
      <c r="I57" s="87">
        <v>0.78783237934112504</v>
      </c>
      <c r="J57" s="87">
        <v>0.36062929034233099</v>
      </c>
      <c r="K57" s="88">
        <v>0.66507166624069203</v>
      </c>
      <c r="P57" s="559" t="s">
        <v>96</v>
      </c>
      <c r="Q57" s="560"/>
      <c r="R57" s="69">
        <v>77</v>
      </c>
      <c r="S57" s="70">
        <v>69.3</v>
      </c>
      <c r="T57" s="70">
        <v>85.4</v>
      </c>
      <c r="U57" s="71">
        <v>3.0000000000000001E-3</v>
      </c>
      <c r="V57" s="71">
        <v>1E-3</v>
      </c>
      <c r="W57" s="71">
        <v>0.01</v>
      </c>
      <c r="X57" s="71">
        <v>5.9999999999999995E-4</v>
      </c>
      <c r="Y57" s="72">
        <v>2.0000000000000001E-4</v>
      </c>
      <c r="Z57" s="71">
        <v>2E-3</v>
      </c>
      <c r="AB57" s="76" t="s">
        <v>96</v>
      </c>
      <c r="AC57" s="77"/>
      <c r="AD57" s="75">
        <v>27.5</v>
      </c>
      <c r="AE57" s="75">
        <v>27.5</v>
      </c>
      <c r="AF57" s="75">
        <v>28.3</v>
      </c>
    </row>
    <row r="58" spans="1:34" ht="16.8" thickTop="1" thickBot="1" x14ac:dyDescent="0.35">
      <c r="P58" s="559" t="s">
        <v>97</v>
      </c>
      <c r="Q58" s="560"/>
      <c r="R58" s="69">
        <v>64.2</v>
      </c>
      <c r="S58" s="70">
        <v>58.3</v>
      </c>
      <c r="T58" s="70">
        <v>70.400000000000006</v>
      </c>
      <c r="U58" s="71">
        <v>3.0000000000000001E-3</v>
      </c>
      <c r="V58" s="71">
        <v>1E-3</v>
      </c>
      <c r="W58" s="71">
        <v>0.01</v>
      </c>
      <c r="X58" s="71">
        <v>5.9999999999999995E-4</v>
      </c>
      <c r="Y58" s="72">
        <v>2.0000000000000001E-4</v>
      </c>
      <c r="Z58" s="71">
        <v>2E-3</v>
      </c>
      <c r="AB58" s="76" t="s">
        <v>97</v>
      </c>
      <c r="AC58" s="77"/>
      <c r="AD58" s="75">
        <v>44.2</v>
      </c>
      <c r="AE58" s="75">
        <v>40.9</v>
      </c>
      <c r="AF58" s="75">
        <v>46.9</v>
      </c>
    </row>
    <row r="59" spans="1:34" ht="16.2" thickBot="1" x14ac:dyDescent="0.35">
      <c r="A59" s="91" t="s">
        <v>108</v>
      </c>
      <c r="P59" s="559" t="s">
        <v>98</v>
      </c>
      <c r="Q59" s="560"/>
      <c r="R59" s="69">
        <v>56.1</v>
      </c>
      <c r="S59" s="70">
        <v>54.3</v>
      </c>
      <c r="T59" s="70">
        <v>58.3</v>
      </c>
      <c r="U59" s="71">
        <v>1E-3</v>
      </c>
      <c r="V59" s="72">
        <v>2.9999999999999997E-4</v>
      </c>
      <c r="W59" s="71">
        <v>3.0000000000000001E-3</v>
      </c>
      <c r="X59" s="72">
        <v>1E-4</v>
      </c>
      <c r="Y59" s="72">
        <v>2.9999999999999997E-5</v>
      </c>
      <c r="Z59" s="72">
        <v>2.9999999999999997E-4</v>
      </c>
      <c r="AB59" s="76" t="s">
        <v>98</v>
      </c>
      <c r="AC59" s="77"/>
      <c r="AD59" s="75">
        <v>48</v>
      </c>
      <c r="AE59" s="75">
        <v>46.5</v>
      </c>
      <c r="AF59" s="75">
        <v>50.4</v>
      </c>
    </row>
    <row r="60" spans="1:34" ht="16.2" thickBot="1" x14ac:dyDescent="0.35">
      <c r="A60" s="92" t="s">
        <v>110</v>
      </c>
      <c r="B60" s="92" t="s">
        <v>111</v>
      </c>
      <c r="O60" s="78"/>
      <c r="P60" s="583" t="s">
        <v>99</v>
      </c>
      <c r="Q60" s="79" t="s">
        <v>45</v>
      </c>
      <c r="R60" s="69">
        <v>69.3</v>
      </c>
      <c r="S60" s="70">
        <v>67.5</v>
      </c>
      <c r="T60" s="70">
        <v>73</v>
      </c>
      <c r="U60" s="71">
        <v>3.0000000000000001E-3</v>
      </c>
      <c r="V60" s="71">
        <v>1E-3</v>
      </c>
      <c r="W60" s="71">
        <v>0.01</v>
      </c>
      <c r="X60" s="71">
        <v>5.9999999999999995E-4</v>
      </c>
      <c r="Y60" s="72">
        <v>2.0000000000000001E-4</v>
      </c>
      <c r="Z60" s="71">
        <v>2E-3</v>
      </c>
      <c r="AB60" s="80" t="s">
        <v>99</v>
      </c>
      <c r="AC60" s="79" t="s">
        <v>45</v>
      </c>
      <c r="AD60" s="75">
        <v>44.3</v>
      </c>
      <c r="AE60" s="75">
        <v>42.5</v>
      </c>
      <c r="AF60" s="75">
        <v>44.8</v>
      </c>
      <c r="AG60" s="81"/>
    </row>
    <row r="61" spans="1:34" ht="16.2" thickBot="1" x14ac:dyDescent="0.35">
      <c r="B61" s="11" t="s">
        <v>113</v>
      </c>
      <c r="P61" s="584"/>
      <c r="Q61" s="79" t="s">
        <v>100</v>
      </c>
      <c r="R61" s="69">
        <v>70</v>
      </c>
      <c r="S61" s="70">
        <v>67.5</v>
      </c>
      <c r="T61" s="70">
        <v>73</v>
      </c>
      <c r="U61" s="71">
        <v>3.0000000000000001E-3</v>
      </c>
      <c r="V61" s="71">
        <v>1E-3</v>
      </c>
      <c r="W61" s="71">
        <v>0.01</v>
      </c>
      <c r="X61" s="71">
        <v>5.9999999999999995E-4</v>
      </c>
      <c r="Y61" s="72">
        <v>2.0000000000000001E-4</v>
      </c>
      <c r="Z61" s="71">
        <v>2E-3</v>
      </c>
      <c r="AB61" s="82"/>
      <c r="AC61" s="79" t="s">
        <v>100</v>
      </c>
      <c r="AD61" s="75">
        <v>44.3</v>
      </c>
      <c r="AE61" s="75">
        <v>42.5</v>
      </c>
      <c r="AF61" s="75">
        <v>44.8</v>
      </c>
    </row>
    <row r="62" spans="1:34" ht="16.2" thickBot="1" x14ac:dyDescent="0.35">
      <c r="A62" s="93" t="str">
        <f ca="1">HYPERLINK("#"&amp;"'"&amp;A$1&amp;"'!a1","Back to top")</f>
        <v>Back to top</v>
      </c>
      <c r="P62" s="582"/>
      <c r="Q62" s="79" t="s">
        <v>101</v>
      </c>
      <c r="R62" s="69">
        <v>70</v>
      </c>
      <c r="S62" s="70">
        <v>67.5</v>
      </c>
      <c r="T62" s="70">
        <v>73</v>
      </c>
      <c r="U62" s="71">
        <v>3.0000000000000001E-3</v>
      </c>
      <c r="V62" s="71">
        <v>1E-3</v>
      </c>
      <c r="W62" s="71">
        <v>0.01</v>
      </c>
      <c r="X62" s="71">
        <v>5.9999999999999995E-4</v>
      </c>
      <c r="Y62" s="72">
        <v>2.0000000000000001E-4</v>
      </c>
      <c r="Z62" s="71">
        <v>2E-3</v>
      </c>
      <c r="AB62" s="79"/>
      <c r="AC62" s="79" t="s">
        <v>101</v>
      </c>
      <c r="AD62" s="75">
        <v>44.3</v>
      </c>
      <c r="AE62" s="75">
        <v>42.5</v>
      </c>
      <c r="AF62" s="75">
        <v>44.8</v>
      </c>
    </row>
    <row r="63" spans="1:34" ht="16.2" thickBot="1" x14ac:dyDescent="0.35">
      <c r="A63" s="93"/>
      <c r="P63" s="559" t="s">
        <v>102</v>
      </c>
      <c r="Q63" s="560"/>
      <c r="R63" s="69">
        <v>71.5</v>
      </c>
      <c r="S63" s="70">
        <v>69.7</v>
      </c>
      <c r="T63" s="70">
        <v>74.400000000000006</v>
      </c>
      <c r="U63" s="71">
        <v>3.0000000000000001E-3</v>
      </c>
      <c r="V63" s="71">
        <v>1E-3</v>
      </c>
      <c r="W63" s="71">
        <v>0.01</v>
      </c>
      <c r="X63" s="71">
        <v>5.9999999999999995E-4</v>
      </c>
      <c r="Y63" s="72">
        <v>2.0000000000000001E-4</v>
      </c>
      <c r="Z63" s="71">
        <v>2E-3</v>
      </c>
      <c r="AB63" s="76" t="s">
        <v>102</v>
      </c>
      <c r="AC63" s="77"/>
      <c r="AD63" s="75">
        <v>44.1</v>
      </c>
      <c r="AE63" s="75">
        <v>42</v>
      </c>
      <c r="AF63" s="75">
        <v>45</v>
      </c>
    </row>
    <row r="64" spans="1:34" ht="19.2" thickBot="1" x14ac:dyDescent="0.35">
      <c r="A64" s="1" t="s">
        <v>117</v>
      </c>
      <c r="B64" s="544"/>
      <c r="C64" s="544"/>
      <c r="D64" s="544"/>
      <c r="E64" s="544"/>
      <c r="F64" s="544"/>
      <c r="G64" s="544"/>
      <c r="H64" s="544"/>
      <c r="I64" s="544"/>
      <c r="J64" s="544"/>
      <c r="K64" s="544"/>
      <c r="L64" s="2"/>
      <c r="M64" s="3"/>
      <c r="N64" s="4"/>
      <c r="P64" s="559" t="s">
        <v>103</v>
      </c>
      <c r="Q64" s="560"/>
      <c r="R64" s="69">
        <v>71.900000000000006</v>
      </c>
      <c r="S64" s="70">
        <v>70.8</v>
      </c>
      <c r="T64" s="70">
        <v>73.7</v>
      </c>
      <c r="U64" s="71">
        <v>3.0000000000000001E-3</v>
      </c>
      <c r="V64" s="71">
        <v>1E-3</v>
      </c>
      <c r="W64" s="71">
        <v>0.01</v>
      </c>
      <c r="X64" s="71">
        <v>5.9999999999999995E-4</v>
      </c>
      <c r="Y64" s="72">
        <v>2.0000000000000001E-4</v>
      </c>
      <c r="Z64" s="71">
        <v>2E-3</v>
      </c>
      <c r="AB64" s="76" t="s">
        <v>103</v>
      </c>
      <c r="AC64" s="77"/>
      <c r="AD64" s="75">
        <v>43.8</v>
      </c>
      <c r="AE64" s="75">
        <v>42.4</v>
      </c>
      <c r="AF64" s="75">
        <v>45.2</v>
      </c>
    </row>
    <row r="65" spans="1:34" ht="77.55" customHeight="1" thickBot="1" x14ac:dyDescent="0.35">
      <c r="P65" s="559" t="s">
        <v>104</v>
      </c>
      <c r="Q65" s="560"/>
      <c r="R65" s="69">
        <v>74.099999999999994</v>
      </c>
      <c r="S65" s="70">
        <v>72.599999999999994</v>
      </c>
      <c r="T65" s="70">
        <v>74.8</v>
      </c>
      <c r="U65" s="71">
        <v>3.0000000000000001E-3</v>
      </c>
      <c r="V65" s="71">
        <v>1E-3</v>
      </c>
      <c r="W65" s="71">
        <v>0.01</v>
      </c>
      <c r="X65" s="71">
        <v>5.9999999999999995E-4</v>
      </c>
      <c r="Y65" s="72">
        <v>2.0000000000000001E-4</v>
      </c>
      <c r="Z65" s="71">
        <v>2E-3</v>
      </c>
      <c r="AB65" s="76" t="s">
        <v>104</v>
      </c>
      <c r="AC65" s="77"/>
      <c r="AD65" s="83">
        <v>43</v>
      </c>
      <c r="AE65" s="83">
        <v>41.4</v>
      </c>
      <c r="AF65" s="83">
        <v>43.3</v>
      </c>
    </row>
    <row r="66" spans="1:34" ht="30.6" thickBot="1" x14ac:dyDescent="0.35">
      <c r="A66" s="92" t="s">
        <v>3</v>
      </c>
      <c r="B66" s="15" t="s">
        <v>4</v>
      </c>
      <c r="C66" s="15" t="s">
        <v>5</v>
      </c>
      <c r="D66" s="15" t="s">
        <v>6</v>
      </c>
      <c r="E66" s="15" t="s">
        <v>7</v>
      </c>
      <c r="F66" s="15" t="s">
        <v>8</v>
      </c>
      <c r="G66" s="15" t="s">
        <v>9</v>
      </c>
      <c r="H66" s="15" t="s">
        <v>10</v>
      </c>
      <c r="I66" s="15" t="s">
        <v>11</v>
      </c>
      <c r="J66" s="15" t="s">
        <v>12</v>
      </c>
      <c r="K66" s="15" t="s">
        <v>13</v>
      </c>
      <c r="P66" s="579" t="s">
        <v>52</v>
      </c>
      <c r="Q66" s="580"/>
      <c r="R66" s="69">
        <v>63.1</v>
      </c>
      <c r="S66" s="70">
        <v>61.6</v>
      </c>
      <c r="T66" s="70">
        <v>65.599999999999994</v>
      </c>
      <c r="U66" s="71">
        <v>1E-3</v>
      </c>
      <c r="V66" s="72">
        <v>2.9999999999999997E-4</v>
      </c>
      <c r="W66" s="71">
        <v>3.0000000000000001E-3</v>
      </c>
      <c r="X66" s="72">
        <v>1E-4</v>
      </c>
      <c r="Y66" s="84">
        <v>2.9999999999999997E-5</v>
      </c>
      <c r="Z66" s="72">
        <v>2.9999999999999997E-4</v>
      </c>
      <c r="AB66" s="85" t="s">
        <v>52</v>
      </c>
      <c r="AC66" s="86"/>
      <c r="AD66" s="83">
        <v>47.3</v>
      </c>
      <c r="AE66" s="83">
        <v>44.8</v>
      </c>
      <c r="AF66" s="83">
        <v>52.2</v>
      </c>
    </row>
    <row r="67" spans="1:34" x14ac:dyDescent="0.3">
      <c r="A67" s="92">
        <v>2015</v>
      </c>
      <c r="B67" s="18">
        <v>0.48451203107833862</v>
      </c>
      <c r="C67" s="19">
        <v>0.39212659001350403</v>
      </c>
      <c r="D67" s="19">
        <v>0.65997731685638428</v>
      </c>
      <c r="E67" s="19">
        <v>0.38555583357810974</v>
      </c>
      <c r="F67" s="19">
        <v>0.18549998104572296</v>
      </c>
      <c r="G67" s="19">
        <v>0.49153763055801392</v>
      </c>
      <c r="H67" s="19">
        <v>0.47473031282424927</v>
      </c>
      <c r="I67" s="19">
        <v>0.72508198022842407</v>
      </c>
      <c r="J67" s="19">
        <v>0.29701653122901917</v>
      </c>
      <c r="K67" s="20">
        <v>0.5945630669593811</v>
      </c>
      <c r="P67" s="551" t="s">
        <v>105</v>
      </c>
      <c r="Q67" s="552"/>
      <c r="R67" s="552"/>
      <c r="S67" s="552"/>
      <c r="T67" s="552"/>
      <c r="U67" s="552"/>
      <c r="V67" s="552"/>
      <c r="W67" s="552"/>
      <c r="X67" s="552"/>
      <c r="Y67" s="552"/>
      <c r="Z67" s="553"/>
      <c r="AB67" s="63" t="s">
        <v>105</v>
      </c>
      <c r="AC67" s="64"/>
      <c r="AD67" s="64"/>
      <c r="AE67" s="64"/>
      <c r="AF67" s="65"/>
    </row>
    <row r="68" spans="1:34" ht="16.2" thickBot="1" x14ac:dyDescent="0.35">
      <c r="A68" s="92">
        <v>2016</v>
      </c>
      <c r="B68" s="24">
        <v>0.48451203107833862</v>
      </c>
      <c r="C68" s="25">
        <v>0.39212659001350403</v>
      </c>
      <c r="D68" s="25">
        <v>0.65997731685638428</v>
      </c>
      <c r="E68" s="25">
        <v>0.38555583357810974</v>
      </c>
      <c r="F68" s="25">
        <v>0.18549998104572296</v>
      </c>
      <c r="G68" s="25">
        <v>0.49153763055801392</v>
      </c>
      <c r="H68" s="25">
        <v>0.47473031282424927</v>
      </c>
      <c r="I68" s="25">
        <v>0.72508198022842407</v>
      </c>
      <c r="J68" s="25">
        <v>0.29701653122901917</v>
      </c>
      <c r="K68" s="26">
        <v>0.5945630669593811</v>
      </c>
      <c r="P68" s="554"/>
      <c r="Q68" s="555"/>
      <c r="R68" s="555"/>
      <c r="S68" s="555"/>
      <c r="T68" s="555"/>
      <c r="U68" s="555"/>
      <c r="V68" s="555"/>
      <c r="W68" s="555"/>
      <c r="X68" s="555"/>
      <c r="Y68" s="555"/>
      <c r="Z68" s="556"/>
      <c r="AB68" s="66"/>
      <c r="AC68" s="67"/>
      <c r="AD68" s="67"/>
      <c r="AE68" s="67"/>
      <c r="AF68" s="68"/>
    </row>
    <row r="69" spans="1:34" ht="28.2" thickBot="1" x14ac:dyDescent="0.35">
      <c r="A69" s="92">
        <v>2017</v>
      </c>
      <c r="B69" s="24">
        <v>0.48451203107833862</v>
      </c>
      <c r="C69" s="25">
        <v>0.39212659001350403</v>
      </c>
      <c r="D69" s="25">
        <v>0.65997731685638428</v>
      </c>
      <c r="E69" s="25">
        <v>0.38555583357810974</v>
      </c>
      <c r="F69" s="25">
        <v>0.18549998104572296</v>
      </c>
      <c r="G69" s="25">
        <v>0.49153763055801392</v>
      </c>
      <c r="H69" s="25">
        <v>0.47473031282424927</v>
      </c>
      <c r="I69" s="25">
        <v>0.72508198022842407</v>
      </c>
      <c r="J69" s="25">
        <v>0.29701653122901917</v>
      </c>
      <c r="K69" s="26">
        <v>0.5945630669593811</v>
      </c>
      <c r="P69" s="581" t="s">
        <v>106</v>
      </c>
      <c r="Q69" s="79" t="s">
        <v>107</v>
      </c>
      <c r="R69" s="89">
        <v>70.8</v>
      </c>
      <c r="S69" s="89">
        <v>59.8</v>
      </c>
      <c r="T69" s="89">
        <v>84.3</v>
      </c>
      <c r="U69" s="71">
        <v>3.0000000000000001E-3</v>
      </c>
      <c r="V69" s="70">
        <v>1E-3</v>
      </c>
      <c r="W69" s="70">
        <v>0.01</v>
      </c>
      <c r="X69" s="71">
        <v>5.9999999999999995E-4</v>
      </c>
      <c r="Y69" s="70">
        <v>2.0000000000000001E-4</v>
      </c>
      <c r="Z69" s="70">
        <v>2E-3</v>
      </c>
      <c r="AB69" s="90" t="s">
        <v>106</v>
      </c>
      <c r="AC69" s="79" t="s">
        <v>107</v>
      </c>
      <c r="AD69" s="89">
        <v>27</v>
      </c>
      <c r="AE69" s="89">
        <v>13.6</v>
      </c>
      <c r="AF69" s="89">
        <v>54</v>
      </c>
    </row>
    <row r="70" spans="1:34" ht="28.2" thickBot="1" x14ac:dyDescent="0.35">
      <c r="A70" s="92">
        <v>2018</v>
      </c>
      <c r="B70" s="24">
        <v>0.48451203107833862</v>
      </c>
      <c r="C70" s="25">
        <v>0.39212659001350403</v>
      </c>
      <c r="D70" s="25">
        <v>0.65997731685638428</v>
      </c>
      <c r="E70" s="25">
        <v>0.38555583357810974</v>
      </c>
      <c r="F70" s="25">
        <v>0.18549998104572296</v>
      </c>
      <c r="G70" s="25">
        <v>0.49153763055801392</v>
      </c>
      <c r="H70" s="25">
        <v>0.47473031282424927</v>
      </c>
      <c r="I70" s="25">
        <v>0.72508198022842407</v>
      </c>
      <c r="J70" s="25">
        <v>0.29701653122901917</v>
      </c>
      <c r="K70" s="26">
        <v>0.5945630669593811</v>
      </c>
      <c r="P70" s="582"/>
      <c r="Q70" s="79" t="s">
        <v>109</v>
      </c>
      <c r="R70" s="75">
        <v>79.599999999999994</v>
      </c>
      <c r="S70" s="75">
        <v>67.099999999999994</v>
      </c>
      <c r="T70" s="75">
        <v>95.3</v>
      </c>
      <c r="U70" s="71">
        <v>3.0000000000000001E-3</v>
      </c>
      <c r="V70" s="70">
        <v>1E-3</v>
      </c>
      <c r="W70" s="70">
        <v>0.01</v>
      </c>
      <c r="X70" s="71">
        <v>5.9999999999999995E-4</v>
      </c>
      <c r="Y70" s="70">
        <v>2.0000000000000001E-4</v>
      </c>
      <c r="Z70" s="70">
        <v>2E-3</v>
      </c>
      <c r="AB70" s="79"/>
      <c r="AC70" s="79" t="s">
        <v>109</v>
      </c>
      <c r="AD70" s="75">
        <v>27.4</v>
      </c>
      <c r="AE70" s="75">
        <v>13.8</v>
      </c>
      <c r="AF70" s="75">
        <v>54</v>
      </c>
    </row>
    <row r="71" spans="1:34" ht="16.2" thickBot="1" x14ac:dyDescent="0.35">
      <c r="A71" s="92">
        <v>2019</v>
      </c>
      <c r="B71" s="24">
        <v>0.48451203107833862</v>
      </c>
      <c r="C71" s="25">
        <v>0.39212659001350403</v>
      </c>
      <c r="D71" s="25">
        <v>0.65997731685638428</v>
      </c>
      <c r="E71" s="25">
        <v>0.38555583357810974</v>
      </c>
      <c r="F71" s="25">
        <v>0.18549998104572296</v>
      </c>
      <c r="G71" s="25">
        <v>0.49153763055801392</v>
      </c>
      <c r="H71" s="25">
        <v>0.47473031282424927</v>
      </c>
      <c r="I71" s="25">
        <v>0.72508198022842407</v>
      </c>
      <c r="J71" s="25">
        <v>0.29701653122901917</v>
      </c>
      <c r="K71" s="26">
        <v>0.5945630669593811</v>
      </c>
      <c r="P71" s="559" t="s">
        <v>112</v>
      </c>
      <c r="Q71" s="560"/>
      <c r="R71" s="75">
        <v>106</v>
      </c>
      <c r="S71" s="75">
        <v>100</v>
      </c>
      <c r="T71" s="75">
        <v>108</v>
      </c>
      <c r="U71" s="71">
        <v>1E-3</v>
      </c>
      <c r="V71" s="70">
        <v>2.9999999999999997E-4</v>
      </c>
      <c r="W71" s="70">
        <v>3.0000000000000001E-3</v>
      </c>
      <c r="X71" s="71">
        <v>1.5E-3</v>
      </c>
      <c r="Y71" s="70">
        <v>5.0000000000000001E-4</v>
      </c>
      <c r="Z71" s="70">
        <v>5.0000000000000001E-3</v>
      </c>
      <c r="AB71" s="76" t="s">
        <v>112</v>
      </c>
      <c r="AC71" s="77"/>
      <c r="AD71" s="75">
        <v>9.76</v>
      </c>
      <c r="AE71" s="75">
        <v>7.8</v>
      </c>
      <c r="AF71" s="75">
        <v>12.5</v>
      </c>
    </row>
    <row r="72" spans="1:34" ht="28.2" thickBot="1" x14ac:dyDescent="0.35">
      <c r="A72" s="92">
        <v>2020</v>
      </c>
      <c r="B72" s="24">
        <v>0.48451203107833862</v>
      </c>
      <c r="C72" s="25">
        <v>0.39212659001350403</v>
      </c>
      <c r="D72" s="25">
        <v>0.65997731685638428</v>
      </c>
      <c r="E72" s="25">
        <v>0.38555583357810974</v>
      </c>
      <c r="F72" s="25">
        <v>0.18549998104572296</v>
      </c>
      <c r="G72" s="25">
        <v>0.49153763055801392</v>
      </c>
      <c r="H72" s="25">
        <v>0.47473031282424927</v>
      </c>
      <c r="I72" s="25">
        <v>0.72508198022842407</v>
      </c>
      <c r="J72" s="25">
        <v>0.29701653122901917</v>
      </c>
      <c r="K72" s="26">
        <v>0.5945630669593811</v>
      </c>
      <c r="P72" s="583" t="s">
        <v>77</v>
      </c>
      <c r="Q72" s="79" t="s">
        <v>114</v>
      </c>
      <c r="R72" s="75">
        <v>112</v>
      </c>
      <c r="S72" s="75">
        <v>95</v>
      </c>
      <c r="T72" s="75">
        <v>132</v>
      </c>
      <c r="U72" s="71">
        <v>0.03</v>
      </c>
      <c r="V72" s="70">
        <v>0.01</v>
      </c>
      <c r="W72" s="70">
        <v>0.1</v>
      </c>
      <c r="X72" s="71">
        <v>4.0000000000000001E-3</v>
      </c>
      <c r="Y72" s="70">
        <v>1.5E-3</v>
      </c>
      <c r="Z72" s="70">
        <v>1.4999999999999999E-2</v>
      </c>
      <c r="AB72" s="80" t="s">
        <v>77</v>
      </c>
      <c r="AC72" s="79" t="s">
        <v>114</v>
      </c>
      <c r="AD72" s="75">
        <v>15.6</v>
      </c>
      <c r="AE72" s="75">
        <v>7.9</v>
      </c>
      <c r="AF72" s="75">
        <v>31</v>
      </c>
      <c r="AG72" s="284">
        <f>8660/10^6*'[2]Variable Meta-analysis'!$R$8*1000/'[2]Variable Meta-analysis'!$T$33</f>
        <v>20.143143518994407</v>
      </c>
      <c r="AH72" s="285" t="s">
        <v>287</v>
      </c>
    </row>
    <row r="73" spans="1:34" ht="16.2" thickBot="1" x14ac:dyDescent="0.35">
      <c r="A73" s="92">
        <v>2021</v>
      </c>
      <c r="B73" s="24">
        <v>0.48451203107833862</v>
      </c>
      <c r="C73" s="25">
        <v>0.39212659001350403</v>
      </c>
      <c r="D73" s="25">
        <v>0.65997731685638428</v>
      </c>
      <c r="E73" s="25">
        <v>0.38555583357810974</v>
      </c>
      <c r="F73" s="25">
        <v>0.18549998104572296</v>
      </c>
      <c r="G73" s="25">
        <v>0.49153763055801392</v>
      </c>
      <c r="H73" s="25">
        <v>0.47473031282424927</v>
      </c>
      <c r="I73" s="25">
        <v>0.72508198022842407</v>
      </c>
      <c r="J73" s="25">
        <v>0.29701653122901917</v>
      </c>
      <c r="K73" s="26">
        <v>0.5945630669593811</v>
      </c>
      <c r="P73" s="584"/>
      <c r="Q73" s="79" t="s">
        <v>115</v>
      </c>
      <c r="R73" s="75">
        <v>112</v>
      </c>
      <c r="S73" s="75">
        <v>95</v>
      </c>
      <c r="T73" s="75">
        <v>132</v>
      </c>
      <c r="U73" s="71">
        <v>0.2</v>
      </c>
      <c r="V73" s="70">
        <v>7.0000000000000007E-2</v>
      </c>
      <c r="W73" s="70">
        <v>0.6</v>
      </c>
      <c r="X73" s="71">
        <v>4.0000000000000001E-3</v>
      </c>
      <c r="Y73" s="70">
        <v>1.5E-3</v>
      </c>
      <c r="Z73" s="70">
        <v>1.4999999999999999E-2</v>
      </c>
      <c r="AB73" s="82"/>
      <c r="AC73" s="79" t="s">
        <v>115</v>
      </c>
      <c r="AD73" s="75">
        <v>29.5</v>
      </c>
      <c r="AE73" s="75">
        <v>14.9</v>
      </c>
      <c r="AF73" s="75">
        <v>58</v>
      </c>
    </row>
    <row r="74" spans="1:34" ht="28.2" thickBot="1" x14ac:dyDescent="0.35">
      <c r="A74" s="92">
        <v>2022</v>
      </c>
      <c r="B74" s="24">
        <v>0.48451203107833862</v>
      </c>
      <c r="C74" s="25">
        <v>0.39212659001350403</v>
      </c>
      <c r="D74" s="25">
        <v>0.65997731685638428</v>
      </c>
      <c r="E74" s="25">
        <v>0.38555583357810974</v>
      </c>
      <c r="F74" s="25">
        <v>0.18549998104572296</v>
      </c>
      <c r="G74" s="25">
        <v>0.49153763055801392</v>
      </c>
      <c r="H74" s="25">
        <v>0.47473031282424927</v>
      </c>
      <c r="I74" s="25">
        <v>0.72508198022842407</v>
      </c>
      <c r="J74" s="25">
        <v>0.29701653122901917</v>
      </c>
      <c r="K74" s="26">
        <v>0.5945630669593811</v>
      </c>
      <c r="P74" s="584"/>
      <c r="Q74" s="79" t="s">
        <v>116</v>
      </c>
      <c r="R74" s="75">
        <v>100</v>
      </c>
      <c r="S74" s="75">
        <v>84.7</v>
      </c>
      <c r="T74" s="75">
        <v>117</v>
      </c>
      <c r="U74" s="71">
        <v>0.03</v>
      </c>
      <c r="V74" s="70">
        <v>0.01</v>
      </c>
      <c r="W74" s="70">
        <v>0.1</v>
      </c>
      <c r="X74" s="71">
        <v>4.0000000000000001E-3</v>
      </c>
      <c r="Y74" s="70">
        <v>1.5E-3</v>
      </c>
      <c r="Z74" s="70">
        <v>1.4999999999999999E-2</v>
      </c>
      <c r="AB74" s="82"/>
      <c r="AC74" s="79" t="s">
        <v>116</v>
      </c>
      <c r="AD74" s="75">
        <v>11.6</v>
      </c>
      <c r="AE74" s="75">
        <v>5.9</v>
      </c>
      <c r="AF74" s="75">
        <v>23</v>
      </c>
    </row>
    <row r="75" spans="1:34" ht="28.2" thickBot="1" x14ac:dyDescent="0.35">
      <c r="A75" s="92">
        <v>2023</v>
      </c>
      <c r="B75" s="24">
        <v>0.48451203107833862</v>
      </c>
      <c r="C75" s="25">
        <v>0.39212659001350403</v>
      </c>
      <c r="D75" s="25">
        <v>0.65997731685638428</v>
      </c>
      <c r="E75" s="25">
        <v>0.38555583357810974</v>
      </c>
      <c r="F75" s="25">
        <v>0.18549998104572296</v>
      </c>
      <c r="G75" s="25">
        <v>0.49153763055801392</v>
      </c>
      <c r="H75" s="25">
        <v>0.47473031282424927</v>
      </c>
      <c r="I75" s="25">
        <v>0.72508198022842407</v>
      </c>
      <c r="J75" s="25">
        <v>0.29701653122901917</v>
      </c>
      <c r="K75" s="26">
        <v>0.5945630669593811</v>
      </c>
      <c r="P75" s="582"/>
      <c r="Q75" s="79" t="s">
        <v>118</v>
      </c>
      <c r="R75" s="75">
        <v>95.3</v>
      </c>
      <c r="S75" s="75">
        <v>80.7</v>
      </c>
      <c r="T75" s="75">
        <v>110</v>
      </c>
      <c r="U75" s="71">
        <v>3.0000000000000001E-3</v>
      </c>
      <c r="V75" s="70">
        <v>1E-3</v>
      </c>
      <c r="W75" s="70">
        <v>1.7999999999999999E-2</v>
      </c>
      <c r="X75" s="71">
        <v>2E-3</v>
      </c>
      <c r="Y75" s="70">
        <v>1E-3</v>
      </c>
      <c r="Z75" s="70">
        <v>2.1000000000000001E-2</v>
      </c>
      <c r="AB75" s="79"/>
      <c r="AC75" s="79" t="s">
        <v>118</v>
      </c>
      <c r="AD75" s="75">
        <v>11.8</v>
      </c>
      <c r="AE75" s="75">
        <v>5.9</v>
      </c>
      <c r="AF75" s="75">
        <v>23</v>
      </c>
    </row>
    <row r="76" spans="1:34" ht="16.2" thickBot="1" x14ac:dyDescent="0.35">
      <c r="A76" s="92">
        <v>2024</v>
      </c>
      <c r="B76" s="24">
        <v>0.48451203107833862</v>
      </c>
      <c r="C76" s="25">
        <v>0.39212659001350403</v>
      </c>
      <c r="D76" s="25">
        <v>0.65997731685638428</v>
      </c>
      <c r="E76" s="25">
        <v>0.38555583357810974</v>
      </c>
      <c r="F76" s="25">
        <v>0.18549998104572296</v>
      </c>
      <c r="G76" s="25">
        <v>0.49153763055801392</v>
      </c>
      <c r="H76" s="25">
        <v>0.47473031282424927</v>
      </c>
      <c r="I76" s="25">
        <v>0.72508198022842407</v>
      </c>
      <c r="J76" s="25">
        <v>0.29701653122901917</v>
      </c>
      <c r="K76" s="26">
        <v>0.5945630669593811</v>
      </c>
      <c r="P76" s="583" t="s">
        <v>119</v>
      </c>
      <c r="Q76" s="79" t="s">
        <v>120</v>
      </c>
      <c r="R76" s="75">
        <v>54.6</v>
      </c>
      <c r="S76" s="75">
        <v>46.2</v>
      </c>
      <c r="T76" s="75">
        <v>66</v>
      </c>
      <c r="U76" s="71">
        <v>1E-3</v>
      </c>
      <c r="V76" s="70">
        <v>2.9999999999999997E-4</v>
      </c>
      <c r="W76" s="70">
        <v>3.0000000000000001E-3</v>
      </c>
      <c r="X76" s="72">
        <v>1E-4</v>
      </c>
      <c r="Y76" s="70">
        <v>2.9999999999999997E-5</v>
      </c>
      <c r="Z76" s="70">
        <v>2.9999999999999997E-4</v>
      </c>
      <c r="AB76" s="80" t="s">
        <v>119</v>
      </c>
      <c r="AC76" s="79" t="s">
        <v>120</v>
      </c>
      <c r="AD76" s="75">
        <v>50.4</v>
      </c>
      <c r="AE76" s="75">
        <v>25.4</v>
      </c>
      <c r="AF76" s="75">
        <v>100</v>
      </c>
    </row>
    <row r="77" spans="1:34" ht="16.2" thickBot="1" x14ac:dyDescent="0.35">
      <c r="A77" s="92">
        <v>2025</v>
      </c>
      <c r="B77" s="24">
        <v>0.48451203107833862</v>
      </c>
      <c r="C77" s="25">
        <v>0.39212659001350403</v>
      </c>
      <c r="D77" s="25">
        <v>0.65997731685638428</v>
      </c>
      <c r="E77" s="25">
        <v>0.38555583357810974</v>
      </c>
      <c r="F77" s="25">
        <v>0.18549998104572296</v>
      </c>
      <c r="G77" s="25">
        <v>0.49153763055801392</v>
      </c>
      <c r="H77" s="25">
        <v>0.47473031282424927</v>
      </c>
      <c r="I77" s="25">
        <v>0.72508198022842407</v>
      </c>
      <c r="J77" s="25">
        <v>0.29701653122901917</v>
      </c>
      <c r="K77" s="26">
        <v>0.5945630669593811</v>
      </c>
      <c r="P77" s="584"/>
      <c r="Q77" s="79" t="s">
        <v>121</v>
      </c>
      <c r="R77" s="75">
        <v>54.6</v>
      </c>
      <c r="S77" s="75">
        <v>46.2</v>
      </c>
      <c r="T77" s="75">
        <v>66</v>
      </c>
      <c r="U77" s="71">
        <v>1E-3</v>
      </c>
      <c r="V77" s="70">
        <v>2.9999999999999997E-4</v>
      </c>
      <c r="W77" s="70">
        <v>3.0000000000000001E-3</v>
      </c>
      <c r="X77" s="72">
        <v>1E-4</v>
      </c>
      <c r="Y77" s="70">
        <v>2.9999999999999997E-5</v>
      </c>
      <c r="Z77" s="70">
        <v>2.9999999999999997E-4</v>
      </c>
      <c r="AB77" s="82"/>
      <c r="AC77" s="79" t="s">
        <v>121</v>
      </c>
      <c r="AD77" s="75">
        <v>50.4</v>
      </c>
      <c r="AE77" s="75">
        <v>25.4</v>
      </c>
      <c r="AF77" s="75">
        <v>100</v>
      </c>
    </row>
    <row r="78" spans="1:34" ht="16.2" thickBot="1" x14ac:dyDescent="0.35">
      <c r="A78" s="92">
        <v>2026</v>
      </c>
      <c r="B78" s="24">
        <v>0.48451203107833862</v>
      </c>
      <c r="C78" s="25">
        <v>0.39212659001350403</v>
      </c>
      <c r="D78" s="25">
        <v>0.65997731685638428</v>
      </c>
      <c r="E78" s="25">
        <v>0.38555583357810974</v>
      </c>
      <c r="F78" s="25">
        <v>0.18549998104572296</v>
      </c>
      <c r="G78" s="25">
        <v>0.49153763055801392</v>
      </c>
      <c r="H78" s="25">
        <v>0.47473031282424927</v>
      </c>
      <c r="I78" s="25">
        <v>0.72508198022842407</v>
      </c>
      <c r="J78" s="25">
        <v>0.29701653122901917</v>
      </c>
      <c r="K78" s="26">
        <v>0.5945630669593811</v>
      </c>
      <c r="P78" s="582"/>
      <c r="Q78" s="79" t="s">
        <v>122</v>
      </c>
      <c r="R78" s="75">
        <v>54.6</v>
      </c>
      <c r="S78" s="75">
        <v>46.2</v>
      </c>
      <c r="T78" s="75">
        <v>66</v>
      </c>
      <c r="U78" s="71">
        <v>1E-3</v>
      </c>
      <c r="V78" s="70">
        <v>2.9999999999999997E-4</v>
      </c>
      <c r="W78" s="70">
        <v>3.0000000000000001E-3</v>
      </c>
      <c r="X78" s="72">
        <v>1E-4</v>
      </c>
      <c r="Y78" s="70">
        <v>2.9999999999999997E-5</v>
      </c>
      <c r="Z78" s="70">
        <v>2.9999999999999997E-4</v>
      </c>
      <c r="AB78" s="79"/>
      <c r="AC78" s="79" t="s">
        <v>122</v>
      </c>
      <c r="AD78" s="75">
        <v>50.4</v>
      </c>
      <c r="AE78" s="75">
        <v>25.4</v>
      </c>
      <c r="AF78" s="75">
        <v>100</v>
      </c>
    </row>
    <row r="79" spans="1:34" ht="16.2" thickBot="1" x14ac:dyDescent="0.35">
      <c r="A79" s="92">
        <v>2027</v>
      </c>
      <c r="B79" s="24">
        <v>0.48451203107833862</v>
      </c>
      <c r="C79" s="25">
        <v>0.39212659001350403</v>
      </c>
      <c r="D79" s="25">
        <v>0.65997731685638428</v>
      </c>
      <c r="E79" s="25">
        <v>0.38555583357810974</v>
      </c>
      <c r="F79" s="25">
        <v>0.18549998104572296</v>
      </c>
      <c r="G79" s="25">
        <v>0.49153763055801392</v>
      </c>
      <c r="H79" s="25">
        <v>0.47473031282424927</v>
      </c>
      <c r="I79" s="25">
        <v>0.72508198022842407</v>
      </c>
      <c r="J79" s="25">
        <v>0.29701653122901917</v>
      </c>
      <c r="K79" s="26">
        <v>0.5945630669593811</v>
      </c>
      <c r="P79" s="559" t="s">
        <v>123</v>
      </c>
      <c r="Q79" s="560"/>
      <c r="R79" s="75">
        <v>91.7</v>
      </c>
      <c r="S79" s="75">
        <v>73.3</v>
      </c>
      <c r="T79" s="75">
        <v>121</v>
      </c>
      <c r="U79" s="71">
        <v>0.03</v>
      </c>
      <c r="V79" s="70">
        <v>0.01</v>
      </c>
      <c r="W79" s="70">
        <v>0.1</v>
      </c>
      <c r="X79" s="71">
        <v>4.0000000000000001E-3</v>
      </c>
      <c r="Y79" s="70">
        <v>1.5E-3</v>
      </c>
      <c r="Z79" s="70">
        <v>1.4999999999999999E-2</v>
      </c>
      <c r="AB79" s="76" t="s">
        <v>123</v>
      </c>
      <c r="AC79" s="77"/>
      <c r="AD79" s="75">
        <v>10</v>
      </c>
      <c r="AE79" s="75">
        <v>7</v>
      </c>
      <c r="AF79" s="75">
        <v>18</v>
      </c>
    </row>
    <row r="80" spans="1:34" ht="16.2" thickBot="1" x14ac:dyDescent="0.35">
      <c r="A80" s="92">
        <v>2028</v>
      </c>
      <c r="B80" s="24">
        <v>0.48451203107833862</v>
      </c>
      <c r="C80" s="25">
        <v>0.39212659001350403</v>
      </c>
      <c r="D80" s="25">
        <v>0.65997731685638428</v>
      </c>
      <c r="E80" s="25">
        <v>0.38555583357810974</v>
      </c>
      <c r="F80" s="25">
        <v>0.18549998104572296</v>
      </c>
      <c r="G80" s="25">
        <v>0.49153763055801392</v>
      </c>
      <c r="H80" s="25">
        <v>0.47473031282424927</v>
      </c>
      <c r="I80" s="25">
        <v>0.72508198022842407</v>
      </c>
      <c r="J80" s="25">
        <v>0.29701653122901917</v>
      </c>
      <c r="K80" s="26">
        <v>0.5945630669593811</v>
      </c>
      <c r="P80" s="579" t="s">
        <v>124</v>
      </c>
      <c r="Q80" s="580"/>
      <c r="R80" s="75">
        <v>100</v>
      </c>
      <c r="S80" s="75">
        <v>84.7</v>
      </c>
      <c r="T80" s="75">
        <v>117</v>
      </c>
      <c r="U80" s="71">
        <v>0.03</v>
      </c>
      <c r="V80" s="70">
        <v>0.01</v>
      </c>
      <c r="W80" s="70">
        <v>0.1</v>
      </c>
      <c r="X80" s="71">
        <v>4.0000000000000001E-3</v>
      </c>
      <c r="Y80" s="70">
        <v>1.5E-3</v>
      </c>
      <c r="Z80" s="70">
        <v>1.4999999999999999E-2</v>
      </c>
      <c r="AB80" s="85" t="s">
        <v>124</v>
      </c>
      <c r="AC80" s="86"/>
      <c r="AD80" s="75">
        <v>11.6</v>
      </c>
      <c r="AE80" s="75">
        <v>6.8</v>
      </c>
      <c r="AF80" s="75">
        <v>18</v>
      </c>
    </row>
    <row r="81" spans="1:34" x14ac:dyDescent="0.3">
      <c r="A81" s="92">
        <v>2029</v>
      </c>
      <c r="B81" s="24">
        <v>0.48451203107833862</v>
      </c>
      <c r="C81" s="25">
        <v>0.39212659001350403</v>
      </c>
      <c r="D81" s="25">
        <v>0.65997731685638428</v>
      </c>
      <c r="E81" s="25">
        <v>0.38555583357810974</v>
      </c>
      <c r="F81" s="25">
        <v>0.18549998104572296</v>
      </c>
      <c r="G81" s="25">
        <v>0.49153763055801392</v>
      </c>
      <c r="H81" s="25">
        <v>0.47473031282424927</v>
      </c>
      <c r="I81" s="25">
        <v>0.72508198022842407</v>
      </c>
      <c r="J81" s="25">
        <v>0.29701653122901917</v>
      </c>
      <c r="K81" s="26">
        <v>0.5945630669593811</v>
      </c>
      <c r="P81" s="567" t="s">
        <v>125</v>
      </c>
      <c r="Q81" s="568"/>
      <c r="R81" s="568"/>
      <c r="S81" s="568"/>
      <c r="T81" s="568"/>
      <c r="U81" s="568"/>
      <c r="V81" s="568"/>
      <c r="W81" s="568"/>
      <c r="X81" s="568"/>
      <c r="Y81" s="568"/>
      <c r="Z81" s="569"/>
      <c r="AB81" s="94" t="s">
        <v>126</v>
      </c>
      <c r="AC81" s="95"/>
      <c r="AD81" s="95"/>
      <c r="AE81" s="95"/>
      <c r="AF81" s="96"/>
    </row>
    <row r="82" spans="1:34" ht="16.2" thickBot="1" x14ac:dyDescent="0.35">
      <c r="A82" s="92">
        <v>2030</v>
      </c>
      <c r="B82" s="24">
        <v>0.48451203107833862</v>
      </c>
      <c r="C82" s="25">
        <v>0.39212659001350403</v>
      </c>
      <c r="D82" s="25">
        <v>0.65997731685638428</v>
      </c>
      <c r="E82" s="25">
        <v>0.38555583357810974</v>
      </c>
      <c r="F82" s="25">
        <v>0.18549998104572296</v>
      </c>
      <c r="G82" s="25">
        <v>0.49153763055801392</v>
      </c>
      <c r="H82" s="25">
        <v>0.47473031282424927</v>
      </c>
      <c r="I82" s="25">
        <v>0.72508198022842407</v>
      </c>
      <c r="J82" s="25">
        <v>0.29701653122901917</v>
      </c>
      <c r="K82" s="26">
        <v>0.5945630669593811</v>
      </c>
      <c r="P82" s="570"/>
      <c r="Q82" s="571"/>
      <c r="R82" s="571"/>
      <c r="S82" s="571"/>
      <c r="T82" s="571"/>
      <c r="U82" s="571"/>
      <c r="V82" s="571"/>
      <c r="W82" s="571"/>
      <c r="X82" s="571"/>
      <c r="Y82" s="571"/>
      <c r="Z82" s="572"/>
      <c r="AB82" s="97"/>
      <c r="AC82" s="98"/>
      <c r="AD82" s="98"/>
      <c r="AE82" s="98"/>
      <c r="AF82" s="99"/>
    </row>
    <row r="83" spans="1:34" x14ac:dyDescent="0.3">
      <c r="A83" s="92">
        <v>2031</v>
      </c>
      <c r="B83" s="24">
        <v>0.48451203107833862</v>
      </c>
      <c r="C83" s="25">
        <v>0.39212659001350403</v>
      </c>
      <c r="D83" s="25">
        <v>0.65997731685638428</v>
      </c>
      <c r="E83" s="25">
        <v>0.38555583357810974</v>
      </c>
      <c r="F83" s="25">
        <v>0.18549998104572296</v>
      </c>
      <c r="G83" s="25">
        <v>0.49153763055801392</v>
      </c>
      <c r="H83" s="25">
        <v>0.47473031282424927</v>
      </c>
      <c r="I83" s="25">
        <v>0.72508198022842407</v>
      </c>
      <c r="J83" s="25">
        <v>0.29701653122901917</v>
      </c>
      <c r="K83" s="26">
        <v>0.5945630669593811</v>
      </c>
      <c r="P83" s="570"/>
      <c r="Q83" s="571"/>
      <c r="R83" s="571"/>
      <c r="S83" s="571"/>
      <c r="T83" s="571"/>
      <c r="U83" s="571"/>
      <c r="V83" s="571"/>
      <c r="W83" s="571"/>
      <c r="X83" s="571"/>
      <c r="Y83" s="571"/>
      <c r="Z83" s="572"/>
      <c r="AB83" s="11" t="s">
        <v>127</v>
      </c>
      <c r="AC83" s="11"/>
    </row>
    <row r="84" spans="1:34" x14ac:dyDescent="0.3">
      <c r="A84" s="92">
        <v>2032</v>
      </c>
      <c r="B84" s="24">
        <v>0.48451203107833862</v>
      </c>
      <c r="C84" s="25">
        <v>0.39212659001350403</v>
      </c>
      <c r="D84" s="25">
        <v>0.65997731685638428</v>
      </c>
      <c r="E84" s="25">
        <v>0.38555583357810974</v>
      </c>
      <c r="F84" s="25">
        <v>0.18549998104572296</v>
      </c>
      <c r="G84" s="25">
        <v>0.49153763055801392</v>
      </c>
      <c r="H84" s="25">
        <v>0.47473031282424927</v>
      </c>
      <c r="I84" s="25">
        <v>0.72508198022842407</v>
      </c>
      <c r="J84" s="25">
        <v>0.29701653122901917</v>
      </c>
      <c r="K84" s="26">
        <v>0.5945630669593811</v>
      </c>
      <c r="P84" s="570"/>
      <c r="Q84" s="571"/>
      <c r="R84" s="571"/>
      <c r="S84" s="571"/>
      <c r="T84" s="571"/>
      <c r="U84" s="571"/>
      <c r="V84" s="571"/>
      <c r="W84" s="571"/>
      <c r="X84" s="571"/>
      <c r="Y84" s="571"/>
      <c r="Z84" s="572"/>
    </row>
    <row r="85" spans="1:34" ht="16.2" thickBot="1" x14ac:dyDescent="0.35">
      <c r="A85" s="92">
        <v>2033</v>
      </c>
      <c r="B85" s="24">
        <v>0.48451203107833862</v>
      </c>
      <c r="C85" s="25">
        <v>0.39212659001350403</v>
      </c>
      <c r="D85" s="25">
        <v>0.65997731685638428</v>
      </c>
      <c r="E85" s="25">
        <v>0.38555583357810974</v>
      </c>
      <c r="F85" s="25">
        <v>0.18549998104572296</v>
      </c>
      <c r="G85" s="25">
        <v>0.49153763055801392</v>
      </c>
      <c r="H85" s="25">
        <v>0.47473031282424927</v>
      </c>
      <c r="I85" s="25">
        <v>0.72508198022842407</v>
      </c>
      <c r="J85" s="25">
        <v>0.29701653122901917</v>
      </c>
      <c r="K85" s="26">
        <v>0.5945630669593811</v>
      </c>
      <c r="P85" s="573"/>
      <c r="Q85" s="574"/>
      <c r="R85" s="574"/>
      <c r="S85" s="574"/>
      <c r="T85" s="574"/>
      <c r="U85" s="574"/>
      <c r="V85" s="574"/>
      <c r="W85" s="574"/>
      <c r="X85" s="574"/>
      <c r="Y85" s="574"/>
      <c r="Z85" s="575"/>
    </row>
    <row r="86" spans="1:34" ht="17.399999999999999" x14ac:dyDescent="0.3">
      <c r="A86" s="92">
        <v>2034</v>
      </c>
      <c r="B86" s="24">
        <v>0.48451203107833862</v>
      </c>
      <c r="C86" s="25">
        <v>0.39212659001350403</v>
      </c>
      <c r="D86" s="25">
        <v>0.65997731685638428</v>
      </c>
      <c r="E86" s="25">
        <v>0.38555583357810974</v>
      </c>
      <c r="F86" s="25">
        <v>0.18549998104572296</v>
      </c>
      <c r="G86" s="25">
        <v>0.49153763055801392</v>
      </c>
      <c r="H86" s="25">
        <v>0.47473031282424927</v>
      </c>
      <c r="I86" s="25">
        <v>0.72508198022842407</v>
      </c>
      <c r="J86" s="25">
        <v>0.29701653122901917</v>
      </c>
      <c r="K86" s="26">
        <v>0.5945630669593811</v>
      </c>
      <c r="P86" s="11" t="s">
        <v>128</v>
      </c>
      <c r="Q86" s="13"/>
      <c r="R86" s="13"/>
      <c r="S86" s="13"/>
      <c r="T86" s="13"/>
      <c r="AB86" s="577" t="s">
        <v>129</v>
      </c>
      <c r="AC86" s="577"/>
      <c r="AD86" s="577"/>
      <c r="AE86" s="577"/>
      <c r="AF86" s="577"/>
    </row>
    <row r="87" spans="1:34" x14ac:dyDescent="0.3">
      <c r="A87" s="92">
        <v>2035</v>
      </c>
      <c r="B87" s="24">
        <v>0.48451203107833862</v>
      </c>
      <c r="C87" s="25">
        <v>0.39212659001350403</v>
      </c>
      <c r="D87" s="25">
        <v>0.65997731685638428</v>
      </c>
      <c r="E87" s="25">
        <v>0.38555583357810974</v>
      </c>
      <c r="F87" s="25">
        <v>0.18549998104572296</v>
      </c>
      <c r="G87" s="25">
        <v>0.49153763055801392</v>
      </c>
      <c r="H87" s="25">
        <v>0.47473031282424927</v>
      </c>
      <c r="I87" s="25">
        <v>0.72508198022842407</v>
      </c>
      <c r="J87" s="25">
        <v>0.29701653122901917</v>
      </c>
      <c r="K87" s="26">
        <v>0.5945630669593811</v>
      </c>
      <c r="AB87" s="100" t="s">
        <v>23</v>
      </c>
      <c r="AC87" s="101">
        <v>15.3</v>
      </c>
      <c r="AD87" s="29"/>
      <c r="AE87" s="29"/>
      <c r="AF87" s="29"/>
    </row>
    <row r="88" spans="1:34" x14ac:dyDescent="0.3">
      <c r="A88" s="92">
        <v>2036</v>
      </c>
      <c r="B88" s="24">
        <v>0.48451203107833862</v>
      </c>
      <c r="C88" s="25">
        <v>0.39212659001350403</v>
      </c>
      <c r="D88" s="25">
        <v>0.65997731685638428</v>
      </c>
      <c r="E88" s="25">
        <v>0.38555583357810974</v>
      </c>
      <c r="F88" s="25">
        <v>0.18549998104572296</v>
      </c>
      <c r="G88" s="25">
        <v>0.49153763055801392</v>
      </c>
      <c r="H88" s="25">
        <v>0.47473031282424927</v>
      </c>
      <c r="I88" s="25">
        <v>0.72508198022842407</v>
      </c>
      <c r="J88" s="25">
        <v>0.29701653122901917</v>
      </c>
      <c r="K88" s="26">
        <v>0.5945630669593811</v>
      </c>
      <c r="AB88" s="100" t="s">
        <v>130</v>
      </c>
      <c r="AC88" s="101">
        <v>17.3</v>
      </c>
      <c r="AD88" s="29"/>
      <c r="AE88" s="29"/>
      <c r="AF88" s="29"/>
    </row>
    <row r="89" spans="1:34" ht="16.2" thickBot="1" x14ac:dyDescent="0.35">
      <c r="A89" s="92">
        <v>2037</v>
      </c>
      <c r="B89" s="24">
        <v>0.48451203107833862</v>
      </c>
      <c r="C89" s="25">
        <v>0.39212659001350403</v>
      </c>
      <c r="D89" s="25">
        <v>0.65997731685638428</v>
      </c>
      <c r="E89" s="25">
        <v>0.38555583357810974</v>
      </c>
      <c r="F89" s="25">
        <v>0.18549998104572296</v>
      </c>
      <c r="G89" s="25">
        <v>0.49153763055801392</v>
      </c>
      <c r="H89" s="25">
        <v>0.47473031282424927</v>
      </c>
      <c r="I89" s="25">
        <v>0.72508198022842407</v>
      </c>
      <c r="J89" s="25">
        <v>0.29701653122901917</v>
      </c>
      <c r="K89" s="26">
        <v>0.5945630669593811</v>
      </c>
      <c r="V89" s="578" t="s">
        <v>131</v>
      </c>
      <c r="W89" s="578"/>
      <c r="X89" s="578"/>
      <c r="Y89" s="102"/>
      <c r="Z89" s="102"/>
      <c r="AB89" s="13"/>
      <c r="AC89" s="13"/>
      <c r="AD89" s="13"/>
      <c r="AE89" s="13"/>
      <c r="AF89" s="13"/>
    </row>
    <row r="90" spans="1:34" s="3" customFormat="1" ht="60" x14ac:dyDescent="0.3">
      <c r="A90" s="92">
        <v>2038</v>
      </c>
      <c r="B90" s="24">
        <v>0.48451203107833862</v>
      </c>
      <c r="C90" s="25">
        <v>0.39212659001350403</v>
      </c>
      <c r="D90" s="25">
        <v>0.65997731685638428</v>
      </c>
      <c r="E90" s="25">
        <v>0.38555583357810974</v>
      </c>
      <c r="F90" s="25">
        <v>0.18549998104572296</v>
      </c>
      <c r="G90" s="25">
        <v>0.49153763055801392</v>
      </c>
      <c r="H90" s="25">
        <v>0.47473031282424927</v>
      </c>
      <c r="I90" s="25">
        <v>0.72508198022842407</v>
      </c>
      <c r="J90" s="25">
        <v>0.29701653122901917</v>
      </c>
      <c r="K90" s="26">
        <v>0.5945630669593811</v>
      </c>
      <c r="L90" s="7"/>
      <c r="M90" s="7"/>
      <c r="N90" s="10"/>
      <c r="O90" s="7"/>
      <c r="P90" s="7"/>
      <c r="Q90" s="7"/>
      <c r="R90" s="7"/>
      <c r="S90" s="7"/>
      <c r="T90" s="7"/>
      <c r="U90" s="7"/>
      <c r="V90" s="103" t="s">
        <v>87</v>
      </c>
      <c r="W90" s="104" t="s">
        <v>132</v>
      </c>
      <c r="X90" s="105" t="s">
        <v>133</v>
      </c>
      <c r="Y90" s="105" t="s">
        <v>134</v>
      </c>
      <c r="Z90" s="105" t="s">
        <v>135</v>
      </c>
      <c r="AA90" s="106" t="s">
        <v>136</v>
      </c>
      <c r="AB90" s="577" t="s">
        <v>137</v>
      </c>
      <c r="AC90" s="577"/>
      <c r="AD90" s="577"/>
      <c r="AE90" s="577"/>
      <c r="AF90" s="577"/>
      <c r="AG90" s="7"/>
      <c r="AH90" s="5"/>
    </row>
    <row r="91" spans="1:34" ht="16.2" thickBot="1" x14ac:dyDescent="0.35">
      <c r="A91" s="92">
        <v>2039</v>
      </c>
      <c r="B91" s="24">
        <v>0.48451203107833862</v>
      </c>
      <c r="C91" s="25">
        <v>0.39212659001350403</v>
      </c>
      <c r="D91" s="25">
        <v>0.65997731685638428</v>
      </c>
      <c r="E91" s="25">
        <v>0.38555583357810974</v>
      </c>
      <c r="F91" s="25">
        <v>0.18549998104572296</v>
      </c>
      <c r="G91" s="25">
        <v>0.49153763055801392</v>
      </c>
      <c r="H91" s="25">
        <v>0.47473031282424927</v>
      </c>
      <c r="I91" s="25">
        <v>0.72508198022842407</v>
      </c>
      <c r="J91" s="25">
        <v>0.29701653122901917</v>
      </c>
      <c r="K91" s="26">
        <v>0.5945630669593811</v>
      </c>
      <c r="V91" s="107"/>
      <c r="W91" s="108" t="s">
        <v>138</v>
      </c>
      <c r="X91" s="109"/>
      <c r="Y91" s="109" t="s">
        <v>139</v>
      </c>
      <c r="Z91" s="109" t="s">
        <v>139</v>
      </c>
      <c r="AB91" s="100" t="s">
        <v>23</v>
      </c>
      <c r="AC91" s="101">
        <v>1</v>
      </c>
      <c r="AD91" s="29"/>
      <c r="AE91" s="29"/>
      <c r="AF91" s="29"/>
    </row>
    <row r="92" spans="1:34" ht="16.2" thickBot="1" x14ac:dyDescent="0.35">
      <c r="A92" s="92">
        <v>2040</v>
      </c>
      <c r="B92" s="24">
        <v>0.48451203107833862</v>
      </c>
      <c r="C92" s="25">
        <v>0.39212659001350403</v>
      </c>
      <c r="D92" s="25">
        <v>0.65997731685638428</v>
      </c>
      <c r="E92" s="25">
        <v>0.38555583357810974</v>
      </c>
      <c r="F92" s="25">
        <v>0.18549998104572296</v>
      </c>
      <c r="G92" s="25">
        <v>0.49153763055801392</v>
      </c>
      <c r="H92" s="25">
        <v>0.47473031282424927</v>
      </c>
      <c r="I92" s="25">
        <v>0.72508198022842407</v>
      </c>
      <c r="J92" s="25">
        <v>0.29701653122901917</v>
      </c>
      <c r="K92" s="26">
        <v>0.5945630669593811</v>
      </c>
      <c r="V92" s="79" t="s">
        <v>140</v>
      </c>
      <c r="W92" s="110">
        <v>0.74070000000000003</v>
      </c>
      <c r="X92" s="110">
        <v>1350</v>
      </c>
      <c r="Y92" s="110">
        <v>47.1</v>
      </c>
      <c r="Z92" s="110">
        <v>44.75</v>
      </c>
    </row>
    <row r="93" spans="1:34" ht="16.2" thickBot="1" x14ac:dyDescent="0.35">
      <c r="A93" s="92">
        <v>2041</v>
      </c>
      <c r="B93" s="24">
        <v>0.48451203107833862</v>
      </c>
      <c r="C93" s="25">
        <v>0.39212659001350403</v>
      </c>
      <c r="D93" s="25">
        <v>0.65997731685638428</v>
      </c>
      <c r="E93" s="25">
        <v>0.38555583357810974</v>
      </c>
      <c r="F93" s="25">
        <v>0.18549998104572296</v>
      </c>
      <c r="G93" s="25">
        <v>0.49153763055801392</v>
      </c>
      <c r="H93" s="25">
        <v>0.47473031282424927</v>
      </c>
      <c r="I93" s="25">
        <v>0.72508198022842407</v>
      </c>
      <c r="J93" s="25">
        <v>0.29701653122901917</v>
      </c>
      <c r="K93" s="26">
        <v>0.5945630669593811</v>
      </c>
      <c r="V93" s="79" t="s">
        <v>104</v>
      </c>
      <c r="W93" s="110">
        <v>0.84389999999999998</v>
      </c>
      <c r="X93" s="110">
        <v>1185</v>
      </c>
      <c r="Y93" s="110">
        <v>45.66</v>
      </c>
      <c r="Z93" s="110">
        <v>43.38</v>
      </c>
    </row>
    <row r="94" spans="1:34" ht="16.2" thickBot="1" x14ac:dyDescent="0.35">
      <c r="A94" s="92">
        <v>2042</v>
      </c>
      <c r="B94" s="24">
        <v>0.48451203107833862</v>
      </c>
      <c r="C94" s="25">
        <v>0.39212659001350403</v>
      </c>
      <c r="D94" s="25">
        <v>0.65997731685638428</v>
      </c>
      <c r="E94" s="25">
        <v>0.38555583357810974</v>
      </c>
      <c r="F94" s="25">
        <v>0.18549998104572296</v>
      </c>
      <c r="G94" s="25">
        <v>0.49153763055801392</v>
      </c>
      <c r="H94" s="25">
        <v>0.47473031282424927</v>
      </c>
      <c r="I94" s="25">
        <v>0.72508198022842407</v>
      </c>
      <c r="J94" s="25">
        <v>0.29701653122901917</v>
      </c>
      <c r="K94" s="26">
        <v>0.5945630669593811</v>
      </c>
      <c r="V94" s="79" t="s">
        <v>141</v>
      </c>
      <c r="W94" s="110">
        <v>0.69059999999999999</v>
      </c>
      <c r="X94" s="110">
        <v>1448</v>
      </c>
      <c r="Y94" s="110">
        <v>47.73</v>
      </c>
      <c r="Z94" s="110">
        <v>45.34</v>
      </c>
    </row>
    <row r="95" spans="1:34" ht="16.2" thickBot="1" x14ac:dyDescent="0.35">
      <c r="A95" s="92">
        <v>2043</v>
      </c>
      <c r="B95" s="24">
        <v>0.48451203107833862</v>
      </c>
      <c r="C95" s="25">
        <v>0.39212659001350403</v>
      </c>
      <c r="D95" s="25">
        <v>0.65997731685638428</v>
      </c>
      <c r="E95" s="25">
        <v>0.38555583357810974</v>
      </c>
      <c r="F95" s="25">
        <v>0.18549998104572296</v>
      </c>
      <c r="G95" s="25">
        <v>0.49153763055801392</v>
      </c>
      <c r="H95" s="25">
        <v>0.47473031282424927</v>
      </c>
      <c r="I95" s="25">
        <v>0.72508198022842407</v>
      </c>
      <c r="J95" s="25">
        <v>0.29701653122901917</v>
      </c>
      <c r="K95" s="26">
        <v>0.5945630669593811</v>
      </c>
      <c r="V95" s="79" t="s">
        <v>142</v>
      </c>
      <c r="W95" s="110">
        <v>0.71679999999999999</v>
      </c>
      <c r="X95" s="110">
        <v>1395</v>
      </c>
      <c r="Y95" s="110">
        <v>47.4</v>
      </c>
      <c r="Z95" s="110">
        <v>45.03</v>
      </c>
    </row>
    <row r="96" spans="1:34" ht="28.2" thickBot="1" x14ac:dyDescent="0.35">
      <c r="A96" s="92">
        <v>2044</v>
      </c>
      <c r="B96" s="24">
        <v>0.48451203107833862</v>
      </c>
      <c r="C96" s="25">
        <v>0.39212659001350403</v>
      </c>
      <c r="D96" s="25">
        <v>0.65997731685638428</v>
      </c>
      <c r="E96" s="25">
        <v>0.38555583357810974</v>
      </c>
      <c r="F96" s="25">
        <v>0.18549998104572296</v>
      </c>
      <c r="G96" s="25">
        <v>0.49153763055801392</v>
      </c>
      <c r="H96" s="25">
        <v>0.47473031282424927</v>
      </c>
      <c r="I96" s="25">
        <v>0.72508198022842407</v>
      </c>
      <c r="J96" s="25">
        <v>0.29701653122901917</v>
      </c>
      <c r="K96" s="26">
        <v>0.5945630669593811</v>
      </c>
      <c r="V96" s="79" t="s">
        <v>143</v>
      </c>
      <c r="W96" s="110">
        <v>0.80259999999999998</v>
      </c>
      <c r="X96" s="110">
        <v>1246</v>
      </c>
      <c r="Y96" s="110">
        <v>46.23</v>
      </c>
      <c r="Z96" s="110">
        <v>43.92</v>
      </c>
    </row>
    <row r="97" spans="1:33" ht="16.2" thickBot="1" x14ac:dyDescent="0.35">
      <c r="A97" s="92">
        <v>2045</v>
      </c>
      <c r="B97" s="24">
        <v>0.48451203107833862</v>
      </c>
      <c r="C97" s="25">
        <v>0.39212659001350403</v>
      </c>
      <c r="D97" s="25">
        <v>0.65997731685638428</v>
      </c>
      <c r="E97" s="25">
        <v>0.38555583357810974</v>
      </c>
      <c r="F97" s="25">
        <v>0.18549998104572296</v>
      </c>
      <c r="G97" s="25">
        <v>0.49153763055801392</v>
      </c>
      <c r="H97" s="25">
        <v>0.47473031282424927</v>
      </c>
      <c r="I97" s="25">
        <v>0.72508198022842407</v>
      </c>
      <c r="J97" s="25">
        <v>0.29701653122901917</v>
      </c>
      <c r="K97" s="26">
        <v>0.5945630669593811</v>
      </c>
      <c r="V97" s="79" t="s">
        <v>144</v>
      </c>
      <c r="W97" s="110">
        <v>0.80259999999999998</v>
      </c>
      <c r="X97" s="110">
        <v>1246</v>
      </c>
      <c r="Y97" s="110">
        <v>46.23</v>
      </c>
      <c r="Z97" s="110">
        <v>43.92</v>
      </c>
    </row>
    <row r="98" spans="1:33" ht="16.2" thickBot="1" x14ac:dyDescent="0.35">
      <c r="A98" s="92">
        <v>2046</v>
      </c>
      <c r="B98" s="24">
        <v>0.48451203107833901</v>
      </c>
      <c r="C98" s="25">
        <v>0.39212659001350397</v>
      </c>
      <c r="D98" s="25">
        <v>0.65997731685638406</v>
      </c>
      <c r="E98" s="25">
        <v>0.38555583357811002</v>
      </c>
      <c r="F98" s="25">
        <v>0.18549998104572299</v>
      </c>
      <c r="G98" s="25">
        <v>0.49153763055801403</v>
      </c>
      <c r="H98" s="25">
        <v>0.47473031282424899</v>
      </c>
      <c r="I98" s="25">
        <v>0.72508198022842396</v>
      </c>
      <c r="J98" s="25">
        <v>0.297016531229019</v>
      </c>
      <c r="K98" s="26">
        <v>0.59456306695938099</v>
      </c>
      <c r="V98" s="79" t="s">
        <v>145</v>
      </c>
      <c r="W98" s="110">
        <v>0.52200000000000002</v>
      </c>
      <c r="X98" s="110">
        <v>1915</v>
      </c>
      <c r="Y98" s="110">
        <v>50.08</v>
      </c>
      <c r="Z98" s="110">
        <v>46.15</v>
      </c>
    </row>
    <row r="99" spans="1:33" ht="45.6" thickBot="1" x14ac:dyDescent="0.35">
      <c r="A99" s="92">
        <v>2047</v>
      </c>
      <c r="B99" s="24">
        <v>0.48451203107833901</v>
      </c>
      <c r="C99" s="25">
        <v>0.39212659001350397</v>
      </c>
      <c r="D99" s="25">
        <v>0.65997731685638406</v>
      </c>
      <c r="E99" s="25">
        <v>0.38555583357811002</v>
      </c>
      <c r="F99" s="25">
        <v>0.18549998104572299</v>
      </c>
      <c r="G99" s="25">
        <v>0.49153763055801403</v>
      </c>
      <c r="H99" s="25">
        <v>0.47473031282424899</v>
      </c>
      <c r="I99" s="25">
        <v>0.72508198022842396</v>
      </c>
      <c r="J99" s="25">
        <v>0.297016531229019</v>
      </c>
      <c r="K99" s="26">
        <v>0.59456306695938099</v>
      </c>
      <c r="V99" s="79" t="s">
        <v>146</v>
      </c>
      <c r="W99" s="110">
        <v>0.18329999999999999</v>
      </c>
      <c r="X99" s="111">
        <f>1000/W99</f>
        <v>5455.5373704309877</v>
      </c>
      <c r="Y99" s="110">
        <v>55.52</v>
      </c>
      <c r="Z99" s="110">
        <v>50.03</v>
      </c>
      <c r="AA99" s="112" t="s">
        <v>147</v>
      </c>
      <c r="AB99" s="106" t="s">
        <v>148</v>
      </c>
    </row>
    <row r="100" spans="1:33" ht="16.2" thickBot="1" x14ac:dyDescent="0.35">
      <c r="A100" s="92">
        <v>2048</v>
      </c>
      <c r="B100" s="24">
        <v>0.48451203107833901</v>
      </c>
      <c r="C100" s="25">
        <v>0.39212659001350397</v>
      </c>
      <c r="D100" s="25">
        <v>0.65997731685638406</v>
      </c>
      <c r="E100" s="25">
        <v>0.38555583357811002</v>
      </c>
      <c r="F100" s="25">
        <v>0.18549998104572299</v>
      </c>
      <c r="G100" s="25">
        <v>0.49153763055801403</v>
      </c>
      <c r="H100" s="25">
        <v>0.47473031282424899</v>
      </c>
      <c r="I100" s="25">
        <v>0.72508198022842396</v>
      </c>
      <c r="J100" s="25">
        <v>0.297016531229019</v>
      </c>
      <c r="K100" s="26">
        <v>0.59456306695938099</v>
      </c>
      <c r="V100" s="79" t="s">
        <v>149</v>
      </c>
      <c r="W100" s="110">
        <f>AVERAGE(0.44,0.47)</f>
        <v>0.45499999999999996</v>
      </c>
      <c r="X100" s="111">
        <f>1000/W100</f>
        <v>2197.802197802198</v>
      </c>
      <c r="Y100" s="110">
        <v>54.4</v>
      </c>
      <c r="Z100" s="110">
        <f>0.9*Y100</f>
        <v>48.96</v>
      </c>
      <c r="AA100" s="112" t="s">
        <v>150</v>
      </c>
      <c r="AB100" s="11" t="s">
        <v>151</v>
      </c>
    </row>
    <row r="101" spans="1:33" x14ac:dyDescent="0.3">
      <c r="A101" s="92">
        <v>2049</v>
      </c>
      <c r="B101" s="24">
        <v>0.48451203107833901</v>
      </c>
      <c r="C101" s="25">
        <v>0.39212659001350397</v>
      </c>
      <c r="D101" s="25">
        <v>0.65997731685638406</v>
      </c>
      <c r="E101" s="25">
        <v>0.38555583357811002</v>
      </c>
      <c r="F101" s="25">
        <v>0.18549998104572299</v>
      </c>
      <c r="G101" s="25">
        <v>0.49153763055801403</v>
      </c>
      <c r="H101" s="25">
        <v>0.47473031282424899</v>
      </c>
      <c r="I101" s="25">
        <v>0.72508198022842396</v>
      </c>
      <c r="J101" s="25">
        <v>0.297016531229019</v>
      </c>
      <c r="K101" s="26">
        <v>0.59456306695938099</v>
      </c>
      <c r="O101" s="2"/>
      <c r="P101" s="3"/>
      <c r="Q101" s="3"/>
      <c r="R101" s="3"/>
      <c r="S101" s="3"/>
      <c r="T101" s="3"/>
      <c r="U101" s="3"/>
      <c r="V101" s="3"/>
      <c r="W101" s="3"/>
      <c r="X101" s="3"/>
      <c r="Y101" s="3"/>
      <c r="Z101" s="3"/>
      <c r="AA101" s="3"/>
      <c r="AB101" s="3"/>
      <c r="AC101" s="3"/>
      <c r="AD101" s="3"/>
      <c r="AE101" s="3"/>
      <c r="AF101" s="3"/>
      <c r="AG101" s="3"/>
    </row>
    <row r="102" spans="1:33" ht="18" thickBot="1" x14ac:dyDescent="0.35">
      <c r="A102" s="92">
        <v>2050</v>
      </c>
      <c r="B102" s="24">
        <v>0.48451203107833901</v>
      </c>
      <c r="C102" s="25">
        <v>0.39212659001350397</v>
      </c>
      <c r="D102" s="25">
        <v>0.65997731685638406</v>
      </c>
      <c r="E102" s="25">
        <v>0.38555583357811002</v>
      </c>
      <c r="F102" s="25">
        <v>0.18549998104572299</v>
      </c>
      <c r="G102" s="25">
        <v>0.49153763055801403</v>
      </c>
      <c r="H102" s="25">
        <v>0.47473031282424899</v>
      </c>
      <c r="I102" s="25">
        <v>0.72508198022842396</v>
      </c>
      <c r="J102" s="25">
        <v>0.297016531229019</v>
      </c>
      <c r="K102" s="26">
        <v>0.59456306695938099</v>
      </c>
      <c r="P102" s="562" t="s">
        <v>152</v>
      </c>
      <c r="Q102" s="562"/>
      <c r="R102" s="562"/>
      <c r="S102" s="562"/>
      <c r="T102" s="562"/>
      <c r="U102" s="562"/>
      <c r="V102" s="562"/>
      <c r="W102" s="562"/>
      <c r="X102" s="562"/>
      <c r="Y102" s="562"/>
      <c r="Z102" s="562"/>
    </row>
    <row r="103" spans="1:33" ht="16.2" thickBot="1" x14ac:dyDescent="0.35">
      <c r="A103" s="92">
        <v>2051</v>
      </c>
      <c r="B103" s="24">
        <v>0.48451203107833901</v>
      </c>
      <c r="C103" s="25">
        <v>0.39212659001350397</v>
      </c>
      <c r="D103" s="25">
        <v>0.65997731685638406</v>
      </c>
      <c r="E103" s="25">
        <v>0.38555583357811002</v>
      </c>
      <c r="F103" s="25">
        <v>0.18549998104572299</v>
      </c>
      <c r="G103" s="25">
        <v>0.49153763055801403</v>
      </c>
      <c r="H103" s="25">
        <v>0.47473031282424899</v>
      </c>
      <c r="I103" s="25">
        <v>0.72508198022842396</v>
      </c>
      <c r="J103" s="25">
        <v>0.297016531229019</v>
      </c>
      <c r="K103" s="26">
        <v>0.59456306695938099</v>
      </c>
      <c r="P103" s="551" t="s">
        <v>87</v>
      </c>
      <c r="Q103" s="553"/>
      <c r="R103" s="563" t="s">
        <v>88</v>
      </c>
      <c r="S103" s="564"/>
      <c r="T103" s="565"/>
      <c r="U103" s="563" t="s">
        <v>89</v>
      </c>
      <c r="V103" s="564"/>
      <c r="W103" s="565"/>
      <c r="X103" s="563" t="s">
        <v>90</v>
      </c>
      <c r="Y103" s="564"/>
      <c r="Z103" s="565"/>
    </row>
    <row r="104" spans="1:33" ht="16.2" thickBot="1" x14ac:dyDescent="0.35">
      <c r="A104" s="92">
        <v>2052</v>
      </c>
      <c r="B104" s="24">
        <v>0.48451203107833901</v>
      </c>
      <c r="C104" s="25">
        <v>0.39212659001350397</v>
      </c>
      <c r="D104" s="25">
        <v>0.65997731685638406</v>
      </c>
      <c r="E104" s="25">
        <v>0.38555583357811002</v>
      </c>
      <c r="F104" s="25">
        <v>0.18549998104572299</v>
      </c>
      <c r="G104" s="25">
        <v>0.49153763055801403</v>
      </c>
      <c r="H104" s="25">
        <v>0.47473031282424899</v>
      </c>
      <c r="I104" s="25">
        <v>0.72508198022842396</v>
      </c>
      <c r="J104" s="25">
        <v>0.297016531229019</v>
      </c>
      <c r="K104" s="26">
        <v>0.59456306695938099</v>
      </c>
      <c r="P104" s="554"/>
      <c r="Q104" s="556"/>
      <c r="R104" s="54" t="s">
        <v>37</v>
      </c>
      <c r="S104" s="55" t="s">
        <v>38</v>
      </c>
      <c r="T104" s="56" t="s">
        <v>39</v>
      </c>
      <c r="U104" s="57" t="s">
        <v>37</v>
      </c>
      <c r="V104" s="57" t="s">
        <v>38</v>
      </c>
      <c r="W104" s="54" t="s">
        <v>39</v>
      </c>
      <c r="X104" s="58" t="s">
        <v>37</v>
      </c>
      <c r="Y104" s="57" t="s">
        <v>38</v>
      </c>
      <c r="Z104" s="54" t="s">
        <v>39</v>
      </c>
    </row>
    <row r="105" spans="1:33" x14ac:dyDescent="0.3">
      <c r="A105" s="92">
        <v>2053</v>
      </c>
      <c r="B105" s="24">
        <v>0.48451203107833901</v>
      </c>
      <c r="C105" s="25">
        <v>0.39212659001350397</v>
      </c>
      <c r="D105" s="25">
        <v>0.65997731685638406</v>
      </c>
      <c r="E105" s="25">
        <v>0.38555583357811002</v>
      </c>
      <c r="F105" s="25">
        <v>0.18549998104572299</v>
      </c>
      <c r="G105" s="25">
        <v>0.49153763055801403</v>
      </c>
      <c r="H105" s="25">
        <v>0.47473031282424899</v>
      </c>
      <c r="I105" s="25">
        <v>0.72508198022842396</v>
      </c>
      <c r="J105" s="25">
        <v>0.297016531229019</v>
      </c>
      <c r="K105" s="26">
        <v>0.59456306695938099</v>
      </c>
      <c r="P105" s="551" t="s">
        <v>94</v>
      </c>
      <c r="Q105" s="552"/>
      <c r="R105" s="552"/>
      <c r="S105" s="552"/>
      <c r="T105" s="552"/>
      <c r="U105" s="552"/>
      <c r="V105" s="552"/>
      <c r="W105" s="552"/>
      <c r="X105" s="552"/>
      <c r="Y105" s="552"/>
      <c r="Z105" s="553"/>
    </row>
    <row r="106" spans="1:33" ht="16.2" thickBot="1" x14ac:dyDescent="0.35">
      <c r="A106" s="92">
        <v>2054</v>
      </c>
      <c r="B106" s="24">
        <v>0.48451203107833901</v>
      </c>
      <c r="C106" s="25">
        <v>0.39212659001350397</v>
      </c>
      <c r="D106" s="25">
        <v>0.65997731685638406</v>
      </c>
      <c r="E106" s="25">
        <v>0.38555583357811002</v>
      </c>
      <c r="F106" s="25">
        <v>0.18549998104572299</v>
      </c>
      <c r="G106" s="25">
        <v>0.49153763055801403</v>
      </c>
      <c r="H106" s="25">
        <v>0.47473031282424899</v>
      </c>
      <c r="I106" s="25">
        <v>0.72508198022842396</v>
      </c>
      <c r="J106" s="25">
        <v>0.297016531229019</v>
      </c>
      <c r="K106" s="26">
        <v>0.59456306695938099</v>
      </c>
      <c r="P106" s="554"/>
      <c r="Q106" s="555"/>
      <c r="R106" s="555"/>
      <c r="S106" s="555"/>
      <c r="T106" s="555"/>
      <c r="U106" s="555"/>
      <c r="V106" s="555"/>
      <c r="W106" s="555"/>
      <c r="X106" s="555"/>
      <c r="Y106" s="555"/>
      <c r="Z106" s="556"/>
    </row>
    <row r="107" spans="1:33" ht="16.2" thickBot="1" x14ac:dyDescent="0.35">
      <c r="A107" s="92">
        <v>2055</v>
      </c>
      <c r="B107" s="24">
        <v>0.48451203107833901</v>
      </c>
      <c r="C107" s="25">
        <v>0.39212659001350397</v>
      </c>
      <c r="D107" s="25">
        <v>0.65997731685638406</v>
      </c>
      <c r="E107" s="25">
        <v>0.38555583357811002</v>
      </c>
      <c r="F107" s="25">
        <v>0.18549998104572299</v>
      </c>
      <c r="G107" s="25">
        <v>0.49153763055801403</v>
      </c>
      <c r="H107" s="25">
        <v>0.47473031282424899</v>
      </c>
      <c r="I107" s="25">
        <v>0.72508198022842396</v>
      </c>
      <c r="J107" s="25">
        <v>0.297016531229019</v>
      </c>
      <c r="K107" s="26">
        <v>0.59456306695938099</v>
      </c>
      <c r="P107" s="557" t="s">
        <v>97</v>
      </c>
      <c r="Q107" s="558"/>
      <c r="R107" s="69">
        <v>64.2</v>
      </c>
      <c r="S107" s="70">
        <v>58.3</v>
      </c>
      <c r="T107" s="70">
        <v>70.400000000000006</v>
      </c>
      <c r="U107" s="71">
        <v>3.0000000000000001E-3</v>
      </c>
      <c r="V107" s="70">
        <v>1E-3</v>
      </c>
      <c r="W107" s="70">
        <v>0.01</v>
      </c>
      <c r="X107" s="72">
        <f>0.6/1000</f>
        <v>5.9999999999999995E-4</v>
      </c>
      <c r="Y107" s="70">
        <f>0.0002</f>
        <v>2.0000000000000001E-4</v>
      </c>
      <c r="Z107" s="70">
        <v>2E-3</v>
      </c>
    </row>
    <row r="108" spans="1:33" ht="16.2" thickBot="1" x14ac:dyDescent="0.35">
      <c r="A108" s="92">
        <v>2056</v>
      </c>
      <c r="B108" s="24">
        <v>0.48451203107833901</v>
      </c>
      <c r="C108" s="25">
        <v>0.39212659001350397</v>
      </c>
      <c r="D108" s="25">
        <v>0.65997731685638406</v>
      </c>
      <c r="E108" s="25">
        <v>0.38555583357811002</v>
      </c>
      <c r="F108" s="25">
        <v>0.18549998104572299</v>
      </c>
      <c r="G108" s="25">
        <v>0.49153763055801403</v>
      </c>
      <c r="H108" s="25">
        <v>0.47473031282424899</v>
      </c>
      <c r="I108" s="25">
        <v>0.72508198022842396</v>
      </c>
      <c r="J108" s="25">
        <v>0.297016531229019</v>
      </c>
      <c r="K108" s="26">
        <v>0.59456306695938099</v>
      </c>
      <c r="P108" s="559" t="s">
        <v>98</v>
      </c>
      <c r="Q108" s="560"/>
      <c r="R108" s="69">
        <v>56.1</v>
      </c>
      <c r="S108" s="70">
        <v>54.3</v>
      </c>
      <c r="T108" s="70">
        <v>58.3</v>
      </c>
      <c r="U108" s="71">
        <v>1E-3</v>
      </c>
      <c r="V108" s="70">
        <f>0.3/1000</f>
        <v>2.9999999999999997E-4</v>
      </c>
      <c r="W108" s="70">
        <v>3.0000000000000001E-3</v>
      </c>
      <c r="X108" s="72">
        <f>0.1/1000</f>
        <v>1E-4</v>
      </c>
      <c r="Y108" s="70">
        <v>3.0000000000000001E-5</v>
      </c>
      <c r="Z108" s="70">
        <v>2.9999999999999997E-4</v>
      </c>
    </row>
    <row r="109" spans="1:33" x14ac:dyDescent="0.3">
      <c r="A109" s="92">
        <v>2057</v>
      </c>
      <c r="B109" s="24">
        <v>0.48451203107833901</v>
      </c>
      <c r="C109" s="25">
        <v>0.39212659001350397</v>
      </c>
      <c r="D109" s="25">
        <v>0.65997731685638406</v>
      </c>
      <c r="E109" s="25">
        <v>0.38555583357811002</v>
      </c>
      <c r="F109" s="25">
        <v>0.18549998104572299</v>
      </c>
      <c r="G109" s="25">
        <v>0.49153763055801403</v>
      </c>
      <c r="H109" s="25">
        <v>0.47473031282424899</v>
      </c>
      <c r="I109" s="25">
        <v>0.72508198022842396</v>
      </c>
      <c r="J109" s="25">
        <v>0.297016531229019</v>
      </c>
      <c r="K109" s="26">
        <v>0.59456306695938099</v>
      </c>
      <c r="P109" s="576"/>
      <c r="Q109" s="576"/>
      <c r="R109" s="113"/>
      <c r="S109" s="114"/>
      <c r="T109" s="114"/>
      <c r="U109" s="113"/>
      <c r="V109" s="114"/>
      <c r="W109" s="114"/>
      <c r="X109" s="113"/>
      <c r="Y109" s="114"/>
      <c r="Z109" s="114"/>
    </row>
    <row r="110" spans="1:33" ht="18" thickBot="1" x14ac:dyDescent="0.35">
      <c r="A110" s="92">
        <v>2058</v>
      </c>
      <c r="B110" s="24">
        <v>0.48451203107833901</v>
      </c>
      <c r="C110" s="25">
        <v>0.39212659001350397</v>
      </c>
      <c r="D110" s="25">
        <v>0.65997731685638406</v>
      </c>
      <c r="E110" s="25">
        <v>0.38555583357811002</v>
      </c>
      <c r="F110" s="25">
        <v>0.18549998104572299</v>
      </c>
      <c r="G110" s="25">
        <v>0.49153763055801403</v>
      </c>
      <c r="H110" s="25">
        <v>0.47473031282424899</v>
      </c>
      <c r="I110" s="25">
        <v>0.72508198022842396</v>
      </c>
      <c r="J110" s="25">
        <v>0.297016531229019</v>
      </c>
      <c r="K110" s="26">
        <v>0.59456306695938099</v>
      </c>
      <c r="P110" s="562" t="s">
        <v>153</v>
      </c>
      <c r="Q110" s="562"/>
      <c r="R110" s="562"/>
      <c r="S110" s="562"/>
      <c r="T110" s="562"/>
      <c r="U110" s="562"/>
      <c r="V110" s="562"/>
      <c r="W110" s="562"/>
      <c r="X110" s="562"/>
      <c r="Y110" s="562"/>
      <c r="Z110" s="562"/>
    </row>
    <row r="111" spans="1:33" ht="16.2" thickBot="1" x14ac:dyDescent="0.35">
      <c r="A111" s="92">
        <v>2059</v>
      </c>
      <c r="B111" s="24">
        <v>0.48451203107833901</v>
      </c>
      <c r="C111" s="25">
        <v>0.39212659001350397</v>
      </c>
      <c r="D111" s="25">
        <v>0.65997731685638406</v>
      </c>
      <c r="E111" s="25">
        <v>0.38555583357811002</v>
      </c>
      <c r="F111" s="25">
        <v>0.18549998104572299</v>
      </c>
      <c r="G111" s="25">
        <v>0.49153763055801403</v>
      </c>
      <c r="H111" s="25">
        <v>0.47473031282424899</v>
      </c>
      <c r="I111" s="25">
        <v>0.72508198022842396</v>
      </c>
      <c r="J111" s="25">
        <v>0.297016531229019</v>
      </c>
      <c r="K111" s="26">
        <v>0.59456306695938099</v>
      </c>
      <c r="P111" s="551" t="s">
        <v>87</v>
      </c>
      <c r="Q111" s="553"/>
      <c r="R111" s="563" t="s">
        <v>88</v>
      </c>
      <c r="S111" s="564"/>
      <c r="T111" s="565"/>
      <c r="U111" s="563" t="s">
        <v>89</v>
      </c>
      <c r="V111" s="564"/>
      <c r="W111" s="565"/>
      <c r="X111" s="563" t="s">
        <v>90</v>
      </c>
      <c r="Y111" s="564"/>
      <c r="Z111" s="565"/>
    </row>
    <row r="112" spans="1:33" ht="16.2" thickBot="1" x14ac:dyDescent="0.35">
      <c r="A112" s="92">
        <v>2060</v>
      </c>
      <c r="B112" s="115">
        <v>0.48451203107833901</v>
      </c>
      <c r="C112" s="87">
        <v>0.39212659001350397</v>
      </c>
      <c r="D112" s="87">
        <v>0.65997731685638406</v>
      </c>
      <c r="E112" s="87">
        <v>0.38555583357811002</v>
      </c>
      <c r="F112" s="87">
        <v>0.18549998104572299</v>
      </c>
      <c r="G112" s="87">
        <v>0.49153763055801403</v>
      </c>
      <c r="H112" s="87">
        <v>0.47473031282424899</v>
      </c>
      <c r="I112" s="87">
        <v>0.72508198022842396</v>
      </c>
      <c r="J112" s="87">
        <v>0.297016531229019</v>
      </c>
      <c r="K112" s="88">
        <v>0.59456306695938099</v>
      </c>
      <c r="P112" s="554"/>
      <c r="Q112" s="556"/>
      <c r="R112" s="54" t="s">
        <v>37</v>
      </c>
      <c r="S112" s="55" t="s">
        <v>38</v>
      </c>
      <c r="T112" s="56" t="s">
        <v>39</v>
      </c>
      <c r="U112" s="57" t="s">
        <v>37</v>
      </c>
      <c r="V112" s="57" t="s">
        <v>38</v>
      </c>
      <c r="W112" s="54" t="s">
        <v>39</v>
      </c>
      <c r="X112" s="58" t="s">
        <v>37</v>
      </c>
      <c r="Y112" s="57" t="s">
        <v>38</v>
      </c>
      <c r="Z112" s="54" t="s">
        <v>39</v>
      </c>
    </row>
    <row r="113" spans="1:26" x14ac:dyDescent="0.3">
      <c r="P113" s="551" t="s">
        <v>94</v>
      </c>
      <c r="Q113" s="552"/>
      <c r="R113" s="552"/>
      <c r="S113" s="552"/>
      <c r="T113" s="552"/>
      <c r="U113" s="552"/>
      <c r="V113" s="552"/>
      <c r="W113" s="552"/>
      <c r="X113" s="552"/>
      <c r="Y113" s="552"/>
      <c r="Z113" s="553"/>
    </row>
    <row r="114" spans="1:26" ht="16.2" thickBot="1" x14ac:dyDescent="0.35">
      <c r="A114" s="91" t="s">
        <v>108</v>
      </c>
      <c r="P114" s="554"/>
      <c r="Q114" s="555"/>
      <c r="R114" s="555"/>
      <c r="S114" s="555"/>
      <c r="T114" s="555"/>
      <c r="U114" s="555"/>
      <c r="V114" s="555"/>
      <c r="W114" s="555"/>
      <c r="X114" s="555"/>
      <c r="Y114" s="555"/>
      <c r="Z114" s="556"/>
    </row>
    <row r="115" spans="1:26" ht="16.2" thickBot="1" x14ac:dyDescent="0.35">
      <c r="A115" s="92" t="s">
        <v>155</v>
      </c>
      <c r="B115" s="92" t="s">
        <v>156</v>
      </c>
      <c r="P115" s="557" t="s">
        <v>97</v>
      </c>
      <c r="Q115" s="558"/>
      <c r="R115" s="69">
        <v>64.2</v>
      </c>
      <c r="S115" s="70">
        <v>58.3</v>
      </c>
      <c r="T115" s="70">
        <v>70.400000000000006</v>
      </c>
      <c r="U115" s="71">
        <v>0.01</v>
      </c>
      <c r="V115" s="70">
        <v>3.0000000000000001E-3</v>
      </c>
      <c r="W115" s="70">
        <v>0.03</v>
      </c>
      <c r="X115" s="72">
        <f>0.6/1000</f>
        <v>5.9999999999999995E-4</v>
      </c>
      <c r="Y115" s="70">
        <f>0.0002</f>
        <v>2.0000000000000001E-4</v>
      </c>
      <c r="Z115" s="70">
        <v>2E-3</v>
      </c>
    </row>
    <row r="116" spans="1:26" ht="16.2" thickBot="1" x14ac:dyDescent="0.35">
      <c r="P116" s="559" t="s">
        <v>98</v>
      </c>
      <c r="Q116" s="560"/>
      <c r="R116" s="69">
        <v>56.1</v>
      </c>
      <c r="S116" s="70">
        <v>54.3</v>
      </c>
      <c r="T116" s="70">
        <v>58.3</v>
      </c>
      <c r="U116" s="71">
        <v>5.0000000000000001E-3</v>
      </c>
      <c r="V116" s="70">
        <v>1.5E-3</v>
      </c>
      <c r="W116" s="70">
        <v>1.4999999999999999E-2</v>
      </c>
      <c r="X116" s="72">
        <f>0.1/1000</f>
        <v>1E-4</v>
      </c>
      <c r="Y116" s="70">
        <v>3.0000000000000001E-5</v>
      </c>
      <c r="Z116" s="70">
        <v>2.9999999999999997E-4</v>
      </c>
    </row>
    <row r="117" spans="1:26" x14ac:dyDescent="0.3">
      <c r="P117" s="561"/>
      <c r="Q117" s="561"/>
      <c r="R117" s="113"/>
      <c r="S117" s="114"/>
      <c r="T117" s="114"/>
      <c r="U117" s="113"/>
      <c r="V117" s="114"/>
      <c r="W117" s="114"/>
      <c r="X117" s="113"/>
      <c r="Y117" s="114"/>
      <c r="Z117" s="114"/>
    </row>
    <row r="118" spans="1:26" ht="18" thickBot="1" x14ac:dyDescent="0.35">
      <c r="A118" s="93" t="str">
        <f ca="1">HYPERLINK("#"&amp;"'"&amp;A$1&amp;"'!a1","Back to top")</f>
        <v>Back to top</v>
      </c>
      <c r="P118" s="562" t="s">
        <v>154</v>
      </c>
      <c r="Q118" s="562"/>
      <c r="R118" s="562"/>
      <c r="S118" s="562"/>
      <c r="T118" s="562"/>
      <c r="U118" s="562"/>
      <c r="V118" s="562"/>
      <c r="W118" s="562"/>
      <c r="X118" s="562"/>
      <c r="Y118" s="562"/>
      <c r="Z118" s="562"/>
    </row>
    <row r="119" spans="1:26" ht="16.2" thickBot="1" x14ac:dyDescent="0.35">
      <c r="P119" s="551" t="s">
        <v>87</v>
      </c>
      <c r="Q119" s="553"/>
      <c r="R119" s="563" t="s">
        <v>88</v>
      </c>
      <c r="S119" s="564"/>
      <c r="T119" s="565"/>
      <c r="U119" s="563" t="s">
        <v>89</v>
      </c>
      <c r="V119" s="564"/>
      <c r="W119" s="565"/>
      <c r="X119" s="563" t="s">
        <v>90</v>
      </c>
      <c r="Y119" s="564"/>
      <c r="Z119" s="565"/>
    </row>
    <row r="120" spans="1:26" ht="19.2" thickBot="1" x14ac:dyDescent="0.35">
      <c r="A120" s="1" t="s">
        <v>288</v>
      </c>
      <c r="B120" s="544" t="s">
        <v>157</v>
      </c>
      <c r="C120" s="544"/>
      <c r="D120" s="544"/>
      <c r="E120" s="544"/>
      <c r="F120" s="544"/>
      <c r="G120" s="544"/>
      <c r="H120" s="544"/>
      <c r="I120" s="544"/>
      <c r="J120" s="544"/>
      <c r="K120" s="544"/>
      <c r="L120" s="2"/>
      <c r="M120" s="3"/>
      <c r="N120" s="4"/>
      <c r="P120" s="554"/>
      <c r="Q120" s="556"/>
      <c r="R120" s="54" t="s">
        <v>37</v>
      </c>
      <c r="S120" s="55" t="s">
        <v>38</v>
      </c>
      <c r="T120" s="56" t="s">
        <v>39</v>
      </c>
      <c r="U120" s="57" t="s">
        <v>37</v>
      </c>
      <c r="V120" s="57" t="s">
        <v>38</v>
      </c>
      <c r="W120" s="54" t="s">
        <v>39</v>
      </c>
      <c r="X120" s="58" t="s">
        <v>37</v>
      </c>
      <c r="Y120" s="57" t="s">
        <v>38</v>
      </c>
      <c r="Z120" s="54" t="s">
        <v>39</v>
      </c>
    </row>
    <row r="121" spans="1:26" ht="87" customHeight="1" thickBot="1" x14ac:dyDescent="0.35">
      <c r="B121" s="116"/>
      <c r="C121" s="117"/>
      <c r="D121" s="117"/>
      <c r="E121" s="117"/>
      <c r="F121" s="117"/>
      <c r="G121" s="117"/>
      <c r="H121" s="117"/>
      <c r="I121" s="117"/>
      <c r="J121" s="117"/>
      <c r="K121" s="118"/>
      <c r="P121" s="551" t="s">
        <v>94</v>
      </c>
      <c r="Q121" s="552"/>
      <c r="R121" s="552"/>
      <c r="S121" s="552"/>
      <c r="T121" s="552"/>
      <c r="U121" s="552"/>
      <c r="V121" s="552"/>
      <c r="W121" s="552"/>
      <c r="X121" s="552"/>
      <c r="Y121" s="552"/>
      <c r="Z121" s="553"/>
    </row>
    <row r="122" spans="1:26" ht="30.6" thickBot="1" x14ac:dyDescent="0.35">
      <c r="A122" s="92" t="s">
        <v>3</v>
      </c>
      <c r="B122" s="15" t="s">
        <v>4</v>
      </c>
      <c r="C122" s="15" t="s">
        <v>5</v>
      </c>
      <c r="D122" s="15" t="s">
        <v>6</v>
      </c>
      <c r="E122" s="15" t="s">
        <v>7</v>
      </c>
      <c r="F122" s="15" t="s">
        <v>8</v>
      </c>
      <c r="G122" s="15" t="s">
        <v>9</v>
      </c>
      <c r="H122" s="15" t="s">
        <v>10</v>
      </c>
      <c r="I122" s="15" t="s">
        <v>11</v>
      </c>
      <c r="J122" s="15" t="s">
        <v>12</v>
      </c>
      <c r="K122" s="15" t="s">
        <v>13</v>
      </c>
      <c r="P122" s="554"/>
      <c r="Q122" s="555"/>
      <c r="R122" s="555"/>
      <c r="S122" s="555"/>
      <c r="T122" s="555"/>
      <c r="U122" s="555"/>
      <c r="V122" s="555"/>
      <c r="W122" s="555"/>
      <c r="X122" s="555"/>
      <c r="Y122" s="555"/>
      <c r="Z122" s="556"/>
    </row>
    <row r="123" spans="1:26" ht="16.2" thickBot="1" x14ac:dyDescent="0.35">
      <c r="A123" s="92">
        <v>2015</v>
      </c>
      <c r="B123" s="121">
        <v>0.49801257252693176</v>
      </c>
      <c r="C123" s="122">
        <v>0.42458373308181763</v>
      </c>
      <c r="D123" s="122">
        <v>0.64358246326446533</v>
      </c>
      <c r="E123" s="122">
        <v>0.42087414860725403</v>
      </c>
      <c r="F123" s="122">
        <v>0.2496664971113205</v>
      </c>
      <c r="G123" s="122">
        <v>0.50818091630935669</v>
      </c>
      <c r="H123" s="122">
        <v>0.5038139820098877</v>
      </c>
      <c r="I123" s="122">
        <v>0.68165946006774902</v>
      </c>
      <c r="J123" s="122">
        <v>0.32586020231246948</v>
      </c>
      <c r="K123" s="123">
        <v>0.63246113061904907</v>
      </c>
      <c r="P123" s="557" t="s">
        <v>97</v>
      </c>
      <c r="Q123" s="558"/>
      <c r="R123" s="69">
        <v>64.2</v>
      </c>
      <c r="S123" s="70">
        <v>58.3</v>
      </c>
      <c r="T123" s="70">
        <v>70.400000000000006</v>
      </c>
      <c r="U123" s="71">
        <v>0.01</v>
      </c>
      <c r="V123" s="70">
        <v>3.0000000000000001E-3</v>
      </c>
      <c r="W123" s="70">
        <v>0.03</v>
      </c>
      <c r="X123" s="72">
        <f>0.6/1000</f>
        <v>5.9999999999999995E-4</v>
      </c>
      <c r="Y123" s="70">
        <f>0.0002</f>
        <v>2.0000000000000001E-4</v>
      </c>
      <c r="Z123" s="70">
        <v>2E-3</v>
      </c>
    </row>
    <row r="124" spans="1:26" ht="16.2" thickBot="1" x14ac:dyDescent="0.35">
      <c r="A124" s="92">
        <v>2016</v>
      </c>
      <c r="B124" s="125">
        <v>0.49053597450256348</v>
      </c>
      <c r="C124" s="126">
        <v>0.4135795533657074</v>
      </c>
      <c r="D124" s="126">
        <v>0.63476479053497314</v>
      </c>
      <c r="E124" s="126">
        <v>0.41037279367446899</v>
      </c>
      <c r="F124" s="126">
        <v>0.24481703341007233</v>
      </c>
      <c r="G124" s="126">
        <v>0.49637541174888611</v>
      </c>
      <c r="H124" s="126">
        <v>0.49370962381362915</v>
      </c>
      <c r="I124" s="126">
        <v>0.67102664709091187</v>
      </c>
      <c r="J124" s="126">
        <v>0.3128923773765564</v>
      </c>
      <c r="K124" s="127">
        <v>0.62529474496841431</v>
      </c>
      <c r="P124" s="559" t="s">
        <v>98</v>
      </c>
      <c r="Q124" s="560"/>
      <c r="R124" s="69">
        <v>56.1</v>
      </c>
      <c r="S124" s="70">
        <v>54.3</v>
      </c>
      <c r="T124" s="70">
        <v>58.3</v>
      </c>
      <c r="U124" s="71">
        <v>5.0000000000000001E-3</v>
      </c>
      <c r="V124" s="70">
        <v>1.5E-3</v>
      </c>
      <c r="W124" s="70">
        <v>1.4999999999999999E-2</v>
      </c>
      <c r="X124" s="72">
        <f>0.1/1000</f>
        <v>1E-4</v>
      </c>
      <c r="Y124" s="70">
        <v>3.0000000000000001E-5</v>
      </c>
      <c r="Z124" s="70">
        <v>2.9999999999999997E-4</v>
      </c>
    </row>
    <row r="125" spans="1:26" x14ac:dyDescent="0.3">
      <c r="A125" s="92">
        <v>2017</v>
      </c>
      <c r="B125" s="125">
        <v>0.48333624005317688</v>
      </c>
      <c r="C125" s="126">
        <v>0.40241110324859619</v>
      </c>
      <c r="D125" s="126">
        <v>0.62669557332992554</v>
      </c>
      <c r="E125" s="126">
        <v>0.39987024664878845</v>
      </c>
      <c r="F125" s="126">
        <v>0.24013493955135345</v>
      </c>
      <c r="G125" s="126">
        <v>0.48564031720161438</v>
      </c>
      <c r="H125" s="126">
        <v>0.4832342267036438</v>
      </c>
      <c r="I125" s="126">
        <v>0.66130918264389038</v>
      </c>
      <c r="J125" s="126">
        <v>0.2999224066734314</v>
      </c>
      <c r="K125" s="127">
        <v>0.61901766061782837</v>
      </c>
    </row>
    <row r="126" spans="1:26" x14ac:dyDescent="0.3">
      <c r="A126" s="92">
        <v>2018</v>
      </c>
      <c r="B126" s="125">
        <v>0.47639840841293335</v>
      </c>
      <c r="C126" s="126">
        <v>0.39107489585876465</v>
      </c>
      <c r="D126" s="126">
        <v>0.61928349733352661</v>
      </c>
      <c r="E126" s="126">
        <v>0.38936653733253479</v>
      </c>
      <c r="F126" s="126">
        <v>0.23561158776283264</v>
      </c>
      <c r="G126" s="126">
        <v>0.47583621740341187</v>
      </c>
      <c r="H126" s="126">
        <v>0.47236686944961548</v>
      </c>
      <c r="I126" s="126">
        <v>0.65239381790161133</v>
      </c>
      <c r="J126" s="126">
        <v>0.28695026040077209</v>
      </c>
      <c r="K126" s="127">
        <v>0.61347389221191406</v>
      </c>
    </row>
    <row r="127" spans="1:26" x14ac:dyDescent="0.3">
      <c r="A127" s="92">
        <v>2019</v>
      </c>
      <c r="B127" s="125">
        <v>0.46970832347869873</v>
      </c>
      <c r="C127" s="126">
        <v>0.37956681847572327</v>
      </c>
      <c r="D127" s="126">
        <v>0.61245149374008179</v>
      </c>
      <c r="E127" s="126">
        <v>0.3788616955280304</v>
      </c>
      <c r="F127" s="126">
        <v>0.23123912513256073</v>
      </c>
      <c r="G127" s="126">
        <v>0.4668470025062561</v>
      </c>
      <c r="H127" s="126">
        <v>0.46108528971672058</v>
      </c>
      <c r="I127" s="126">
        <v>0.64418512582778931</v>
      </c>
      <c r="J127" s="126">
        <v>0.27397602796554565</v>
      </c>
      <c r="K127" s="127">
        <v>0.60854190587997437</v>
      </c>
    </row>
    <row r="128" spans="1:26" x14ac:dyDescent="0.3">
      <c r="A128" s="92">
        <v>2020</v>
      </c>
      <c r="B128" s="125">
        <v>0.46325308084487915</v>
      </c>
      <c r="C128" s="126">
        <v>0.36788323521614075</v>
      </c>
      <c r="D128" s="126">
        <v>0.60613375902175903</v>
      </c>
      <c r="E128" s="126">
        <v>0.36835581064224243</v>
      </c>
      <c r="F128" s="126">
        <v>0.22701011598110199</v>
      </c>
      <c r="G128" s="126">
        <v>0.45857506990432739</v>
      </c>
      <c r="H128" s="126">
        <v>0.44936525821685791</v>
      </c>
      <c r="I128" s="126">
        <v>0.63660222291946411</v>
      </c>
      <c r="J128" s="126">
        <v>0.2609996497631073</v>
      </c>
      <c r="K128" s="127">
        <v>0.6041259765625</v>
      </c>
    </row>
    <row r="129" spans="1:34" x14ac:dyDescent="0.3">
      <c r="A129" s="92">
        <v>2021</v>
      </c>
      <c r="B129" s="125">
        <v>0.45122328400611877</v>
      </c>
      <c r="C129" s="126">
        <v>0.35783246159553528</v>
      </c>
      <c r="D129" s="126">
        <v>0.58656579256057739</v>
      </c>
      <c r="E129" s="126">
        <v>0.36349126696586609</v>
      </c>
      <c r="F129" s="126">
        <v>0.22585299611091614</v>
      </c>
      <c r="G129" s="126">
        <v>0.44617226719856262</v>
      </c>
      <c r="H129" s="126">
        <v>0.43594825267791748</v>
      </c>
      <c r="I129" s="126">
        <v>0.61864441633224487</v>
      </c>
      <c r="J129" s="126">
        <v>0.25786197185516357</v>
      </c>
      <c r="K129" s="127">
        <v>0.57959818840026855</v>
      </c>
    </row>
    <row r="130" spans="1:34" x14ac:dyDescent="0.3">
      <c r="A130" s="92">
        <v>2022</v>
      </c>
      <c r="B130" s="125">
        <v>0.43980288505554199</v>
      </c>
      <c r="C130" s="126">
        <v>0.34794637560844421</v>
      </c>
      <c r="D130" s="126">
        <v>0.56835967302322388</v>
      </c>
      <c r="E130" s="126">
        <v>0.35870179533958435</v>
      </c>
      <c r="F130" s="126">
        <v>0.224773108959198</v>
      </c>
      <c r="G130" s="126">
        <v>0.43503308296203613</v>
      </c>
      <c r="H130" s="126">
        <v>0.42249515652656555</v>
      </c>
      <c r="I130" s="126">
        <v>0.60164463520050049</v>
      </c>
      <c r="J130" s="126">
        <v>0.25483548641204834</v>
      </c>
      <c r="K130" s="127">
        <v>0.55791747570037842</v>
      </c>
    </row>
    <row r="131" spans="1:34" x14ac:dyDescent="0.3">
      <c r="A131" s="92">
        <v>2023</v>
      </c>
      <c r="B131" s="125">
        <v>0.42894658446311951</v>
      </c>
      <c r="C131" s="126">
        <v>0.33822104334831238</v>
      </c>
      <c r="D131" s="126">
        <v>0.55137789249420166</v>
      </c>
      <c r="E131" s="126">
        <v>0.35398560762405396</v>
      </c>
      <c r="F131" s="126">
        <v>0.2237628847360611</v>
      </c>
      <c r="G131" s="126">
        <v>0.42497408390045166</v>
      </c>
      <c r="H131" s="126">
        <v>0.40900591015815735</v>
      </c>
      <c r="I131" s="126">
        <v>0.58552795648574829</v>
      </c>
      <c r="J131" s="126">
        <v>0.25191423296928406</v>
      </c>
      <c r="K131" s="127">
        <v>0.53861540555953979</v>
      </c>
    </row>
    <row r="132" spans="1:34" s="3" customFormat="1" x14ac:dyDescent="0.3">
      <c r="A132" s="92">
        <v>2024</v>
      </c>
      <c r="B132" s="125">
        <v>0.41861379146575928</v>
      </c>
      <c r="C132" s="126">
        <v>0.32865262031555176</v>
      </c>
      <c r="D132" s="126">
        <v>0.53550118207931519</v>
      </c>
      <c r="E132" s="126">
        <v>0.34934109449386597</v>
      </c>
      <c r="F132" s="126">
        <v>0.22281584143638611</v>
      </c>
      <c r="G132" s="126">
        <v>0.41584509611129761</v>
      </c>
      <c r="H132" s="126">
        <v>0.39548033475875854</v>
      </c>
      <c r="I132" s="126">
        <v>0.57022738456726074</v>
      </c>
      <c r="J132" s="126">
        <v>0.24909293651580811</v>
      </c>
      <c r="K132" s="127">
        <v>0.52132070064544678</v>
      </c>
      <c r="L132" s="7"/>
      <c r="M132" s="7"/>
      <c r="N132" s="10"/>
      <c r="O132" s="7"/>
      <c r="P132" s="7"/>
      <c r="Q132" s="7"/>
      <c r="R132" s="7"/>
      <c r="S132" s="7"/>
      <c r="T132" s="7"/>
      <c r="U132" s="7"/>
      <c r="V132" s="7"/>
      <c r="W132" s="7"/>
      <c r="X132" s="7"/>
      <c r="Y132" s="7"/>
      <c r="Z132" s="7"/>
      <c r="AA132" s="7"/>
      <c r="AB132" s="7"/>
      <c r="AC132" s="7"/>
      <c r="AD132" s="7"/>
      <c r="AE132" s="7"/>
      <c r="AF132" s="7"/>
      <c r="AG132" s="7"/>
      <c r="AH132" s="5"/>
    </row>
    <row r="133" spans="1:34" x14ac:dyDescent="0.3">
      <c r="A133" s="92">
        <v>2025</v>
      </c>
      <c r="B133" s="125">
        <v>0.40876719355583191</v>
      </c>
      <c r="C133" s="126">
        <v>0.31923726201057434</v>
      </c>
      <c r="D133" s="126">
        <v>0.52062499523162842</v>
      </c>
      <c r="E133" s="126">
        <v>0.34476661682128906</v>
      </c>
      <c r="F133" s="126">
        <v>0.22192616760730743</v>
      </c>
      <c r="G133" s="126">
        <v>0.40752312541007996</v>
      </c>
      <c r="H133" s="126">
        <v>0.38191822171211243</v>
      </c>
      <c r="I133" s="126">
        <v>0.55568265914916992</v>
      </c>
      <c r="J133" s="126">
        <v>0.24636654555797577</v>
      </c>
      <c r="K133" s="127">
        <v>0.50573587417602539</v>
      </c>
      <c r="P133" s="119"/>
      <c r="Q133" s="119" t="s">
        <v>158</v>
      </c>
      <c r="R133" s="119" t="s">
        <v>159</v>
      </c>
      <c r="S133" s="120" t="s">
        <v>160</v>
      </c>
      <c r="T133" s="119"/>
      <c r="U133" s="119"/>
    </row>
    <row r="134" spans="1:34" ht="52.2" customHeight="1" x14ac:dyDescent="0.3">
      <c r="A134" s="92">
        <v>2026</v>
      </c>
      <c r="B134" s="125">
        <v>0.3993736207485199</v>
      </c>
      <c r="C134" s="126">
        <v>0.30997130274772644</v>
      </c>
      <c r="D134" s="126">
        <v>0.50665771961212158</v>
      </c>
      <c r="E134" s="126">
        <v>0.34026050567626953</v>
      </c>
      <c r="F134" s="126">
        <v>0.22108888626098633</v>
      </c>
      <c r="G134" s="126">
        <v>0.39990547299385071</v>
      </c>
      <c r="H134" s="126">
        <v>0.36831945180892944</v>
      </c>
      <c r="I134" s="126">
        <v>0.5418388843536377</v>
      </c>
      <c r="J134" s="126">
        <v>0.24373030662536621</v>
      </c>
      <c r="K134" s="127">
        <v>0.49161916971206665</v>
      </c>
      <c r="P134" s="119"/>
      <c r="Q134" s="119" t="s">
        <v>161</v>
      </c>
      <c r="R134" s="119" t="s">
        <v>162</v>
      </c>
      <c r="S134" s="286" t="s">
        <v>289</v>
      </c>
      <c r="T134" s="124" t="s">
        <v>163</v>
      </c>
      <c r="U134" s="287" t="s">
        <v>164</v>
      </c>
      <c r="V134" s="7" t="s">
        <v>165</v>
      </c>
      <c r="W134" s="7" t="s">
        <v>166</v>
      </c>
    </row>
    <row r="135" spans="1:34" x14ac:dyDescent="0.3">
      <c r="A135" s="92">
        <v>2027</v>
      </c>
      <c r="B135" s="125">
        <v>0.39040228724479675</v>
      </c>
      <c r="C135" s="126">
        <v>0.30085128545761108</v>
      </c>
      <c r="D135" s="126">
        <v>0.49351829290390015</v>
      </c>
      <c r="E135" s="126">
        <v>0.3358214795589447</v>
      </c>
      <c r="F135" s="126">
        <v>0.22029945254325867</v>
      </c>
      <c r="G135" s="126">
        <v>0.39290648698806763</v>
      </c>
      <c r="H135" s="126">
        <v>0.35468390583992004</v>
      </c>
      <c r="I135" s="126">
        <v>0.52864664793014526</v>
      </c>
      <c r="J135" s="126">
        <v>0.24117985367774963</v>
      </c>
      <c r="K135" s="127">
        <v>0.47877264022827148</v>
      </c>
      <c r="P135" s="119" t="s">
        <v>61</v>
      </c>
      <c r="Q135" s="288">
        <f>(760/1000000)/(3.6*10^-6)</f>
        <v>211.11111111111114</v>
      </c>
      <c r="R135" s="128">
        <f>$V$28</f>
        <v>1.9386217842586016E-2</v>
      </c>
      <c r="S135" s="289">
        <v>8.16047330967625E-2</v>
      </c>
      <c r="T135" s="290">
        <f>Q135*S135</f>
        <v>17.227665875983195</v>
      </c>
      <c r="U135" s="291">
        <f>R135*S135</f>
        <v>1.5820071327999267E-3</v>
      </c>
    </row>
    <row r="136" spans="1:34" x14ac:dyDescent="0.3">
      <c r="A136" s="92">
        <v>2028</v>
      </c>
      <c r="B136" s="125">
        <v>0.38182538747787476</v>
      </c>
      <c r="C136" s="126">
        <v>0.29187366366386414</v>
      </c>
      <c r="D136" s="126">
        <v>0.48113536834716797</v>
      </c>
      <c r="E136" s="126">
        <v>0.33144780993461609</v>
      </c>
      <c r="F136" s="126">
        <v>0.21955390274524689</v>
      </c>
      <c r="G136" s="126">
        <v>0.38645368814468384</v>
      </c>
      <c r="H136" s="126">
        <v>0.3410114049911499</v>
      </c>
      <c r="I136" s="126">
        <v>0.51606118679046631</v>
      </c>
      <c r="J136" s="126">
        <v>0.23871105909347534</v>
      </c>
      <c r="K136" s="127">
        <v>0.4670320451259613</v>
      </c>
      <c r="P136" s="119" t="s">
        <v>167</v>
      </c>
      <c r="Q136" s="292">
        <v>73.099999999999994</v>
      </c>
      <c r="R136" s="128">
        <f>$V$29</f>
        <v>6.3732305317880364E-2</v>
      </c>
      <c r="S136" s="289">
        <v>0.12281481836636765</v>
      </c>
      <c r="T136" s="290">
        <f>S136*Q136</f>
        <v>8.9777632225814745</v>
      </c>
      <c r="U136" s="291">
        <f>R136*S136</f>
        <v>7.8272715016853636E-3</v>
      </c>
      <c r="V136" s="36" t="s">
        <v>165</v>
      </c>
      <c r="W136" s="131" t="s">
        <v>168</v>
      </c>
    </row>
    <row r="137" spans="1:34" x14ac:dyDescent="0.3">
      <c r="A137" s="92">
        <v>2029</v>
      </c>
      <c r="B137" s="125">
        <v>0.37361755967140198</v>
      </c>
      <c r="C137" s="126">
        <v>0.28303536772727966</v>
      </c>
      <c r="D137" s="126">
        <v>0.46944555640220642</v>
      </c>
      <c r="E137" s="126">
        <v>0.32713824510574341</v>
      </c>
      <c r="F137" s="126">
        <v>0.21884864568710327</v>
      </c>
      <c r="G137" s="126">
        <v>0.38048553466796875</v>
      </c>
      <c r="H137" s="126">
        <v>0.32730183005332947</v>
      </c>
      <c r="I137" s="126">
        <v>0.50404131412506104</v>
      </c>
      <c r="J137" s="126">
        <v>0.23632001876831055</v>
      </c>
      <c r="K137" s="127">
        <v>0.4562605619430542</v>
      </c>
      <c r="P137" s="119" t="s">
        <v>23</v>
      </c>
      <c r="Q137" s="292">
        <f>R25</f>
        <v>56.1</v>
      </c>
      <c r="R137" s="128">
        <f>SUMPRODUCT(W139:W140,AB139:AB140)/SUM(W139:W140)</f>
        <v>5.2911956545831029E-2</v>
      </c>
      <c r="S137" s="289">
        <v>0.3398701882422106</v>
      </c>
      <c r="T137" s="290">
        <f>S137*Q137</f>
        <v>19.066717560388014</v>
      </c>
      <c r="U137" s="291">
        <f>R137*S137</f>
        <v>1.7983196631495259E-2</v>
      </c>
      <c r="V137" s="7" t="s">
        <v>165</v>
      </c>
      <c r="W137" s="293">
        <v>0.8</v>
      </c>
      <c r="X137" s="7" t="s">
        <v>169</v>
      </c>
    </row>
    <row r="138" spans="1:34" x14ac:dyDescent="0.3">
      <c r="A138" s="92">
        <v>2030</v>
      </c>
      <c r="B138" s="125">
        <v>0.36575543880462646</v>
      </c>
      <c r="C138" s="126">
        <v>0.27433294057846069</v>
      </c>
      <c r="D138" s="126">
        <v>0.45839202404022217</v>
      </c>
      <c r="E138" s="126">
        <v>0.32289114594459534</v>
      </c>
      <c r="F138" s="126">
        <v>0.21818053722381592</v>
      </c>
      <c r="G138" s="126">
        <v>0.37494942545890808</v>
      </c>
      <c r="H138" s="126">
        <v>0.31355500221252441</v>
      </c>
      <c r="I138" s="126">
        <v>0.4925498366355896</v>
      </c>
      <c r="J138" s="126">
        <v>0.23400318622589111</v>
      </c>
      <c r="K138" s="127">
        <v>0.44634294509887695</v>
      </c>
      <c r="P138" s="119" t="s">
        <v>170</v>
      </c>
      <c r="Q138" s="294">
        <v>108</v>
      </c>
      <c r="R138" s="295">
        <f>19.29/'[2]Variable Meta-analysis'!X5*1000</f>
        <v>6.9443999944444793E-2</v>
      </c>
      <c r="S138" s="296">
        <f>12.5257423331511%*$W$137</f>
        <v>0.10020593866520883</v>
      </c>
      <c r="T138" s="290">
        <f>S138*Q138</f>
        <v>10.822241375842554</v>
      </c>
      <c r="U138" s="291">
        <f>R138*S138</f>
        <v>6.9587011990998003E-3</v>
      </c>
      <c r="V138" s="36" t="s">
        <v>165</v>
      </c>
      <c r="W138" s="7" t="s">
        <v>171</v>
      </c>
    </row>
    <row r="139" spans="1:34" x14ac:dyDescent="0.3">
      <c r="A139" s="92">
        <v>2031</v>
      </c>
      <c r="B139" s="125">
        <v>0.35084456205368042</v>
      </c>
      <c r="C139" s="126">
        <v>0.26794448494911194</v>
      </c>
      <c r="D139" s="126">
        <v>0.43307662010192871</v>
      </c>
      <c r="E139" s="126">
        <v>0.31662851572036743</v>
      </c>
      <c r="F139" s="126">
        <v>0.21576867997646332</v>
      </c>
      <c r="G139" s="126">
        <v>0.3634127676486969</v>
      </c>
      <c r="H139" s="126">
        <v>0.30188363790512085</v>
      </c>
      <c r="I139" s="126">
        <v>0.46074432134628296</v>
      </c>
      <c r="J139" s="126">
        <v>0.23397280275821686</v>
      </c>
      <c r="K139" s="127">
        <v>0.43175643682479858</v>
      </c>
      <c r="P139" s="133" t="s">
        <v>172</v>
      </c>
      <c r="Q139" s="297">
        <v>0</v>
      </c>
      <c r="R139" s="128">
        <f>SUMPRODUCT(W139:W140,AD139:AD140)/SUM(W139:W140)</f>
        <v>0.12621707696981621</v>
      </c>
      <c r="S139" s="289">
        <v>0.21450208612565966</v>
      </c>
      <c r="T139" s="290"/>
      <c r="U139" s="291">
        <f>R139*S139</f>
        <v>2.7073826314708532E-2</v>
      </c>
      <c r="V139" s="36" t="s">
        <v>165</v>
      </c>
      <c r="W139" s="132">
        <v>0.71217025281136048</v>
      </c>
      <c r="X139" s="136" t="s">
        <v>173</v>
      </c>
      <c r="Y139" s="137"/>
      <c r="AB139" s="298">
        <f>$V$26</f>
        <v>6.1165318852546162E-2</v>
      </c>
      <c r="AC139" s="7" t="s">
        <v>174</v>
      </c>
      <c r="AD139" s="298">
        <f>$V$31</f>
        <v>0.13899754666067096</v>
      </c>
      <c r="AE139" s="7" t="s">
        <v>175</v>
      </c>
    </row>
    <row r="140" spans="1:34" x14ac:dyDescent="0.3">
      <c r="A140" s="92">
        <v>2032</v>
      </c>
      <c r="B140" s="125">
        <v>0.33665934205055237</v>
      </c>
      <c r="C140" s="126">
        <v>0.26180225610733032</v>
      </c>
      <c r="D140" s="126">
        <v>0.40886789560317993</v>
      </c>
      <c r="E140" s="126">
        <v>0.3104914128780365</v>
      </c>
      <c r="F140" s="126">
        <v>0.21351645886898041</v>
      </c>
      <c r="G140" s="126">
        <v>0.35293567180633545</v>
      </c>
      <c r="H140" s="126">
        <v>0.29062280058860779</v>
      </c>
      <c r="I140" s="126">
        <v>0.42974960803985596</v>
      </c>
      <c r="J140" s="126">
        <v>0.23394380509853363</v>
      </c>
      <c r="K140" s="127">
        <v>0.41818138957023621</v>
      </c>
      <c r="P140" s="138" t="s">
        <v>176</v>
      </c>
      <c r="Q140" s="294" t="s">
        <v>177</v>
      </c>
      <c r="R140" s="139"/>
      <c r="S140" s="299">
        <v>0.11595075083748843</v>
      </c>
      <c r="T140" s="300"/>
      <c r="U140" s="140"/>
      <c r="V140" s="142" t="s">
        <v>165</v>
      </c>
      <c r="W140" s="132">
        <v>0.28782974718863941</v>
      </c>
      <c r="X140" s="13" t="s">
        <v>178</v>
      </c>
      <c r="AB140" s="298">
        <f>$V$25</f>
        <v>3.2490859776201989E-2</v>
      </c>
      <c r="AC140" s="7" t="s">
        <v>179</v>
      </c>
      <c r="AD140" s="298">
        <f>$V$50</f>
        <v>9.4594666778771055E-2</v>
      </c>
      <c r="AE140" s="7" t="s">
        <v>180</v>
      </c>
    </row>
    <row r="141" spans="1:34" ht="16.2" thickBot="1" x14ac:dyDescent="0.35">
      <c r="A141" s="92">
        <v>2033</v>
      </c>
      <c r="B141" s="125">
        <v>0.32314792275428772</v>
      </c>
      <c r="C141" s="126">
        <v>0.2558923065662384</v>
      </c>
      <c r="D141" s="126">
        <v>0.38569480180740356</v>
      </c>
      <c r="E141" s="126">
        <v>0.30447602272033691</v>
      </c>
      <c r="F141" s="126">
        <v>0.21140845119953156</v>
      </c>
      <c r="G141" s="126">
        <v>0.34337857365608215</v>
      </c>
      <c r="H141" s="126">
        <v>0.27975106239318848</v>
      </c>
      <c r="I141" s="126">
        <v>0.39953514933586121</v>
      </c>
      <c r="J141" s="126">
        <v>0.23391611874103546</v>
      </c>
      <c r="K141" s="127">
        <v>0.40551614761352539</v>
      </c>
      <c r="P141" s="119" t="s">
        <v>181</v>
      </c>
      <c r="Q141" s="294" t="s">
        <v>177</v>
      </c>
      <c r="R141" s="139"/>
      <c r="S141" s="296">
        <f>12.5257423331511%*(1-$W$137)</f>
        <v>2.50514846663022E-2</v>
      </c>
      <c r="T141" s="141"/>
      <c r="U141" s="140"/>
      <c r="V141" s="7" t="s">
        <v>165</v>
      </c>
    </row>
    <row r="142" spans="1:34" ht="27.6" thickBot="1" x14ac:dyDescent="0.35">
      <c r="A142" s="92">
        <v>2034</v>
      </c>
      <c r="B142" s="125">
        <v>0.31026357412338257</v>
      </c>
      <c r="C142" s="126">
        <v>0.25020155310630798</v>
      </c>
      <c r="D142" s="126">
        <v>0.36349257826805115</v>
      </c>
      <c r="E142" s="126">
        <v>0.29857876896858215</v>
      </c>
      <c r="F142" s="126">
        <v>0.20943129062652588</v>
      </c>
      <c r="G142" s="126">
        <v>0.33462533354759216</v>
      </c>
      <c r="H142" s="126">
        <v>0.26924872398376465</v>
      </c>
      <c r="I142" s="126">
        <v>0.37007182836532593</v>
      </c>
      <c r="J142" s="126">
        <v>0.23388956487178802</v>
      </c>
      <c r="K142" s="127">
        <v>0.39367213845252991</v>
      </c>
      <c r="S142" s="144" t="s">
        <v>182</v>
      </c>
      <c r="T142" s="145">
        <f>SUM(T135:T138)/SUM(S135:S138)</f>
        <v>87.03609646633511</v>
      </c>
      <c r="U142" s="301">
        <f>SUM(U135:U138)/SUM(S135:S138)</f>
        <v>5.3299312342836705E-2</v>
      </c>
      <c r="V142" s="302" t="s">
        <v>290</v>
      </c>
      <c r="W142" s="302"/>
    </row>
    <row r="143" spans="1:34" ht="27.6" thickBot="1" x14ac:dyDescent="0.35">
      <c r="A143" s="92">
        <v>2035</v>
      </c>
      <c r="B143" s="125">
        <v>0.29796344041824341</v>
      </c>
      <c r="C143" s="126">
        <v>0.24471819400787354</v>
      </c>
      <c r="D143" s="126">
        <v>0.34220117330551147</v>
      </c>
      <c r="E143" s="126">
        <v>0.29279622435569763</v>
      </c>
      <c r="F143" s="126">
        <v>0.20757314562797546</v>
      </c>
      <c r="G143" s="126">
        <v>0.32657867670059204</v>
      </c>
      <c r="H143" s="126">
        <v>0.25909721851348877</v>
      </c>
      <c r="I143" s="126">
        <v>0.3413318395614624</v>
      </c>
      <c r="J143" s="126">
        <v>0.23386429250240326</v>
      </c>
      <c r="K143" s="127">
        <v>0.38257205486297607</v>
      </c>
      <c r="O143" s="2"/>
      <c r="P143" s="3"/>
      <c r="Q143" s="3"/>
      <c r="R143" s="3"/>
      <c r="S143" s="144" t="s">
        <v>182</v>
      </c>
      <c r="T143" s="145">
        <f>SUM(T135:T138)/SUM(S135:S138)</f>
        <v>87.03609646633511</v>
      </c>
      <c r="U143" s="301">
        <f>SUM(U135:U139)/SUM(S135:S139)</f>
        <v>7.1507756269672984E-2</v>
      </c>
      <c r="V143" s="303" t="s">
        <v>291</v>
      </c>
      <c r="W143" s="303"/>
      <c r="X143" s="3"/>
      <c r="Y143" s="3"/>
      <c r="Z143" s="3"/>
      <c r="AA143" s="3"/>
      <c r="AB143" s="3"/>
      <c r="AC143" s="3"/>
      <c r="AD143" s="3"/>
      <c r="AE143" s="3"/>
      <c r="AF143" s="3"/>
      <c r="AG143" s="3"/>
    </row>
    <row r="144" spans="1:34" ht="15" customHeight="1" x14ac:dyDescent="0.3">
      <c r="A144" s="92">
        <v>2036</v>
      </c>
      <c r="B144" s="125">
        <v>0.28620880842208862</v>
      </c>
      <c r="C144" s="126">
        <v>0.23943100869655609</v>
      </c>
      <c r="D144" s="126">
        <v>0.32176575064659119</v>
      </c>
      <c r="E144" s="126">
        <v>0.28712502121925354</v>
      </c>
      <c r="F144" s="126">
        <v>0.205823615193367</v>
      </c>
      <c r="G144" s="126">
        <v>0.31915628910064697</v>
      </c>
      <c r="H144" s="126">
        <v>0.24927929043769836</v>
      </c>
      <c r="I144" s="126">
        <v>0.31328898668289185</v>
      </c>
      <c r="J144" s="126">
        <v>0.23384009301662445</v>
      </c>
      <c r="K144" s="127">
        <v>0.37214791774749756</v>
      </c>
      <c r="S144" s="566" t="s">
        <v>292</v>
      </c>
      <c r="T144" s="566"/>
      <c r="U144" s="566"/>
    </row>
    <row r="145" spans="1:25" x14ac:dyDescent="0.3">
      <c r="A145" s="92">
        <v>2037</v>
      </c>
      <c r="B145" s="125">
        <v>0.27496406435966492</v>
      </c>
      <c r="C145" s="126">
        <v>0.2343297004699707</v>
      </c>
      <c r="D145" s="126">
        <v>0.30213567614555359</v>
      </c>
      <c r="E145" s="126">
        <v>0.28156208992004395</v>
      </c>
      <c r="F145" s="126">
        <v>0.20417337119579315</v>
      </c>
      <c r="G145" s="126">
        <v>0.31228837370872498</v>
      </c>
      <c r="H145" s="126">
        <v>0.23977869749069214</v>
      </c>
      <c r="I145" s="126">
        <v>0.28591826558113098</v>
      </c>
      <c r="J145" s="126">
        <v>0.23381684720516205</v>
      </c>
      <c r="K145" s="127">
        <v>0.36233979463577271</v>
      </c>
      <c r="S145" s="566"/>
      <c r="T145" s="566"/>
      <c r="U145" s="566"/>
    </row>
    <row r="146" spans="1:25" x14ac:dyDescent="0.3">
      <c r="A146" s="92">
        <v>2038</v>
      </c>
      <c r="B146" s="125">
        <v>0.26419690251350403</v>
      </c>
      <c r="C146" s="126">
        <v>0.22940458357334137</v>
      </c>
      <c r="D146" s="126">
        <v>0.2832643985748291</v>
      </c>
      <c r="E146" s="126">
        <v>0.27610421180725098</v>
      </c>
      <c r="F146" s="126">
        <v>0.20261432230472565</v>
      </c>
      <c r="G146" s="126">
        <v>0.30591496825218201</v>
      </c>
      <c r="H146" s="126">
        <v>0.23058034479618073</v>
      </c>
      <c r="I146" s="126">
        <v>0.25919568538665771</v>
      </c>
      <c r="J146" s="126">
        <v>0.23379455506801605</v>
      </c>
      <c r="K146" s="127">
        <v>0.3530946671962738</v>
      </c>
    </row>
    <row r="147" spans="1:25" x14ac:dyDescent="0.3">
      <c r="A147" s="92">
        <v>2039</v>
      </c>
      <c r="B147" s="125">
        <v>0.25387731194496155</v>
      </c>
      <c r="C147" s="126">
        <v>0.22464674711227417</v>
      </c>
      <c r="D147" s="126">
        <v>0.26510855555534363</v>
      </c>
      <c r="E147" s="126">
        <v>0.27074852585792542</v>
      </c>
      <c r="F147" s="126">
        <v>0.2011389285326004</v>
      </c>
      <c r="G147" s="126">
        <v>0.29998445510864258</v>
      </c>
      <c r="H147" s="126">
        <v>0.22167003154754639</v>
      </c>
      <c r="I147" s="126">
        <v>0.23309855163097382</v>
      </c>
      <c r="J147" s="126">
        <v>0.23377318680286407</v>
      </c>
      <c r="K147" s="127">
        <v>0.34436547756195068</v>
      </c>
      <c r="P147" s="119"/>
      <c r="Q147" s="119"/>
      <c r="R147" s="119"/>
      <c r="S147" s="120" t="s">
        <v>183</v>
      </c>
      <c r="T147" s="119"/>
      <c r="U147" s="119"/>
      <c r="V147" s="7" t="s">
        <v>184</v>
      </c>
    </row>
    <row r="148" spans="1:25" x14ac:dyDescent="0.3">
      <c r="A148" s="92">
        <v>2040</v>
      </c>
      <c r="B148" s="125">
        <v>0.24397815763950348</v>
      </c>
      <c r="C148" s="126">
        <v>0.2200477123260498</v>
      </c>
      <c r="D148" s="126">
        <v>0.24762846529483795</v>
      </c>
      <c r="E148" s="126">
        <v>0.26549223065376282</v>
      </c>
      <c r="F148" s="126">
        <v>0.19974084198474884</v>
      </c>
      <c r="G148" s="126">
        <v>0.29445227980613708</v>
      </c>
      <c r="H148" s="126">
        <v>0.21303448081016541</v>
      </c>
      <c r="I148" s="126">
        <v>0.20760521292686462</v>
      </c>
      <c r="J148" s="126">
        <v>0.23375262320041656</v>
      </c>
      <c r="K148" s="127">
        <v>0.33611011505126953</v>
      </c>
      <c r="P148" s="119"/>
      <c r="Q148" s="119"/>
      <c r="R148" s="119"/>
      <c r="S148" s="124" t="s">
        <v>185</v>
      </c>
      <c r="T148" s="124" t="s">
        <v>186</v>
      </c>
      <c r="U148" s="124" t="s">
        <v>187</v>
      </c>
    </row>
    <row r="149" spans="1:25" x14ac:dyDescent="0.3">
      <c r="A149" s="92">
        <v>2041</v>
      </c>
      <c r="B149" s="125">
        <v>0.23721799254417419</v>
      </c>
      <c r="C149" s="126">
        <v>0.21928778290748596</v>
      </c>
      <c r="D149" s="126">
        <v>0.2372136265039444</v>
      </c>
      <c r="E149" s="126">
        <v>0.26131236553192139</v>
      </c>
      <c r="F149" s="126">
        <v>0.19596204161643982</v>
      </c>
      <c r="G149" s="126">
        <v>0.28299570083618164</v>
      </c>
      <c r="H149" s="126">
        <v>0.21199452877044678</v>
      </c>
      <c r="I149" s="126">
        <v>0.19718019664287567</v>
      </c>
      <c r="J149" s="126">
        <v>0.23325593769550323</v>
      </c>
      <c r="K149" s="127">
        <v>0.32018193602561951</v>
      </c>
      <c r="P149" s="119" t="s">
        <v>61</v>
      </c>
      <c r="Q149" s="288">
        <f>Q135</f>
        <v>211.11111111111114</v>
      </c>
      <c r="R149" s="129" t="s">
        <v>161</v>
      </c>
      <c r="S149" s="304">
        <f>1670/3478</f>
        <v>0.48016101207590567</v>
      </c>
      <c r="T149" s="130">
        <f>Q149*S149</f>
        <v>101.3673247715801</v>
      </c>
      <c r="U149" s="296"/>
    </row>
    <row r="150" spans="1:25" x14ac:dyDescent="0.3">
      <c r="A150" s="92">
        <v>2042</v>
      </c>
      <c r="B150" s="125">
        <v>0.23080822825431824</v>
      </c>
      <c r="C150" s="126">
        <v>0.21855899691581726</v>
      </c>
      <c r="D150" s="126">
        <v>0.22729033231735229</v>
      </c>
      <c r="E150" s="126">
        <v>0.25719606876373291</v>
      </c>
      <c r="F150" s="126">
        <v>0.19243620336055756</v>
      </c>
      <c r="G150" s="126">
        <v>0.27256116271018982</v>
      </c>
      <c r="H150" s="126">
        <v>0.21100980043411255</v>
      </c>
      <c r="I150" s="126">
        <v>0.1870696097612381</v>
      </c>
      <c r="J150" s="126">
        <v>0.23277634382247925</v>
      </c>
      <c r="K150" s="127">
        <v>0.30531948804855347</v>
      </c>
      <c r="P150" s="119" t="s">
        <v>167</v>
      </c>
      <c r="Q150" s="292">
        <f>Q136</f>
        <v>73.099999999999994</v>
      </c>
      <c r="R150" s="129" t="s">
        <v>161</v>
      </c>
      <c r="S150" s="304">
        <f>88/3478</f>
        <v>2.5301897642323174E-2</v>
      </c>
      <c r="T150" s="130">
        <f>S150*Q150</f>
        <v>1.8495687176538238</v>
      </c>
      <c r="U150" s="296"/>
      <c r="V150" s="36" t="s">
        <v>165</v>
      </c>
      <c r="W150" s="131" t="s">
        <v>188</v>
      </c>
    </row>
    <row r="151" spans="1:25" x14ac:dyDescent="0.3">
      <c r="A151" s="92">
        <v>2043</v>
      </c>
      <c r="B151" s="125">
        <v>0.210371930258614</v>
      </c>
      <c r="C151" s="126">
        <v>0.20508922820999501</v>
      </c>
      <c r="D151" s="126">
        <v>0.19182887999784401</v>
      </c>
      <c r="E151" s="126">
        <v>0.24943709487006799</v>
      </c>
      <c r="F151" s="126">
        <v>0.19264054582232501</v>
      </c>
      <c r="G151" s="126">
        <v>0.26552303490184598</v>
      </c>
      <c r="H151" s="126">
        <v>0.18669210643995399</v>
      </c>
      <c r="I151" s="126">
        <v>0.13863632565452899</v>
      </c>
      <c r="J151" s="126">
        <v>0.232451327925637</v>
      </c>
      <c r="K151" s="127">
        <v>0.296259786685308</v>
      </c>
      <c r="P151" s="119" t="s">
        <v>23</v>
      </c>
      <c r="Q151" s="294" t="s">
        <v>177</v>
      </c>
      <c r="R151" s="129" t="s">
        <v>161</v>
      </c>
      <c r="S151" s="304">
        <f>1351/3478</f>
        <v>0.3884416331224842</v>
      </c>
      <c r="T151" s="130"/>
      <c r="U151" s="296"/>
    </row>
    <row r="152" spans="1:25" x14ac:dyDescent="0.3">
      <c r="A152" s="92">
        <v>2044</v>
      </c>
      <c r="B152" s="125">
        <v>0.19890734909900601</v>
      </c>
      <c r="C152" s="126">
        <v>0.199762820913678</v>
      </c>
      <c r="D152" s="126">
        <v>0.17225154980662299</v>
      </c>
      <c r="E152" s="126">
        <v>0.24391682623397701</v>
      </c>
      <c r="F152" s="126">
        <v>0.19075252708224999</v>
      </c>
      <c r="G152" s="126">
        <v>0.25746197342163002</v>
      </c>
      <c r="H152" s="126">
        <v>0.17703012928721501</v>
      </c>
      <c r="I152" s="126">
        <v>0.112653853087908</v>
      </c>
      <c r="J152" s="126">
        <v>0.23222749029241899</v>
      </c>
      <c r="K152" s="127">
        <v>0.28500148405631398</v>
      </c>
      <c r="P152" s="119" t="s">
        <v>172</v>
      </c>
      <c r="Q152" s="294" t="s">
        <v>177</v>
      </c>
      <c r="R152" s="134" t="s">
        <v>177</v>
      </c>
      <c r="S152" s="304"/>
      <c r="T152" s="130" t="s">
        <v>189</v>
      </c>
      <c r="U152" s="296"/>
      <c r="V152" s="36" t="s">
        <v>165</v>
      </c>
      <c r="W152" s="7" t="s">
        <v>168</v>
      </c>
    </row>
    <row r="153" spans="1:25" x14ac:dyDescent="0.3">
      <c r="A153" s="92">
        <v>2045</v>
      </c>
      <c r="B153" s="125">
        <v>0.18744276793939699</v>
      </c>
      <c r="C153" s="126">
        <v>0.194436413617361</v>
      </c>
      <c r="D153" s="126">
        <v>0.15267421961540301</v>
      </c>
      <c r="E153" s="126">
        <v>0.238396557597887</v>
      </c>
      <c r="F153" s="126">
        <v>0.188864508342175</v>
      </c>
      <c r="G153" s="126">
        <v>0.24940091194141401</v>
      </c>
      <c r="H153" s="126">
        <v>0.16736815213447601</v>
      </c>
      <c r="I153" s="126">
        <v>8.6671380521286104E-2</v>
      </c>
      <c r="J153" s="126">
        <v>0.2320036526592</v>
      </c>
      <c r="K153" s="127">
        <v>0.27374318142732001</v>
      </c>
      <c r="P153" s="133" t="s">
        <v>190</v>
      </c>
      <c r="Q153" s="297">
        <f>Q139</f>
        <v>0</v>
      </c>
      <c r="R153" s="129" t="s">
        <v>161</v>
      </c>
      <c r="S153" s="304">
        <f>175/3478</f>
        <v>5.0316273720529041E-2</v>
      </c>
      <c r="T153" s="130">
        <f>S153*Q153</f>
        <v>0</v>
      </c>
      <c r="U153" s="296"/>
      <c r="V153" s="36" t="s">
        <v>165</v>
      </c>
      <c r="W153" s="132"/>
      <c r="X153" s="136" t="s">
        <v>169</v>
      </c>
      <c r="Y153" s="137"/>
    </row>
    <row r="154" spans="1:25" x14ac:dyDescent="0.3">
      <c r="A154" s="92">
        <v>2046</v>
      </c>
      <c r="B154" s="125">
        <v>0.17597818677978799</v>
      </c>
      <c r="C154" s="126">
        <v>0.18911000632104399</v>
      </c>
      <c r="D154" s="126">
        <v>0.13309688942418199</v>
      </c>
      <c r="E154" s="126">
        <v>0.23287628896179699</v>
      </c>
      <c r="F154" s="126">
        <v>0.1869764896021</v>
      </c>
      <c r="G154" s="126">
        <v>0.24133985046119899</v>
      </c>
      <c r="H154" s="126">
        <v>0.157706174981737</v>
      </c>
      <c r="I154" s="126">
        <v>6.0688907954664098E-2</v>
      </c>
      <c r="J154" s="126">
        <v>0.23177981502598199</v>
      </c>
      <c r="K154" s="127">
        <v>0.26248487879832599</v>
      </c>
      <c r="P154" s="138" t="s">
        <v>176</v>
      </c>
      <c r="Q154" s="294" t="s">
        <v>177</v>
      </c>
      <c r="R154" s="134" t="s">
        <v>177</v>
      </c>
      <c r="S154" s="305"/>
      <c r="T154" s="306"/>
      <c r="U154" s="307"/>
      <c r="V154" s="142" t="s">
        <v>165</v>
      </c>
      <c r="W154" s="7" t="s">
        <v>171</v>
      </c>
      <c r="X154" s="13"/>
    </row>
    <row r="155" spans="1:25" ht="16.2" thickBot="1" x14ac:dyDescent="0.35">
      <c r="A155" s="92">
        <v>2047</v>
      </c>
      <c r="B155" s="125">
        <v>0.16451360562018</v>
      </c>
      <c r="C155" s="126">
        <v>0.18378359902472799</v>
      </c>
      <c r="D155" s="126">
        <v>0.113519559232961</v>
      </c>
      <c r="E155" s="126">
        <v>0.22735602032570601</v>
      </c>
      <c r="F155" s="126">
        <v>0.18508847086202501</v>
      </c>
      <c r="G155" s="126">
        <v>0.233278788980983</v>
      </c>
      <c r="H155" s="126">
        <v>0.148044197828997</v>
      </c>
      <c r="I155" s="126">
        <v>3.4706435388043098E-2</v>
      </c>
      <c r="J155" s="126">
        <v>0.23155597739276401</v>
      </c>
      <c r="K155" s="127">
        <v>0.25122657616933203</v>
      </c>
      <c r="P155" s="119" t="s">
        <v>191</v>
      </c>
      <c r="Q155" s="294" t="s">
        <v>177</v>
      </c>
      <c r="R155" s="134" t="s">
        <v>177</v>
      </c>
      <c r="S155" s="305">
        <f>2/3478</f>
        <v>5.750431282346176E-4</v>
      </c>
      <c r="T155" s="306">
        <v>0</v>
      </c>
      <c r="U155" s="307">
        <v>0.11001918137776617</v>
      </c>
    </row>
    <row r="156" spans="1:25" ht="54" thickBot="1" x14ac:dyDescent="0.35">
      <c r="A156" s="92">
        <v>2048</v>
      </c>
      <c r="B156" s="125">
        <v>0.153049024460571</v>
      </c>
      <c r="C156" s="126">
        <v>0.17845719172841101</v>
      </c>
      <c r="D156" s="126">
        <v>9.3942229041741099E-2</v>
      </c>
      <c r="E156" s="126">
        <v>0.221835751689616</v>
      </c>
      <c r="F156" s="126">
        <v>0.18320045212194999</v>
      </c>
      <c r="G156" s="126">
        <v>0.22521772750076799</v>
      </c>
      <c r="H156" s="126">
        <v>0.13838222067625799</v>
      </c>
      <c r="I156" s="126">
        <v>8.7239628214210701E-3</v>
      </c>
      <c r="J156" s="126">
        <v>0.231332139759546</v>
      </c>
      <c r="K156" s="127">
        <v>0.23996827354033801</v>
      </c>
      <c r="S156" s="144" t="s">
        <v>192</v>
      </c>
      <c r="T156" s="308">
        <f>SUM(T149:T154)/SUM(S149:S154)</f>
        <v>109.31435918256869</v>
      </c>
    </row>
    <row r="157" spans="1:25" x14ac:dyDescent="0.3">
      <c r="A157" s="92">
        <v>2049</v>
      </c>
      <c r="B157" s="125">
        <v>0.14158444330096201</v>
      </c>
      <c r="C157" s="126">
        <v>0.17313078443209401</v>
      </c>
      <c r="D157" s="126">
        <v>7.4364898850520098E-2</v>
      </c>
      <c r="E157" s="126">
        <v>0.21631548305352499</v>
      </c>
      <c r="F157" s="126">
        <v>0.181312433381875</v>
      </c>
      <c r="G157" s="126">
        <v>0.217156666020552</v>
      </c>
      <c r="H157" s="126">
        <v>0.12872024352351899</v>
      </c>
      <c r="I157" s="126">
        <v>-1.7258509745200899E-2</v>
      </c>
      <c r="J157" s="126">
        <v>0.23110830212632799</v>
      </c>
      <c r="K157" s="127">
        <v>0.22870997091134401</v>
      </c>
    </row>
    <row r="158" spans="1:25" x14ac:dyDescent="0.3">
      <c r="A158" s="92">
        <v>2050</v>
      </c>
      <c r="B158" s="125">
        <v>0.13011986214135399</v>
      </c>
      <c r="C158" s="126">
        <v>0.16780437713577701</v>
      </c>
      <c r="D158" s="126">
        <v>5.4787568659300102E-2</v>
      </c>
      <c r="E158" s="126">
        <v>0.21079521441743501</v>
      </c>
      <c r="F158" s="126">
        <v>0.17942441464180001</v>
      </c>
      <c r="G158" s="126">
        <v>0.20909560454033599</v>
      </c>
      <c r="H158" s="126">
        <v>0.11905826637078</v>
      </c>
      <c r="I158" s="126">
        <v>-4.3240982311821899E-2</v>
      </c>
      <c r="J158" s="126">
        <v>0.23088446449311001</v>
      </c>
      <c r="K158" s="127">
        <v>0.21745166828234999</v>
      </c>
    </row>
    <row r="159" spans="1:25" x14ac:dyDescent="0.3">
      <c r="A159" s="92">
        <v>2051</v>
      </c>
      <c r="B159" s="125">
        <v>0.11865528098174501</v>
      </c>
      <c r="C159" s="126">
        <v>0.16247796983946</v>
      </c>
      <c r="D159" s="126">
        <v>3.5210238468079101E-2</v>
      </c>
      <c r="E159" s="126">
        <v>0.205274945781344</v>
      </c>
      <c r="F159" s="126">
        <v>0.17753639590172501</v>
      </c>
      <c r="G159" s="126">
        <v>0.201034543060121</v>
      </c>
      <c r="H159" s="126">
        <v>0.10939628921804</v>
      </c>
      <c r="I159" s="126">
        <v>-6.9223454878443905E-2</v>
      </c>
      <c r="J159" s="126">
        <v>0.230660626859892</v>
      </c>
      <c r="K159" s="127">
        <v>0.206193365653356</v>
      </c>
    </row>
    <row r="160" spans="1:25" x14ac:dyDescent="0.3">
      <c r="A160" s="92">
        <v>2052</v>
      </c>
      <c r="B160" s="125">
        <v>0.107190699822136</v>
      </c>
      <c r="C160" s="126">
        <v>0.157151562543143</v>
      </c>
      <c r="D160" s="126">
        <v>1.5632908276859099E-2</v>
      </c>
      <c r="E160" s="126">
        <v>0.19975467714525399</v>
      </c>
      <c r="F160" s="126">
        <v>0.17564837716164999</v>
      </c>
      <c r="G160" s="126">
        <v>0.19297348157990499</v>
      </c>
      <c r="H160" s="126">
        <v>9.9734312065300507E-2</v>
      </c>
      <c r="I160" s="126">
        <v>-9.5205927445065994E-2</v>
      </c>
      <c r="J160" s="126">
        <v>0.23043678922667399</v>
      </c>
      <c r="K160" s="127">
        <v>0.194935063024362</v>
      </c>
      <c r="P160" s="119"/>
      <c r="Q160" s="119" t="s">
        <v>158</v>
      </c>
      <c r="R160" s="119" t="s">
        <v>159</v>
      </c>
      <c r="S160" s="120" t="s">
        <v>193</v>
      </c>
      <c r="T160" s="119"/>
      <c r="U160" s="119"/>
    </row>
    <row r="161" spans="1:31" x14ac:dyDescent="0.3">
      <c r="A161" s="92">
        <v>2053</v>
      </c>
      <c r="B161" s="125">
        <v>9.5726118662527199E-2</v>
      </c>
      <c r="C161" s="126">
        <v>0.15182515524682599</v>
      </c>
      <c r="D161" s="126">
        <v>-3.9444219143619499E-3</v>
      </c>
      <c r="E161" s="126">
        <v>0.19423440850916401</v>
      </c>
      <c r="F161" s="126">
        <v>0.173760358421575</v>
      </c>
      <c r="G161" s="126">
        <v>0.18491242009969</v>
      </c>
      <c r="H161" s="126">
        <v>9.0072334912561502E-2</v>
      </c>
      <c r="I161" s="126">
        <v>-0.121188400011687</v>
      </c>
      <c r="J161" s="126">
        <v>0.23021295159345601</v>
      </c>
      <c r="K161" s="127">
        <v>0.18367676039536801</v>
      </c>
      <c r="P161" s="119"/>
      <c r="Q161" s="119" t="s">
        <v>161</v>
      </c>
      <c r="R161" s="119" t="s">
        <v>162</v>
      </c>
      <c r="S161" s="124" t="s">
        <v>293</v>
      </c>
      <c r="T161" s="124" t="s">
        <v>186</v>
      </c>
      <c r="U161" s="124" t="s">
        <v>187</v>
      </c>
    </row>
    <row r="162" spans="1:31" x14ac:dyDescent="0.3">
      <c r="A162" s="92">
        <v>2054</v>
      </c>
      <c r="B162" s="125">
        <v>8.4261537502919204E-2</v>
      </c>
      <c r="C162" s="126">
        <v>0.14649874795050899</v>
      </c>
      <c r="D162" s="126">
        <v>-2.3521752105581901E-2</v>
      </c>
      <c r="E162" s="126">
        <v>0.18871413987307301</v>
      </c>
      <c r="F162" s="126">
        <v>0.17187233968150101</v>
      </c>
      <c r="G162" s="126">
        <v>0.17685135861947399</v>
      </c>
      <c r="H162" s="126">
        <v>8.0410357759822498E-2</v>
      </c>
      <c r="I162" s="126">
        <v>-0.14717087257830899</v>
      </c>
      <c r="J162" s="126">
        <v>0.229989113960238</v>
      </c>
      <c r="K162" s="127">
        <v>0.17241845776637399</v>
      </c>
      <c r="P162" s="119" t="s">
        <v>61</v>
      </c>
      <c r="Q162" s="288">
        <f>R28</f>
        <v>211.11111111111114</v>
      </c>
      <c r="R162" s="128">
        <f>$V$42</f>
        <v>1.0762150006776362E-2</v>
      </c>
      <c r="S162" s="289">
        <v>0.39276519099913759</v>
      </c>
      <c r="T162" s="130">
        <f>Q162*S162</f>
        <v>82.917095877595727</v>
      </c>
      <c r="U162" s="129"/>
    </row>
    <row r="163" spans="1:31" x14ac:dyDescent="0.3">
      <c r="A163" s="92">
        <v>2055</v>
      </c>
      <c r="B163" s="125">
        <v>7.2796956343310196E-2</v>
      </c>
      <c r="C163" s="126">
        <v>0.14117234065419201</v>
      </c>
      <c r="D163" s="126">
        <v>-4.3099082296802899E-2</v>
      </c>
      <c r="E163" s="126">
        <v>0.183193871236983</v>
      </c>
      <c r="F163" s="126">
        <v>0.16998432094142599</v>
      </c>
      <c r="G163" s="126">
        <v>0.168790297139258</v>
      </c>
      <c r="H163" s="126">
        <v>7.0748380607082495E-2</v>
      </c>
      <c r="I163" s="126">
        <v>-0.173153345144931</v>
      </c>
      <c r="J163" s="126">
        <v>0.22976527632702001</v>
      </c>
      <c r="K163" s="127">
        <v>0.16116015513738</v>
      </c>
      <c r="P163" s="119" t="s">
        <v>167</v>
      </c>
      <c r="Q163" s="288">
        <f>R29</f>
        <v>73.099999999999994</v>
      </c>
      <c r="R163" s="128">
        <f>$V$44</f>
        <v>4.6571222891250597E-2</v>
      </c>
      <c r="S163" s="289">
        <v>3.4133616091552056E-2</v>
      </c>
      <c r="T163" s="130">
        <f>S163*Q163</f>
        <v>2.4951673362924551</v>
      </c>
      <c r="U163" s="129"/>
    </row>
    <row r="164" spans="1:31" ht="16.2" thickBot="1" x14ac:dyDescent="0.35">
      <c r="A164" s="92">
        <v>2056</v>
      </c>
      <c r="B164" s="125">
        <v>6.1332375183701202E-2</v>
      </c>
      <c r="C164" s="126">
        <v>0.13584593335787501</v>
      </c>
      <c r="D164" s="126">
        <v>-6.26764124880239E-2</v>
      </c>
      <c r="E164" s="126">
        <v>0.17767360260089199</v>
      </c>
      <c r="F164" s="126">
        <v>0.16809630220135099</v>
      </c>
      <c r="G164" s="126">
        <v>0.16072923565904301</v>
      </c>
      <c r="H164" s="126">
        <v>6.1086403454343498E-2</v>
      </c>
      <c r="I164" s="126">
        <v>-0.199135817711552</v>
      </c>
      <c r="J164" s="126">
        <v>0.229541438693802</v>
      </c>
      <c r="K164" s="127">
        <v>0.149901852508387</v>
      </c>
      <c r="P164" s="119" t="s">
        <v>23</v>
      </c>
      <c r="Q164" s="288">
        <f>R25</f>
        <v>56.1</v>
      </c>
      <c r="R164" s="128">
        <f>$V$43</f>
        <v>3.2490859776201989E-2</v>
      </c>
      <c r="S164" s="289">
        <v>0.22722085296507805</v>
      </c>
      <c r="T164" s="130">
        <f>S164*Q164</f>
        <v>12.747089851340879</v>
      </c>
      <c r="U164" s="129"/>
    </row>
    <row r="165" spans="1:31" ht="54" thickBot="1" x14ac:dyDescent="0.35">
      <c r="A165" s="92">
        <v>2057</v>
      </c>
      <c r="B165" s="125">
        <v>4.98677940240932E-2</v>
      </c>
      <c r="C165" s="126">
        <v>0.13051952606155801</v>
      </c>
      <c r="D165" s="126">
        <v>-8.2253742679243902E-2</v>
      </c>
      <c r="E165" s="126">
        <v>0.17215333396480201</v>
      </c>
      <c r="F165" s="126">
        <v>0.166208283461276</v>
      </c>
      <c r="G165" s="126">
        <v>0.152668174178827</v>
      </c>
      <c r="H165" s="126">
        <v>5.1424426301604501E-2</v>
      </c>
      <c r="I165" s="126">
        <v>-0.22511829027817401</v>
      </c>
      <c r="J165" s="126">
        <v>0.22931760106058299</v>
      </c>
      <c r="K165" s="127">
        <v>0.13864354987939301</v>
      </c>
      <c r="S165" s="144" t="s">
        <v>192</v>
      </c>
      <c r="T165" s="308">
        <f>SUM(T162:T164)/SUM(S162:S164)</f>
        <v>150.06329737415379</v>
      </c>
    </row>
    <row r="166" spans="1:31" x14ac:dyDescent="0.3">
      <c r="A166" s="92">
        <v>2058</v>
      </c>
      <c r="B166" s="125">
        <v>3.8403212864484199E-2</v>
      </c>
      <c r="C166" s="126">
        <v>0.125193118765241</v>
      </c>
      <c r="D166" s="126">
        <v>-0.101831072870465</v>
      </c>
      <c r="E166" s="126">
        <v>0.166633065328712</v>
      </c>
      <c r="F166" s="126">
        <v>0.16432026472120101</v>
      </c>
      <c r="G166" s="126">
        <v>0.14460711269861101</v>
      </c>
      <c r="H166" s="126">
        <v>4.1762449148865503E-2</v>
      </c>
      <c r="I166" s="126">
        <v>-0.25110076284479599</v>
      </c>
      <c r="J166" s="126">
        <v>0.22909376342736501</v>
      </c>
      <c r="K166" s="127">
        <v>0.12738524725039899</v>
      </c>
    </row>
    <row r="167" spans="1:31" x14ac:dyDescent="0.3">
      <c r="A167" s="92">
        <v>2059</v>
      </c>
      <c r="B167" s="125">
        <v>2.6938631704875201E-2</v>
      </c>
      <c r="C167" s="126">
        <v>0.119866711468924</v>
      </c>
      <c r="D167" s="126">
        <v>-0.121408403061685</v>
      </c>
      <c r="E167" s="126">
        <v>0.16111279669262099</v>
      </c>
      <c r="F167" s="126">
        <v>0.16243224598112599</v>
      </c>
      <c r="G167" s="126">
        <v>0.136546051218396</v>
      </c>
      <c r="H167" s="126">
        <v>3.21004719961255E-2</v>
      </c>
      <c r="I167" s="126">
        <v>-0.27708323541141699</v>
      </c>
      <c r="J167" s="126">
        <v>0.228869925794147</v>
      </c>
      <c r="K167" s="127">
        <v>0.11612694462140501</v>
      </c>
    </row>
    <row r="168" spans="1:31" x14ac:dyDescent="0.3">
      <c r="A168" s="92">
        <v>2060</v>
      </c>
      <c r="B168" s="125">
        <v>1.5474050545267201E-2</v>
      </c>
      <c r="C168" s="126">
        <v>0.11454030417260699</v>
      </c>
      <c r="D168" s="126">
        <v>-0.140985733252906</v>
      </c>
      <c r="E168" s="126">
        <v>0.15559252805653101</v>
      </c>
      <c r="F168" s="126">
        <v>0.160544227241051</v>
      </c>
      <c r="G168" s="126">
        <v>0.12848498973818001</v>
      </c>
      <c r="H168" s="126">
        <v>2.2438494843386499E-2</v>
      </c>
      <c r="I168" s="126">
        <v>-0.303065707978039</v>
      </c>
      <c r="J168" s="126">
        <v>0.22864608816092899</v>
      </c>
      <c r="K168" s="127">
        <v>0.104868641992411</v>
      </c>
    </row>
    <row r="169" spans="1:31" x14ac:dyDescent="0.3">
      <c r="P169" s="119"/>
      <c r="Q169" s="119" t="s">
        <v>158</v>
      </c>
      <c r="R169" s="119" t="s">
        <v>159</v>
      </c>
      <c r="S169" s="120" t="s">
        <v>194</v>
      </c>
      <c r="T169" s="119"/>
      <c r="U169" s="119"/>
    </row>
    <row r="170" spans="1:31" ht="52.8" x14ac:dyDescent="0.3">
      <c r="A170" s="91" t="s">
        <v>108</v>
      </c>
      <c r="P170" s="119"/>
      <c r="Q170" s="119" t="s">
        <v>161</v>
      </c>
      <c r="R170" s="119" t="s">
        <v>162</v>
      </c>
      <c r="S170" s="286" t="s">
        <v>294</v>
      </c>
      <c r="T170" s="124" t="s">
        <v>163</v>
      </c>
      <c r="U170" s="124" t="s">
        <v>164</v>
      </c>
      <c r="V170" s="7" t="s">
        <v>165</v>
      </c>
      <c r="W170" s="7" t="s">
        <v>166</v>
      </c>
    </row>
    <row r="171" spans="1:31" x14ac:dyDescent="0.3">
      <c r="A171" s="92" t="s">
        <v>155</v>
      </c>
      <c r="B171" s="92" t="s">
        <v>196</v>
      </c>
      <c r="P171" s="119" t="s">
        <v>61</v>
      </c>
      <c r="Q171" s="288">
        <f>(760/1000000)/(3.6*10^-6)</f>
        <v>211.11111111111114</v>
      </c>
      <c r="R171" s="128">
        <f>$V$28</f>
        <v>1.9386217842586016E-2</v>
      </c>
      <c r="S171" s="289">
        <v>2.4961768909289875E-2</v>
      </c>
      <c r="T171" s="290">
        <f>Q171*S171</f>
        <v>5.2697067697389741</v>
      </c>
      <c r="U171" s="291">
        <f>R171*S171</f>
        <v>4.8391428981178422E-4</v>
      </c>
    </row>
    <row r="172" spans="1:31" x14ac:dyDescent="0.3">
      <c r="P172" s="119" t="s">
        <v>167</v>
      </c>
      <c r="Q172" s="292">
        <v>73.099999999999994</v>
      </c>
      <c r="R172" s="128">
        <f>$V$29</f>
        <v>6.3732305317880364E-2</v>
      </c>
      <c r="S172" s="289">
        <v>0.12465365471064364</v>
      </c>
      <c r="T172" s="290">
        <f>Q172*S172</f>
        <v>9.1121821593480501</v>
      </c>
      <c r="U172" s="291">
        <f>R172*S172</f>
        <v>7.9444647810083761E-3</v>
      </c>
      <c r="V172" s="36" t="s">
        <v>165</v>
      </c>
      <c r="W172" s="131" t="s">
        <v>168</v>
      </c>
    </row>
    <row r="173" spans="1:31" x14ac:dyDescent="0.3">
      <c r="P173" s="119" t="s">
        <v>23</v>
      </c>
      <c r="Q173" s="292">
        <f>R108</f>
        <v>56.1</v>
      </c>
      <c r="R173" s="128">
        <f>SUMPRODUCT($W$175:$W$176,$AB$175:$AB$176)/SUM($W$175:$W$176)</f>
        <v>5.2911956545831029E-2</v>
      </c>
      <c r="S173" s="289">
        <v>0.23660741800792751</v>
      </c>
      <c r="T173" s="290">
        <f>Q173*S173</f>
        <v>13.273676150244734</v>
      </c>
      <c r="U173" s="291">
        <f>R173*S173</f>
        <v>1.2519361420056739E-2</v>
      </c>
      <c r="V173" s="7" t="s">
        <v>165</v>
      </c>
      <c r="W173" s="132">
        <v>0.8</v>
      </c>
      <c r="X173" s="7" t="s">
        <v>169</v>
      </c>
    </row>
    <row r="174" spans="1:31" x14ac:dyDescent="0.3">
      <c r="A174" s="93" t="str">
        <f ca="1">HYPERLINK("#"&amp;"'"&amp;A$1&amp;"'!a1","Back to top")</f>
        <v>Back to top</v>
      </c>
      <c r="P174" s="119" t="s">
        <v>172</v>
      </c>
      <c r="Q174" s="294">
        <v>0</v>
      </c>
      <c r="R174" s="135">
        <f>SUMPRODUCT(W175:W176,AD175:AD176)/SUM(W175:W176)</f>
        <v>0.12621707696981621</v>
      </c>
      <c r="S174" s="289">
        <v>0.14060087509049451</v>
      </c>
      <c r="T174" s="290">
        <f>Q174*S174</f>
        <v>0</v>
      </c>
      <c r="U174" s="291">
        <f>R174*S174</f>
        <v>1.774623147332046E-2</v>
      </c>
      <c r="V174" s="36" t="s">
        <v>165</v>
      </c>
      <c r="W174" s="7" t="s">
        <v>171</v>
      </c>
    </row>
    <row r="175" spans="1:31" ht="31.2" x14ac:dyDescent="0.3">
      <c r="P175" s="133" t="s">
        <v>195</v>
      </c>
      <c r="Q175" s="297">
        <v>108</v>
      </c>
      <c r="R175" s="309">
        <f>19.29/'[2]Variable Meta-analysis'!X5*1000</f>
        <v>6.9443999944444793E-2</v>
      </c>
      <c r="S175" s="296">
        <f>42.4546394025509%*$W$173</f>
        <v>0.33963711522040724</v>
      </c>
      <c r="T175" s="290">
        <f>Q175*S175</f>
        <v>36.680808443803983</v>
      </c>
      <c r="U175" s="291">
        <f>R175*S175</f>
        <v>2.3585759810497351E-2</v>
      </c>
      <c r="V175" s="36" t="s">
        <v>165</v>
      </c>
      <c r="W175" s="132">
        <v>0.71217025281136048</v>
      </c>
      <c r="X175" s="136" t="s">
        <v>173</v>
      </c>
      <c r="Y175" s="137"/>
      <c r="AB175" s="298">
        <f>$V$26</f>
        <v>6.1165318852546162E-2</v>
      </c>
      <c r="AC175" s="7" t="s">
        <v>174</v>
      </c>
      <c r="AD175" s="298">
        <f>$V$31</f>
        <v>0.13899754666067096</v>
      </c>
      <c r="AE175" s="7" t="s">
        <v>175</v>
      </c>
    </row>
    <row r="176" spans="1:31" x14ac:dyDescent="0.3">
      <c r="P176" s="138" t="s">
        <v>176</v>
      </c>
      <c r="Q176" s="294" t="s">
        <v>177</v>
      </c>
      <c r="R176" s="139"/>
      <c r="S176" s="299">
        <v>4.8629889256135546E-2</v>
      </c>
      <c r="T176" s="300"/>
      <c r="U176" s="310"/>
      <c r="V176" s="142" t="s">
        <v>165</v>
      </c>
      <c r="W176" s="132">
        <v>0.28782974718863941</v>
      </c>
      <c r="X176" s="13" t="s">
        <v>178</v>
      </c>
      <c r="AB176" s="298">
        <f>$V$25</f>
        <v>3.2490859776201989E-2</v>
      </c>
      <c r="AC176" s="7" t="s">
        <v>179</v>
      </c>
      <c r="AD176" s="298">
        <f>$V$50</f>
        <v>9.4594666778771055E-2</v>
      </c>
      <c r="AE176" s="7" t="s">
        <v>180</v>
      </c>
    </row>
    <row r="177" spans="1:30" ht="19.2" customHeight="1" thickBot="1" x14ac:dyDescent="0.35">
      <c r="A177" s="1" t="s">
        <v>295</v>
      </c>
      <c r="B177" s="544" t="s">
        <v>157</v>
      </c>
      <c r="C177" s="544"/>
      <c r="D177" s="544"/>
      <c r="E177" s="544"/>
      <c r="F177" s="544"/>
      <c r="G177" s="544"/>
      <c r="H177" s="544"/>
      <c r="I177" s="544"/>
      <c r="J177" s="544"/>
      <c r="K177" s="544"/>
      <c r="L177" s="2"/>
      <c r="M177" s="3"/>
      <c r="N177" s="4"/>
      <c r="P177" s="119" t="s">
        <v>181</v>
      </c>
      <c r="Q177" s="294" t="s">
        <v>177</v>
      </c>
      <c r="R177" s="139"/>
      <c r="S177" s="296">
        <f>42.4546394025509%*(1-$W$173)</f>
        <v>8.4909278805101782E-2</v>
      </c>
      <c r="T177" s="300"/>
      <c r="U177" s="310"/>
      <c r="V177" s="7" t="s">
        <v>165</v>
      </c>
      <c r="AD177" s="143"/>
    </row>
    <row r="178" spans="1:30" ht="64.5" customHeight="1" thickBot="1" x14ac:dyDescent="0.35">
      <c r="S178" s="144" t="s">
        <v>182</v>
      </c>
      <c r="T178" s="145">
        <f>SUM(T171,T172,T173,T175)/SUM(S171,S172,S173,S175)</f>
        <v>88.634691742038655</v>
      </c>
      <c r="U178" s="311">
        <f>SUM(U171:U175)/SUM(S171:S175)</f>
        <v>7.1878300182755803E-2</v>
      </c>
      <c r="Z178" s="143"/>
    </row>
    <row r="179" spans="1:30" ht="30.6" thickBot="1" x14ac:dyDescent="0.35">
      <c r="A179" s="92" t="s">
        <v>3</v>
      </c>
      <c r="B179" s="146" t="s">
        <v>4</v>
      </c>
      <c r="C179" s="146" t="s">
        <v>5</v>
      </c>
      <c r="D179" s="146" t="s">
        <v>6</v>
      </c>
      <c r="E179" s="146" t="s">
        <v>7</v>
      </c>
      <c r="F179" s="146" t="s">
        <v>8</v>
      </c>
      <c r="G179" s="146" t="s">
        <v>9</v>
      </c>
      <c r="H179" s="146" t="s">
        <v>10</v>
      </c>
      <c r="I179" s="146" t="s">
        <v>11</v>
      </c>
      <c r="J179" s="146" t="s">
        <v>12</v>
      </c>
      <c r="K179" s="146" t="s">
        <v>13</v>
      </c>
    </row>
    <row r="180" spans="1:30" x14ac:dyDescent="0.3">
      <c r="A180" s="92">
        <v>2015</v>
      </c>
      <c r="B180" s="147">
        <v>0.43162557482719421</v>
      </c>
      <c r="C180" s="148">
        <v>0.36415499448776245</v>
      </c>
      <c r="D180" s="148">
        <v>0.57968407869338989</v>
      </c>
      <c r="E180" s="148">
        <v>0.34871050715446472</v>
      </c>
      <c r="F180" s="148">
        <v>0.15233756601810455</v>
      </c>
      <c r="G180" s="148">
        <v>0.43295067548751831</v>
      </c>
      <c r="H180" s="148">
        <v>0.44208765029907227</v>
      </c>
      <c r="I180" s="148">
        <v>0.61898565292358398</v>
      </c>
      <c r="J180" s="148">
        <v>0.26680704951286316</v>
      </c>
      <c r="K180" s="149">
        <v>0.56592476367950439</v>
      </c>
    </row>
    <row r="181" spans="1:30" x14ac:dyDescent="0.3">
      <c r="A181" s="92">
        <v>2016</v>
      </c>
      <c r="B181" s="125">
        <v>0.42419242858886719</v>
      </c>
      <c r="C181" s="126">
        <v>0.35366165637969971</v>
      </c>
      <c r="D181" s="126">
        <v>0.57100391387939453</v>
      </c>
      <c r="E181" s="126">
        <v>0.33801299333572388</v>
      </c>
      <c r="F181" s="126">
        <v>0.14748890697956085</v>
      </c>
      <c r="G181" s="126">
        <v>0.41963744163513184</v>
      </c>
      <c r="H181" s="126">
        <v>0.43244948983192444</v>
      </c>
      <c r="I181" s="126">
        <v>0.60872453451156616</v>
      </c>
      <c r="J181" s="126">
        <v>0.25446507334709167</v>
      </c>
      <c r="K181" s="127">
        <v>0.55873912572860718</v>
      </c>
      <c r="Q181" s="312"/>
    </row>
    <row r="182" spans="1:30" x14ac:dyDescent="0.3">
      <c r="A182" s="92">
        <v>2017</v>
      </c>
      <c r="B182" s="125">
        <v>0.41703465580940247</v>
      </c>
      <c r="C182" s="126">
        <v>0.34301179647445679</v>
      </c>
      <c r="D182" s="126">
        <v>0.56306058168411255</v>
      </c>
      <c r="E182" s="126">
        <v>0.32731425762176514</v>
      </c>
      <c r="F182" s="126">
        <v>0.14280755817890167</v>
      </c>
      <c r="G182" s="126">
        <v>0.40753114223480225</v>
      </c>
      <c r="H182" s="126">
        <v>0.42245739698410034</v>
      </c>
      <c r="I182" s="126">
        <v>0.5993465781211853</v>
      </c>
      <c r="J182" s="126">
        <v>0.24212099611759186</v>
      </c>
      <c r="K182" s="127">
        <v>0.55244499444961548</v>
      </c>
    </row>
    <row r="183" spans="1:30" x14ac:dyDescent="0.3">
      <c r="A183" s="92">
        <v>2018</v>
      </c>
      <c r="B183" s="125">
        <v>0.41013720631599426</v>
      </c>
      <c r="C183" s="126">
        <v>0.33220189809799194</v>
      </c>
      <c r="D183" s="126">
        <v>0.55576407909393311</v>
      </c>
      <c r="E183" s="126">
        <v>0.31661438941955566</v>
      </c>
      <c r="F183" s="126">
        <v>0.13828499615192413</v>
      </c>
      <c r="G183" s="126">
        <v>0.39647474884986877</v>
      </c>
      <c r="H183" s="126">
        <v>0.41209143400192261</v>
      </c>
      <c r="I183" s="126">
        <v>0.59074276685714722</v>
      </c>
      <c r="J183" s="126">
        <v>0.22977493703365326</v>
      </c>
      <c r="K183" s="127">
        <v>0.54688620567321777</v>
      </c>
    </row>
    <row r="184" spans="1:30" x14ac:dyDescent="0.3">
      <c r="A184" s="92">
        <v>2019</v>
      </c>
      <c r="B184" s="125">
        <v>0.40348601341247559</v>
      </c>
      <c r="C184" s="126">
        <v>0.32122820615768433</v>
      </c>
      <c r="D184" s="126">
        <v>0.5490385890007019</v>
      </c>
      <c r="E184" s="126">
        <v>0.30591335892677307</v>
      </c>
      <c r="F184" s="126">
        <v>0.13391327857971191</v>
      </c>
      <c r="G184" s="126">
        <v>0.38633739948272705</v>
      </c>
      <c r="H184" s="126">
        <v>0.40133035182952881</v>
      </c>
      <c r="I184" s="126">
        <v>0.58282089233398438</v>
      </c>
      <c r="J184" s="126">
        <v>0.21742680668830872</v>
      </c>
      <c r="K184" s="127">
        <v>0.54194098711013794</v>
      </c>
    </row>
    <row r="185" spans="1:30" x14ac:dyDescent="0.3">
      <c r="A185" s="92">
        <v>2020</v>
      </c>
      <c r="B185" s="125">
        <v>0.3970683217048645</v>
      </c>
      <c r="C185" s="126">
        <v>0.31008705496788025</v>
      </c>
      <c r="D185" s="126">
        <v>0.54281938076019287</v>
      </c>
      <c r="E185" s="126">
        <v>0.29521122574806213</v>
      </c>
      <c r="F185" s="126">
        <v>0.12968498468399048</v>
      </c>
      <c r="G185" s="126">
        <v>0.37700894474983215</v>
      </c>
      <c r="H185" s="126">
        <v>0.39015099406242371</v>
      </c>
      <c r="I185" s="126">
        <v>0.57550299167633057</v>
      </c>
      <c r="J185" s="126">
        <v>0.20507663488388062</v>
      </c>
      <c r="K185" s="127">
        <v>0.53751307725906372</v>
      </c>
    </row>
    <row r="186" spans="1:30" x14ac:dyDescent="0.3">
      <c r="A186" s="92">
        <v>2021</v>
      </c>
      <c r="B186" s="125">
        <v>0.384919673204422</v>
      </c>
      <c r="C186" s="126">
        <v>0.29961013793945313</v>
      </c>
      <c r="D186" s="126">
        <v>0.52346915006637573</v>
      </c>
      <c r="E186" s="126">
        <v>0.29017990827560425</v>
      </c>
      <c r="F186" s="126">
        <v>0.129325270652771</v>
      </c>
      <c r="G186" s="126">
        <v>0.36459171772003174</v>
      </c>
      <c r="H186" s="126">
        <v>0.37635400891304016</v>
      </c>
      <c r="I186" s="126">
        <v>0.55785399675369263</v>
      </c>
      <c r="J186" s="126">
        <v>0.20131319761276245</v>
      </c>
      <c r="K186" s="127">
        <v>0.51389169692993164</v>
      </c>
    </row>
    <row r="187" spans="1:30" x14ac:dyDescent="0.3">
      <c r="A187" s="92">
        <v>2022</v>
      </c>
      <c r="B187" s="125">
        <v>0.37338638305664063</v>
      </c>
      <c r="C187" s="126">
        <v>0.28930497169494629</v>
      </c>
      <c r="D187" s="126">
        <v>0.50546568632125854</v>
      </c>
      <c r="E187" s="126">
        <v>0.2852262556552887</v>
      </c>
      <c r="F187" s="126">
        <v>0.12898954749107361</v>
      </c>
      <c r="G187" s="126">
        <v>0.35343968868255615</v>
      </c>
      <c r="H187" s="126">
        <v>0.36251989006996155</v>
      </c>
      <c r="I187" s="126">
        <v>0.54114645719528198</v>
      </c>
      <c r="J187" s="126">
        <v>0.19768306612968445</v>
      </c>
      <c r="K187" s="127">
        <v>0.49301201105117798</v>
      </c>
    </row>
    <row r="188" spans="1:30" x14ac:dyDescent="0.3">
      <c r="A188" s="92">
        <v>2023</v>
      </c>
      <c r="B188" s="125">
        <v>0.36242273449897766</v>
      </c>
      <c r="C188" s="126">
        <v>0.27916735410690308</v>
      </c>
      <c r="D188" s="126">
        <v>0.48867291212081909</v>
      </c>
      <c r="E188" s="126">
        <v>0.28034842014312744</v>
      </c>
      <c r="F188" s="126">
        <v>0.12867550551891327</v>
      </c>
      <c r="G188" s="126">
        <v>0.34336897730827332</v>
      </c>
      <c r="H188" s="126">
        <v>0.34864851832389832</v>
      </c>
      <c r="I188" s="126">
        <v>0.52530699968338013</v>
      </c>
      <c r="J188" s="126">
        <v>0.1941792219877243</v>
      </c>
      <c r="K188" s="127">
        <v>0.47442305088043213</v>
      </c>
    </row>
    <row r="189" spans="1:30" x14ac:dyDescent="0.3">
      <c r="A189" s="92">
        <v>2024</v>
      </c>
      <c r="B189" s="125">
        <v>0.35198777914047241</v>
      </c>
      <c r="C189" s="126">
        <v>0.26919323205947876</v>
      </c>
      <c r="D189" s="126">
        <v>0.47297289967536926</v>
      </c>
      <c r="E189" s="126">
        <v>0.275544673204422</v>
      </c>
      <c r="F189" s="126">
        <v>0.12838108837604523</v>
      </c>
      <c r="G189" s="126">
        <v>0.33422946929931641</v>
      </c>
      <c r="H189" s="126">
        <v>0.3347398042678833</v>
      </c>
      <c r="I189" s="126">
        <v>0.51026952266693115</v>
      </c>
      <c r="J189" s="126">
        <v>0.19079524278640747</v>
      </c>
      <c r="K189" s="127">
        <v>0.45776742696762085</v>
      </c>
    </row>
    <row r="190" spans="1:30" x14ac:dyDescent="0.3">
      <c r="A190" s="92">
        <v>2025</v>
      </c>
      <c r="B190" s="125">
        <v>0.34204390645027161</v>
      </c>
      <c r="C190" s="126">
        <v>0.25937870144844055</v>
      </c>
      <c r="D190" s="126">
        <v>0.45826226472854614</v>
      </c>
      <c r="E190" s="126">
        <v>0.27081337571144104</v>
      </c>
      <c r="F190" s="126">
        <v>0.12810452282428741</v>
      </c>
      <c r="G190" s="126">
        <v>0.32589781284332275</v>
      </c>
      <c r="H190" s="126">
        <v>0.32079359889030457</v>
      </c>
      <c r="I190" s="126">
        <v>0.49597489833831787</v>
      </c>
      <c r="J190" s="126">
        <v>0.18752507865428925</v>
      </c>
      <c r="K190" s="127">
        <v>0.44275844097137451</v>
      </c>
    </row>
    <row r="191" spans="1:30" x14ac:dyDescent="0.3">
      <c r="A191" s="92">
        <v>2026</v>
      </c>
      <c r="B191" s="125">
        <v>0.33255743980407715</v>
      </c>
      <c r="C191" s="126">
        <v>0.24971991777420044</v>
      </c>
      <c r="D191" s="126">
        <v>0.4444504976272583</v>
      </c>
      <c r="E191" s="126">
        <v>0.26615285873413086</v>
      </c>
      <c r="F191" s="126">
        <v>0.12784422934055328</v>
      </c>
      <c r="G191" s="126">
        <v>0.31827133893966675</v>
      </c>
      <c r="H191" s="126">
        <v>0.30680966377258301</v>
      </c>
      <c r="I191" s="126">
        <v>0.48236912488937378</v>
      </c>
      <c r="J191" s="126">
        <v>0.18436306715011597</v>
      </c>
      <c r="K191" s="127">
        <v>0.4291633665561676</v>
      </c>
    </row>
    <row r="192" spans="1:30" x14ac:dyDescent="0.3">
      <c r="A192" s="92">
        <v>2027</v>
      </c>
      <c r="B192" s="125">
        <v>0.323497474193573</v>
      </c>
      <c r="C192" s="126">
        <v>0.24021328985691071</v>
      </c>
      <c r="D192" s="126">
        <v>0.43145725131034851</v>
      </c>
      <c r="E192" s="126">
        <v>0.26156160235404968</v>
      </c>
      <c r="F192" s="126">
        <v>0.12759882211685181</v>
      </c>
      <c r="G192" s="126">
        <v>0.31126421689987183</v>
      </c>
      <c r="H192" s="126">
        <v>0.29278790950775146</v>
      </c>
      <c r="I192" s="126">
        <v>0.46940383315086365</v>
      </c>
      <c r="J192" s="126">
        <v>0.18130394816398621</v>
      </c>
      <c r="K192" s="127">
        <v>0.4167914092540741</v>
      </c>
    </row>
    <row r="193" spans="1:11" x14ac:dyDescent="0.3">
      <c r="A193" s="92">
        <v>2028</v>
      </c>
      <c r="B193" s="125">
        <v>0.3148358166217804</v>
      </c>
      <c r="C193" s="126">
        <v>0.23085513710975647</v>
      </c>
      <c r="D193" s="126">
        <v>0.41921219229698181</v>
      </c>
      <c r="E193" s="126">
        <v>0.25703805685043335</v>
      </c>
      <c r="F193" s="126">
        <v>0.1273670494556427</v>
      </c>
      <c r="G193" s="126">
        <v>0.30480390787124634</v>
      </c>
      <c r="H193" s="126">
        <v>0.27872815728187561</v>
      </c>
      <c r="I193" s="126">
        <v>0.45703470706939697</v>
      </c>
      <c r="J193" s="126">
        <v>0.17834277451038361</v>
      </c>
      <c r="K193" s="127">
        <v>0.40548461675643921</v>
      </c>
    </row>
    <row r="194" spans="1:11" x14ac:dyDescent="0.3">
      <c r="A194" s="92">
        <v>2029</v>
      </c>
      <c r="B194" s="125">
        <v>0.30654683709144592</v>
      </c>
      <c r="C194" s="126">
        <v>0.22164207696914673</v>
      </c>
      <c r="D194" s="126">
        <v>0.40765243768692017</v>
      </c>
      <c r="E194" s="126">
        <v>0.25258070230484009</v>
      </c>
      <c r="F194" s="126">
        <v>0.12714779376983643</v>
      </c>
      <c r="G194" s="126">
        <v>0.2988288402557373</v>
      </c>
      <c r="H194" s="126">
        <v>0.26463025808334351</v>
      </c>
      <c r="I194" s="126">
        <v>0.44522157311439514</v>
      </c>
      <c r="J194" s="126">
        <v>0.1754748523235321</v>
      </c>
      <c r="K194" s="127">
        <v>0.39511114358901978</v>
      </c>
    </row>
    <row r="195" spans="1:11" x14ac:dyDescent="0.3">
      <c r="A195" s="92">
        <v>2030</v>
      </c>
      <c r="B195" s="125">
        <v>0.29860696196556091</v>
      </c>
      <c r="C195" s="126">
        <v>0.21257075667381287</v>
      </c>
      <c r="D195" s="126">
        <v>0.39672195911407471</v>
      </c>
      <c r="E195" s="126">
        <v>0.24818810820579529</v>
      </c>
      <c r="F195" s="126">
        <v>0.12694010138511658</v>
      </c>
      <c r="G195" s="126">
        <v>0.29328635334968567</v>
      </c>
      <c r="H195" s="126">
        <v>0.25049406290054321</v>
      </c>
      <c r="I195" s="126">
        <v>0.43392771482467651</v>
      </c>
      <c r="J195" s="126">
        <v>0.17269594967365265</v>
      </c>
      <c r="K195" s="127">
        <v>0.38555997610092163</v>
      </c>
    </row>
    <row r="196" spans="1:11" x14ac:dyDescent="0.3">
      <c r="A196" s="92">
        <v>2031</v>
      </c>
      <c r="B196" s="125">
        <v>0.2838452160358429</v>
      </c>
      <c r="C196" s="126">
        <v>0.2057538777589798</v>
      </c>
      <c r="D196" s="126">
        <v>0.3718402087688446</v>
      </c>
      <c r="E196" s="126">
        <v>0.24212351441383362</v>
      </c>
      <c r="F196" s="126">
        <v>0.12550640106201172</v>
      </c>
      <c r="G196" s="126">
        <v>0.2823653519153595</v>
      </c>
      <c r="H196" s="126">
        <v>0.23833629488945007</v>
      </c>
      <c r="I196" s="126">
        <v>0.40279638767242432</v>
      </c>
      <c r="J196" s="126">
        <v>0.17209446430206299</v>
      </c>
      <c r="K196" s="127">
        <v>0.3712267279624939</v>
      </c>
    </row>
    <row r="197" spans="1:11" x14ac:dyDescent="0.3">
      <c r="A197" s="92">
        <v>2032</v>
      </c>
      <c r="B197" s="125">
        <v>0.26980173587799072</v>
      </c>
      <c r="C197" s="126">
        <v>0.19919970631599426</v>
      </c>
      <c r="D197" s="126">
        <v>0.34804615378379822</v>
      </c>
      <c r="E197" s="126">
        <v>0.23618046939373016</v>
      </c>
      <c r="F197" s="126">
        <v>0.12416759878396988</v>
      </c>
      <c r="G197" s="126">
        <v>0.27244740724563599</v>
      </c>
      <c r="H197" s="126">
        <v>0.2266061007976532</v>
      </c>
      <c r="I197" s="126">
        <v>0.37245860695838928</v>
      </c>
      <c r="J197" s="126">
        <v>0.17152096331119537</v>
      </c>
      <c r="K197" s="127">
        <v>0.35788729786872864</v>
      </c>
    </row>
    <row r="198" spans="1:11" x14ac:dyDescent="0.3">
      <c r="A198" s="92">
        <v>2033</v>
      </c>
      <c r="B198" s="125">
        <v>0.2564254105091095</v>
      </c>
      <c r="C198" s="126">
        <v>0.1928933709859848</v>
      </c>
      <c r="D198" s="126">
        <v>0.3252701461315155</v>
      </c>
      <c r="E198" s="126">
        <v>0.23035529255867004</v>
      </c>
      <c r="F198" s="126">
        <v>0.12291451543569565</v>
      </c>
      <c r="G198" s="126">
        <v>0.26340031623840332</v>
      </c>
      <c r="H198" s="126">
        <v>0.21528129279613495</v>
      </c>
      <c r="I198" s="126">
        <v>0.34288454055786133</v>
      </c>
      <c r="J198" s="126">
        <v>0.17097346484661102</v>
      </c>
      <c r="K198" s="127">
        <v>0.34544190764427185</v>
      </c>
    </row>
    <row r="199" spans="1:11" x14ac:dyDescent="0.3">
      <c r="A199" s="92">
        <v>2034</v>
      </c>
      <c r="B199" s="125">
        <v>0.24366980791091919</v>
      </c>
      <c r="C199" s="126">
        <v>0.18682101368904114</v>
      </c>
      <c r="D199" s="126">
        <v>0.30344817042350769</v>
      </c>
      <c r="E199" s="126">
        <v>0.22464455664157867</v>
      </c>
      <c r="F199" s="126">
        <v>0.1217392235994339</v>
      </c>
      <c r="G199" s="126">
        <v>0.25511419773101807</v>
      </c>
      <c r="H199" s="126">
        <v>0.20434126257896423</v>
      </c>
      <c r="I199" s="126">
        <v>0.31404560804367065</v>
      </c>
      <c r="J199" s="126">
        <v>0.17045027017593384</v>
      </c>
      <c r="K199" s="127">
        <v>0.33380350470542908</v>
      </c>
    </row>
    <row r="200" spans="1:11" x14ac:dyDescent="0.3">
      <c r="A200" s="92">
        <v>2035</v>
      </c>
      <c r="B200" s="125">
        <v>0.23149263858795166</v>
      </c>
      <c r="C200" s="126">
        <v>0.18096990883350372</v>
      </c>
      <c r="D200" s="126">
        <v>0.28252151608467102</v>
      </c>
      <c r="E200" s="126">
        <v>0.21904487907886505</v>
      </c>
      <c r="F200" s="126">
        <v>0.12063467502593994</v>
      </c>
      <c r="G200" s="126">
        <v>0.24749696254730225</v>
      </c>
      <c r="H200" s="126">
        <v>0.19376666843891144</v>
      </c>
      <c r="I200" s="126">
        <v>0.28591480851173401</v>
      </c>
      <c r="J200" s="126">
        <v>0.16994981467723846</v>
      </c>
      <c r="K200" s="127">
        <v>0.32289609313011169</v>
      </c>
    </row>
    <row r="201" spans="1:11" x14ac:dyDescent="0.3">
      <c r="A201" s="92">
        <v>2036</v>
      </c>
      <c r="B201" s="125">
        <v>0.21985550224781036</v>
      </c>
      <c r="C201" s="126">
        <v>0.17532815039157867</v>
      </c>
      <c r="D201" s="126">
        <v>0.26243612170219421</v>
      </c>
      <c r="E201" s="126">
        <v>0.21355302631855011</v>
      </c>
      <c r="F201" s="126">
        <v>0.11959468573331833</v>
      </c>
      <c r="G201" s="126">
        <v>0.24047073721885681</v>
      </c>
      <c r="H201" s="126">
        <v>0.18353950977325439</v>
      </c>
      <c r="I201" s="126">
        <v>0.25846639275550842</v>
      </c>
      <c r="J201" s="126">
        <v>0.1694706529378891</v>
      </c>
      <c r="K201" s="127">
        <v>0.31265297532081604</v>
      </c>
    </row>
    <row r="202" spans="1:11" x14ac:dyDescent="0.3">
      <c r="A202" s="92">
        <v>2037</v>
      </c>
      <c r="B202" s="125">
        <v>0.20872317254543304</v>
      </c>
      <c r="C202" s="126">
        <v>0.16988472640514374</v>
      </c>
      <c r="D202" s="126">
        <v>0.24314236640930176</v>
      </c>
      <c r="E202" s="126">
        <v>0.20816598832607269</v>
      </c>
      <c r="F202" s="126">
        <v>0.11861373484134674</v>
      </c>
      <c r="G202" s="126">
        <v>0.23396928608417511</v>
      </c>
      <c r="H202" s="126">
        <v>0.17364297807216644</v>
      </c>
      <c r="I202" s="126">
        <v>0.23167577385902405</v>
      </c>
      <c r="J202" s="126">
        <v>0.16901141405105591</v>
      </c>
      <c r="K202" s="127">
        <v>0.30301511287689209</v>
      </c>
    </row>
    <row r="203" spans="1:11" x14ac:dyDescent="0.3">
      <c r="A203" s="92">
        <v>2038</v>
      </c>
      <c r="B203" s="125">
        <v>0.19806359708309174</v>
      </c>
      <c r="C203" s="126">
        <v>0.16462931036949158</v>
      </c>
      <c r="D203" s="126">
        <v>0.22459429502487183</v>
      </c>
      <c r="E203" s="126">
        <v>0.20288076996803284</v>
      </c>
      <c r="F203" s="126">
        <v>0.11768694221973419</v>
      </c>
      <c r="G203" s="126">
        <v>0.2279360294342041</v>
      </c>
      <c r="H203" s="126">
        <v>0.16406126320362091</v>
      </c>
      <c r="I203" s="126">
        <v>0.20551958680152893</v>
      </c>
      <c r="J203" s="126">
        <v>0.16857090592384338</v>
      </c>
      <c r="K203" s="127">
        <v>0.29393044114112854</v>
      </c>
    </row>
    <row r="204" spans="1:11" x14ac:dyDescent="0.3">
      <c r="A204" s="92">
        <v>2039</v>
      </c>
      <c r="B204" s="125">
        <v>0.18784719705581665</v>
      </c>
      <c r="C204" s="126">
        <v>0.15955238044261932</v>
      </c>
      <c r="D204" s="126">
        <v>0.20674952864646912</v>
      </c>
      <c r="E204" s="126">
        <v>0.19769445061683655</v>
      </c>
      <c r="F204" s="126">
        <v>0.11680995672941208</v>
      </c>
      <c r="G204" s="126">
        <v>0.22232198715209961</v>
      </c>
      <c r="H204" s="126">
        <v>0.1547795832157135</v>
      </c>
      <c r="I204" s="126">
        <v>0.17997556924819946</v>
      </c>
      <c r="J204" s="126">
        <v>0.16814801096916199</v>
      </c>
      <c r="K204" s="127">
        <v>0.28535276651382446</v>
      </c>
    </row>
    <row r="205" spans="1:11" x14ac:dyDescent="0.3">
      <c r="A205" s="92">
        <v>2040</v>
      </c>
      <c r="B205" s="125">
        <v>0.17804697155952454</v>
      </c>
      <c r="C205" s="126">
        <v>0.15464493632316589</v>
      </c>
      <c r="D205" s="126">
        <v>0.18956878781318665</v>
      </c>
      <c r="E205" s="126">
        <v>0.19260434806346893</v>
      </c>
      <c r="F205" s="126">
        <v>0.11597885936498642</v>
      </c>
      <c r="G205" s="126">
        <v>0.21708504855632782</v>
      </c>
      <c r="H205" s="126">
        <v>0.14578410983085632</v>
      </c>
      <c r="I205" s="126">
        <v>0.15502254664897919</v>
      </c>
      <c r="J205" s="126">
        <v>0.16774168610572815</v>
      </c>
      <c r="K205" s="127">
        <v>0.27724072337150574</v>
      </c>
    </row>
    <row r="206" spans="1:11" x14ac:dyDescent="0.3">
      <c r="A206" s="92">
        <v>2041</v>
      </c>
      <c r="B206" s="125">
        <v>0.17143683135509491</v>
      </c>
      <c r="C206" s="126">
        <v>0.15349093079566956</v>
      </c>
      <c r="D206" s="126">
        <v>0.17954663932323456</v>
      </c>
      <c r="E206" s="126">
        <v>0.18858732283115387</v>
      </c>
      <c r="F206" s="126">
        <v>0.11269570887088776</v>
      </c>
      <c r="G206" s="126">
        <v>0.20628957450389862</v>
      </c>
      <c r="H206" s="126">
        <v>0.14425285160541534</v>
      </c>
      <c r="I206" s="126">
        <v>0.14491261541843414</v>
      </c>
      <c r="J206" s="126">
        <v>0.16694821417331696</v>
      </c>
      <c r="K206" s="127">
        <v>0.2619972825050354</v>
      </c>
    </row>
    <row r="207" spans="1:11" x14ac:dyDescent="0.3">
      <c r="A207" s="92">
        <v>2042</v>
      </c>
      <c r="B207" s="125">
        <v>0.16516925394535065</v>
      </c>
      <c r="C207" s="126">
        <v>0.15238425135612488</v>
      </c>
      <c r="D207" s="126">
        <v>0.1699974536895752</v>
      </c>
      <c r="E207" s="126">
        <v>0.18463137745857239</v>
      </c>
      <c r="F207" s="126">
        <v>0.10963230580091476</v>
      </c>
      <c r="G207" s="126">
        <v>0.19645713269710541</v>
      </c>
      <c r="H207" s="126">
        <v>0.14280284941196442</v>
      </c>
      <c r="I207" s="126">
        <v>0.13510765135288239</v>
      </c>
      <c r="J207" s="126">
        <v>0.1661820262670517</v>
      </c>
      <c r="K207" s="127">
        <v>0.24777375161647797</v>
      </c>
    </row>
    <row r="208" spans="1:11" x14ac:dyDescent="0.3">
      <c r="A208" s="92">
        <v>2043</v>
      </c>
      <c r="B208" s="125">
        <v>0.14732168756033201</v>
      </c>
      <c r="C208" s="126">
        <v>0.13151096732992901</v>
      </c>
      <c r="D208" s="126">
        <v>0.143124102840298</v>
      </c>
      <c r="E208" s="126">
        <v>0.17798334869899299</v>
      </c>
      <c r="F208" s="126">
        <v>0.11262352741078301</v>
      </c>
      <c r="G208" s="126">
        <v>0.18980567753315</v>
      </c>
      <c r="H208" s="126">
        <v>0.11021064378713299</v>
      </c>
      <c r="I208" s="126">
        <v>0.10601133743398999</v>
      </c>
      <c r="J208" s="126">
        <v>0.16112779574958899</v>
      </c>
      <c r="K208" s="127">
        <v>0.23541650176048301</v>
      </c>
    </row>
    <row r="209" spans="1:11" x14ac:dyDescent="0.3">
      <c r="A209" s="92">
        <v>2044</v>
      </c>
      <c r="B209" s="125">
        <v>0.13636719930664901</v>
      </c>
      <c r="C209" s="126">
        <v>0.12471061645818</v>
      </c>
      <c r="D209" s="126">
        <v>0.12519990405193801</v>
      </c>
      <c r="E209" s="126">
        <v>0.17277845908376499</v>
      </c>
      <c r="F209" s="126">
        <v>0.11169227421059599</v>
      </c>
      <c r="G209" s="126">
        <v>0.18219048040253799</v>
      </c>
      <c r="H209" s="126">
        <v>9.8874387301896405E-2</v>
      </c>
      <c r="I209" s="126">
        <v>8.3496757848818201E-2</v>
      </c>
      <c r="J209" s="126">
        <v>0.15982690952101999</v>
      </c>
      <c r="K209" s="127">
        <v>0.22393103518656299</v>
      </c>
    </row>
    <row r="210" spans="1:11" x14ac:dyDescent="0.3">
      <c r="A210" s="92">
        <v>2045</v>
      </c>
      <c r="B210" s="125">
        <v>0.125412711052966</v>
      </c>
      <c r="C210" s="126">
        <v>0.11791026558643</v>
      </c>
      <c r="D210" s="126">
        <v>0.107275705263579</v>
      </c>
      <c r="E210" s="126">
        <v>0.16757356946853799</v>
      </c>
      <c r="F210" s="126">
        <v>0.11076102101040999</v>
      </c>
      <c r="G210" s="126">
        <v>0.17457528327192601</v>
      </c>
      <c r="H210" s="126">
        <v>8.7538130816660398E-2</v>
      </c>
      <c r="I210" s="126">
        <v>6.09821782636462E-2</v>
      </c>
      <c r="J210" s="126">
        <v>0.158526023292452</v>
      </c>
      <c r="K210" s="127">
        <v>0.21244556861264299</v>
      </c>
    </row>
    <row r="211" spans="1:11" x14ac:dyDescent="0.3">
      <c r="A211" s="92">
        <v>2046</v>
      </c>
      <c r="B211" s="125">
        <v>0.114458222799283</v>
      </c>
      <c r="C211" s="126">
        <v>0.111109914714681</v>
      </c>
      <c r="D211" s="126">
        <v>8.9351506475219097E-2</v>
      </c>
      <c r="E211" s="126">
        <v>0.16236867985331099</v>
      </c>
      <c r="F211" s="126">
        <v>0.10982976781022299</v>
      </c>
      <c r="G211" s="126">
        <v>0.166960086141314</v>
      </c>
      <c r="H211" s="126">
        <v>7.6201874331424405E-2</v>
      </c>
      <c r="I211" s="126">
        <v>3.8467598678474199E-2</v>
      </c>
      <c r="J211" s="126">
        <v>0.157225137063883</v>
      </c>
      <c r="K211" s="127">
        <v>0.200960102038724</v>
      </c>
    </row>
    <row r="212" spans="1:11" x14ac:dyDescent="0.3">
      <c r="A212" s="92">
        <v>2047</v>
      </c>
      <c r="B212" s="125">
        <v>0.1035037345456</v>
      </c>
      <c r="C212" s="126">
        <v>0.104309563842932</v>
      </c>
      <c r="D212" s="126">
        <v>7.1427307686859107E-2</v>
      </c>
      <c r="E212" s="126">
        <v>0.157163790238083</v>
      </c>
      <c r="F212" s="126">
        <v>0.108898514610036</v>
      </c>
      <c r="G212" s="126">
        <v>0.15934488901070201</v>
      </c>
      <c r="H212" s="126">
        <v>6.4865617846187398E-2</v>
      </c>
      <c r="I212" s="126">
        <v>1.5953019093302202E-2</v>
      </c>
      <c r="J212" s="126">
        <v>0.155924250835315</v>
      </c>
      <c r="K212" s="127">
        <v>0.189474635464804</v>
      </c>
    </row>
    <row r="213" spans="1:11" x14ac:dyDescent="0.3">
      <c r="A213" s="92">
        <v>2048</v>
      </c>
      <c r="B213" s="125">
        <v>9.2549246291917006E-2</v>
      </c>
      <c r="C213" s="126">
        <v>9.7509212971181605E-2</v>
      </c>
      <c r="D213" s="126">
        <v>5.3503108898500101E-2</v>
      </c>
      <c r="E213" s="126">
        <v>0.151958900622856</v>
      </c>
      <c r="F213" s="126">
        <v>0.107967261409849</v>
      </c>
      <c r="G213" s="126">
        <v>0.15172969188009</v>
      </c>
      <c r="H213" s="126">
        <v>5.3529361360951398E-2</v>
      </c>
      <c r="I213" s="126">
        <v>-6.5615604918708402E-3</v>
      </c>
      <c r="J213" s="126">
        <v>0.154623364606746</v>
      </c>
      <c r="K213" s="127">
        <v>0.17798916889088501</v>
      </c>
    </row>
    <row r="214" spans="1:11" x14ac:dyDescent="0.3">
      <c r="A214" s="92">
        <v>2049</v>
      </c>
      <c r="B214" s="125">
        <v>8.1594758038234003E-2</v>
      </c>
      <c r="C214" s="126">
        <v>9.0708862099432602E-2</v>
      </c>
      <c r="D214" s="126">
        <v>3.5578910110140097E-2</v>
      </c>
      <c r="E214" s="126">
        <v>0.146754011007628</v>
      </c>
      <c r="F214" s="126">
        <v>0.107036008209662</v>
      </c>
      <c r="G214" s="126">
        <v>0.14411449474947799</v>
      </c>
      <c r="H214" s="126">
        <v>4.2193104875715398E-2</v>
      </c>
      <c r="I214" s="126">
        <v>-2.90761400770428E-2</v>
      </c>
      <c r="J214" s="126">
        <v>0.153322478378178</v>
      </c>
      <c r="K214" s="127">
        <v>0.16650370231696501</v>
      </c>
    </row>
    <row r="215" spans="1:11" x14ac:dyDescent="0.3">
      <c r="A215" s="92">
        <v>2050</v>
      </c>
      <c r="B215" s="125">
        <v>7.0640269784550999E-2</v>
      </c>
      <c r="C215" s="126">
        <v>8.39085112276826E-2</v>
      </c>
      <c r="D215" s="126">
        <v>1.7654711321780099E-2</v>
      </c>
      <c r="E215" s="126">
        <v>0.141549121392401</v>
      </c>
      <c r="F215" s="126">
        <v>0.106104755009475</v>
      </c>
      <c r="G215" s="126">
        <v>0.13649929761886601</v>
      </c>
      <c r="H215" s="126">
        <v>3.0856848390478399E-2</v>
      </c>
      <c r="I215" s="126">
        <v>-5.1590719662214797E-2</v>
      </c>
      <c r="J215" s="126">
        <v>0.152021592149609</v>
      </c>
      <c r="K215" s="127">
        <v>0.15501823574304599</v>
      </c>
    </row>
    <row r="216" spans="1:11" x14ac:dyDescent="0.3">
      <c r="A216" s="92">
        <v>2051</v>
      </c>
      <c r="B216" s="125">
        <v>5.9685781530868003E-2</v>
      </c>
      <c r="C216" s="126">
        <v>7.7108160355933597E-2</v>
      </c>
      <c r="D216" s="126">
        <v>-2.6948746657884398E-4</v>
      </c>
      <c r="E216" s="126">
        <v>0.136344231777174</v>
      </c>
      <c r="F216" s="126">
        <v>0.105173501809289</v>
      </c>
      <c r="G216" s="126">
        <v>0.12888410048825399</v>
      </c>
      <c r="H216" s="126">
        <v>1.9520591905242399E-2</v>
      </c>
      <c r="I216" s="126">
        <v>-7.4105299247386805E-2</v>
      </c>
      <c r="J216" s="126">
        <v>0.15072070592104</v>
      </c>
      <c r="K216" s="127">
        <v>0.143532769169126</v>
      </c>
    </row>
    <row r="217" spans="1:11" x14ac:dyDescent="0.3">
      <c r="A217" s="92">
        <v>2052</v>
      </c>
      <c r="B217" s="125">
        <v>4.8731293277184999E-2</v>
      </c>
      <c r="C217" s="126">
        <v>7.0307809484184594E-2</v>
      </c>
      <c r="D217" s="126">
        <v>-1.81936862549389E-2</v>
      </c>
      <c r="E217" s="126">
        <v>0.131139342161946</v>
      </c>
      <c r="F217" s="126">
        <v>0.104242248609102</v>
      </c>
      <c r="G217" s="126">
        <v>0.121268903357642</v>
      </c>
      <c r="H217" s="126">
        <v>8.1843354200064108E-3</v>
      </c>
      <c r="I217" s="126">
        <v>-9.6619878832558806E-2</v>
      </c>
      <c r="J217" s="126">
        <v>0.14941981969247201</v>
      </c>
      <c r="K217" s="127">
        <v>0.132047302595207</v>
      </c>
    </row>
    <row r="218" spans="1:11" x14ac:dyDescent="0.3">
      <c r="A218" s="92">
        <v>2053</v>
      </c>
      <c r="B218" s="125">
        <v>3.7776805023502003E-2</v>
      </c>
      <c r="C218" s="126">
        <v>6.3507458612434606E-2</v>
      </c>
      <c r="D218" s="126">
        <v>-3.6117885043298797E-2</v>
      </c>
      <c r="E218" s="126">
        <v>0.12593445254671901</v>
      </c>
      <c r="F218" s="126">
        <v>0.103310995408915</v>
      </c>
      <c r="G218" s="126">
        <v>0.11365370622703</v>
      </c>
      <c r="H218" s="126">
        <v>-3.1519210652296002E-3</v>
      </c>
      <c r="I218" s="126">
        <v>-0.119134458417731</v>
      </c>
      <c r="J218" s="126">
        <v>0.14811893346390301</v>
      </c>
      <c r="K218" s="127">
        <v>0.12056183602128701</v>
      </c>
    </row>
    <row r="219" spans="1:11" x14ac:dyDescent="0.3">
      <c r="A219" s="92">
        <v>2054</v>
      </c>
      <c r="B219" s="125">
        <v>2.6822316769818999E-2</v>
      </c>
      <c r="C219" s="126">
        <v>5.6707107740685499E-2</v>
      </c>
      <c r="D219" s="126">
        <v>-5.40420838316579E-2</v>
      </c>
      <c r="E219" s="126">
        <v>0.12072956293149099</v>
      </c>
      <c r="F219" s="126">
        <v>0.102379742208728</v>
      </c>
      <c r="G219" s="126">
        <v>0.106038509096418</v>
      </c>
      <c r="H219" s="126">
        <v>-1.4488177550466601E-2</v>
      </c>
      <c r="I219" s="126">
        <v>-0.14164903800290399</v>
      </c>
      <c r="J219" s="126">
        <v>0.14681804723533501</v>
      </c>
      <c r="K219" s="127">
        <v>0.109076369447367</v>
      </c>
    </row>
    <row r="220" spans="1:11" x14ac:dyDescent="0.3">
      <c r="A220" s="92">
        <v>2055</v>
      </c>
      <c r="B220" s="125">
        <v>1.5867828516135999E-2</v>
      </c>
      <c r="C220" s="126">
        <v>4.9906756868935601E-2</v>
      </c>
      <c r="D220" s="126">
        <v>-7.1966282620017905E-2</v>
      </c>
      <c r="E220" s="126">
        <v>0.115524673316264</v>
      </c>
      <c r="F220" s="126">
        <v>0.101448489008541</v>
      </c>
      <c r="G220" s="126">
        <v>9.8423311965806004E-2</v>
      </c>
      <c r="H220" s="126">
        <v>-2.5824434035702601E-2</v>
      </c>
      <c r="I220" s="126">
        <v>-0.16416361758807599</v>
      </c>
      <c r="J220" s="126">
        <v>0.14551716100676601</v>
      </c>
      <c r="K220" s="127">
        <v>9.7590902873448099E-2</v>
      </c>
    </row>
    <row r="221" spans="1:11" x14ac:dyDescent="0.3">
      <c r="A221" s="92">
        <v>2056</v>
      </c>
      <c r="B221" s="125">
        <v>4.9133402624519902E-3</v>
      </c>
      <c r="C221" s="126">
        <v>4.3106405997186598E-2</v>
      </c>
      <c r="D221" s="126">
        <v>-8.9890481408376896E-2</v>
      </c>
      <c r="E221" s="126">
        <v>0.110319783701037</v>
      </c>
      <c r="F221" s="126">
        <v>0.100517235808355</v>
      </c>
      <c r="G221" s="126">
        <v>9.0808114835194007E-2</v>
      </c>
      <c r="H221" s="126">
        <v>-3.7160690520938601E-2</v>
      </c>
      <c r="I221" s="126">
        <v>-0.18667819717324799</v>
      </c>
      <c r="J221" s="126">
        <v>0.14421627477819801</v>
      </c>
      <c r="K221" s="127">
        <v>8.6105436299528104E-2</v>
      </c>
    </row>
    <row r="222" spans="1:11" x14ac:dyDescent="0.3">
      <c r="A222" s="92">
        <v>2057</v>
      </c>
      <c r="B222" s="125">
        <v>-6.0411479912310098E-3</v>
      </c>
      <c r="C222" s="126">
        <v>3.6306055125437602E-2</v>
      </c>
      <c r="D222" s="126">
        <v>-0.107814680196737</v>
      </c>
      <c r="E222" s="126">
        <v>0.105114894085809</v>
      </c>
      <c r="F222" s="126">
        <v>9.95859826081677E-2</v>
      </c>
      <c r="G222" s="126">
        <v>8.3192917704581995E-2</v>
      </c>
      <c r="H222" s="126">
        <v>-4.84969470061756E-2</v>
      </c>
      <c r="I222" s="126">
        <v>-0.20919277675841999</v>
      </c>
      <c r="J222" s="126">
        <v>0.14291538854962901</v>
      </c>
      <c r="K222" s="127">
        <v>7.4619969725609095E-2</v>
      </c>
    </row>
    <row r="223" spans="1:11" x14ac:dyDescent="0.3">
      <c r="A223" s="92">
        <v>2058</v>
      </c>
      <c r="B223" s="125">
        <v>-1.6995636244914E-2</v>
      </c>
      <c r="C223" s="126">
        <v>2.9505704253687599E-2</v>
      </c>
      <c r="D223" s="126">
        <v>-0.125738878985097</v>
      </c>
      <c r="E223" s="126">
        <v>9.9910004470581598E-2</v>
      </c>
      <c r="F223" s="126">
        <v>9.8654729407980896E-2</v>
      </c>
      <c r="G223" s="126">
        <v>7.5577720573970095E-2</v>
      </c>
      <c r="H223" s="126">
        <v>-5.98332034914116E-2</v>
      </c>
      <c r="I223" s="126">
        <v>-0.23170735634359199</v>
      </c>
      <c r="J223" s="126">
        <v>0.14161450232105999</v>
      </c>
      <c r="K223" s="127">
        <v>6.31345031516891E-2</v>
      </c>
    </row>
    <row r="224" spans="1:11" x14ac:dyDescent="0.3">
      <c r="A224" s="92">
        <v>2059</v>
      </c>
      <c r="B224" s="125">
        <v>-2.7950124498597E-2</v>
      </c>
      <c r="C224" s="126">
        <v>2.2705353381938499E-2</v>
      </c>
      <c r="D224" s="126">
        <v>-0.14366307777345599</v>
      </c>
      <c r="E224" s="126">
        <v>9.47051148553536E-2</v>
      </c>
      <c r="F224" s="126">
        <v>9.7723476207794105E-2</v>
      </c>
      <c r="G224" s="126">
        <v>6.7962523443358E-2</v>
      </c>
      <c r="H224" s="126">
        <v>-7.11694599766476E-2</v>
      </c>
      <c r="I224" s="126">
        <v>-0.25422193592876402</v>
      </c>
      <c r="J224" s="126">
        <v>0.14031361609249199</v>
      </c>
      <c r="K224" s="127">
        <v>5.1649036577770098E-2</v>
      </c>
    </row>
    <row r="225" spans="1:13" x14ac:dyDescent="0.3">
      <c r="A225" s="92">
        <v>2060</v>
      </c>
      <c r="B225" s="125">
        <v>-3.890461275228E-2</v>
      </c>
      <c r="C225" s="126">
        <v>1.5905002510188601E-2</v>
      </c>
      <c r="D225" s="126">
        <v>-0.16158727656181601</v>
      </c>
      <c r="E225" s="126">
        <v>8.9500225240126602E-2</v>
      </c>
      <c r="F225" s="126">
        <v>9.67922230076073E-2</v>
      </c>
      <c r="G225" s="126">
        <v>6.0347326312746002E-2</v>
      </c>
      <c r="H225" s="126">
        <v>-8.2505716461884607E-2</v>
      </c>
      <c r="I225" s="126">
        <v>-0.27673651551393702</v>
      </c>
      <c r="J225" s="126">
        <v>0.13901272986392299</v>
      </c>
      <c r="K225" s="127">
        <v>4.0163570003850103E-2</v>
      </c>
    </row>
    <row r="227" spans="1:13" x14ac:dyDescent="0.3">
      <c r="A227" s="91" t="s">
        <v>108</v>
      </c>
    </row>
    <row r="228" spans="1:13" x14ac:dyDescent="0.3">
      <c r="A228" s="92" t="s">
        <v>155</v>
      </c>
      <c r="B228" s="92" t="s">
        <v>156</v>
      </c>
    </row>
    <row r="231" spans="1:13" x14ac:dyDescent="0.3">
      <c r="A231" s="93" t="str">
        <f ca="1">HYPERLINK("#"&amp;"'"&amp;A$1&amp;"'!a1","Back to top")</f>
        <v>Back to top</v>
      </c>
    </row>
    <row r="237" spans="1:13" ht="18.600000000000001" x14ac:dyDescent="0.3">
      <c r="A237" s="1" t="s">
        <v>2</v>
      </c>
      <c r="B237" s="544" t="s">
        <v>157</v>
      </c>
      <c r="C237" s="544"/>
      <c r="D237" s="544"/>
      <c r="E237" s="544"/>
      <c r="F237" s="544"/>
      <c r="G237" s="544"/>
      <c r="H237" s="544"/>
      <c r="I237" s="544"/>
      <c r="J237" s="544"/>
      <c r="K237" s="544"/>
      <c r="L237" s="2"/>
      <c r="M237" s="3"/>
    </row>
    <row r="240" spans="1:13" x14ac:dyDescent="0.3">
      <c r="A240" s="545" t="s">
        <v>197</v>
      </c>
      <c r="B240" s="546"/>
      <c r="C240" s="546"/>
      <c r="D240" s="547"/>
    </row>
    <row r="241" spans="1:4" x14ac:dyDescent="0.3">
      <c r="A241" s="150"/>
      <c r="B241" s="151" t="str">
        <f>IF('[2]Advanced Controls'!$C$174="IPCC Only",'Emissions Factors'!$G$290,'Emissions Factors'!$B$290)</f>
        <v>Mean</v>
      </c>
      <c r="C241" s="151" t="s">
        <v>199</v>
      </c>
      <c r="D241" s="151" t="s">
        <v>200</v>
      </c>
    </row>
    <row r="242" spans="1:4" x14ac:dyDescent="0.3">
      <c r="A242" s="150">
        <v>2015</v>
      </c>
      <c r="B242" s="152">
        <f>IF('[2]Advanced Controls'!$C$174="IPCC Only",'Emissions Factors'!G291,'Emissions Factors'!B291)</f>
        <v>0.61738162752325509</v>
      </c>
      <c r="C242" s="152">
        <f>IF('[2]Advanced Controls'!$C$174="IPCC Only",'Emissions Factors'!H291,'Emissions Factors'!C291)</f>
        <v>0.83081787706966437</v>
      </c>
      <c r="D242" s="152">
        <f>IF('[2]Advanced Controls'!$C$174="IPCC Only",'Emissions Factors'!I291,'Emissions Factors'!D291)</f>
        <v>0.44651180006653413</v>
      </c>
    </row>
    <row r="243" spans="1:4" x14ac:dyDescent="0.3">
      <c r="A243" s="150">
        <v>2016</v>
      </c>
      <c r="B243" s="152">
        <f>IF('[2]Advanced Controls'!$C$174="IPCC Only",'Emissions Factors'!G292,'Emissions Factors'!B292)</f>
        <v>0.61305371191767377</v>
      </c>
      <c r="C243" s="152">
        <f>IF('[2]Advanced Controls'!$C$174="IPCC Only",'Emissions Factors'!H292,'Emissions Factors'!C292)</f>
        <v>0.82469890151202141</v>
      </c>
      <c r="D243" s="152">
        <f>IF('[2]Advanced Controls'!$C$174="IPCC Only",'Emissions Factors'!I292,'Emissions Factors'!D292)</f>
        <v>0.44340440007867132</v>
      </c>
    </row>
    <row r="244" spans="1:4" x14ac:dyDescent="0.3">
      <c r="A244" s="150">
        <v>2017</v>
      </c>
      <c r="B244" s="152">
        <f>IF('[2]Advanced Controls'!$C$174="IPCC Only",'Emissions Factors'!G293,'Emissions Factors'!B293)</f>
        <v>0.60555902111379423</v>
      </c>
      <c r="C244" s="152">
        <f>IF('[2]Advanced Controls'!$C$174="IPCC Only",'Emissions Factors'!H293,'Emissions Factors'!C293)</f>
        <v>0.81553251201546317</v>
      </c>
      <c r="D244" s="152">
        <f>IF('[2]Advanced Controls'!$C$174="IPCC Only",'Emissions Factors'!I293,'Emissions Factors'!D293)</f>
        <v>0.43749067805603331</v>
      </c>
    </row>
    <row r="245" spans="1:4" x14ac:dyDescent="0.3">
      <c r="A245" s="150">
        <v>2018</v>
      </c>
      <c r="B245" s="152">
        <f>IF('[2]Advanced Controls'!$C$174="IPCC Only",'Emissions Factors'!G294,'Emissions Factors'!B294)</f>
        <v>0.59982376403752224</v>
      </c>
      <c r="C245" s="152">
        <f>IF('[2]Advanced Controls'!$C$174="IPCC Only",'Emissions Factors'!H294,'Emissions Factors'!C294)</f>
        <v>0.80792658618961533</v>
      </c>
      <c r="D245" s="152">
        <f>IF('[2]Advanced Controls'!$C$174="IPCC Only",'Emissions Factors'!I294,'Emissions Factors'!D294)</f>
        <v>0.43323001270117856</v>
      </c>
    </row>
    <row r="246" spans="1:4" x14ac:dyDescent="0.3">
      <c r="A246" s="150">
        <v>2019</v>
      </c>
      <c r="B246" s="152">
        <f>IF('[2]Advanced Controls'!$C$174="IPCC Only",'Emissions Factors'!G295,'Emissions Factors'!B295)</f>
        <v>0.59669210913865367</v>
      </c>
      <c r="C246" s="152">
        <f>IF('[2]Advanced Controls'!$C$174="IPCC Only",'Emissions Factors'!H295,'Emissions Factors'!C295)</f>
        <v>0.80473927979343118</v>
      </c>
      <c r="D246" s="152">
        <f>IF('[2]Advanced Controls'!$C$174="IPCC Only",'Emissions Factors'!I295,'Emissions Factors'!D295)</f>
        <v>0.43055760341393429</v>
      </c>
    </row>
    <row r="247" spans="1:4" x14ac:dyDescent="0.3">
      <c r="A247" s="150">
        <v>2020</v>
      </c>
      <c r="B247" s="152">
        <f>IF('[2]Advanced Controls'!$C$174="IPCC Only",'Emissions Factors'!G296,'Emissions Factors'!B296)</f>
        <v>0.59295646517441447</v>
      </c>
      <c r="C247" s="152">
        <f>IF('[2]Advanced Controls'!$C$174="IPCC Only",'Emissions Factors'!H296,'Emissions Factors'!C296)</f>
        <v>0.80094872476908108</v>
      </c>
      <c r="D247" s="152">
        <f>IF('[2]Advanced Controls'!$C$174="IPCC Only",'Emissions Factors'!I296,'Emissions Factors'!D296)</f>
        <v>0.4273678289541008</v>
      </c>
    </row>
    <row r="248" spans="1:4" x14ac:dyDescent="0.3">
      <c r="A248" s="150">
        <v>2021</v>
      </c>
      <c r="B248" s="152">
        <f>IF('[2]Advanced Controls'!$C$174="IPCC Only",'Emissions Factors'!G297,'Emissions Factors'!B297)</f>
        <v>0.58939421049832963</v>
      </c>
      <c r="C248" s="152">
        <f>IF('[2]Advanced Controls'!$C$174="IPCC Only",'Emissions Factors'!H297,'Emissions Factors'!C297)</f>
        <v>0.79733272621447193</v>
      </c>
      <c r="D248" s="152">
        <f>IF('[2]Advanced Controls'!$C$174="IPCC Only",'Emissions Factors'!I297,'Emissions Factors'!D297)</f>
        <v>0.42432579519458979</v>
      </c>
    </row>
    <row r="249" spans="1:4" x14ac:dyDescent="0.3">
      <c r="A249" s="150">
        <v>2022</v>
      </c>
      <c r="B249" s="152">
        <f>IF('[2]Advanced Controls'!$C$174="IPCC Only",'Emissions Factors'!G298,'Emissions Factors'!B298)</f>
        <v>0.58588994080431167</v>
      </c>
      <c r="C249" s="152">
        <f>IF('[2]Advanced Controls'!$C$174="IPCC Only",'Emissions Factors'!H298,'Emissions Factors'!C298)</f>
        <v>0.79376875274703707</v>
      </c>
      <c r="D249" s="152">
        <f>IF('[2]Advanced Controls'!$C$174="IPCC Only",'Emissions Factors'!I298,'Emissions Factors'!D298)</f>
        <v>0.42133002501182987</v>
      </c>
    </row>
    <row r="250" spans="1:4" x14ac:dyDescent="0.3">
      <c r="A250" s="150">
        <v>2023</v>
      </c>
      <c r="B250" s="152">
        <f>IF('[2]Advanced Controls'!$C$174="IPCC Only",'Emissions Factors'!G299,'Emissions Factors'!B299)</f>
        <v>0.58246996648857108</v>
      </c>
      <c r="C250" s="152">
        <f>IF('[2]Advanced Controls'!$C$174="IPCC Only",'Emissions Factors'!H299,'Emissions Factors'!C299)</f>
        <v>0.79028579569025692</v>
      </c>
      <c r="D250" s="152">
        <f>IF('[2]Advanced Controls'!$C$174="IPCC Only",'Emissions Factors'!I299,'Emissions Factors'!D299)</f>
        <v>0.41840423362676493</v>
      </c>
    </row>
    <row r="251" spans="1:4" x14ac:dyDescent="0.3">
      <c r="A251" s="150">
        <v>2024</v>
      </c>
      <c r="B251" s="152">
        <f>IF('[2]Advanced Controls'!$C$174="IPCC Only",'Emissions Factors'!G300,'Emissions Factors'!B300)</f>
        <v>0.57912650833647206</v>
      </c>
      <c r="C251" s="152">
        <f>IF('[2]Advanced Controls'!$C$174="IPCC Only",'Emissions Factors'!H300,'Emissions Factors'!C300)</f>
        <v>0.78687631096744037</v>
      </c>
      <c r="D251" s="152">
        <f>IF('[2]Advanced Controls'!$C$174="IPCC Only",'Emissions Factors'!I300,'Emissions Factors'!D300)</f>
        <v>0.41554191439948196</v>
      </c>
    </row>
    <row r="252" spans="1:4" x14ac:dyDescent="0.3">
      <c r="A252" s="150">
        <v>2025</v>
      </c>
      <c r="B252" s="152">
        <f>IF('[2]Advanced Controls'!$C$174="IPCC Only",'Emissions Factors'!G301,'Emissions Factors'!B301)</f>
        <v>0.57618072379377094</v>
      </c>
      <c r="C252" s="152">
        <f>IF('[2]Advanced Controls'!$C$174="IPCC Only",'Emissions Factors'!H301,'Emissions Factors'!C301)</f>
        <v>0.78386151386713288</v>
      </c>
      <c r="D252" s="152">
        <f>IF('[2]Advanced Controls'!$C$174="IPCC Only",'Emissions Factors'!I301,'Emissions Factors'!D301)</f>
        <v>0.41301797913006205</v>
      </c>
    </row>
    <row r="253" spans="1:4" x14ac:dyDescent="0.3">
      <c r="A253" s="150">
        <v>2026</v>
      </c>
      <c r="B253" s="152">
        <f>IF('[2]Advanced Controls'!$C$174="IPCC Only",'Emissions Factors'!G302,'Emissions Factors'!B302)</f>
        <v>0.57264047312675959</v>
      </c>
      <c r="C253" s="152">
        <f>IF('[2]Advanced Controls'!$C$174="IPCC Only",'Emissions Factors'!H302,'Emissions Factors'!C302)</f>
        <v>0.78024994488128396</v>
      </c>
      <c r="D253" s="152">
        <f>IF('[2]Advanced Controls'!$C$174="IPCC Only",'Emissions Factors'!I302,'Emissions Factors'!D302)</f>
        <v>0.40998370869409689</v>
      </c>
    </row>
    <row r="254" spans="1:4" x14ac:dyDescent="0.3">
      <c r="A254" s="150">
        <v>2027</v>
      </c>
      <c r="B254" s="152">
        <f>IF('[2]Advanced Controls'!$C$174="IPCC Only",'Emissions Factors'!G303,'Emissions Factors'!B303)</f>
        <v>0.56948465381757352</v>
      </c>
      <c r="C254" s="152">
        <f>IF('[2]Advanced Controls'!$C$174="IPCC Only",'Emissions Factors'!H303,'Emissions Factors'!C303)</f>
        <v>0.77702020935135052</v>
      </c>
      <c r="D254" s="152">
        <f>IF('[2]Advanced Controls'!$C$174="IPCC Only",'Emissions Factors'!I303,'Emissions Factors'!D303)</f>
        <v>0.40727674053625251</v>
      </c>
    </row>
    <row r="255" spans="1:4" x14ac:dyDescent="0.3">
      <c r="A255" s="150">
        <v>2028</v>
      </c>
      <c r="B255" s="152">
        <f>IF('[2]Advanced Controls'!$C$174="IPCC Only",'Emissions Factors'!G304,'Emissions Factors'!B304)</f>
        <v>0.56637878769780614</v>
      </c>
      <c r="C255" s="152">
        <f>IF('[2]Advanced Controls'!$C$174="IPCC Only",'Emissions Factors'!H304,'Emissions Factors'!C304)</f>
        <v>0.77383816205577083</v>
      </c>
      <c r="D255" s="152">
        <f>IF('[2]Advanced Controls'!$C$174="IPCC Only",'Emissions Factors'!I304,'Emissions Factors'!D304)</f>
        <v>0.40461101568345631</v>
      </c>
    </row>
    <row r="256" spans="1:4" x14ac:dyDescent="0.3">
      <c r="A256" s="150">
        <v>2029</v>
      </c>
      <c r="B256" s="152">
        <f>IF('[2]Advanced Controls'!$C$174="IPCC Only",'Emissions Factors'!G305,'Emissions Factors'!B305)</f>
        <v>0.56331717527224701</v>
      </c>
      <c r="C256" s="152">
        <f>IF('[2]Advanced Controls'!$C$174="IPCC Only",'Emissions Factors'!H305,'Emissions Factors'!C305)</f>
        <v>0.77069826459708657</v>
      </c>
      <c r="D256" s="152">
        <f>IF('[2]Advanced Controls'!$C$174="IPCC Only",'Emissions Factors'!I305,'Emissions Factors'!D305)</f>
        <v>0.401981761744236</v>
      </c>
    </row>
    <row r="257" spans="1:4" x14ac:dyDescent="0.3">
      <c r="A257" s="150">
        <v>2030</v>
      </c>
      <c r="B257" s="152">
        <f>IF('[2]Advanced Controls'!$C$174="IPCC Only",'Emissions Factors'!G306,'Emissions Factors'!B306)</f>
        <v>0.560425096459919</v>
      </c>
      <c r="C257" s="152">
        <f>IF('[2]Advanced Controls'!$C$174="IPCC Only",'Emissions Factors'!H306,'Emissions Factors'!C306)</f>
        <v>0.76772198788551171</v>
      </c>
      <c r="D257" s="152">
        <f>IF('[2]Advanced Controls'!$C$174="IPCC Only",'Emissions Factors'!I306,'Emissions Factors'!D306)</f>
        <v>0.39949486855075189</v>
      </c>
    </row>
    <row r="258" spans="1:4" x14ac:dyDescent="0.3">
      <c r="A258" s="150">
        <v>2031</v>
      </c>
      <c r="B258" s="152">
        <f>IF('[2]Advanced Controls'!$C$174="IPCC Only",'Emissions Factors'!G307,'Emissions Factors'!B307)</f>
        <v>0.55730544009315097</v>
      </c>
      <c r="C258" s="152">
        <f>IF('[2]Advanced Controls'!$C$174="IPCC Only",'Emissions Factors'!H307,'Emissions Factors'!C307)</f>
        <v>0.76452423713143169</v>
      </c>
      <c r="D258" s="152">
        <f>IF('[2]Advanced Controls'!$C$174="IPCC Only",'Emissions Factors'!I307,'Emissions Factors'!D307)</f>
        <v>0.39681484959160113</v>
      </c>
    </row>
    <row r="259" spans="1:4" x14ac:dyDescent="0.3">
      <c r="A259" s="150">
        <v>2032</v>
      </c>
      <c r="B259" s="152">
        <f>IF('[2]Advanced Controls'!$C$174="IPCC Only",'Emissions Factors'!G308,'Emissions Factors'!B308)</f>
        <v>0.5543453651211373</v>
      </c>
      <c r="C259" s="152">
        <f>IF('[2]Advanced Controls'!$C$174="IPCC Only",'Emissions Factors'!H308,'Emissions Factors'!C308)</f>
        <v>0.76148042477914046</v>
      </c>
      <c r="D259" s="152">
        <f>IF('[2]Advanced Controls'!$C$174="IPCC Only",'Emissions Factors'!I308,'Emissions Factors'!D308)</f>
        <v>0.39426885252960359</v>
      </c>
    </row>
    <row r="260" spans="1:4" x14ac:dyDescent="0.3">
      <c r="A260" s="150">
        <v>2033</v>
      </c>
      <c r="B260" s="152">
        <f>IF('[2]Advanced Controls'!$C$174="IPCC Only",'Emissions Factors'!G309,'Emissions Factors'!B309)</f>
        <v>0.5514095918414389</v>
      </c>
      <c r="C260" s="152">
        <f>IF('[2]Advanced Controls'!$C$174="IPCC Only",'Emissions Factors'!H309,'Emissions Factors'!C309)</f>
        <v>0.7584593516199033</v>
      </c>
      <c r="D260" s="152">
        <f>IF('[2]Advanced Controls'!$C$174="IPCC Only",'Emissions Factors'!I309,'Emissions Factors'!D309)</f>
        <v>0.39174260897250673</v>
      </c>
    </row>
    <row r="261" spans="1:4" x14ac:dyDescent="0.3">
      <c r="A261" s="150">
        <v>2034</v>
      </c>
      <c r="B261" s="152">
        <f>IF('[2]Advanced Controls'!$C$174="IPCC Only",'Emissions Factors'!G310,'Emissions Factors'!B310)</f>
        <v>0.54849372430798871</v>
      </c>
      <c r="C261" s="152">
        <f>IF('[2]Advanced Controls'!$C$174="IPCC Only",'Emissions Factors'!H310,'Emissions Factors'!C310)</f>
        <v>0.75545673533678925</v>
      </c>
      <c r="D261" s="152">
        <f>IF('[2]Advanced Controls'!$C$174="IPCC Only",'Emissions Factors'!I310,'Emissions Factors'!D310)</f>
        <v>0.38923243288814163</v>
      </c>
    </row>
    <row r="262" spans="1:4" x14ac:dyDescent="0.3">
      <c r="A262" s="150">
        <v>2035</v>
      </c>
      <c r="B262" s="152">
        <f>IF('[2]Advanced Controls'!$C$174="IPCC Only",'Emissions Factors'!G311,'Emissions Factors'!B311)</f>
        <v>0.54551374348886839</v>
      </c>
      <c r="C262" s="152">
        <f>IF('[2]Advanced Controls'!$C$174="IPCC Only",'Emissions Factors'!H311,'Emissions Factors'!C311)</f>
        <v>0.7523882234458712</v>
      </c>
      <c r="D262" s="152">
        <f>IF('[2]Advanced Controls'!$C$174="IPCC Only",'Emissions Factors'!I311,'Emissions Factors'!D311)</f>
        <v>0.38666702260924479</v>
      </c>
    </row>
    <row r="263" spans="1:4" x14ac:dyDescent="0.3">
      <c r="A263" s="150">
        <v>2036</v>
      </c>
      <c r="B263" s="152">
        <f>IF('[2]Advanced Controls'!$C$174="IPCC Only",'Emissions Factors'!G312,'Emissions Factors'!B312)</f>
        <v>0.54268805562843603</v>
      </c>
      <c r="C263" s="152">
        <f>IF('[2]Advanced Controls'!$C$174="IPCC Only",'Emissions Factors'!H312,'Emissions Factors'!C312)</f>
        <v>0.74947289265118011</v>
      </c>
      <c r="D263" s="152">
        <f>IF('[2]Advanced Controls'!$C$174="IPCC Only",'Emissions Factors'!I312,'Emissions Factors'!D312)</f>
        <v>0.3842329418733666</v>
      </c>
    </row>
    <row r="264" spans="1:4" x14ac:dyDescent="0.3">
      <c r="A264" s="150">
        <v>2037</v>
      </c>
      <c r="B264" s="152">
        <f>IF('[2]Advanced Controls'!$C$174="IPCC Only",'Emissions Factors'!G313,'Emissions Factors'!B313)</f>
        <v>0.53979440343495388</v>
      </c>
      <c r="C264" s="152">
        <f>IF('[2]Advanced Controls'!$C$174="IPCC Only",'Emissions Factors'!H313,'Emissions Factors'!C313)</f>
        <v>0.74648818880680001</v>
      </c>
      <c r="D264" s="152">
        <f>IF('[2]Advanced Controls'!$C$174="IPCC Only",'Emissions Factors'!I313,'Emissions Factors'!D313)</f>
        <v>0.38174016175660869</v>
      </c>
    </row>
    <row r="265" spans="1:4" x14ac:dyDescent="0.3">
      <c r="A265" s="150">
        <v>2038</v>
      </c>
      <c r="B265" s="152">
        <f>IF('[2]Advanced Controls'!$C$174="IPCC Only",'Emissions Factors'!G314,'Emissions Factors'!B314)</f>
        <v>0.5369035412063744</v>
      </c>
      <c r="C265" s="152">
        <f>IF('[2]Advanced Controls'!$C$174="IPCC Only",'Emissions Factors'!H314,'Emissions Factors'!C314)</f>
        <v>0.7435051577229187</v>
      </c>
      <c r="D265" s="152">
        <f>IF('[2]Advanced Controls'!$C$174="IPCC Only",'Emissions Factors'!I314,'Emissions Factors'!D314)</f>
        <v>0.37924913472612731</v>
      </c>
    </row>
    <row r="266" spans="1:4" x14ac:dyDescent="0.3">
      <c r="A266" s="150">
        <v>2039</v>
      </c>
      <c r="B266" s="152">
        <f>IF('[2]Advanced Controls'!$C$174="IPCC Only",'Emissions Factors'!G315,'Emissions Factors'!B315)</f>
        <v>0.53399834691699766</v>
      </c>
      <c r="C266" s="152">
        <f>IF('[2]Advanced Controls'!$C$174="IPCC Only",'Emissions Factors'!H315,'Emissions Factors'!C315)</f>
        <v>0.74050616937876945</v>
      </c>
      <c r="D266" s="152">
        <f>IF('[2]Advanced Controls'!$C$174="IPCC Only",'Emissions Factors'!I315,'Emissions Factors'!D315)</f>
        <v>0.37674616707114589</v>
      </c>
    </row>
    <row r="267" spans="1:4" x14ac:dyDescent="0.3">
      <c r="A267" s="150">
        <v>2040</v>
      </c>
      <c r="B267" s="152">
        <f>IF('[2]Advanced Controls'!$C$174="IPCC Only",'Emissions Factors'!G316,'Emissions Factors'!B316)</f>
        <v>0.5308801842080676</v>
      </c>
      <c r="C267" s="152">
        <f>IF('[2]Advanced Controls'!$C$174="IPCC Only",'Emissions Factors'!H316,'Emissions Factors'!C316)</f>
        <v>0.73729726004409712</v>
      </c>
      <c r="D267" s="152">
        <f>IF('[2]Advanced Controls'!$C$174="IPCC Only",'Emissions Factors'!I316,'Emissions Factors'!D316)</f>
        <v>0.37406197963578164</v>
      </c>
    </row>
    <row r="268" spans="1:4" x14ac:dyDescent="0.3">
      <c r="A268" s="150">
        <v>2041</v>
      </c>
      <c r="B268" s="152">
        <f>IF('[2]Advanced Controls'!$C$174="IPCC Only",'Emissions Factors'!G317,'Emissions Factors'!B317)</f>
        <v>0.52818505459315956</v>
      </c>
      <c r="C268" s="152">
        <f>IF('[2]Advanced Controls'!$C$174="IPCC Only",'Emissions Factors'!H317,'Emissions Factors'!C317)</f>
        <v>0.73450306926622877</v>
      </c>
      <c r="D268" s="152">
        <f>IF('[2]Advanced Controls'!$C$174="IPCC Only",'Emissions Factors'!I317,'Emissions Factors'!D317)</f>
        <v>0.37173529241272507</v>
      </c>
    </row>
    <row r="269" spans="1:4" x14ac:dyDescent="0.3">
      <c r="A269" s="150">
        <v>2042</v>
      </c>
      <c r="B269" s="152">
        <f>IF('[2]Advanced Controls'!$C$174="IPCC Only",'Emissions Factors'!G318,'Emissions Factors'!B318)</f>
        <v>0.5252684723467469</v>
      </c>
      <c r="C269" s="152">
        <f>IF('[2]Advanced Controls'!$C$174="IPCC Only",'Emissions Factors'!H318,'Emissions Factors'!C318)</f>
        <v>0.73149052983232854</v>
      </c>
      <c r="D269" s="152">
        <f>IF('[2]Advanced Controls'!$C$174="IPCC Only",'Emissions Factors'!I318,'Emissions Factors'!D318)</f>
        <v>0.36922036169271838</v>
      </c>
    </row>
    <row r="270" spans="1:4" x14ac:dyDescent="0.3">
      <c r="A270" s="150">
        <v>2043</v>
      </c>
      <c r="B270" s="152">
        <f>IF('[2]Advanced Controls'!$C$174="IPCC Only",'Emissions Factors'!G319,'Emissions Factors'!B319)</f>
        <v>0.52233785854974035</v>
      </c>
      <c r="C270" s="152">
        <f>IF('[2]Advanced Controls'!$C$174="IPCC Only",'Emissions Factors'!H319,'Emissions Factors'!C319)</f>
        <v>0.72846320603727088</v>
      </c>
      <c r="D270" s="152">
        <f>IF('[2]Advanced Controls'!$C$174="IPCC Only",'Emissions Factors'!I319,'Emissions Factors'!D319)</f>
        <v>0.36669303414097543</v>
      </c>
    </row>
    <row r="271" spans="1:4" x14ac:dyDescent="0.3">
      <c r="A271" s="150">
        <v>2044</v>
      </c>
      <c r="B271" s="152">
        <f>IF('[2]Advanced Controls'!$C$174="IPCC Only",'Emissions Factors'!G320,'Emissions Factors'!B320)</f>
        <v>0.51939012750867475</v>
      </c>
      <c r="C271" s="152">
        <f>IF('[2]Advanced Controls'!$C$174="IPCC Only",'Emissions Factors'!H320,'Emissions Factors'!C320)</f>
        <v>0.72541807278180281</v>
      </c>
      <c r="D271" s="152">
        <f>IF('[2]Advanced Controls'!$C$174="IPCC Only",'Emissions Factors'!I320,'Emissions Factors'!D320)</f>
        <v>0.36415071176077918</v>
      </c>
    </row>
    <row r="272" spans="1:4" x14ac:dyDescent="0.3">
      <c r="A272" s="150">
        <v>2045</v>
      </c>
      <c r="B272" s="152">
        <f>IF('[2]Advanced Controls'!$C$174="IPCC Only",'Emissions Factors'!G321,'Emissions Factors'!B321)</f>
        <v>0.51631618259465772</v>
      </c>
      <c r="C272" s="152">
        <f>IF('[2]Advanced Controls'!$C$174="IPCC Only",'Emissions Factors'!H321,'Emissions Factors'!C321)</f>
        <v>0.72224354542614089</v>
      </c>
      <c r="D272" s="152">
        <f>IF('[2]Advanced Controls'!$C$174="IPCC Only",'Emissions Factors'!I321,'Emissions Factors'!D321)</f>
        <v>0.36149933297630449</v>
      </c>
    </row>
    <row r="273" spans="1:9" x14ac:dyDescent="0.3">
      <c r="A273" s="150">
        <v>2046</v>
      </c>
      <c r="B273" s="152">
        <f>IF('[2]Advanced Controls'!$C$174="IPCC Only",'Emissions Factors'!G322,'Emissions Factors'!B322)</f>
        <v>0.51343131716327794</v>
      </c>
      <c r="C273" s="152">
        <f>IF('[2]Advanced Controls'!$C$174="IPCC Only",'Emissions Factors'!H322,'Emissions Factors'!C322)</f>
        <v>0.7192626069291207</v>
      </c>
      <c r="D273" s="152">
        <f>IF('[2]Advanced Controls'!$C$174="IPCC Only",'Emissions Factors'!I322,'Emissions Factors'!D322)</f>
        <v>0.35901097736535881</v>
      </c>
    </row>
    <row r="274" spans="1:9" x14ac:dyDescent="0.3">
      <c r="A274" s="150">
        <v>2047</v>
      </c>
      <c r="B274" s="152">
        <f>IF('[2]Advanced Controls'!$C$174="IPCC Only",'Emissions Factors'!G323,'Emissions Factors'!B323)</f>
        <v>0.51041438880314205</v>
      </c>
      <c r="C274" s="152">
        <f>IF('[2]Advanced Controls'!$C$174="IPCC Only",'Emissions Factors'!H323,'Emissions Factors'!C323)</f>
        <v>0.71614653036541309</v>
      </c>
      <c r="D274" s="152">
        <f>IF('[2]Advanced Controls'!$C$174="IPCC Only",'Emissions Factors'!I323,'Emissions Factors'!D323)</f>
        <v>0.35640863616310198</v>
      </c>
    </row>
    <row r="275" spans="1:9" x14ac:dyDescent="0.3">
      <c r="A275" s="150">
        <v>2048</v>
      </c>
      <c r="B275" s="152">
        <f>IF('[2]Advanced Controls'!$C$174="IPCC Only",'Emissions Factors'!G324,'Emissions Factors'!B324)</f>
        <v>0.50736863022278345</v>
      </c>
      <c r="C275" s="152">
        <f>IF('[2]Advanced Controls'!$C$174="IPCC Only",'Emissions Factors'!H324,'Emissions Factors'!C324)</f>
        <v>0.71300114197303754</v>
      </c>
      <c r="D275" s="152">
        <f>IF('[2]Advanced Controls'!$C$174="IPCC Only",'Emissions Factors'!I324,'Emissions Factors'!D324)</f>
        <v>0.35378142930152895</v>
      </c>
    </row>
    <row r="276" spans="1:9" x14ac:dyDescent="0.3">
      <c r="A276" s="150">
        <v>2049</v>
      </c>
      <c r="B276" s="152">
        <f>IF('[2]Advanced Controls'!$C$174="IPCC Only",'Emissions Factors'!G325,'Emissions Factors'!B325)</f>
        <v>0.50475347153800509</v>
      </c>
      <c r="C276" s="152">
        <f>IF('[2]Advanced Controls'!$C$174="IPCC Only",'Emissions Factors'!H325,'Emissions Factors'!C325)</f>
        <v>0.71030106170049923</v>
      </c>
      <c r="D276" s="152">
        <f>IF('[2]Advanced Controls'!$C$174="IPCC Only",'Emissions Factors'!I325,'Emissions Factors'!D325)</f>
        <v>0.35152788285989833</v>
      </c>
    </row>
    <row r="277" spans="1:9" x14ac:dyDescent="0.3">
      <c r="A277" s="150">
        <v>2050</v>
      </c>
      <c r="B277" s="152">
        <f>IF('[2]Advanced Controls'!$C$174="IPCC Only",'Emissions Factors'!G326,'Emissions Factors'!B326)</f>
        <v>0.50301766256342684</v>
      </c>
      <c r="C277" s="152">
        <f>IF('[2]Advanced Controls'!$C$174="IPCC Only",'Emissions Factors'!H326,'Emissions Factors'!C326)</f>
        <v>0.70852153759285008</v>
      </c>
      <c r="D277" s="152">
        <f>IF('[2]Advanced Controls'!$C$174="IPCC Only",'Emissions Factors'!I326,'Emissions Factors'!D326)</f>
        <v>0.35004421213384029</v>
      </c>
    </row>
    <row r="278" spans="1:9" x14ac:dyDescent="0.3">
      <c r="A278" s="150">
        <v>2051</v>
      </c>
      <c r="B278" s="152">
        <f>IF('[2]Advanced Controls'!$C$174="IPCC Only",'Emissions Factors'!G327,'Emissions Factors'!B327)</f>
        <v>0.50109509757419579</v>
      </c>
      <c r="C278" s="152">
        <f>IF('[2]Advanced Controls'!$C$174="IPCC Only",'Emissions Factors'!H327,'Emissions Factors'!C327)</f>
        <v>0.70656561382496408</v>
      </c>
      <c r="D278" s="152">
        <f>IF('[2]Advanced Controls'!$C$174="IPCC Only",'Emissions Factors'!I327,'Emissions Factors'!D327)</f>
        <v>0.34839836521680217</v>
      </c>
    </row>
    <row r="279" spans="1:9" x14ac:dyDescent="0.3">
      <c r="A279" s="150">
        <v>2052</v>
      </c>
      <c r="B279" s="152">
        <f>IF('[2]Advanced Controls'!$C$174="IPCC Only",'Emissions Factors'!G328,'Emissions Factors'!B328)</f>
        <v>0.49924474136077335</v>
      </c>
      <c r="C279" s="152">
        <f>IF('[2]Advanced Controls'!$C$174="IPCC Only",'Emissions Factors'!H328,'Emissions Factors'!C328)</f>
        <v>0.70468063425096383</v>
      </c>
      <c r="D279" s="152">
        <f>IF('[2]Advanced Controls'!$C$174="IPCC Only",'Emissions Factors'!I328,'Emissions Factors'!D328)</f>
        <v>0.34681393833269886</v>
      </c>
    </row>
    <row r="280" spans="1:9" x14ac:dyDescent="0.3">
      <c r="A280" s="150">
        <v>2053</v>
      </c>
      <c r="B280" s="152">
        <f>IF('[2]Advanced Controls'!$C$174="IPCC Only",'Emissions Factors'!G329,'Emissions Factors'!B329)</f>
        <v>0.49735561011220869</v>
      </c>
      <c r="C280" s="152">
        <f>IF('[2]Advanced Controls'!$C$174="IPCC Only",'Emissions Factors'!H329,'Emissions Factors'!C329)</f>
        <v>0.70275845151075378</v>
      </c>
      <c r="D280" s="152">
        <f>IF('[2]Advanced Controls'!$C$174="IPCC Only",'Emissions Factors'!I329,'Emissions Factors'!D329)</f>
        <v>0.34519682605606616</v>
      </c>
    </row>
    <row r="281" spans="1:9" x14ac:dyDescent="0.3">
      <c r="A281" s="150">
        <v>2054</v>
      </c>
      <c r="B281" s="152">
        <f>IF('[2]Advanced Controls'!$C$174="IPCC Only",'Emissions Factors'!G330,'Emissions Factors'!B330)</f>
        <v>0.49542575244029269</v>
      </c>
      <c r="C281" s="152">
        <f>IF('[2]Advanced Controls'!$C$174="IPCC Only",'Emissions Factors'!H330,'Emissions Factors'!C330)</f>
        <v>0.70079718054097606</v>
      </c>
      <c r="D281" s="152">
        <f>IF('[2]Advanced Controls'!$C$174="IPCC Only",'Emissions Factors'!I330,'Emissions Factors'!D330)</f>
        <v>0.34354539080583463</v>
      </c>
    </row>
    <row r="282" spans="1:9" x14ac:dyDescent="0.3">
      <c r="A282" s="150">
        <v>2055</v>
      </c>
      <c r="B282" s="152">
        <f>IF('[2]Advanced Controls'!$C$174="IPCC Only",'Emissions Factors'!G331,'Emissions Factors'!B331)</f>
        <v>0.49341223918682564</v>
      </c>
      <c r="C282" s="152">
        <f>IF('[2]Advanced Controls'!$C$174="IPCC Only",'Emissions Factors'!H331,'Emissions Factors'!C331)</f>
        <v>0.69875053126939746</v>
      </c>
      <c r="D282" s="152">
        <f>IF('[2]Advanced Controls'!$C$174="IPCC Only",'Emissions Factors'!I331,'Emissions Factors'!D331)</f>
        <v>0.34182179224129122</v>
      </c>
    </row>
    <row r="283" spans="1:9" x14ac:dyDescent="0.3">
      <c r="A283" s="150">
        <v>2056</v>
      </c>
      <c r="B283" s="152">
        <f>IF('[2]Advanced Controls'!$C$174="IPCC Only",'Emissions Factors'!G332,'Emissions Factors'!B332)</f>
        <v>0.49143659747154755</v>
      </c>
      <c r="C283" s="152">
        <f>IF('[2]Advanced Controls'!$C$174="IPCC Only",'Emissions Factors'!H332,'Emissions Factors'!C332)</f>
        <v>0.69675036503879884</v>
      </c>
      <c r="D283" s="152">
        <f>IF('[2]Advanced Controls'!$C$174="IPCC Only",'Emissions Factors'!I332,'Emissions Factors'!D332)</f>
        <v>0.34013346033325265</v>
      </c>
    </row>
    <row r="284" spans="1:9" x14ac:dyDescent="0.3">
      <c r="A284" s="150">
        <v>2057</v>
      </c>
      <c r="B284" s="152">
        <f>IF('[2]Advanced Controls'!$C$174="IPCC Only",'Emissions Factors'!G333,'Emissions Factors'!B333)</f>
        <v>0.48937393118142186</v>
      </c>
      <c r="C284" s="152">
        <f>IF('[2]Advanced Controls'!$C$174="IPCC Only",'Emissions Factors'!H333,'Emissions Factors'!C333)</f>
        <v>0.69466157058973299</v>
      </c>
      <c r="D284" s="152">
        <f>IF('[2]Advanced Controls'!$C$174="IPCC Only",'Emissions Factors'!I333,'Emissions Factors'!D333)</f>
        <v>0.33837013960907708</v>
      </c>
    </row>
    <row r="285" spans="1:9" x14ac:dyDescent="0.3">
      <c r="A285" s="150">
        <v>2058</v>
      </c>
      <c r="B285" s="152">
        <f>IF('[2]Advanced Controls'!$C$174="IPCC Only",'Emissions Factors'!G334,'Emissions Factors'!B334)</f>
        <v>0.48726379355760413</v>
      </c>
      <c r="C285" s="152">
        <f>IF('[2]Advanced Controls'!$C$174="IPCC Only",'Emissions Factors'!H334,'Emissions Factors'!C334)</f>
        <v>0.69252718129930535</v>
      </c>
      <c r="D285" s="152">
        <f>IF('[2]Advanced Controls'!$C$174="IPCC Only",'Emissions Factors'!I334,'Emissions Factors'!D334)</f>
        <v>0.33656683907606499</v>
      </c>
    </row>
    <row r="286" spans="1:9" x14ac:dyDescent="0.3">
      <c r="A286" s="150">
        <v>2059</v>
      </c>
      <c r="B286" s="152">
        <f>IF('[2]Advanced Controls'!$C$174="IPCC Only",'Emissions Factors'!G335,'Emissions Factors'!B335)</f>
        <v>0.48510474616620997</v>
      </c>
      <c r="C286" s="152">
        <f>IF('[2]Advanced Controls'!$C$174="IPCC Only",'Emissions Factors'!H335,'Emissions Factors'!C335)</f>
        <v>0.69034581192281941</v>
      </c>
      <c r="D286" s="152">
        <f>IF('[2]Advanced Controls'!$C$174="IPCC Only",'Emissions Factors'!I335,'Emissions Factors'!D335)</f>
        <v>0.33472235327028804</v>
      </c>
    </row>
    <row r="287" spans="1:9" ht="16.2" thickBot="1" x14ac:dyDescent="0.35">
      <c r="A287" s="150">
        <v>2060</v>
      </c>
      <c r="B287" s="152">
        <f>IF('[2]Advanced Controls'!$C$174="IPCC Only",'Emissions Factors'!G336,'Emissions Factors'!B336)</f>
        <v>0.4830570645369755</v>
      </c>
      <c r="C287" s="152">
        <f>IF('[2]Advanced Controls'!$C$174="IPCC Only",'Emissions Factors'!H336,'Emissions Factors'!C336)</f>
        <v>0.68826079230039838</v>
      </c>
      <c r="D287" s="152">
        <f>IF('[2]Advanced Controls'!$C$174="IPCC Only",'Emissions Factors'!I336,'Emissions Factors'!D336)</f>
        <v>0.33296790946891608</v>
      </c>
    </row>
    <row r="288" spans="1:9" ht="16.2" thickBot="1" x14ac:dyDescent="0.35">
      <c r="A288" s="548" t="s">
        <v>201</v>
      </c>
      <c r="B288" s="549"/>
      <c r="C288" s="549"/>
      <c r="D288" s="549"/>
      <c r="E288" s="549"/>
      <c r="F288" s="549"/>
      <c r="G288" s="549"/>
      <c r="H288" s="549"/>
      <c r="I288" s="550"/>
    </row>
    <row r="289" spans="1:9" x14ac:dyDescent="0.3">
      <c r="A289" s="545" t="s">
        <v>202</v>
      </c>
      <c r="B289" s="546"/>
      <c r="C289" s="546"/>
      <c r="D289" s="547"/>
      <c r="E289" s="153"/>
      <c r="F289" s="545" t="s">
        <v>203</v>
      </c>
      <c r="G289" s="546"/>
      <c r="H289" s="546"/>
      <c r="I289" s="547"/>
    </row>
    <row r="290" spans="1:9" x14ac:dyDescent="0.3">
      <c r="A290" s="150"/>
      <c r="B290" s="151" t="s">
        <v>198</v>
      </c>
      <c r="C290" s="151" t="s">
        <v>199</v>
      </c>
      <c r="D290" s="151" t="s">
        <v>200</v>
      </c>
      <c r="E290" s="153"/>
      <c r="F290" s="150"/>
      <c r="G290" s="151" t="s">
        <v>204</v>
      </c>
      <c r="H290" s="151" t="s">
        <v>199</v>
      </c>
      <c r="I290" s="151" t="s">
        <v>200</v>
      </c>
    </row>
    <row r="291" spans="1:9" x14ac:dyDescent="0.3">
      <c r="A291" s="150">
        <v>2015</v>
      </c>
      <c r="B291" s="154">
        <v>0.61738162752325509</v>
      </c>
      <c r="C291" s="154">
        <v>0.83081787706966437</v>
      </c>
      <c r="D291" s="154">
        <v>0.44651180006653413</v>
      </c>
      <c r="E291" s="153"/>
      <c r="F291" s="150">
        <v>2015</v>
      </c>
      <c r="G291" s="154">
        <v>0.48423347988685095</v>
      </c>
      <c r="H291" s="154">
        <v>0.95430123097832442</v>
      </c>
      <c r="I291" s="154">
        <v>0.41571461154719413</v>
      </c>
    </row>
    <row r="292" spans="1:9" x14ac:dyDescent="0.3">
      <c r="A292" s="150">
        <v>2016</v>
      </c>
      <c r="B292" s="154">
        <v>0.61305371191767377</v>
      </c>
      <c r="C292" s="154">
        <v>0.82469890151202141</v>
      </c>
      <c r="D292" s="154">
        <v>0.44340440007867132</v>
      </c>
      <c r="E292" s="153"/>
      <c r="F292" s="150">
        <v>2016</v>
      </c>
      <c r="G292" s="154">
        <v>0.48387468836717995</v>
      </c>
      <c r="H292" s="154">
        <v>0.95370580872624067</v>
      </c>
      <c r="I292" s="154">
        <v>0.41569916802355927</v>
      </c>
    </row>
    <row r="293" spans="1:9" x14ac:dyDescent="0.3">
      <c r="A293" s="150">
        <v>2017</v>
      </c>
      <c r="B293" s="154">
        <v>0.60555902111379423</v>
      </c>
      <c r="C293" s="154">
        <v>0.81553251201546317</v>
      </c>
      <c r="D293" s="154">
        <v>0.43749067805603331</v>
      </c>
      <c r="E293" s="153"/>
      <c r="F293" s="150">
        <v>2017</v>
      </c>
      <c r="G293" s="154">
        <v>0.4834685783444288</v>
      </c>
      <c r="H293" s="154">
        <v>0.95309149973030838</v>
      </c>
      <c r="I293" s="154">
        <v>0.41561621109068275</v>
      </c>
    </row>
    <row r="294" spans="1:9" x14ac:dyDescent="0.3">
      <c r="A294" s="150">
        <v>2018</v>
      </c>
      <c r="B294" s="154">
        <v>0.59982376403752224</v>
      </c>
      <c r="C294" s="154">
        <v>0.80792658618961533</v>
      </c>
      <c r="D294" s="154">
        <v>0.43323001270117856</v>
      </c>
      <c r="E294" s="153"/>
      <c r="F294" s="150">
        <v>2018</v>
      </c>
      <c r="G294" s="154">
        <v>0.48302223378144798</v>
      </c>
      <c r="H294" s="154">
        <v>0.95246214104489468</v>
      </c>
      <c r="I294" s="154">
        <v>0.41547473968366327</v>
      </c>
    </row>
    <row r="295" spans="1:9" x14ac:dyDescent="0.3">
      <c r="A295" s="150">
        <v>2019</v>
      </c>
      <c r="B295" s="154">
        <v>0.59669210913865367</v>
      </c>
      <c r="C295" s="154">
        <v>0.80473927979343118</v>
      </c>
      <c r="D295" s="154">
        <v>0.43055760341393429</v>
      </c>
      <c r="E295" s="153"/>
      <c r="F295" s="150">
        <v>2019</v>
      </c>
      <c r="G295" s="154">
        <v>0.48254182761312919</v>
      </c>
      <c r="H295" s="154">
        <v>0.95182109409453397</v>
      </c>
      <c r="I295" s="154">
        <v>0.41528257585889089</v>
      </c>
    </row>
    <row r="296" spans="1:9" x14ac:dyDescent="0.3">
      <c r="A296" s="150">
        <v>2020</v>
      </c>
      <c r="B296" s="154">
        <v>0.59295646517441447</v>
      </c>
      <c r="C296" s="154">
        <v>0.80094872476908108</v>
      </c>
      <c r="D296" s="154">
        <v>0.4273678289541008</v>
      </c>
      <c r="E296" s="153"/>
      <c r="F296" s="150">
        <v>2020</v>
      </c>
      <c r="G296" s="154">
        <v>0.48341564227880934</v>
      </c>
      <c r="H296" s="154">
        <v>0.95217753619748668</v>
      </c>
      <c r="I296" s="154">
        <v>0.41652090549968618</v>
      </c>
    </row>
    <row r="297" spans="1:9" x14ac:dyDescent="0.3">
      <c r="A297" s="150">
        <v>2021</v>
      </c>
      <c r="B297" s="154">
        <v>0.58939421049832963</v>
      </c>
      <c r="C297" s="154">
        <v>0.79733272621447193</v>
      </c>
      <c r="D297" s="154">
        <v>0.42432579519458979</v>
      </c>
      <c r="E297" s="153"/>
      <c r="F297" s="150">
        <v>2021</v>
      </c>
      <c r="G297" s="154">
        <v>0.48149941261721751</v>
      </c>
      <c r="H297" s="154">
        <v>0.95051495598420399</v>
      </c>
      <c r="I297" s="154">
        <v>0.41477245730972007</v>
      </c>
    </row>
    <row r="298" spans="1:9" x14ac:dyDescent="0.3">
      <c r="A298" s="150">
        <v>2022</v>
      </c>
      <c r="B298" s="154">
        <v>0.58588994080431167</v>
      </c>
      <c r="C298" s="154">
        <v>0.79376875274703707</v>
      </c>
      <c r="D298" s="154">
        <v>0.42133002501182987</v>
      </c>
      <c r="E298" s="153"/>
      <c r="F298" s="150">
        <v>2022</v>
      </c>
      <c r="G298" s="154">
        <v>0.48094595720063249</v>
      </c>
      <c r="H298" s="154">
        <v>0.94985433000022745</v>
      </c>
      <c r="I298" s="154">
        <v>0.41446555243232169</v>
      </c>
    </row>
    <row r="299" spans="1:9" x14ac:dyDescent="0.3">
      <c r="A299" s="150">
        <v>2023</v>
      </c>
      <c r="B299" s="154">
        <v>0.58246996648857108</v>
      </c>
      <c r="C299" s="154">
        <v>0.79028579569025692</v>
      </c>
      <c r="D299" s="154">
        <v>0.41840423362676493</v>
      </c>
      <c r="E299" s="153"/>
      <c r="F299" s="150">
        <v>2023</v>
      </c>
      <c r="G299" s="154">
        <v>0.48037589079343879</v>
      </c>
      <c r="H299" s="154">
        <v>0.94919122737374595</v>
      </c>
      <c r="I299" s="154">
        <v>0.41413038720214901</v>
      </c>
    </row>
    <row r="300" spans="1:9" x14ac:dyDescent="0.3">
      <c r="A300" s="150">
        <v>2024</v>
      </c>
      <c r="B300" s="154">
        <v>0.57912650833647206</v>
      </c>
      <c r="C300" s="154">
        <v>0.78687631096744037</v>
      </c>
      <c r="D300" s="154">
        <v>0.41554191439948196</v>
      </c>
      <c r="E300" s="153"/>
      <c r="F300" s="150">
        <v>2024</v>
      </c>
      <c r="G300" s="154">
        <v>0.47979237009792869</v>
      </c>
      <c r="H300" s="154">
        <v>0.94852730607194569</v>
      </c>
      <c r="I300" s="154">
        <v>0.41377102860629356</v>
      </c>
    </row>
    <row r="301" spans="1:9" x14ac:dyDescent="0.3">
      <c r="A301" s="150">
        <v>2025</v>
      </c>
      <c r="B301" s="154">
        <v>0.57618072379377094</v>
      </c>
      <c r="C301" s="154">
        <v>0.78386151386713288</v>
      </c>
      <c r="D301" s="154">
        <v>0.41301797913006205</v>
      </c>
      <c r="E301" s="153"/>
      <c r="F301" s="150">
        <v>2025</v>
      </c>
      <c r="G301" s="154">
        <v>0.47912987536509644</v>
      </c>
      <c r="H301" s="154">
        <v>0.94783814427247892</v>
      </c>
      <c r="I301" s="154">
        <v>0.41329209485329454</v>
      </c>
    </row>
    <row r="302" spans="1:9" x14ac:dyDescent="0.3">
      <c r="A302" s="150">
        <v>2026</v>
      </c>
      <c r="B302" s="154">
        <v>0.57264047312675959</v>
      </c>
      <c r="C302" s="154">
        <v>0.78024994488128396</v>
      </c>
      <c r="D302" s="154">
        <v>0.40998370869409689</v>
      </c>
      <c r="E302" s="153"/>
      <c r="F302" s="150">
        <v>2026</v>
      </c>
      <c r="G302" s="154">
        <v>0.47859582434177511</v>
      </c>
      <c r="H302" s="154">
        <v>0.94720267532384161</v>
      </c>
      <c r="I302" s="154">
        <v>0.41299375971888658</v>
      </c>
    </row>
    <row r="303" spans="1:9" x14ac:dyDescent="0.3">
      <c r="A303" s="150">
        <v>2027</v>
      </c>
      <c r="B303" s="154">
        <v>0.56948465381757352</v>
      </c>
      <c r="C303" s="154">
        <v>0.77702020935135052</v>
      </c>
      <c r="D303" s="154">
        <v>0.40727674053625251</v>
      </c>
      <c r="E303" s="153"/>
      <c r="F303" s="150">
        <v>2027</v>
      </c>
      <c r="G303" s="154">
        <v>0.47798747448996504</v>
      </c>
      <c r="H303" s="154">
        <v>0.94654438733561452</v>
      </c>
      <c r="I303" s="154">
        <v>0.41258191020108131</v>
      </c>
    </row>
    <row r="304" spans="1:9" x14ac:dyDescent="0.3">
      <c r="A304" s="150">
        <v>2028</v>
      </c>
      <c r="B304" s="154">
        <v>0.56637878769780614</v>
      </c>
      <c r="C304" s="154">
        <v>0.77383816205577083</v>
      </c>
      <c r="D304" s="154">
        <v>0.40461101568345631</v>
      </c>
      <c r="E304" s="153"/>
      <c r="F304" s="150">
        <v>2028</v>
      </c>
      <c r="G304" s="154">
        <v>0.47737513467586412</v>
      </c>
      <c r="H304" s="154">
        <v>0.94589018969304894</v>
      </c>
      <c r="I304" s="154">
        <v>0.41215812872853003</v>
      </c>
    </row>
    <row r="305" spans="1:9" x14ac:dyDescent="0.3">
      <c r="A305" s="150">
        <v>2029</v>
      </c>
      <c r="B305" s="154">
        <v>0.56331717527224701</v>
      </c>
      <c r="C305" s="154">
        <v>0.77069826459708657</v>
      </c>
      <c r="D305" s="154">
        <v>0.401981761744236</v>
      </c>
      <c r="E305" s="153"/>
      <c r="F305" s="150">
        <v>2029</v>
      </c>
      <c r="G305" s="154">
        <v>0.47676060491991951</v>
      </c>
      <c r="H305" s="154">
        <v>0.94524100784561893</v>
      </c>
      <c r="I305" s="154">
        <v>0.41172475629905081</v>
      </c>
    </row>
    <row r="306" spans="1:9" x14ac:dyDescent="0.3">
      <c r="A306" s="150">
        <v>2030</v>
      </c>
      <c r="B306" s="154">
        <v>0.560425096459919</v>
      </c>
      <c r="C306" s="154">
        <v>0.76772198788551171</v>
      </c>
      <c r="D306" s="154">
        <v>0.39949486855075189</v>
      </c>
      <c r="E306" s="153"/>
      <c r="F306" s="150">
        <v>2030</v>
      </c>
      <c r="G306" s="154">
        <v>0.47560914471095356</v>
      </c>
      <c r="H306" s="154">
        <v>0.94416326513083859</v>
      </c>
      <c r="I306" s="154">
        <v>0.41076051891761123</v>
      </c>
    </row>
    <row r="307" spans="1:9" x14ac:dyDescent="0.3">
      <c r="A307" s="150">
        <v>2031</v>
      </c>
      <c r="B307" s="154">
        <v>0.55730544009315097</v>
      </c>
      <c r="C307" s="154">
        <v>0.76452423713143169</v>
      </c>
      <c r="D307" s="154">
        <v>0.39681484959160113</v>
      </c>
      <c r="E307" s="153"/>
      <c r="F307" s="150">
        <v>2031</v>
      </c>
      <c r="G307" s="154">
        <v>0.47553133009849563</v>
      </c>
      <c r="H307" s="154">
        <v>0.94396097846259264</v>
      </c>
      <c r="I307" s="154">
        <v>0.41083748106320489</v>
      </c>
    </row>
    <row r="308" spans="1:9" x14ac:dyDescent="0.3">
      <c r="A308" s="150">
        <v>2032</v>
      </c>
      <c r="B308" s="154">
        <v>0.5543453651211373</v>
      </c>
      <c r="C308" s="154">
        <v>0.76148042477914046</v>
      </c>
      <c r="D308" s="154">
        <v>0.39426885252960359</v>
      </c>
      <c r="E308" s="153"/>
      <c r="F308" s="150">
        <v>2032</v>
      </c>
      <c r="G308" s="154">
        <v>0.4749193973165361</v>
      </c>
      <c r="H308" s="154">
        <v>0.94333159729628702</v>
      </c>
      <c r="I308" s="154">
        <v>0.41038721325587973</v>
      </c>
    </row>
    <row r="309" spans="1:9" x14ac:dyDescent="0.3">
      <c r="A309" s="150">
        <v>2033</v>
      </c>
      <c r="B309" s="154">
        <v>0.5514095918414389</v>
      </c>
      <c r="C309" s="154">
        <v>0.7584593516199033</v>
      </c>
      <c r="D309" s="154">
        <v>0.39174260897250673</v>
      </c>
      <c r="E309" s="153"/>
      <c r="F309" s="150">
        <v>2033</v>
      </c>
      <c r="G309" s="154">
        <v>0.47431092579914602</v>
      </c>
      <c r="H309" s="154">
        <v>0.94271016432820764</v>
      </c>
      <c r="I309" s="154">
        <v>0.40993467454031529</v>
      </c>
    </row>
    <row r="310" spans="1:9" x14ac:dyDescent="0.3">
      <c r="A310" s="150">
        <v>2034</v>
      </c>
      <c r="B310" s="154">
        <v>0.54849372430798871</v>
      </c>
      <c r="C310" s="154">
        <v>0.75545673533678925</v>
      </c>
      <c r="D310" s="154">
        <v>0.38923243288814163</v>
      </c>
      <c r="E310" s="153"/>
      <c r="F310" s="150">
        <v>2034</v>
      </c>
      <c r="G310" s="154">
        <v>0.47370702406082332</v>
      </c>
      <c r="H310" s="154">
        <v>0.94209725309175385</v>
      </c>
      <c r="I310" s="154">
        <v>0.40948130262037968</v>
      </c>
    </row>
    <row r="311" spans="1:9" x14ac:dyDescent="0.3">
      <c r="A311" s="150">
        <v>2035</v>
      </c>
      <c r="B311" s="154">
        <v>0.54551374348886839</v>
      </c>
      <c r="C311" s="154">
        <v>0.7523882234458712</v>
      </c>
      <c r="D311" s="154">
        <v>0.38666702260924479</v>
      </c>
      <c r="E311" s="153"/>
      <c r="F311" s="150">
        <v>2035</v>
      </c>
      <c r="G311" s="154">
        <v>0.47306961953797327</v>
      </c>
      <c r="H311" s="154">
        <v>0.94146411936500218</v>
      </c>
      <c r="I311" s="154">
        <v>0.40898765001308773</v>
      </c>
    </row>
    <row r="312" spans="1:9" x14ac:dyDescent="0.3">
      <c r="A312" s="150">
        <v>2036</v>
      </c>
      <c r="B312" s="154">
        <v>0.54268805562843603</v>
      </c>
      <c r="C312" s="154">
        <v>0.74947289265118011</v>
      </c>
      <c r="D312" s="154">
        <v>0.3842329418733666</v>
      </c>
      <c r="E312" s="153"/>
      <c r="F312" s="150">
        <v>2036</v>
      </c>
      <c r="G312" s="154">
        <v>0.47251699253016627</v>
      </c>
      <c r="H312" s="154">
        <v>0.94089913496230548</v>
      </c>
      <c r="I312" s="154">
        <v>0.40857728738675581</v>
      </c>
    </row>
    <row r="313" spans="1:9" x14ac:dyDescent="0.3">
      <c r="A313" s="150">
        <v>2037</v>
      </c>
      <c r="B313" s="154">
        <v>0.53979440343495388</v>
      </c>
      <c r="C313" s="154">
        <v>0.74648818880680001</v>
      </c>
      <c r="D313" s="154">
        <v>0.38174016175660869</v>
      </c>
      <c r="E313" s="153"/>
      <c r="F313" s="150">
        <v>2037</v>
      </c>
      <c r="G313" s="154">
        <v>0.47193274928968687</v>
      </c>
      <c r="H313" s="154">
        <v>0.94031494469673982</v>
      </c>
      <c r="I313" s="154">
        <v>0.40812904634925445</v>
      </c>
    </row>
    <row r="314" spans="1:9" x14ac:dyDescent="0.3">
      <c r="A314" s="150">
        <v>2038</v>
      </c>
      <c r="B314" s="154">
        <v>0.5369035412063744</v>
      </c>
      <c r="C314" s="154">
        <v>0.7435051577229187</v>
      </c>
      <c r="D314" s="154">
        <v>0.37924913472612731</v>
      </c>
      <c r="E314" s="153"/>
      <c r="F314" s="150">
        <v>2038</v>
      </c>
      <c r="G314" s="154">
        <v>0.47135684075708578</v>
      </c>
      <c r="H314" s="154">
        <v>0.93974129608008605</v>
      </c>
      <c r="I314" s="154">
        <v>0.40768477605663223</v>
      </c>
    </row>
    <row r="315" spans="1:9" x14ac:dyDescent="0.3">
      <c r="A315" s="150">
        <v>2039</v>
      </c>
      <c r="B315" s="154">
        <v>0.53399834691699766</v>
      </c>
      <c r="C315" s="154">
        <v>0.74050616937876945</v>
      </c>
      <c r="D315" s="154">
        <v>0.37674616707114589</v>
      </c>
      <c r="E315" s="153"/>
      <c r="F315" s="150">
        <v>2039</v>
      </c>
      <c r="G315" s="154">
        <v>0.47079006797846529</v>
      </c>
      <c r="H315" s="154">
        <v>0.93917863269864821</v>
      </c>
      <c r="I315" s="154">
        <v>0.40724548345193068</v>
      </c>
    </row>
    <row r="316" spans="1:9" x14ac:dyDescent="0.3">
      <c r="A316" s="150">
        <v>2040</v>
      </c>
      <c r="B316" s="154">
        <v>0.5308801842080676</v>
      </c>
      <c r="C316" s="154">
        <v>0.73729726004409712</v>
      </c>
      <c r="D316" s="154">
        <v>0.37406197963578164</v>
      </c>
      <c r="E316" s="153"/>
      <c r="F316" s="150">
        <v>2040</v>
      </c>
      <c r="G316" s="154">
        <v>0.46967804452887474</v>
      </c>
      <c r="H316" s="154">
        <v>0.93829281284298871</v>
      </c>
      <c r="I316" s="154">
        <v>0.40614408763972215</v>
      </c>
    </row>
    <row r="317" spans="1:9" x14ac:dyDescent="0.3">
      <c r="A317" s="150">
        <v>2041</v>
      </c>
      <c r="B317" s="154">
        <v>0.52818505459315956</v>
      </c>
      <c r="C317" s="154">
        <v>0.73450306926622877</v>
      </c>
      <c r="D317" s="154">
        <v>0.37173529241272507</v>
      </c>
      <c r="E317" s="153"/>
      <c r="F317" s="150">
        <v>2041</v>
      </c>
      <c r="G317" s="154">
        <v>0.4696869672186304</v>
      </c>
      <c r="H317" s="154">
        <v>0.93808797602135152</v>
      </c>
      <c r="I317" s="154">
        <v>0.40638561411365121</v>
      </c>
    </row>
    <row r="318" spans="1:9" x14ac:dyDescent="0.3">
      <c r="A318" s="150">
        <v>2042</v>
      </c>
      <c r="B318" s="154">
        <v>0.5252684723467469</v>
      </c>
      <c r="C318" s="154">
        <v>0.73149052983232854</v>
      </c>
      <c r="D318" s="154">
        <v>0.36922036169271838</v>
      </c>
      <c r="E318" s="153"/>
      <c r="F318" s="150">
        <v>2042</v>
      </c>
      <c r="G318" s="154">
        <v>0.46915209717304929</v>
      </c>
      <c r="H318" s="154">
        <v>0.93756082328785273</v>
      </c>
      <c r="I318" s="154">
        <v>0.40596683358731039</v>
      </c>
    </row>
    <row r="319" spans="1:9" x14ac:dyDescent="0.3">
      <c r="A319" s="150">
        <v>2043</v>
      </c>
      <c r="B319" s="154">
        <v>0.52233785854974035</v>
      </c>
      <c r="C319" s="154">
        <v>0.72846320603727088</v>
      </c>
      <c r="D319" s="154">
        <v>0.36669303414097543</v>
      </c>
      <c r="E319" s="153"/>
      <c r="F319" s="150">
        <v>2043</v>
      </c>
      <c r="G319" s="154">
        <v>0.46862928881819221</v>
      </c>
      <c r="H319" s="154">
        <v>0.93704634352118066</v>
      </c>
      <c r="I319" s="154">
        <v>0.40555663468186404</v>
      </c>
    </row>
    <row r="320" spans="1:9" x14ac:dyDescent="0.3">
      <c r="A320" s="150">
        <v>2044</v>
      </c>
      <c r="B320" s="154">
        <v>0.51939012750867475</v>
      </c>
      <c r="C320" s="154">
        <v>0.72541807278180281</v>
      </c>
      <c r="D320" s="154">
        <v>0.36415071176077918</v>
      </c>
      <c r="E320" s="153"/>
      <c r="F320" s="150">
        <v>2044</v>
      </c>
      <c r="G320" s="154">
        <v>0.46811923253387155</v>
      </c>
      <c r="H320" s="154">
        <v>0.93654495450634634</v>
      </c>
      <c r="I320" s="154">
        <v>0.40515584627501067</v>
      </c>
    </row>
    <row r="321" spans="1:9" x14ac:dyDescent="0.3">
      <c r="A321" s="150">
        <v>2045</v>
      </c>
      <c r="B321" s="154">
        <v>0.51631618259465772</v>
      </c>
      <c r="C321" s="154">
        <v>0.72224354542614089</v>
      </c>
      <c r="D321" s="154">
        <v>0.36149933297630449</v>
      </c>
      <c r="E321" s="153"/>
      <c r="F321" s="150">
        <v>2045</v>
      </c>
      <c r="G321" s="154">
        <v>0.46751126381481656</v>
      </c>
      <c r="H321" s="154">
        <v>0.93594898092855661</v>
      </c>
      <c r="I321" s="154">
        <v>0.4046762939873198</v>
      </c>
    </row>
    <row r="322" spans="1:9" x14ac:dyDescent="0.3">
      <c r="A322" s="150">
        <v>2046</v>
      </c>
      <c r="B322" s="154">
        <v>0.51343131716327794</v>
      </c>
      <c r="C322" s="154">
        <v>0.7192626069291207</v>
      </c>
      <c r="D322" s="154">
        <v>0.35901097736535881</v>
      </c>
      <c r="E322" s="153"/>
      <c r="F322" s="150">
        <v>2046</v>
      </c>
      <c r="G322" s="154">
        <v>0.46714008696688841</v>
      </c>
      <c r="H322" s="154">
        <v>0.93558312732797577</v>
      </c>
      <c r="I322" s="154">
        <v>0.40438571367271897</v>
      </c>
    </row>
    <row r="323" spans="1:9" x14ac:dyDescent="0.3">
      <c r="A323" s="150">
        <v>2047</v>
      </c>
      <c r="B323" s="154">
        <v>0.51041438880314205</v>
      </c>
      <c r="C323" s="154">
        <v>0.71614653036541309</v>
      </c>
      <c r="D323" s="154">
        <v>0.35640863616310198</v>
      </c>
      <c r="E323" s="153"/>
      <c r="F323" s="150">
        <v>2047</v>
      </c>
      <c r="G323" s="154">
        <v>0.46667233857500362</v>
      </c>
      <c r="H323" s="154">
        <v>0.93512353847665897</v>
      </c>
      <c r="I323" s="154">
        <v>0.40401793779025807</v>
      </c>
    </row>
    <row r="324" spans="1:9" x14ac:dyDescent="0.3">
      <c r="A324" s="150">
        <v>2048</v>
      </c>
      <c r="B324" s="154">
        <v>0.50736863022278345</v>
      </c>
      <c r="C324" s="154">
        <v>0.71300114197303754</v>
      </c>
      <c r="D324" s="154">
        <v>0.35378142930152895</v>
      </c>
      <c r="E324" s="153"/>
      <c r="F324" s="150">
        <v>2048</v>
      </c>
      <c r="G324" s="154">
        <v>0.46622004167558406</v>
      </c>
      <c r="H324" s="154">
        <v>0.93467875479479434</v>
      </c>
      <c r="I324" s="154">
        <v>0.40366272459257141</v>
      </c>
    </row>
    <row r="325" spans="1:9" x14ac:dyDescent="0.3">
      <c r="A325" s="150">
        <v>2049</v>
      </c>
      <c r="B325" s="154">
        <v>0.50475347153800509</v>
      </c>
      <c r="C325" s="154">
        <v>0.71030106170049923</v>
      </c>
      <c r="D325" s="154">
        <v>0.35152788285989833</v>
      </c>
      <c r="E325" s="153"/>
      <c r="F325" s="150">
        <v>2049</v>
      </c>
      <c r="G325" s="154">
        <v>0.46578388439208224</v>
      </c>
      <c r="H325" s="154">
        <v>0.9342492372157355</v>
      </c>
      <c r="I325" s="154">
        <v>0.40332085137767093</v>
      </c>
    </row>
    <row r="326" spans="1:9" x14ac:dyDescent="0.3">
      <c r="A326" s="150">
        <v>2050</v>
      </c>
      <c r="B326" s="154">
        <v>0.50301766256342684</v>
      </c>
      <c r="C326" s="154">
        <v>0.70852153759285008</v>
      </c>
      <c r="D326" s="154">
        <v>0.35004421213384029</v>
      </c>
      <c r="E326" s="153"/>
      <c r="F326" s="150">
        <v>2050</v>
      </c>
      <c r="G326" s="154">
        <v>0.46620237801471931</v>
      </c>
      <c r="H326" s="154">
        <v>0.93441516626044374</v>
      </c>
      <c r="I326" s="154">
        <v>0.40391916984974369</v>
      </c>
    </row>
    <row r="327" spans="1:9" x14ac:dyDescent="0.3">
      <c r="A327" s="150">
        <v>2051</v>
      </c>
      <c r="B327" s="154">
        <v>0.50109509757419579</v>
      </c>
      <c r="C327" s="154">
        <v>0.70656561382496408</v>
      </c>
      <c r="D327" s="154">
        <v>0.34839836521680217</v>
      </c>
      <c r="E327" s="153"/>
      <c r="F327" s="150">
        <v>2051</v>
      </c>
      <c r="G327" s="154">
        <v>0.4649628061546896</v>
      </c>
      <c r="H327" s="154">
        <v>0.93343791854302649</v>
      </c>
      <c r="I327" s="154">
        <v>0.40268027356069452</v>
      </c>
    </row>
    <row r="328" spans="1:9" x14ac:dyDescent="0.3">
      <c r="A328" s="150">
        <v>2052</v>
      </c>
      <c r="B328" s="154">
        <v>0.49924474136077335</v>
      </c>
      <c r="C328" s="154">
        <v>0.70468063425096383</v>
      </c>
      <c r="D328" s="154">
        <v>0.34681393833269886</v>
      </c>
      <c r="E328" s="153"/>
      <c r="F328" s="150">
        <v>2052</v>
      </c>
      <c r="G328" s="154">
        <v>0.46457933926401235</v>
      </c>
      <c r="H328" s="154">
        <v>0.93305712180840361</v>
      </c>
      <c r="I328" s="154">
        <v>0.40238317811516239</v>
      </c>
    </row>
    <row r="329" spans="1:9" x14ac:dyDescent="0.3">
      <c r="A329" s="150">
        <v>2053</v>
      </c>
      <c r="B329" s="154">
        <v>0.49735561011220869</v>
      </c>
      <c r="C329" s="154">
        <v>0.70275845151075378</v>
      </c>
      <c r="D329" s="154">
        <v>0.34519682605606616</v>
      </c>
      <c r="E329" s="153"/>
      <c r="F329" s="150">
        <v>2053</v>
      </c>
      <c r="G329" s="154">
        <v>0.46421493527126706</v>
      </c>
      <c r="H329" s="154">
        <v>0.93269361430982367</v>
      </c>
      <c r="I329" s="154">
        <v>0.40210265340448448</v>
      </c>
    </row>
    <row r="330" spans="1:9" x14ac:dyDescent="0.3">
      <c r="A330" s="150">
        <v>2054</v>
      </c>
      <c r="B330" s="154">
        <v>0.49542575244029269</v>
      </c>
      <c r="C330" s="154">
        <v>0.70079718054097606</v>
      </c>
      <c r="D330" s="154">
        <v>0.34354539080583463</v>
      </c>
      <c r="E330" s="153"/>
      <c r="F330" s="150">
        <v>2054</v>
      </c>
      <c r="G330" s="154">
        <v>0.46387039579993994</v>
      </c>
      <c r="H330" s="154">
        <v>0.93234796986417778</v>
      </c>
      <c r="I330" s="154">
        <v>0.40183956447130648</v>
      </c>
    </row>
    <row r="331" spans="1:9" x14ac:dyDescent="0.3">
      <c r="A331" s="150">
        <v>2055</v>
      </c>
      <c r="B331" s="154">
        <v>0.49341223918682564</v>
      </c>
      <c r="C331" s="154">
        <v>0.69875053126939746</v>
      </c>
      <c r="D331" s="154">
        <v>0.34182179224129122</v>
      </c>
      <c r="E331" s="153"/>
      <c r="F331" s="150">
        <v>2055</v>
      </c>
      <c r="G331" s="154">
        <v>0.46354655843838832</v>
      </c>
      <c r="H331" s="154">
        <v>0.93202079551914518</v>
      </c>
      <c r="I331" s="154">
        <v>0.40159480694922278</v>
      </c>
    </row>
    <row r="332" spans="1:9" x14ac:dyDescent="0.3">
      <c r="A332" s="150">
        <v>2056</v>
      </c>
      <c r="B332" s="154">
        <v>0.49143659747154755</v>
      </c>
      <c r="C332" s="154">
        <v>0.69675036503879884</v>
      </c>
      <c r="D332" s="154">
        <v>0.34013346033325265</v>
      </c>
      <c r="E332" s="153"/>
      <c r="F332" s="150">
        <v>2056</v>
      </c>
      <c r="G332" s="154">
        <v>0.46324429869996347</v>
      </c>
      <c r="H332" s="154">
        <v>0.93171273370978314</v>
      </c>
      <c r="I332" s="154">
        <v>0.40136930835072443</v>
      </c>
    </row>
    <row r="333" spans="1:9" x14ac:dyDescent="0.3">
      <c r="A333" s="150">
        <v>2057</v>
      </c>
      <c r="B333" s="154">
        <v>0.48937393118142186</v>
      </c>
      <c r="C333" s="154">
        <v>0.69466157058973299</v>
      </c>
      <c r="D333" s="154">
        <v>0.33837013960907708</v>
      </c>
      <c r="E333" s="153"/>
      <c r="F333" s="150">
        <v>2057</v>
      </c>
      <c r="G333" s="154">
        <v>0.46296454155996192</v>
      </c>
      <c r="H333" s="154">
        <v>0.93142446997799133</v>
      </c>
      <c r="I333" s="154">
        <v>0.40116404110852077</v>
      </c>
    </row>
    <row r="334" spans="1:9" x14ac:dyDescent="0.3">
      <c r="A334" s="150">
        <v>2058</v>
      </c>
      <c r="B334" s="154">
        <v>0.48726379355760413</v>
      </c>
      <c r="C334" s="154">
        <v>0.69252718129930535</v>
      </c>
      <c r="D334" s="154">
        <v>0.33656683907606499</v>
      </c>
      <c r="E334" s="153"/>
      <c r="F334" s="150">
        <v>2058</v>
      </c>
      <c r="G334" s="154">
        <v>0.46270743412322773</v>
      </c>
      <c r="H334" s="154">
        <v>0.93115509682164144</v>
      </c>
      <c r="I334" s="154">
        <v>0.40098027589834401</v>
      </c>
    </row>
    <row r="335" spans="1:9" x14ac:dyDescent="0.3">
      <c r="A335" s="150">
        <v>2059</v>
      </c>
      <c r="B335" s="154">
        <v>0.48510474616620997</v>
      </c>
      <c r="C335" s="154">
        <v>0.69034581192281941</v>
      </c>
      <c r="D335" s="154">
        <v>0.33472235327028804</v>
      </c>
      <c r="E335" s="153"/>
      <c r="F335" s="150">
        <v>2059</v>
      </c>
      <c r="G335" s="154">
        <v>0.46247485638292057</v>
      </c>
      <c r="H335" s="154">
        <v>0.93090703845718903</v>
      </c>
      <c r="I335" s="154">
        <v>0.4008188574043296</v>
      </c>
    </row>
    <row r="336" spans="1:9" x14ac:dyDescent="0.3">
      <c r="A336" s="150">
        <v>2060</v>
      </c>
      <c r="B336" s="154">
        <v>0.4830570645369755</v>
      </c>
      <c r="C336" s="154">
        <v>0.68826079230039838</v>
      </c>
      <c r="D336" s="154">
        <v>0.33296790946891608</v>
      </c>
      <c r="E336" s="153"/>
      <c r="F336" s="150">
        <v>2060</v>
      </c>
      <c r="G336" s="154">
        <v>0.46202053705721446</v>
      </c>
      <c r="H336" s="154">
        <v>0.93051263667623285</v>
      </c>
      <c r="I336" s="154">
        <v>0.40040455924492369</v>
      </c>
    </row>
    <row r="339" spans="1:2" x14ac:dyDescent="0.3">
      <c r="A339" s="142" t="s">
        <v>205</v>
      </c>
      <c r="B339" s="313" t="s">
        <v>296</v>
      </c>
    </row>
  </sheetData>
  <mergeCells count="71">
    <mergeCell ref="B1:K1"/>
    <mergeCell ref="A8:M8"/>
    <mergeCell ref="O8:AG8"/>
    <mergeCell ref="B9:K9"/>
    <mergeCell ref="P11:V11"/>
    <mergeCell ref="X11:AA11"/>
    <mergeCell ref="P60:P62"/>
    <mergeCell ref="AA14:AD15"/>
    <mergeCell ref="V16:V19"/>
    <mergeCell ref="AA28:AG28"/>
    <mergeCell ref="P51:Z51"/>
    <mergeCell ref="P52:Q53"/>
    <mergeCell ref="R52:T52"/>
    <mergeCell ref="U52:W52"/>
    <mergeCell ref="X52:Z52"/>
    <mergeCell ref="AB52:AF52"/>
    <mergeCell ref="P54:Z55"/>
    <mergeCell ref="P56:Q56"/>
    <mergeCell ref="P57:Q57"/>
    <mergeCell ref="P58:Q58"/>
    <mergeCell ref="P59:Q59"/>
    <mergeCell ref="P80:Q80"/>
    <mergeCell ref="P63:Q63"/>
    <mergeCell ref="B64:K64"/>
    <mergeCell ref="P64:Q64"/>
    <mergeCell ref="P65:Q65"/>
    <mergeCell ref="P66:Q66"/>
    <mergeCell ref="P67:Z68"/>
    <mergeCell ref="P69:P70"/>
    <mergeCell ref="P71:Q71"/>
    <mergeCell ref="P72:P75"/>
    <mergeCell ref="P76:P78"/>
    <mergeCell ref="P79:Q79"/>
    <mergeCell ref="AB86:AF86"/>
    <mergeCell ref="V89:X89"/>
    <mergeCell ref="AB90:AF90"/>
    <mergeCell ref="P102:Z102"/>
    <mergeCell ref="P103:Q104"/>
    <mergeCell ref="R103:T103"/>
    <mergeCell ref="U103:W103"/>
    <mergeCell ref="X103:Z103"/>
    <mergeCell ref="P111:Q112"/>
    <mergeCell ref="R111:T111"/>
    <mergeCell ref="U111:W111"/>
    <mergeCell ref="X111:Z111"/>
    <mergeCell ref="P81:Z85"/>
    <mergeCell ref="P105:Z106"/>
    <mergeCell ref="P107:Q107"/>
    <mergeCell ref="P108:Q108"/>
    <mergeCell ref="P109:Q109"/>
    <mergeCell ref="P110:Z110"/>
    <mergeCell ref="B177:K177"/>
    <mergeCell ref="P113:Z114"/>
    <mergeCell ref="P115:Q115"/>
    <mergeCell ref="P116:Q116"/>
    <mergeCell ref="P117:Q117"/>
    <mergeCell ref="P118:Z118"/>
    <mergeCell ref="P119:Q120"/>
    <mergeCell ref="R119:T119"/>
    <mergeCell ref="U119:W119"/>
    <mergeCell ref="X119:Z119"/>
    <mergeCell ref="B120:K120"/>
    <mergeCell ref="P121:Z122"/>
    <mergeCell ref="P123:Q123"/>
    <mergeCell ref="P124:Q124"/>
    <mergeCell ref="S144:U145"/>
    <mergeCell ref="B237:K237"/>
    <mergeCell ref="A240:D240"/>
    <mergeCell ref="A288:I288"/>
    <mergeCell ref="A289:D289"/>
    <mergeCell ref="F289:I289"/>
  </mergeCells>
  <hyperlinks>
    <hyperlink ref="P86" r:id="rId1"/>
    <hyperlink ref="AB83" r:id="rId2"/>
    <hyperlink ref="AA90" r:id="rId3" display="http://ec.europa.eu/eurostat/ramon/statmanuals/files/Energy_statistics_manual_2004_EN.pdf"/>
    <hyperlink ref="B61" r:id="rId4"/>
    <hyperlink ref="AB99" r:id="rId5"/>
    <hyperlink ref="AB100" r:id="rId6"/>
    <hyperlink ref="AH72" r:id="rId7"/>
  </hyperlinks>
  <pageMargins left="0.75" right="0.75" top="1" bottom="1" header="0.5" footer="0.5"/>
  <pageSetup orientation="portrait" horizontalDpi="4294967292" verticalDpi="4294967292" r:id="rId8"/>
  <drawing r:id="rId9"/>
  <legacy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5" tint="0.59999389629810485"/>
  </sheetPr>
  <dimension ref="A1:AV114"/>
  <sheetViews>
    <sheetView workbookViewId="0">
      <selection activeCell="B112" sqref="B112"/>
    </sheetView>
  </sheetViews>
  <sheetFormatPr defaultColWidth="11" defaultRowHeight="15.6" x14ac:dyDescent="0.3"/>
  <cols>
    <col min="4" max="4" width="9.296875" customWidth="1"/>
    <col min="24" max="24" width="21.5" bestFit="1" customWidth="1"/>
    <col min="25" max="25" width="10.796875" style="244"/>
    <col min="26" max="26" width="18.796875" bestFit="1" customWidth="1"/>
    <col min="37" max="37" width="10.796875" style="244"/>
  </cols>
  <sheetData>
    <row r="1" spans="2:48" s="235" customFormat="1" ht="15" thickBot="1" x14ac:dyDescent="0.35">
      <c r="B1" s="595" t="s">
        <v>243</v>
      </c>
      <c r="C1" s="595"/>
      <c r="D1" s="595"/>
      <c r="E1" s="595"/>
      <c r="F1" s="595"/>
      <c r="G1" s="595"/>
      <c r="H1" s="595"/>
      <c r="I1" s="595"/>
      <c r="J1" s="595"/>
      <c r="K1" s="595"/>
      <c r="L1" s="595"/>
      <c r="N1" s="599" t="s">
        <v>631</v>
      </c>
      <c r="O1" s="600"/>
      <c r="P1" s="600"/>
      <c r="Q1" s="600"/>
      <c r="R1" s="600"/>
      <c r="S1" s="600"/>
      <c r="T1" s="600"/>
      <c r="U1" s="600"/>
      <c r="V1" s="600"/>
      <c r="W1" s="600"/>
      <c r="X1" s="600"/>
      <c r="Y1" s="243"/>
      <c r="Z1" s="596" t="s">
        <v>241</v>
      </c>
      <c r="AA1" s="597"/>
      <c r="AB1" s="597"/>
      <c r="AC1" s="597"/>
      <c r="AD1" s="597"/>
      <c r="AE1" s="597"/>
      <c r="AF1" s="597"/>
      <c r="AG1" s="597"/>
      <c r="AH1" s="597"/>
      <c r="AI1" s="597"/>
      <c r="AJ1" s="598"/>
      <c r="AK1" s="243"/>
      <c r="AL1" s="596" t="s">
        <v>242</v>
      </c>
      <c r="AM1" s="597"/>
      <c r="AN1" s="597"/>
      <c r="AO1" s="597"/>
      <c r="AP1" s="597"/>
      <c r="AQ1" s="597"/>
      <c r="AR1" s="597"/>
      <c r="AS1" s="597"/>
      <c r="AT1" s="597"/>
      <c r="AU1" s="597"/>
      <c r="AV1" s="598"/>
    </row>
    <row r="2" spans="2:48" s="235" customFormat="1" ht="27" thickBot="1" x14ac:dyDescent="0.35">
      <c r="B2" s="237"/>
      <c r="C2" s="218" t="s">
        <v>4</v>
      </c>
      <c r="D2" s="191" t="s">
        <v>5</v>
      </c>
      <c r="E2" s="191" t="s">
        <v>6</v>
      </c>
      <c r="F2" s="191" t="s">
        <v>7</v>
      </c>
      <c r="G2" s="191" t="s">
        <v>8</v>
      </c>
      <c r="H2" s="191" t="s">
        <v>9</v>
      </c>
      <c r="I2" s="191" t="s">
        <v>10</v>
      </c>
      <c r="J2" s="191" t="s">
        <v>11</v>
      </c>
      <c r="K2" s="191" t="s">
        <v>12</v>
      </c>
      <c r="L2" s="192" t="s">
        <v>13</v>
      </c>
      <c r="N2" s="531"/>
      <c r="O2" s="218" t="s">
        <v>4</v>
      </c>
      <c r="P2" s="191" t="s">
        <v>5</v>
      </c>
      <c r="Q2" s="191" t="s">
        <v>6</v>
      </c>
      <c r="R2" s="191" t="s">
        <v>7</v>
      </c>
      <c r="S2" s="191" t="s">
        <v>8</v>
      </c>
      <c r="T2" s="191" t="s">
        <v>9</v>
      </c>
      <c r="U2" s="191" t="s">
        <v>10</v>
      </c>
      <c r="V2" s="191" t="s">
        <v>11</v>
      </c>
      <c r="W2" s="191" t="s">
        <v>12</v>
      </c>
      <c r="X2" s="192" t="s">
        <v>13</v>
      </c>
      <c r="Y2" s="243"/>
      <c r="Z2" s="240" t="s">
        <v>244</v>
      </c>
      <c r="AA2" s="241">
        <f>(C39-C4)/C4</f>
        <v>0.39485735549165651</v>
      </c>
      <c r="AB2" s="241">
        <f t="shared" ref="AB2:AJ2" si="0">(D39-D4)/D4</f>
        <v>5.9691474519970686E-2</v>
      </c>
      <c r="AC2" s="241">
        <f t="shared" si="0"/>
        <v>3.0722711962699466E-3</v>
      </c>
      <c r="AD2" s="241">
        <f t="shared" si="0"/>
        <v>0.24812564737369713</v>
      </c>
      <c r="AE2" s="241">
        <f t="shared" si="0"/>
        <v>1.1806360274345415</v>
      </c>
      <c r="AF2" s="241">
        <f t="shared" si="0"/>
        <v>0.30233015500020144</v>
      </c>
      <c r="AG2" s="241">
        <f t="shared" si="0"/>
        <v>-1.0165581030684686E-2</v>
      </c>
      <c r="AH2" s="241">
        <f t="shared" si="0"/>
        <v>0.368876191007252</v>
      </c>
      <c r="AI2" s="241">
        <f t="shared" si="0"/>
        <v>-5.0904107878801758E-2</v>
      </c>
      <c r="AJ2" s="241">
        <f t="shared" si="0"/>
        <v>0.17802432530871704</v>
      </c>
      <c r="AK2" s="243"/>
      <c r="AL2" s="240" t="s">
        <v>244</v>
      </c>
      <c r="AM2" s="241">
        <f t="shared" ref="AM2:AV2" si="1">(O39-O4)/O4</f>
        <v>0.27765645790880322</v>
      </c>
      <c r="AN2" s="242">
        <f t="shared" si="1"/>
        <v>-1.6916069573866283E-2</v>
      </c>
      <c r="AO2" s="241">
        <f t="shared" si="1"/>
        <v>-7.5007198515960591E-2</v>
      </c>
      <c r="AP2" s="241">
        <f t="shared" si="1"/>
        <v>0.13895753177660611</v>
      </c>
      <c r="AQ2" s="241">
        <f t="shared" si="1"/>
        <v>1.0092328292710948</v>
      </c>
      <c r="AR2" s="241">
        <f t="shared" si="1"/>
        <v>0.17132343185384719</v>
      </c>
      <c r="AS2" s="241">
        <f t="shared" si="1"/>
        <v>-8.0484039230885915E-2</v>
      </c>
      <c r="AT2" s="241">
        <f t="shared" si="1"/>
        <v>0.25113387267700393</v>
      </c>
      <c r="AU2" s="241">
        <f t="shared" si="1"/>
        <v>-0.11764558110854778</v>
      </c>
      <c r="AV2" s="241">
        <f t="shared" si="1"/>
        <v>8.6298587235151047E-2</v>
      </c>
    </row>
    <row r="3" spans="2:48" s="235" customFormat="1" ht="14.4" x14ac:dyDescent="0.3">
      <c r="B3" s="238">
        <v>2014</v>
      </c>
      <c r="C3" s="239">
        <v>7294.6510340000013</v>
      </c>
      <c r="D3" s="239">
        <v>929.10645999999997</v>
      </c>
      <c r="E3" s="239">
        <v>398.21561200000008</v>
      </c>
      <c r="F3" s="239">
        <v>3956.644643000001</v>
      </c>
      <c r="G3" s="239">
        <v>1383.5181360000001</v>
      </c>
      <c r="H3" s="239">
        <v>627.16618300000005</v>
      </c>
      <c r="I3" s="239">
        <v>1399.453966</v>
      </c>
      <c r="J3" s="239">
        <v>1295.600768</v>
      </c>
      <c r="K3" s="239">
        <v>741.20158199999992</v>
      </c>
      <c r="L3" s="239">
        <v>318.67342200000002</v>
      </c>
      <c r="N3" s="532">
        <v>2014</v>
      </c>
      <c r="O3" s="533">
        <v>7294.6633720000018</v>
      </c>
      <c r="P3" s="533">
        <v>929.10645999999997</v>
      </c>
      <c r="Q3" s="533">
        <v>398.21561200000008</v>
      </c>
      <c r="R3" s="533">
        <v>3956.656981000001</v>
      </c>
      <c r="S3" s="533">
        <v>1383.5181360000001</v>
      </c>
      <c r="T3" s="533">
        <v>627.16618300000005</v>
      </c>
      <c r="U3" s="533">
        <v>1399.453966</v>
      </c>
      <c r="V3" s="533">
        <v>1295.600768</v>
      </c>
      <c r="W3" s="533">
        <v>741.20158199999992</v>
      </c>
      <c r="X3" s="533">
        <v>318.67342200000002</v>
      </c>
      <c r="Y3" s="243"/>
      <c r="Z3" s="239"/>
      <c r="AA3" s="237" t="str">
        <f t="shared" ref="AA3:AJ3" si="2">O2</f>
        <v>World</v>
      </c>
      <c r="AB3" s="237" t="str">
        <f t="shared" si="2"/>
        <v>OECD90</v>
      </c>
      <c r="AC3" s="237" t="str">
        <f t="shared" si="2"/>
        <v>Eastern Europe</v>
      </c>
      <c r="AD3" s="237" t="str">
        <f t="shared" si="2"/>
        <v>Asia (Sans Japan)</v>
      </c>
      <c r="AE3" s="237" t="str">
        <f t="shared" si="2"/>
        <v>Middle East and Africa</v>
      </c>
      <c r="AF3" s="237" t="str">
        <f t="shared" si="2"/>
        <v>Latin America</v>
      </c>
      <c r="AG3" s="237" t="str">
        <f t="shared" si="2"/>
        <v>China</v>
      </c>
      <c r="AH3" s="237" t="str">
        <f t="shared" si="2"/>
        <v>India</v>
      </c>
      <c r="AI3" s="237" t="str">
        <f t="shared" si="2"/>
        <v>EU</v>
      </c>
      <c r="AJ3" s="237" t="str">
        <f t="shared" si="2"/>
        <v>USA</v>
      </c>
      <c r="AK3" s="243"/>
      <c r="AL3" s="239"/>
      <c r="AM3" s="237" t="str">
        <f>AA3</f>
        <v>World</v>
      </c>
      <c r="AN3" s="237" t="str">
        <f t="shared" ref="AN3:AU3" si="3">AB3</f>
        <v>OECD90</v>
      </c>
      <c r="AO3" s="237" t="str">
        <f t="shared" si="3"/>
        <v>Eastern Europe</v>
      </c>
      <c r="AP3" s="237" t="str">
        <f t="shared" si="3"/>
        <v>Asia (Sans Japan)</v>
      </c>
      <c r="AQ3" s="237" t="str">
        <f t="shared" si="3"/>
        <v>Middle East and Africa</v>
      </c>
      <c r="AR3" s="237" t="str">
        <f t="shared" si="3"/>
        <v>Latin America</v>
      </c>
      <c r="AS3" s="237" t="str">
        <f t="shared" si="3"/>
        <v>China</v>
      </c>
      <c r="AT3" s="237" t="str">
        <f t="shared" si="3"/>
        <v>India</v>
      </c>
      <c r="AU3" s="237" t="str">
        <f t="shared" si="3"/>
        <v>EU</v>
      </c>
      <c r="AV3" s="237" t="str">
        <f>AJ3</f>
        <v>USA</v>
      </c>
    </row>
    <row r="4" spans="2:48" s="235" customFormat="1" ht="14.4" x14ac:dyDescent="0.3">
      <c r="B4" s="238">
        <v>2015</v>
      </c>
      <c r="C4" s="239">
        <v>7379.1568789999974</v>
      </c>
      <c r="D4" s="239">
        <v>933.36161399999992</v>
      </c>
      <c r="E4" s="239">
        <v>399.16560800000002</v>
      </c>
      <c r="F4" s="239">
        <v>3995.217545999998</v>
      </c>
      <c r="G4" s="239">
        <v>1417.7915149999999</v>
      </c>
      <c r="H4" s="239">
        <v>633.62059600000009</v>
      </c>
      <c r="I4" s="239">
        <v>1406.8478680000001</v>
      </c>
      <c r="J4" s="239">
        <v>1310.152392</v>
      </c>
      <c r="K4" s="239">
        <v>742.44198699999993</v>
      </c>
      <c r="L4" s="239">
        <v>320.87831199999999</v>
      </c>
      <c r="N4" s="532">
        <v>2015</v>
      </c>
      <c r="O4" s="533">
        <v>7379.1691409999976</v>
      </c>
      <c r="P4" s="533">
        <v>933.36161399999992</v>
      </c>
      <c r="Q4" s="533">
        <v>399.16560800000002</v>
      </c>
      <c r="R4" s="533">
        <v>3995.2298079999982</v>
      </c>
      <c r="S4" s="533">
        <v>1417.7915149999999</v>
      </c>
      <c r="T4" s="533">
        <v>633.62059600000009</v>
      </c>
      <c r="U4" s="533">
        <v>1406.8478680000001</v>
      </c>
      <c r="V4" s="533">
        <v>1310.152392</v>
      </c>
      <c r="W4" s="533">
        <v>742.44198699999993</v>
      </c>
      <c r="X4" s="533">
        <v>320.87831199999999</v>
      </c>
      <c r="Y4" s="243"/>
      <c r="Z4" s="238">
        <v>2014</v>
      </c>
      <c r="AA4" s="239"/>
      <c r="AB4" s="239"/>
      <c r="AC4" s="239"/>
      <c r="AD4" s="239"/>
      <c r="AE4" s="239"/>
      <c r="AF4" s="239"/>
      <c r="AG4" s="239"/>
      <c r="AH4" s="239"/>
      <c r="AI4" s="239"/>
      <c r="AJ4" s="239"/>
      <c r="AK4" s="243"/>
      <c r="AL4" s="238">
        <v>2014</v>
      </c>
      <c r="AM4" s="239"/>
      <c r="AN4" s="239"/>
      <c r="AO4" s="239"/>
      <c r="AP4" s="239"/>
      <c r="AQ4" s="239"/>
      <c r="AR4" s="239"/>
      <c r="AS4" s="239"/>
      <c r="AT4" s="239"/>
      <c r="AU4" s="239"/>
      <c r="AV4" s="239"/>
    </row>
    <row r="5" spans="2:48" s="235" customFormat="1" ht="14.4" x14ac:dyDescent="0.3">
      <c r="B5" s="238">
        <v>2016</v>
      </c>
      <c r="C5" s="239">
        <v>7463.3816070000003</v>
      </c>
      <c r="D5" s="239">
        <v>937.51012300000014</v>
      </c>
      <c r="E5" s="239">
        <v>400.07761199999999</v>
      </c>
      <c r="F5" s="239">
        <v>4033.3087009999999</v>
      </c>
      <c r="G5" s="239">
        <v>1452.5412039999999</v>
      </c>
      <c r="H5" s="239">
        <v>639.94396700000004</v>
      </c>
      <c r="I5" s="239">
        <v>1414.0493529999999</v>
      </c>
      <c r="J5" s="239">
        <v>1324.5172500000001</v>
      </c>
      <c r="K5" s="239">
        <v>743.65149699999995</v>
      </c>
      <c r="L5" s="239">
        <v>323.01599200000004</v>
      </c>
      <c r="N5" s="532">
        <v>2016</v>
      </c>
      <c r="O5" s="533">
        <v>7463.3937050000004</v>
      </c>
      <c r="P5" s="533">
        <v>937.51012300000014</v>
      </c>
      <c r="Q5" s="533">
        <v>400.07761199999999</v>
      </c>
      <c r="R5" s="533">
        <v>4033.3207990000001</v>
      </c>
      <c r="S5" s="533">
        <v>1452.5412039999999</v>
      </c>
      <c r="T5" s="533">
        <v>639.94396700000004</v>
      </c>
      <c r="U5" s="533">
        <v>1414.0493529999999</v>
      </c>
      <c r="V5" s="533">
        <v>1324.5172500000001</v>
      </c>
      <c r="W5" s="533">
        <v>743.65149699999995</v>
      </c>
      <c r="X5" s="533">
        <v>323.01599200000004</v>
      </c>
      <c r="Y5" s="243"/>
      <c r="Z5" s="238">
        <v>2015</v>
      </c>
      <c r="AA5" s="242">
        <f>(C5-C4)/C4</f>
        <v>1.1413868736101023E-2</v>
      </c>
      <c r="AB5" s="242">
        <f t="shared" ref="AB5:AG20" si="4">(D5-D4)/D4</f>
        <v>4.4446963939532846E-3</v>
      </c>
      <c r="AC5" s="242">
        <f t="shared" si="4"/>
        <v>2.2847759970342123E-3</v>
      </c>
      <c r="AD5" s="242">
        <f t="shared" si="4"/>
        <v>9.5341879538296138E-3</v>
      </c>
      <c r="AE5" s="242">
        <f t="shared" si="4"/>
        <v>2.4509731249167471E-2</v>
      </c>
      <c r="AF5" s="242">
        <f t="shared" si="4"/>
        <v>9.9797434614956101E-3</v>
      </c>
      <c r="AG5" s="242">
        <f>(I5-I4)/I4</f>
        <v>5.1188797053355736E-3</v>
      </c>
      <c r="AH5" s="242">
        <f t="shared" ref="AH5:AJ49" si="5">(J5-J4)/J4</f>
        <v>1.0964264987580269E-2</v>
      </c>
      <c r="AI5" s="242">
        <f t="shared" si="5"/>
        <v>1.62909698155315E-3</v>
      </c>
      <c r="AJ5" s="242">
        <f t="shared" si="5"/>
        <v>6.6619647388323515E-3</v>
      </c>
      <c r="AK5" s="243"/>
      <c r="AL5" s="238">
        <v>2015</v>
      </c>
      <c r="AM5" s="242">
        <f>(O5-O4)/O4</f>
        <v>1.1413827544897424E-2</v>
      </c>
      <c r="AN5" s="242">
        <f t="shared" ref="AN5:AS47" si="6">(P5-P4)/P4</f>
        <v>4.4446963939532846E-3</v>
      </c>
      <c r="AO5" s="242">
        <f t="shared" si="6"/>
        <v>2.2847759970342123E-3</v>
      </c>
      <c r="AP5" s="242">
        <f t="shared" si="6"/>
        <v>9.5341176429273051E-3</v>
      </c>
      <c r="AQ5" s="242">
        <f t="shared" si="6"/>
        <v>2.4509731249167471E-2</v>
      </c>
      <c r="AR5" s="242">
        <f t="shared" si="6"/>
        <v>9.9797434614956101E-3</v>
      </c>
      <c r="AS5" s="242">
        <f>(U5-U4)/U4</f>
        <v>5.1188797053355736E-3</v>
      </c>
      <c r="AT5" s="242">
        <f t="shared" ref="AT5:AV49" si="7">(V5-V4)/V4</f>
        <v>1.0964264987580269E-2</v>
      </c>
      <c r="AU5" s="242">
        <f t="shared" si="7"/>
        <v>1.62909698155315E-3</v>
      </c>
      <c r="AV5" s="242">
        <f t="shared" si="7"/>
        <v>6.6619647388323515E-3</v>
      </c>
    </row>
    <row r="6" spans="2:48" s="235" customFormat="1" ht="14.4" x14ac:dyDescent="0.3">
      <c r="B6" s="238">
        <v>2017</v>
      </c>
      <c r="C6" s="239">
        <v>7547.2184349999998</v>
      </c>
      <c r="D6" s="239">
        <v>941.52129899999989</v>
      </c>
      <c r="E6" s="239">
        <v>400.94012499999997</v>
      </c>
      <c r="F6" s="239">
        <v>4070.8638109999997</v>
      </c>
      <c r="G6" s="239">
        <v>1487.7517009999999</v>
      </c>
      <c r="H6" s="239">
        <v>646.14149899999995</v>
      </c>
      <c r="I6" s="239">
        <v>1421.021794</v>
      </c>
      <c r="J6" s="239">
        <v>1338.6767790000001</v>
      </c>
      <c r="K6" s="239">
        <v>744.7971829999999</v>
      </c>
      <c r="L6" s="239">
        <v>325.08475799999997</v>
      </c>
      <c r="N6" s="532">
        <v>2017</v>
      </c>
      <c r="O6" s="533">
        <v>7547.230329</v>
      </c>
      <c r="P6" s="533">
        <v>941.52129899999989</v>
      </c>
      <c r="Q6" s="533">
        <v>400.94012499999997</v>
      </c>
      <c r="R6" s="533">
        <v>4070.8757049999995</v>
      </c>
      <c r="S6" s="533">
        <v>1487.7517009999999</v>
      </c>
      <c r="T6" s="533">
        <v>646.14149899999995</v>
      </c>
      <c r="U6" s="533">
        <v>1421.021794</v>
      </c>
      <c r="V6" s="533">
        <v>1338.6767790000001</v>
      </c>
      <c r="W6" s="533">
        <v>744.7971829999999</v>
      </c>
      <c r="X6" s="533">
        <v>325.08475799999997</v>
      </c>
      <c r="Y6" s="243"/>
      <c r="Z6" s="238">
        <v>2016</v>
      </c>
      <c r="AA6" s="242">
        <f>(C6-C5)/C5</f>
        <v>1.1233088754482002E-2</v>
      </c>
      <c r="AB6" s="242">
        <f t="shared" si="4"/>
        <v>4.2785415342120525E-3</v>
      </c>
      <c r="AC6" s="242">
        <f t="shared" si="4"/>
        <v>2.1558641976696727E-3</v>
      </c>
      <c r="AD6" s="242">
        <f t="shared" si="4"/>
        <v>9.3112411630402962E-3</v>
      </c>
      <c r="AE6" s="242">
        <f t="shared" si="4"/>
        <v>2.4240618374912575E-2</v>
      </c>
      <c r="AF6" s="242">
        <f t="shared" si="4"/>
        <v>9.6844916423751669E-3</v>
      </c>
      <c r="AG6" s="242">
        <f t="shared" si="4"/>
        <v>4.9308328490852314E-3</v>
      </c>
      <c r="AH6" s="242">
        <f t="shared" si="5"/>
        <v>1.069033189261976E-2</v>
      </c>
      <c r="AI6" s="242">
        <f t="shared" si="5"/>
        <v>1.5406221928172294E-3</v>
      </c>
      <c r="AJ6" s="242">
        <f t="shared" si="5"/>
        <v>6.4045312035198717E-3</v>
      </c>
      <c r="AK6" s="243"/>
      <c r="AL6" s="238">
        <v>2016</v>
      </c>
      <c r="AM6" s="242">
        <f t="shared" ref="AM6:AM44" si="8">(O6-O5)/O5</f>
        <v>1.123304321247777E-2</v>
      </c>
      <c r="AN6" s="242">
        <f t="shared" si="6"/>
        <v>4.2785415342120525E-3</v>
      </c>
      <c r="AO6" s="242">
        <f t="shared" si="6"/>
        <v>2.1558641976696727E-3</v>
      </c>
      <c r="AP6" s="242">
        <f t="shared" si="6"/>
        <v>9.3111626551774795E-3</v>
      </c>
      <c r="AQ6" s="242">
        <f t="shared" si="6"/>
        <v>2.4240618374912575E-2</v>
      </c>
      <c r="AR6" s="242">
        <f t="shared" si="6"/>
        <v>9.6844916423751669E-3</v>
      </c>
      <c r="AS6" s="242">
        <f t="shared" si="6"/>
        <v>4.9308328490852314E-3</v>
      </c>
      <c r="AT6" s="242">
        <f t="shared" si="7"/>
        <v>1.069033189261976E-2</v>
      </c>
      <c r="AU6" s="242">
        <f t="shared" si="7"/>
        <v>1.5406221928172294E-3</v>
      </c>
      <c r="AV6" s="242">
        <f t="shared" si="7"/>
        <v>6.4045312035198717E-3</v>
      </c>
    </row>
    <row r="7" spans="2:48" s="235" customFormat="1" ht="14.4" x14ac:dyDescent="0.3">
      <c r="B7" s="238">
        <v>2018</v>
      </c>
      <c r="C7" s="239">
        <v>7630.450617999998</v>
      </c>
      <c r="D7" s="239">
        <v>945.34253099999978</v>
      </c>
      <c r="E7" s="239">
        <v>401.72637100000003</v>
      </c>
      <c r="F7" s="239">
        <v>4107.702299999999</v>
      </c>
      <c r="G7" s="239">
        <v>1523.4503999999993</v>
      </c>
      <c r="H7" s="239">
        <v>652.22901600000034</v>
      </c>
      <c r="I7" s="239">
        <v>1427.6477890000001</v>
      </c>
      <c r="J7" s="239">
        <v>1352.6422830000001</v>
      </c>
      <c r="K7" s="239">
        <v>745.80162600000006</v>
      </c>
      <c r="L7" s="239">
        <v>327.09626299999996</v>
      </c>
      <c r="N7" s="532">
        <v>2018</v>
      </c>
      <c r="O7" s="533">
        <v>7630.4622709999976</v>
      </c>
      <c r="P7" s="533">
        <v>945.34253099999978</v>
      </c>
      <c r="Q7" s="533">
        <v>401.72637100000003</v>
      </c>
      <c r="R7" s="533">
        <v>4107.7139529999986</v>
      </c>
      <c r="S7" s="533">
        <v>1523.4503999999993</v>
      </c>
      <c r="T7" s="533">
        <v>652.22901600000034</v>
      </c>
      <c r="U7" s="533">
        <v>1427.6477890000001</v>
      </c>
      <c r="V7" s="533">
        <v>1352.6422830000001</v>
      </c>
      <c r="W7" s="533">
        <v>745.80162600000006</v>
      </c>
      <c r="X7" s="533">
        <v>327.09626299999996</v>
      </c>
      <c r="Y7" s="243"/>
      <c r="Z7" s="238">
        <v>2017</v>
      </c>
      <c r="AA7" s="242">
        <f t="shared" ref="AA7:AG49" si="9">(C7-C6)/C6</f>
        <v>1.1028193196848722E-2</v>
      </c>
      <c r="AB7" s="242">
        <f t="shared" si="4"/>
        <v>4.0585720196223574E-3</v>
      </c>
      <c r="AC7" s="242">
        <f t="shared" si="4"/>
        <v>1.9610060230316495E-3</v>
      </c>
      <c r="AD7" s="242">
        <f t="shared" si="4"/>
        <v>9.0493051868885781E-3</v>
      </c>
      <c r="AE7" s="242">
        <f t="shared" si="4"/>
        <v>2.3995065155028417E-2</v>
      </c>
      <c r="AF7" s="242">
        <f t="shared" si="4"/>
        <v>9.4213372913235366E-3</v>
      </c>
      <c r="AG7" s="242">
        <f t="shared" si="4"/>
        <v>4.6628384082335215E-3</v>
      </c>
      <c r="AH7" s="242">
        <f t="shared" si="5"/>
        <v>1.0432319600278963E-2</v>
      </c>
      <c r="AI7" s="242">
        <f t="shared" si="5"/>
        <v>1.3486127806691117E-3</v>
      </c>
      <c r="AJ7" s="242">
        <f t="shared" si="5"/>
        <v>6.1876324573790073E-3</v>
      </c>
      <c r="AK7" s="243"/>
      <c r="AL7" s="238">
        <v>2017</v>
      </c>
      <c r="AM7" s="242">
        <f t="shared" si="8"/>
        <v>1.1028143884807841E-2</v>
      </c>
      <c r="AN7" s="242">
        <f t="shared" si="6"/>
        <v>4.0585720196223574E-3</v>
      </c>
      <c r="AO7" s="242">
        <f t="shared" si="6"/>
        <v>1.9610060230316495E-3</v>
      </c>
      <c r="AP7" s="242">
        <f t="shared" si="6"/>
        <v>9.049219546239896E-3</v>
      </c>
      <c r="AQ7" s="242">
        <f t="shared" si="6"/>
        <v>2.3995065155028417E-2</v>
      </c>
      <c r="AR7" s="242">
        <f t="shared" si="6"/>
        <v>9.4213372913235366E-3</v>
      </c>
      <c r="AS7" s="242">
        <f t="shared" si="6"/>
        <v>4.6628384082335215E-3</v>
      </c>
      <c r="AT7" s="242">
        <f t="shared" si="7"/>
        <v>1.0432319600278963E-2</v>
      </c>
      <c r="AU7" s="242">
        <f t="shared" si="7"/>
        <v>1.3486127806691117E-3</v>
      </c>
      <c r="AV7" s="242">
        <f t="shared" si="7"/>
        <v>6.1876324573790073E-3</v>
      </c>
    </row>
    <row r="8" spans="2:48" s="235" customFormat="1" ht="14.4" x14ac:dyDescent="0.3">
      <c r="B8" s="238">
        <v>2019</v>
      </c>
      <c r="C8" s="239">
        <v>7712.8277199999993</v>
      </c>
      <c r="D8" s="239">
        <v>948.89941399999975</v>
      </c>
      <c r="E8" s="239">
        <v>402.41057599999993</v>
      </c>
      <c r="F8" s="239">
        <v>4143.601549</v>
      </c>
      <c r="G8" s="239">
        <v>1559.6849889999996</v>
      </c>
      <c r="H8" s="239">
        <v>658.23119200000019</v>
      </c>
      <c r="I8" s="239">
        <v>1433.783692</v>
      </c>
      <c r="J8" s="239">
        <v>1366.4177560000001</v>
      </c>
      <c r="K8" s="239">
        <v>746.56481799999995</v>
      </c>
      <c r="L8" s="239">
        <v>329.06491700000004</v>
      </c>
      <c r="N8" s="532">
        <v>2019</v>
      </c>
      <c r="O8" s="533">
        <v>7712.8391559999991</v>
      </c>
      <c r="P8" s="533">
        <v>948.89941399999975</v>
      </c>
      <c r="Q8" s="533">
        <v>402.41057599999993</v>
      </c>
      <c r="R8" s="533">
        <v>4143.6129849999998</v>
      </c>
      <c r="S8" s="533">
        <v>1559.6849889999996</v>
      </c>
      <c r="T8" s="533">
        <v>658.23119200000019</v>
      </c>
      <c r="U8" s="533">
        <v>1433.783692</v>
      </c>
      <c r="V8" s="533">
        <v>1366.4177560000001</v>
      </c>
      <c r="W8" s="533">
        <v>746.56481799999995</v>
      </c>
      <c r="X8" s="533">
        <v>329.06491700000004</v>
      </c>
      <c r="Y8" s="243"/>
      <c r="Z8" s="238">
        <v>2018</v>
      </c>
      <c r="AA8" s="242">
        <f t="shared" si="9"/>
        <v>1.0795837116837665E-2</v>
      </c>
      <c r="AB8" s="242">
        <f t="shared" si="4"/>
        <v>3.7625335614990662E-3</v>
      </c>
      <c r="AC8" s="242">
        <f t="shared" si="4"/>
        <v>1.7031617772483903E-3</v>
      </c>
      <c r="AD8" s="242">
        <f t="shared" si="4"/>
        <v>8.7394962872555226E-3</v>
      </c>
      <c r="AE8" s="242">
        <f t="shared" si="4"/>
        <v>2.3784554456121699E-2</v>
      </c>
      <c r="AF8" s="242">
        <f t="shared" si="4"/>
        <v>9.2025589980802795E-3</v>
      </c>
      <c r="AG8" s="242">
        <f t="shared" si="4"/>
        <v>4.2979109044099604E-3</v>
      </c>
      <c r="AH8" s="242">
        <f t="shared" si="5"/>
        <v>1.0184121236730494E-2</v>
      </c>
      <c r="AI8" s="242">
        <f t="shared" si="5"/>
        <v>1.0233176938660763E-3</v>
      </c>
      <c r="AJ8" s="242">
        <f t="shared" si="5"/>
        <v>6.0185768615768995E-3</v>
      </c>
      <c r="AK8" s="243"/>
      <c r="AL8" s="238">
        <v>2018</v>
      </c>
      <c r="AM8" s="242">
        <f t="shared" si="8"/>
        <v>1.0795792191133621E-2</v>
      </c>
      <c r="AN8" s="242">
        <f t="shared" si="6"/>
        <v>3.7625335614990662E-3</v>
      </c>
      <c r="AO8" s="242">
        <f t="shared" si="6"/>
        <v>1.7031617772483903E-3</v>
      </c>
      <c r="AP8" s="242">
        <f t="shared" si="6"/>
        <v>8.739418667111162E-3</v>
      </c>
      <c r="AQ8" s="242">
        <f t="shared" si="6"/>
        <v>2.3784554456121699E-2</v>
      </c>
      <c r="AR8" s="242">
        <f t="shared" si="6"/>
        <v>9.2025589980802795E-3</v>
      </c>
      <c r="AS8" s="242">
        <f t="shared" si="6"/>
        <v>4.2979109044099604E-3</v>
      </c>
      <c r="AT8" s="242">
        <f t="shared" si="7"/>
        <v>1.0184121236730494E-2</v>
      </c>
      <c r="AU8" s="242">
        <f t="shared" si="7"/>
        <v>1.0233176938660763E-3</v>
      </c>
      <c r="AV8" s="242">
        <f t="shared" si="7"/>
        <v>6.0185768615768995E-3</v>
      </c>
    </row>
    <row r="9" spans="2:48" s="235" customFormat="1" ht="14.4" x14ac:dyDescent="0.3">
      <c r="B9" s="238">
        <v>2020</v>
      </c>
      <c r="C9" s="239">
        <v>7794.7814120000021</v>
      </c>
      <c r="D9" s="239">
        <v>952.14396000000011</v>
      </c>
      <c r="E9" s="239">
        <v>403.59672399999999</v>
      </c>
      <c r="F9" s="239">
        <v>4178.3946070000011</v>
      </c>
      <c r="G9" s="239">
        <v>1596.4823410000006</v>
      </c>
      <c r="H9" s="239">
        <v>664.16377999999975</v>
      </c>
      <c r="I9" s="239">
        <v>1439.323774</v>
      </c>
      <c r="J9" s="239">
        <v>1380.004385</v>
      </c>
      <c r="K9" s="239">
        <v>747.64104399999997</v>
      </c>
      <c r="L9" s="239">
        <v>331.00264700000002</v>
      </c>
      <c r="N9" s="532">
        <v>2020</v>
      </c>
      <c r="O9" s="533">
        <v>7794.7926580000012</v>
      </c>
      <c r="P9" s="533">
        <v>952.14396000000011</v>
      </c>
      <c r="Q9" s="533">
        <v>403.59672399999999</v>
      </c>
      <c r="R9" s="533">
        <v>4178.4058530000002</v>
      </c>
      <c r="S9" s="533">
        <v>1596.4823410000006</v>
      </c>
      <c r="T9" s="533">
        <v>664.16377999999975</v>
      </c>
      <c r="U9" s="533">
        <v>1439.323774</v>
      </c>
      <c r="V9" s="533">
        <v>1380.004385</v>
      </c>
      <c r="W9" s="533">
        <v>747.64104399999997</v>
      </c>
      <c r="X9" s="533">
        <v>331.00264700000002</v>
      </c>
      <c r="Y9" s="243"/>
      <c r="Z9" s="238">
        <v>2019</v>
      </c>
      <c r="AA9" s="242">
        <f t="shared" si="9"/>
        <v>1.062563497788108E-2</v>
      </c>
      <c r="AB9" s="242">
        <f t="shared" si="4"/>
        <v>3.4192728461315668E-3</v>
      </c>
      <c r="AC9" s="242">
        <f t="shared" si="4"/>
        <v>2.9476064267258718E-3</v>
      </c>
      <c r="AD9" s="242">
        <f>(F9-F8)/F8</f>
        <v>8.3968155693922662E-3</v>
      </c>
      <c r="AE9" s="242">
        <f t="shared" si="4"/>
        <v>2.3592810253045889E-2</v>
      </c>
      <c r="AF9" s="242">
        <f t="shared" si="4"/>
        <v>9.0129244437257734E-3</v>
      </c>
      <c r="AG9" s="242">
        <f t="shared" si="4"/>
        <v>3.8639594179454401E-3</v>
      </c>
      <c r="AH9" s="242">
        <f t="shared" si="5"/>
        <v>9.9432468147756577E-3</v>
      </c>
      <c r="AI9" s="242">
        <f t="shared" si="5"/>
        <v>1.4415707438279253E-3</v>
      </c>
      <c r="AJ9" s="242">
        <f t="shared" si="5"/>
        <v>5.8885949242653158E-3</v>
      </c>
      <c r="AK9" s="243"/>
      <c r="AL9" s="238">
        <v>2019</v>
      </c>
      <c r="AM9" s="242">
        <f t="shared" si="8"/>
        <v>1.0625594588764185E-2</v>
      </c>
      <c r="AN9" s="242">
        <f t="shared" si="6"/>
        <v>3.4192728461315668E-3</v>
      </c>
      <c r="AO9" s="242">
        <f t="shared" si="6"/>
        <v>2.9476064267258718E-3</v>
      </c>
      <c r="AP9" s="242">
        <f t="shared" si="6"/>
        <v>8.3967465412314451E-3</v>
      </c>
      <c r="AQ9" s="242">
        <f t="shared" si="6"/>
        <v>2.3592810253045889E-2</v>
      </c>
      <c r="AR9" s="242">
        <f t="shared" si="6"/>
        <v>9.0129244437257734E-3</v>
      </c>
      <c r="AS9" s="242">
        <f t="shared" si="6"/>
        <v>3.8639594179454401E-3</v>
      </c>
      <c r="AT9" s="242">
        <f t="shared" si="7"/>
        <v>9.9432468147756577E-3</v>
      </c>
      <c r="AU9" s="242">
        <f t="shared" si="7"/>
        <v>1.4415707438279253E-3</v>
      </c>
      <c r="AV9" s="242">
        <f t="shared" si="7"/>
        <v>5.8885949242653158E-3</v>
      </c>
    </row>
    <row r="10" spans="2:48" s="235" customFormat="1" ht="14.4" x14ac:dyDescent="0.3">
      <c r="B10" s="238">
        <v>2021</v>
      </c>
      <c r="C10" s="239">
        <v>7879.8867489999975</v>
      </c>
      <c r="D10" s="239">
        <v>954.80183199999999</v>
      </c>
      <c r="E10" s="239">
        <v>404.12758800000006</v>
      </c>
      <c r="F10" s="239">
        <v>4214.3465699999979</v>
      </c>
      <c r="G10" s="239">
        <v>1635.9913379999998</v>
      </c>
      <c r="H10" s="239">
        <v>670.61942099999976</v>
      </c>
      <c r="I10" s="239">
        <v>1444.051119</v>
      </c>
      <c r="J10" s="239">
        <v>1395.0120770000001</v>
      </c>
      <c r="K10" s="239">
        <v>747.52149899999995</v>
      </c>
      <c r="L10" s="239">
        <v>332.860682</v>
      </c>
      <c r="N10" s="532">
        <v>2021</v>
      </c>
      <c r="O10" s="533">
        <v>7869.9346869999972</v>
      </c>
      <c r="P10" s="533">
        <v>953.81250999999986</v>
      </c>
      <c r="Q10" s="533">
        <v>403.64871400000004</v>
      </c>
      <c r="R10" s="533">
        <v>4209.3208109999978</v>
      </c>
      <c r="S10" s="533">
        <v>1633.8008380000001</v>
      </c>
      <c r="T10" s="533">
        <v>669.35181399999965</v>
      </c>
      <c r="U10" s="533">
        <v>1442.537386</v>
      </c>
      <c r="V10" s="533">
        <v>1393.4090330000001</v>
      </c>
      <c r="W10" s="533">
        <v>746.74892199999988</v>
      </c>
      <c r="X10" s="533">
        <v>332.50939399999999</v>
      </c>
      <c r="Y10" s="243"/>
      <c r="Z10" s="238">
        <v>2020</v>
      </c>
      <c r="AA10" s="242">
        <f t="shared" si="9"/>
        <v>1.0918245490370833E-2</v>
      </c>
      <c r="AB10" s="242">
        <f t="shared" si="4"/>
        <v>2.7914602325470653E-3</v>
      </c>
      <c r="AC10" s="242">
        <f t="shared" si="4"/>
        <v>1.3153327775774144E-3</v>
      </c>
      <c r="AD10" s="242">
        <f t="shared" si="4"/>
        <v>8.6042526811055658E-3</v>
      </c>
      <c r="AE10" s="242">
        <f t="shared" si="4"/>
        <v>2.4747531485535681E-2</v>
      </c>
      <c r="AF10" s="242">
        <f t="shared" si="4"/>
        <v>9.7199534126959121E-3</v>
      </c>
      <c r="AG10" s="242">
        <f t="shared" si="4"/>
        <v>3.2844208408107723E-3</v>
      </c>
      <c r="AH10" s="242">
        <f t="shared" si="5"/>
        <v>1.0875104574396069E-2</v>
      </c>
      <c r="AI10" s="242">
        <f t="shared" si="5"/>
        <v>-1.5989625096079723E-4</v>
      </c>
      <c r="AJ10" s="242">
        <f t="shared" si="5"/>
        <v>5.6133539016682624E-3</v>
      </c>
      <c r="AK10" s="243"/>
      <c r="AL10" s="238">
        <v>2020</v>
      </c>
      <c r="AM10" s="242">
        <f t="shared" si="8"/>
        <v>9.6400292216722097E-3</v>
      </c>
      <c r="AN10" s="242">
        <f t="shared" si="6"/>
        <v>1.7524135740983478E-3</v>
      </c>
      <c r="AO10" s="242">
        <f t="shared" si="6"/>
        <v>1.2881670466692431E-4</v>
      </c>
      <c r="AP10" s="242">
        <f t="shared" si="6"/>
        <v>7.3987446618669975E-3</v>
      </c>
      <c r="AQ10" s="242">
        <f t="shared" si="6"/>
        <v>2.3375452419112923E-2</v>
      </c>
      <c r="AR10" s="242">
        <f t="shared" si="6"/>
        <v>7.8113774888475618E-3</v>
      </c>
      <c r="AS10" s="242">
        <f t="shared" si="6"/>
        <v>2.2327234900519416E-3</v>
      </c>
      <c r="AT10" s="242">
        <f t="shared" si="7"/>
        <v>9.7134821785368319E-3</v>
      </c>
      <c r="AU10" s="242">
        <f t="shared" si="7"/>
        <v>-1.1932490961532682E-3</v>
      </c>
      <c r="AV10" s="242">
        <f t="shared" si="7"/>
        <v>4.5520693373789292E-3</v>
      </c>
    </row>
    <row r="11" spans="2:48" s="235" customFormat="1" ht="14.4" x14ac:dyDescent="0.3">
      <c r="B11" s="238">
        <v>2022</v>
      </c>
      <c r="C11" s="239">
        <v>7965.8980240000001</v>
      </c>
      <c r="D11" s="239">
        <v>957.36951699999997</v>
      </c>
      <c r="E11" s="239">
        <v>404.52953999999994</v>
      </c>
      <c r="F11" s="239">
        <v>4250.3749559999997</v>
      </c>
      <c r="G11" s="239">
        <v>1676.4864740000003</v>
      </c>
      <c r="H11" s="239">
        <v>677.13753700000018</v>
      </c>
      <c r="I11" s="239">
        <v>1448.1857</v>
      </c>
      <c r="J11" s="239">
        <v>1410.52027</v>
      </c>
      <c r="K11" s="239">
        <v>747.24456700000007</v>
      </c>
      <c r="L11" s="239">
        <v>334.73153100000002</v>
      </c>
      <c r="N11" s="532">
        <v>2022</v>
      </c>
      <c r="O11" s="533">
        <v>7943.4284599999992</v>
      </c>
      <c r="P11" s="533">
        <v>955.11444799999981</v>
      </c>
      <c r="Q11" s="533">
        <v>403.49060800000007</v>
      </c>
      <c r="R11" s="533">
        <v>4238.621666</v>
      </c>
      <c r="S11" s="533">
        <v>1671.6588599999998</v>
      </c>
      <c r="T11" s="533">
        <v>674.54287799999986</v>
      </c>
      <c r="U11" s="533">
        <v>1444.804388</v>
      </c>
      <c r="V11" s="533">
        <v>1406.631781</v>
      </c>
      <c r="W11" s="533">
        <v>745.52016999999989</v>
      </c>
      <c r="X11" s="533">
        <v>333.91505000000001</v>
      </c>
      <c r="Y11" s="243"/>
      <c r="Z11" s="238">
        <v>2021</v>
      </c>
      <c r="AA11" s="242">
        <f t="shared" si="9"/>
        <v>1.0915293295416699E-2</v>
      </c>
      <c r="AB11" s="242">
        <f t="shared" si="4"/>
        <v>2.6892334240933707E-3</v>
      </c>
      <c r="AC11" s="242">
        <f t="shared" si="4"/>
        <v>9.9461658133539891E-4</v>
      </c>
      <c r="AD11" s="242">
        <f t="shared" si="4"/>
        <v>8.5489850921306159E-3</v>
      </c>
      <c r="AE11" s="242">
        <f t="shared" si="4"/>
        <v>2.4752659173309426E-2</v>
      </c>
      <c r="AF11" s="242">
        <f t="shared" si="4"/>
        <v>9.7195455363951067E-3</v>
      </c>
      <c r="AG11" s="242">
        <f t="shared" si="4"/>
        <v>2.8631818815827016E-3</v>
      </c>
      <c r="AH11" s="242">
        <f t="shared" si="5"/>
        <v>1.1116887986626292E-2</v>
      </c>
      <c r="AI11" s="242">
        <f t="shared" si="5"/>
        <v>-3.7046693689792368E-4</v>
      </c>
      <c r="AJ11" s="242">
        <f t="shared" si="5"/>
        <v>5.6205166340433715E-3</v>
      </c>
      <c r="AK11" s="243"/>
      <c r="AL11" s="238">
        <v>2021</v>
      </c>
      <c r="AM11" s="242">
        <f t="shared" si="8"/>
        <v>9.3385492920802921E-3</v>
      </c>
      <c r="AN11" s="242">
        <f t="shared" si="6"/>
        <v>1.3649831453772295E-3</v>
      </c>
      <c r="AO11" s="242">
        <f t="shared" si="6"/>
        <v>-3.9169206915886566E-4</v>
      </c>
      <c r="AP11" s="242">
        <f t="shared" si="6"/>
        <v>6.9609460327737047E-3</v>
      </c>
      <c r="AQ11" s="242">
        <f t="shared" si="6"/>
        <v>2.3171748428249771E-2</v>
      </c>
      <c r="AR11" s="242">
        <f t="shared" si="6"/>
        <v>7.7553595753760262E-3</v>
      </c>
      <c r="AS11" s="242">
        <f t="shared" si="6"/>
        <v>1.5715377791948942E-3</v>
      </c>
      <c r="AT11" s="242">
        <f t="shared" si="7"/>
        <v>9.489494962962473E-3</v>
      </c>
      <c r="AU11" s="242">
        <f t="shared" si="7"/>
        <v>-1.6454687295818903E-3</v>
      </c>
      <c r="AV11" s="242">
        <f t="shared" si="7"/>
        <v>4.2274174064388147E-3</v>
      </c>
    </row>
    <row r="12" spans="2:48" s="235" customFormat="1" ht="14.4" x14ac:dyDescent="0.3">
      <c r="B12" s="238">
        <v>2023</v>
      </c>
      <c r="C12" s="239">
        <v>8052.483209</v>
      </c>
      <c r="D12" s="239">
        <v>959.83641200000011</v>
      </c>
      <c r="E12" s="239">
        <v>404.81686100000007</v>
      </c>
      <c r="F12" s="239">
        <v>4286.2653089999994</v>
      </c>
      <c r="G12" s="239">
        <v>1717.8797190000007</v>
      </c>
      <c r="H12" s="239">
        <v>683.68490800000006</v>
      </c>
      <c r="I12" s="239">
        <v>1451.7482399999999</v>
      </c>
      <c r="J12" s="239">
        <v>1426.3688440000001</v>
      </c>
      <c r="K12" s="239">
        <v>746.82138299999997</v>
      </c>
      <c r="L12" s="239">
        <v>336.6028</v>
      </c>
      <c r="N12" s="532">
        <v>2023</v>
      </c>
      <c r="O12" s="533">
        <v>8015.2870939999966</v>
      </c>
      <c r="P12" s="533">
        <v>956.08584800000017</v>
      </c>
      <c r="Q12" s="533">
        <v>403.146501</v>
      </c>
      <c r="R12" s="533">
        <v>4266.4009739999983</v>
      </c>
      <c r="S12" s="533">
        <v>1709.9834419999993</v>
      </c>
      <c r="T12" s="533">
        <v>679.67032899999992</v>
      </c>
      <c r="U12" s="533">
        <v>1446.2079469999999</v>
      </c>
      <c r="V12" s="533">
        <v>1419.6558</v>
      </c>
      <c r="W12" s="533">
        <v>743.99687500000005</v>
      </c>
      <c r="X12" s="533">
        <v>335.22605699999997</v>
      </c>
      <c r="Y12" s="243"/>
      <c r="Z12" s="238">
        <v>2022</v>
      </c>
      <c r="AA12" s="242">
        <f t="shared" si="9"/>
        <v>1.0869481976687669E-2</v>
      </c>
      <c r="AB12" s="242">
        <f t="shared" si="4"/>
        <v>2.5767427896914497E-3</v>
      </c>
      <c r="AC12" s="242">
        <f t="shared" si="4"/>
        <v>7.1025962652846971E-4</v>
      </c>
      <c r="AD12" s="242">
        <f t="shared" si="4"/>
        <v>8.4440439658942362E-3</v>
      </c>
      <c r="AE12" s="242">
        <f t="shared" si="4"/>
        <v>2.4690473583862883E-2</v>
      </c>
      <c r="AF12" s="242">
        <f t="shared" si="4"/>
        <v>9.6691892595519822E-3</v>
      </c>
      <c r="AG12" s="242">
        <f t="shared" si="4"/>
        <v>2.4600021944698796E-3</v>
      </c>
      <c r="AH12" s="242">
        <f t="shared" si="5"/>
        <v>1.1235977487937908E-2</v>
      </c>
      <c r="AI12" s="242">
        <f t="shared" si="5"/>
        <v>-5.6632596433465359E-4</v>
      </c>
      <c r="AJ12" s="242">
        <f t="shared" si="5"/>
        <v>5.5903577246207608E-3</v>
      </c>
      <c r="AK12" s="243"/>
      <c r="AL12" s="238">
        <v>2022</v>
      </c>
      <c r="AM12" s="242">
        <f t="shared" si="8"/>
        <v>9.0462996377256282E-3</v>
      </c>
      <c r="AN12" s="242">
        <f t="shared" si="6"/>
        <v>1.0170508906387711E-3</v>
      </c>
      <c r="AO12" s="242">
        <f t="shared" si="6"/>
        <v>-8.528253029375716E-4</v>
      </c>
      <c r="AP12" s="242">
        <f t="shared" si="6"/>
        <v>6.5538541037595665E-3</v>
      </c>
      <c r="AQ12" s="242">
        <f t="shared" si="6"/>
        <v>2.2926078350698608E-2</v>
      </c>
      <c r="AR12" s="242">
        <f t="shared" si="6"/>
        <v>7.6013714876107044E-3</v>
      </c>
      <c r="AS12" s="242">
        <f t="shared" si="6"/>
        <v>9.7145261438661909E-4</v>
      </c>
      <c r="AT12" s="242">
        <f t="shared" si="7"/>
        <v>9.2590109052853482E-3</v>
      </c>
      <c r="AU12" s="242">
        <f t="shared" si="7"/>
        <v>-2.0432646376285814E-3</v>
      </c>
      <c r="AV12" s="242">
        <f t="shared" si="7"/>
        <v>3.926169245740678E-3</v>
      </c>
    </row>
    <row r="13" spans="2:48" s="235" customFormat="1" ht="14.4" x14ac:dyDescent="0.3">
      <c r="B13" s="238">
        <v>2024</v>
      </c>
      <c r="C13" s="239">
        <v>8139.3816900000002</v>
      </c>
      <c r="D13" s="239">
        <v>962.19623699999977</v>
      </c>
      <c r="E13" s="239">
        <v>405.00299999999999</v>
      </c>
      <c r="F13" s="239">
        <v>4321.8465820000001</v>
      </c>
      <c r="G13" s="239">
        <v>1760.1032739999996</v>
      </c>
      <c r="H13" s="239">
        <v>690.23259700000006</v>
      </c>
      <c r="I13" s="239">
        <v>1454.7602300000001</v>
      </c>
      <c r="J13" s="239">
        <v>1442.4272020000001</v>
      </c>
      <c r="K13" s="239">
        <v>746.26250300000004</v>
      </c>
      <c r="L13" s="239">
        <v>338.465531</v>
      </c>
      <c r="N13" s="532">
        <v>2024</v>
      </c>
      <c r="O13" s="533">
        <v>8085.4269529999983</v>
      </c>
      <c r="P13" s="533">
        <v>956.75865199999964</v>
      </c>
      <c r="Q13" s="533">
        <v>402.64024100000006</v>
      </c>
      <c r="R13" s="533">
        <v>4292.7263719999992</v>
      </c>
      <c r="S13" s="533">
        <v>1748.6763279999991</v>
      </c>
      <c r="T13" s="533">
        <v>684.62536</v>
      </c>
      <c r="U13" s="533">
        <v>1446.8203880000001</v>
      </c>
      <c r="V13" s="533">
        <v>1432.4564739999998</v>
      </c>
      <c r="W13" s="533">
        <v>742.21495500000003</v>
      </c>
      <c r="X13" s="533">
        <v>336.44869599999998</v>
      </c>
      <c r="Y13" s="243"/>
      <c r="Z13" s="238">
        <v>2023</v>
      </c>
      <c r="AA13" s="242">
        <f t="shared" si="9"/>
        <v>1.0791513467904726E-2</v>
      </c>
      <c r="AB13" s="242">
        <f t="shared" si="4"/>
        <v>2.4585699922370307E-3</v>
      </c>
      <c r="AC13" s="242">
        <f t="shared" si="4"/>
        <v>4.5981039312468721E-4</v>
      </c>
      <c r="AD13" s="242">
        <f t="shared" si="4"/>
        <v>8.3012297267949387E-3</v>
      </c>
      <c r="AE13" s="242">
        <f t="shared" si="4"/>
        <v>2.457887739927319E-2</v>
      </c>
      <c r="AF13" s="242">
        <f t="shared" si="4"/>
        <v>9.5770565115355609E-3</v>
      </c>
      <c r="AG13" s="242">
        <f t="shared" si="4"/>
        <v>2.0747330129363179E-3</v>
      </c>
      <c r="AH13" s="242">
        <f t="shared" si="5"/>
        <v>1.1258208609609814E-2</v>
      </c>
      <c r="AI13" s="242">
        <f t="shared" si="5"/>
        <v>-7.483449359134526E-4</v>
      </c>
      <c r="AJ13" s="242">
        <f t="shared" si="5"/>
        <v>5.533914156388469E-3</v>
      </c>
      <c r="AK13" s="243"/>
      <c r="AL13" s="238">
        <v>2023</v>
      </c>
      <c r="AM13" s="242">
        <f t="shared" si="8"/>
        <v>8.7507606623980199E-3</v>
      </c>
      <c r="AN13" s="242">
        <f t="shared" si="6"/>
        <v>7.0370668220525042E-4</v>
      </c>
      <c r="AO13" s="242">
        <f t="shared" si="6"/>
        <v>-1.2557717820796382E-3</v>
      </c>
      <c r="AP13" s="242">
        <f t="shared" si="6"/>
        <v>6.1703993976260684E-3</v>
      </c>
      <c r="AQ13" s="242">
        <f t="shared" si="6"/>
        <v>2.262763781779346E-2</v>
      </c>
      <c r="AR13" s="242">
        <f t="shared" si="6"/>
        <v>7.2903447282897009E-3</v>
      </c>
      <c r="AS13" s="242">
        <f t="shared" si="6"/>
        <v>4.2348059369377622E-4</v>
      </c>
      <c r="AT13" s="242">
        <f t="shared" si="7"/>
        <v>9.0167447630614718E-3</v>
      </c>
      <c r="AU13" s="242">
        <f t="shared" si="7"/>
        <v>-2.3950638233527707E-3</v>
      </c>
      <c r="AV13" s="242">
        <f t="shared" si="7"/>
        <v>3.6472075319610828E-3</v>
      </c>
    </row>
    <row r="14" spans="2:48" s="235" customFormat="1" ht="14.4" x14ac:dyDescent="0.3">
      <c r="B14" s="238">
        <v>2025</v>
      </c>
      <c r="C14" s="239">
        <v>8226.4043629999978</v>
      </c>
      <c r="D14" s="239">
        <v>964.44678599999986</v>
      </c>
      <c r="E14" s="239">
        <v>405.10070999999994</v>
      </c>
      <c r="F14" s="239">
        <v>4356.9911169999996</v>
      </c>
      <c r="G14" s="239">
        <v>1803.1095339999997</v>
      </c>
      <c r="H14" s="239">
        <v>696.75621600000022</v>
      </c>
      <c r="I14" s="239">
        <v>1457.2438870000001</v>
      </c>
      <c r="J14" s="239">
        <v>1458.594143</v>
      </c>
      <c r="K14" s="239">
        <v>745.5776679999999</v>
      </c>
      <c r="L14" s="239">
        <v>340.31416200000001</v>
      </c>
      <c r="N14" s="532">
        <v>2025</v>
      </c>
      <c r="O14" s="533">
        <v>8153.7953190000017</v>
      </c>
      <c r="P14" s="533">
        <v>957.16055300000005</v>
      </c>
      <c r="Q14" s="533">
        <v>401.99211700000001</v>
      </c>
      <c r="R14" s="533">
        <v>4317.6523660000012</v>
      </c>
      <c r="S14" s="533">
        <v>1787.6629639999999</v>
      </c>
      <c r="T14" s="533">
        <v>689.32731899999999</v>
      </c>
      <c r="U14" s="533">
        <v>1446.7031449999999</v>
      </c>
      <c r="V14" s="533">
        <v>1445.0116200000002</v>
      </c>
      <c r="W14" s="533">
        <v>740.20413500000006</v>
      </c>
      <c r="X14" s="533">
        <v>337.58906000000002</v>
      </c>
      <c r="Y14" s="243"/>
      <c r="Z14" s="238">
        <v>2024</v>
      </c>
      <c r="AA14" s="242">
        <f t="shared" si="9"/>
        <v>1.069155819377696E-2</v>
      </c>
      <c r="AB14" s="242">
        <f t="shared" si="4"/>
        <v>2.3389709016291781E-3</v>
      </c>
      <c r="AC14" s="242">
        <f t="shared" si="4"/>
        <v>2.4125747216674831E-4</v>
      </c>
      <c r="AD14" s="242">
        <f t="shared" si="4"/>
        <v>8.1318330794925581E-3</v>
      </c>
      <c r="AE14" s="242">
        <f t="shared" si="4"/>
        <v>2.4433941255199394E-2</v>
      </c>
      <c r="AF14" s="242">
        <f t="shared" si="4"/>
        <v>9.4513342724672367E-3</v>
      </c>
      <c r="AG14" s="242">
        <f t="shared" si="4"/>
        <v>1.7072620963799606E-3</v>
      </c>
      <c r="AH14" s="242">
        <f t="shared" si="5"/>
        <v>1.1208150385394597E-2</v>
      </c>
      <c r="AI14" s="242">
        <f t="shared" si="5"/>
        <v>-9.1768646722443538E-4</v>
      </c>
      <c r="AJ14" s="242">
        <f t="shared" si="5"/>
        <v>5.4617998900455588E-3</v>
      </c>
      <c r="AK14" s="243"/>
      <c r="AL14" s="238">
        <v>2024</v>
      </c>
      <c r="AM14" s="242">
        <f t="shared" si="8"/>
        <v>8.4557521077642146E-3</v>
      </c>
      <c r="AN14" s="242">
        <f t="shared" si="6"/>
        <v>4.2006518484079248E-4</v>
      </c>
      <c r="AO14" s="242">
        <f t="shared" si="6"/>
        <v>-1.6096851084490894E-3</v>
      </c>
      <c r="AP14" s="242">
        <f t="shared" si="6"/>
        <v>5.8065648354821342E-3</v>
      </c>
      <c r="AQ14" s="242">
        <f t="shared" si="6"/>
        <v>2.229494125112946E-2</v>
      </c>
      <c r="AR14" s="242">
        <f t="shared" si="6"/>
        <v>6.8679299288591763E-3</v>
      </c>
      <c r="AS14" s="242">
        <f t="shared" si="6"/>
        <v>-8.1034937696871943E-5</v>
      </c>
      <c r="AT14" s="242">
        <f t="shared" si="7"/>
        <v>8.7647661397636141E-3</v>
      </c>
      <c r="AU14" s="242">
        <f t="shared" si="7"/>
        <v>-2.7092151491342111E-3</v>
      </c>
      <c r="AV14" s="242">
        <f t="shared" si="7"/>
        <v>3.3894142362793814E-3</v>
      </c>
    </row>
    <row r="15" spans="2:48" s="235" customFormat="1" ht="14.4" x14ac:dyDescent="0.3">
      <c r="B15" s="238">
        <v>2026</v>
      </c>
      <c r="C15" s="239">
        <v>8313.437926999999</v>
      </c>
      <c r="D15" s="239">
        <v>966.59052899999983</v>
      </c>
      <c r="E15" s="239">
        <v>405.12177700000012</v>
      </c>
      <c r="F15" s="239">
        <v>4391.6168799999987</v>
      </c>
      <c r="G15" s="239">
        <v>1846.8728189999999</v>
      </c>
      <c r="H15" s="239">
        <v>703.23592199999973</v>
      </c>
      <c r="I15" s="239">
        <v>1459.2223019999999</v>
      </c>
      <c r="J15" s="239">
        <v>1474.7993610000001</v>
      </c>
      <c r="K15" s="239">
        <v>744.775937</v>
      </c>
      <c r="L15" s="239">
        <v>342.14674500000001</v>
      </c>
      <c r="N15" s="532">
        <v>2026</v>
      </c>
      <c r="O15" s="533">
        <v>8220.4222489999975</v>
      </c>
      <c r="P15" s="533">
        <v>957.31503100000009</v>
      </c>
      <c r="Q15" s="533">
        <v>401.21418299999999</v>
      </c>
      <c r="R15" s="533">
        <v>4341.2269259999985</v>
      </c>
      <c r="S15" s="533">
        <v>1826.9090049999998</v>
      </c>
      <c r="T15" s="533">
        <v>693.75710400000003</v>
      </c>
      <c r="U15" s="533">
        <v>1445.9064290000001</v>
      </c>
      <c r="V15" s="533">
        <v>1457.308849</v>
      </c>
      <c r="W15" s="533">
        <v>737.98770500000012</v>
      </c>
      <c r="X15" s="533">
        <v>338.65307999999999</v>
      </c>
      <c r="Y15" s="243"/>
      <c r="Z15" s="238">
        <v>2025</v>
      </c>
      <c r="AA15" s="242">
        <f t="shared" si="9"/>
        <v>1.0579781902218807E-2</v>
      </c>
      <c r="AB15" s="242">
        <f t="shared" si="4"/>
        <v>2.2227696033816969E-3</v>
      </c>
      <c r="AC15" s="242">
        <f t="shared" si="4"/>
        <v>5.200435220216452E-5</v>
      </c>
      <c r="AD15" s="242">
        <f t="shared" si="4"/>
        <v>7.9471731913561064E-3</v>
      </c>
      <c r="AE15" s="242">
        <f t="shared" si="4"/>
        <v>2.4271007487224695E-2</v>
      </c>
      <c r="AF15" s="242">
        <f t="shared" si="4"/>
        <v>9.2998180011924104E-3</v>
      </c>
      <c r="AG15" s="242">
        <f t="shared" si="4"/>
        <v>1.3576416532943831E-3</v>
      </c>
      <c r="AH15" s="242">
        <f t="shared" si="5"/>
        <v>1.1110162534088867E-2</v>
      </c>
      <c r="AI15" s="242">
        <f t="shared" si="5"/>
        <v>-1.075315201098411E-3</v>
      </c>
      <c r="AJ15" s="242">
        <f t="shared" si="5"/>
        <v>5.3849742521147256E-3</v>
      </c>
      <c r="AK15" s="243"/>
      <c r="AL15" s="238">
        <v>2025</v>
      </c>
      <c r="AM15" s="242">
        <f t="shared" si="8"/>
        <v>8.1712782076760627E-3</v>
      </c>
      <c r="AN15" s="242">
        <f t="shared" si="6"/>
        <v>1.6139194152523759E-4</v>
      </c>
      <c r="AO15" s="242">
        <f t="shared" si="6"/>
        <v>-1.9351971521372299E-3</v>
      </c>
      <c r="AP15" s="242">
        <f t="shared" si="6"/>
        <v>5.4600412450151589E-3</v>
      </c>
      <c r="AQ15" s="242">
        <f t="shared" si="6"/>
        <v>2.1953825631753639E-2</v>
      </c>
      <c r="AR15" s="242">
        <f t="shared" si="6"/>
        <v>6.4262432053705364E-3</v>
      </c>
      <c r="AS15" s="242">
        <f t="shared" si="6"/>
        <v>-5.5071145919146605E-4</v>
      </c>
      <c r="AT15" s="242">
        <f t="shared" si="7"/>
        <v>8.5101246452258892E-3</v>
      </c>
      <c r="AU15" s="242">
        <f t="shared" si="7"/>
        <v>-2.9943496600433684E-3</v>
      </c>
      <c r="AV15" s="242">
        <f t="shared" si="7"/>
        <v>3.1518201448825704E-3</v>
      </c>
    </row>
    <row r="16" spans="2:48" s="235" customFormat="1" ht="14.4" x14ac:dyDescent="0.3">
      <c r="B16" s="238">
        <v>2027</v>
      </c>
      <c r="C16" s="239">
        <v>8400.4399630000025</v>
      </c>
      <c r="D16" s="239">
        <v>968.63370099999997</v>
      </c>
      <c r="E16" s="239">
        <v>405.07726899999994</v>
      </c>
      <c r="F16" s="239">
        <v>4425.6851070000021</v>
      </c>
      <c r="G16" s="239">
        <v>1891.3874060000003</v>
      </c>
      <c r="H16" s="239">
        <v>709.6564800000001</v>
      </c>
      <c r="I16" s="239">
        <v>1460.719331</v>
      </c>
      <c r="J16" s="239">
        <v>1491.001986</v>
      </c>
      <c r="K16" s="239">
        <v>743.86523399999999</v>
      </c>
      <c r="L16" s="239">
        <v>343.96475500000003</v>
      </c>
      <c r="N16" s="532">
        <v>2027</v>
      </c>
      <c r="O16" s="533">
        <v>8285.3997000000018</v>
      </c>
      <c r="P16" s="533">
        <v>957.24109399999998</v>
      </c>
      <c r="Q16" s="533">
        <v>400.31627000000003</v>
      </c>
      <c r="R16" s="533">
        <v>4363.4855420000022</v>
      </c>
      <c r="S16" s="533">
        <v>1866.4196239999999</v>
      </c>
      <c r="T16" s="533">
        <v>697.93716999999992</v>
      </c>
      <c r="U16" s="533">
        <v>1444.469564</v>
      </c>
      <c r="V16" s="533">
        <v>1469.3385639999999</v>
      </c>
      <c r="W16" s="533">
        <v>735.582494</v>
      </c>
      <c r="X16" s="533">
        <v>339.646522</v>
      </c>
      <c r="Y16" s="243"/>
      <c r="Z16" s="238">
        <v>2026</v>
      </c>
      <c r="AA16" s="242">
        <f t="shared" si="9"/>
        <v>1.0465229519239245E-2</v>
      </c>
      <c r="AB16" s="242">
        <f t="shared" si="4"/>
        <v>2.1137926957694626E-3</v>
      </c>
      <c r="AC16" s="242">
        <f t="shared" si="4"/>
        <v>-1.0986326217703685E-4</v>
      </c>
      <c r="AD16" s="242">
        <f t="shared" si="4"/>
        <v>7.7575589881609614E-3</v>
      </c>
      <c r="AE16" s="242">
        <f t="shared" si="4"/>
        <v>2.4102681322746972E-2</v>
      </c>
      <c r="AF16" s="242">
        <f t="shared" si="4"/>
        <v>9.130019953674056E-3</v>
      </c>
      <c r="AG16" s="242">
        <f t="shared" si="4"/>
        <v>1.0259087994668762E-3</v>
      </c>
      <c r="AH16" s="242">
        <f t="shared" si="5"/>
        <v>1.0986324939152111E-2</v>
      </c>
      <c r="AI16" s="242">
        <f t="shared" si="5"/>
        <v>-1.2227878946631599E-3</v>
      </c>
      <c r="AJ16" s="242">
        <f t="shared" si="5"/>
        <v>5.3135387858213156E-3</v>
      </c>
      <c r="AK16" s="243"/>
      <c r="AL16" s="238">
        <v>2026</v>
      </c>
      <c r="AM16" s="242">
        <f t="shared" si="8"/>
        <v>7.9043933549652768E-3</v>
      </c>
      <c r="AN16" s="242">
        <f t="shared" si="6"/>
        <v>-7.7233718896987089E-5</v>
      </c>
      <c r="AO16" s="242">
        <f t="shared" si="6"/>
        <v>-2.2379891789617019E-3</v>
      </c>
      <c r="AP16" s="242">
        <f t="shared" si="6"/>
        <v>5.1272638771069209E-3</v>
      </c>
      <c r="AQ16" s="242">
        <f t="shared" si="6"/>
        <v>2.1627031719623133E-2</v>
      </c>
      <c r="AR16" s="242">
        <f t="shared" si="6"/>
        <v>6.0252586617115158E-3</v>
      </c>
      <c r="AS16" s="242">
        <f t="shared" si="6"/>
        <v>-9.9374687820834437E-4</v>
      </c>
      <c r="AT16" s="242">
        <f t="shared" si="7"/>
        <v>8.2547464171748106E-3</v>
      </c>
      <c r="AU16" s="242">
        <f t="shared" si="7"/>
        <v>-3.2591477929840604E-3</v>
      </c>
      <c r="AV16" s="242">
        <f t="shared" si="7"/>
        <v>2.9335094191377678E-3</v>
      </c>
    </row>
    <row r="17" spans="2:48" s="235" customFormat="1" ht="14.4" x14ac:dyDescent="0.3">
      <c r="B17" s="238">
        <v>2028</v>
      </c>
      <c r="C17" s="239">
        <v>8487.4295079999974</v>
      </c>
      <c r="D17" s="239">
        <v>970.58636299999978</v>
      </c>
      <c r="E17" s="239">
        <v>404.97762099999994</v>
      </c>
      <c r="F17" s="239">
        <v>4459.1940399999994</v>
      </c>
      <c r="G17" s="239">
        <v>1936.6650659999996</v>
      </c>
      <c r="H17" s="239">
        <v>716.00641799999994</v>
      </c>
      <c r="I17" s="239">
        <v>1461.759176</v>
      </c>
      <c r="J17" s="239">
        <v>1507.1863629999998</v>
      </c>
      <c r="K17" s="239">
        <v>742.85341800000003</v>
      </c>
      <c r="L17" s="239">
        <v>345.77246000000002</v>
      </c>
      <c r="N17" s="532">
        <v>2028</v>
      </c>
      <c r="O17" s="533">
        <v>8348.792109</v>
      </c>
      <c r="P17" s="533">
        <v>956.95411499999989</v>
      </c>
      <c r="Q17" s="533">
        <v>399.31200200000001</v>
      </c>
      <c r="R17" s="533">
        <v>4384.4428119999993</v>
      </c>
      <c r="S17" s="533">
        <v>1906.2085599999998</v>
      </c>
      <c r="T17" s="533">
        <v>701.87462000000005</v>
      </c>
      <c r="U17" s="533">
        <v>1442.4223549999999</v>
      </c>
      <c r="V17" s="533">
        <v>1481.0833359999999</v>
      </c>
      <c r="W17" s="533">
        <v>733.00019800000007</v>
      </c>
      <c r="X17" s="533">
        <v>340.574926</v>
      </c>
      <c r="Y17" s="243"/>
      <c r="Z17" s="238">
        <v>2027</v>
      </c>
      <c r="AA17" s="242">
        <f t="shared" si="9"/>
        <v>1.0355355836497023E-2</v>
      </c>
      <c r="AB17" s="242">
        <f t="shared" si="4"/>
        <v>2.0158931059118751E-3</v>
      </c>
      <c r="AC17" s="242">
        <f>(E17-E16)/E16</f>
        <v>-2.4599751115632698E-4</v>
      </c>
      <c r="AD17" s="242">
        <f t="shared" si="4"/>
        <v>7.5714679625527468E-3</v>
      </c>
      <c r="AE17" s="242">
        <f t="shared" si="4"/>
        <v>2.3938860889295401E-2</v>
      </c>
      <c r="AF17" s="242">
        <f t="shared" si="4"/>
        <v>8.9479039210630992E-3</v>
      </c>
      <c r="AG17" s="242">
        <f t="shared" si="4"/>
        <v>7.1187186883337947E-4</v>
      </c>
      <c r="AH17" s="242">
        <f t="shared" si="5"/>
        <v>1.0854698485961515E-2</v>
      </c>
      <c r="AI17" s="242">
        <f t="shared" si="5"/>
        <v>-1.3602141271734087E-3</v>
      </c>
      <c r="AJ17" s="242">
        <f t="shared" si="5"/>
        <v>5.2554948544073898E-3</v>
      </c>
      <c r="AK17" s="243"/>
      <c r="AL17" s="238">
        <v>2027</v>
      </c>
      <c r="AM17" s="242">
        <f t="shared" si="8"/>
        <v>7.6510984738609785E-3</v>
      </c>
      <c r="AN17" s="242">
        <f t="shared" si="6"/>
        <v>-2.9979803604220068E-4</v>
      </c>
      <c r="AO17" s="242">
        <f>(Q17-Q16)/Q16</f>
        <v>-2.5086864443456783E-3</v>
      </c>
      <c r="AP17" s="242">
        <f t="shared" si="6"/>
        <v>4.8028737114576055E-3</v>
      </c>
      <c r="AQ17" s="242">
        <f t="shared" si="6"/>
        <v>2.1318322786773231E-2</v>
      </c>
      <c r="AR17" s="242">
        <f t="shared" si="6"/>
        <v>5.6415536659268723E-3</v>
      </c>
      <c r="AS17" s="242">
        <f t="shared" si="6"/>
        <v>-1.4172738914144862E-3</v>
      </c>
      <c r="AT17" s="242">
        <f t="shared" si="7"/>
        <v>7.9932374251629676E-3</v>
      </c>
      <c r="AU17" s="242">
        <f t="shared" si="7"/>
        <v>-3.5105457526017855E-3</v>
      </c>
      <c r="AV17" s="242">
        <f t="shared" si="7"/>
        <v>2.733441798647361E-3</v>
      </c>
    </row>
    <row r="18" spans="2:48" s="235" customFormat="1" ht="14.4" x14ac:dyDescent="0.3">
      <c r="B18" s="238">
        <v>2029</v>
      </c>
      <c r="C18" s="239">
        <v>8574.467865999999</v>
      </c>
      <c r="D18" s="239">
        <v>972.46046699999999</v>
      </c>
      <c r="E18" s="239">
        <v>404.83219800000001</v>
      </c>
      <c r="F18" s="239">
        <v>4492.1685149999985</v>
      </c>
      <c r="G18" s="239">
        <v>1982.7289390000001</v>
      </c>
      <c r="H18" s="239">
        <v>722.27774700000009</v>
      </c>
      <c r="I18" s="239">
        <v>1462.3658370000001</v>
      </c>
      <c r="J18" s="239">
        <v>1523.355047</v>
      </c>
      <c r="K18" s="239">
        <v>741.74719200000004</v>
      </c>
      <c r="L18" s="239">
        <v>347.57597600000003</v>
      </c>
      <c r="N18" s="532">
        <v>2029</v>
      </c>
      <c r="O18" s="533">
        <v>8410.6776570000002</v>
      </c>
      <c r="P18" s="533">
        <v>956.4665090000002</v>
      </c>
      <c r="Q18" s="533">
        <v>398.21486900000002</v>
      </c>
      <c r="R18" s="533">
        <v>4404.1016289999998</v>
      </c>
      <c r="S18" s="533">
        <v>1946.306241</v>
      </c>
      <c r="T18" s="533">
        <v>705.58840899999996</v>
      </c>
      <c r="U18" s="533">
        <v>1439.787247</v>
      </c>
      <c r="V18" s="533">
        <v>1492.5242760000001</v>
      </c>
      <c r="W18" s="533">
        <v>730.24847899999997</v>
      </c>
      <c r="X18" s="533">
        <v>341.44348599999995</v>
      </c>
      <c r="Y18" s="243"/>
      <c r="Z18" s="238">
        <v>2028</v>
      </c>
      <c r="AA18" s="242">
        <f t="shared" si="9"/>
        <v>1.0254972712051611E-2</v>
      </c>
      <c r="AB18" s="242">
        <f t="shared" si="4"/>
        <v>1.9308987550654636E-3</v>
      </c>
      <c r="AC18" s="242">
        <f t="shared" si="4"/>
        <v>-3.5908897790660154E-4</v>
      </c>
      <c r="AD18" s="242">
        <f t="shared" si="4"/>
        <v>7.3947163330885411E-3</v>
      </c>
      <c r="AE18" s="242">
        <f t="shared" si="4"/>
        <v>2.3785152016575137E-2</v>
      </c>
      <c r="AF18" s="242">
        <f t="shared" si="4"/>
        <v>8.7587608746827611E-3</v>
      </c>
      <c r="AG18" s="242">
        <f t="shared" si="4"/>
        <v>4.1502116761812685E-4</v>
      </c>
      <c r="AH18" s="242">
        <f t="shared" si="5"/>
        <v>1.0727727105901511E-2</v>
      </c>
      <c r="AI18" s="242">
        <f t="shared" si="5"/>
        <v>-1.4891578515964939E-3</v>
      </c>
      <c r="AJ18" s="242">
        <f t="shared" si="5"/>
        <v>5.2159041237697231E-3</v>
      </c>
      <c r="AK18" s="243"/>
      <c r="AL18" s="238">
        <v>2028</v>
      </c>
      <c r="AM18" s="242">
        <f t="shared" si="8"/>
        <v>7.4125151509387283E-3</v>
      </c>
      <c r="AN18" s="242">
        <f t="shared" si="6"/>
        <v>-5.0953958226062593E-4</v>
      </c>
      <c r="AO18" s="242">
        <f t="shared" si="6"/>
        <v>-2.7475582865149773E-3</v>
      </c>
      <c r="AP18" s="242">
        <f t="shared" si="6"/>
        <v>4.4837663171692563E-3</v>
      </c>
      <c r="AQ18" s="242">
        <f t="shared" si="6"/>
        <v>2.1035306336049713E-2</v>
      </c>
      <c r="AR18" s="242">
        <f t="shared" si="6"/>
        <v>5.291242757858812E-3</v>
      </c>
      <c r="AS18" s="242">
        <f t="shared" si="6"/>
        <v>-1.826862978700816E-3</v>
      </c>
      <c r="AT18" s="242">
        <f t="shared" si="7"/>
        <v>7.7247105020430687E-3</v>
      </c>
      <c r="AU18" s="242">
        <f t="shared" si="7"/>
        <v>-3.7540494634356065E-3</v>
      </c>
      <c r="AV18" s="242">
        <f t="shared" si="7"/>
        <v>2.5502758238871211E-3</v>
      </c>
    </row>
    <row r="19" spans="2:48" s="235" customFormat="1" ht="14.4" x14ac:dyDescent="0.3">
      <c r="B19" s="238">
        <v>2030</v>
      </c>
      <c r="C19" s="239">
        <v>8661.6046869999991</v>
      </c>
      <c r="D19" s="239">
        <v>974.26620800000001</v>
      </c>
      <c r="E19" s="239">
        <v>404.64997199999999</v>
      </c>
      <c r="F19" s="239">
        <v>4524.6278179999999</v>
      </c>
      <c r="G19" s="239">
        <v>2029.5977639999996</v>
      </c>
      <c r="H19" s="239">
        <v>728.46292500000027</v>
      </c>
      <c r="I19" s="239">
        <v>1462.5612279999998</v>
      </c>
      <c r="J19" s="239">
        <v>1539.5076320000001</v>
      </c>
      <c r="K19" s="239">
        <v>740.55303900000001</v>
      </c>
      <c r="L19" s="239">
        <v>349.38029599999999</v>
      </c>
      <c r="N19" s="532">
        <v>2030</v>
      </c>
      <c r="O19" s="533">
        <v>8471.1169590000009</v>
      </c>
      <c r="P19" s="533">
        <v>955.789626</v>
      </c>
      <c r="Q19" s="533">
        <v>397.03670899999997</v>
      </c>
      <c r="R19" s="533">
        <v>4422.4646040000007</v>
      </c>
      <c r="S19" s="533">
        <v>1986.7335400000004</v>
      </c>
      <c r="T19" s="533">
        <v>709.09248000000014</v>
      </c>
      <c r="U19" s="533">
        <v>1436.585898</v>
      </c>
      <c r="V19" s="533">
        <v>1503.642327</v>
      </c>
      <c r="W19" s="533">
        <v>727.33480499999996</v>
      </c>
      <c r="X19" s="533">
        <v>342.25681600000001</v>
      </c>
      <c r="Y19" s="243"/>
      <c r="Z19" s="238">
        <v>2029</v>
      </c>
      <c r="AA19" s="242">
        <f t="shared" si="9"/>
        <v>1.0162359036357262E-2</v>
      </c>
      <c r="AB19" s="242">
        <f t="shared" si="4"/>
        <v>1.8568785686174448E-3</v>
      </c>
      <c r="AC19" s="242">
        <f t="shared" si="4"/>
        <v>-4.5012724012632565E-4</v>
      </c>
      <c r="AD19" s="242">
        <f t="shared" si="4"/>
        <v>7.2257536402775546E-3</v>
      </c>
      <c r="AE19" s="242">
        <f t="shared" si="4"/>
        <v>2.3638543866534828E-2</v>
      </c>
      <c r="AF19" s="242">
        <f t="shared" si="4"/>
        <v>8.5634342546070125E-3</v>
      </c>
      <c r="AG19" s="242">
        <f t="shared" si="4"/>
        <v>1.336129407950228E-4</v>
      </c>
      <c r="AH19" s="242">
        <f t="shared" si="5"/>
        <v>1.0603296343692125E-2</v>
      </c>
      <c r="AI19" s="242">
        <f t="shared" si="5"/>
        <v>-1.6099191380559057E-3</v>
      </c>
      <c r="AJ19" s="242">
        <f t="shared" si="5"/>
        <v>5.1911527970505116E-3</v>
      </c>
      <c r="AK19" s="243"/>
      <c r="AL19" s="238">
        <v>2029</v>
      </c>
      <c r="AM19" s="242">
        <f t="shared" si="8"/>
        <v>7.1860204926173258E-3</v>
      </c>
      <c r="AN19" s="242">
        <f t="shared" si="6"/>
        <v>-7.0769127160332434E-4</v>
      </c>
      <c r="AO19" s="242">
        <f t="shared" si="6"/>
        <v>-2.9586037381242234E-3</v>
      </c>
      <c r="AP19" s="242">
        <f t="shared" si="6"/>
        <v>4.1695166340133781E-3</v>
      </c>
      <c r="AQ19" s="242">
        <f t="shared" si="6"/>
        <v>2.0771293925065517E-2</v>
      </c>
      <c r="AR19" s="242">
        <f t="shared" si="6"/>
        <v>4.9661685981581662E-3</v>
      </c>
      <c r="AS19" s="242">
        <f t="shared" si="6"/>
        <v>-2.2234875372527428E-3</v>
      </c>
      <c r="AT19" s="242">
        <f t="shared" si="7"/>
        <v>7.4491592390018334E-3</v>
      </c>
      <c r="AU19" s="242">
        <f t="shared" si="7"/>
        <v>-3.9899761297551633E-3</v>
      </c>
      <c r="AV19" s="242">
        <f t="shared" si="7"/>
        <v>2.3820340212906115E-3</v>
      </c>
    </row>
    <row r="20" spans="2:48" s="235" customFormat="1" ht="14.4" x14ac:dyDescent="0.3">
      <c r="B20" s="238">
        <v>2031</v>
      </c>
      <c r="C20" s="239">
        <v>8748.8201969999991</v>
      </c>
      <c r="D20" s="239">
        <v>976.00790699999993</v>
      </c>
      <c r="E20" s="239">
        <v>404.43896899999993</v>
      </c>
      <c r="F20" s="239">
        <v>4556.551938999999</v>
      </c>
      <c r="G20" s="239">
        <v>2077.2681379999999</v>
      </c>
      <c r="H20" s="239">
        <v>734.55324399999995</v>
      </c>
      <c r="I20" s="239">
        <v>1462.363288</v>
      </c>
      <c r="J20" s="239">
        <v>1555.61823</v>
      </c>
      <c r="K20" s="239">
        <v>739.27726799999994</v>
      </c>
      <c r="L20" s="239">
        <v>351.186081</v>
      </c>
      <c r="N20" s="532">
        <v>2031</v>
      </c>
      <c r="O20" s="533">
        <v>8530.1409210000002</v>
      </c>
      <c r="P20" s="533">
        <v>954.93640999999991</v>
      </c>
      <c r="Q20" s="533">
        <v>395.78707799999995</v>
      </c>
      <c r="R20" s="533">
        <v>4439.5527770000008</v>
      </c>
      <c r="S20" s="533">
        <v>2027.4806960000008</v>
      </c>
      <c r="T20" s="533">
        <v>712.38396</v>
      </c>
      <c r="U20" s="533">
        <v>1432.8461969999998</v>
      </c>
      <c r="V20" s="533">
        <v>1514.42716</v>
      </c>
      <c r="W20" s="533">
        <v>724.27123200000005</v>
      </c>
      <c r="X20" s="533">
        <v>343.01860700000003</v>
      </c>
      <c r="Y20" s="243"/>
      <c r="Z20" s="238">
        <v>2030</v>
      </c>
      <c r="AA20" s="242">
        <f t="shared" si="9"/>
        <v>1.0069209246053416E-2</v>
      </c>
      <c r="AB20" s="242">
        <f t="shared" si="4"/>
        <v>1.7877033871218143E-3</v>
      </c>
      <c r="AC20" s="242">
        <f t="shared" si="4"/>
        <v>-5.2144572989136896E-4</v>
      </c>
      <c r="AD20" s="242">
        <f>(F20-F19)/F19</f>
        <v>7.0556346917635257E-3</v>
      </c>
      <c r="AE20" s="242">
        <f t="shared" si="4"/>
        <v>2.3487596826107005E-2</v>
      </c>
      <c r="AF20" s="242">
        <f t="shared" si="4"/>
        <v>8.3605064732699737E-3</v>
      </c>
      <c r="AG20" s="242">
        <f t="shared" si="4"/>
        <v>-1.3533792378078106E-4</v>
      </c>
      <c r="AH20" s="242">
        <f t="shared" si="5"/>
        <v>1.0464773064535207E-2</v>
      </c>
      <c r="AI20" s="242">
        <f t="shared" si="5"/>
        <v>-1.7227273845541223E-3</v>
      </c>
      <c r="AJ20" s="242">
        <f t="shared" si="5"/>
        <v>5.1685370373606146E-3</v>
      </c>
      <c r="AK20" s="243"/>
      <c r="AL20" s="238">
        <v>2030</v>
      </c>
      <c r="AM20" s="242">
        <f t="shared" si="8"/>
        <v>6.9676717114961154E-3</v>
      </c>
      <c r="AN20" s="242">
        <f t="shared" si="6"/>
        <v>-8.926817960672117E-4</v>
      </c>
      <c r="AO20" s="242">
        <f t="shared" si="6"/>
        <v>-3.1473941116110303E-3</v>
      </c>
      <c r="AP20" s="242">
        <f t="shared" si="6"/>
        <v>3.8639479408256435E-3</v>
      </c>
      <c r="AQ20" s="242">
        <f t="shared" si="6"/>
        <v>2.0509623046883453E-2</v>
      </c>
      <c r="AR20" s="242">
        <f t="shared" si="6"/>
        <v>4.6418204858128861E-3</v>
      </c>
      <c r="AS20" s="242">
        <f t="shared" si="6"/>
        <v>-2.6031864890269135E-3</v>
      </c>
      <c r="AT20" s="242">
        <f t="shared" si="7"/>
        <v>7.1724723402255856E-3</v>
      </c>
      <c r="AU20" s="242">
        <f t="shared" si="7"/>
        <v>-4.2120533472888126E-3</v>
      </c>
      <c r="AV20" s="242">
        <f t="shared" si="7"/>
        <v>2.2257876670015433E-3</v>
      </c>
    </row>
    <row r="21" spans="2:48" s="235" customFormat="1" ht="14.4" x14ac:dyDescent="0.3">
      <c r="B21" s="238">
        <v>2032</v>
      </c>
      <c r="C21" s="239">
        <v>8835.9741530000028</v>
      </c>
      <c r="D21" s="239">
        <v>977.6802090000001</v>
      </c>
      <c r="E21" s="239">
        <v>404.20669400000003</v>
      </c>
      <c r="F21" s="239">
        <v>4587.8518500000009</v>
      </c>
      <c r="G21" s="239">
        <v>2125.6994870000012</v>
      </c>
      <c r="H21" s="239">
        <v>740.53591300000028</v>
      </c>
      <c r="I21" s="239">
        <v>1461.784146</v>
      </c>
      <c r="J21" s="239">
        <v>1571.61582</v>
      </c>
      <c r="K21" s="239">
        <v>737.92604599999993</v>
      </c>
      <c r="L21" s="239">
        <v>352.98697600000003</v>
      </c>
      <c r="N21" s="532">
        <v>2032</v>
      </c>
      <c r="O21" s="533">
        <v>8587.7933380000013</v>
      </c>
      <c r="P21" s="533">
        <v>953.92329900000027</v>
      </c>
      <c r="Q21" s="533">
        <v>394.47802600000006</v>
      </c>
      <c r="R21" s="533">
        <v>4455.4017929999991</v>
      </c>
      <c r="S21" s="533">
        <v>2068.5307040000002</v>
      </c>
      <c r="T21" s="533">
        <v>715.45951600000012</v>
      </c>
      <c r="U21" s="533">
        <v>1428.608289</v>
      </c>
      <c r="V21" s="533">
        <v>1524.862024</v>
      </c>
      <c r="W21" s="533">
        <v>721.07787800000006</v>
      </c>
      <c r="X21" s="533">
        <v>343.73140699999999</v>
      </c>
      <c r="Y21" s="243"/>
      <c r="Z21" s="238">
        <v>2031</v>
      </c>
      <c r="AA21" s="242">
        <f t="shared" si="9"/>
        <v>9.9617953092565707E-3</v>
      </c>
      <c r="AB21" s="242">
        <f t="shared" si="9"/>
        <v>1.7134102992468611E-3</v>
      </c>
      <c r="AC21" s="242">
        <f t="shared" si="9"/>
        <v>-5.7431409385256822E-4</v>
      </c>
      <c r="AD21" s="242">
        <f t="shared" si="9"/>
        <v>6.8692097487362564E-3</v>
      </c>
      <c r="AE21" s="242">
        <f t="shared" si="9"/>
        <v>2.3314924113085934E-2</v>
      </c>
      <c r="AF21" s="242">
        <f t="shared" si="9"/>
        <v>8.1446362790827571E-3</v>
      </c>
      <c r="AG21" s="242">
        <f t="shared" si="9"/>
        <v>-3.9603155026690407E-4</v>
      </c>
      <c r="AH21" s="242">
        <f t="shared" si="5"/>
        <v>1.0283750660340324E-2</v>
      </c>
      <c r="AI21" s="242">
        <f t="shared" si="5"/>
        <v>-1.827760785416179E-3</v>
      </c>
      <c r="AJ21" s="242">
        <f t="shared" si="5"/>
        <v>5.128036381373627E-3</v>
      </c>
      <c r="AK21" s="243"/>
      <c r="AL21" s="238">
        <v>2031</v>
      </c>
      <c r="AM21" s="242">
        <f t="shared" si="8"/>
        <v>6.7586711091805127E-3</v>
      </c>
      <c r="AN21" s="242">
        <f t="shared" si="6"/>
        <v>-1.0609198574799759E-3</v>
      </c>
      <c r="AO21" s="242">
        <f t="shared" si="6"/>
        <v>-3.307465232606444E-3</v>
      </c>
      <c r="AP21" s="242">
        <f t="shared" si="6"/>
        <v>3.5699577854119285E-3</v>
      </c>
      <c r="AQ21" s="242">
        <f t="shared" si="6"/>
        <v>2.0246805841844358E-2</v>
      </c>
      <c r="AR21" s="242">
        <f t="shared" si="6"/>
        <v>4.3172729492675825E-3</v>
      </c>
      <c r="AS21" s="242">
        <f t="shared" si="6"/>
        <v>-2.9576852064603235E-3</v>
      </c>
      <c r="AT21" s="242">
        <f t="shared" si="7"/>
        <v>6.890304318102735E-3</v>
      </c>
      <c r="AU21" s="242">
        <f t="shared" si="7"/>
        <v>-4.4090581800161838E-3</v>
      </c>
      <c r="AV21" s="242">
        <f t="shared" si="7"/>
        <v>2.0780213826708202E-3</v>
      </c>
    </row>
    <row r="22" spans="2:48" s="235" customFormat="1" ht="14.4" x14ac:dyDescent="0.3">
      <c r="B22" s="238">
        <v>2033</v>
      </c>
      <c r="C22" s="239">
        <v>8922.784341999999</v>
      </c>
      <c r="D22" s="239">
        <v>979.26666799999998</v>
      </c>
      <c r="E22" s="239">
        <v>403.96002799999997</v>
      </c>
      <c r="F22" s="239">
        <v>4618.356756000001</v>
      </c>
      <c r="G22" s="239">
        <v>2174.8073739999991</v>
      </c>
      <c r="H22" s="239">
        <v>746.39351599999998</v>
      </c>
      <c r="I22" s="239">
        <v>1460.8295230000001</v>
      </c>
      <c r="J22" s="239">
        <v>1587.3756559999999</v>
      </c>
      <c r="K22" s="239">
        <v>736.50576499999988</v>
      </c>
      <c r="L22" s="239">
        <v>354.76832900000005</v>
      </c>
      <c r="N22" s="532">
        <v>2033</v>
      </c>
      <c r="O22" s="533">
        <v>8644.1849149999998</v>
      </c>
      <c r="P22" s="533">
        <v>952.77095499999973</v>
      </c>
      <c r="Q22" s="533">
        <v>393.12885799999998</v>
      </c>
      <c r="R22" s="533">
        <v>4470.0576920000003</v>
      </c>
      <c r="S22" s="533">
        <v>2109.8911339999995</v>
      </c>
      <c r="T22" s="533">
        <v>718.33627599999977</v>
      </c>
      <c r="U22" s="533">
        <v>1423.9273230000001</v>
      </c>
      <c r="V22" s="533">
        <v>1534.913994</v>
      </c>
      <c r="W22" s="533">
        <v>717.78452299999992</v>
      </c>
      <c r="X22" s="533">
        <v>344.39644799999996</v>
      </c>
      <c r="Y22" s="243"/>
      <c r="Z22" s="238">
        <v>2032</v>
      </c>
      <c r="AA22" s="242">
        <f t="shared" si="9"/>
        <v>9.824631387193708E-3</v>
      </c>
      <c r="AB22" s="242">
        <f t="shared" si="9"/>
        <v>1.6226768071970626E-3</v>
      </c>
      <c r="AC22" s="242">
        <f t="shared" si="9"/>
        <v>-6.102471919974228E-4</v>
      </c>
      <c r="AD22" s="242">
        <f t="shared" si="9"/>
        <v>6.6490608235311938E-3</v>
      </c>
      <c r="AE22" s="242">
        <f t="shared" si="9"/>
        <v>2.3101989392349989E-2</v>
      </c>
      <c r="AF22" s="242">
        <f t="shared" si="9"/>
        <v>7.9099512895598034E-3</v>
      </c>
      <c r="AG22" s="242">
        <f t="shared" si="9"/>
        <v>-6.5305332706752173E-4</v>
      </c>
      <c r="AH22" s="242">
        <f t="shared" si="5"/>
        <v>1.0027791652033605E-2</v>
      </c>
      <c r="AI22" s="242">
        <f t="shared" si="5"/>
        <v>-1.924692870916831E-3</v>
      </c>
      <c r="AJ22" s="242">
        <f t="shared" si="5"/>
        <v>5.0465119710253106E-3</v>
      </c>
      <c r="AK22" s="243"/>
      <c r="AL22" s="238">
        <v>2032</v>
      </c>
      <c r="AM22" s="242">
        <f t="shared" si="8"/>
        <v>6.5664804427084007E-3</v>
      </c>
      <c r="AN22" s="242">
        <f t="shared" si="6"/>
        <v>-1.2080048796465543E-3</v>
      </c>
      <c r="AO22" s="242">
        <f t="shared" si="6"/>
        <v>-3.4201347377460179E-3</v>
      </c>
      <c r="AP22" s="242">
        <f t="shared" si="6"/>
        <v>3.2894674107793154E-3</v>
      </c>
      <c r="AQ22" s="242">
        <f t="shared" si="6"/>
        <v>1.9995076659978486E-2</v>
      </c>
      <c r="AR22" s="242">
        <f t="shared" si="6"/>
        <v>4.0208564365501413E-3</v>
      </c>
      <c r="AS22" s="242">
        <f t="shared" si="6"/>
        <v>-3.2765916563990329E-3</v>
      </c>
      <c r="AT22" s="242">
        <f t="shared" si="7"/>
        <v>6.5920521606484591E-3</v>
      </c>
      <c r="AU22" s="242">
        <f t="shared" si="7"/>
        <v>-4.5672667273258562E-3</v>
      </c>
      <c r="AV22" s="242">
        <f t="shared" si="7"/>
        <v>1.9347693764857914E-3</v>
      </c>
    </row>
    <row r="23" spans="2:48" s="235" customFormat="1" ht="14.4" x14ac:dyDescent="0.3">
      <c r="B23" s="238">
        <v>2034</v>
      </c>
      <c r="C23" s="239">
        <v>9008.8876180000007</v>
      </c>
      <c r="D23" s="239">
        <v>980.74416099999985</v>
      </c>
      <c r="E23" s="239">
        <v>403.705128</v>
      </c>
      <c r="F23" s="239">
        <v>4647.8499150000016</v>
      </c>
      <c r="G23" s="239">
        <v>2224.4820929999996</v>
      </c>
      <c r="H23" s="239">
        <v>752.10632099999987</v>
      </c>
      <c r="I23" s="239">
        <v>1459.50074</v>
      </c>
      <c r="J23" s="239">
        <v>1602.7433780000001</v>
      </c>
      <c r="K23" s="239">
        <v>735.02248999999995</v>
      </c>
      <c r="L23" s="239">
        <v>356.51064500000001</v>
      </c>
      <c r="N23" s="532">
        <v>2034</v>
      </c>
      <c r="O23" s="533">
        <v>8699.4473110000017</v>
      </c>
      <c r="P23" s="533">
        <v>951.50210799999979</v>
      </c>
      <c r="Q23" s="533">
        <v>391.76136400000007</v>
      </c>
      <c r="R23" s="533">
        <v>4483.574402000002</v>
      </c>
      <c r="S23" s="533">
        <v>2151.5726999999997</v>
      </c>
      <c r="T23" s="533">
        <v>721.03673700000013</v>
      </c>
      <c r="U23" s="533">
        <v>1418.8659650000002</v>
      </c>
      <c r="V23" s="533">
        <v>1544.5443680000001</v>
      </c>
      <c r="W23" s="533">
        <v>714.42630499999996</v>
      </c>
      <c r="X23" s="533">
        <v>345.01404500000001</v>
      </c>
      <c r="Y23" s="243"/>
      <c r="Z23" s="238">
        <v>2033</v>
      </c>
      <c r="AA23" s="242">
        <f t="shared" si="9"/>
        <v>9.6498214794578357E-3</v>
      </c>
      <c r="AB23" s="242">
        <f t="shared" si="9"/>
        <v>1.5087749315693727E-3</v>
      </c>
      <c r="AC23" s="242">
        <f t="shared" si="9"/>
        <v>-6.3100302587354939E-4</v>
      </c>
      <c r="AD23" s="242">
        <f t="shared" si="9"/>
        <v>6.3860720507752291E-3</v>
      </c>
      <c r="AE23" s="242">
        <f t="shared" si="9"/>
        <v>2.2840974145051145E-2</v>
      </c>
      <c r="AF23" s="242">
        <f t="shared" si="9"/>
        <v>7.6538781186302396E-3</v>
      </c>
      <c r="AG23" s="242">
        <f t="shared" si="9"/>
        <v>-9.0960853342512689E-4</v>
      </c>
      <c r="AH23" s="242">
        <f t="shared" si="5"/>
        <v>9.6812131028423589E-3</v>
      </c>
      <c r="AI23" s="242">
        <f t="shared" si="5"/>
        <v>-2.013935355957377E-3</v>
      </c>
      <c r="AJ23" s="242">
        <f t="shared" si="5"/>
        <v>4.9111373749485951E-3</v>
      </c>
      <c r="AK23" s="243"/>
      <c r="AL23" s="238">
        <v>2033</v>
      </c>
      <c r="AM23" s="242">
        <f t="shared" si="8"/>
        <v>6.3930140948404157E-3</v>
      </c>
      <c r="AN23" s="242">
        <f t="shared" si="6"/>
        <v>-1.3317439971707967E-3</v>
      </c>
      <c r="AO23" s="242">
        <f t="shared" si="6"/>
        <v>-3.4784879618272855E-3</v>
      </c>
      <c r="AP23" s="242">
        <f t="shared" si="6"/>
        <v>3.0238334561525594E-3</v>
      </c>
      <c r="AQ23" s="242">
        <f t="shared" si="6"/>
        <v>1.9755315963141163E-2</v>
      </c>
      <c r="AR23" s="242">
        <f t="shared" si="6"/>
        <v>3.7593270592398156E-3</v>
      </c>
      <c r="AS23" s="242">
        <f t="shared" si="6"/>
        <v>-3.5545058502960739E-3</v>
      </c>
      <c r="AT23" s="242">
        <f t="shared" si="7"/>
        <v>6.2742108272159482E-3</v>
      </c>
      <c r="AU23" s="242">
        <f t="shared" si="7"/>
        <v>-4.6785879221304489E-3</v>
      </c>
      <c r="AV23" s="242">
        <f t="shared" si="7"/>
        <v>1.7932734312057894E-3</v>
      </c>
    </row>
    <row r="24" spans="2:48" s="235" customFormat="1" ht="14.4" x14ac:dyDescent="0.3">
      <c r="B24" s="238">
        <v>2035</v>
      </c>
      <c r="C24" s="239">
        <v>9094.0218559999958</v>
      </c>
      <c r="D24" s="239">
        <v>982.09577000000002</v>
      </c>
      <c r="E24" s="239">
        <v>403.44732599999998</v>
      </c>
      <c r="F24" s="239">
        <v>4676.175328999997</v>
      </c>
      <c r="G24" s="239">
        <v>2274.6430129999999</v>
      </c>
      <c r="H24" s="239">
        <v>757.66041799999982</v>
      </c>
      <c r="I24" s="239">
        <v>1457.800831</v>
      </c>
      <c r="J24" s="239">
        <v>1617.6052910000001</v>
      </c>
      <c r="K24" s="239">
        <v>733.48147899999992</v>
      </c>
      <c r="L24" s="239">
        <v>358.19939600000004</v>
      </c>
      <c r="N24" s="532">
        <v>2035</v>
      </c>
      <c r="O24" s="533">
        <v>8753.6756839999998</v>
      </c>
      <c r="P24" s="533">
        <v>950.13393399999984</v>
      </c>
      <c r="Q24" s="533">
        <v>390.39213999999998</v>
      </c>
      <c r="R24" s="533">
        <v>4495.9929009999996</v>
      </c>
      <c r="S24" s="533">
        <v>2193.5789490000002</v>
      </c>
      <c r="T24" s="533">
        <v>723.57775999999978</v>
      </c>
      <c r="U24" s="533">
        <v>1413.4725079999998</v>
      </c>
      <c r="V24" s="533">
        <v>1553.72381</v>
      </c>
      <c r="W24" s="533">
        <v>711.02972299999999</v>
      </c>
      <c r="X24" s="533">
        <v>345.58444900000001</v>
      </c>
      <c r="Y24" s="243"/>
      <c r="Z24" s="238">
        <v>2034</v>
      </c>
      <c r="AA24" s="242">
        <f t="shared" si="9"/>
        <v>9.4500277514722886E-3</v>
      </c>
      <c r="AB24" s="242">
        <f t="shared" si="9"/>
        <v>1.3781463645136777E-3</v>
      </c>
      <c r="AC24" s="242">
        <f t="shared" si="9"/>
        <v>-6.3858985709992397E-4</v>
      </c>
      <c r="AD24" s="242">
        <f t="shared" si="9"/>
        <v>6.0943047899590696E-3</v>
      </c>
      <c r="AE24" s="242">
        <f t="shared" si="9"/>
        <v>2.2549482487562677E-2</v>
      </c>
      <c r="AF24" s="242">
        <f t="shared" si="9"/>
        <v>7.3847232032503516E-3</v>
      </c>
      <c r="AG24" s="242">
        <f t="shared" si="9"/>
        <v>-1.1647195190870093E-3</v>
      </c>
      <c r="AH24" s="242">
        <f t="shared" si="5"/>
        <v>9.2727963840010062E-3</v>
      </c>
      <c r="AI24" s="242">
        <f t="shared" si="5"/>
        <v>-2.0965494538813718E-3</v>
      </c>
      <c r="AJ24" s="242">
        <f t="shared" si="5"/>
        <v>4.7368880107353448E-3</v>
      </c>
      <c r="AK24" s="243"/>
      <c r="AL24" s="238">
        <v>2034</v>
      </c>
      <c r="AM24" s="242">
        <f t="shared" si="8"/>
        <v>6.2335423230196621E-3</v>
      </c>
      <c r="AN24" s="242">
        <f t="shared" si="6"/>
        <v>-1.4379095836957977E-3</v>
      </c>
      <c r="AO24" s="242">
        <f t="shared" si="6"/>
        <v>-3.4950460301135964E-3</v>
      </c>
      <c r="AP24" s="242">
        <f t="shared" si="6"/>
        <v>2.7697764967294959E-3</v>
      </c>
      <c r="AQ24" s="242">
        <f t="shared" si="6"/>
        <v>1.9523509012733097E-2</v>
      </c>
      <c r="AR24" s="242">
        <f t="shared" si="6"/>
        <v>3.5241241806513585E-3</v>
      </c>
      <c r="AS24" s="242">
        <f t="shared" si="6"/>
        <v>-3.8012448906689735E-3</v>
      </c>
      <c r="AT24" s="242">
        <f t="shared" si="7"/>
        <v>5.9431390837196597E-3</v>
      </c>
      <c r="AU24" s="242">
        <f t="shared" si="7"/>
        <v>-4.7542790295214098E-3</v>
      </c>
      <c r="AV24" s="242">
        <f t="shared" si="7"/>
        <v>1.6532776223646094E-3</v>
      </c>
    </row>
    <row r="25" spans="2:48" s="235" customFormat="1" ht="14.4" x14ac:dyDescent="0.3">
      <c r="B25" s="238">
        <v>2036</v>
      </c>
      <c r="C25" s="239">
        <v>9178.0824249999969</v>
      </c>
      <c r="D25" s="239">
        <v>983.31684599999994</v>
      </c>
      <c r="E25" s="239">
        <v>403.19092499999994</v>
      </c>
      <c r="F25" s="239">
        <v>4703.2721199999996</v>
      </c>
      <c r="G25" s="239">
        <v>2325.2544899999989</v>
      </c>
      <c r="H25" s="239">
        <v>763.048044</v>
      </c>
      <c r="I25" s="239">
        <v>1455.7378970000002</v>
      </c>
      <c r="J25" s="239">
        <v>1631.9156399999999</v>
      </c>
      <c r="K25" s="239">
        <v>731.88672099999997</v>
      </c>
      <c r="L25" s="239">
        <v>359.829474</v>
      </c>
      <c r="N25" s="532">
        <v>2036</v>
      </c>
      <c r="O25" s="533">
        <v>8806.9176639999987</v>
      </c>
      <c r="P25" s="533">
        <v>948.67858700000011</v>
      </c>
      <c r="Q25" s="533">
        <v>389.03088600000007</v>
      </c>
      <c r="R25" s="533">
        <v>4507.3382569999994</v>
      </c>
      <c r="S25" s="533">
        <v>2235.9031369999998</v>
      </c>
      <c r="T25" s="533">
        <v>725.96679699999993</v>
      </c>
      <c r="U25" s="533">
        <v>1407.776488</v>
      </c>
      <c r="V25" s="533">
        <v>1562.4392760000001</v>
      </c>
      <c r="W25" s="533">
        <v>707.60973899999999</v>
      </c>
      <c r="X25" s="533">
        <v>346.10943800000001</v>
      </c>
      <c r="Y25" s="243"/>
      <c r="Z25" s="238">
        <v>2035</v>
      </c>
      <c r="AA25" s="242">
        <f t="shared" si="9"/>
        <v>9.243497577976479E-3</v>
      </c>
      <c r="AB25" s="242">
        <f t="shared" si="9"/>
        <v>1.2433369914625794E-3</v>
      </c>
      <c r="AC25" s="242">
        <f t="shared" si="9"/>
        <v>-6.3552534240873717E-4</v>
      </c>
      <c r="AD25" s="242">
        <f t="shared" si="9"/>
        <v>5.7946482100356429E-3</v>
      </c>
      <c r="AE25" s="242">
        <f t="shared" si="9"/>
        <v>2.2250294534458898E-2</v>
      </c>
      <c r="AF25" s="242">
        <f t="shared" si="9"/>
        <v>7.1108716675762559E-3</v>
      </c>
      <c r="AG25" s="242">
        <f t="shared" si="9"/>
        <v>-1.4151000302179233E-3</v>
      </c>
      <c r="AH25" s="242">
        <f t="shared" si="5"/>
        <v>8.8466259844842826E-3</v>
      </c>
      <c r="AI25" s="242">
        <f t="shared" si="5"/>
        <v>-2.174230768818031E-3</v>
      </c>
      <c r="AJ25" s="242">
        <f t="shared" si="5"/>
        <v>4.5507558588958894E-3</v>
      </c>
      <c r="AK25" s="243"/>
      <c r="AL25" s="238">
        <v>2035</v>
      </c>
      <c r="AM25" s="242">
        <f t="shared" si="8"/>
        <v>6.0822426968952896E-3</v>
      </c>
      <c r="AN25" s="242">
        <f t="shared" si="6"/>
        <v>-1.5317282626385318E-3</v>
      </c>
      <c r="AO25" s="242">
        <f t="shared" si="6"/>
        <v>-3.4868888497599291E-3</v>
      </c>
      <c r="AP25" s="242">
        <f t="shared" si="6"/>
        <v>2.5234372584254693E-3</v>
      </c>
      <c r="AQ25" s="242">
        <f t="shared" si="6"/>
        <v>1.9294581587452859E-2</v>
      </c>
      <c r="AR25" s="242">
        <f t="shared" si="6"/>
        <v>3.3017004281615078E-3</v>
      </c>
      <c r="AS25" s="242">
        <f t="shared" si="6"/>
        <v>-4.0298060045465441E-3</v>
      </c>
      <c r="AT25" s="242">
        <f t="shared" si="7"/>
        <v>5.6094049302109275E-3</v>
      </c>
      <c r="AU25" s="242">
        <f t="shared" si="7"/>
        <v>-4.8099030031688271E-3</v>
      </c>
      <c r="AV25" s="242">
        <f t="shared" si="7"/>
        <v>1.5191337501416478E-3</v>
      </c>
    </row>
    <row r="26" spans="2:48" s="235" customFormat="1" ht="14.4" x14ac:dyDescent="0.3">
      <c r="B26" s="238">
        <v>2037</v>
      </c>
      <c r="C26" s="239">
        <v>9261.1255430000019</v>
      </c>
      <c r="D26" s="239">
        <v>984.41178800000034</v>
      </c>
      <c r="E26" s="239">
        <v>402.939618</v>
      </c>
      <c r="F26" s="239">
        <v>4729.1740570000011</v>
      </c>
      <c r="G26" s="239">
        <v>2376.329052999999</v>
      </c>
      <c r="H26" s="239">
        <v>768.27102700000012</v>
      </c>
      <c r="I26" s="239">
        <v>1453.32269</v>
      </c>
      <c r="J26" s="239">
        <v>1645.688881</v>
      </c>
      <c r="K26" s="239">
        <v>730.24124399999994</v>
      </c>
      <c r="L26" s="239">
        <v>361.40303399999999</v>
      </c>
      <c r="N26" s="532">
        <v>2037</v>
      </c>
      <c r="O26" s="533">
        <v>8859.1603780000023</v>
      </c>
      <c r="P26" s="533">
        <v>947.1384240000001</v>
      </c>
      <c r="Q26" s="533">
        <v>387.67906200000004</v>
      </c>
      <c r="R26" s="533">
        <v>4517.6126840000015</v>
      </c>
      <c r="S26" s="533">
        <v>2278.5279920000003</v>
      </c>
      <c r="T26" s="533">
        <v>728.20221600000013</v>
      </c>
      <c r="U26" s="533">
        <v>1401.783905</v>
      </c>
      <c r="V26" s="533">
        <v>1570.6904399999999</v>
      </c>
      <c r="W26" s="533">
        <v>704.16749399999992</v>
      </c>
      <c r="X26" s="533">
        <v>346.590127</v>
      </c>
      <c r="Y26" s="243"/>
      <c r="Z26" s="238">
        <v>2036</v>
      </c>
      <c r="AA26" s="242">
        <f t="shared" si="9"/>
        <v>9.0479812835201328E-3</v>
      </c>
      <c r="AB26" s="242">
        <f t="shared" si="9"/>
        <v>1.1135190091113329E-3</v>
      </c>
      <c r="AC26" s="242">
        <f t="shared" si="9"/>
        <v>-6.2329527878123806E-4</v>
      </c>
      <c r="AD26" s="242">
        <f t="shared" si="9"/>
        <v>5.507216324961749E-3</v>
      </c>
      <c r="AE26" s="242">
        <f t="shared" si="9"/>
        <v>2.1965149715719997E-2</v>
      </c>
      <c r="AF26" s="242">
        <f t="shared" si="9"/>
        <v>6.8448940287174275E-3</v>
      </c>
      <c r="AG26" s="242">
        <f t="shared" si="9"/>
        <v>-1.6590946797342574E-3</v>
      </c>
      <c r="AH26" s="242">
        <f t="shared" si="5"/>
        <v>8.4399221763694215E-3</v>
      </c>
      <c r="AI26" s="242">
        <f t="shared" si="5"/>
        <v>-2.2482673244184027E-3</v>
      </c>
      <c r="AJ26" s="242">
        <f t="shared" si="5"/>
        <v>4.373071451061806E-3</v>
      </c>
      <c r="AK26" s="243"/>
      <c r="AL26" s="238">
        <v>2036</v>
      </c>
      <c r="AM26" s="242">
        <f t="shared" si="8"/>
        <v>5.9320089040409618E-3</v>
      </c>
      <c r="AN26" s="242">
        <f t="shared" si="6"/>
        <v>-1.6234824113301155E-3</v>
      </c>
      <c r="AO26" s="242">
        <f t="shared" si="6"/>
        <v>-3.474850066274742E-3</v>
      </c>
      <c r="AP26" s="242">
        <f t="shared" si="6"/>
        <v>2.2794887834401349E-3</v>
      </c>
      <c r="AQ26" s="242">
        <f t="shared" si="6"/>
        <v>1.9063820026296821E-2</v>
      </c>
      <c r="AR26" s="242">
        <f t="shared" si="6"/>
        <v>3.0792303576939024E-3</v>
      </c>
      <c r="AS26" s="242">
        <f t="shared" si="6"/>
        <v>-4.2567716189901078E-3</v>
      </c>
      <c r="AT26" s="242">
        <f t="shared" si="7"/>
        <v>5.2809501954684535E-3</v>
      </c>
      <c r="AU26" s="242">
        <f t="shared" si="7"/>
        <v>-4.8646094171409795E-3</v>
      </c>
      <c r="AV26" s="242">
        <f t="shared" si="7"/>
        <v>1.3888352850984201E-3</v>
      </c>
    </row>
    <row r="27" spans="2:48" s="235" customFormat="1" ht="14.4" x14ac:dyDescent="0.3">
      <c r="B27" s="238">
        <v>2038</v>
      </c>
      <c r="C27" s="239">
        <v>9343.2562859999998</v>
      </c>
      <c r="D27" s="239">
        <v>985.38414</v>
      </c>
      <c r="E27" s="239">
        <v>402.69648500000005</v>
      </c>
      <c r="F27" s="239">
        <v>4753.941358</v>
      </c>
      <c r="G27" s="239">
        <v>2427.8950580000005</v>
      </c>
      <c r="H27" s="239">
        <v>773.33924500000012</v>
      </c>
      <c r="I27" s="239">
        <v>1450.5633829999999</v>
      </c>
      <c r="J27" s="239">
        <v>1658.950705</v>
      </c>
      <c r="K27" s="239">
        <v>728.54789299999993</v>
      </c>
      <c r="L27" s="239">
        <v>362.92197499999997</v>
      </c>
      <c r="N27" s="532">
        <v>2038</v>
      </c>
      <c r="O27" s="533">
        <v>8910.3586890000024</v>
      </c>
      <c r="P27" s="533">
        <v>945.50793899999996</v>
      </c>
      <c r="Q27" s="533">
        <v>386.33411799999999</v>
      </c>
      <c r="R27" s="533">
        <v>4526.8045100000027</v>
      </c>
      <c r="S27" s="533">
        <v>2321.4320199999997</v>
      </c>
      <c r="T27" s="533">
        <v>730.28010200000017</v>
      </c>
      <c r="U27" s="533">
        <v>1395.488296</v>
      </c>
      <c r="V27" s="533">
        <v>1578.4781760000001</v>
      </c>
      <c r="W27" s="533">
        <v>700.69854300000009</v>
      </c>
      <c r="X27" s="533">
        <v>347.02505699999995</v>
      </c>
      <c r="Y27" s="243"/>
      <c r="Z27" s="238">
        <v>2037</v>
      </c>
      <c r="AA27" s="242">
        <f t="shared" si="9"/>
        <v>8.8683327548751568E-3</v>
      </c>
      <c r="AB27" s="242">
        <f t="shared" si="9"/>
        <v>9.8774924462775664E-4</v>
      </c>
      <c r="AC27" s="242">
        <f t="shared" si="9"/>
        <v>-6.0339810020851173E-4</v>
      </c>
      <c r="AD27" s="242">
        <f t="shared" si="9"/>
        <v>5.2371303533095877E-3</v>
      </c>
      <c r="AE27" s="242">
        <f t="shared" si="9"/>
        <v>2.169985883684835E-2</v>
      </c>
      <c r="AF27" s="242">
        <f t="shared" si="9"/>
        <v>6.59691413821857E-3</v>
      </c>
      <c r="AG27" s="242">
        <f t="shared" si="9"/>
        <v>-1.8986196382855863E-3</v>
      </c>
      <c r="AH27" s="242">
        <f t="shared" si="5"/>
        <v>8.0585243985736889E-3</v>
      </c>
      <c r="AI27" s="242">
        <f t="shared" si="5"/>
        <v>-2.318892576820828E-3</v>
      </c>
      <c r="AJ27" s="242">
        <f t="shared" si="5"/>
        <v>4.2029005213054848E-3</v>
      </c>
      <c r="AK27" s="243"/>
      <c r="AL27" s="238">
        <v>2037</v>
      </c>
      <c r="AM27" s="242">
        <f t="shared" si="8"/>
        <v>5.7791380690139808E-3</v>
      </c>
      <c r="AN27" s="242">
        <f t="shared" si="6"/>
        <v>-1.7214854330523234E-3</v>
      </c>
      <c r="AO27" s="242">
        <f t="shared" si="6"/>
        <v>-3.4692201148589625E-3</v>
      </c>
      <c r="AP27" s="242">
        <f t="shared" si="6"/>
        <v>2.0346644661583665E-3</v>
      </c>
      <c r="AQ27" s="242">
        <f t="shared" si="6"/>
        <v>1.8829712933366265E-2</v>
      </c>
      <c r="AR27" s="242">
        <f t="shared" si="6"/>
        <v>2.8534464113743299E-3</v>
      </c>
      <c r="AS27" s="242">
        <f t="shared" si="6"/>
        <v>-4.4911408795209511E-3</v>
      </c>
      <c r="AT27" s="242">
        <f t="shared" si="7"/>
        <v>4.9581609473603365E-3</v>
      </c>
      <c r="AU27" s="242">
        <f t="shared" si="7"/>
        <v>-4.9263151587622617E-3</v>
      </c>
      <c r="AV27" s="242">
        <f t="shared" si="7"/>
        <v>1.2548828316738278E-3</v>
      </c>
    </row>
    <row r="28" spans="2:48" s="235" customFormat="1" ht="14.4" x14ac:dyDescent="0.3">
      <c r="B28" s="238">
        <v>2039</v>
      </c>
      <c r="C28" s="239">
        <v>9424.6553920000006</v>
      </c>
      <c r="D28" s="239">
        <v>986.24072000000001</v>
      </c>
      <c r="E28" s="239">
        <v>402.46418200000011</v>
      </c>
      <c r="F28" s="239">
        <v>4777.679344000001</v>
      </c>
      <c r="G28" s="239">
        <v>2480.0029120000004</v>
      </c>
      <c r="H28" s="239">
        <v>778.26823400000012</v>
      </c>
      <c r="I28" s="239">
        <v>1447.4681839999998</v>
      </c>
      <c r="J28" s="239">
        <v>1671.754803</v>
      </c>
      <c r="K28" s="239">
        <v>726.80923499999994</v>
      </c>
      <c r="L28" s="239">
        <v>364.39100000000002</v>
      </c>
      <c r="N28" s="532">
        <v>2039</v>
      </c>
      <c r="O28" s="533">
        <v>8960.4352249999993</v>
      </c>
      <c r="P28" s="533">
        <v>943.77569200000005</v>
      </c>
      <c r="Q28" s="533">
        <v>384.98897099999999</v>
      </c>
      <c r="R28" s="533">
        <v>4534.8896580000001</v>
      </c>
      <c r="S28" s="533">
        <v>2364.5879950000003</v>
      </c>
      <c r="T28" s="533">
        <v>732.19290899999999</v>
      </c>
      <c r="U28" s="533">
        <v>1388.8702919999998</v>
      </c>
      <c r="V28" s="533">
        <v>1585.8093249999999</v>
      </c>
      <c r="W28" s="533">
        <v>697.19151900000008</v>
      </c>
      <c r="X28" s="533">
        <v>347.41184100000004</v>
      </c>
      <c r="Y28" s="243"/>
      <c r="Z28" s="238">
        <v>2038</v>
      </c>
      <c r="AA28" s="242">
        <f t="shared" si="9"/>
        <v>8.7120703433951341E-3</v>
      </c>
      <c r="AB28" s="242">
        <f t="shared" si="9"/>
        <v>8.6928535301979604E-4</v>
      </c>
      <c r="AC28" s="242">
        <f t="shared" si="9"/>
        <v>-5.7686870547167762E-4</v>
      </c>
      <c r="AD28" s="242">
        <f t="shared" si="9"/>
        <v>4.9933274755386671E-3</v>
      </c>
      <c r="AE28" s="242">
        <f t="shared" si="9"/>
        <v>2.1462152504616142E-2</v>
      </c>
      <c r="AF28" s="242">
        <f t="shared" si="9"/>
        <v>6.3736439497519629E-3</v>
      </c>
      <c r="AG28" s="242">
        <f t="shared" si="9"/>
        <v>-2.1337909368694531E-3</v>
      </c>
      <c r="AH28" s="242">
        <f t="shared" si="5"/>
        <v>7.7181907584168196E-3</v>
      </c>
      <c r="AI28" s="242">
        <f t="shared" si="5"/>
        <v>-2.3864704252188219E-3</v>
      </c>
      <c r="AJ28" s="242">
        <f t="shared" si="5"/>
        <v>4.0477708741666714E-3</v>
      </c>
      <c r="AK28" s="243"/>
      <c r="AL28" s="238">
        <v>2038</v>
      </c>
      <c r="AM28" s="242">
        <f t="shared" si="8"/>
        <v>5.6200359320907282E-3</v>
      </c>
      <c r="AN28" s="242">
        <f t="shared" si="6"/>
        <v>-1.8320808620940789E-3</v>
      </c>
      <c r="AO28" s="242">
        <f t="shared" si="6"/>
        <v>-3.4818229540886608E-3</v>
      </c>
      <c r="AP28" s="242">
        <f t="shared" si="6"/>
        <v>1.7860607813164401E-3</v>
      </c>
      <c r="AQ28" s="242">
        <f t="shared" si="6"/>
        <v>1.8590238537332049E-2</v>
      </c>
      <c r="AR28" s="242">
        <f t="shared" si="6"/>
        <v>2.6192785408793947E-3</v>
      </c>
      <c r="AS28" s="242">
        <f t="shared" si="6"/>
        <v>-4.7424288823989932E-3</v>
      </c>
      <c r="AT28" s="242">
        <f t="shared" si="7"/>
        <v>4.644441153173009E-3</v>
      </c>
      <c r="AU28" s="242">
        <f t="shared" si="7"/>
        <v>-5.0050396636831607E-3</v>
      </c>
      <c r="AV28" s="242">
        <f t="shared" si="7"/>
        <v>1.1145708132542461E-3</v>
      </c>
    </row>
    <row r="29" spans="2:48" s="235" customFormat="1" ht="14.4" x14ac:dyDescent="0.3">
      <c r="B29" s="238">
        <v>2040</v>
      </c>
      <c r="C29" s="239">
        <v>9505.4709420000017</v>
      </c>
      <c r="D29" s="239">
        <v>986.9873990000001</v>
      </c>
      <c r="E29" s="239">
        <v>402.24423500000012</v>
      </c>
      <c r="F29" s="239">
        <v>4800.4773560000003</v>
      </c>
      <c r="G29" s="239">
        <v>2532.6910700000008</v>
      </c>
      <c r="H29" s="239">
        <v>783.0708820000001</v>
      </c>
      <c r="I29" s="239">
        <v>1444.0442090000001</v>
      </c>
      <c r="J29" s="239">
        <v>1684.1497860000002</v>
      </c>
      <c r="K29" s="239">
        <v>725.02687200000003</v>
      </c>
      <c r="L29" s="239">
        <v>365.81414899999999</v>
      </c>
      <c r="N29" s="532">
        <v>2040</v>
      </c>
      <c r="O29" s="533">
        <v>9009.3263339999994</v>
      </c>
      <c r="P29" s="533">
        <v>941.93358500000011</v>
      </c>
      <c r="Q29" s="533">
        <v>383.63767400000006</v>
      </c>
      <c r="R29" s="533">
        <v>4541.8507349999982</v>
      </c>
      <c r="S29" s="533">
        <v>2407.9695030000007</v>
      </c>
      <c r="T29" s="533">
        <v>733.93483700000013</v>
      </c>
      <c r="U29" s="533">
        <v>1381.915254</v>
      </c>
      <c r="V29" s="533">
        <v>1592.6915200000001</v>
      </c>
      <c r="W29" s="533">
        <v>693.63763299999994</v>
      </c>
      <c r="X29" s="533">
        <v>347.74891600000001</v>
      </c>
      <c r="Y29" s="243"/>
      <c r="Z29" s="238">
        <v>2039</v>
      </c>
      <c r="AA29" s="242">
        <f t="shared" si="9"/>
        <v>8.5749076903756521E-3</v>
      </c>
      <c r="AB29" s="242">
        <f t="shared" si="9"/>
        <v>7.5709609718820525E-4</v>
      </c>
      <c r="AC29" s="242">
        <f t="shared" si="9"/>
        <v>-5.4650080637484038E-4</v>
      </c>
      <c r="AD29" s="242">
        <f t="shared" si="9"/>
        <v>4.7717752403433969E-3</v>
      </c>
      <c r="AE29" s="242">
        <f t="shared" si="9"/>
        <v>2.1245200054023316E-2</v>
      </c>
      <c r="AF29" s="242">
        <f t="shared" si="9"/>
        <v>6.1709418298061692E-3</v>
      </c>
      <c r="AG29" s="242">
        <f t="shared" si="9"/>
        <v>-2.3654924079489822E-3</v>
      </c>
      <c r="AH29" s="242">
        <f t="shared" si="5"/>
        <v>7.4143546516253905E-3</v>
      </c>
      <c r="AI29" s="242">
        <f t="shared" si="5"/>
        <v>-2.4523119880279433E-3</v>
      </c>
      <c r="AJ29" s="242">
        <f t="shared" si="5"/>
        <v>3.9055547475101379E-3</v>
      </c>
      <c r="AK29" s="243"/>
      <c r="AL29" s="238">
        <v>2039</v>
      </c>
      <c r="AM29" s="242">
        <f t="shared" si="8"/>
        <v>5.4563319495454692E-3</v>
      </c>
      <c r="AN29" s="242">
        <f t="shared" si="6"/>
        <v>-1.9518483211792041E-3</v>
      </c>
      <c r="AO29" s="242">
        <f t="shared" si="6"/>
        <v>-3.5099628867028801E-3</v>
      </c>
      <c r="AP29" s="242">
        <f t="shared" si="6"/>
        <v>1.5350047134483362E-3</v>
      </c>
      <c r="AQ29" s="242">
        <f t="shared" si="6"/>
        <v>1.8346328447802335E-2</v>
      </c>
      <c r="AR29" s="242">
        <f t="shared" si="6"/>
        <v>2.3790560910774178E-3</v>
      </c>
      <c r="AS29" s="242">
        <f t="shared" si="6"/>
        <v>-5.0076944118262069E-3</v>
      </c>
      <c r="AT29" s="242">
        <f t="shared" si="7"/>
        <v>4.3398628646606919E-3</v>
      </c>
      <c r="AU29" s="242">
        <f t="shared" si="7"/>
        <v>-5.0974314849635272E-3</v>
      </c>
      <c r="AV29" s="242">
        <f t="shared" si="7"/>
        <v>9.7024614656116524E-4</v>
      </c>
    </row>
    <row r="30" spans="2:48" s="235" customFormat="1" ht="14.4" x14ac:dyDescent="0.3">
      <c r="B30" s="238">
        <v>2041</v>
      </c>
      <c r="C30" s="239">
        <v>9585.7325920000039</v>
      </c>
      <c r="D30" s="239">
        <v>987.62604399999998</v>
      </c>
      <c r="E30" s="239">
        <v>402.03839600000015</v>
      </c>
      <c r="F30" s="239">
        <v>4822.356657000003</v>
      </c>
      <c r="G30" s="239">
        <v>2585.961315</v>
      </c>
      <c r="H30" s="239">
        <v>787.75018000000023</v>
      </c>
      <c r="I30" s="239">
        <v>1440.2998400000001</v>
      </c>
      <c r="J30" s="239">
        <v>1696.1421290000001</v>
      </c>
      <c r="K30" s="239">
        <v>723.20285799999999</v>
      </c>
      <c r="L30" s="239">
        <v>367.192026</v>
      </c>
      <c r="N30" s="532">
        <v>2041</v>
      </c>
      <c r="O30" s="533">
        <v>9057.0193210000034</v>
      </c>
      <c r="P30" s="533">
        <v>939.98142200000029</v>
      </c>
      <c r="Q30" s="533">
        <v>382.28069800000003</v>
      </c>
      <c r="R30" s="533">
        <v>4547.6921260000008</v>
      </c>
      <c r="S30" s="533">
        <v>2451.5588930000004</v>
      </c>
      <c r="T30" s="533">
        <v>735.50618200000054</v>
      </c>
      <c r="U30" s="533">
        <v>1374.6304689999999</v>
      </c>
      <c r="V30" s="533">
        <v>1599.1235279999999</v>
      </c>
      <c r="W30" s="533">
        <v>690.03727499999991</v>
      </c>
      <c r="X30" s="533">
        <v>348.03620699999999</v>
      </c>
      <c r="Y30" s="243"/>
      <c r="Z30" s="238">
        <v>2040</v>
      </c>
      <c r="AA30" s="242">
        <f t="shared" si="9"/>
        <v>8.4437320875250296E-3</v>
      </c>
      <c r="AB30" s="242">
        <f t="shared" si="9"/>
        <v>6.4706499864835968E-4</v>
      </c>
      <c r="AC30" s="242">
        <f t="shared" si="9"/>
        <v>-5.1172641417712044E-4</v>
      </c>
      <c r="AD30" s="242">
        <f t="shared" si="9"/>
        <v>4.5577344454414024E-3</v>
      </c>
      <c r="AE30" s="242">
        <f t="shared" si="9"/>
        <v>2.1033060696186382E-2</v>
      </c>
      <c r="AF30" s="242">
        <f t="shared" si="9"/>
        <v>5.9755739966335895E-3</v>
      </c>
      <c r="AG30" s="242">
        <f t="shared" si="9"/>
        <v>-2.5929739385146524E-3</v>
      </c>
      <c r="AH30" s="242">
        <f t="shared" si="5"/>
        <v>7.1207104615574205E-3</v>
      </c>
      <c r="AI30" s="242">
        <f t="shared" si="5"/>
        <v>-2.5157881320570334E-3</v>
      </c>
      <c r="AJ30" s="242">
        <f t="shared" si="5"/>
        <v>3.7666038991838236E-3</v>
      </c>
      <c r="AK30" s="243"/>
      <c r="AL30" s="238">
        <v>2040</v>
      </c>
      <c r="AM30" s="242">
        <f t="shared" si="8"/>
        <v>5.2937350953774429E-3</v>
      </c>
      <c r="AN30" s="242">
        <f t="shared" si="6"/>
        <v>-2.07250599308423E-3</v>
      </c>
      <c r="AO30" s="242">
        <f t="shared" si="6"/>
        <v>-3.5371291506684282E-3</v>
      </c>
      <c r="AP30" s="242">
        <f t="shared" si="6"/>
        <v>1.2861257097218676E-3</v>
      </c>
      <c r="AQ30" s="242">
        <f t="shared" si="6"/>
        <v>1.810213540731858E-2</v>
      </c>
      <c r="AR30" s="242">
        <f t="shared" si="6"/>
        <v>2.1409870751242259E-3</v>
      </c>
      <c r="AS30" s="242">
        <f t="shared" si="6"/>
        <v>-5.2715135598322702E-3</v>
      </c>
      <c r="AT30" s="242">
        <f t="shared" si="7"/>
        <v>4.0384518403160513E-3</v>
      </c>
      <c r="AU30" s="242">
        <f t="shared" si="7"/>
        <v>-5.1905459402892991E-3</v>
      </c>
      <c r="AV30" s="242">
        <f t="shared" si="7"/>
        <v>8.2614491888159322E-4</v>
      </c>
    </row>
    <row r="31" spans="2:48" s="235" customFormat="1" ht="14.4" x14ac:dyDescent="0.3">
      <c r="B31" s="238">
        <v>2042</v>
      </c>
      <c r="C31" s="239">
        <v>9665.4399830000038</v>
      </c>
      <c r="D31" s="239">
        <v>988.15736299999992</v>
      </c>
      <c r="E31" s="239">
        <v>401.84654000000006</v>
      </c>
      <c r="F31" s="239">
        <v>4843.328295000003</v>
      </c>
      <c r="G31" s="239">
        <v>2639.8010490000006</v>
      </c>
      <c r="H31" s="239">
        <v>792.30673599999989</v>
      </c>
      <c r="I31" s="239">
        <v>1436.2399129999999</v>
      </c>
      <c r="J31" s="239">
        <v>1707.742986</v>
      </c>
      <c r="K31" s="239">
        <v>721.33760800000005</v>
      </c>
      <c r="L31" s="239">
        <v>368.52466499999997</v>
      </c>
      <c r="N31" s="532">
        <v>2042</v>
      </c>
      <c r="O31" s="533">
        <v>9103.5145510000002</v>
      </c>
      <c r="P31" s="533">
        <v>937.92342599999995</v>
      </c>
      <c r="Q31" s="533">
        <v>380.91911199999998</v>
      </c>
      <c r="R31" s="533">
        <v>4552.4250899999997</v>
      </c>
      <c r="S31" s="533">
        <v>2495.3367479999993</v>
      </c>
      <c r="T31" s="533">
        <v>736.91017500000032</v>
      </c>
      <c r="U31" s="533">
        <v>1367.0249220000001</v>
      </c>
      <c r="V31" s="533">
        <v>1605.1093949999999</v>
      </c>
      <c r="W31" s="533">
        <v>686.3936040000001</v>
      </c>
      <c r="X31" s="533">
        <v>348.27489199999997</v>
      </c>
      <c r="Y31" s="243"/>
      <c r="Z31" s="238">
        <v>2041</v>
      </c>
      <c r="AA31" s="242">
        <f t="shared" si="9"/>
        <v>8.3152111990398708E-3</v>
      </c>
      <c r="AB31" s="242">
        <f t="shared" si="9"/>
        <v>5.3797588999175835E-4</v>
      </c>
      <c r="AC31" s="242">
        <f t="shared" si="9"/>
        <v>-4.772081520295553E-4</v>
      </c>
      <c r="AD31" s="242">
        <f t="shared" si="9"/>
        <v>4.3488359513098474E-3</v>
      </c>
      <c r="AE31" s="242">
        <f t="shared" si="9"/>
        <v>2.0820007510437406E-2</v>
      </c>
      <c r="AF31" s="242">
        <f t="shared" si="9"/>
        <v>5.7842652603388271E-3</v>
      </c>
      <c r="AG31" s="242">
        <f t="shared" si="9"/>
        <v>-2.8188068117818046E-3</v>
      </c>
      <c r="AH31" s="242">
        <f t="shared" si="5"/>
        <v>6.8395547764853052E-3</v>
      </c>
      <c r="AI31" s="242">
        <f t="shared" si="5"/>
        <v>-2.579151865022008E-3</v>
      </c>
      <c r="AJ31" s="242">
        <f t="shared" si="5"/>
        <v>3.6292699885589886E-3</v>
      </c>
      <c r="AK31" s="243"/>
      <c r="AL31" s="238">
        <v>2041</v>
      </c>
      <c r="AM31" s="242">
        <f t="shared" si="8"/>
        <v>5.133612765094905E-3</v>
      </c>
      <c r="AN31" s="242">
        <f t="shared" si="6"/>
        <v>-2.1894007177519974E-3</v>
      </c>
      <c r="AO31" s="242">
        <f t="shared" si="6"/>
        <v>-3.5617440459943003E-3</v>
      </c>
      <c r="AP31" s="242">
        <f t="shared" si="6"/>
        <v>1.0407397574122635E-3</v>
      </c>
      <c r="AQ31" s="242">
        <f t="shared" si="6"/>
        <v>1.785715004644553E-2</v>
      </c>
      <c r="AR31" s="242">
        <f t="shared" si="6"/>
        <v>1.9088799446688887E-3</v>
      </c>
      <c r="AS31" s="242">
        <f t="shared" si="6"/>
        <v>-5.5327938464310939E-3</v>
      </c>
      <c r="AT31" s="242">
        <f t="shared" si="7"/>
        <v>3.743217390770639E-3</v>
      </c>
      <c r="AU31" s="242">
        <f t="shared" si="7"/>
        <v>-5.2803973524471028E-3</v>
      </c>
      <c r="AV31" s="242">
        <f t="shared" si="7"/>
        <v>6.8580508349229137E-4</v>
      </c>
    </row>
    <row r="32" spans="2:48" s="235" customFormat="1" ht="14.4" x14ac:dyDescent="0.3">
      <c r="B32" s="238">
        <v>2043</v>
      </c>
      <c r="C32" s="239">
        <v>9744.6827399999984</v>
      </c>
      <c r="D32" s="239">
        <v>988.58511099999987</v>
      </c>
      <c r="E32" s="239">
        <v>401.66515299999998</v>
      </c>
      <c r="F32" s="239">
        <v>4863.4654759999994</v>
      </c>
      <c r="G32" s="239">
        <v>2694.2183339999997</v>
      </c>
      <c r="H32" s="239">
        <v>796.74866599999996</v>
      </c>
      <c r="I32" s="239">
        <v>1431.8637080000001</v>
      </c>
      <c r="J32" s="239">
        <v>1719.0164119999999</v>
      </c>
      <c r="K32" s="239">
        <v>719.42861899999991</v>
      </c>
      <c r="L32" s="239">
        <v>369.815406</v>
      </c>
      <c r="N32" s="532">
        <v>2043</v>
      </c>
      <c r="O32" s="533">
        <v>9148.7715270000008</v>
      </c>
      <c r="P32" s="533">
        <v>935.75919599999986</v>
      </c>
      <c r="Q32" s="533">
        <v>379.547281</v>
      </c>
      <c r="R32" s="533">
        <v>4556.0470810000006</v>
      </c>
      <c r="S32" s="533">
        <v>2539.2703589999996</v>
      </c>
      <c r="T32" s="533">
        <v>738.14760999999976</v>
      </c>
      <c r="U32" s="533">
        <v>1359.0862439999999</v>
      </c>
      <c r="V32" s="533">
        <v>1610.6699329999999</v>
      </c>
      <c r="W32" s="533">
        <v>682.70185099999992</v>
      </c>
      <c r="X32" s="533">
        <v>348.46613600000001</v>
      </c>
      <c r="Y32" s="243"/>
      <c r="Z32" s="238">
        <v>2042</v>
      </c>
      <c r="AA32" s="242">
        <f t="shared" si="9"/>
        <v>8.1985669705021327E-3</v>
      </c>
      <c r="AB32" s="242">
        <f t="shared" si="9"/>
        <v>4.3287437407876848E-4</v>
      </c>
      <c r="AC32" s="242">
        <f t="shared" si="9"/>
        <v>-4.5138375460464605E-4</v>
      </c>
      <c r="AD32" s="242">
        <f t="shared" si="9"/>
        <v>4.1577154744568898E-3</v>
      </c>
      <c r="AE32" s="242">
        <f t="shared" si="9"/>
        <v>2.0614161442436441E-2</v>
      </c>
      <c r="AF32" s="242">
        <f t="shared" si="9"/>
        <v>5.6063261842570914E-3</v>
      </c>
      <c r="AG32" s="242">
        <f t="shared" si="9"/>
        <v>-3.0469874568927959E-3</v>
      </c>
      <c r="AH32" s="242">
        <f t="shared" si="5"/>
        <v>6.601359860599054E-3</v>
      </c>
      <c r="AI32" s="242">
        <f t="shared" si="5"/>
        <v>-2.6464570526040466E-3</v>
      </c>
      <c r="AJ32" s="242">
        <f t="shared" si="5"/>
        <v>3.5024548492569025E-3</v>
      </c>
      <c r="AK32" s="243"/>
      <c r="AL32" s="238">
        <v>2042</v>
      </c>
      <c r="AM32" s="242">
        <f t="shared" si="8"/>
        <v>4.9713740497101967E-3</v>
      </c>
      <c r="AN32" s="242">
        <f t="shared" si="6"/>
        <v>-2.3074698211025266E-3</v>
      </c>
      <c r="AO32" s="242">
        <f t="shared" si="6"/>
        <v>-3.6013708863208366E-3</v>
      </c>
      <c r="AP32" s="242">
        <f t="shared" si="6"/>
        <v>7.956179241602611E-4</v>
      </c>
      <c r="AQ32" s="242">
        <f t="shared" si="6"/>
        <v>1.7606285418275896E-2</v>
      </c>
      <c r="AR32" s="242">
        <f t="shared" si="6"/>
        <v>1.6792209443972407E-3</v>
      </c>
      <c r="AS32" s="242">
        <f t="shared" si="6"/>
        <v>-5.8072664749854565E-3</v>
      </c>
      <c r="AT32" s="242">
        <f t="shared" si="7"/>
        <v>3.4642735363217729E-3</v>
      </c>
      <c r="AU32" s="242">
        <f t="shared" si="7"/>
        <v>-5.3784781479405738E-3</v>
      </c>
      <c r="AV32" s="242">
        <f t="shared" si="7"/>
        <v>5.4911796512750104E-4</v>
      </c>
    </row>
    <row r="33" spans="2:48" s="235" customFormat="1" ht="14.4" x14ac:dyDescent="0.3">
      <c r="B33" s="238">
        <v>2044</v>
      </c>
      <c r="C33" s="239">
        <v>9823.5640669999993</v>
      </c>
      <c r="D33" s="239">
        <v>988.91369400000008</v>
      </c>
      <c r="E33" s="239">
        <v>401.48900600000002</v>
      </c>
      <c r="F33" s="239">
        <v>4882.8550159999986</v>
      </c>
      <c r="G33" s="239">
        <v>2749.2210130000003</v>
      </c>
      <c r="H33" s="239">
        <v>801.08533800000043</v>
      </c>
      <c r="I33" s="239">
        <v>1427.167909</v>
      </c>
      <c r="J33" s="239">
        <v>1730.0426520000001</v>
      </c>
      <c r="K33" s="239">
        <v>717.47199699999999</v>
      </c>
      <c r="L33" s="239">
        <v>371.06841200000002</v>
      </c>
      <c r="N33" s="532">
        <v>2044</v>
      </c>
      <c r="O33" s="533">
        <v>9192.7445579999985</v>
      </c>
      <c r="P33" s="533">
        <v>933.48890600000004</v>
      </c>
      <c r="Q33" s="533">
        <v>378.15808500000003</v>
      </c>
      <c r="R33" s="533">
        <v>4558.5545109999975</v>
      </c>
      <c r="S33" s="533">
        <v>2583.3231950000013</v>
      </c>
      <c r="T33" s="533">
        <v>739.21986100000026</v>
      </c>
      <c r="U33" s="533">
        <v>1350.797194</v>
      </c>
      <c r="V33" s="533">
        <v>1615.832467</v>
      </c>
      <c r="W33" s="533">
        <v>678.95616999999993</v>
      </c>
      <c r="X33" s="533">
        <v>348.611581</v>
      </c>
      <c r="Y33" s="243"/>
      <c r="Z33" s="238">
        <v>2043</v>
      </c>
      <c r="AA33" s="242">
        <f t="shared" si="9"/>
        <v>8.0948070968189338E-3</v>
      </c>
      <c r="AB33" s="242">
        <f t="shared" si="9"/>
        <v>3.3237704709899069E-4</v>
      </c>
      <c r="AC33" s="242">
        <f t="shared" si="9"/>
        <v>-4.385419015922391E-4</v>
      </c>
      <c r="AD33" s="242">
        <f t="shared" si="9"/>
        <v>3.9867744709367846E-3</v>
      </c>
      <c r="AE33" s="242">
        <f t="shared" si="9"/>
        <v>2.0415078579893827E-2</v>
      </c>
      <c r="AF33" s="242">
        <f t="shared" si="9"/>
        <v>5.4429611056298604E-3</v>
      </c>
      <c r="AG33" s="242">
        <f t="shared" si="9"/>
        <v>-3.2795013755597463E-3</v>
      </c>
      <c r="AH33" s="242">
        <f t="shared" si="5"/>
        <v>6.4142726753676528E-3</v>
      </c>
      <c r="AI33" s="242">
        <f t="shared" si="5"/>
        <v>-2.7196888590832178E-3</v>
      </c>
      <c r="AJ33" s="242">
        <f t="shared" si="5"/>
        <v>3.3881930813883607E-3</v>
      </c>
      <c r="AK33" s="243"/>
      <c r="AL33" s="238">
        <v>2043</v>
      </c>
      <c r="AM33" s="242">
        <f t="shared" si="8"/>
        <v>4.8064410473279175E-3</v>
      </c>
      <c r="AN33" s="242">
        <f t="shared" si="6"/>
        <v>-2.4261476774200125E-3</v>
      </c>
      <c r="AO33" s="242">
        <f t="shared" si="6"/>
        <v>-3.6601395123680783E-3</v>
      </c>
      <c r="AP33" s="242">
        <f t="shared" si="6"/>
        <v>5.5035208271960552E-4</v>
      </c>
      <c r="AQ33" s="242">
        <f t="shared" si="6"/>
        <v>1.7348619789091812E-2</v>
      </c>
      <c r="AR33" s="242">
        <f t="shared" si="6"/>
        <v>1.452624089645845E-3</v>
      </c>
      <c r="AS33" s="242">
        <f t="shared" si="6"/>
        <v>-6.0989874900093995E-3</v>
      </c>
      <c r="AT33" s="242">
        <f t="shared" si="7"/>
        <v>3.2052091457275937E-3</v>
      </c>
      <c r="AU33" s="242">
        <f t="shared" si="7"/>
        <v>-5.4865546277828841E-3</v>
      </c>
      <c r="AV33" s="242">
        <f t="shared" si="7"/>
        <v>4.1738632530994392E-4</v>
      </c>
    </row>
    <row r="34" spans="2:48" s="235" customFormat="1" ht="14.4" x14ac:dyDescent="0.3">
      <c r="B34" s="238">
        <v>2045</v>
      </c>
      <c r="C34" s="239">
        <v>9902.1726330000001</v>
      </c>
      <c r="D34" s="239">
        <v>989.14769699999999</v>
      </c>
      <c r="E34" s="239">
        <v>401.31383700000004</v>
      </c>
      <c r="F34" s="239">
        <v>4901.5715820000005</v>
      </c>
      <c r="G34" s="239">
        <v>2804.815039999999</v>
      </c>
      <c r="H34" s="239">
        <v>805.32447700000023</v>
      </c>
      <c r="I34" s="239">
        <v>1422.1521729999999</v>
      </c>
      <c r="J34" s="239">
        <v>1740.8887050000001</v>
      </c>
      <c r="K34" s="239">
        <v>715.46470499999998</v>
      </c>
      <c r="L34" s="239">
        <v>372.287758</v>
      </c>
      <c r="N34" s="532">
        <v>2045</v>
      </c>
      <c r="O34" s="533">
        <v>9235.3939119999995</v>
      </c>
      <c r="P34" s="533">
        <v>931.11196299999995</v>
      </c>
      <c r="Q34" s="533">
        <v>376.74542399999996</v>
      </c>
      <c r="R34" s="533">
        <v>4559.9465679999994</v>
      </c>
      <c r="S34" s="533">
        <v>2627.4624039999999</v>
      </c>
      <c r="T34" s="533">
        <v>740.12755300000015</v>
      </c>
      <c r="U34" s="533">
        <v>1342.14635</v>
      </c>
      <c r="V34" s="533">
        <v>1620.619203</v>
      </c>
      <c r="W34" s="533">
        <v>675.15101900000002</v>
      </c>
      <c r="X34" s="533">
        <v>348.71257600000001</v>
      </c>
      <c r="Y34" s="243"/>
      <c r="Z34" s="238">
        <v>2044</v>
      </c>
      <c r="AA34" s="242">
        <f t="shared" si="9"/>
        <v>8.0020413633854291E-3</v>
      </c>
      <c r="AB34" s="242">
        <f t="shared" si="9"/>
        <v>2.3662631169906321E-4</v>
      </c>
      <c r="AC34" s="242">
        <f t="shared" si="9"/>
        <v>-4.3629837276287108E-4</v>
      </c>
      <c r="AD34" s="242">
        <f t="shared" si="9"/>
        <v>3.8331193407692777E-3</v>
      </c>
      <c r="AE34" s="242">
        <f t="shared" si="9"/>
        <v>2.0221737989458154E-2</v>
      </c>
      <c r="AF34" s="242">
        <f t="shared" si="9"/>
        <v>5.2917445856433751E-3</v>
      </c>
      <c r="AG34" s="242">
        <f t="shared" si="9"/>
        <v>-3.5144680372714721E-3</v>
      </c>
      <c r="AH34" s="242">
        <f t="shared" si="5"/>
        <v>6.2692402337373027E-3</v>
      </c>
      <c r="AI34" s="242">
        <f t="shared" si="5"/>
        <v>-2.7977287035496757E-3</v>
      </c>
      <c r="AJ34" s="242">
        <f t="shared" si="5"/>
        <v>3.2860409578597412E-3</v>
      </c>
      <c r="AK34" s="243"/>
      <c r="AL34" s="238">
        <v>2044</v>
      </c>
      <c r="AM34" s="242">
        <f t="shared" si="8"/>
        <v>4.639458186933453E-3</v>
      </c>
      <c r="AN34" s="242">
        <f t="shared" si="6"/>
        <v>-2.5463002128062748E-3</v>
      </c>
      <c r="AO34" s="242">
        <f t="shared" si="6"/>
        <v>-3.7356361163085297E-3</v>
      </c>
      <c r="AP34" s="242">
        <f t="shared" si="6"/>
        <v>3.0537245888861156E-4</v>
      </c>
      <c r="AQ34" s="242">
        <f t="shared" si="6"/>
        <v>1.7086212474470716E-2</v>
      </c>
      <c r="AR34" s="242">
        <f t="shared" si="6"/>
        <v>1.2279053200383145E-3</v>
      </c>
      <c r="AS34" s="242">
        <f t="shared" si="6"/>
        <v>-6.4042507923658051E-3</v>
      </c>
      <c r="AT34" s="242">
        <f t="shared" si="7"/>
        <v>2.9623962247071365E-3</v>
      </c>
      <c r="AU34" s="242">
        <f t="shared" si="7"/>
        <v>-5.6044133158108132E-3</v>
      </c>
      <c r="AV34" s="242">
        <f t="shared" si="7"/>
        <v>2.8970638241651451E-4</v>
      </c>
    </row>
    <row r="35" spans="2:48" s="235" customFormat="1" ht="14.4" x14ac:dyDescent="0.3">
      <c r="B35" s="238">
        <v>2046</v>
      </c>
      <c r="C35" s="239">
        <v>9980.5563679999996</v>
      </c>
      <c r="D35" s="239">
        <v>989.29106400000023</v>
      </c>
      <c r="E35" s="239">
        <v>401.13820500000008</v>
      </c>
      <c r="F35" s="239">
        <v>4919.6562169999997</v>
      </c>
      <c r="G35" s="239">
        <v>2861.0000380000006</v>
      </c>
      <c r="H35" s="239">
        <v>809.47084399999972</v>
      </c>
      <c r="I35" s="239">
        <v>1416.8238550000001</v>
      </c>
      <c r="J35" s="239">
        <v>1751.582091</v>
      </c>
      <c r="K35" s="239">
        <v>713.40665200000001</v>
      </c>
      <c r="L35" s="239">
        <v>373.47608000000002</v>
      </c>
      <c r="N35" s="532">
        <v>2046</v>
      </c>
      <c r="O35" s="533">
        <v>9276.6983010000004</v>
      </c>
      <c r="P35" s="533">
        <v>928.62861800000019</v>
      </c>
      <c r="Q35" s="533">
        <v>375.30650000000003</v>
      </c>
      <c r="R35" s="533">
        <v>4560.2294519999996</v>
      </c>
      <c r="S35" s="533">
        <v>2671.6622730000013</v>
      </c>
      <c r="T35" s="533">
        <v>740.87145799999973</v>
      </c>
      <c r="U35" s="533">
        <v>1333.1356540000002</v>
      </c>
      <c r="V35" s="533">
        <v>1625.0392730000001</v>
      </c>
      <c r="W35" s="533">
        <v>671.28419400000007</v>
      </c>
      <c r="X35" s="533">
        <v>348.770174</v>
      </c>
      <c r="Y35" s="243"/>
      <c r="Z35" s="238">
        <v>2045</v>
      </c>
      <c r="AA35" s="242">
        <f t="shared" si="9"/>
        <v>7.915811802631843E-3</v>
      </c>
      <c r="AB35" s="242">
        <f t="shared" si="9"/>
        <v>1.4493993205975123E-4</v>
      </c>
      <c r="AC35" s="242">
        <f t="shared" si="9"/>
        <v>-4.3764252265229142E-4</v>
      </c>
      <c r="AD35" s="242">
        <f t="shared" si="9"/>
        <v>3.6895584808781133E-3</v>
      </c>
      <c r="AE35" s="242">
        <f t="shared" si="9"/>
        <v>2.0031623190383905E-2</v>
      </c>
      <c r="AF35" s="242">
        <f t="shared" si="9"/>
        <v>5.1486911405518908E-3</v>
      </c>
      <c r="AG35" s="242">
        <f t="shared" si="9"/>
        <v>-3.7466581292491924E-3</v>
      </c>
      <c r="AH35" s="242">
        <f t="shared" si="5"/>
        <v>6.1424868627658301E-3</v>
      </c>
      <c r="AI35" s="242">
        <f t="shared" si="5"/>
        <v>-2.8765262431778137E-3</v>
      </c>
      <c r="AJ35" s="242">
        <f t="shared" si="5"/>
        <v>3.1919448718483725E-3</v>
      </c>
      <c r="AK35" s="243"/>
      <c r="AL35" s="238">
        <v>2045</v>
      </c>
      <c r="AM35" s="242">
        <f t="shared" si="8"/>
        <v>4.472401436643866E-3</v>
      </c>
      <c r="AN35" s="242">
        <f t="shared" si="6"/>
        <v>-2.6670745288230806E-3</v>
      </c>
      <c r="AO35" s="242">
        <f t="shared" si="6"/>
        <v>-3.8193536227262292E-3</v>
      </c>
      <c r="AP35" s="242">
        <f t="shared" si="6"/>
        <v>6.2036691829980823E-5</v>
      </c>
      <c r="AQ35" s="242">
        <f t="shared" si="6"/>
        <v>1.6822265061799683E-2</v>
      </c>
      <c r="AR35" s="242">
        <f t="shared" si="6"/>
        <v>1.0051037783747874E-3</v>
      </c>
      <c r="AS35" s="242">
        <f t="shared" si="6"/>
        <v>-6.7136463918408195E-3</v>
      </c>
      <c r="AT35" s="242">
        <f t="shared" si="7"/>
        <v>2.7273957952725328E-3</v>
      </c>
      <c r="AU35" s="242">
        <f t="shared" si="7"/>
        <v>-5.7273482394017521E-3</v>
      </c>
      <c r="AV35" s="242">
        <f t="shared" si="7"/>
        <v>1.6517328012851618E-4</v>
      </c>
    </row>
    <row r="36" spans="2:48" s="235" customFormat="1" ht="14.4" x14ac:dyDescent="0.3">
      <c r="B36" s="238">
        <v>2047</v>
      </c>
      <c r="C36" s="239">
        <v>10058.753864000002</v>
      </c>
      <c r="D36" s="239">
        <v>989.34854900000005</v>
      </c>
      <c r="E36" s="239">
        <v>400.96150200000005</v>
      </c>
      <c r="F36" s="239">
        <v>4937.141169999999</v>
      </c>
      <c r="G36" s="239">
        <v>2917.7756200000017</v>
      </c>
      <c r="H36" s="239">
        <v>813.52702300000021</v>
      </c>
      <c r="I36" s="239">
        <v>1411.1928519999999</v>
      </c>
      <c r="J36" s="239">
        <v>1762.140455</v>
      </c>
      <c r="K36" s="239">
        <v>711.29823699999997</v>
      </c>
      <c r="L36" s="239">
        <v>374.63644199999999</v>
      </c>
      <c r="N36" s="532">
        <v>2047</v>
      </c>
      <c r="O36" s="533">
        <v>9316.6416079999981</v>
      </c>
      <c r="P36" s="533">
        <v>926.03753800000004</v>
      </c>
      <c r="Q36" s="533">
        <v>373.83943399999998</v>
      </c>
      <c r="R36" s="533">
        <v>4559.4112009999981</v>
      </c>
      <c r="S36" s="533">
        <v>2715.9029000000005</v>
      </c>
      <c r="T36" s="533">
        <v>741.45053499999995</v>
      </c>
      <c r="U36" s="533">
        <v>1323.773254</v>
      </c>
      <c r="V36" s="533">
        <v>1629.0961259999999</v>
      </c>
      <c r="W36" s="533">
        <v>667.35284100000001</v>
      </c>
      <c r="X36" s="533">
        <v>348.78478999999999</v>
      </c>
      <c r="Y36" s="243"/>
      <c r="Z36" s="238">
        <v>2046</v>
      </c>
      <c r="AA36" s="242">
        <f t="shared" si="9"/>
        <v>7.834983653889474E-3</v>
      </c>
      <c r="AB36" s="242">
        <f t="shared" si="9"/>
        <v>5.8107267003288156E-5</v>
      </c>
      <c r="AC36" s="242">
        <f t="shared" si="9"/>
        <v>-4.4050404024725538E-4</v>
      </c>
      <c r="AD36" s="242">
        <f t="shared" si="9"/>
        <v>3.5541005771052687E-3</v>
      </c>
      <c r="AE36" s="242">
        <f t="shared" si="9"/>
        <v>1.9844663140826252E-2</v>
      </c>
      <c r="AF36" s="242">
        <f t="shared" si="9"/>
        <v>5.0109019121144516E-3</v>
      </c>
      <c r="AG36" s="242">
        <f t="shared" si="9"/>
        <v>-3.9743846633639515E-3</v>
      </c>
      <c r="AH36" s="242">
        <f t="shared" si="5"/>
        <v>6.0279013208978868E-3</v>
      </c>
      <c r="AI36" s="242">
        <f t="shared" si="5"/>
        <v>-2.9554181953437074E-3</v>
      </c>
      <c r="AJ36" s="242">
        <f t="shared" si="5"/>
        <v>3.1069245452077241E-3</v>
      </c>
      <c r="AK36" s="243"/>
      <c r="AL36" s="238">
        <v>2046</v>
      </c>
      <c r="AM36" s="242">
        <f t="shared" si="8"/>
        <v>4.3057676022181255E-3</v>
      </c>
      <c r="AN36" s="242">
        <f t="shared" si="6"/>
        <v>-2.7902220002443932E-3</v>
      </c>
      <c r="AO36" s="242">
        <f t="shared" si="6"/>
        <v>-3.9089810594808384E-3</v>
      </c>
      <c r="AP36" s="242">
        <f t="shared" si="6"/>
        <v>-1.7943198003833911E-4</v>
      </c>
      <c r="AQ36" s="242">
        <f t="shared" si="6"/>
        <v>1.6559213882345075E-2</v>
      </c>
      <c r="AR36" s="242">
        <f t="shared" si="6"/>
        <v>7.8161601955006269E-4</v>
      </c>
      <c r="AS36" s="242">
        <f t="shared" si="6"/>
        <v>-7.0228412029254795E-3</v>
      </c>
      <c r="AT36" s="242">
        <f t="shared" si="7"/>
        <v>2.4964645885206362E-3</v>
      </c>
      <c r="AU36" s="242">
        <f t="shared" si="7"/>
        <v>-5.856465912856065E-3</v>
      </c>
      <c r="AV36" s="242">
        <f t="shared" si="7"/>
        <v>4.1907253227420549E-5</v>
      </c>
    </row>
    <row r="37" spans="2:48" s="235" customFormat="1" ht="14.4" x14ac:dyDescent="0.3">
      <c r="B37" s="238">
        <v>2048</v>
      </c>
      <c r="C37" s="239">
        <v>10136.830388999999</v>
      </c>
      <c r="D37" s="239">
        <v>989.32674200000019</v>
      </c>
      <c r="E37" s="239">
        <v>400.78046699999999</v>
      </c>
      <c r="F37" s="239">
        <v>4954.0807700000005</v>
      </c>
      <c r="G37" s="239">
        <v>2975.1461119999985</v>
      </c>
      <c r="H37" s="239">
        <v>817.4962979999998</v>
      </c>
      <c r="I37" s="239">
        <v>1405.2650510000001</v>
      </c>
      <c r="J37" s="239">
        <v>1772.607567</v>
      </c>
      <c r="K37" s="239">
        <v>709.13725600000009</v>
      </c>
      <c r="L37" s="239">
        <v>375.773909</v>
      </c>
      <c r="N37" s="532">
        <v>2048</v>
      </c>
      <c r="O37" s="533">
        <v>9355.196810999998</v>
      </c>
      <c r="P37" s="533">
        <v>923.33446300000014</v>
      </c>
      <c r="Q37" s="533">
        <v>372.33985200000001</v>
      </c>
      <c r="R37" s="533">
        <v>4557.4959159999989</v>
      </c>
      <c r="S37" s="533">
        <v>2760.1638330000005</v>
      </c>
      <c r="T37" s="533">
        <v>741.86274700000013</v>
      </c>
      <c r="U37" s="533">
        <v>1314.0624439999999</v>
      </c>
      <c r="V37" s="533">
        <v>1632.7991549999999</v>
      </c>
      <c r="W37" s="533">
        <v>663.34980200000007</v>
      </c>
      <c r="X37" s="533">
        <v>348.75636400000002</v>
      </c>
      <c r="Y37" s="243"/>
      <c r="Z37" s="238">
        <v>2047</v>
      </c>
      <c r="AA37" s="242">
        <f t="shared" si="9"/>
        <v>7.7620474718474277E-3</v>
      </c>
      <c r="AB37" s="242">
        <f t="shared" si="9"/>
        <v>-2.2041776906526153E-5</v>
      </c>
      <c r="AC37" s="242">
        <f t="shared" si="9"/>
        <v>-4.5150219933101036E-4</v>
      </c>
      <c r="AD37" s="242">
        <f t="shared" si="9"/>
        <v>3.4310544132165302E-3</v>
      </c>
      <c r="AE37" s="242">
        <f t="shared" si="9"/>
        <v>1.9662407077072223E-2</v>
      </c>
      <c r="AF37" s="242">
        <f t="shared" si="9"/>
        <v>4.8790942252444182E-3</v>
      </c>
      <c r="AG37" s="242">
        <f t="shared" si="9"/>
        <v>-4.2005605340182219E-3</v>
      </c>
      <c r="AH37" s="242">
        <f t="shared" si="5"/>
        <v>5.9399986932369949E-3</v>
      </c>
      <c r="AI37" s="242">
        <f t="shared" si="5"/>
        <v>-3.0380800732954425E-3</v>
      </c>
      <c r="AJ37" s="242">
        <f t="shared" si="5"/>
        <v>3.0361888820202259E-3</v>
      </c>
      <c r="AK37" s="243"/>
      <c r="AL37" s="238">
        <v>2047</v>
      </c>
      <c r="AM37" s="242">
        <f t="shared" si="8"/>
        <v>4.138315567156021E-3</v>
      </c>
      <c r="AN37" s="242">
        <f t="shared" si="6"/>
        <v>-2.918969144423494E-3</v>
      </c>
      <c r="AO37" s="242">
        <f t="shared" si="6"/>
        <v>-4.0112996747153629E-3</v>
      </c>
      <c r="AP37" s="242">
        <f t="shared" si="6"/>
        <v>-4.2007288124814413E-4</v>
      </c>
      <c r="AQ37" s="242">
        <f t="shared" si="6"/>
        <v>1.6296949717900449E-2</v>
      </c>
      <c r="AR37" s="242">
        <f t="shared" si="6"/>
        <v>5.5595347301243964E-4</v>
      </c>
      <c r="AS37" s="242">
        <f t="shared" si="6"/>
        <v>-7.3357049409007308E-3</v>
      </c>
      <c r="AT37" s="242">
        <f t="shared" si="7"/>
        <v>2.2730573972281455E-3</v>
      </c>
      <c r="AU37" s="242">
        <f t="shared" si="7"/>
        <v>-5.9983845936754532E-3</v>
      </c>
      <c r="AV37" s="242">
        <f t="shared" si="7"/>
        <v>-8.150011357997476E-5</v>
      </c>
    </row>
    <row r="38" spans="2:48" s="235" customFormat="1" ht="14.4" x14ac:dyDescent="0.3">
      <c r="B38" s="238">
        <v>2049</v>
      </c>
      <c r="C38" s="239">
        <v>10214.852786000003</v>
      </c>
      <c r="D38" s="239">
        <v>989.23338299999989</v>
      </c>
      <c r="E38" s="239">
        <v>400.59160500000002</v>
      </c>
      <c r="F38" s="239">
        <v>4970.5301750000017</v>
      </c>
      <c r="G38" s="239">
        <v>3033.1166359999997</v>
      </c>
      <c r="H38" s="239">
        <v>821.38098700000012</v>
      </c>
      <c r="I38" s="239">
        <v>1399.0466780000002</v>
      </c>
      <c r="J38" s="239">
        <v>1783.0285959999999</v>
      </c>
      <c r="K38" s="239">
        <v>706.92129299999999</v>
      </c>
      <c r="L38" s="239">
        <v>376.894226</v>
      </c>
      <c r="N38" s="532">
        <v>2049</v>
      </c>
      <c r="O38" s="533">
        <v>9392.3375659999983</v>
      </c>
      <c r="P38" s="533">
        <v>920.514096</v>
      </c>
      <c r="Q38" s="533">
        <v>370.80306999999993</v>
      </c>
      <c r="R38" s="533">
        <v>4554.4884499999998</v>
      </c>
      <c r="S38" s="533">
        <v>2804.4271169999997</v>
      </c>
      <c r="T38" s="533">
        <v>742.10483299999999</v>
      </c>
      <c r="U38" s="533">
        <v>1304.0083689999999</v>
      </c>
      <c r="V38" s="533">
        <v>1636.156868</v>
      </c>
      <c r="W38" s="533">
        <v>659.26664900000003</v>
      </c>
      <c r="X38" s="533">
        <v>348.684594</v>
      </c>
      <c r="Y38" s="243"/>
      <c r="Z38" s="238">
        <v>2048</v>
      </c>
      <c r="AA38" s="242">
        <f t="shared" si="9"/>
        <v>7.6969224112371885E-3</v>
      </c>
      <c r="AB38" s="242">
        <f t="shared" si="9"/>
        <v>-9.4366194743278291E-5</v>
      </c>
      <c r="AC38" s="242">
        <f t="shared" si="9"/>
        <v>-4.7123554052840575E-4</v>
      </c>
      <c r="AD38" s="242">
        <f t="shared" si="9"/>
        <v>3.3203748109260651E-3</v>
      </c>
      <c r="AE38" s="242">
        <f t="shared" si="9"/>
        <v>1.9484933451228505E-2</v>
      </c>
      <c r="AF38" s="242">
        <f t="shared" si="9"/>
        <v>4.7519346687002638E-3</v>
      </c>
      <c r="AG38" s="242">
        <f t="shared" si="9"/>
        <v>-4.4250534769756603E-3</v>
      </c>
      <c r="AH38" s="242">
        <f t="shared" si="5"/>
        <v>5.8789261616639943E-3</v>
      </c>
      <c r="AI38" s="242">
        <f t="shared" si="5"/>
        <v>-3.1248717808165776E-3</v>
      </c>
      <c r="AJ38" s="242">
        <f t="shared" si="5"/>
        <v>2.9813591980916375E-3</v>
      </c>
      <c r="AK38" s="243"/>
      <c r="AL38" s="238">
        <v>2048</v>
      </c>
      <c r="AM38" s="242">
        <f t="shared" si="8"/>
        <v>3.9700666645868564E-3</v>
      </c>
      <c r="AN38" s="242">
        <f t="shared" si="6"/>
        <v>-3.054545360341593E-3</v>
      </c>
      <c r="AO38" s="242">
        <f t="shared" si="6"/>
        <v>-4.1273637289840071E-3</v>
      </c>
      <c r="AP38" s="242">
        <f t="shared" si="6"/>
        <v>-6.5989439276090253E-4</v>
      </c>
      <c r="AQ38" s="242">
        <f t="shared" si="6"/>
        <v>1.6036469817767948E-2</v>
      </c>
      <c r="AR38" s="242">
        <f t="shared" si="6"/>
        <v>3.2632181758529295E-4</v>
      </c>
      <c r="AS38" s="242">
        <f t="shared" si="6"/>
        <v>-7.6511394461555833E-3</v>
      </c>
      <c r="AT38" s="242">
        <f t="shared" si="7"/>
        <v>2.056415199455504E-3</v>
      </c>
      <c r="AU38" s="242">
        <f t="shared" si="7"/>
        <v>-6.1553542153616834E-3</v>
      </c>
      <c r="AV38" s="242">
        <f t="shared" si="7"/>
        <v>-2.0578835946349924E-4</v>
      </c>
    </row>
    <row r="39" spans="2:48" s="235" customFormat="1" ht="14.4" x14ac:dyDescent="0.3">
      <c r="B39" s="238">
        <v>2050</v>
      </c>
      <c r="C39" s="239">
        <v>10292.871250000002</v>
      </c>
      <c r="D39" s="239">
        <v>989.07534499999963</v>
      </c>
      <c r="E39" s="239">
        <v>400.391953</v>
      </c>
      <c r="F39" s="239">
        <v>4986.5334860000012</v>
      </c>
      <c r="G39" s="239">
        <v>3091.687257</v>
      </c>
      <c r="H39" s="239">
        <v>825.18320900000015</v>
      </c>
      <c r="I39" s="239">
        <v>1392.5464420000001</v>
      </c>
      <c r="J39" s="239">
        <v>1793.436416</v>
      </c>
      <c r="K39" s="239">
        <v>704.64864</v>
      </c>
      <c r="L39" s="239">
        <v>378.00245699999999</v>
      </c>
      <c r="N39" s="532">
        <v>2050</v>
      </c>
      <c r="O39" s="533">
        <v>9428.0431070000031</v>
      </c>
      <c r="P39" s="533">
        <v>917.57280399999979</v>
      </c>
      <c r="Q39" s="533">
        <v>369.22531399999991</v>
      </c>
      <c r="R39" s="533">
        <v>4550.3970810000019</v>
      </c>
      <c r="S39" s="533">
        <v>2848.6732570000017</v>
      </c>
      <c r="T39" s="533">
        <v>742.17465100000015</v>
      </c>
      <c r="U39" s="533">
        <v>1293.6190689999999</v>
      </c>
      <c r="V39" s="533">
        <v>1639.1760360000001</v>
      </c>
      <c r="W39" s="533">
        <v>655.09696800000006</v>
      </c>
      <c r="X39" s="533">
        <v>348.56965700000001</v>
      </c>
      <c r="Y39" s="243"/>
      <c r="Z39" s="238">
        <v>2049</v>
      </c>
      <c r="AA39" s="242">
        <f t="shared" si="9"/>
        <v>7.6377472719848976E-3</v>
      </c>
      <c r="AB39" s="242">
        <f t="shared" si="9"/>
        <v>-1.5975805377795323E-4</v>
      </c>
      <c r="AC39" s="242">
        <f t="shared" si="9"/>
        <v>-4.9839287071433913E-4</v>
      </c>
      <c r="AD39" s="242">
        <f t="shared" si="9"/>
        <v>3.2196386374416246E-3</v>
      </c>
      <c r="AE39" s="242">
        <f t="shared" si="9"/>
        <v>1.9310375441823367E-2</v>
      </c>
      <c r="AF39" s="242">
        <f t="shared" si="9"/>
        <v>4.6290601562220335E-3</v>
      </c>
      <c r="AG39" s="242">
        <f t="shared" si="9"/>
        <v>-4.6461895104832843E-3</v>
      </c>
      <c r="AH39" s="242">
        <f t="shared" si="5"/>
        <v>5.837158205622031E-3</v>
      </c>
      <c r="AI39" s="242">
        <f t="shared" si="5"/>
        <v>-3.2148600169552271E-3</v>
      </c>
      <c r="AJ39" s="242">
        <f t="shared" si="5"/>
        <v>2.9404297639730606E-3</v>
      </c>
      <c r="AK39" s="243"/>
      <c r="AL39" s="238">
        <v>2049</v>
      </c>
      <c r="AM39" s="242">
        <f t="shared" si="8"/>
        <v>3.8015606603895801E-3</v>
      </c>
      <c r="AN39" s="242">
        <f t="shared" si="6"/>
        <v>-3.1952710043021471E-3</v>
      </c>
      <c r="AO39" s="242">
        <f t="shared" si="6"/>
        <v>-4.2549701651607751E-3</v>
      </c>
      <c r="AP39" s="242">
        <f t="shared" si="6"/>
        <v>-8.9831581414987231E-4</v>
      </c>
      <c r="AQ39" s="242">
        <f t="shared" si="6"/>
        <v>1.5777247243042553E-2</v>
      </c>
      <c r="AR39" s="242">
        <f t="shared" si="6"/>
        <v>9.4081047441673876E-5</v>
      </c>
      <c r="AS39" s="242">
        <f t="shared" si="6"/>
        <v>-7.9672034681550798E-3</v>
      </c>
      <c r="AT39" s="242">
        <f t="shared" si="7"/>
        <v>1.845280277856607E-3</v>
      </c>
      <c r="AU39" s="242">
        <f t="shared" si="7"/>
        <v>-6.3247261276217969E-3</v>
      </c>
      <c r="AV39" s="242">
        <f t="shared" si="7"/>
        <v>-3.2963027899075354E-4</v>
      </c>
    </row>
    <row r="40" spans="2:48" s="235" customFormat="1" ht="14.4" x14ac:dyDescent="0.3">
      <c r="B40" s="238">
        <v>2051</v>
      </c>
      <c r="C40" s="239">
        <v>10370.921323</v>
      </c>
      <c r="D40" s="239">
        <v>988.858338</v>
      </c>
      <c r="E40" s="239">
        <v>400.18014199999999</v>
      </c>
      <c r="F40" s="239">
        <v>5002.123943999999</v>
      </c>
      <c r="G40" s="239">
        <v>3150.853939000001</v>
      </c>
      <c r="H40" s="239">
        <v>828.9049600000003</v>
      </c>
      <c r="I40" s="239">
        <v>1385.7750689999998</v>
      </c>
      <c r="J40" s="239">
        <v>1803.850081</v>
      </c>
      <c r="K40" s="239">
        <v>702.32040099999995</v>
      </c>
      <c r="L40" s="239">
        <v>379.10150400000003</v>
      </c>
      <c r="N40" s="532">
        <v>2051</v>
      </c>
      <c r="O40" s="533">
        <v>9462.3073290000011</v>
      </c>
      <c r="P40" s="533">
        <v>914.51170799999989</v>
      </c>
      <c r="Q40" s="533">
        <v>367.60457200000002</v>
      </c>
      <c r="R40" s="533">
        <v>4545.2362089999988</v>
      </c>
      <c r="S40" s="533">
        <v>2892.8825650000008</v>
      </c>
      <c r="T40" s="533">
        <v>742.07227500000022</v>
      </c>
      <c r="U40" s="533">
        <v>1282.903748</v>
      </c>
      <c r="V40" s="533">
        <v>1641.8634240000001</v>
      </c>
      <c r="W40" s="533">
        <v>650.83950300000004</v>
      </c>
      <c r="X40" s="533">
        <v>348.41242499999998</v>
      </c>
      <c r="Y40" s="243"/>
      <c r="Z40" s="238">
        <v>2050</v>
      </c>
      <c r="AA40" s="242">
        <f t="shared" si="9"/>
        <v>7.5829252211814567E-3</v>
      </c>
      <c r="AB40" s="242">
        <f t="shared" si="9"/>
        <v>-2.1940391204436087E-4</v>
      </c>
      <c r="AC40" s="242">
        <f t="shared" si="9"/>
        <v>-5.2900913320805807E-4</v>
      </c>
      <c r="AD40" s="242">
        <f t="shared" si="9"/>
        <v>3.126512244181057E-3</v>
      </c>
      <c r="AE40" s="242">
        <f t="shared" si="9"/>
        <v>1.9137343813168534E-2</v>
      </c>
      <c r="AF40" s="242">
        <f t="shared" si="9"/>
        <v>4.5102117437779239E-3</v>
      </c>
      <c r="AG40" s="242">
        <f t="shared" si="9"/>
        <v>-4.8625832473314862E-3</v>
      </c>
      <c r="AH40" s="242">
        <f t="shared" si="5"/>
        <v>5.8065426279378263E-3</v>
      </c>
      <c r="AI40" s="242">
        <f t="shared" si="5"/>
        <v>-3.3041133805353732E-3</v>
      </c>
      <c r="AJ40" s="242">
        <f t="shared" si="5"/>
        <v>2.9075128471983489E-3</v>
      </c>
      <c r="AK40" s="243"/>
      <c r="AL40" s="238">
        <v>2050</v>
      </c>
      <c r="AM40" s="242">
        <f t="shared" si="8"/>
        <v>3.6342877955827277E-3</v>
      </c>
      <c r="AN40" s="242">
        <f t="shared" si="6"/>
        <v>-3.3360796948815274E-3</v>
      </c>
      <c r="AO40" s="242">
        <f t="shared" si="6"/>
        <v>-4.3895744374663698E-3</v>
      </c>
      <c r="AP40" s="242">
        <f t="shared" si="6"/>
        <v>-1.1341586037737501E-3</v>
      </c>
      <c r="AQ40" s="242">
        <f t="shared" si="6"/>
        <v>1.5519262481705893E-2</v>
      </c>
      <c r="AR40" s="242">
        <f t="shared" si="6"/>
        <v>-1.3794057754734014E-4</v>
      </c>
      <c r="AS40" s="242">
        <f t="shared" si="6"/>
        <v>-8.2832120032701097E-3</v>
      </c>
      <c r="AT40" s="242">
        <f t="shared" si="7"/>
        <v>1.6394749197029229E-3</v>
      </c>
      <c r="AU40" s="242">
        <f t="shared" si="7"/>
        <v>-6.4989844373696207E-3</v>
      </c>
      <c r="AV40" s="242">
        <f t="shared" si="7"/>
        <v>-4.5107770238309009E-4</v>
      </c>
    </row>
    <row r="41" spans="2:48" s="235" customFormat="1" ht="14.4" x14ac:dyDescent="0.3">
      <c r="B41" s="238">
        <v>2052</v>
      </c>
      <c r="C41" s="239">
        <v>10449.011181999997</v>
      </c>
      <c r="D41" s="239">
        <v>988.58718599999975</v>
      </c>
      <c r="E41" s="239">
        <v>399.95514500000002</v>
      </c>
      <c r="F41" s="239">
        <v>5017.3169009999974</v>
      </c>
      <c r="G41" s="239">
        <v>3210.6042060000004</v>
      </c>
      <c r="H41" s="239">
        <v>832.54774400000008</v>
      </c>
      <c r="I41" s="239">
        <v>1378.7473829999999</v>
      </c>
      <c r="J41" s="239">
        <v>1814.2696429999999</v>
      </c>
      <c r="K41" s="239">
        <v>699.93781100000001</v>
      </c>
      <c r="L41" s="239">
        <v>380.19397100000003</v>
      </c>
      <c r="N41" s="532">
        <v>2052</v>
      </c>
      <c r="O41" s="533">
        <v>9495.1278019999991</v>
      </c>
      <c r="P41" s="533">
        <v>911.33300999999994</v>
      </c>
      <c r="Q41" s="533">
        <v>365.93963899999994</v>
      </c>
      <c r="R41" s="533">
        <v>4539.024015</v>
      </c>
      <c r="S41" s="533">
        <v>2937.0323080000003</v>
      </c>
      <c r="T41" s="533">
        <v>741.79883000000018</v>
      </c>
      <c r="U41" s="533">
        <v>1271.8767560000001</v>
      </c>
      <c r="V41" s="533">
        <v>1644.2222160000001</v>
      </c>
      <c r="W41" s="533">
        <v>646.49447699999996</v>
      </c>
      <c r="X41" s="533">
        <v>348.21458100000001</v>
      </c>
      <c r="Y41" s="243"/>
      <c r="Z41" s="238">
        <v>2051</v>
      </c>
      <c r="AA41" s="242">
        <f t="shared" si="9"/>
        <v>7.5296935120714023E-3</v>
      </c>
      <c r="AB41" s="242">
        <f t="shared" si="9"/>
        <v>-2.742071230836469E-4</v>
      </c>
      <c r="AC41" s="242">
        <f t="shared" si="9"/>
        <v>-5.6223929272325934E-4</v>
      </c>
      <c r="AD41" s="242">
        <f t="shared" si="9"/>
        <v>3.0373011884725883E-3</v>
      </c>
      <c r="AE41" s="242">
        <f t="shared" si="9"/>
        <v>1.8963197963712219E-2</v>
      </c>
      <c r="AF41" s="242">
        <f t="shared" si="9"/>
        <v>4.3946944170774145E-3</v>
      </c>
      <c r="AG41" s="242">
        <f t="shared" si="9"/>
        <v>-5.0713035305731168E-3</v>
      </c>
      <c r="AH41" s="242">
        <f t="shared" si="5"/>
        <v>5.7762904521552723E-3</v>
      </c>
      <c r="AI41" s="242">
        <f t="shared" si="5"/>
        <v>-3.3924544931451259E-3</v>
      </c>
      <c r="AJ41" s="242">
        <f t="shared" si="5"/>
        <v>2.8817268949690032E-3</v>
      </c>
      <c r="AK41" s="243"/>
      <c r="AL41" s="238">
        <v>2051</v>
      </c>
      <c r="AM41" s="242">
        <f t="shared" si="8"/>
        <v>3.4685486170386829E-3</v>
      </c>
      <c r="AN41" s="242">
        <f t="shared" si="6"/>
        <v>-3.475841776757155E-3</v>
      </c>
      <c r="AO41" s="242">
        <f t="shared" si="6"/>
        <v>-4.5291411663946225E-3</v>
      </c>
      <c r="AP41" s="242">
        <f t="shared" si="6"/>
        <v>-1.3667483304163784E-3</v>
      </c>
      <c r="AQ41" s="242">
        <f t="shared" si="6"/>
        <v>1.5261505438952886E-2</v>
      </c>
      <c r="AR41" s="242">
        <f t="shared" si="6"/>
        <v>-3.6848836590753619E-4</v>
      </c>
      <c r="AS41" s="242">
        <f t="shared" si="6"/>
        <v>-8.5953385179445563E-3</v>
      </c>
      <c r="AT41" s="242">
        <f t="shared" si="7"/>
        <v>1.4366554279243106E-3</v>
      </c>
      <c r="AU41" s="242">
        <f t="shared" si="7"/>
        <v>-6.6760330004125073E-3</v>
      </c>
      <c r="AV41" s="242">
        <f t="shared" si="7"/>
        <v>-5.6784427248820146E-4</v>
      </c>
    </row>
    <row r="42" spans="2:48" s="235" customFormat="1" ht="14.4" x14ac:dyDescent="0.3">
      <c r="B42" s="238">
        <v>2053</v>
      </c>
      <c r="C42" s="239">
        <v>10527.126759999997</v>
      </c>
      <c r="D42" s="239">
        <v>988.26707200000021</v>
      </c>
      <c r="E42" s="239">
        <v>399.71569799999997</v>
      </c>
      <c r="F42" s="239">
        <v>5032.1135299999996</v>
      </c>
      <c r="G42" s="239">
        <v>3270.9184909999994</v>
      </c>
      <c r="H42" s="239">
        <v>836.11196899999993</v>
      </c>
      <c r="I42" s="239">
        <v>1371.482242</v>
      </c>
      <c r="J42" s="239">
        <v>1824.6819169999999</v>
      </c>
      <c r="K42" s="239">
        <v>697.50104599999997</v>
      </c>
      <c r="L42" s="239">
        <v>381.28419799999995</v>
      </c>
      <c r="N42" s="532">
        <v>2053</v>
      </c>
      <c r="O42" s="533">
        <v>9526.4955939999982</v>
      </c>
      <c r="P42" s="533">
        <v>908.035349</v>
      </c>
      <c r="Q42" s="533">
        <v>364.22913200000005</v>
      </c>
      <c r="R42" s="533">
        <v>4531.7786120000001</v>
      </c>
      <c r="S42" s="533">
        <v>2981.0976819999983</v>
      </c>
      <c r="T42" s="533">
        <v>741.35481900000036</v>
      </c>
      <c r="U42" s="533">
        <v>1260.5592260000001</v>
      </c>
      <c r="V42" s="533">
        <v>1646.250536</v>
      </c>
      <c r="W42" s="533">
        <v>642.05860600000005</v>
      </c>
      <c r="X42" s="533">
        <v>347.97828100000004</v>
      </c>
      <c r="Y42" s="243"/>
      <c r="Z42" s="238">
        <v>2052</v>
      </c>
      <c r="AA42" s="242">
        <f t="shared" si="9"/>
        <v>7.4758823241156767E-3</v>
      </c>
      <c r="AB42" s="242">
        <f t="shared" si="9"/>
        <v>-3.2380957849026268E-4</v>
      </c>
      <c r="AC42" s="242">
        <f t="shared" si="9"/>
        <v>-5.9868463499835971E-4</v>
      </c>
      <c r="AD42" s="242">
        <f t="shared" si="9"/>
        <v>2.9491119042237713E-3</v>
      </c>
      <c r="AE42" s="242">
        <f t="shared" si="9"/>
        <v>1.8785960875302925E-2</v>
      </c>
      <c r="AF42" s="242">
        <f t="shared" si="9"/>
        <v>4.2811058292890536E-3</v>
      </c>
      <c r="AG42" s="242">
        <f t="shared" si="9"/>
        <v>-5.2693779074972566E-3</v>
      </c>
      <c r="AH42" s="242">
        <f t="shared" si="5"/>
        <v>5.739099499445257E-3</v>
      </c>
      <c r="AI42" s="242">
        <f t="shared" si="5"/>
        <v>-3.4814021498833368E-3</v>
      </c>
      <c r="AJ42" s="242">
        <f t="shared" si="5"/>
        <v>2.8675546777671371E-3</v>
      </c>
      <c r="AK42" s="243"/>
      <c r="AL42" s="238">
        <v>2052</v>
      </c>
      <c r="AM42" s="242">
        <f t="shared" si="8"/>
        <v>3.3035671192747891E-3</v>
      </c>
      <c r="AN42" s="242">
        <f t="shared" si="6"/>
        <v>-3.6185027468718031E-3</v>
      </c>
      <c r="AO42" s="242">
        <f t="shared" si="6"/>
        <v>-4.6742872804765856E-3</v>
      </c>
      <c r="AP42" s="242">
        <f t="shared" si="6"/>
        <v>-1.5962468971426882E-3</v>
      </c>
      <c r="AQ42" s="242">
        <f t="shared" si="6"/>
        <v>1.5003367133541921E-2</v>
      </c>
      <c r="AR42" s="242">
        <f t="shared" si="6"/>
        <v>-5.9855985483263493E-4</v>
      </c>
      <c r="AS42" s="242">
        <f t="shared" si="6"/>
        <v>-8.8982914001771666E-3</v>
      </c>
      <c r="AT42" s="242">
        <f t="shared" si="7"/>
        <v>1.2336045458224694E-3</v>
      </c>
      <c r="AU42" s="242">
        <f t="shared" si="7"/>
        <v>-6.8614213389481234E-3</v>
      </c>
      <c r="AV42" s="242">
        <f t="shared" si="7"/>
        <v>-6.7860455274838566E-4</v>
      </c>
    </row>
    <row r="43" spans="2:48" s="235" customFormat="1" ht="14.4" x14ac:dyDescent="0.3">
      <c r="B43" s="238">
        <v>2054</v>
      </c>
      <c r="C43" s="239">
        <v>10605.235223000001</v>
      </c>
      <c r="D43" s="239">
        <v>987.90289100000018</v>
      </c>
      <c r="E43" s="239">
        <v>399.46059400000001</v>
      </c>
      <c r="F43" s="239">
        <v>5046.5030800000013</v>
      </c>
      <c r="G43" s="239">
        <v>3331.7715099999991</v>
      </c>
      <c r="H43" s="239">
        <v>839.59714799999995</v>
      </c>
      <c r="I43" s="239">
        <v>1364.0014639999999</v>
      </c>
      <c r="J43" s="239">
        <v>1835.061563</v>
      </c>
      <c r="K43" s="239">
        <v>695.01004599999999</v>
      </c>
      <c r="L43" s="239">
        <v>382.37672299999997</v>
      </c>
      <c r="N43" s="532">
        <v>2054</v>
      </c>
      <c r="O43" s="533">
        <v>9556.403537000002</v>
      </c>
      <c r="P43" s="533">
        <v>904.61753500000009</v>
      </c>
      <c r="Q43" s="533">
        <v>362.47190300000005</v>
      </c>
      <c r="R43" s="533">
        <v>4523.5203870000014</v>
      </c>
      <c r="S43" s="533">
        <v>3025.0523519999997</v>
      </c>
      <c r="T43" s="533">
        <v>740.7413600000001</v>
      </c>
      <c r="U43" s="533">
        <v>1248.976547</v>
      </c>
      <c r="V43" s="533">
        <v>1647.9435959999998</v>
      </c>
      <c r="W43" s="533">
        <v>637.52880799999991</v>
      </c>
      <c r="X43" s="533">
        <v>347.70617099999998</v>
      </c>
      <c r="Y43" s="243"/>
      <c r="Z43" s="238">
        <v>2053</v>
      </c>
      <c r="AA43" s="242">
        <f t="shared" si="9"/>
        <v>7.4197323524965459E-3</v>
      </c>
      <c r="AB43" s="242">
        <f t="shared" si="9"/>
        <v>-3.6850463838992547E-4</v>
      </c>
      <c r="AC43" s="242">
        <f t="shared" si="9"/>
        <v>-6.3821361351677579E-4</v>
      </c>
      <c r="AD43" s="242">
        <f t="shared" si="9"/>
        <v>2.8595439896606806E-3</v>
      </c>
      <c r="AE43" s="242">
        <f t="shared" si="9"/>
        <v>1.8604260291853199E-2</v>
      </c>
      <c r="AF43" s="242">
        <f t="shared" si="9"/>
        <v>4.1683161217848999E-3</v>
      </c>
      <c r="AG43" s="242">
        <f t="shared" si="9"/>
        <v>-5.4545204968101217E-3</v>
      </c>
      <c r="AH43" s="242">
        <f t="shared" si="5"/>
        <v>5.6884687151750263E-3</v>
      </c>
      <c r="AI43" s="242">
        <f t="shared" si="5"/>
        <v>-3.5713208091733609E-3</v>
      </c>
      <c r="AJ43" s="242">
        <f t="shared" si="5"/>
        <v>2.8653823204076857E-3</v>
      </c>
      <c r="AK43" s="243"/>
      <c r="AL43" s="238">
        <v>2053</v>
      </c>
      <c r="AM43" s="242">
        <f t="shared" si="8"/>
        <v>3.139448573181569E-3</v>
      </c>
      <c r="AN43" s="242">
        <f t="shared" si="6"/>
        <v>-3.7639658012916274E-3</v>
      </c>
      <c r="AO43" s="242">
        <f t="shared" si="6"/>
        <v>-4.8245152449804454E-3</v>
      </c>
      <c r="AP43" s="242">
        <f t="shared" si="6"/>
        <v>-1.8222922404309795E-3</v>
      </c>
      <c r="AQ43" s="242">
        <f t="shared" si="6"/>
        <v>1.4744458145535357E-2</v>
      </c>
      <c r="AR43" s="242">
        <f t="shared" si="6"/>
        <v>-8.2748366136979471E-4</v>
      </c>
      <c r="AS43" s="242">
        <f t="shared" si="6"/>
        <v>-9.1885242367819517E-3</v>
      </c>
      <c r="AT43" s="242">
        <f t="shared" si="7"/>
        <v>1.0284339855788707E-3</v>
      </c>
      <c r="AU43" s="242">
        <f t="shared" si="7"/>
        <v>-7.0551160870198524E-3</v>
      </c>
      <c r="AV43" s="242">
        <f t="shared" si="7"/>
        <v>-7.8197409107855979E-4</v>
      </c>
    </row>
    <row r="44" spans="2:48" s="235" customFormat="1" ht="14.4" x14ac:dyDescent="0.3">
      <c r="B44" s="238">
        <v>2055</v>
      </c>
      <c r="C44" s="239">
        <v>10683.309011000001</v>
      </c>
      <c r="D44" s="239">
        <v>987.49974800000041</v>
      </c>
      <c r="E44" s="239">
        <v>399.18914600000005</v>
      </c>
      <c r="F44" s="239">
        <v>5060.4773809999988</v>
      </c>
      <c r="G44" s="239">
        <v>3393.1399670000014</v>
      </c>
      <c r="H44" s="239">
        <v>843.00276899999983</v>
      </c>
      <c r="I44" s="239">
        <v>1356.3263400000001</v>
      </c>
      <c r="J44" s="239">
        <v>1845.384411</v>
      </c>
      <c r="K44" s="239">
        <v>692.46620299999995</v>
      </c>
      <c r="L44" s="239">
        <v>383.475075</v>
      </c>
      <c r="N44" s="532">
        <v>2055</v>
      </c>
      <c r="O44" s="533">
        <v>9584.8537509999969</v>
      </c>
      <c r="P44" s="533">
        <v>901.08044100000006</v>
      </c>
      <c r="Q44" s="533">
        <v>360.66749800000002</v>
      </c>
      <c r="R44" s="533">
        <v>4514.2728249999982</v>
      </c>
      <c r="S44" s="533">
        <v>3068.873118999999</v>
      </c>
      <c r="T44" s="533">
        <v>739.95986799999991</v>
      </c>
      <c r="U44" s="533">
        <v>1237.153421</v>
      </c>
      <c r="V44" s="533">
        <v>1649.2979769999999</v>
      </c>
      <c r="W44" s="533">
        <v>632.90432900000008</v>
      </c>
      <c r="X44" s="533">
        <v>347.40064799999999</v>
      </c>
      <c r="Y44" s="243"/>
      <c r="Z44" s="238">
        <v>2054</v>
      </c>
      <c r="AA44" s="242">
        <f t="shared" si="9"/>
        <v>7.3618157785579263E-3</v>
      </c>
      <c r="AB44" s="242">
        <f t="shared" si="9"/>
        <v>-4.0807958319839815E-4</v>
      </c>
      <c r="AC44" s="242">
        <f t="shared" si="9"/>
        <v>-6.7953636498113235E-4</v>
      </c>
      <c r="AD44" s="242">
        <f t="shared" si="9"/>
        <v>2.7691058101954958E-3</v>
      </c>
      <c r="AE44" s="242">
        <f t="shared" si="9"/>
        <v>1.8419167345602977E-2</v>
      </c>
      <c r="AF44" s="242">
        <f t="shared" si="9"/>
        <v>4.0562560367342782E-3</v>
      </c>
      <c r="AG44" s="242">
        <f t="shared" si="9"/>
        <v>-5.6269177142172552E-3</v>
      </c>
      <c r="AH44" s="242">
        <f t="shared" si="5"/>
        <v>5.6253415188556389E-3</v>
      </c>
      <c r="AI44" s="242">
        <f t="shared" si="5"/>
        <v>-3.6601528490712463E-3</v>
      </c>
      <c r="AJ44" s="242">
        <f t="shared" si="5"/>
        <v>2.8724342616431547E-3</v>
      </c>
      <c r="AK44" s="243"/>
      <c r="AL44" s="238">
        <v>2054</v>
      </c>
      <c r="AM44" s="242">
        <f t="shared" si="8"/>
        <v>2.9770837836475671E-3</v>
      </c>
      <c r="AN44" s="242">
        <f t="shared" si="6"/>
        <v>-3.9100435964907806E-3</v>
      </c>
      <c r="AO44" s="242">
        <f t="shared" si="6"/>
        <v>-4.9780548093958906E-3</v>
      </c>
      <c r="AP44" s="242">
        <f t="shared" si="6"/>
        <v>-2.0443285779322379E-3</v>
      </c>
      <c r="AQ44" s="242">
        <f t="shared" si="6"/>
        <v>1.4485953266569866E-2</v>
      </c>
      <c r="AR44" s="242">
        <f t="shared" si="6"/>
        <v>-1.0550133180091156E-3</v>
      </c>
      <c r="AS44" s="242">
        <f t="shared" si="6"/>
        <v>-9.4662514107240487E-3</v>
      </c>
      <c r="AT44" s="242">
        <f t="shared" si="7"/>
        <v>8.2186125986808539E-4</v>
      </c>
      <c r="AU44" s="242">
        <f t="shared" si="7"/>
        <v>-7.2537569157186043E-3</v>
      </c>
      <c r="AV44" s="242">
        <f t="shared" si="7"/>
        <v>-8.7868155782600075E-4</v>
      </c>
    </row>
    <row r="45" spans="2:48" s="235" customFormat="1" ht="14.4" x14ac:dyDescent="0.3">
      <c r="B45" s="238">
        <v>2056</v>
      </c>
      <c r="C45" s="239">
        <v>10761.346517</v>
      </c>
      <c r="D45" s="239">
        <v>987.06233900000018</v>
      </c>
      <c r="E45" s="239">
        <v>398.90117099999998</v>
      </c>
      <c r="F45" s="239">
        <v>5074.0455160000001</v>
      </c>
      <c r="G45" s="239">
        <v>3455.0081250000003</v>
      </c>
      <c r="H45" s="239">
        <v>846.32936600000028</v>
      </c>
      <c r="I45" s="239">
        <v>1348.4720540000001</v>
      </c>
      <c r="J45" s="239">
        <v>1855.645178</v>
      </c>
      <c r="K45" s="239">
        <v>689.87198799999999</v>
      </c>
      <c r="L45" s="239">
        <v>384.58120100000002</v>
      </c>
      <c r="N45" s="532">
        <v>2056</v>
      </c>
      <c r="O45" s="533">
        <v>9611.850351000001</v>
      </c>
      <c r="P45" s="533">
        <v>897.42693300000019</v>
      </c>
      <c r="Q45" s="533">
        <v>358.81597999999991</v>
      </c>
      <c r="R45" s="533">
        <v>4504.0562809999992</v>
      </c>
      <c r="S45" s="533">
        <v>3112.5394230000015</v>
      </c>
      <c r="T45" s="533">
        <v>739.01173400000005</v>
      </c>
      <c r="U45" s="533">
        <v>1225.106759</v>
      </c>
      <c r="V45" s="533">
        <v>1650.314901</v>
      </c>
      <c r="W45" s="533">
        <v>628.18692699999997</v>
      </c>
      <c r="X45" s="533">
        <v>347.063042</v>
      </c>
      <c r="Y45" s="243"/>
      <c r="Z45" s="238">
        <v>2055</v>
      </c>
      <c r="AA45" s="242">
        <f>(C45-C44)/C44</f>
        <v>7.3046193758551717E-3</v>
      </c>
      <c r="AB45" s="242">
        <f t="shared" si="9"/>
        <v>-4.4294593582035988E-4</v>
      </c>
      <c r="AC45" s="242">
        <f t="shared" si="9"/>
        <v>-7.2139987493566272E-4</v>
      </c>
      <c r="AD45" s="242">
        <f t="shared" si="9"/>
        <v>2.6811966497358704E-3</v>
      </c>
      <c r="AE45" s="242">
        <f t="shared" si="9"/>
        <v>1.8233305611232639E-2</v>
      </c>
      <c r="AF45" s="242">
        <f t="shared" si="9"/>
        <v>3.9461282006778885E-3</v>
      </c>
      <c r="AG45" s="242">
        <f t="shared" si="9"/>
        <v>-5.7908526645585913E-3</v>
      </c>
      <c r="AH45" s="242">
        <f t="shared" si="5"/>
        <v>5.5602328375797616E-3</v>
      </c>
      <c r="AI45" s="242">
        <f t="shared" si="5"/>
        <v>-3.7463416824690329E-3</v>
      </c>
      <c r="AJ45" s="242">
        <f t="shared" si="5"/>
        <v>2.8844795193012675E-3</v>
      </c>
      <c r="AK45" s="243"/>
      <c r="AL45" s="238">
        <v>2055</v>
      </c>
      <c r="AM45" s="242">
        <f>(O45-O44)/O44</f>
        <v>2.8165896633725327E-3</v>
      </c>
      <c r="AN45" s="242">
        <f t="shared" si="6"/>
        <v>-4.0545858435738413E-3</v>
      </c>
      <c r="AO45" s="242">
        <f t="shared" si="6"/>
        <v>-5.1335870580722868E-3</v>
      </c>
      <c r="AP45" s="242">
        <f t="shared" si="6"/>
        <v>-2.2631649428496779E-3</v>
      </c>
      <c r="AQ45" s="242">
        <f t="shared" si="6"/>
        <v>1.4228774637066576E-2</v>
      </c>
      <c r="AR45" s="242">
        <f t="shared" si="6"/>
        <v>-1.2813316518942191E-3</v>
      </c>
      <c r="AS45" s="242">
        <f t="shared" si="6"/>
        <v>-9.7374034582247415E-3</v>
      </c>
      <c r="AT45" s="242">
        <f t="shared" si="7"/>
        <v>6.1657991107814069E-4</v>
      </c>
      <c r="AU45" s="242">
        <f t="shared" si="7"/>
        <v>-7.4535783432761226E-3</v>
      </c>
      <c r="AV45" s="242">
        <f t="shared" si="7"/>
        <v>-9.718059017552376E-4</v>
      </c>
    </row>
    <row r="46" spans="2:48" s="235" customFormat="1" ht="14.4" x14ac:dyDescent="0.3">
      <c r="B46" s="238">
        <v>2057</v>
      </c>
      <c r="C46" s="239">
        <v>10839.346803</v>
      </c>
      <c r="D46" s="239">
        <v>986.59625300000005</v>
      </c>
      <c r="E46" s="239">
        <v>398.59710800000005</v>
      </c>
      <c r="F46" s="239">
        <v>5087.215067000001</v>
      </c>
      <c r="G46" s="239">
        <v>3517.3618569999994</v>
      </c>
      <c r="H46" s="239">
        <v>849.57651800000008</v>
      </c>
      <c r="I46" s="239">
        <v>1340.455571</v>
      </c>
      <c r="J46" s="239">
        <v>1865.833652</v>
      </c>
      <c r="K46" s="239">
        <v>687.23212299999989</v>
      </c>
      <c r="L46" s="239">
        <v>385.69572899999997</v>
      </c>
      <c r="N46" s="532">
        <v>2057</v>
      </c>
      <c r="O46" s="533">
        <v>9637.415815999997</v>
      </c>
      <c r="P46" s="533">
        <v>893.66383500000018</v>
      </c>
      <c r="Q46" s="533">
        <v>356.91819400000003</v>
      </c>
      <c r="R46" s="533">
        <v>4492.8992800000005</v>
      </c>
      <c r="S46" s="533">
        <v>3156.035684999998</v>
      </c>
      <c r="T46" s="533">
        <v>737.89882199999965</v>
      </c>
      <c r="U46" s="533">
        <v>1212.8553980000002</v>
      </c>
      <c r="V46" s="533">
        <v>1650.9967670000001</v>
      </c>
      <c r="W46" s="533">
        <v>623.38196399999993</v>
      </c>
      <c r="X46" s="533">
        <v>346.694771</v>
      </c>
      <c r="Y46" s="243"/>
      <c r="Z46" s="238">
        <v>2056</v>
      </c>
      <c r="AA46" s="242">
        <f t="shared" si="9"/>
        <v>7.2481901662381359E-3</v>
      </c>
      <c r="AB46" s="242">
        <f t="shared" si="9"/>
        <v>-4.7219510013149437E-4</v>
      </c>
      <c r="AC46" s="242">
        <f t="shared" si="9"/>
        <v>-7.6225146002373669E-4</v>
      </c>
      <c r="AD46" s="242">
        <f t="shared" si="9"/>
        <v>2.595473564136011E-3</v>
      </c>
      <c r="AE46" s="242">
        <f t="shared" si="9"/>
        <v>1.8047347428451887E-2</v>
      </c>
      <c r="AF46" s="242">
        <f t="shared" si="9"/>
        <v>3.8367474064462509E-3</v>
      </c>
      <c r="AG46" s="242">
        <f t="shared" si="9"/>
        <v>-5.9448640231146441E-3</v>
      </c>
      <c r="AH46" s="242">
        <f t="shared" si="5"/>
        <v>5.4905291813282433E-3</v>
      </c>
      <c r="AI46" s="242">
        <f t="shared" si="5"/>
        <v>-3.8266012331553021E-3</v>
      </c>
      <c r="AJ46" s="242">
        <f t="shared" si="5"/>
        <v>2.898030369404224E-3</v>
      </c>
      <c r="AK46" s="243"/>
      <c r="AL46" s="238">
        <v>2056</v>
      </c>
      <c r="AM46" s="242">
        <f t="shared" ref="AM46:AR49" si="10">(O46-O45)/O45</f>
        <v>2.6597860002404478E-3</v>
      </c>
      <c r="AN46" s="242">
        <f t="shared" si="6"/>
        <v>-4.1932082285745407E-3</v>
      </c>
      <c r="AO46" s="242">
        <f t="shared" si="6"/>
        <v>-5.2890230808557721E-3</v>
      </c>
      <c r="AP46" s="242">
        <f t="shared" si="6"/>
        <v>-2.4771007074364474E-3</v>
      </c>
      <c r="AQ46" s="242">
        <f t="shared" si="6"/>
        <v>1.3974525648922665E-2</v>
      </c>
      <c r="AR46" s="242">
        <f t="shared" si="6"/>
        <v>-1.5059463183035092E-3</v>
      </c>
      <c r="AS46" s="242">
        <f t="shared" si="6"/>
        <v>-1.0000239497494977E-2</v>
      </c>
      <c r="AT46" s="242">
        <f t="shared" si="7"/>
        <v>4.1317326746971383E-4</v>
      </c>
      <c r="AU46" s="242">
        <f t="shared" si="7"/>
        <v>-7.6489382275859484E-3</v>
      </c>
      <c r="AV46" s="242">
        <f t="shared" si="7"/>
        <v>-1.0611069328436097E-3</v>
      </c>
    </row>
    <row r="47" spans="2:48" s="235" customFormat="1" ht="14.4" x14ac:dyDescent="0.3">
      <c r="B47" s="238">
        <v>2058</v>
      </c>
      <c r="C47" s="239">
        <v>10917.279072000001</v>
      </c>
      <c r="D47" s="239">
        <v>986.108205</v>
      </c>
      <c r="E47" s="239">
        <v>398.27747700000003</v>
      </c>
      <c r="F47" s="239">
        <v>5099.9728560000003</v>
      </c>
      <c r="G47" s="239">
        <v>3580.1794090000008</v>
      </c>
      <c r="H47" s="239">
        <v>852.74112499999978</v>
      </c>
      <c r="I47" s="239">
        <v>1332.3024419999999</v>
      </c>
      <c r="J47" s="239">
        <v>1875.9122849999999</v>
      </c>
      <c r="K47" s="239">
        <v>684.55330200000003</v>
      </c>
      <c r="L47" s="239">
        <v>386.81887900000004</v>
      </c>
      <c r="N47" s="532">
        <v>2058</v>
      </c>
      <c r="O47" s="533">
        <v>9661.5962950000012</v>
      </c>
      <c r="P47" s="533">
        <v>889.80227500000001</v>
      </c>
      <c r="Q47" s="533">
        <v>354.97633899999994</v>
      </c>
      <c r="R47" s="533">
        <v>4480.8450219999995</v>
      </c>
      <c r="S47" s="533">
        <v>3199.3491490000019</v>
      </c>
      <c r="T47" s="533">
        <v>736.62350999999956</v>
      </c>
      <c r="U47" s="533">
        <v>1200.428975</v>
      </c>
      <c r="V47" s="533">
        <v>1651.342347</v>
      </c>
      <c r="W47" s="533">
        <v>618.49886600000002</v>
      </c>
      <c r="X47" s="533">
        <v>346.29846600000002</v>
      </c>
      <c r="Y47" s="243"/>
      <c r="Z47" s="238">
        <v>2057</v>
      </c>
      <c r="AA47" s="242">
        <f t="shared" si="9"/>
        <v>7.1897569490471085E-3</v>
      </c>
      <c r="AB47" s="242">
        <f t="shared" si="9"/>
        <v>-4.946785460780063E-4</v>
      </c>
      <c r="AC47" s="242">
        <f t="shared" si="9"/>
        <v>-8.0188991235735532E-4</v>
      </c>
      <c r="AD47" s="242">
        <f t="shared" si="9"/>
        <v>2.507813967362453E-3</v>
      </c>
      <c r="AE47" s="242">
        <f t="shared" si="9"/>
        <v>1.7859280493130493E-2</v>
      </c>
      <c r="AF47" s="242">
        <f t="shared" si="9"/>
        <v>3.7249228679831579E-3</v>
      </c>
      <c r="AG47" s="242">
        <f t="shared" si="9"/>
        <v>-6.0823567572013439E-3</v>
      </c>
      <c r="AH47" s="242">
        <f t="shared" si="5"/>
        <v>5.4016782199187464E-3</v>
      </c>
      <c r="AI47" s="242">
        <f t="shared" si="5"/>
        <v>-3.8979857174107351E-3</v>
      </c>
      <c r="AJ47" s="242">
        <f t="shared" si="5"/>
        <v>2.9120104671941198E-3</v>
      </c>
      <c r="AK47" s="243"/>
      <c r="AL47" s="238">
        <v>2057</v>
      </c>
      <c r="AM47" s="242">
        <f t="shared" si="10"/>
        <v>2.5090210344416051E-3</v>
      </c>
      <c r="AN47" s="242">
        <f t="shared" si="6"/>
        <v>-4.3210431582477171E-3</v>
      </c>
      <c r="AO47" s="242">
        <f t="shared" si="6"/>
        <v>-5.4406164567785773E-3</v>
      </c>
      <c r="AP47" s="242">
        <f t="shared" si="6"/>
        <v>-2.6829575400588606E-3</v>
      </c>
      <c r="AQ47" s="242">
        <f t="shared" si="6"/>
        <v>1.3724009587681186E-2</v>
      </c>
      <c r="AR47" s="242">
        <f t="shared" si="6"/>
        <v>-1.7283019866375388E-3</v>
      </c>
      <c r="AS47" s="242">
        <f>(U47-U46)/U46</f>
        <v>-1.0245593184885269E-2</v>
      </c>
      <c r="AT47" s="242">
        <f t="shared" si="7"/>
        <v>2.0931597620743684E-4</v>
      </c>
      <c r="AU47" s="242">
        <f t="shared" si="7"/>
        <v>-7.8332359323759725E-3</v>
      </c>
      <c r="AV47" s="242">
        <f t="shared" si="7"/>
        <v>-1.1430948290823339E-3</v>
      </c>
    </row>
    <row r="48" spans="2:48" s="235" customFormat="1" ht="14.4" x14ac:dyDescent="0.3">
      <c r="B48" s="238">
        <v>2059</v>
      </c>
      <c r="C48" s="239">
        <v>10995.104687999998</v>
      </c>
      <c r="D48" s="239">
        <v>985.60551300000009</v>
      </c>
      <c r="E48" s="239">
        <v>397.94307900000001</v>
      </c>
      <c r="F48" s="239">
        <v>5112.2991819999997</v>
      </c>
      <c r="G48" s="239">
        <v>3643.4374469999993</v>
      </c>
      <c r="H48" s="239">
        <v>855.81946700000003</v>
      </c>
      <c r="I48" s="239">
        <v>1324.0409529999999</v>
      </c>
      <c r="J48" s="239">
        <v>1885.8343749999999</v>
      </c>
      <c r="K48" s="239">
        <v>681.84374100000002</v>
      </c>
      <c r="L48" s="239">
        <v>387.95012400000002</v>
      </c>
      <c r="N48" s="532">
        <v>2059</v>
      </c>
      <c r="O48" s="533">
        <v>9684.4517439999963</v>
      </c>
      <c r="P48" s="533">
        <v>885.8561269999999</v>
      </c>
      <c r="Q48" s="533">
        <v>352.99320799999992</v>
      </c>
      <c r="R48" s="533">
        <v>4467.9435339999964</v>
      </c>
      <c r="S48" s="533">
        <v>3242.4699900000001</v>
      </c>
      <c r="T48" s="533">
        <v>735.18888500000025</v>
      </c>
      <c r="U48" s="533">
        <v>1187.8606119999999</v>
      </c>
      <c r="V48" s="533">
        <v>1651.3499310000002</v>
      </c>
      <c r="W48" s="533">
        <v>613.549488</v>
      </c>
      <c r="X48" s="533">
        <v>345.87708800000001</v>
      </c>
      <c r="Y48" s="243"/>
      <c r="Z48" s="238">
        <v>2058</v>
      </c>
      <c r="AA48" s="242">
        <f t="shared" si="9"/>
        <v>7.1286641558517116E-3</v>
      </c>
      <c r="AB48" s="242">
        <f t="shared" si="9"/>
        <v>-5.0977367133854328E-4</v>
      </c>
      <c r="AC48" s="242">
        <f t="shared" si="9"/>
        <v>-8.3961062151657016E-4</v>
      </c>
      <c r="AD48" s="242">
        <f t="shared" si="9"/>
        <v>2.4169395304717727E-3</v>
      </c>
      <c r="AE48" s="242">
        <f t="shared" si="9"/>
        <v>1.7668957550277493E-2</v>
      </c>
      <c r="AF48" s="242">
        <f t="shared" si="9"/>
        <v>3.609937306589088E-3</v>
      </c>
      <c r="AG48" s="242">
        <f t="shared" si="9"/>
        <v>-6.2009110991331383E-3</v>
      </c>
      <c r="AH48" s="242">
        <f t="shared" si="5"/>
        <v>5.2892078586712953E-3</v>
      </c>
      <c r="AI48" s="242">
        <f t="shared" si="5"/>
        <v>-3.958144664679461E-3</v>
      </c>
      <c r="AJ48" s="242">
        <f t="shared" si="5"/>
        <v>2.9244823906332102E-3</v>
      </c>
      <c r="AK48" s="243"/>
      <c r="AL48" s="238">
        <v>2058</v>
      </c>
      <c r="AM48" s="242">
        <f t="shared" si="10"/>
        <v>2.3655975992107141E-3</v>
      </c>
      <c r="AN48" s="242">
        <f t="shared" si="10"/>
        <v>-4.434859418627703E-3</v>
      </c>
      <c r="AO48" s="242">
        <f t="shared" si="10"/>
        <v>-5.5866568616563901E-3</v>
      </c>
      <c r="AP48" s="242">
        <f t="shared" si="10"/>
        <v>-2.8792533409791195E-3</v>
      </c>
      <c r="AQ48" s="242">
        <f t="shared" si="10"/>
        <v>1.3478004116392262E-2</v>
      </c>
      <c r="AR48" s="242">
        <f t="shared" si="10"/>
        <v>-1.9475688469396007E-3</v>
      </c>
      <c r="AS48" s="242">
        <f>(U48-U47)/U47</f>
        <v>-1.0469893064685555E-2</v>
      </c>
      <c r="AT48" s="242">
        <f t="shared" si="7"/>
        <v>4.5926273337305767E-6</v>
      </c>
      <c r="AU48" s="242">
        <f t="shared" si="7"/>
        <v>-8.0022426427537284E-3</v>
      </c>
      <c r="AV48" s="242">
        <f t="shared" si="7"/>
        <v>-1.2168058520940842E-3</v>
      </c>
    </row>
    <row r="49" spans="1:48" s="235" customFormat="1" ht="14.4" x14ac:dyDescent="0.3">
      <c r="B49" s="238">
        <v>2060</v>
      </c>
      <c r="C49" s="239">
        <v>11072.791522</v>
      </c>
      <c r="D49" s="239">
        <v>985.09454500000015</v>
      </c>
      <c r="E49" s="239">
        <v>397.59528600000004</v>
      </c>
      <c r="F49" s="239">
        <v>5124.1793979999984</v>
      </c>
      <c r="G49" s="239">
        <v>3707.1139410000005</v>
      </c>
      <c r="H49" s="239">
        <v>858.80835200000024</v>
      </c>
      <c r="I49" s="239">
        <v>1315.695978</v>
      </c>
      <c r="J49" s="239">
        <v>1895.561107</v>
      </c>
      <c r="K49" s="239">
        <v>679.11138599999992</v>
      </c>
      <c r="L49" s="239">
        <v>389.08859899999999</v>
      </c>
      <c r="N49" s="532">
        <v>2060</v>
      </c>
      <c r="O49" s="533">
        <v>9706.0348109999977</v>
      </c>
      <c r="P49" s="533">
        <v>881.83812900000021</v>
      </c>
      <c r="Q49" s="533">
        <v>350.971991</v>
      </c>
      <c r="R49" s="533">
        <v>4454.2396599999984</v>
      </c>
      <c r="S49" s="533">
        <v>3285.3871419999996</v>
      </c>
      <c r="T49" s="533">
        <v>733.59788900000024</v>
      </c>
      <c r="U49" s="533">
        <v>1175.1795970000001</v>
      </c>
      <c r="V49" s="533">
        <v>1651.018523</v>
      </c>
      <c r="W49" s="533">
        <v>608.54533300000014</v>
      </c>
      <c r="X49" s="533">
        <v>345.43303300000002</v>
      </c>
      <c r="Y49" s="243"/>
      <c r="Z49" s="238">
        <v>2059</v>
      </c>
      <c r="AA49" s="242">
        <f t="shared" si="9"/>
        <v>7.0655838397599736E-3</v>
      </c>
      <c r="AB49" s="242">
        <f t="shared" si="9"/>
        <v>-5.1843054169273337E-4</v>
      </c>
      <c r="AC49" s="242">
        <f t="shared" si="9"/>
        <v>-8.7397675284099456E-4</v>
      </c>
      <c r="AD49" s="242">
        <f t="shared" si="9"/>
        <v>2.3238499111765511E-3</v>
      </c>
      <c r="AE49" s="242">
        <f t="shared" si="9"/>
        <v>1.7477037804623848E-2</v>
      </c>
      <c r="AF49" s="242">
        <f t="shared" si="9"/>
        <v>3.4924246470782946E-3</v>
      </c>
      <c r="AG49" s="242">
        <f t="shared" si="9"/>
        <v>-6.3026562593037688E-3</v>
      </c>
      <c r="AH49" s="242">
        <f>(J49-J48)/J48</f>
        <v>5.1577869875238033E-3</v>
      </c>
      <c r="AI49" s="242">
        <f t="shared" si="5"/>
        <v>-4.0073037790048409E-3</v>
      </c>
      <c r="AJ49" s="242">
        <f t="shared" si="5"/>
        <v>2.9345911486291245E-3</v>
      </c>
      <c r="AK49" s="243"/>
      <c r="AL49" s="238">
        <v>2059</v>
      </c>
      <c r="AM49" s="242">
        <f t="shared" si="10"/>
        <v>2.2286307547944762E-3</v>
      </c>
      <c r="AN49" s="242">
        <f t="shared" si="10"/>
        <v>-4.535722988796005E-3</v>
      </c>
      <c r="AO49" s="242">
        <f t="shared" si="10"/>
        <v>-5.7259373670439642E-3</v>
      </c>
      <c r="AP49" s="242">
        <f t="shared" si="10"/>
        <v>-3.0671546978413553E-3</v>
      </c>
      <c r="AQ49" s="242">
        <f t="shared" si="10"/>
        <v>1.3235944243850823E-2</v>
      </c>
      <c r="AR49" s="242">
        <f t="shared" si="10"/>
        <v>-2.164064273088157E-3</v>
      </c>
      <c r="AS49" s="242">
        <f>(U49-U48)/U48</f>
        <v>-1.0675507607453096E-2</v>
      </c>
      <c r="AT49" s="242">
        <f t="shared" si="7"/>
        <v>-2.0068914151923485E-4</v>
      </c>
      <c r="AU49" s="242">
        <f t="shared" si="7"/>
        <v>-8.1560739563356216E-3</v>
      </c>
      <c r="AV49" s="242">
        <f t="shared" si="7"/>
        <v>-1.2838520254917598E-3</v>
      </c>
    </row>
    <row r="50" spans="1:48" s="235" customFormat="1" x14ac:dyDescent="0.3">
      <c r="A50"/>
      <c r="B50"/>
      <c r="C50"/>
      <c r="D50"/>
      <c r="E50"/>
      <c r="F50"/>
      <c r="G50"/>
      <c r="H50"/>
      <c r="I50"/>
      <c r="J50"/>
      <c r="K50"/>
      <c r="L50"/>
      <c r="M50"/>
      <c r="N50"/>
      <c r="O50"/>
      <c r="P50"/>
      <c r="Q50"/>
      <c r="R50"/>
      <c r="S50"/>
      <c r="T50"/>
      <c r="U50"/>
      <c r="V50"/>
      <c r="W50"/>
      <c r="X50"/>
      <c r="Y50" s="243"/>
      <c r="AA50" s="236"/>
      <c r="AB50" s="236"/>
      <c r="AC50" s="236"/>
      <c r="AD50" s="236"/>
      <c r="AE50" s="236"/>
      <c r="AF50" s="236"/>
      <c r="AG50" s="236"/>
      <c r="AH50" s="236"/>
      <c r="AI50" s="236"/>
      <c r="AJ50" s="236"/>
      <c r="AK50" s="243"/>
    </row>
    <row r="53" spans="1:48" x14ac:dyDescent="0.3">
      <c r="A53" s="601" t="s">
        <v>265</v>
      </c>
      <c r="B53" s="601"/>
      <c r="C53" s="601"/>
      <c r="D53" s="601"/>
      <c r="E53">
        <v>2014</v>
      </c>
      <c r="F53">
        <v>2020</v>
      </c>
      <c r="G53">
        <v>2030</v>
      </c>
      <c r="H53">
        <v>2050</v>
      </c>
      <c r="M53" s="601" t="s">
        <v>265</v>
      </c>
      <c r="N53" s="601"/>
      <c r="O53" s="601"/>
      <c r="P53" s="601"/>
      <c r="Q53">
        <v>2014</v>
      </c>
      <c r="R53">
        <v>2020</v>
      </c>
      <c r="S53">
        <v>2030</v>
      </c>
      <c r="T53">
        <v>2050</v>
      </c>
    </row>
    <row r="54" spans="1:48" x14ac:dyDescent="0.3">
      <c r="E54" s="252">
        <f>SUM(D3,E3,H3,I3)</f>
        <v>3353.9422210000002</v>
      </c>
      <c r="F54" s="252">
        <f>SUM(D9,E9,H9,I9)</f>
        <v>3459.2282379999997</v>
      </c>
      <c r="G54" s="252">
        <f>SUM(D19,E19,H19,I19)</f>
        <v>3569.9403329999996</v>
      </c>
      <c r="H54" s="252">
        <f>SUM(D39,E39,H39,I39)</f>
        <v>3607.1969490000001</v>
      </c>
      <c r="Q54" s="252">
        <f>SUM(P3,Q3,T3,U3)</f>
        <v>3353.9422210000002</v>
      </c>
      <c r="R54" s="252">
        <f>SUM(P9,Q9,T9,U9)</f>
        <v>3459.2282379999997</v>
      </c>
      <c r="S54" s="252">
        <f>SUM(P19,Q19,T19,U19)</f>
        <v>3498.5047130000003</v>
      </c>
      <c r="T54" s="252">
        <f>SUM(P39,Q39,T39,U39)</f>
        <v>3322.5918379999998</v>
      </c>
    </row>
    <row r="55" spans="1:48" x14ac:dyDescent="0.3">
      <c r="D55" t="s">
        <v>266</v>
      </c>
      <c r="P55" t="s">
        <v>266</v>
      </c>
    </row>
    <row r="56" spans="1:48" x14ac:dyDescent="0.3">
      <c r="D56" t="s">
        <v>267</v>
      </c>
      <c r="E56" s="252">
        <f>H54-E54</f>
        <v>253.25472799999989</v>
      </c>
      <c r="P56" t="s">
        <v>267</v>
      </c>
      <c r="Q56" s="252">
        <f>T54-Q54</f>
        <v>-31.35038300000042</v>
      </c>
    </row>
    <row r="60" spans="1:48" ht="16.2" thickBot="1" x14ac:dyDescent="0.35">
      <c r="B60" s="595" t="s">
        <v>590</v>
      </c>
      <c r="C60" s="595"/>
      <c r="D60" s="595"/>
      <c r="E60" s="595"/>
      <c r="F60" s="595"/>
      <c r="G60" s="595"/>
      <c r="H60" s="595"/>
      <c r="I60" s="595"/>
      <c r="J60" s="595"/>
      <c r="K60" s="595"/>
      <c r="L60" s="595"/>
      <c r="N60" s="595" t="s">
        <v>591</v>
      </c>
      <c r="O60" s="595"/>
      <c r="P60" s="595"/>
      <c r="Q60" s="595"/>
      <c r="R60" s="595"/>
      <c r="S60" s="595"/>
      <c r="T60" s="595"/>
      <c r="U60" s="595"/>
      <c r="V60" s="595"/>
      <c r="W60" s="595"/>
      <c r="X60" s="595"/>
    </row>
    <row r="61" spans="1:48" ht="27" thickBot="1" x14ac:dyDescent="0.35">
      <c r="B61" s="237"/>
      <c r="C61" s="218" t="s">
        <v>4</v>
      </c>
      <c r="D61" s="191" t="s">
        <v>5</v>
      </c>
      <c r="E61" s="191" t="s">
        <v>6</v>
      </c>
      <c r="F61" s="191" t="s">
        <v>7</v>
      </c>
      <c r="G61" s="191" t="s">
        <v>8</v>
      </c>
      <c r="H61" s="191" t="s">
        <v>9</v>
      </c>
      <c r="I61" s="191" t="s">
        <v>10</v>
      </c>
      <c r="J61" s="191" t="s">
        <v>11</v>
      </c>
      <c r="K61" s="191" t="s">
        <v>12</v>
      </c>
      <c r="L61" s="192" t="s">
        <v>13</v>
      </c>
      <c r="N61" s="237"/>
      <c r="O61" s="218" t="s">
        <v>4</v>
      </c>
      <c r="P61" s="191" t="s">
        <v>5</v>
      </c>
      <c r="Q61" s="191" t="s">
        <v>6</v>
      </c>
      <c r="R61" s="191" t="s">
        <v>7</v>
      </c>
      <c r="S61" s="191" t="s">
        <v>8</v>
      </c>
      <c r="T61" s="191" t="s">
        <v>9</v>
      </c>
      <c r="U61" s="191" t="s">
        <v>10</v>
      </c>
      <c r="V61" s="191" t="s">
        <v>11</v>
      </c>
      <c r="W61" s="191" t="s">
        <v>12</v>
      </c>
      <c r="X61" s="192" t="s">
        <v>13</v>
      </c>
    </row>
    <row r="62" spans="1:48" x14ac:dyDescent="0.3">
      <c r="B62" s="238" t="s">
        <v>543</v>
      </c>
      <c r="C62" s="239">
        <v>2966.9833399999998</v>
      </c>
      <c r="D62" s="239">
        <v>0</v>
      </c>
      <c r="E62" s="239">
        <v>0</v>
      </c>
      <c r="F62" s="239">
        <v>2008.8361829999999</v>
      </c>
      <c r="G62" s="239">
        <v>791.76198899999986</v>
      </c>
      <c r="H62" s="239">
        <v>166.38516799999999</v>
      </c>
      <c r="I62" s="239">
        <v>0</v>
      </c>
      <c r="J62" s="239">
        <v>0</v>
      </c>
      <c r="K62" s="239">
        <v>0</v>
      </c>
      <c r="L62" s="239">
        <v>0</v>
      </c>
      <c r="N62" s="238" t="s">
        <v>543</v>
      </c>
      <c r="O62" s="239">
        <v>2966.9833399999998</v>
      </c>
      <c r="P62" s="239">
        <v>0</v>
      </c>
      <c r="Q62" s="239">
        <v>0</v>
      </c>
      <c r="R62" s="239">
        <v>2008.8361829999999</v>
      </c>
      <c r="S62" s="239">
        <v>791.76198899999986</v>
      </c>
      <c r="T62" s="239">
        <v>166.38516799999999</v>
      </c>
      <c r="U62" s="239">
        <v>0</v>
      </c>
      <c r="V62" s="239">
        <v>0</v>
      </c>
      <c r="W62" s="239">
        <v>0</v>
      </c>
      <c r="X62" s="239">
        <v>0</v>
      </c>
    </row>
    <row r="63" spans="1:48" x14ac:dyDescent="0.3">
      <c r="B63" s="238" t="s">
        <v>544</v>
      </c>
      <c r="C63" s="239">
        <v>3017.0686999999998</v>
      </c>
      <c r="D63" s="239">
        <v>0</v>
      </c>
      <c r="E63" s="239">
        <v>0</v>
      </c>
      <c r="F63" s="239">
        <v>2034.3036959999997</v>
      </c>
      <c r="G63" s="239">
        <v>814.18868800000007</v>
      </c>
      <c r="H63" s="239">
        <v>168.57631600000002</v>
      </c>
      <c r="I63" s="239">
        <v>0</v>
      </c>
      <c r="J63" s="239">
        <v>0</v>
      </c>
      <c r="K63" s="239">
        <v>0</v>
      </c>
      <c r="L63" s="239">
        <v>0</v>
      </c>
      <c r="N63" s="238" t="s">
        <v>544</v>
      </c>
      <c r="O63" s="239">
        <v>3017.0686999999998</v>
      </c>
      <c r="P63" s="239">
        <v>0</v>
      </c>
      <c r="Q63" s="239">
        <v>0</v>
      </c>
      <c r="R63" s="239">
        <v>2034.3036959999997</v>
      </c>
      <c r="S63" s="239">
        <v>814.18868800000007</v>
      </c>
      <c r="T63" s="239">
        <v>168.57631600000002</v>
      </c>
      <c r="U63" s="239">
        <v>0</v>
      </c>
      <c r="V63" s="239">
        <v>0</v>
      </c>
      <c r="W63" s="239">
        <v>0</v>
      </c>
      <c r="X63" s="239">
        <v>0</v>
      </c>
    </row>
    <row r="64" spans="1:48" x14ac:dyDescent="0.3">
      <c r="B64" s="238" t="s">
        <v>545</v>
      </c>
      <c r="C64" s="239">
        <v>3067.1716329999999</v>
      </c>
      <c r="D64" s="239">
        <v>0</v>
      </c>
      <c r="E64" s="239">
        <v>0</v>
      </c>
      <c r="F64" s="239">
        <v>2059.459214</v>
      </c>
      <c r="G64" s="239">
        <v>836.971633</v>
      </c>
      <c r="H64" s="239">
        <v>170.74078599999999</v>
      </c>
      <c r="I64" s="239">
        <v>0</v>
      </c>
      <c r="J64" s="239">
        <v>0</v>
      </c>
      <c r="K64" s="239">
        <v>0</v>
      </c>
      <c r="L64" s="239">
        <v>0</v>
      </c>
      <c r="N64" s="238" t="s">
        <v>545</v>
      </c>
      <c r="O64" s="239">
        <v>3067.1716329999999</v>
      </c>
      <c r="P64" s="239">
        <v>0</v>
      </c>
      <c r="Q64" s="239">
        <v>0</v>
      </c>
      <c r="R64" s="239">
        <v>2059.459214</v>
      </c>
      <c r="S64" s="239">
        <v>836.971633</v>
      </c>
      <c r="T64" s="239">
        <v>170.74078599999999</v>
      </c>
      <c r="U64" s="239">
        <v>0</v>
      </c>
      <c r="V64" s="239">
        <v>0</v>
      </c>
      <c r="W64" s="239">
        <v>0</v>
      </c>
      <c r="X64" s="239">
        <v>0</v>
      </c>
    </row>
    <row r="65" spans="2:24" x14ac:dyDescent="0.3">
      <c r="B65" s="238" t="s">
        <v>546</v>
      </c>
      <c r="C65" s="239">
        <v>3117.2997280000004</v>
      </c>
      <c r="D65" s="239">
        <v>0</v>
      </c>
      <c r="E65" s="239">
        <v>0</v>
      </c>
      <c r="F65" s="239">
        <v>2084.3060180000002</v>
      </c>
      <c r="G65" s="239">
        <v>860.11897700000009</v>
      </c>
      <c r="H65" s="239">
        <v>172.87473299999999</v>
      </c>
      <c r="I65" s="239">
        <v>0</v>
      </c>
      <c r="J65" s="239">
        <v>0</v>
      </c>
      <c r="K65" s="239">
        <v>0</v>
      </c>
      <c r="L65" s="239">
        <v>0</v>
      </c>
      <c r="N65" s="238" t="s">
        <v>546</v>
      </c>
      <c r="O65" s="239">
        <v>3117.2997280000004</v>
      </c>
      <c r="P65" s="239">
        <v>0</v>
      </c>
      <c r="Q65" s="239">
        <v>0</v>
      </c>
      <c r="R65" s="239">
        <v>2084.3060180000002</v>
      </c>
      <c r="S65" s="239">
        <v>860.11897700000009</v>
      </c>
      <c r="T65" s="239">
        <v>172.87473299999999</v>
      </c>
      <c r="U65" s="239">
        <v>0</v>
      </c>
      <c r="V65" s="239">
        <v>0</v>
      </c>
      <c r="W65" s="239">
        <v>0</v>
      </c>
      <c r="X65" s="239">
        <v>0</v>
      </c>
    </row>
    <row r="66" spans="2:24" x14ac:dyDescent="0.3">
      <c r="B66" s="238" t="s">
        <v>547</v>
      </c>
      <c r="C66" s="239">
        <v>3167.4630050000001</v>
      </c>
      <c r="D66" s="239">
        <v>0</v>
      </c>
      <c r="E66" s="239">
        <v>0</v>
      </c>
      <c r="F66" s="239">
        <v>2108.863762</v>
      </c>
      <c r="G66" s="239">
        <v>883.62081200000011</v>
      </c>
      <c r="H66" s="239">
        <v>174.97843099999997</v>
      </c>
      <c r="I66" s="239">
        <v>0</v>
      </c>
      <c r="J66" s="239">
        <v>0</v>
      </c>
      <c r="K66" s="239">
        <v>0</v>
      </c>
      <c r="L66" s="239">
        <v>0</v>
      </c>
      <c r="N66" s="238" t="s">
        <v>547</v>
      </c>
      <c r="O66" s="239">
        <v>3167.4630050000001</v>
      </c>
      <c r="P66" s="239">
        <v>0</v>
      </c>
      <c r="Q66" s="239">
        <v>0</v>
      </c>
      <c r="R66" s="239">
        <v>2108.863762</v>
      </c>
      <c r="S66" s="239">
        <v>883.62081200000011</v>
      </c>
      <c r="T66" s="239">
        <v>174.97843099999997</v>
      </c>
      <c r="U66" s="239">
        <v>0</v>
      </c>
      <c r="V66" s="239">
        <v>0</v>
      </c>
      <c r="W66" s="239">
        <v>0</v>
      </c>
      <c r="X66" s="239">
        <v>0</v>
      </c>
    </row>
    <row r="67" spans="2:24" x14ac:dyDescent="0.3">
      <c r="B67" s="238" t="s">
        <v>548</v>
      </c>
      <c r="C67" s="239">
        <v>3217.6927569999998</v>
      </c>
      <c r="D67" s="239">
        <v>0</v>
      </c>
      <c r="E67" s="239">
        <v>0</v>
      </c>
      <c r="F67" s="239">
        <v>2133.1610839999998</v>
      </c>
      <c r="G67" s="239">
        <v>907.47847899999988</v>
      </c>
      <c r="H67" s="239">
        <v>177.05319399999999</v>
      </c>
      <c r="I67" s="239">
        <v>0</v>
      </c>
      <c r="J67" s="239">
        <v>0</v>
      </c>
      <c r="K67" s="239">
        <v>0</v>
      </c>
      <c r="L67" s="239">
        <v>0</v>
      </c>
      <c r="N67" s="238" t="s">
        <v>548</v>
      </c>
      <c r="O67" s="239">
        <v>3217.6927569999998</v>
      </c>
      <c r="P67" s="239">
        <v>0</v>
      </c>
      <c r="Q67" s="239">
        <v>0</v>
      </c>
      <c r="R67" s="239">
        <v>2133.1610839999998</v>
      </c>
      <c r="S67" s="239">
        <v>907.47847899999988</v>
      </c>
      <c r="T67" s="239">
        <v>177.05319399999999</v>
      </c>
      <c r="U67" s="239">
        <v>0</v>
      </c>
      <c r="V67" s="239">
        <v>0</v>
      </c>
      <c r="W67" s="239">
        <v>0</v>
      </c>
      <c r="X67" s="239">
        <v>0</v>
      </c>
    </row>
    <row r="68" spans="2:24" x14ac:dyDescent="0.3">
      <c r="B68" s="238" t="s">
        <v>549</v>
      </c>
      <c r="C68" s="239">
        <v>3268.0061850000002</v>
      </c>
      <c r="D68" s="239">
        <v>0</v>
      </c>
      <c r="E68" s="239">
        <v>0</v>
      </c>
      <c r="F68" s="239">
        <v>2157.2139940000006</v>
      </c>
      <c r="G68" s="239">
        <v>931.69254699999988</v>
      </c>
      <c r="H68" s="239">
        <v>179.09964400000001</v>
      </c>
      <c r="I68" s="239">
        <v>0</v>
      </c>
      <c r="J68" s="239">
        <v>0</v>
      </c>
      <c r="K68" s="239">
        <v>0</v>
      </c>
      <c r="L68" s="239">
        <v>0</v>
      </c>
      <c r="N68" s="238" t="s">
        <v>549</v>
      </c>
      <c r="O68" s="239">
        <v>3268.0061850000002</v>
      </c>
      <c r="P68" s="239">
        <v>0</v>
      </c>
      <c r="Q68" s="239">
        <v>0</v>
      </c>
      <c r="R68" s="239">
        <v>2157.2139940000006</v>
      </c>
      <c r="S68" s="239">
        <v>931.69254699999988</v>
      </c>
      <c r="T68" s="239">
        <v>179.09964400000001</v>
      </c>
      <c r="U68" s="239">
        <v>0</v>
      </c>
      <c r="V68" s="239">
        <v>0</v>
      </c>
      <c r="W68" s="239">
        <v>0</v>
      </c>
      <c r="X68" s="239">
        <v>0</v>
      </c>
    </row>
    <row r="69" spans="2:24" x14ac:dyDescent="0.3">
      <c r="B69" s="238" t="s">
        <v>550</v>
      </c>
      <c r="C69" s="239">
        <v>3322.018599</v>
      </c>
      <c r="D69" s="239">
        <v>0</v>
      </c>
      <c r="E69" s="239">
        <v>0</v>
      </c>
      <c r="F69" s="239">
        <v>2183.4633039999999</v>
      </c>
      <c r="G69" s="239">
        <v>957.21199900000022</v>
      </c>
      <c r="H69" s="239">
        <v>181.34329600000004</v>
      </c>
      <c r="I69" s="239">
        <v>0</v>
      </c>
      <c r="J69" s="239">
        <v>0</v>
      </c>
      <c r="K69" s="239">
        <v>0</v>
      </c>
      <c r="L69" s="239">
        <v>0</v>
      </c>
      <c r="N69" s="238" t="s">
        <v>550</v>
      </c>
      <c r="O69" s="239">
        <v>3318.1075430000001</v>
      </c>
      <c r="P69" s="239">
        <v>0</v>
      </c>
      <c r="Q69" s="239">
        <v>0</v>
      </c>
      <c r="R69" s="239">
        <v>2180.7584860000002</v>
      </c>
      <c r="S69" s="239">
        <v>956.24531399999989</v>
      </c>
      <c r="T69" s="239">
        <v>181.10374300000001</v>
      </c>
      <c r="U69" s="239">
        <v>0</v>
      </c>
      <c r="V69" s="239">
        <v>0</v>
      </c>
      <c r="W69" s="239">
        <v>0</v>
      </c>
      <c r="X69" s="239">
        <v>0</v>
      </c>
    </row>
    <row r="70" spans="2:24" x14ac:dyDescent="0.3">
      <c r="B70" s="238" t="s">
        <v>551</v>
      </c>
      <c r="C70" s="239">
        <v>3377.5881179999997</v>
      </c>
      <c r="D70" s="239">
        <v>0</v>
      </c>
      <c r="E70" s="239">
        <v>0</v>
      </c>
      <c r="F70" s="239">
        <v>2210.3847889999997</v>
      </c>
      <c r="G70" s="239">
        <v>983.57066600000007</v>
      </c>
      <c r="H70" s="239">
        <v>183.63266300000004</v>
      </c>
      <c r="I70" s="239">
        <v>0</v>
      </c>
      <c r="J70" s="239">
        <v>0</v>
      </c>
      <c r="K70" s="239">
        <v>0</v>
      </c>
      <c r="L70" s="239">
        <v>0</v>
      </c>
      <c r="N70" s="238" t="s">
        <v>551</v>
      </c>
      <c r="O70" s="239">
        <v>3368.1036100000001</v>
      </c>
      <c r="P70" s="239">
        <v>0</v>
      </c>
      <c r="Q70" s="239">
        <v>0</v>
      </c>
      <c r="R70" s="239">
        <v>2203.9065230000001</v>
      </c>
      <c r="S70" s="239">
        <v>981.12419300000022</v>
      </c>
      <c r="T70" s="239">
        <v>183.07289399999999</v>
      </c>
      <c r="U70" s="239">
        <v>0</v>
      </c>
      <c r="V70" s="239">
        <v>0</v>
      </c>
      <c r="W70" s="239">
        <v>0</v>
      </c>
      <c r="X70" s="239">
        <v>0</v>
      </c>
    </row>
    <row r="71" spans="2:24" x14ac:dyDescent="0.3">
      <c r="B71" s="238" t="s">
        <v>552</v>
      </c>
      <c r="C71" s="239">
        <v>3434.4138030000004</v>
      </c>
      <c r="D71" s="239">
        <v>0</v>
      </c>
      <c r="E71" s="239">
        <v>0</v>
      </c>
      <c r="F71" s="239">
        <v>2237.7697230000003</v>
      </c>
      <c r="G71" s="239">
        <v>1010.691316</v>
      </c>
      <c r="H71" s="239">
        <v>185.95276400000006</v>
      </c>
      <c r="I71" s="239">
        <v>0</v>
      </c>
      <c r="J71" s="239">
        <v>0</v>
      </c>
      <c r="K71" s="239">
        <v>0</v>
      </c>
      <c r="L71" s="239">
        <v>0</v>
      </c>
      <c r="N71" s="238" t="s">
        <v>552</v>
      </c>
      <c r="O71" s="239">
        <v>3417.9984859999995</v>
      </c>
      <c r="P71" s="239">
        <v>0</v>
      </c>
      <c r="Q71" s="239">
        <v>0</v>
      </c>
      <c r="R71" s="239">
        <v>2226.6494749999997</v>
      </c>
      <c r="S71" s="239">
        <v>1006.342777</v>
      </c>
      <c r="T71" s="239">
        <v>185.00623400000001</v>
      </c>
      <c r="U71" s="239">
        <v>0</v>
      </c>
      <c r="V71" s="239">
        <v>0</v>
      </c>
      <c r="W71" s="239">
        <v>0</v>
      </c>
      <c r="X71" s="239">
        <v>0</v>
      </c>
    </row>
    <row r="72" spans="2:24" x14ac:dyDescent="0.3">
      <c r="B72" s="238" t="s">
        <v>553</v>
      </c>
      <c r="C72" s="239">
        <v>3492.2523849999998</v>
      </c>
      <c r="D72" s="239">
        <v>0</v>
      </c>
      <c r="E72" s="239">
        <v>0</v>
      </c>
      <c r="F72" s="239">
        <v>2265.4473800000001</v>
      </c>
      <c r="G72" s="239">
        <v>1038.5134419999999</v>
      </c>
      <c r="H72" s="239">
        <v>188.291563</v>
      </c>
      <c r="I72" s="239">
        <v>0</v>
      </c>
      <c r="J72" s="239">
        <v>0</v>
      </c>
      <c r="K72" s="239">
        <v>0</v>
      </c>
      <c r="L72" s="239">
        <v>0</v>
      </c>
      <c r="N72" s="238" t="s">
        <v>553</v>
      </c>
      <c r="O72" s="239">
        <v>3467.7960540000004</v>
      </c>
      <c r="P72" s="239">
        <v>0</v>
      </c>
      <c r="Q72" s="239">
        <v>0</v>
      </c>
      <c r="R72" s="239">
        <v>2248.9699730000002</v>
      </c>
      <c r="S72" s="239">
        <v>1031.9237890000002</v>
      </c>
      <c r="T72" s="239">
        <v>186.90229199999996</v>
      </c>
      <c r="U72" s="239">
        <v>0</v>
      </c>
      <c r="V72" s="239">
        <v>0</v>
      </c>
      <c r="W72" s="239">
        <v>0</v>
      </c>
      <c r="X72" s="239">
        <v>0</v>
      </c>
    </row>
    <row r="73" spans="2:24" x14ac:dyDescent="0.3">
      <c r="B73" s="238" t="s">
        <v>554</v>
      </c>
      <c r="C73" s="239">
        <v>3550.9183190000003</v>
      </c>
      <c r="D73" s="239">
        <v>0</v>
      </c>
      <c r="E73" s="239">
        <v>0</v>
      </c>
      <c r="F73" s="239">
        <v>2293.2848610000001</v>
      </c>
      <c r="G73" s="239">
        <v>1066.9933980000001</v>
      </c>
      <c r="H73" s="239">
        <v>190.64005999999998</v>
      </c>
      <c r="I73" s="239">
        <v>0</v>
      </c>
      <c r="J73" s="239">
        <v>0</v>
      </c>
      <c r="K73" s="239">
        <v>0</v>
      </c>
      <c r="L73" s="239">
        <v>0</v>
      </c>
      <c r="N73" s="238" t="s">
        <v>554</v>
      </c>
      <c r="O73" s="239">
        <v>3517.4918599999996</v>
      </c>
      <c r="P73" s="239">
        <v>0</v>
      </c>
      <c r="Q73" s="239">
        <v>0</v>
      </c>
      <c r="R73" s="239">
        <v>2270.8502950000002</v>
      </c>
      <c r="S73" s="239">
        <v>1057.8817429999995</v>
      </c>
      <c r="T73" s="239">
        <v>188.75982200000001</v>
      </c>
      <c r="U73" s="239">
        <v>0</v>
      </c>
      <c r="V73" s="239">
        <v>0</v>
      </c>
      <c r="W73" s="239">
        <v>0</v>
      </c>
      <c r="X73" s="239">
        <v>0</v>
      </c>
    </row>
    <row r="74" spans="2:24" x14ac:dyDescent="0.3">
      <c r="B74" s="238" t="s">
        <v>555</v>
      </c>
      <c r="C74" s="239">
        <v>3610.2868599999993</v>
      </c>
      <c r="D74" s="239">
        <v>0</v>
      </c>
      <c r="E74" s="239">
        <v>0</v>
      </c>
      <c r="F74" s="239">
        <v>2321.1890479999997</v>
      </c>
      <c r="G74" s="239">
        <v>1096.1055779999997</v>
      </c>
      <c r="H74" s="239">
        <v>192.99223400000002</v>
      </c>
      <c r="I74" s="239">
        <v>0</v>
      </c>
      <c r="J74" s="239">
        <v>0</v>
      </c>
      <c r="K74" s="239">
        <v>0</v>
      </c>
      <c r="L74" s="239">
        <v>0</v>
      </c>
      <c r="N74" s="238" t="s">
        <v>555</v>
      </c>
      <c r="O74" s="239">
        <v>3567.0709979999997</v>
      </c>
      <c r="P74" s="239">
        <v>0</v>
      </c>
      <c r="Q74" s="239">
        <v>0</v>
      </c>
      <c r="R74" s="239">
        <v>2292.2785549999999</v>
      </c>
      <c r="S74" s="239">
        <v>1084.2148669999999</v>
      </c>
      <c r="T74" s="239">
        <v>190.57757600000002</v>
      </c>
      <c r="U74" s="239">
        <v>0</v>
      </c>
      <c r="V74" s="239">
        <v>0</v>
      </c>
      <c r="W74" s="239">
        <v>0</v>
      </c>
      <c r="X74" s="239">
        <v>0</v>
      </c>
    </row>
    <row r="75" spans="2:24" x14ac:dyDescent="0.3">
      <c r="B75" s="238" t="s">
        <v>556</v>
      </c>
      <c r="C75" s="239">
        <v>3670.2909030000001</v>
      </c>
      <c r="D75" s="239">
        <v>0</v>
      </c>
      <c r="E75" s="239">
        <v>0</v>
      </c>
      <c r="F75" s="239">
        <v>2349.1046289999999</v>
      </c>
      <c r="G75" s="239">
        <v>1125.841036</v>
      </c>
      <c r="H75" s="239">
        <v>195.34523800000002</v>
      </c>
      <c r="I75" s="239">
        <v>0</v>
      </c>
      <c r="J75" s="239">
        <v>0</v>
      </c>
      <c r="K75" s="239">
        <v>0</v>
      </c>
      <c r="L75" s="239">
        <v>0</v>
      </c>
      <c r="N75" s="238" t="s">
        <v>556</v>
      </c>
      <c r="O75" s="239">
        <v>3616.5084050000009</v>
      </c>
      <c r="P75" s="239">
        <v>0</v>
      </c>
      <c r="Q75" s="239">
        <v>0</v>
      </c>
      <c r="R75" s="239">
        <v>2313.2426340000006</v>
      </c>
      <c r="S75" s="239">
        <v>1110.9102820000001</v>
      </c>
      <c r="T75" s="239">
        <v>192.35548900000001</v>
      </c>
      <c r="U75" s="239">
        <v>0</v>
      </c>
      <c r="V75" s="239">
        <v>0</v>
      </c>
      <c r="W75" s="239">
        <v>0</v>
      </c>
      <c r="X75" s="239">
        <v>0</v>
      </c>
    </row>
    <row r="76" spans="2:24" x14ac:dyDescent="0.3">
      <c r="B76" s="238" t="s">
        <v>557</v>
      </c>
      <c r="C76" s="239">
        <v>3730.9125919999997</v>
      </c>
      <c r="D76" s="239">
        <v>0</v>
      </c>
      <c r="E76" s="239">
        <v>0</v>
      </c>
      <c r="F76" s="239">
        <v>2377.0089339999995</v>
      </c>
      <c r="G76" s="239">
        <v>1156.2051230000002</v>
      </c>
      <c r="H76" s="239">
        <v>197.69853499999999</v>
      </c>
      <c r="I76" s="239">
        <v>0</v>
      </c>
      <c r="J76" s="239">
        <v>0</v>
      </c>
      <c r="K76" s="239">
        <v>0</v>
      </c>
      <c r="L76" s="239">
        <v>0</v>
      </c>
      <c r="N76" s="238" t="s">
        <v>557</v>
      </c>
      <c r="O76" s="239">
        <v>3665.7751429999998</v>
      </c>
      <c r="P76" s="239">
        <v>0</v>
      </c>
      <c r="Q76" s="239">
        <v>0</v>
      </c>
      <c r="R76" s="239">
        <v>2333.7221679999998</v>
      </c>
      <c r="S76" s="239">
        <v>1137.958601</v>
      </c>
      <c r="T76" s="239">
        <v>194.09437400000002</v>
      </c>
      <c r="U76" s="239">
        <v>0</v>
      </c>
      <c r="V76" s="239">
        <v>0</v>
      </c>
      <c r="W76" s="239">
        <v>0</v>
      </c>
      <c r="X76" s="239">
        <v>0</v>
      </c>
    </row>
    <row r="77" spans="2:24" x14ac:dyDescent="0.3">
      <c r="B77" s="238" t="s">
        <v>558</v>
      </c>
      <c r="C77" s="239">
        <v>3792.1693049999999</v>
      </c>
      <c r="D77" s="239">
        <v>0</v>
      </c>
      <c r="E77" s="239">
        <v>0</v>
      </c>
      <c r="F77" s="239">
        <v>2404.9027649999998</v>
      </c>
      <c r="G77" s="239">
        <v>1187.212935</v>
      </c>
      <c r="H77" s="239">
        <v>200.053605</v>
      </c>
      <c r="I77" s="239">
        <v>0</v>
      </c>
      <c r="J77" s="239">
        <v>0</v>
      </c>
      <c r="K77" s="239">
        <v>0</v>
      </c>
      <c r="L77" s="239">
        <v>0</v>
      </c>
      <c r="N77" s="238" t="s">
        <v>558</v>
      </c>
      <c r="O77" s="239">
        <v>3714.8363470000004</v>
      </c>
      <c r="P77" s="239">
        <v>0</v>
      </c>
      <c r="Q77" s="239">
        <v>0</v>
      </c>
      <c r="R77" s="239">
        <v>2353.6941529999999</v>
      </c>
      <c r="S77" s="239">
        <v>1165.3464830000003</v>
      </c>
      <c r="T77" s="239">
        <v>195.79571100000001</v>
      </c>
      <c r="U77" s="239">
        <v>0</v>
      </c>
      <c r="V77" s="239">
        <v>0</v>
      </c>
      <c r="W77" s="239">
        <v>0</v>
      </c>
      <c r="X77" s="239">
        <v>0</v>
      </c>
    </row>
    <row r="78" spans="2:24" x14ac:dyDescent="0.3">
      <c r="B78" s="238" t="s">
        <v>559</v>
      </c>
      <c r="C78" s="239">
        <v>3854.070999</v>
      </c>
      <c r="D78" s="239">
        <v>0</v>
      </c>
      <c r="E78" s="239">
        <v>0</v>
      </c>
      <c r="F78" s="239">
        <v>2432.7836590000002</v>
      </c>
      <c r="G78" s="239">
        <v>1218.875986</v>
      </c>
      <c r="H78" s="239">
        <v>202.41135399999999</v>
      </c>
      <c r="I78" s="239">
        <v>0</v>
      </c>
      <c r="J78" s="239">
        <v>0</v>
      </c>
      <c r="K78" s="239">
        <v>0</v>
      </c>
      <c r="L78" s="239">
        <v>0</v>
      </c>
      <c r="N78" s="238" t="s">
        <v>559</v>
      </c>
      <c r="O78" s="239">
        <v>3763.657725</v>
      </c>
      <c r="P78" s="239">
        <v>0</v>
      </c>
      <c r="Q78" s="239">
        <v>0</v>
      </c>
      <c r="R78" s="239">
        <v>2373.1362489999997</v>
      </c>
      <c r="S78" s="239">
        <v>1193.0612660000002</v>
      </c>
      <c r="T78" s="239">
        <v>197.46021000000002</v>
      </c>
      <c r="U78" s="239">
        <v>0</v>
      </c>
      <c r="V78" s="239">
        <v>0</v>
      </c>
      <c r="W78" s="239">
        <v>0</v>
      </c>
      <c r="X78" s="239">
        <v>0</v>
      </c>
    </row>
    <row r="79" spans="2:24" x14ac:dyDescent="0.3">
      <c r="B79" s="238" t="s">
        <v>560</v>
      </c>
      <c r="C79" s="239">
        <v>3916.575065</v>
      </c>
      <c r="D79" s="239">
        <v>0</v>
      </c>
      <c r="E79" s="239">
        <v>0</v>
      </c>
      <c r="F79" s="239">
        <v>2460.6171549999999</v>
      </c>
      <c r="G79" s="239">
        <v>1251.1878039999999</v>
      </c>
      <c r="H79" s="239">
        <v>204.770106</v>
      </c>
      <c r="I79" s="239">
        <v>0</v>
      </c>
      <c r="J79" s="239">
        <v>0</v>
      </c>
      <c r="K79" s="239">
        <v>0</v>
      </c>
      <c r="L79" s="239">
        <v>0</v>
      </c>
      <c r="N79" s="238" t="s">
        <v>560</v>
      </c>
      <c r="O79" s="239">
        <v>3812.218695</v>
      </c>
      <c r="P79" s="239">
        <v>0</v>
      </c>
      <c r="Q79" s="239">
        <v>0</v>
      </c>
      <c r="R79" s="239">
        <v>2392.0362260000002</v>
      </c>
      <c r="S79" s="239">
        <v>1221.094556</v>
      </c>
      <c r="T79" s="239">
        <v>199.08791300000001</v>
      </c>
      <c r="U79" s="239">
        <v>0</v>
      </c>
      <c r="V79" s="239">
        <v>0</v>
      </c>
      <c r="W79" s="239">
        <v>0</v>
      </c>
      <c r="X79" s="239">
        <v>0</v>
      </c>
    </row>
    <row r="80" spans="2:24" x14ac:dyDescent="0.3">
      <c r="B80" s="238" t="s">
        <v>561</v>
      </c>
      <c r="C80" s="239">
        <v>3979.5467010000011</v>
      </c>
      <c r="D80" s="239">
        <v>0</v>
      </c>
      <c r="E80" s="239">
        <v>0</v>
      </c>
      <c r="F80" s="239">
        <v>2488.3117250000005</v>
      </c>
      <c r="G80" s="239">
        <v>1284.1115820000002</v>
      </c>
      <c r="H80" s="239">
        <v>207.12339400000002</v>
      </c>
      <c r="I80" s="239">
        <v>0</v>
      </c>
      <c r="J80" s="239">
        <v>0</v>
      </c>
      <c r="K80" s="239">
        <v>0</v>
      </c>
      <c r="L80" s="239">
        <v>0</v>
      </c>
      <c r="N80" s="238" t="s">
        <v>561</v>
      </c>
      <c r="O80" s="239">
        <v>3860.495903</v>
      </c>
      <c r="P80" s="239">
        <v>0</v>
      </c>
      <c r="Q80" s="239">
        <v>0</v>
      </c>
      <c r="R80" s="239">
        <v>2410.3809649999998</v>
      </c>
      <c r="S80" s="239">
        <v>1249.43732</v>
      </c>
      <c r="T80" s="239">
        <v>200.677618</v>
      </c>
      <c r="U80" s="239">
        <v>0</v>
      </c>
      <c r="V80" s="239">
        <v>0</v>
      </c>
      <c r="W80" s="239">
        <v>0</v>
      </c>
      <c r="X80" s="239">
        <v>0</v>
      </c>
    </row>
    <row r="81" spans="2:24" x14ac:dyDescent="0.3">
      <c r="B81" s="238" t="s">
        <v>562</v>
      </c>
      <c r="C81" s="239">
        <v>4042.7418499999994</v>
      </c>
      <c r="D81" s="239">
        <v>0</v>
      </c>
      <c r="E81" s="239">
        <v>0</v>
      </c>
      <c r="F81" s="239">
        <v>2515.7080449999999</v>
      </c>
      <c r="G81" s="239">
        <v>1317.5746679999997</v>
      </c>
      <c r="H81" s="239">
        <v>209.459137</v>
      </c>
      <c r="I81" s="239">
        <v>0</v>
      </c>
      <c r="J81" s="239">
        <v>0</v>
      </c>
      <c r="K81" s="239">
        <v>0</v>
      </c>
      <c r="L81" s="239">
        <v>0</v>
      </c>
      <c r="N81" s="238" t="s">
        <v>562</v>
      </c>
      <c r="O81" s="239">
        <v>3908.4507010000007</v>
      </c>
      <c r="P81" s="239">
        <v>0</v>
      </c>
      <c r="Q81" s="239">
        <v>0</v>
      </c>
      <c r="R81" s="239">
        <v>2428.1485650000004</v>
      </c>
      <c r="S81" s="239">
        <v>1278.0747829999998</v>
      </c>
      <c r="T81" s="239">
        <v>202.22735299999999</v>
      </c>
      <c r="U81" s="239">
        <v>0</v>
      </c>
      <c r="V81" s="239">
        <v>0</v>
      </c>
      <c r="W81" s="239">
        <v>0</v>
      </c>
      <c r="X81" s="239">
        <v>0</v>
      </c>
    </row>
    <row r="82" spans="2:24" x14ac:dyDescent="0.3">
      <c r="B82" s="238" t="s">
        <v>563</v>
      </c>
      <c r="C82" s="239">
        <v>4105.8554700000004</v>
      </c>
      <c r="D82" s="239">
        <v>0</v>
      </c>
      <c r="E82" s="239">
        <v>0</v>
      </c>
      <c r="F82" s="239">
        <v>2542.609359</v>
      </c>
      <c r="G82" s="239">
        <v>1351.4840389999999</v>
      </c>
      <c r="H82" s="239">
        <v>211.76207200000002</v>
      </c>
      <c r="I82" s="239">
        <v>0</v>
      </c>
      <c r="J82" s="239">
        <v>0</v>
      </c>
      <c r="K82" s="239">
        <v>0</v>
      </c>
      <c r="L82" s="239">
        <v>0</v>
      </c>
      <c r="N82" s="238" t="s">
        <v>563</v>
      </c>
      <c r="O82" s="239">
        <v>3956.0401840000004</v>
      </c>
      <c r="P82" s="239">
        <v>0</v>
      </c>
      <c r="Q82" s="239">
        <v>0</v>
      </c>
      <c r="R82" s="239">
        <v>2445.3153880000004</v>
      </c>
      <c r="S82" s="239">
        <v>1306.9901260000001</v>
      </c>
      <c r="T82" s="239">
        <v>203.73467000000002</v>
      </c>
      <c r="U82" s="239">
        <v>0</v>
      </c>
      <c r="V82" s="239">
        <v>0</v>
      </c>
      <c r="W82" s="239">
        <v>0</v>
      </c>
      <c r="X82" s="239">
        <v>0</v>
      </c>
    </row>
    <row r="83" spans="2:24" x14ac:dyDescent="0.3">
      <c r="B83" s="238" t="s">
        <v>564</v>
      </c>
      <c r="C83" s="239">
        <v>4168.6626479999995</v>
      </c>
      <c r="D83" s="239">
        <v>0</v>
      </c>
      <c r="E83" s="239">
        <v>0</v>
      </c>
      <c r="F83" s="239">
        <v>2568.8712689999998</v>
      </c>
      <c r="G83" s="239">
        <v>1385.770317</v>
      </c>
      <c r="H83" s="239">
        <v>214.02106200000003</v>
      </c>
      <c r="I83" s="239">
        <v>0</v>
      </c>
      <c r="J83" s="239">
        <v>0</v>
      </c>
      <c r="K83" s="239">
        <v>0</v>
      </c>
      <c r="L83" s="239">
        <v>0</v>
      </c>
      <c r="N83" s="238" t="s">
        <v>564</v>
      </c>
      <c r="O83" s="239">
        <v>4003.2273379999997</v>
      </c>
      <c r="P83" s="239">
        <v>0</v>
      </c>
      <c r="Q83" s="239">
        <v>0</v>
      </c>
      <c r="R83" s="239">
        <v>2461.862482</v>
      </c>
      <c r="S83" s="239">
        <v>1336.1673509999998</v>
      </c>
      <c r="T83" s="239">
        <v>205.19750499999998</v>
      </c>
      <c r="U83" s="239">
        <v>0</v>
      </c>
      <c r="V83" s="239">
        <v>0</v>
      </c>
      <c r="W83" s="239">
        <v>0</v>
      </c>
      <c r="X83" s="239">
        <v>0</v>
      </c>
    </row>
    <row r="84" spans="2:24" x14ac:dyDescent="0.3">
      <c r="B84" s="238" t="s">
        <v>565</v>
      </c>
      <c r="C84" s="239">
        <v>4231.0652840000012</v>
      </c>
      <c r="D84" s="239">
        <v>0</v>
      </c>
      <c r="E84" s="239">
        <v>0</v>
      </c>
      <c r="F84" s="239">
        <v>2594.4318600000006</v>
      </c>
      <c r="G84" s="239">
        <v>1420.4021490000002</v>
      </c>
      <c r="H84" s="239">
        <v>216.23127500000001</v>
      </c>
      <c r="I84" s="239">
        <v>0</v>
      </c>
      <c r="J84" s="239">
        <v>0</v>
      </c>
      <c r="K84" s="239">
        <v>0</v>
      </c>
      <c r="L84" s="239">
        <v>0</v>
      </c>
      <c r="N84" s="238" t="s">
        <v>565</v>
      </c>
      <c r="O84" s="239">
        <v>4049.9862130000001</v>
      </c>
      <c r="P84" s="239">
        <v>0</v>
      </c>
      <c r="Q84" s="239">
        <v>0</v>
      </c>
      <c r="R84" s="239">
        <v>2477.7787709999998</v>
      </c>
      <c r="S84" s="239">
        <v>1365.5924219999999</v>
      </c>
      <c r="T84" s="239">
        <v>206.61501999999999</v>
      </c>
      <c r="U84" s="239">
        <v>0</v>
      </c>
      <c r="V84" s="239">
        <v>0</v>
      </c>
      <c r="W84" s="239">
        <v>0</v>
      </c>
      <c r="X84" s="239">
        <v>0</v>
      </c>
    </row>
    <row r="85" spans="2:24" x14ac:dyDescent="0.3">
      <c r="B85" s="238" t="s">
        <v>566</v>
      </c>
      <c r="C85" s="239">
        <v>4293.0913989999999</v>
      </c>
      <c r="D85" s="239">
        <v>0</v>
      </c>
      <c r="E85" s="239">
        <v>0</v>
      </c>
      <c r="F85" s="239">
        <v>2619.3097299999999</v>
      </c>
      <c r="G85" s="239">
        <v>1455.387256</v>
      </c>
      <c r="H85" s="239">
        <v>218.39441300000004</v>
      </c>
      <c r="I85" s="239">
        <v>0</v>
      </c>
      <c r="J85" s="239">
        <v>0</v>
      </c>
      <c r="K85" s="239">
        <v>0</v>
      </c>
      <c r="L85" s="239">
        <v>0</v>
      </c>
      <c r="N85" s="238" t="s">
        <v>566</v>
      </c>
      <c r="O85" s="239">
        <v>4096.2999259999997</v>
      </c>
      <c r="P85" s="239">
        <v>0</v>
      </c>
      <c r="Q85" s="239">
        <v>0</v>
      </c>
      <c r="R85" s="239">
        <v>2493.0594579999997</v>
      </c>
      <c r="S85" s="239">
        <v>1395.2533649999998</v>
      </c>
      <c r="T85" s="239">
        <v>207.98710299999999</v>
      </c>
      <c r="U85" s="239">
        <v>0</v>
      </c>
      <c r="V85" s="239">
        <v>0</v>
      </c>
      <c r="W85" s="239">
        <v>0</v>
      </c>
      <c r="X85" s="239">
        <v>0</v>
      </c>
    </row>
    <row r="86" spans="2:24" x14ac:dyDescent="0.3">
      <c r="B86" s="238" t="s">
        <v>567</v>
      </c>
      <c r="C86" s="239">
        <v>4354.8058869999995</v>
      </c>
      <c r="D86" s="239">
        <v>0</v>
      </c>
      <c r="E86" s="239">
        <v>0</v>
      </c>
      <c r="F86" s="239">
        <v>2643.5457240000005</v>
      </c>
      <c r="G86" s="239">
        <v>1490.7452929999995</v>
      </c>
      <c r="H86" s="239">
        <v>220.51487</v>
      </c>
      <c r="I86" s="239">
        <v>0</v>
      </c>
      <c r="J86" s="239">
        <v>0</v>
      </c>
      <c r="K86" s="239">
        <v>0</v>
      </c>
      <c r="L86" s="239">
        <v>0</v>
      </c>
      <c r="N86" s="238" t="s">
        <v>567</v>
      </c>
      <c r="O86" s="239">
        <v>4142.1527169999999</v>
      </c>
      <c r="P86" s="239">
        <v>0</v>
      </c>
      <c r="Q86" s="239">
        <v>0</v>
      </c>
      <c r="R86" s="239">
        <v>2507.7008540000002</v>
      </c>
      <c r="S86" s="239">
        <v>1425.1386219999999</v>
      </c>
      <c r="T86" s="239">
        <v>209.313241</v>
      </c>
      <c r="U86" s="239">
        <v>0</v>
      </c>
      <c r="V86" s="239">
        <v>0</v>
      </c>
      <c r="W86" s="239">
        <v>0</v>
      </c>
      <c r="X86" s="239">
        <v>0</v>
      </c>
    </row>
    <row r="87" spans="2:24" x14ac:dyDescent="0.3">
      <c r="B87" s="238" t="s">
        <v>568</v>
      </c>
      <c r="C87" s="239">
        <v>4416.3338180000001</v>
      </c>
      <c r="D87" s="239">
        <v>0</v>
      </c>
      <c r="E87" s="239">
        <v>0</v>
      </c>
      <c r="F87" s="239">
        <v>2667.2194269999995</v>
      </c>
      <c r="G87" s="239">
        <v>1526.514171</v>
      </c>
      <c r="H87" s="239">
        <v>222.60022000000001</v>
      </c>
      <c r="I87" s="239">
        <v>0</v>
      </c>
      <c r="J87" s="239">
        <v>0</v>
      </c>
      <c r="K87" s="239">
        <v>0</v>
      </c>
      <c r="L87" s="239">
        <v>0</v>
      </c>
      <c r="N87" s="238" t="s">
        <v>568</v>
      </c>
      <c r="O87" s="239">
        <v>4187.5331920000008</v>
      </c>
      <c r="P87" s="239">
        <v>0</v>
      </c>
      <c r="Q87" s="239">
        <v>0</v>
      </c>
      <c r="R87" s="239">
        <v>2521.7026280000005</v>
      </c>
      <c r="S87" s="239">
        <v>1455.2373109999999</v>
      </c>
      <c r="T87" s="239">
        <v>210.593253</v>
      </c>
      <c r="U87" s="239">
        <v>0</v>
      </c>
      <c r="V87" s="239">
        <v>0</v>
      </c>
      <c r="W87" s="239">
        <v>0</v>
      </c>
      <c r="X87" s="239">
        <v>0</v>
      </c>
    </row>
    <row r="88" spans="2:24" x14ac:dyDescent="0.3">
      <c r="B88" s="238" t="s">
        <v>569</v>
      </c>
      <c r="C88" s="239">
        <v>4477.7784359999996</v>
      </c>
      <c r="D88" s="239">
        <v>0</v>
      </c>
      <c r="E88" s="239">
        <v>0</v>
      </c>
      <c r="F88" s="239">
        <v>2690.399347</v>
      </c>
      <c r="G88" s="239">
        <v>1562.7225379999998</v>
      </c>
      <c r="H88" s="239">
        <v>224.65655100000001</v>
      </c>
      <c r="I88" s="239">
        <v>0</v>
      </c>
      <c r="J88" s="239">
        <v>0</v>
      </c>
      <c r="K88" s="239">
        <v>0</v>
      </c>
      <c r="L88" s="239">
        <v>0</v>
      </c>
      <c r="N88" s="238" t="s">
        <v>569</v>
      </c>
      <c r="O88" s="239">
        <v>4232.429599000001</v>
      </c>
      <c r="P88" s="239">
        <v>0</v>
      </c>
      <c r="Q88" s="239">
        <v>0</v>
      </c>
      <c r="R88" s="239">
        <v>2535.0654110000005</v>
      </c>
      <c r="S88" s="239">
        <v>1485.5373220000004</v>
      </c>
      <c r="T88" s="239">
        <v>211.826866</v>
      </c>
      <c r="U88" s="239">
        <v>0</v>
      </c>
      <c r="V88" s="239">
        <v>0</v>
      </c>
      <c r="W88" s="239">
        <v>0</v>
      </c>
      <c r="X88" s="239">
        <v>0</v>
      </c>
    </row>
    <row r="89" spans="2:24" x14ac:dyDescent="0.3">
      <c r="B89" s="238" t="s">
        <v>570</v>
      </c>
      <c r="C89" s="239">
        <v>4539.1491480000004</v>
      </c>
      <c r="D89" s="239">
        <v>0</v>
      </c>
      <c r="E89" s="239">
        <v>0</v>
      </c>
      <c r="F89" s="239">
        <v>2713.094912</v>
      </c>
      <c r="G89" s="239">
        <v>1599.3697020000002</v>
      </c>
      <c r="H89" s="239">
        <v>226.68453400000001</v>
      </c>
      <c r="I89" s="239">
        <v>0</v>
      </c>
      <c r="J89" s="239">
        <v>0</v>
      </c>
      <c r="K89" s="239">
        <v>0</v>
      </c>
      <c r="L89" s="239">
        <v>0</v>
      </c>
      <c r="N89" s="238" t="s">
        <v>570</v>
      </c>
      <c r="O89" s="239">
        <v>4276.8246119999994</v>
      </c>
      <c r="P89" s="239">
        <v>0</v>
      </c>
      <c r="Q89" s="239">
        <v>0</v>
      </c>
      <c r="R89" s="239">
        <v>2547.7858919999994</v>
      </c>
      <c r="S89" s="239">
        <v>1516.0251599999997</v>
      </c>
      <c r="T89" s="239">
        <v>213.01355999999998</v>
      </c>
      <c r="U89" s="239">
        <v>0</v>
      </c>
      <c r="V89" s="239">
        <v>0</v>
      </c>
      <c r="W89" s="239">
        <v>0</v>
      </c>
      <c r="X89" s="239">
        <v>0</v>
      </c>
    </row>
    <row r="90" spans="2:24" x14ac:dyDescent="0.3">
      <c r="B90" s="238" t="s">
        <v>571</v>
      </c>
      <c r="C90" s="239">
        <v>4600.441178</v>
      </c>
      <c r="D90" s="239">
        <v>0</v>
      </c>
      <c r="E90" s="239">
        <v>0</v>
      </c>
      <c r="F90" s="239">
        <v>2735.3127829999999</v>
      </c>
      <c r="G90" s="239">
        <v>1636.4448349999996</v>
      </c>
      <c r="H90" s="239">
        <v>228.68355999999997</v>
      </c>
      <c r="I90" s="239">
        <v>0</v>
      </c>
      <c r="J90" s="239">
        <v>0</v>
      </c>
      <c r="K90" s="239">
        <v>0</v>
      </c>
      <c r="L90" s="239">
        <v>0</v>
      </c>
      <c r="N90" s="238" t="s">
        <v>571</v>
      </c>
      <c r="O90" s="239">
        <v>4320.7020709999997</v>
      </c>
      <c r="P90" s="239">
        <v>0</v>
      </c>
      <c r="Q90" s="239">
        <v>0</v>
      </c>
      <c r="R90" s="239">
        <v>2559.8644989999998</v>
      </c>
      <c r="S90" s="239">
        <v>1546.6846860000005</v>
      </c>
      <c r="T90" s="239">
        <v>214.152886</v>
      </c>
      <c r="U90" s="239">
        <v>0</v>
      </c>
      <c r="V90" s="239">
        <v>0</v>
      </c>
      <c r="W90" s="239">
        <v>0</v>
      </c>
      <c r="X90" s="239">
        <v>0</v>
      </c>
    </row>
    <row r="91" spans="2:24" x14ac:dyDescent="0.3">
      <c r="B91" s="238" t="s">
        <v>572</v>
      </c>
      <c r="C91" s="239">
        <v>4661.7339979999988</v>
      </c>
      <c r="D91" s="239">
        <v>0</v>
      </c>
      <c r="E91" s="239">
        <v>0</v>
      </c>
      <c r="F91" s="239">
        <v>2757.1210899999996</v>
      </c>
      <c r="G91" s="239">
        <v>1673.955899</v>
      </c>
      <c r="H91" s="239">
        <v>230.65700899999999</v>
      </c>
      <c r="I91" s="239">
        <v>0</v>
      </c>
      <c r="J91" s="239">
        <v>0</v>
      </c>
      <c r="K91" s="239">
        <v>0</v>
      </c>
      <c r="L91" s="239">
        <v>0</v>
      </c>
      <c r="N91" s="238" t="s">
        <v>572</v>
      </c>
      <c r="O91" s="239">
        <v>4364.0530139999992</v>
      </c>
      <c r="P91" s="239">
        <v>0</v>
      </c>
      <c r="Q91" s="239">
        <v>0</v>
      </c>
      <c r="R91" s="239">
        <v>2571.3109039999995</v>
      </c>
      <c r="S91" s="239">
        <v>1577.4971110000001</v>
      </c>
      <c r="T91" s="239">
        <v>215.24499900000001</v>
      </c>
      <c r="U91" s="239">
        <v>0</v>
      </c>
      <c r="V91" s="239">
        <v>0</v>
      </c>
      <c r="W91" s="239">
        <v>0</v>
      </c>
      <c r="X91" s="239">
        <v>0</v>
      </c>
    </row>
    <row r="92" spans="2:24" x14ac:dyDescent="0.3">
      <c r="B92" s="238" t="s">
        <v>573</v>
      </c>
      <c r="C92" s="239">
        <v>4723.1242750000001</v>
      </c>
      <c r="D92" s="239">
        <v>0</v>
      </c>
      <c r="E92" s="239">
        <v>0</v>
      </c>
      <c r="F92" s="239">
        <v>2778.6036710000003</v>
      </c>
      <c r="G92" s="239">
        <v>1711.9117450000001</v>
      </c>
      <c r="H92" s="239">
        <v>232.608859</v>
      </c>
      <c r="I92" s="239">
        <v>0</v>
      </c>
      <c r="J92" s="239">
        <v>0</v>
      </c>
      <c r="K92" s="239">
        <v>0</v>
      </c>
      <c r="L92" s="239">
        <v>0</v>
      </c>
      <c r="N92" s="238" t="s">
        <v>573</v>
      </c>
      <c r="O92" s="239">
        <v>4406.8709280000003</v>
      </c>
      <c r="P92" s="239">
        <v>0</v>
      </c>
      <c r="Q92" s="239">
        <v>0</v>
      </c>
      <c r="R92" s="239">
        <v>2582.1387949999998</v>
      </c>
      <c r="S92" s="239">
        <v>1608.4418780000001</v>
      </c>
      <c r="T92" s="239">
        <v>216.290255</v>
      </c>
      <c r="U92" s="239">
        <v>0</v>
      </c>
      <c r="V92" s="239">
        <v>0</v>
      </c>
      <c r="W92" s="239">
        <v>0</v>
      </c>
      <c r="X92" s="239">
        <v>0</v>
      </c>
    </row>
    <row r="93" spans="2:24" x14ac:dyDescent="0.3">
      <c r="B93" s="238" t="s">
        <v>574</v>
      </c>
      <c r="C93" s="239">
        <v>4784.6921730000004</v>
      </c>
      <c r="D93" s="239">
        <v>0</v>
      </c>
      <c r="E93" s="239">
        <v>0</v>
      </c>
      <c r="F93" s="239">
        <v>2799.8308160000001</v>
      </c>
      <c r="G93" s="239">
        <v>1750.3190269999998</v>
      </c>
      <c r="H93" s="239">
        <v>234.54232999999999</v>
      </c>
      <c r="I93" s="239">
        <v>0</v>
      </c>
      <c r="J93" s="239">
        <v>0</v>
      </c>
      <c r="K93" s="239">
        <v>0</v>
      </c>
      <c r="L93" s="239">
        <v>0</v>
      </c>
      <c r="N93" s="238" t="s">
        <v>574</v>
      </c>
      <c r="O93" s="239">
        <v>4449.1482260000002</v>
      </c>
      <c r="P93" s="239">
        <v>0</v>
      </c>
      <c r="Q93" s="239">
        <v>0</v>
      </c>
      <c r="R93" s="239">
        <v>2592.3594680000006</v>
      </c>
      <c r="S93" s="239">
        <v>1639.500004</v>
      </c>
      <c r="T93" s="239">
        <v>217.28875399999998</v>
      </c>
      <c r="U93" s="239">
        <v>0</v>
      </c>
      <c r="V93" s="239">
        <v>0</v>
      </c>
      <c r="W93" s="239">
        <v>0</v>
      </c>
      <c r="X93" s="239">
        <v>0</v>
      </c>
    </row>
    <row r="94" spans="2:24" x14ac:dyDescent="0.3">
      <c r="B94" s="238" t="s">
        <v>575</v>
      </c>
      <c r="C94" s="239">
        <v>4846.4695289999991</v>
      </c>
      <c r="D94" s="239">
        <v>0</v>
      </c>
      <c r="E94" s="239">
        <v>0</v>
      </c>
      <c r="F94" s="239">
        <v>2820.8317299999999</v>
      </c>
      <c r="G94" s="239">
        <v>1789.1786649999999</v>
      </c>
      <c r="H94" s="239">
        <v>236.45913399999998</v>
      </c>
      <c r="I94" s="239">
        <v>0</v>
      </c>
      <c r="J94" s="239">
        <v>0</v>
      </c>
      <c r="K94" s="239">
        <v>0</v>
      </c>
      <c r="L94" s="239">
        <v>0</v>
      </c>
      <c r="N94" s="238" t="s">
        <v>575</v>
      </c>
      <c r="O94" s="239">
        <v>4490.8728170000004</v>
      </c>
      <c r="P94" s="239">
        <v>0</v>
      </c>
      <c r="Q94" s="239">
        <v>0</v>
      </c>
      <c r="R94" s="239">
        <v>2601.9766240000004</v>
      </c>
      <c r="S94" s="239">
        <v>1670.6556050000002</v>
      </c>
      <c r="T94" s="239">
        <v>218.240588</v>
      </c>
      <c r="U94" s="239">
        <v>0</v>
      </c>
      <c r="V94" s="239">
        <v>0</v>
      </c>
      <c r="W94" s="239">
        <v>0</v>
      </c>
      <c r="X94" s="239">
        <v>0</v>
      </c>
    </row>
    <row r="95" spans="2:24" x14ac:dyDescent="0.3">
      <c r="B95" s="238" t="s">
        <v>576</v>
      </c>
      <c r="C95" s="239">
        <v>4908.4761040000003</v>
      </c>
      <c r="D95" s="239">
        <v>0</v>
      </c>
      <c r="E95" s="239">
        <v>0</v>
      </c>
      <c r="F95" s="239">
        <v>2841.6265099999996</v>
      </c>
      <c r="G95" s="239">
        <v>1828.4896670000001</v>
      </c>
      <c r="H95" s="239">
        <v>238.359927</v>
      </c>
      <c r="I95" s="239">
        <v>0</v>
      </c>
      <c r="J95" s="239">
        <v>0</v>
      </c>
      <c r="K95" s="239">
        <v>0</v>
      </c>
      <c r="L95" s="239">
        <v>0</v>
      </c>
      <c r="N95" s="238" t="s">
        <v>576</v>
      </c>
      <c r="O95" s="239">
        <v>4532.0315599999994</v>
      </c>
      <c r="P95" s="239">
        <v>0</v>
      </c>
      <c r="Q95" s="239">
        <v>0</v>
      </c>
      <c r="R95" s="239">
        <v>2610.991661</v>
      </c>
      <c r="S95" s="239">
        <v>1701.8945399999998</v>
      </c>
      <c r="T95" s="239">
        <v>219.14535899999998</v>
      </c>
      <c r="U95" s="239">
        <v>0</v>
      </c>
      <c r="V95" s="239">
        <v>0</v>
      </c>
      <c r="W95" s="239">
        <v>0</v>
      </c>
      <c r="X95" s="239">
        <v>0</v>
      </c>
    </row>
    <row r="96" spans="2:24" x14ac:dyDescent="0.3">
      <c r="B96" s="238" t="s">
        <v>577</v>
      </c>
      <c r="C96" s="239">
        <v>4970.7625660000003</v>
      </c>
      <c r="D96" s="239">
        <v>0</v>
      </c>
      <c r="E96" s="239">
        <v>0</v>
      </c>
      <c r="F96" s="239">
        <v>2862.263958</v>
      </c>
      <c r="G96" s="239">
        <v>1868.2531240000003</v>
      </c>
      <c r="H96" s="239">
        <v>240.24548399999998</v>
      </c>
      <c r="I96" s="239">
        <v>0</v>
      </c>
      <c r="J96" s="239">
        <v>0</v>
      </c>
      <c r="K96" s="239">
        <v>0</v>
      </c>
      <c r="L96" s="239">
        <v>0</v>
      </c>
      <c r="N96" s="238" t="s">
        <v>577</v>
      </c>
      <c r="O96" s="239">
        <v>4572.613832</v>
      </c>
      <c r="P96" s="239">
        <v>0</v>
      </c>
      <c r="Q96" s="239">
        <v>0</v>
      </c>
      <c r="R96" s="239">
        <v>2619.4107960000001</v>
      </c>
      <c r="S96" s="239">
        <v>1733.2007329999997</v>
      </c>
      <c r="T96" s="239">
        <v>220.00230299999998</v>
      </c>
      <c r="U96" s="239">
        <v>0</v>
      </c>
      <c r="V96" s="239">
        <v>0</v>
      </c>
      <c r="W96" s="239">
        <v>0</v>
      </c>
      <c r="X96" s="239">
        <v>0</v>
      </c>
    </row>
    <row r="97" spans="2:24" x14ac:dyDescent="0.3">
      <c r="B97" s="238" t="s">
        <v>578</v>
      </c>
      <c r="C97" s="239">
        <v>5033.3802999999989</v>
      </c>
      <c r="D97" s="239">
        <v>0</v>
      </c>
      <c r="E97" s="239">
        <v>0</v>
      </c>
      <c r="F97" s="239">
        <v>2882.794688</v>
      </c>
      <c r="G97" s="239">
        <v>1908.4697179999991</v>
      </c>
      <c r="H97" s="239">
        <v>242.11589400000003</v>
      </c>
      <c r="I97" s="239">
        <v>0</v>
      </c>
      <c r="J97" s="239">
        <v>0</v>
      </c>
      <c r="K97" s="239">
        <v>0</v>
      </c>
      <c r="L97" s="239">
        <v>0</v>
      </c>
      <c r="N97" s="238" t="s">
        <v>578</v>
      </c>
      <c r="O97" s="239">
        <v>4612.6095120000018</v>
      </c>
      <c r="P97" s="239">
        <v>0</v>
      </c>
      <c r="Q97" s="239">
        <v>0</v>
      </c>
      <c r="R97" s="239">
        <v>2627.2406930000006</v>
      </c>
      <c r="S97" s="239">
        <v>1764.5584700000004</v>
      </c>
      <c r="T97" s="239">
        <v>220.81034900000003</v>
      </c>
      <c r="U97" s="239">
        <v>0</v>
      </c>
      <c r="V97" s="239">
        <v>0</v>
      </c>
      <c r="W97" s="239">
        <v>0</v>
      </c>
      <c r="X97" s="239">
        <v>0</v>
      </c>
    </row>
    <row r="98" spans="2:24" x14ac:dyDescent="0.3">
      <c r="B98" s="238" t="s">
        <v>579</v>
      </c>
      <c r="C98" s="239">
        <v>5096.3641779999998</v>
      </c>
      <c r="D98" s="239">
        <v>0</v>
      </c>
      <c r="E98" s="239">
        <v>0</v>
      </c>
      <c r="F98" s="239">
        <v>2903.2548900000002</v>
      </c>
      <c r="G98" s="239">
        <v>1949.1378479999996</v>
      </c>
      <c r="H98" s="239">
        <v>243.97144</v>
      </c>
      <c r="I98" s="239">
        <v>0</v>
      </c>
      <c r="J98" s="239">
        <v>0</v>
      </c>
      <c r="K98" s="239">
        <v>0</v>
      </c>
      <c r="L98" s="239">
        <v>0</v>
      </c>
      <c r="N98" s="238" t="s">
        <v>579</v>
      </c>
      <c r="O98" s="239">
        <v>4652.0074999999997</v>
      </c>
      <c r="P98" s="239">
        <v>0</v>
      </c>
      <c r="Q98" s="239">
        <v>0</v>
      </c>
      <c r="R98" s="239">
        <v>2634.4864889999999</v>
      </c>
      <c r="S98" s="239">
        <v>1795.9521660000003</v>
      </c>
      <c r="T98" s="239">
        <v>221.56884500000001</v>
      </c>
      <c r="U98" s="239">
        <v>0</v>
      </c>
      <c r="V98" s="239">
        <v>0</v>
      </c>
      <c r="W98" s="239">
        <v>0</v>
      </c>
      <c r="X98" s="239">
        <v>0</v>
      </c>
    </row>
    <row r="99" spans="2:24" x14ac:dyDescent="0.3">
      <c r="B99" s="238" t="s">
        <v>580</v>
      </c>
      <c r="C99" s="239">
        <v>5159.731479</v>
      </c>
      <c r="D99" s="239">
        <v>0</v>
      </c>
      <c r="E99" s="239">
        <v>0</v>
      </c>
      <c r="F99" s="239">
        <v>2923.6653690000003</v>
      </c>
      <c r="G99" s="239">
        <v>1990.253622</v>
      </c>
      <c r="H99" s="239">
        <v>245.81248799999997</v>
      </c>
      <c r="I99" s="239">
        <v>0</v>
      </c>
      <c r="J99" s="239">
        <v>0</v>
      </c>
      <c r="K99" s="239">
        <v>0</v>
      </c>
      <c r="L99" s="239">
        <v>0</v>
      </c>
      <c r="N99" s="238" t="s">
        <v>580</v>
      </c>
      <c r="O99" s="239">
        <v>4690.7984639999995</v>
      </c>
      <c r="P99" s="239">
        <v>0</v>
      </c>
      <c r="Q99" s="239">
        <v>0</v>
      </c>
      <c r="R99" s="239">
        <v>2641.1536859999997</v>
      </c>
      <c r="S99" s="239">
        <v>1827.3671710000001</v>
      </c>
      <c r="T99" s="239">
        <v>222.27760699999999</v>
      </c>
      <c r="U99" s="239">
        <v>0</v>
      </c>
      <c r="V99" s="239">
        <v>0</v>
      </c>
      <c r="W99" s="239">
        <v>0</v>
      </c>
      <c r="X99" s="239">
        <v>0</v>
      </c>
    </row>
    <row r="100" spans="2:24" x14ac:dyDescent="0.3">
      <c r="B100" s="238" t="s">
        <v>581</v>
      </c>
      <c r="C100" s="239">
        <v>5223.4731890000003</v>
      </c>
      <c r="D100" s="239">
        <v>0</v>
      </c>
      <c r="E100" s="239">
        <v>0</v>
      </c>
      <c r="F100" s="239">
        <v>2944.0236460000001</v>
      </c>
      <c r="G100" s="239">
        <v>2031.8101160000003</v>
      </c>
      <c r="H100" s="239">
        <v>247.63942699999998</v>
      </c>
      <c r="I100" s="239">
        <v>0</v>
      </c>
      <c r="J100" s="239">
        <v>0</v>
      </c>
      <c r="K100" s="239">
        <v>0</v>
      </c>
      <c r="L100" s="239">
        <v>0</v>
      </c>
      <c r="N100" s="238" t="s">
        <v>581</v>
      </c>
      <c r="O100" s="239">
        <v>4728.9706459999998</v>
      </c>
      <c r="P100" s="239">
        <v>0</v>
      </c>
      <c r="Q100" s="239">
        <v>0</v>
      </c>
      <c r="R100" s="239">
        <v>2647.244181</v>
      </c>
      <c r="S100" s="239">
        <v>1858.7894529999999</v>
      </c>
      <c r="T100" s="239">
        <v>222.93701200000001</v>
      </c>
      <c r="U100" s="239">
        <v>0</v>
      </c>
      <c r="V100" s="239">
        <v>0</v>
      </c>
      <c r="W100" s="239">
        <v>0</v>
      </c>
      <c r="X100" s="239">
        <v>0</v>
      </c>
    </row>
    <row r="101" spans="2:24" x14ac:dyDescent="0.3">
      <c r="B101" s="238" t="s">
        <v>582</v>
      </c>
      <c r="C101" s="239">
        <v>5287.5592429999997</v>
      </c>
      <c r="D101" s="239">
        <v>0</v>
      </c>
      <c r="E101" s="239">
        <v>0</v>
      </c>
      <c r="F101" s="239">
        <v>2964.3098650000002</v>
      </c>
      <c r="G101" s="239">
        <v>2073.7974360000003</v>
      </c>
      <c r="H101" s="239">
        <v>249.45194199999997</v>
      </c>
      <c r="I101" s="239">
        <v>0</v>
      </c>
      <c r="J101" s="239">
        <v>0</v>
      </c>
      <c r="K101" s="239">
        <v>0</v>
      </c>
      <c r="L101" s="239">
        <v>0</v>
      </c>
      <c r="N101" s="238" t="s">
        <v>582</v>
      </c>
      <c r="O101" s="239">
        <v>4766.5081020000007</v>
      </c>
      <c r="P101" s="239">
        <v>0</v>
      </c>
      <c r="Q101" s="239">
        <v>0</v>
      </c>
      <c r="R101" s="239">
        <v>2652.7548230000002</v>
      </c>
      <c r="S101" s="239">
        <v>1890.2058320000001</v>
      </c>
      <c r="T101" s="239">
        <v>223.54744699999998</v>
      </c>
      <c r="U101" s="239">
        <v>0</v>
      </c>
      <c r="V101" s="239">
        <v>0</v>
      </c>
      <c r="W101" s="239">
        <v>0</v>
      </c>
      <c r="X101" s="239">
        <v>0</v>
      </c>
    </row>
    <row r="102" spans="2:24" x14ac:dyDescent="0.3">
      <c r="B102" s="238" t="s">
        <v>583</v>
      </c>
      <c r="C102" s="239">
        <v>5351.941941</v>
      </c>
      <c r="D102" s="239">
        <v>0</v>
      </c>
      <c r="E102" s="239">
        <v>0</v>
      </c>
      <c r="F102" s="239">
        <v>2984.4891210000001</v>
      </c>
      <c r="G102" s="239">
        <v>2116.2034040000003</v>
      </c>
      <c r="H102" s="239">
        <v>251.249416</v>
      </c>
      <c r="I102" s="239">
        <v>0</v>
      </c>
      <c r="J102" s="239">
        <v>0</v>
      </c>
      <c r="K102" s="239">
        <v>0</v>
      </c>
      <c r="L102" s="239">
        <v>0</v>
      </c>
      <c r="N102" s="238" t="s">
        <v>583</v>
      </c>
      <c r="O102" s="239">
        <v>4803.3932189999996</v>
      </c>
      <c r="P102" s="239">
        <v>0</v>
      </c>
      <c r="Q102" s="239">
        <v>0</v>
      </c>
      <c r="R102" s="239">
        <v>2657.6800079999994</v>
      </c>
      <c r="S102" s="239">
        <v>1921.6034790000006</v>
      </c>
      <c r="T102" s="239">
        <v>224.10973200000001</v>
      </c>
      <c r="U102" s="239">
        <v>0</v>
      </c>
      <c r="V102" s="239">
        <v>0</v>
      </c>
      <c r="W102" s="239">
        <v>0</v>
      </c>
      <c r="X102" s="239">
        <v>0</v>
      </c>
    </row>
    <row r="103" spans="2:24" x14ac:dyDescent="0.3">
      <c r="B103" s="238" t="s">
        <v>584</v>
      </c>
      <c r="C103" s="239">
        <v>5416.5764099999997</v>
      </c>
      <c r="D103" s="239">
        <v>0</v>
      </c>
      <c r="E103" s="239">
        <v>0</v>
      </c>
      <c r="F103" s="239">
        <v>3004.5295109999997</v>
      </c>
      <c r="G103" s="239">
        <v>2159.0156270000002</v>
      </c>
      <c r="H103" s="239">
        <v>253.031272</v>
      </c>
      <c r="I103" s="239">
        <v>0</v>
      </c>
      <c r="J103" s="239">
        <v>0</v>
      </c>
      <c r="K103" s="239">
        <v>0</v>
      </c>
      <c r="L103" s="239">
        <v>0</v>
      </c>
      <c r="N103" s="238" t="s">
        <v>584</v>
      </c>
      <c r="O103" s="239">
        <v>4839.6111360000004</v>
      </c>
      <c r="P103" s="239">
        <v>0</v>
      </c>
      <c r="Q103" s="239">
        <v>0</v>
      </c>
      <c r="R103" s="239">
        <v>2662.0165929999998</v>
      </c>
      <c r="S103" s="239">
        <v>1952.9700260000004</v>
      </c>
      <c r="T103" s="239">
        <v>224.62451700000003</v>
      </c>
      <c r="U103" s="239">
        <v>0</v>
      </c>
      <c r="V103" s="239">
        <v>0</v>
      </c>
      <c r="W103" s="239">
        <v>0</v>
      </c>
      <c r="X103" s="239">
        <v>0</v>
      </c>
    </row>
    <row r="104" spans="2:24" x14ac:dyDescent="0.3">
      <c r="B104" s="238" t="s">
        <v>585</v>
      </c>
      <c r="C104" s="239">
        <v>5481.4438510000009</v>
      </c>
      <c r="D104" s="239">
        <v>0</v>
      </c>
      <c r="E104" s="239">
        <v>0</v>
      </c>
      <c r="F104" s="239">
        <v>3024.4229840000007</v>
      </c>
      <c r="G104" s="239">
        <v>2202.2236880000005</v>
      </c>
      <c r="H104" s="239">
        <v>254.79717899999997</v>
      </c>
      <c r="I104" s="239">
        <v>0</v>
      </c>
      <c r="J104" s="239">
        <v>0</v>
      </c>
      <c r="K104" s="239">
        <v>0</v>
      </c>
      <c r="L104" s="239">
        <v>0</v>
      </c>
      <c r="N104" s="238" t="s">
        <v>585</v>
      </c>
      <c r="O104" s="239">
        <v>4875.1497749999999</v>
      </c>
      <c r="P104" s="239">
        <v>0</v>
      </c>
      <c r="Q104" s="239">
        <v>0</v>
      </c>
      <c r="R104" s="239">
        <v>2665.7661059999996</v>
      </c>
      <c r="S104" s="239">
        <v>1984.2916300000002</v>
      </c>
      <c r="T104" s="239">
        <v>225.092039</v>
      </c>
      <c r="U104" s="239">
        <v>0</v>
      </c>
      <c r="V104" s="239">
        <v>0</v>
      </c>
      <c r="W104" s="239">
        <v>0</v>
      </c>
      <c r="X104" s="239">
        <v>0</v>
      </c>
    </row>
    <row r="105" spans="2:24" x14ac:dyDescent="0.3">
      <c r="B105" s="238" t="s">
        <v>586</v>
      </c>
      <c r="C105" s="239">
        <v>5546.5212519999995</v>
      </c>
      <c r="D105" s="239">
        <v>0</v>
      </c>
      <c r="E105" s="239">
        <v>0</v>
      </c>
      <c r="F105" s="239">
        <v>3044.1583409999998</v>
      </c>
      <c r="G105" s="239">
        <v>2245.8162440000001</v>
      </c>
      <c r="H105" s="239">
        <v>256.54666700000001</v>
      </c>
      <c r="I105" s="239">
        <v>0</v>
      </c>
      <c r="J105" s="239">
        <v>0</v>
      </c>
      <c r="K105" s="239">
        <v>0</v>
      </c>
      <c r="L105" s="239">
        <v>0</v>
      </c>
      <c r="N105" s="238" t="s">
        <v>586</v>
      </c>
      <c r="O105" s="239">
        <v>4910.0019010000005</v>
      </c>
      <c r="P105" s="239">
        <v>0</v>
      </c>
      <c r="Q105" s="239">
        <v>0</v>
      </c>
      <c r="R105" s="239">
        <v>2668.9340309999998</v>
      </c>
      <c r="S105" s="239">
        <v>2015.5552510000002</v>
      </c>
      <c r="T105" s="239">
        <v>225.512619</v>
      </c>
      <c r="U105" s="239">
        <v>0</v>
      </c>
      <c r="V105" s="239">
        <v>0</v>
      </c>
      <c r="W105" s="239">
        <v>0</v>
      </c>
      <c r="X105" s="239">
        <v>0</v>
      </c>
    </row>
    <row r="106" spans="2:24" x14ac:dyDescent="0.3">
      <c r="B106" s="238" t="s">
        <v>587</v>
      </c>
      <c r="C106" s="239">
        <v>5611.7495570000001</v>
      </c>
      <c r="D106" s="239">
        <v>0</v>
      </c>
      <c r="E106" s="239">
        <v>0</v>
      </c>
      <c r="F106" s="239">
        <v>3063.6943809999998</v>
      </c>
      <c r="G106" s="239">
        <v>2289.776754</v>
      </c>
      <c r="H106" s="239">
        <v>258.27842199999998</v>
      </c>
      <c r="I106" s="239">
        <v>0</v>
      </c>
      <c r="J106" s="239">
        <v>0</v>
      </c>
      <c r="K106" s="239">
        <v>0</v>
      </c>
      <c r="L106" s="239">
        <v>0</v>
      </c>
      <c r="N106" s="238" t="s">
        <v>587</v>
      </c>
      <c r="O106" s="239">
        <v>4944.1626770000012</v>
      </c>
      <c r="P106" s="239">
        <v>0</v>
      </c>
      <c r="Q106" s="239">
        <v>0</v>
      </c>
      <c r="R106" s="239">
        <v>2671.5263270000005</v>
      </c>
      <c r="S106" s="239">
        <v>2046.7494020000001</v>
      </c>
      <c r="T106" s="239">
        <v>225.88694800000005</v>
      </c>
      <c r="U106" s="239">
        <v>0</v>
      </c>
      <c r="V106" s="239">
        <v>0</v>
      </c>
      <c r="W106" s="239">
        <v>0</v>
      </c>
      <c r="X106" s="239">
        <v>0</v>
      </c>
    </row>
    <row r="107" spans="2:24" x14ac:dyDescent="0.3">
      <c r="B107" s="238" t="s">
        <v>588</v>
      </c>
      <c r="C107" s="239">
        <v>5677.0581080000002</v>
      </c>
      <c r="D107" s="239">
        <v>0</v>
      </c>
      <c r="E107" s="239">
        <v>0</v>
      </c>
      <c r="F107" s="239">
        <v>3082.980697</v>
      </c>
      <c r="G107" s="239">
        <v>2334.0866120000001</v>
      </c>
      <c r="H107" s="239">
        <v>259.99079899999998</v>
      </c>
      <c r="I107" s="239">
        <v>0</v>
      </c>
      <c r="J107" s="239">
        <v>0</v>
      </c>
      <c r="K107" s="239">
        <v>0</v>
      </c>
      <c r="L107" s="239">
        <v>0</v>
      </c>
      <c r="N107" s="238" t="s">
        <v>588</v>
      </c>
      <c r="O107" s="239">
        <v>4977.6299730000001</v>
      </c>
      <c r="P107" s="239">
        <v>0</v>
      </c>
      <c r="Q107" s="239">
        <v>0</v>
      </c>
      <c r="R107" s="239">
        <v>2673.5506799999998</v>
      </c>
      <c r="S107" s="239">
        <v>2077.8634360000001</v>
      </c>
      <c r="T107" s="239">
        <v>226.21585700000003</v>
      </c>
      <c r="U107" s="239">
        <v>0</v>
      </c>
      <c r="V107" s="239">
        <v>0</v>
      </c>
      <c r="W107" s="239">
        <v>0</v>
      </c>
      <c r="X107" s="239">
        <v>0</v>
      </c>
    </row>
    <row r="108" spans="2:24" x14ac:dyDescent="0.3">
      <c r="B108" s="238" t="s">
        <v>589</v>
      </c>
      <c r="C108" s="239">
        <v>5742.3860299999988</v>
      </c>
      <c r="D108" s="239">
        <v>0</v>
      </c>
      <c r="E108" s="239">
        <v>0</v>
      </c>
      <c r="F108" s="239">
        <v>3101.9753409999994</v>
      </c>
      <c r="G108" s="239">
        <v>2378.7281889999999</v>
      </c>
      <c r="H108" s="239">
        <v>261.6825</v>
      </c>
      <c r="I108" s="239">
        <v>0</v>
      </c>
      <c r="J108" s="239">
        <v>0</v>
      </c>
      <c r="K108" s="239">
        <v>0</v>
      </c>
      <c r="L108" s="239">
        <v>0</v>
      </c>
      <c r="N108" s="238" t="s">
        <v>589</v>
      </c>
      <c r="O108" s="239">
        <v>5010.4001259999995</v>
      </c>
      <c r="P108" s="239">
        <v>0</v>
      </c>
      <c r="Q108" s="239">
        <v>0</v>
      </c>
      <c r="R108" s="239">
        <v>2675.0139859999999</v>
      </c>
      <c r="S108" s="239">
        <v>2108.8861540000003</v>
      </c>
      <c r="T108" s="239">
        <v>226.49998600000001</v>
      </c>
      <c r="U108" s="239">
        <v>0</v>
      </c>
      <c r="V108" s="239">
        <v>0</v>
      </c>
      <c r="W108" s="239">
        <v>0</v>
      </c>
      <c r="X108" s="239">
        <v>0</v>
      </c>
    </row>
    <row r="113" spans="2:2" x14ac:dyDescent="0.3">
      <c r="B113" t="s">
        <v>542</v>
      </c>
    </row>
    <row r="114" spans="2:2" x14ac:dyDescent="0.3">
      <c r="B114" t="s">
        <v>459</v>
      </c>
    </row>
  </sheetData>
  <mergeCells count="8">
    <mergeCell ref="B60:L60"/>
    <mergeCell ref="N60:X60"/>
    <mergeCell ref="Z1:AJ1"/>
    <mergeCell ref="AL1:AV1"/>
    <mergeCell ref="B1:L1"/>
    <mergeCell ref="N1:X1"/>
    <mergeCell ref="A53:D53"/>
    <mergeCell ref="M53:P5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C000"/>
  </sheetPr>
  <dimension ref="A1:EX341"/>
  <sheetViews>
    <sheetView showGridLines="0" topLeftCell="H69" zoomScale="85" zoomScaleNormal="85" zoomScalePageLayoutView="80" workbookViewId="0">
      <selection activeCell="G77" sqref="G77"/>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20"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10.6992187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4" width="6.5" style="153" bestFit="1" customWidth="1"/>
    <col min="35" max="35" width="9.796875" style="153" bestFit="1" customWidth="1"/>
    <col min="36" max="36" width="4" style="153" bestFit="1" customWidth="1"/>
    <col min="37" max="37" width="10" style="153" bestFit="1" customWidth="1"/>
    <col min="38" max="38" width="15" style="153" bestFit="1" customWidth="1"/>
    <col min="39" max="39" width="8.796875" style="153" bestFit="1" customWidth="1"/>
    <col min="40" max="40" width="13.796875" style="153" bestFit="1" customWidth="1"/>
    <col min="41" max="41" width="15" style="153" bestFit="1" customWidth="1"/>
    <col min="42" max="42" width="13.796875" style="153" bestFit="1"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6.296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Electricity_cluster</v>
      </c>
      <c r="B1" s="156"/>
      <c r="C1" s="157" t="s">
        <v>297</v>
      </c>
      <c r="D1" s="157" t="s">
        <v>523</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SUM(OFFSET(AT134,J2-2015,0,J3-J2+1,1))/1000</f>
        <v>0</v>
      </c>
      <c r="O4" s="164">
        <f>SUM(AT134:AT179)/1000</f>
        <v>0</v>
      </c>
    </row>
    <row r="5" spans="1:154" ht="12.75" customHeight="1" x14ac:dyDescent="0.25">
      <c r="E5" s="432" t="s">
        <v>61</v>
      </c>
      <c r="F5" s="249">
        <v>0.39276519099913759</v>
      </c>
      <c r="G5" s="167" t="s">
        <v>211</v>
      </c>
      <c r="H5" s="167" t="s">
        <v>213</v>
      </c>
      <c r="L5" s="617"/>
      <c r="M5" s="153" t="s">
        <v>375</v>
      </c>
      <c r="N5" s="164">
        <f ca="1">SUM(OFFSET(AS134,J2-2015,0,J3-J2+1,1))/1000</f>
        <v>8.7544854285962881</v>
      </c>
      <c r="O5" s="164">
        <f>SUM(AS134:AS179)/1000</f>
        <v>19.891629517948306</v>
      </c>
    </row>
    <row r="6" spans="1:154" ht="13.8" x14ac:dyDescent="0.25">
      <c r="E6" s="248" t="s">
        <v>23</v>
      </c>
      <c r="F6" s="249">
        <v>0.22722085296507805</v>
      </c>
      <c r="G6" s="167" t="s">
        <v>211</v>
      </c>
      <c r="H6" s="167" t="s">
        <v>213</v>
      </c>
    </row>
    <row r="7" spans="1:154" ht="13.8" x14ac:dyDescent="0.25">
      <c r="A7" s="35" t="s">
        <v>491</v>
      </c>
      <c r="E7" s="248" t="s">
        <v>250</v>
      </c>
      <c r="F7" s="249">
        <v>0.10448690657434809</v>
      </c>
      <c r="G7" s="167" t="s">
        <v>211</v>
      </c>
      <c r="H7" s="167" t="s">
        <v>211</v>
      </c>
      <c r="I7" s="172"/>
      <c r="J7" s="172"/>
      <c r="K7" s="172"/>
      <c r="L7" s="618" t="s">
        <v>369</v>
      </c>
      <c r="M7" s="497" t="s">
        <v>377</v>
      </c>
      <c r="N7" s="164">
        <f ca="1">SUM(OFFSET(Y193,J2-2015,0,J3-J2+1,1))/1000</f>
        <v>0</v>
      </c>
      <c r="O7" s="164">
        <f>SUM(Y193:Y238)/1000</f>
        <v>0</v>
      </c>
      <c r="P7" s="165"/>
    </row>
    <row r="8" spans="1:154" ht="13.8" x14ac:dyDescent="0.25">
      <c r="A8" s="486" t="s">
        <v>368</v>
      </c>
      <c r="B8" s="487" t="s">
        <v>492</v>
      </c>
      <c r="C8" s="487"/>
      <c r="E8" s="248" t="s">
        <v>62</v>
      </c>
      <c r="F8" s="249">
        <v>3.4133616091552056E-2</v>
      </c>
      <c r="G8" s="167" t="s">
        <v>211</v>
      </c>
      <c r="H8" s="167" t="s">
        <v>213</v>
      </c>
      <c r="L8" s="618"/>
      <c r="M8" s="153" t="s">
        <v>375</v>
      </c>
      <c r="N8" s="164">
        <f ca="1">SUM(OFFSET(X193,J2-2015,0,J3-J2+1,1))/1000</f>
        <v>13.693547803022946</v>
      </c>
      <c r="O8" s="164">
        <f>SUM(X193:X238)/1000</f>
        <v>26.908081246745496</v>
      </c>
    </row>
    <row r="9" spans="1:154" ht="13.8" x14ac:dyDescent="0.25">
      <c r="A9" s="488" t="s">
        <v>369</v>
      </c>
      <c r="B9" s="489" t="s">
        <v>455</v>
      </c>
      <c r="C9" s="489"/>
      <c r="E9" s="248" t="s">
        <v>251</v>
      </c>
      <c r="F9" s="249">
        <v>0.1551650532314188</v>
      </c>
      <c r="G9" s="167" t="s">
        <v>211</v>
      </c>
      <c r="H9" s="167" t="s">
        <v>213</v>
      </c>
    </row>
    <row r="10" spans="1:154" ht="39.6" x14ac:dyDescent="0.25">
      <c r="A10" s="527" t="s">
        <v>592</v>
      </c>
      <c r="B10" s="490" t="s">
        <v>509</v>
      </c>
      <c r="C10" s="493" t="s">
        <v>512</v>
      </c>
      <c r="E10" s="248" t="s">
        <v>252</v>
      </c>
      <c r="F10" s="249">
        <v>1.7332940957023223E-2</v>
      </c>
      <c r="G10" s="167" t="s">
        <v>211</v>
      </c>
      <c r="H10" s="167" t="s">
        <v>211</v>
      </c>
    </row>
    <row r="11" spans="1:154" ht="39.6" x14ac:dyDescent="0.25">
      <c r="A11" s="527" t="s">
        <v>593</v>
      </c>
      <c r="B11" s="490" t="s">
        <v>507</v>
      </c>
      <c r="C11" s="493" t="s">
        <v>512</v>
      </c>
      <c r="E11" s="248" t="s">
        <v>253</v>
      </c>
      <c r="F11" s="249">
        <v>4.0349566697904026E-5</v>
      </c>
      <c r="G11" s="167" t="s">
        <v>211</v>
      </c>
      <c r="H11" s="167" t="s">
        <v>211</v>
      </c>
      <c r="L11" s="617" t="s">
        <v>522</v>
      </c>
      <c r="M11" s="497" t="s">
        <v>377</v>
      </c>
      <c r="N11" s="164">
        <f ca="1">N4+N7</f>
        <v>0</v>
      </c>
      <c r="O11" s="164">
        <f>O4+O7</f>
        <v>0</v>
      </c>
    </row>
    <row r="12" spans="1:154" ht="13.8" x14ac:dyDescent="0.25">
      <c r="A12" s="488" t="s">
        <v>493</v>
      </c>
      <c r="B12" s="489" t="s">
        <v>506</v>
      </c>
      <c r="C12" s="489"/>
      <c r="E12" s="248" t="s">
        <v>254</v>
      </c>
      <c r="F12" s="249">
        <v>4.3602231976115999E-2</v>
      </c>
      <c r="G12" s="167" t="s">
        <v>211</v>
      </c>
      <c r="H12" s="167" t="s">
        <v>211</v>
      </c>
      <c r="L12" s="617"/>
      <c r="M12" s="153" t="s">
        <v>375</v>
      </c>
      <c r="N12" s="164">
        <f ca="1">N5+N8</f>
        <v>22.448033231619235</v>
      </c>
      <c r="O12" s="164">
        <f>O5+O8</f>
        <v>46.799710764693799</v>
      </c>
      <c r="P12" s="163"/>
    </row>
    <row r="13" spans="1:154" ht="13.8" x14ac:dyDescent="0.25">
      <c r="A13" s="488" t="s">
        <v>494</v>
      </c>
      <c r="B13" s="489" t="s">
        <v>495</v>
      </c>
      <c r="C13" s="489"/>
      <c r="E13" s="248" t="s">
        <v>255</v>
      </c>
      <c r="F13" s="249">
        <v>2.3510401861254883E-3</v>
      </c>
      <c r="G13" s="167" t="s">
        <v>211</v>
      </c>
      <c r="H13" s="167" t="s">
        <v>211</v>
      </c>
      <c r="P13" s="166"/>
      <c r="R13" s="165"/>
    </row>
    <row r="14" spans="1:154" ht="13.8" x14ac:dyDescent="0.25">
      <c r="A14" s="488" t="s">
        <v>339</v>
      </c>
      <c r="B14" s="489" t="s">
        <v>496</v>
      </c>
      <c r="C14" s="489"/>
      <c r="E14" s="248" t="s">
        <v>256</v>
      </c>
      <c r="F14" s="249">
        <v>1.8982433430409871E-2</v>
      </c>
      <c r="G14" s="167" t="s">
        <v>211</v>
      </c>
      <c r="H14" s="167" t="s">
        <v>211</v>
      </c>
      <c r="L14" s="168"/>
      <c r="M14" s="168"/>
      <c r="N14" s="168"/>
      <c r="O14" s="168"/>
      <c r="P14" s="168"/>
      <c r="Q14" s="168"/>
    </row>
    <row r="15" spans="1:154" ht="13.8" x14ac:dyDescent="0.25">
      <c r="A15" s="488" t="s">
        <v>497</v>
      </c>
      <c r="B15" s="489" t="s">
        <v>498</v>
      </c>
      <c r="C15" s="489"/>
      <c r="E15" s="248" t="s">
        <v>257</v>
      </c>
      <c r="F15" s="249">
        <v>5.183950710377493E-4</v>
      </c>
      <c r="G15" s="167" t="s">
        <v>211</v>
      </c>
      <c r="H15" s="167" t="s">
        <v>211</v>
      </c>
      <c r="L15" s="618"/>
      <c r="M15" s="618"/>
      <c r="N15" s="618"/>
      <c r="O15" s="618"/>
      <c r="P15" s="169"/>
      <c r="R15" s="165"/>
    </row>
    <row r="16" spans="1:154" ht="13.8" x14ac:dyDescent="0.25">
      <c r="A16" s="488" t="s">
        <v>499</v>
      </c>
      <c r="B16" s="489" t="s">
        <v>6</v>
      </c>
      <c r="C16" s="489"/>
      <c r="E16" s="248" t="s">
        <v>259</v>
      </c>
      <c r="F16" s="249">
        <v>3.4009889510549468E-3</v>
      </c>
      <c r="G16" s="167" t="s">
        <v>211</v>
      </c>
      <c r="H16" s="167" t="s">
        <v>211</v>
      </c>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x14ac:dyDescent="0.25">
      <c r="D21" s="443"/>
      <c r="E21" s="443"/>
    </row>
    <row r="22" spans="1:68" ht="13.8" thickBot="1" x14ac:dyDescent="0.3"/>
    <row r="23" spans="1:68" ht="15" customHeight="1" thickBot="1" x14ac:dyDescent="0.3">
      <c r="A23" s="646" t="str">
        <f>CONCATENATE("Table 2: REF2, ",C1," TAM ",D1)</f>
        <v>Table 2: REF2, Electricity Generation TAM (TWh)</v>
      </c>
      <c r="B23" s="647"/>
      <c r="C23" s="647"/>
      <c r="D23" s="647"/>
      <c r="E23" s="647"/>
      <c r="F23" s="647"/>
      <c r="G23" s="647"/>
      <c r="H23" s="647"/>
      <c r="I23" s="647"/>
      <c r="J23" s="647"/>
      <c r="K23" s="648"/>
      <c r="M23" s="638" t="str">
        <f>CONCATENATE("Table 3: REF1 ,",C1," TAM ",D1)</f>
        <v>Table 3: REF1 ,Electricity Generation TAM (TWh)</v>
      </c>
      <c r="N23" s="639"/>
      <c r="O23" s="639"/>
      <c r="P23" s="639"/>
      <c r="Q23" s="639"/>
      <c r="R23" s="639"/>
      <c r="S23" s="639"/>
      <c r="T23" s="639"/>
      <c r="U23" s="639"/>
      <c r="V23" s="639"/>
      <c r="W23" s="640"/>
      <c r="Y23" s="627" t="str">
        <f>CONCATENATE("Table 3: REF1 ",$C$1," TAM ",$D$1)</f>
        <v>Table 3: REF1 Electricity Generation TAM (TWh)</v>
      </c>
      <c r="Z23" s="627"/>
      <c r="AA23" s="627"/>
      <c r="AB23" s="627"/>
      <c r="AC23" s="627"/>
      <c r="AD23" s="627"/>
      <c r="AE23" s="627"/>
      <c r="AF23" s="627"/>
      <c r="AG23" s="627"/>
      <c r="AH23" s="627"/>
      <c r="AI23" s="627"/>
      <c r="AK23" s="628" t="str">
        <f>CONCATENATE("Table 3: REF1 ",$C$1," TAM ",$D$1)</f>
        <v>Table 3: REF1 Electricity Generation TAM (TWh)</v>
      </c>
      <c r="AL23" s="629"/>
      <c r="AM23" s="629"/>
      <c r="AN23" s="629"/>
      <c r="AO23" s="629"/>
      <c r="AP23" s="629"/>
      <c r="AQ23" s="629"/>
      <c r="AR23" s="629"/>
      <c r="AS23" s="629"/>
      <c r="AT23" s="629"/>
      <c r="AU23" s="630"/>
    </row>
    <row r="24" spans="1:68" ht="15.6" x14ac:dyDescent="0.25">
      <c r="A24" s="649" t="s">
        <v>240</v>
      </c>
      <c r="B24" s="649"/>
      <c r="C24" s="649"/>
      <c r="D24" s="649"/>
      <c r="E24" s="649"/>
      <c r="F24" s="649"/>
      <c r="G24" s="649"/>
      <c r="H24" s="649"/>
      <c r="I24" s="649"/>
      <c r="J24" s="649"/>
      <c r="K24" s="649"/>
      <c r="M24" s="631" t="s">
        <v>474</v>
      </c>
      <c r="N24" s="631"/>
      <c r="O24" s="631"/>
      <c r="P24" s="631"/>
      <c r="Q24" s="631"/>
      <c r="R24" s="631"/>
      <c r="S24" s="631"/>
      <c r="T24" s="631"/>
      <c r="U24" s="631"/>
      <c r="V24" s="631"/>
      <c r="W24" s="631"/>
      <c r="Y24" s="637" t="s">
        <v>476</v>
      </c>
      <c r="Z24" s="637"/>
      <c r="AA24" s="637"/>
      <c r="AB24" s="637"/>
      <c r="AC24" s="637"/>
      <c r="AD24" s="637"/>
      <c r="AE24" s="637"/>
      <c r="AF24" s="637"/>
      <c r="AG24" s="637"/>
      <c r="AH24" s="637"/>
      <c r="AI24" s="637"/>
      <c r="AK24" s="631" t="s">
        <v>477</v>
      </c>
      <c r="AL24" s="632"/>
      <c r="AM24" s="632"/>
      <c r="AN24" s="632"/>
      <c r="AO24" s="632"/>
      <c r="AP24" s="632"/>
      <c r="AQ24" s="632"/>
      <c r="AR24" s="632"/>
      <c r="AS24" s="632"/>
      <c r="AT24" s="632"/>
      <c r="AU24" s="633"/>
    </row>
    <row r="25" spans="1:68" ht="13.8" thickBot="1" x14ac:dyDescent="0.3">
      <c r="A25" s="435"/>
      <c r="B25" s="528" t="s">
        <v>594</v>
      </c>
      <c r="C25" s="460" t="s">
        <v>211</v>
      </c>
      <c r="D25" s="460" t="s">
        <v>211</v>
      </c>
      <c r="E25" s="460" t="s">
        <v>213</v>
      </c>
      <c r="F25" s="460" t="s">
        <v>213</v>
      </c>
      <c r="G25" s="460" t="s">
        <v>211</v>
      </c>
      <c r="H25" s="435"/>
      <c r="I25" s="435"/>
      <c r="J25" s="435"/>
      <c r="K25" s="435"/>
      <c r="M25" s="455"/>
      <c r="N25" s="461" t="str">
        <f>B25</f>
        <v>Regions included as LLDC</v>
      </c>
      <c r="O25" s="462" t="str">
        <f>C25</f>
        <v>N</v>
      </c>
      <c r="P25" s="462" t="str">
        <f t="shared" ref="P25:S25" si="0">D25</f>
        <v>N</v>
      </c>
      <c r="Q25" s="462" t="str">
        <f t="shared" si="0"/>
        <v>Y</v>
      </c>
      <c r="R25" s="462" t="str">
        <f t="shared" si="0"/>
        <v>Y</v>
      </c>
      <c r="S25" s="462" t="str">
        <f t="shared" si="0"/>
        <v>N</v>
      </c>
      <c r="T25" s="435"/>
      <c r="U25" s="435"/>
      <c r="V25" s="435"/>
      <c r="W25" s="435"/>
      <c r="Y25" s="455"/>
      <c r="Z25" s="461" t="str">
        <f>B25</f>
        <v>Regions included as LLDC</v>
      </c>
      <c r="AA25" s="462" t="str">
        <f>O25</f>
        <v>N</v>
      </c>
      <c r="AB25" s="462" t="str">
        <f t="shared" ref="AB25:AE25" si="1">P25</f>
        <v>N</v>
      </c>
      <c r="AC25" s="462" t="str">
        <f t="shared" si="1"/>
        <v>Y</v>
      </c>
      <c r="AD25" s="462" t="str">
        <f t="shared" si="1"/>
        <v>Y</v>
      </c>
      <c r="AE25" s="462" t="str">
        <f t="shared" si="1"/>
        <v>N</v>
      </c>
      <c r="AF25" s="435"/>
      <c r="AG25" s="435"/>
      <c r="AH25" s="435"/>
      <c r="AI25" s="435"/>
      <c r="AK25" s="435"/>
      <c r="AL25" s="435"/>
      <c r="AM25" s="435"/>
      <c r="AN25" s="435"/>
      <c r="AO25" s="435"/>
      <c r="AP25" s="435"/>
      <c r="AQ25" s="435"/>
      <c r="AR25" s="435"/>
      <c r="AS25" s="435"/>
      <c r="AT25" s="435"/>
      <c r="AU25" s="435"/>
      <c r="AW25" s="153" t="s">
        <v>478</v>
      </c>
    </row>
    <row r="26" spans="1:68" ht="40.200000000000003" thickBot="1" x14ac:dyDescent="0.3">
      <c r="A26" s="213"/>
      <c r="B26" s="474" t="s">
        <v>4</v>
      </c>
      <c r="C26" s="475" t="s">
        <v>5</v>
      </c>
      <c r="D26" s="475" t="s">
        <v>6</v>
      </c>
      <c r="E26" s="475" t="s">
        <v>7</v>
      </c>
      <c r="F26" s="475" t="s">
        <v>8</v>
      </c>
      <c r="G26" s="475" t="s">
        <v>9</v>
      </c>
      <c r="H26" s="475" t="s">
        <v>10</v>
      </c>
      <c r="I26" s="475" t="s">
        <v>11</v>
      </c>
      <c r="J26" s="475" t="s">
        <v>12</v>
      </c>
      <c r="K26" s="476" t="s">
        <v>13</v>
      </c>
      <c r="M26" s="189"/>
      <c r="N26" s="190" t="s">
        <v>4</v>
      </c>
      <c r="O26" s="191" t="s">
        <v>5</v>
      </c>
      <c r="P26" s="191" t="s">
        <v>6</v>
      </c>
      <c r="Q26" s="191" t="s">
        <v>460</v>
      </c>
      <c r="R26" s="191" t="s">
        <v>8</v>
      </c>
      <c r="S26" s="191" t="s">
        <v>9</v>
      </c>
      <c r="T26" s="191" t="s">
        <v>10</v>
      </c>
      <c r="U26" s="191" t="s">
        <v>11</v>
      </c>
      <c r="V26" s="191" t="s">
        <v>12</v>
      </c>
      <c r="W26" s="192" t="s">
        <v>13</v>
      </c>
      <c r="Y26" s="456"/>
      <c r="Z26" s="457" t="s">
        <v>4</v>
      </c>
      <c r="AA26" s="458" t="s">
        <v>5</v>
      </c>
      <c r="AB26" s="458" t="s">
        <v>6</v>
      </c>
      <c r="AC26" s="458" t="s">
        <v>7</v>
      </c>
      <c r="AD26" s="458" t="s">
        <v>8</v>
      </c>
      <c r="AE26" s="458" t="s">
        <v>9</v>
      </c>
      <c r="AF26" s="458" t="s">
        <v>10</v>
      </c>
      <c r="AG26" s="458" t="s">
        <v>11</v>
      </c>
      <c r="AH26" s="458" t="s">
        <v>12</v>
      </c>
      <c r="AI26" s="458" t="s">
        <v>13</v>
      </c>
      <c r="AK26" s="456"/>
      <c r="AL26" s="457" t="s">
        <v>4</v>
      </c>
      <c r="AM26" s="458" t="s">
        <v>5</v>
      </c>
      <c r="AN26" s="458" t="s">
        <v>6</v>
      </c>
      <c r="AO26" s="458" t="s">
        <v>7</v>
      </c>
      <c r="AP26" s="458" t="s">
        <v>8</v>
      </c>
      <c r="AQ26" s="458" t="s">
        <v>9</v>
      </c>
      <c r="AR26" s="458" t="s">
        <v>10</v>
      </c>
      <c r="AS26" s="458" t="s">
        <v>11</v>
      </c>
      <c r="AT26" s="458" t="s">
        <v>12</v>
      </c>
      <c r="AU26" s="458" t="s">
        <v>13</v>
      </c>
      <c r="AW26" s="153" t="s">
        <v>479</v>
      </c>
      <c r="AY26" s="153" t="s">
        <v>480</v>
      </c>
      <c r="BA26" s="153" t="s">
        <v>504</v>
      </c>
      <c r="BB26" s="153" t="s">
        <v>5</v>
      </c>
      <c r="BC26" s="153" t="s">
        <v>6</v>
      </c>
      <c r="BD26" s="153" t="s">
        <v>7</v>
      </c>
      <c r="BE26" s="153" t="s">
        <v>8</v>
      </c>
      <c r="BF26" s="153" t="s">
        <v>9</v>
      </c>
    </row>
    <row r="27" spans="1:68" ht="15.6" x14ac:dyDescent="0.3">
      <c r="A27" s="194">
        <v>2014</v>
      </c>
      <c r="B27" s="229">
        <v>22548</v>
      </c>
      <c r="C27" s="229">
        <v>9630.9413150014097</v>
      </c>
      <c r="D27" s="229">
        <v>2021.8145594545779</v>
      </c>
      <c r="E27" s="229">
        <v>8068.0985042466264</v>
      </c>
      <c r="F27" s="229">
        <v>1750.2724017574917</v>
      </c>
      <c r="G27" s="229">
        <v>1681.573909140335</v>
      </c>
      <c r="H27" s="229">
        <v>5262.7731992619747</v>
      </c>
      <c r="I27" s="229">
        <v>1324.8796753128709</v>
      </c>
      <c r="J27" s="229">
        <v>3379.550707819023</v>
      </c>
      <c r="K27" s="229">
        <v>4226.0825845289046</v>
      </c>
      <c r="M27" s="194">
        <v>2014</v>
      </c>
      <c r="N27" s="419">
        <f t="shared" ref="N27:N73" si="2">SUM(O27:S27)</f>
        <v>2872.05788691823</v>
      </c>
      <c r="O27" s="418">
        <f>(C27/Population_Tables!P3)*Population_Tables!D62</f>
        <v>0</v>
      </c>
      <c r="P27" s="418">
        <f>(D27/Population_Tables!Q3)*Population_Tables!E62</f>
        <v>0</v>
      </c>
      <c r="Q27" s="418">
        <f>((E27-H27)/Population_Tables!R3)*Population_Tables!F62</f>
        <v>1424.2930344480819</v>
      </c>
      <c r="R27" s="418">
        <f>(F27/Population_Tables!S3)*Population_Tables!G62</f>
        <v>1001.6487113887159</v>
      </c>
      <c r="S27" s="418">
        <f>(G27/Population_Tables!T3)*Population_Tables!H62</f>
        <v>446.11614108143226</v>
      </c>
      <c r="T27" s="418">
        <f>(H27/Population_Tables!U3)*Population_Tables!I62</f>
        <v>0</v>
      </c>
      <c r="U27" s="418">
        <f>(I27/Population_Tables!V3)*Population_Tables!J62</f>
        <v>0</v>
      </c>
      <c r="V27" s="418">
        <f>(J27/Population_Tables!W3)*Population_Tables!K62</f>
        <v>0</v>
      </c>
      <c r="W27" s="418">
        <f>(K27/Population_Tables!X3)*Population_Tables!L62</f>
        <v>0</v>
      </c>
      <c r="Y27" s="456">
        <v>2014</v>
      </c>
      <c r="Z27" s="459">
        <f>((B27/Population_Tables!O3)*Population_Tables!C3)-N27</f>
        <v>19675.903975993075</v>
      </c>
      <c r="AA27" s="459">
        <f>((C27/Population_Tables!P3)*Population_Tables!D3)-O27</f>
        <v>9630.9413150014097</v>
      </c>
      <c r="AB27" s="459">
        <f>((D27/Population_Tables!Q3)*Population_Tables!E3)-P27</f>
        <v>2021.8145594545779</v>
      </c>
      <c r="AC27" s="459">
        <f>((E27/Population_Tables!R3)*Population_Tables!F3)-Q27</f>
        <v>6643.7803111356061</v>
      </c>
      <c r="AD27" s="459">
        <f>((F27/Population_Tables!S3)*Population_Tables!G3)-R27</f>
        <v>748.62369036877556</v>
      </c>
      <c r="AE27" s="459">
        <f>((G27/Population_Tables!T3)*Population_Tables!H3)-S27</f>
        <v>1235.457768058903</v>
      </c>
      <c r="AF27" s="459">
        <f>(H27/Population_Tables!U3)*Population_Tables!I3</f>
        <v>5262.7731992619747</v>
      </c>
      <c r="AG27" s="459">
        <f>(I27/Population_Tables!V3)*Population_Tables!J3</f>
        <v>1324.8796753128709</v>
      </c>
      <c r="AH27" s="459">
        <f>(J27/Population_Tables!W3)*Population_Tables!K3</f>
        <v>3379.5507078190226</v>
      </c>
      <c r="AI27" s="459">
        <f>(K27/Population_Tables!X3)*Population_Tables!L3</f>
        <v>4226.0825845289046</v>
      </c>
      <c r="AK27" s="456">
        <v>2014</v>
      </c>
      <c r="AL27" s="459">
        <f>Z27+N27</f>
        <v>22547.961862911303</v>
      </c>
      <c r="AM27" s="459">
        <f t="shared" ref="AM27:AU42" si="3">AA27+O27</f>
        <v>9630.9413150014097</v>
      </c>
      <c r="AN27" s="459">
        <f t="shared" si="3"/>
        <v>2021.8145594545779</v>
      </c>
      <c r="AO27" s="459">
        <f t="shared" si="3"/>
        <v>8068.073345583688</v>
      </c>
      <c r="AP27" s="459">
        <f t="shared" si="3"/>
        <v>1750.2724017574915</v>
      </c>
      <c r="AQ27" s="459">
        <f t="shared" si="3"/>
        <v>1681.5739091403352</v>
      </c>
      <c r="AR27" s="459">
        <f t="shared" si="3"/>
        <v>5262.7731992619747</v>
      </c>
      <c r="AS27" s="459">
        <f t="shared" si="3"/>
        <v>1324.8796753128709</v>
      </c>
      <c r="AT27" s="459">
        <f t="shared" si="3"/>
        <v>3379.5507078190226</v>
      </c>
      <c r="AU27" s="459">
        <f t="shared" si="3"/>
        <v>4226.0825845289046</v>
      </c>
      <c r="AW27" s="216">
        <f>(B27/Population_Tables!O3)*Population_Tables!C3</f>
        <v>22547.961862911307</v>
      </c>
      <c r="AX27" s="153" t="b">
        <f>IF(AW27-AL27=0,"OK")</f>
        <v>0</v>
      </c>
      <c r="AY27" s="421">
        <f t="shared" ref="AY27:AY73" si="4">SUM(BB27:BF27)</f>
        <v>23152.6755309375</v>
      </c>
      <c r="AZ27" s="153" t="str">
        <f t="shared" ref="AZ27:AZ73" si="5">IF(AY27-(SUM(AM27:AQ27))=0,"OK")</f>
        <v>OK</v>
      </c>
      <c r="BB27" s="216">
        <f>(C27/Population_Tables!P3)*Population_Tables!D3</f>
        <v>9630.9413150014097</v>
      </c>
      <c r="BC27" s="216">
        <f>(D27/Population_Tables!Q3)*Population_Tables!E3</f>
        <v>2021.8145594545779</v>
      </c>
      <c r="BD27" s="216">
        <f>(E27/Population_Tables!R3)*Population_Tables!F3</f>
        <v>8068.073345583688</v>
      </c>
      <c r="BE27" s="216">
        <f>(F27/Population_Tables!S3)*Population_Tables!G3</f>
        <v>1750.2724017574915</v>
      </c>
      <c r="BF27" s="216">
        <f>(G27/Population_Tables!T3)*Population_Tables!H3</f>
        <v>1681.5739091403352</v>
      </c>
      <c r="BG27" s="216"/>
      <c r="BN27" s="216"/>
      <c r="BO27" s="216"/>
      <c r="BP27" s="216"/>
    </row>
    <row r="28" spans="1:68" ht="15.6" x14ac:dyDescent="0.3">
      <c r="A28" s="194">
        <v>2015</v>
      </c>
      <c r="B28" s="229">
        <v>23915.294741841339</v>
      </c>
      <c r="C28" s="229">
        <v>9686.0671189920522</v>
      </c>
      <c r="D28" s="229">
        <v>2046.0814937388261</v>
      </c>
      <c r="E28" s="229">
        <v>8518.2448031259701</v>
      </c>
      <c r="F28" s="229">
        <v>1813.4394541410952</v>
      </c>
      <c r="G28" s="229">
        <v>1729.3735674604757</v>
      </c>
      <c r="H28" s="229">
        <v>5577.4664453458345</v>
      </c>
      <c r="I28" s="229">
        <v>1407.7581128041975</v>
      </c>
      <c r="J28" s="229">
        <v>3402.879725573815</v>
      </c>
      <c r="K28" s="229">
        <v>4238.1594004195249</v>
      </c>
      <c r="M28" s="194">
        <v>2015</v>
      </c>
      <c r="N28" s="419">
        <f t="shared" si="2"/>
        <v>2998.8945028078529</v>
      </c>
      <c r="O28" s="418">
        <f>(C28/Population_Tables!P4)*Population_Tables!D63</f>
        <v>0</v>
      </c>
      <c r="P28" s="418">
        <f>(D28/Population_Tables!Q4)*Population_Tables!E63</f>
        <v>0</v>
      </c>
      <c r="Q28" s="418">
        <f>((E28-H28)/Population_Tables!R4)*Population_Tables!F63</f>
        <v>1497.3947857441851</v>
      </c>
      <c r="R28" s="418">
        <f>(F28/Population_Tables!S4)*Population_Tables!G63</f>
        <v>1041.3956313841918</v>
      </c>
      <c r="S28" s="418">
        <f>(G28/Population_Tables!T4)*Population_Tables!H63</f>
        <v>460.1040856794757</v>
      </c>
      <c r="T28" s="418">
        <f>(H28/Population_Tables!U4)*Population_Tables!I63</f>
        <v>0</v>
      </c>
      <c r="U28" s="418">
        <f>(I28/Population_Tables!V4)*Population_Tables!J63</f>
        <v>0</v>
      </c>
      <c r="V28" s="418">
        <f>(J28/Population_Tables!W4)*Population_Tables!K63</f>
        <v>0</v>
      </c>
      <c r="W28" s="418">
        <f>(K28/Population_Tables!X4)*Population_Tables!L63</f>
        <v>0</v>
      </c>
      <c r="Y28" s="456">
        <v>2015</v>
      </c>
      <c r="Z28" s="459">
        <f>((B28/Population_Tables!O4)*Population_Tables!C4)-N28</f>
        <v>20916.360498875954</v>
      </c>
      <c r="AA28" s="459">
        <f>((C28/Population_Tables!P4)*Population_Tables!D4)-O28</f>
        <v>9686.0671189920522</v>
      </c>
      <c r="AB28" s="459">
        <f>((D28/Population_Tables!Q4)*Population_Tables!E4)-P28</f>
        <v>2046.0814937388261</v>
      </c>
      <c r="AC28" s="459">
        <f>((E28/Population_Tables!R4)*Population_Tables!F4)-Q28</f>
        <v>7020.8238735245359</v>
      </c>
      <c r="AD28" s="459">
        <f>((F28/Population_Tables!S4)*Population_Tables!G4)-R28</f>
        <v>772.04382275690364</v>
      </c>
      <c r="AE28" s="459">
        <f>((G28/Population_Tables!T4)*Population_Tables!H4)-S28</f>
        <v>1269.269481781</v>
      </c>
      <c r="AF28" s="459">
        <f>(H28/Population_Tables!U4)*Population_Tables!I4</f>
        <v>5577.4664453458345</v>
      </c>
      <c r="AG28" s="459">
        <f>(I28/Population_Tables!V4)*Population_Tables!J4</f>
        <v>1407.7581128041975</v>
      </c>
      <c r="AH28" s="459">
        <f>(J28/Population_Tables!W4)*Population_Tables!K4</f>
        <v>3402.8797255738145</v>
      </c>
      <c r="AI28" s="459">
        <f>(K28/Population_Tables!X4)*Population_Tables!L4</f>
        <v>4238.1594004195249</v>
      </c>
      <c r="AK28" s="456">
        <v>2015</v>
      </c>
      <c r="AL28" s="459">
        <f t="shared" ref="AL28:AL73" si="6">Z28+N28</f>
        <v>23915.255001683807</v>
      </c>
      <c r="AM28" s="459">
        <f t="shared" si="3"/>
        <v>9686.0671189920522</v>
      </c>
      <c r="AN28" s="459">
        <f t="shared" si="3"/>
        <v>2046.0814937388261</v>
      </c>
      <c r="AO28" s="459">
        <f t="shared" si="3"/>
        <v>8518.2186592687212</v>
      </c>
      <c r="AP28" s="459">
        <f t="shared" si="3"/>
        <v>1813.4394541410954</v>
      </c>
      <c r="AQ28" s="459">
        <f t="shared" si="3"/>
        <v>1729.3735674604757</v>
      </c>
      <c r="AR28" s="459">
        <f t="shared" si="3"/>
        <v>5577.4664453458345</v>
      </c>
      <c r="AS28" s="459">
        <f t="shared" si="3"/>
        <v>1407.7581128041975</v>
      </c>
      <c r="AT28" s="459">
        <f t="shared" si="3"/>
        <v>3402.8797255738145</v>
      </c>
      <c r="AU28" s="459">
        <f t="shared" si="3"/>
        <v>4238.1594004195249</v>
      </c>
      <c r="AW28" s="216">
        <f>(B28/Population_Tables!O4)*Population_Tables!C4</f>
        <v>23915.255001683807</v>
      </c>
      <c r="AX28" s="153" t="str">
        <f t="shared" ref="AX28:AX73" si="7">IF(AW28-AL28=0,"OK")</f>
        <v>OK</v>
      </c>
      <c r="AY28" s="421">
        <f t="shared" si="4"/>
        <v>23793.18029360117</v>
      </c>
      <c r="AZ28" s="153" t="str">
        <f t="shared" si="5"/>
        <v>OK</v>
      </c>
      <c r="BB28" s="216">
        <f>(C28/Population_Tables!P4)*Population_Tables!D4</f>
        <v>9686.0671189920522</v>
      </c>
      <c r="BC28" s="216">
        <f>(D28/Population_Tables!Q4)*Population_Tables!E4</f>
        <v>2046.0814937388261</v>
      </c>
      <c r="BD28" s="216">
        <f>(E28/Population_Tables!R4)*Population_Tables!F4</f>
        <v>8518.2186592687212</v>
      </c>
      <c r="BE28" s="216">
        <f>(F28/Population_Tables!S4)*Population_Tables!G4</f>
        <v>1813.4394541410954</v>
      </c>
      <c r="BF28" s="216">
        <f>(G28/Population_Tables!T4)*Population_Tables!H4</f>
        <v>1729.3735674604757</v>
      </c>
      <c r="BG28" s="216"/>
      <c r="BN28" s="216"/>
      <c r="BO28" s="216"/>
      <c r="BP28" s="216"/>
    </row>
    <row r="29" spans="1:68" ht="15.6" x14ac:dyDescent="0.3">
      <c r="A29" s="194">
        <v>2016</v>
      </c>
      <c r="B29" s="229">
        <v>24739.346397880796</v>
      </c>
      <c r="C29" s="229">
        <v>9726.5990525762081</v>
      </c>
      <c r="D29" s="229">
        <v>2070.428741086751</v>
      </c>
      <c r="E29" s="229">
        <v>8971.4818957495354</v>
      </c>
      <c r="F29" s="229">
        <v>1887.4339185753947</v>
      </c>
      <c r="G29" s="229">
        <v>1782.3859231283234</v>
      </c>
      <c r="H29" s="229">
        <v>5868.2723694275974</v>
      </c>
      <c r="I29" s="229">
        <v>1508.5612696673247</v>
      </c>
      <c r="J29" s="229">
        <v>3423.0292912990535</v>
      </c>
      <c r="K29" s="229">
        <v>4238.1277941679373</v>
      </c>
      <c r="M29" s="194">
        <v>2016</v>
      </c>
      <c r="N29" s="419">
        <f t="shared" si="2"/>
        <v>3147.6468701444501</v>
      </c>
      <c r="O29" s="418">
        <f>(C29/Population_Tables!P5)*Population_Tables!D64</f>
        <v>0</v>
      </c>
      <c r="P29" s="418">
        <f>(D29/Population_Tables!Q5)*Population_Tables!E64</f>
        <v>0</v>
      </c>
      <c r="Q29" s="418">
        <f>((E29-H29)/Population_Tables!R5)*Population_Tables!F64</f>
        <v>1584.5338792641596</v>
      </c>
      <c r="R29" s="418">
        <f>(F29/Population_Tables!S5)*Population_Tables!G64</f>
        <v>1087.5620221026359</v>
      </c>
      <c r="S29" s="418">
        <f>(G29/Population_Tables!T5)*Population_Tables!H64</f>
        <v>475.55096877765465</v>
      </c>
      <c r="T29" s="418">
        <f>(H29/Population_Tables!U5)*Population_Tables!I64</f>
        <v>0</v>
      </c>
      <c r="U29" s="418">
        <f>(I29/Population_Tables!V5)*Population_Tables!J64</f>
        <v>0</v>
      </c>
      <c r="V29" s="418">
        <f>(J29/Population_Tables!W5)*Population_Tables!K64</f>
        <v>0</v>
      </c>
      <c r="W29" s="418">
        <f>(K29/Population_Tables!X5)*Population_Tables!L64</f>
        <v>0</v>
      </c>
      <c r="Y29" s="456">
        <v>2016</v>
      </c>
      <c r="Z29" s="459">
        <f>((B29/Population_Tables!O5)*Population_Tables!C5)-N29</f>
        <v>21591.65942579016</v>
      </c>
      <c r="AA29" s="459">
        <f>((C29/Population_Tables!P5)*Population_Tables!D5)-O29</f>
        <v>9726.5990525762081</v>
      </c>
      <c r="AB29" s="459">
        <f>((D29/Population_Tables!Q5)*Population_Tables!E5)-P29</f>
        <v>2070.428741086751</v>
      </c>
      <c r="AC29" s="459">
        <f>((E29/Population_Tables!R5)*Population_Tables!F5)-Q29</f>
        <v>7386.9211064047286</v>
      </c>
      <c r="AD29" s="459">
        <f>((F29/Population_Tables!S5)*Population_Tables!G5)-R29</f>
        <v>799.87189647275886</v>
      </c>
      <c r="AE29" s="459">
        <f>((G29/Population_Tables!T5)*Population_Tables!H5)-S29</f>
        <v>1306.8349543506688</v>
      </c>
      <c r="AF29" s="459">
        <f>(H29/Population_Tables!U5)*Population_Tables!I5</f>
        <v>5868.2723694275974</v>
      </c>
      <c r="AG29" s="459">
        <f>(I29/Population_Tables!V5)*Population_Tables!J5</f>
        <v>1508.5612696673247</v>
      </c>
      <c r="AH29" s="459">
        <f>(J29/Population_Tables!W5)*Population_Tables!K5</f>
        <v>3423.0292912990535</v>
      </c>
      <c r="AI29" s="459">
        <f>(K29/Population_Tables!X5)*Population_Tables!L5</f>
        <v>4238.1277941679373</v>
      </c>
      <c r="AK29" s="456">
        <v>2016</v>
      </c>
      <c r="AL29" s="459">
        <f t="shared" si="6"/>
        <v>24739.30629593461</v>
      </c>
      <c r="AM29" s="459">
        <f t="shared" si="3"/>
        <v>9726.5990525762081</v>
      </c>
      <c r="AN29" s="459">
        <f t="shared" si="3"/>
        <v>2070.428741086751</v>
      </c>
      <c r="AO29" s="459">
        <f t="shared" si="3"/>
        <v>8971.4549856688882</v>
      </c>
      <c r="AP29" s="459">
        <f t="shared" si="3"/>
        <v>1887.4339185753947</v>
      </c>
      <c r="AQ29" s="459">
        <f t="shared" si="3"/>
        <v>1782.3859231283234</v>
      </c>
      <c r="AR29" s="459">
        <f t="shared" si="3"/>
        <v>5868.2723694275974</v>
      </c>
      <c r="AS29" s="459">
        <f t="shared" si="3"/>
        <v>1508.5612696673247</v>
      </c>
      <c r="AT29" s="459">
        <f t="shared" si="3"/>
        <v>3423.0292912990535</v>
      </c>
      <c r="AU29" s="459">
        <f t="shared" si="3"/>
        <v>4238.1277941679373</v>
      </c>
      <c r="AW29" s="216">
        <f>(B29/Population_Tables!O5)*Population_Tables!C5</f>
        <v>24739.30629593461</v>
      </c>
      <c r="AX29" s="153" t="str">
        <f t="shared" si="7"/>
        <v>OK</v>
      </c>
      <c r="AY29" s="421">
        <f t="shared" si="4"/>
        <v>24438.302621035567</v>
      </c>
      <c r="AZ29" s="153" t="str">
        <f t="shared" si="5"/>
        <v>OK</v>
      </c>
      <c r="BB29" s="216">
        <f>(C29/Population_Tables!P5)*Population_Tables!D5</f>
        <v>9726.5990525762081</v>
      </c>
      <c r="BC29" s="216">
        <f>(D29/Population_Tables!Q5)*Population_Tables!E5</f>
        <v>2070.428741086751</v>
      </c>
      <c r="BD29" s="216">
        <f>(E29/Population_Tables!R5)*Population_Tables!F5</f>
        <v>8971.4549856688882</v>
      </c>
      <c r="BE29" s="216">
        <f>(F29/Population_Tables!S5)*Population_Tables!G5</f>
        <v>1887.4339185753947</v>
      </c>
      <c r="BF29" s="216">
        <f>(G29/Population_Tables!T5)*Population_Tables!H5</f>
        <v>1782.3859231283234</v>
      </c>
      <c r="BG29" s="216"/>
      <c r="BN29" s="216"/>
      <c r="BO29" s="216"/>
      <c r="BP29" s="216"/>
    </row>
    <row r="30" spans="1:68" ht="15.6" x14ac:dyDescent="0.3">
      <c r="A30" s="194">
        <v>2017</v>
      </c>
      <c r="B30" s="229">
        <v>25546.280670998443</v>
      </c>
      <c r="C30" s="229">
        <v>9770.8842395187457</v>
      </c>
      <c r="D30" s="229">
        <v>2095.7792224505938</v>
      </c>
      <c r="E30" s="229">
        <v>9418.2567059842804</v>
      </c>
      <c r="F30" s="229">
        <v>1964.7784187355189</v>
      </c>
      <c r="G30" s="229">
        <v>1837.9864198060814</v>
      </c>
      <c r="H30" s="229">
        <v>6148.1519986387993</v>
      </c>
      <c r="I30" s="229">
        <v>1613.1515839387532</v>
      </c>
      <c r="J30" s="229">
        <v>3443.151250776792</v>
      </c>
      <c r="K30" s="229">
        <v>4240.9063341350993</v>
      </c>
      <c r="M30" s="194">
        <v>2017</v>
      </c>
      <c r="N30" s="419">
        <f t="shared" si="2"/>
        <v>3301.9639155623545</v>
      </c>
      <c r="O30" s="418">
        <f>(C30/Population_Tables!P6)*Population_Tables!D65</f>
        <v>0</v>
      </c>
      <c r="P30" s="418">
        <f>(D30/Population_Tables!Q6)*Population_Tables!E65</f>
        <v>0</v>
      </c>
      <c r="Q30" s="418">
        <f>((E30-H30)/Population_Tables!R6)*Population_Tables!F65</f>
        <v>1674.3077939320963</v>
      </c>
      <c r="R30" s="418">
        <f>(F30/Population_Tables!S6)*Population_Tables!G65</f>
        <v>1135.9040641113488</v>
      </c>
      <c r="S30" s="418">
        <f>(G30/Population_Tables!T6)*Population_Tables!H65</f>
        <v>491.75205751890928</v>
      </c>
      <c r="T30" s="418">
        <f>(H30/Population_Tables!U6)*Population_Tables!I65</f>
        <v>0</v>
      </c>
      <c r="U30" s="418">
        <f>(I30/Population_Tables!V6)*Population_Tables!J65</f>
        <v>0</v>
      </c>
      <c r="V30" s="418">
        <f>(J30/Population_Tables!W6)*Population_Tables!K65</f>
        <v>0</v>
      </c>
      <c r="W30" s="418">
        <f>(K30/Population_Tables!X6)*Population_Tables!L65</f>
        <v>0</v>
      </c>
      <c r="Y30" s="456">
        <v>2017</v>
      </c>
      <c r="Z30" s="459">
        <f>((B30/Population_Tables!O6)*Population_Tables!C6)-N30</f>
        <v>22244.276495970156</v>
      </c>
      <c r="AA30" s="459">
        <f>((C30/Population_Tables!P6)*Population_Tables!D6)-O30</f>
        <v>9770.8842395187457</v>
      </c>
      <c r="AB30" s="459">
        <f>((D30/Population_Tables!Q6)*Population_Tables!E6)-P30</f>
        <v>2095.7792224505938</v>
      </c>
      <c r="AC30" s="459">
        <f>((E30/Population_Tables!R6)*Population_Tables!F6)-Q30</f>
        <v>7743.9213944482644</v>
      </c>
      <c r="AD30" s="459">
        <f>((F30/Population_Tables!S6)*Population_Tables!G6)-R30</f>
        <v>828.87435462417011</v>
      </c>
      <c r="AE30" s="459">
        <f>((G30/Population_Tables!T6)*Population_Tables!H6)-S30</f>
        <v>1346.2343622871722</v>
      </c>
      <c r="AF30" s="459">
        <f>(H30/Population_Tables!U6)*Population_Tables!I6</f>
        <v>6148.1519986387993</v>
      </c>
      <c r="AG30" s="459">
        <f>(I30/Population_Tables!V6)*Population_Tables!J6</f>
        <v>1613.1515839387532</v>
      </c>
      <c r="AH30" s="459">
        <f>(J30/Population_Tables!W6)*Population_Tables!K6</f>
        <v>3443.151250776792</v>
      </c>
      <c r="AI30" s="459">
        <f>(K30/Population_Tables!X6)*Population_Tables!L6</f>
        <v>4240.9063341350993</v>
      </c>
      <c r="AK30" s="456">
        <v>2017</v>
      </c>
      <c r="AL30" s="459">
        <f t="shared" si="6"/>
        <v>25546.240411532512</v>
      </c>
      <c r="AM30" s="459">
        <f t="shared" si="3"/>
        <v>9770.8842395187457</v>
      </c>
      <c r="AN30" s="459">
        <f t="shared" si="3"/>
        <v>2095.7792224505938</v>
      </c>
      <c r="AO30" s="459">
        <f t="shared" si="3"/>
        <v>9418.2291883803609</v>
      </c>
      <c r="AP30" s="459">
        <f t="shared" si="3"/>
        <v>1964.7784187355189</v>
      </c>
      <c r="AQ30" s="459">
        <f t="shared" si="3"/>
        <v>1837.9864198060814</v>
      </c>
      <c r="AR30" s="459">
        <f t="shared" si="3"/>
        <v>6148.1519986387993</v>
      </c>
      <c r="AS30" s="459">
        <f t="shared" si="3"/>
        <v>1613.1515839387532</v>
      </c>
      <c r="AT30" s="459">
        <f t="shared" si="3"/>
        <v>3443.151250776792</v>
      </c>
      <c r="AU30" s="459">
        <f t="shared" si="3"/>
        <v>4240.9063341350993</v>
      </c>
      <c r="AW30" s="216">
        <f>(B30/Population_Tables!O6)*Population_Tables!C6</f>
        <v>25546.240411532512</v>
      </c>
      <c r="AX30" s="153" t="str">
        <f t="shared" si="7"/>
        <v>OK</v>
      </c>
      <c r="AY30" s="421">
        <f t="shared" si="4"/>
        <v>25087.657488891298</v>
      </c>
      <c r="AZ30" s="153" t="str">
        <f t="shared" si="5"/>
        <v>OK</v>
      </c>
      <c r="BB30" s="216">
        <f>(C30/Population_Tables!P6)*Population_Tables!D6</f>
        <v>9770.8842395187457</v>
      </c>
      <c r="BC30" s="216">
        <f>(D30/Population_Tables!Q6)*Population_Tables!E6</f>
        <v>2095.7792224505938</v>
      </c>
      <c r="BD30" s="216">
        <f>(E30/Population_Tables!R6)*Population_Tables!F6</f>
        <v>9418.2291883803609</v>
      </c>
      <c r="BE30" s="216">
        <f>(F30/Population_Tables!S6)*Population_Tables!G6</f>
        <v>1964.7784187355189</v>
      </c>
      <c r="BF30" s="216">
        <f>(G30/Population_Tables!T6)*Population_Tables!H6</f>
        <v>1837.9864198060814</v>
      </c>
      <c r="BG30" s="216"/>
      <c r="BN30" s="216"/>
      <c r="BO30" s="216"/>
      <c r="BP30" s="216"/>
    </row>
    <row r="31" spans="1:68" ht="15.6" x14ac:dyDescent="0.3">
      <c r="A31" s="194">
        <v>2018</v>
      </c>
      <c r="B31" s="229">
        <v>26336.890715478676</v>
      </c>
      <c r="C31" s="229">
        <v>9818.7957197155065</v>
      </c>
      <c r="D31" s="229">
        <v>2122.0850939795155</v>
      </c>
      <c r="E31" s="229">
        <v>9858.9527535585057</v>
      </c>
      <c r="F31" s="229">
        <v>2045.5882881505904</v>
      </c>
      <c r="G31" s="229">
        <v>1896.1329063562314</v>
      </c>
      <c r="H31" s="229">
        <v>6417.386572932719</v>
      </c>
      <c r="I31" s="229">
        <v>1721.486365312953</v>
      </c>
      <c r="J31" s="229">
        <v>3463.3007975448368</v>
      </c>
      <c r="K31" s="229">
        <v>4246.3997643960429</v>
      </c>
      <c r="M31" s="194">
        <v>2018</v>
      </c>
      <c r="N31" s="419">
        <f t="shared" si="2"/>
        <v>3462.0268995196975</v>
      </c>
      <c r="O31" s="418">
        <f>(C31/Population_Tables!P7)*Population_Tables!D66</f>
        <v>0</v>
      </c>
      <c r="P31" s="418">
        <f>(D31/Population_Tables!Q7)*Population_Tables!E66</f>
        <v>0</v>
      </c>
      <c r="Q31" s="418">
        <f>((E31-H31)/Population_Tables!R7)*Population_Tables!F66</f>
        <v>1766.8694280783263</v>
      </c>
      <c r="R31" s="418">
        <f>(F31/Population_Tables!S7)*Population_Tables!G66</f>
        <v>1186.4674978544203</v>
      </c>
      <c r="S31" s="418">
        <f>(G31/Population_Tables!T7)*Population_Tables!H66</f>
        <v>508.68997358695106</v>
      </c>
      <c r="T31" s="418">
        <f>(H31/Population_Tables!U7)*Population_Tables!I66</f>
        <v>0</v>
      </c>
      <c r="U31" s="418">
        <f>(I31/Population_Tables!V7)*Population_Tables!J66</f>
        <v>0</v>
      </c>
      <c r="V31" s="418">
        <f>(J31/Population_Tables!W7)*Population_Tables!K66</f>
        <v>0</v>
      </c>
      <c r="W31" s="418">
        <f>(K31/Population_Tables!X7)*Population_Tables!L66</f>
        <v>0</v>
      </c>
      <c r="Y31" s="456">
        <v>2018</v>
      </c>
      <c r="Z31" s="459">
        <f>((B31/Population_Tables!O7)*Population_Tables!C7)-N31</f>
        <v>22874.823595094684</v>
      </c>
      <c r="AA31" s="459">
        <f>((C31/Population_Tables!P7)*Population_Tables!D7)-O31</f>
        <v>9818.7957197155065</v>
      </c>
      <c r="AB31" s="459">
        <f>((D31/Population_Tables!Q7)*Population_Tables!E7)-P31</f>
        <v>2122.0850939795155</v>
      </c>
      <c r="AC31" s="459">
        <f>((E31/Population_Tables!R7)*Population_Tables!F7)-Q31</f>
        <v>8092.0553570340444</v>
      </c>
      <c r="AD31" s="459">
        <f>((F31/Population_Tables!S7)*Population_Tables!G7)-R31</f>
        <v>859.12079029617007</v>
      </c>
      <c r="AE31" s="459">
        <f>((G31/Population_Tables!T7)*Population_Tables!H7)-S31</f>
        <v>1387.4429327692803</v>
      </c>
      <c r="AF31" s="459">
        <f>(H31/Population_Tables!U7)*Population_Tables!I7</f>
        <v>6417.386572932719</v>
      </c>
      <c r="AG31" s="459">
        <f>(I31/Population_Tables!V7)*Population_Tables!J7</f>
        <v>1721.486365312953</v>
      </c>
      <c r="AH31" s="459">
        <f>(J31/Population_Tables!W7)*Population_Tables!K7</f>
        <v>3463.3007975448368</v>
      </c>
      <c r="AI31" s="459">
        <f>(K31/Population_Tables!X7)*Population_Tables!L7</f>
        <v>4246.3997643960429</v>
      </c>
      <c r="AK31" s="456">
        <v>2018</v>
      </c>
      <c r="AL31" s="459">
        <f t="shared" si="6"/>
        <v>26336.85049461438</v>
      </c>
      <c r="AM31" s="459">
        <f t="shared" si="3"/>
        <v>9818.7957197155065</v>
      </c>
      <c r="AN31" s="459">
        <f t="shared" si="3"/>
        <v>2122.0850939795155</v>
      </c>
      <c r="AO31" s="459">
        <f t="shared" si="3"/>
        <v>9858.924785112371</v>
      </c>
      <c r="AP31" s="459">
        <f t="shared" si="3"/>
        <v>2045.5882881505904</v>
      </c>
      <c r="AQ31" s="459">
        <f t="shared" si="3"/>
        <v>1896.1329063562314</v>
      </c>
      <c r="AR31" s="459">
        <f t="shared" si="3"/>
        <v>6417.386572932719</v>
      </c>
      <c r="AS31" s="459">
        <f t="shared" si="3"/>
        <v>1721.486365312953</v>
      </c>
      <c r="AT31" s="459">
        <f t="shared" si="3"/>
        <v>3463.3007975448368</v>
      </c>
      <c r="AU31" s="459">
        <f t="shared" si="3"/>
        <v>4246.3997643960429</v>
      </c>
      <c r="AW31" s="216">
        <f>(B31/Population_Tables!O7)*Population_Tables!C7</f>
        <v>26336.85049461438</v>
      </c>
      <c r="AX31" s="153" t="str">
        <f t="shared" si="7"/>
        <v>OK</v>
      </c>
      <c r="AY31" s="421">
        <f t="shared" si="4"/>
        <v>25741.526793314209</v>
      </c>
      <c r="AZ31" s="153" t="str">
        <f t="shared" si="5"/>
        <v>OK</v>
      </c>
      <c r="BB31" s="216">
        <f>(C31/Population_Tables!P7)*Population_Tables!D7</f>
        <v>9818.7957197155065</v>
      </c>
      <c r="BC31" s="216">
        <f>(D31/Population_Tables!Q7)*Population_Tables!E7</f>
        <v>2122.0850939795155</v>
      </c>
      <c r="BD31" s="216">
        <f>(E31/Population_Tables!R7)*Population_Tables!F7</f>
        <v>9858.924785112371</v>
      </c>
      <c r="BE31" s="216">
        <f>(F31/Population_Tables!S7)*Population_Tables!G7</f>
        <v>2045.5882881505904</v>
      </c>
      <c r="BF31" s="216">
        <f>(G31/Population_Tables!T7)*Population_Tables!H7</f>
        <v>1896.1329063562314</v>
      </c>
      <c r="BG31" s="216"/>
      <c r="BN31" s="216"/>
      <c r="BO31" s="216"/>
      <c r="BP31" s="216"/>
    </row>
    <row r="32" spans="1:68" ht="16.2" thickBot="1" x14ac:dyDescent="0.35">
      <c r="A32" s="198">
        <v>2019</v>
      </c>
      <c r="B32" s="230">
        <v>27111.969685605898</v>
      </c>
      <c r="C32" s="230">
        <v>9870.2065330623354</v>
      </c>
      <c r="D32" s="230">
        <v>2149.2985118226766</v>
      </c>
      <c r="E32" s="230">
        <v>10293.953558200512</v>
      </c>
      <c r="F32" s="230">
        <v>2129.9788603497332</v>
      </c>
      <c r="G32" s="230">
        <v>1956.7832316412555</v>
      </c>
      <c r="H32" s="230">
        <v>6676.2573322626322</v>
      </c>
      <c r="I32" s="230">
        <v>1833.5229234843941</v>
      </c>
      <c r="J32" s="230">
        <v>3483.5331251409943</v>
      </c>
      <c r="K32" s="230">
        <v>4254.5128290257981</v>
      </c>
      <c r="M32" s="198">
        <v>2019</v>
      </c>
      <c r="N32" s="419">
        <f t="shared" si="2"/>
        <v>3628.0525468744418</v>
      </c>
      <c r="O32" s="418">
        <f>(C32/Population_Tables!P8)*Population_Tables!D67</f>
        <v>0</v>
      </c>
      <c r="P32" s="418">
        <f>(D32/Population_Tables!Q8)*Population_Tables!E67</f>
        <v>0</v>
      </c>
      <c r="Q32" s="418">
        <f>((E32-H32)/Population_Tables!R8)*Population_Tables!F67</f>
        <v>1862.4154405444203</v>
      </c>
      <c r="R32" s="418">
        <f>(F32/Population_Tables!S8)*Population_Tables!G67</f>
        <v>1239.2951077458433</v>
      </c>
      <c r="S32" s="418">
        <f>(G32/Population_Tables!T8)*Population_Tables!H67</f>
        <v>526.34199858417833</v>
      </c>
      <c r="T32" s="418">
        <f>(H32/Population_Tables!U8)*Population_Tables!I67</f>
        <v>0</v>
      </c>
      <c r="U32" s="418">
        <f>(I32/Population_Tables!V8)*Population_Tables!J67</f>
        <v>0</v>
      </c>
      <c r="V32" s="418">
        <f>(J32/Population_Tables!W8)*Population_Tables!K67</f>
        <v>0</v>
      </c>
      <c r="W32" s="418">
        <f>(K32/Population_Tables!X8)*Population_Tables!L67</f>
        <v>0</v>
      </c>
      <c r="Y32" s="456">
        <v>2019</v>
      </c>
      <c r="Z32" s="459">
        <f>((B32/Population_Tables!O8)*Population_Tables!C8)-N32</f>
        <v>23483.876939204532</v>
      </c>
      <c r="AA32" s="459">
        <f>((C32/Population_Tables!P8)*Population_Tables!D8)-O32</f>
        <v>9870.2065330623354</v>
      </c>
      <c r="AB32" s="459">
        <f>((D32/Population_Tables!Q8)*Population_Tables!E8)-P32</f>
        <v>2149.2985118226766</v>
      </c>
      <c r="AC32" s="459">
        <f>((E32/Population_Tables!R8)*Population_Tables!F8)-Q32</f>
        <v>8431.5097072680273</v>
      </c>
      <c r="AD32" s="459">
        <f>((F32/Population_Tables!S8)*Population_Tables!G8)-R32</f>
        <v>890.68375260388984</v>
      </c>
      <c r="AE32" s="459">
        <f>((G32/Population_Tables!T8)*Population_Tables!H8)-S32</f>
        <v>1430.4412330570772</v>
      </c>
      <c r="AF32" s="459">
        <f>(H32/Population_Tables!U8)*Population_Tables!I8</f>
        <v>6676.2573322626322</v>
      </c>
      <c r="AG32" s="459">
        <f>(I32/Population_Tables!V8)*Population_Tables!J8</f>
        <v>1833.5229234843941</v>
      </c>
      <c r="AH32" s="459">
        <f>(J32/Population_Tables!W8)*Population_Tables!K8</f>
        <v>3483.5331251409943</v>
      </c>
      <c r="AI32" s="459">
        <f>(K32/Population_Tables!X8)*Population_Tables!L8</f>
        <v>4254.5128290257981</v>
      </c>
      <c r="AK32" s="456">
        <v>2019</v>
      </c>
      <c r="AL32" s="459">
        <f t="shared" si="6"/>
        <v>27111.929486078974</v>
      </c>
      <c r="AM32" s="459">
        <f t="shared" si="3"/>
        <v>9870.2065330623354</v>
      </c>
      <c r="AN32" s="459">
        <f t="shared" si="3"/>
        <v>2149.2985118226766</v>
      </c>
      <c r="AO32" s="459">
        <f t="shared" si="3"/>
        <v>10293.925147812448</v>
      </c>
      <c r="AP32" s="459">
        <f t="shared" si="3"/>
        <v>2129.9788603497332</v>
      </c>
      <c r="AQ32" s="459">
        <f t="shared" si="3"/>
        <v>1956.7832316412555</v>
      </c>
      <c r="AR32" s="459">
        <f t="shared" si="3"/>
        <v>6676.2573322626322</v>
      </c>
      <c r="AS32" s="459">
        <f t="shared" si="3"/>
        <v>1833.5229234843941</v>
      </c>
      <c r="AT32" s="459">
        <f t="shared" si="3"/>
        <v>3483.5331251409943</v>
      </c>
      <c r="AU32" s="459">
        <f t="shared" si="3"/>
        <v>4254.5128290257981</v>
      </c>
      <c r="AW32" s="216">
        <f>(B32/Population_Tables!O8)*Population_Tables!C8</f>
        <v>27111.929486078974</v>
      </c>
      <c r="AX32" s="153" t="str">
        <f t="shared" si="7"/>
        <v>OK</v>
      </c>
      <c r="AY32" s="421">
        <f t="shared" si="4"/>
        <v>26400.192284688448</v>
      </c>
      <c r="AZ32" s="153" t="str">
        <f t="shared" si="5"/>
        <v>OK</v>
      </c>
      <c r="BB32" s="216">
        <f>(C32/Population_Tables!P8)*Population_Tables!D8</f>
        <v>9870.2065330623354</v>
      </c>
      <c r="BC32" s="216">
        <f>(D32/Population_Tables!Q8)*Population_Tables!E8</f>
        <v>2149.2985118226766</v>
      </c>
      <c r="BD32" s="216">
        <f>(E32/Population_Tables!R8)*Population_Tables!F8</f>
        <v>10293.925147812448</v>
      </c>
      <c r="BE32" s="216">
        <f>(F32/Population_Tables!S8)*Population_Tables!G8</f>
        <v>2129.9788603497332</v>
      </c>
      <c r="BF32" s="216">
        <f>(G32/Population_Tables!T8)*Population_Tables!H8</f>
        <v>1956.7832316412555</v>
      </c>
      <c r="BG32" s="216"/>
      <c r="BN32" s="216"/>
      <c r="BO32" s="216"/>
      <c r="BP32" s="216"/>
    </row>
    <row r="33" spans="1:68" ht="15.6" x14ac:dyDescent="0.3">
      <c r="A33" s="201">
        <v>2020</v>
      </c>
      <c r="B33" s="228">
        <v>27872.310735664505</v>
      </c>
      <c r="C33" s="228">
        <v>9924.9897194550758</v>
      </c>
      <c r="D33" s="228">
        <v>2177.3716321292377</v>
      </c>
      <c r="E33" s="228">
        <v>10723.642639638601</v>
      </c>
      <c r="F33" s="228">
        <v>2218.0654688620698</v>
      </c>
      <c r="G33" s="228">
        <v>2019.8952445236364</v>
      </c>
      <c r="H33" s="228">
        <v>6925.0455165818166</v>
      </c>
      <c r="I33" s="228">
        <v>1949.2185681475471</v>
      </c>
      <c r="J33" s="228">
        <v>3503.9034271030696</v>
      </c>
      <c r="K33" s="228">
        <v>4265.1502720993967</v>
      </c>
      <c r="M33" s="201">
        <v>2020</v>
      </c>
      <c r="N33" s="419">
        <f t="shared" si="2"/>
        <v>3800.2590756514933</v>
      </c>
      <c r="O33" s="418">
        <f>(C33/Population_Tables!P9)*Population_Tables!D68</f>
        <v>0</v>
      </c>
      <c r="P33" s="418">
        <f>(D33/Population_Tables!Q9)*Population_Tables!E68</f>
        <v>0</v>
      </c>
      <c r="Q33" s="418">
        <f>((E33-H33)/Population_Tables!R9)*Population_Tables!F68</f>
        <v>1961.1275591007648</v>
      </c>
      <c r="R33" s="418">
        <f>(F33/Population_Tables!S9)*Population_Tables!G68</f>
        <v>1294.4427965312834</v>
      </c>
      <c r="S33" s="418">
        <f>(G33/Population_Tables!T9)*Population_Tables!H68</f>
        <v>544.68872001944521</v>
      </c>
      <c r="T33" s="418">
        <f>(H33/Population_Tables!U9)*Population_Tables!I68</f>
        <v>0</v>
      </c>
      <c r="U33" s="418">
        <f>(I33/Population_Tables!V9)*Population_Tables!J68</f>
        <v>0</v>
      </c>
      <c r="V33" s="418">
        <f>(J33/Population_Tables!W9)*Population_Tables!K68</f>
        <v>0</v>
      </c>
      <c r="W33" s="418">
        <f>(K33/Population_Tables!X9)*Population_Tables!L68</f>
        <v>0</v>
      </c>
      <c r="Y33" s="456">
        <v>2020</v>
      </c>
      <c r="Z33" s="459">
        <f>((B33/Population_Tables!O9)*Population_Tables!C9)-N33</f>
        <v>24072.01144701181</v>
      </c>
      <c r="AA33" s="459">
        <f>((C33/Population_Tables!P9)*Population_Tables!D9)-O33</f>
        <v>9924.9897194550758</v>
      </c>
      <c r="AB33" s="459">
        <f>((D33/Population_Tables!Q9)*Population_Tables!E9)-P33</f>
        <v>2177.3716321292377</v>
      </c>
      <c r="AC33" s="459">
        <f>((E33/Population_Tables!R9)*Population_Tables!F9)-Q33</f>
        <v>8762.4862183139739</v>
      </c>
      <c r="AD33" s="459">
        <f>((F33/Population_Tables!S9)*Population_Tables!G9)-R33</f>
        <v>923.62267233078637</v>
      </c>
      <c r="AE33" s="459">
        <f>((G33/Population_Tables!T9)*Population_Tables!H9)-S33</f>
        <v>1475.2065245041913</v>
      </c>
      <c r="AF33" s="459">
        <f>(H33/Population_Tables!U9)*Population_Tables!I9</f>
        <v>6925.0455165818166</v>
      </c>
      <c r="AG33" s="459">
        <f>(I33/Population_Tables!V9)*Population_Tables!J9</f>
        <v>1949.2185681475471</v>
      </c>
      <c r="AH33" s="459">
        <f>(J33/Population_Tables!W9)*Population_Tables!K9</f>
        <v>3503.90342710307</v>
      </c>
      <c r="AI33" s="459">
        <f>(K33/Population_Tables!X9)*Population_Tables!L9</f>
        <v>4265.1502720993967</v>
      </c>
      <c r="AK33" s="456">
        <v>2020</v>
      </c>
      <c r="AL33" s="459">
        <f t="shared" si="6"/>
        <v>27872.270522663304</v>
      </c>
      <c r="AM33" s="459">
        <f t="shared" si="3"/>
        <v>9924.9897194550758</v>
      </c>
      <c r="AN33" s="459">
        <f t="shared" si="3"/>
        <v>2177.3716321292377</v>
      </c>
      <c r="AO33" s="459">
        <f t="shared" si="3"/>
        <v>10723.613777414739</v>
      </c>
      <c r="AP33" s="459">
        <f t="shared" si="3"/>
        <v>2218.0654688620698</v>
      </c>
      <c r="AQ33" s="459">
        <f t="shared" si="3"/>
        <v>2019.8952445236364</v>
      </c>
      <c r="AR33" s="459">
        <f t="shared" si="3"/>
        <v>6925.0455165818166</v>
      </c>
      <c r="AS33" s="459">
        <f t="shared" si="3"/>
        <v>1949.2185681475471</v>
      </c>
      <c r="AT33" s="459">
        <f t="shared" si="3"/>
        <v>3503.90342710307</v>
      </c>
      <c r="AU33" s="459">
        <f t="shared" si="3"/>
        <v>4265.1502720993967</v>
      </c>
      <c r="AW33" s="216">
        <f>(B33/Population_Tables!O9)*Population_Tables!C9</f>
        <v>27872.270522663304</v>
      </c>
      <c r="AX33" s="153" t="str">
        <f t="shared" si="7"/>
        <v>OK</v>
      </c>
      <c r="AY33" s="421">
        <f t="shared" si="4"/>
        <v>27063.935842384759</v>
      </c>
      <c r="AZ33" s="153" t="str">
        <f t="shared" si="5"/>
        <v>OK</v>
      </c>
      <c r="BB33" s="216">
        <f>(C33/Population_Tables!P9)*Population_Tables!D9</f>
        <v>9924.9897194550758</v>
      </c>
      <c r="BC33" s="216">
        <f>(D33/Population_Tables!Q9)*Population_Tables!E9</f>
        <v>2177.3716321292377</v>
      </c>
      <c r="BD33" s="216">
        <f>(E33/Population_Tables!R9)*Population_Tables!F9</f>
        <v>10723.613777414739</v>
      </c>
      <c r="BE33" s="216">
        <f>(F33/Population_Tables!S9)*Population_Tables!G9</f>
        <v>2218.0654688620698</v>
      </c>
      <c r="BF33" s="216">
        <f>(G33/Population_Tables!T9)*Population_Tables!H9</f>
        <v>2019.8952445236364</v>
      </c>
      <c r="BG33" s="216"/>
      <c r="BN33" s="216"/>
      <c r="BO33" s="216"/>
      <c r="BP33" s="216"/>
    </row>
    <row r="34" spans="1:68" ht="15.6" x14ac:dyDescent="0.3">
      <c r="A34" s="206">
        <v>2021</v>
      </c>
      <c r="B34" s="229">
        <v>28618.707019938905</v>
      </c>
      <c r="C34" s="229">
        <v>9983.0183187895709</v>
      </c>
      <c r="D34" s="229">
        <v>2206.2566110483594</v>
      </c>
      <c r="E34" s="229">
        <v>11148.403517601071</v>
      </c>
      <c r="F34" s="229">
        <v>2309.9634472167236</v>
      </c>
      <c r="G34" s="229">
        <v>2085.4267938658559</v>
      </c>
      <c r="H34" s="229">
        <v>7164.0323658435482</v>
      </c>
      <c r="I34" s="229">
        <v>2068.5306089968817</v>
      </c>
      <c r="J34" s="229">
        <v>3524.4668969688692</v>
      </c>
      <c r="K34" s="229">
        <v>4278.2168376918698</v>
      </c>
      <c r="M34" s="206">
        <v>2021</v>
      </c>
      <c r="N34" s="419">
        <f t="shared" si="2"/>
        <v>3985.1312695380821</v>
      </c>
      <c r="O34" s="418">
        <f>(C34/Population_Tables!P10)*Population_Tables!D69</f>
        <v>0</v>
      </c>
      <c r="P34" s="418">
        <f>(D34/Population_Tables!Q10)*Population_Tables!E69</f>
        <v>0</v>
      </c>
      <c r="Q34" s="418">
        <f>((E34-H34)/Population_Tables!R10)*Population_Tables!F69</f>
        <v>2066.7771809276742</v>
      </c>
      <c r="R34" s="418">
        <f>(F34/Population_Tables!S10)*Population_Tables!G69</f>
        <v>1353.3624646893779</v>
      </c>
      <c r="S34" s="418">
        <f>(G34/Population_Tables!T10)*Population_Tables!H69</f>
        <v>564.99162392102994</v>
      </c>
      <c r="T34" s="418">
        <f>(H34/Population_Tables!U10)*Population_Tables!I69</f>
        <v>0</v>
      </c>
      <c r="U34" s="418">
        <f>(I34/Population_Tables!V10)*Population_Tables!J69</f>
        <v>0</v>
      </c>
      <c r="V34" s="418">
        <f>(J34/Population_Tables!W10)*Population_Tables!K69</f>
        <v>0</v>
      </c>
      <c r="W34" s="418">
        <f>(K34/Population_Tables!X10)*Population_Tables!L69</f>
        <v>0</v>
      </c>
      <c r="Y34" s="456">
        <v>2021</v>
      </c>
      <c r="Z34" s="459">
        <f>((B34/Population_Tables!O10)*Population_Tables!C10)-N34</f>
        <v>24669.766031254454</v>
      </c>
      <c r="AA34" s="459">
        <f>((C34/Population_Tables!P10)*Population_Tables!D10)-O34</f>
        <v>9993.3729949399003</v>
      </c>
      <c r="AB34" s="459">
        <f>((D34/Population_Tables!Q10)*Population_Tables!E10)-P34</f>
        <v>2208.8740328106874</v>
      </c>
      <c r="AC34" s="459">
        <f>((E34/Population_Tables!R10)*Population_Tables!F10)-Q34</f>
        <v>9094.9370800996985</v>
      </c>
      <c r="AD34" s="459">
        <f>((F34/Population_Tables!S10)*Population_Tables!G10)-R34</f>
        <v>959.69803990021478</v>
      </c>
      <c r="AE34" s="459">
        <f>((G34/Population_Tables!T10)*Population_Tables!H10)-S34</f>
        <v>1524.3845154856929</v>
      </c>
      <c r="AF34" s="459">
        <f>(H34/Population_Tables!U10)*Population_Tables!I10</f>
        <v>7171.5499749609917</v>
      </c>
      <c r="AG34" s="459">
        <f>(I34/Population_Tables!V10)*Population_Tables!J10</f>
        <v>2070.9103449559843</v>
      </c>
      <c r="AH34" s="459">
        <f>(J34/Population_Tables!W10)*Population_Tables!K10</f>
        <v>3528.1132658910597</v>
      </c>
      <c r="AI34" s="459">
        <f>(K34/Population_Tables!X10)*Population_Tables!L10</f>
        <v>4282.7366686007044</v>
      </c>
      <c r="AK34" s="456">
        <v>2021</v>
      </c>
      <c r="AL34" s="459">
        <f t="shared" si="6"/>
        <v>28654.897300792538</v>
      </c>
      <c r="AM34" s="459">
        <f t="shared" si="3"/>
        <v>9993.3729949399003</v>
      </c>
      <c r="AN34" s="459">
        <f t="shared" si="3"/>
        <v>2208.8740328106874</v>
      </c>
      <c r="AO34" s="459">
        <f t="shared" si="3"/>
        <v>11161.714261027373</v>
      </c>
      <c r="AP34" s="459">
        <f t="shared" si="3"/>
        <v>2313.0605045895927</v>
      </c>
      <c r="AQ34" s="459">
        <f t="shared" si="3"/>
        <v>2089.3761394067228</v>
      </c>
      <c r="AR34" s="459">
        <f t="shared" si="3"/>
        <v>7171.5499749609917</v>
      </c>
      <c r="AS34" s="459">
        <f t="shared" si="3"/>
        <v>2070.9103449559843</v>
      </c>
      <c r="AT34" s="459">
        <f t="shared" si="3"/>
        <v>3528.1132658910597</v>
      </c>
      <c r="AU34" s="459">
        <f t="shared" si="3"/>
        <v>4282.7366686007044</v>
      </c>
      <c r="AW34" s="216">
        <f>(B34/Population_Tables!O10)*Population_Tables!C10</f>
        <v>28654.897300792538</v>
      </c>
      <c r="AX34" s="153" t="str">
        <f t="shared" si="7"/>
        <v>OK</v>
      </c>
      <c r="AY34" s="421">
        <f t="shared" si="4"/>
        <v>27766.397932774275</v>
      </c>
      <c r="AZ34" s="153" t="str">
        <f t="shared" si="5"/>
        <v>OK</v>
      </c>
      <c r="BB34" s="216">
        <f>(C34/Population_Tables!P10)*Population_Tables!D10</f>
        <v>9993.3729949399003</v>
      </c>
      <c r="BC34" s="216">
        <f>(D34/Population_Tables!Q10)*Population_Tables!E10</f>
        <v>2208.8740328106874</v>
      </c>
      <c r="BD34" s="216">
        <f>(E34/Population_Tables!R10)*Population_Tables!F10</f>
        <v>11161.714261027373</v>
      </c>
      <c r="BE34" s="216">
        <f>(F34/Population_Tables!S10)*Population_Tables!G10</f>
        <v>2313.0605045895927</v>
      </c>
      <c r="BF34" s="216">
        <f>(G34/Population_Tables!T10)*Population_Tables!H10</f>
        <v>2089.3761394067228</v>
      </c>
      <c r="BG34" s="216"/>
      <c r="BN34" s="216"/>
      <c r="BO34" s="216"/>
      <c r="BP34" s="216"/>
    </row>
    <row r="35" spans="1:68" ht="15.6" x14ac:dyDescent="0.3">
      <c r="A35" s="206">
        <v>2022</v>
      </c>
      <c r="B35" s="229">
        <v>29351.951692713494</v>
      </c>
      <c r="C35" s="229">
        <v>10044.165370961662</v>
      </c>
      <c r="D35" s="229">
        <v>2235.9056047292024</v>
      </c>
      <c r="E35" s="229">
        <v>11568.619711816224</v>
      </c>
      <c r="F35" s="229">
        <v>2405.7881289428178</v>
      </c>
      <c r="G35" s="229">
        <v>2153.335728530396</v>
      </c>
      <c r="H35" s="229">
        <v>7393.4991200011027</v>
      </c>
      <c r="I35" s="229">
        <v>2191.4163557268685</v>
      </c>
      <c r="J35" s="229">
        <v>3545.2787282761992</v>
      </c>
      <c r="K35" s="229">
        <v>4293.6172698782493</v>
      </c>
      <c r="M35" s="206">
        <v>2022</v>
      </c>
      <c r="N35" s="419">
        <f t="shared" si="2"/>
        <v>4178.9959886785164</v>
      </c>
      <c r="O35" s="418">
        <f>(C35/Population_Tables!P11)*Population_Tables!D70</f>
        <v>0</v>
      </c>
      <c r="P35" s="418">
        <f>(D35/Population_Tables!Q11)*Population_Tables!E70</f>
        <v>0</v>
      </c>
      <c r="Q35" s="418">
        <f>((E35-H35)/Population_Tables!R11)*Population_Tables!F70</f>
        <v>2177.269823918467</v>
      </c>
      <c r="R35" s="418">
        <f>(F35/Population_Tables!S11)*Population_Tables!G70</f>
        <v>1415.5176566582379</v>
      </c>
      <c r="S35" s="418">
        <f>(G35/Population_Tables!T11)*Population_Tables!H70</f>
        <v>586.20850810181093</v>
      </c>
      <c r="T35" s="418">
        <f>(H35/Population_Tables!U11)*Population_Tables!I70</f>
        <v>0</v>
      </c>
      <c r="U35" s="418">
        <f>(I35/Population_Tables!V11)*Population_Tables!J70</f>
        <v>0</v>
      </c>
      <c r="V35" s="418">
        <f>(J35/Population_Tables!W11)*Population_Tables!K70</f>
        <v>0</v>
      </c>
      <c r="W35" s="418">
        <f>(K35/Population_Tables!X11)*Population_Tables!L70</f>
        <v>0</v>
      </c>
      <c r="Y35" s="456">
        <v>2022</v>
      </c>
      <c r="Z35" s="459">
        <f>((B35/Population_Tables!O11)*Population_Tables!C11)-N35</f>
        <v>25255.983525133321</v>
      </c>
      <c r="AA35" s="459">
        <f>((C35/Population_Tables!P11)*Population_Tables!D11)-O35</f>
        <v>10067.880105888309</v>
      </c>
      <c r="AB35" s="459">
        <f>((D35/Population_Tables!Q11)*Population_Tables!E11)-P35</f>
        <v>2241.66274959373</v>
      </c>
      <c r="AC35" s="459">
        <f>((E35/Population_Tables!R11)*Population_Tables!F11)-Q35</f>
        <v>9423.4285571178389</v>
      </c>
      <c r="AD35" s="459">
        <f>((F35/Population_Tables!S11)*Population_Tables!G11)-R35</f>
        <v>997.21819154131822</v>
      </c>
      <c r="AE35" s="459">
        <f>((G35/Population_Tables!T11)*Population_Tables!H11)-S35</f>
        <v>1575.4101215017081</v>
      </c>
      <c r="AF35" s="459">
        <f>(H35/Population_Tables!U11)*Population_Tables!I11</f>
        <v>7410.8023117024068</v>
      </c>
      <c r="AG35" s="459">
        <f>(I35/Population_Tables!V11)*Population_Tables!J11</f>
        <v>2197.474301031933</v>
      </c>
      <c r="AH35" s="459">
        <f>(J35/Population_Tables!W11)*Population_Tables!K11</f>
        <v>3553.4790000451094</v>
      </c>
      <c r="AI35" s="459">
        <f>(K35/Population_Tables!X11)*Population_Tables!L11</f>
        <v>4304.1159189272439</v>
      </c>
      <c r="AK35" s="456">
        <v>2022</v>
      </c>
      <c r="AL35" s="459">
        <f t="shared" si="6"/>
        <v>29434.979513811835</v>
      </c>
      <c r="AM35" s="459">
        <f t="shared" si="3"/>
        <v>10067.880105888309</v>
      </c>
      <c r="AN35" s="459">
        <f t="shared" si="3"/>
        <v>2241.66274959373</v>
      </c>
      <c r="AO35" s="459">
        <f t="shared" si="3"/>
        <v>11600.698381036305</v>
      </c>
      <c r="AP35" s="459">
        <f t="shared" si="3"/>
        <v>2412.7358481995561</v>
      </c>
      <c r="AQ35" s="459">
        <f t="shared" si="3"/>
        <v>2161.6186296035189</v>
      </c>
      <c r="AR35" s="459">
        <f t="shared" si="3"/>
        <v>7410.8023117024068</v>
      </c>
      <c r="AS35" s="459">
        <f t="shared" si="3"/>
        <v>2197.474301031933</v>
      </c>
      <c r="AT35" s="459">
        <f t="shared" si="3"/>
        <v>3553.4790000451094</v>
      </c>
      <c r="AU35" s="459">
        <f t="shared" si="3"/>
        <v>4304.1159189272439</v>
      </c>
      <c r="AW35" s="216">
        <f>(B35/Population_Tables!O11)*Population_Tables!C11</f>
        <v>29434.979513811835</v>
      </c>
      <c r="AX35" s="153" t="str">
        <f t="shared" si="7"/>
        <v>OK</v>
      </c>
      <c r="AY35" s="421">
        <f t="shared" si="4"/>
        <v>28484.595714321422</v>
      </c>
      <c r="AZ35" s="153" t="str">
        <f t="shared" si="5"/>
        <v>OK</v>
      </c>
      <c r="BB35" s="216">
        <f>(C35/Population_Tables!P11)*Population_Tables!D11</f>
        <v>10067.880105888309</v>
      </c>
      <c r="BC35" s="216">
        <f>(D35/Population_Tables!Q11)*Population_Tables!E11</f>
        <v>2241.66274959373</v>
      </c>
      <c r="BD35" s="216">
        <f>(E35/Population_Tables!R11)*Population_Tables!F11</f>
        <v>11600.698381036305</v>
      </c>
      <c r="BE35" s="216">
        <f>(F35/Population_Tables!S11)*Population_Tables!G11</f>
        <v>2412.7358481995561</v>
      </c>
      <c r="BF35" s="216">
        <f>(G35/Population_Tables!T11)*Population_Tables!H11</f>
        <v>2161.6186296035189</v>
      </c>
      <c r="BG35" s="216"/>
      <c r="BN35" s="216"/>
      <c r="BO35" s="216"/>
      <c r="BP35" s="216"/>
    </row>
    <row r="36" spans="1:68" ht="15.6" x14ac:dyDescent="0.3">
      <c r="A36" s="206">
        <v>2023</v>
      </c>
      <c r="B36" s="229">
        <v>30072.837908272668</v>
      </c>
      <c r="C36" s="229">
        <v>10108.303915867195</v>
      </c>
      <c r="D36" s="229">
        <v>2266.2707693209277</v>
      </c>
      <c r="E36" s="229">
        <v>11984.674742012361</v>
      </c>
      <c r="F36" s="229">
        <v>2505.6548475694763</v>
      </c>
      <c r="G36" s="229">
        <v>2223.5798973797391</v>
      </c>
      <c r="H36" s="229">
        <v>7613.7270190077597</v>
      </c>
      <c r="I36" s="229">
        <v>2317.8331180319774</v>
      </c>
      <c r="J36" s="229">
        <v>3566.3941145628651</v>
      </c>
      <c r="K36" s="229">
        <v>4311.2563127335652</v>
      </c>
      <c r="M36" s="206">
        <v>2023</v>
      </c>
      <c r="N36" s="419">
        <f t="shared" si="2"/>
        <v>4381.9360171297249</v>
      </c>
      <c r="O36" s="418">
        <f>(C36/Population_Tables!P12)*Population_Tables!D71</f>
        <v>0</v>
      </c>
      <c r="P36" s="418">
        <f>(D36/Population_Tables!Q12)*Population_Tables!E71</f>
        <v>0</v>
      </c>
      <c r="Q36" s="418">
        <f>((E36-H36)/Population_Tables!R12)*Population_Tables!F71</f>
        <v>2292.6055321483464</v>
      </c>
      <c r="R36" s="418">
        <f>(F36/Population_Tables!S12)*Population_Tables!G71</f>
        <v>1480.9755072071478</v>
      </c>
      <c r="S36" s="418">
        <f>(G36/Population_Tables!T12)*Population_Tables!H71</f>
        <v>608.35497777423063</v>
      </c>
      <c r="T36" s="418">
        <f>(H36/Population_Tables!U12)*Population_Tables!I71</f>
        <v>0</v>
      </c>
      <c r="U36" s="418">
        <f>(I36/Population_Tables!V12)*Population_Tables!J71</f>
        <v>0</v>
      </c>
      <c r="V36" s="418">
        <f>(J36/Population_Tables!W12)*Population_Tables!K71</f>
        <v>0</v>
      </c>
      <c r="W36" s="418">
        <f>(K36/Population_Tables!X12)*Population_Tables!L71</f>
        <v>0</v>
      </c>
      <c r="Y36" s="456">
        <v>2023</v>
      </c>
      <c r="Z36" s="459">
        <f>((B36/Population_Tables!O12)*Population_Tables!C12)-N36</f>
        <v>25830.459304881733</v>
      </c>
      <c r="AA36" s="459">
        <f>((C36/Population_Tables!P12)*Population_Tables!D12)-O36</f>
        <v>10147.957092250064</v>
      </c>
      <c r="AB36" s="459">
        <f>((D36/Population_Tables!Q12)*Population_Tables!E12)-P36</f>
        <v>2275.6606264395014</v>
      </c>
      <c r="AC36" s="459">
        <f>((E36/Population_Tables!R12)*Population_Tables!F12)-Q36</f>
        <v>9747.8697769912505</v>
      </c>
      <c r="AD36" s="459">
        <f>((F36/Population_Tables!S12)*Population_Tables!G12)-R36</f>
        <v>1036.2498294424238</v>
      </c>
      <c r="AE36" s="459">
        <f>((G36/Population_Tables!T12)*Population_Tables!H12)-S36</f>
        <v>1628.3588417144479</v>
      </c>
      <c r="AF36" s="459">
        <f>(H36/Population_Tables!U12)*Population_Tables!I12</f>
        <v>7642.8945246868852</v>
      </c>
      <c r="AG36" s="459">
        <f>(I36/Population_Tables!V12)*Population_Tables!J12</f>
        <v>2328.7933209952635</v>
      </c>
      <c r="AH36" s="459">
        <f>(J36/Population_Tables!W12)*Population_Tables!K12</f>
        <v>3579.9335648565716</v>
      </c>
      <c r="AI36" s="459">
        <f>(K36/Population_Tables!X12)*Population_Tables!L12</f>
        <v>4328.9622512363167</v>
      </c>
      <c r="AK36" s="456">
        <v>2023</v>
      </c>
      <c r="AL36" s="459">
        <f t="shared" si="6"/>
        <v>30212.395322011456</v>
      </c>
      <c r="AM36" s="459">
        <f t="shared" si="3"/>
        <v>10147.957092250064</v>
      </c>
      <c r="AN36" s="459">
        <f t="shared" si="3"/>
        <v>2275.6606264395014</v>
      </c>
      <c r="AO36" s="459">
        <f t="shared" si="3"/>
        <v>12040.475309139598</v>
      </c>
      <c r="AP36" s="459">
        <f t="shared" si="3"/>
        <v>2517.2253366495715</v>
      </c>
      <c r="AQ36" s="459">
        <f t="shared" si="3"/>
        <v>2236.7138194886784</v>
      </c>
      <c r="AR36" s="459">
        <f t="shared" si="3"/>
        <v>7642.8945246868852</v>
      </c>
      <c r="AS36" s="459">
        <f t="shared" si="3"/>
        <v>2328.7933209952635</v>
      </c>
      <c r="AT36" s="459">
        <f t="shared" si="3"/>
        <v>3579.9335648565716</v>
      </c>
      <c r="AU36" s="459">
        <f t="shared" si="3"/>
        <v>4328.9622512363167</v>
      </c>
      <c r="AW36" s="216">
        <f>(B36/Population_Tables!O12)*Population_Tables!C12</f>
        <v>30212.39532201146</v>
      </c>
      <c r="AX36" s="153" t="b">
        <f t="shared" si="7"/>
        <v>0</v>
      </c>
      <c r="AY36" s="421">
        <f t="shared" si="4"/>
        <v>29218.032183967414</v>
      </c>
      <c r="AZ36" s="153" t="str">
        <f t="shared" si="5"/>
        <v>OK</v>
      </c>
      <c r="BB36" s="216">
        <f>(C36/Population_Tables!P12)*Population_Tables!D12</f>
        <v>10147.957092250064</v>
      </c>
      <c r="BC36" s="216">
        <f>(D36/Population_Tables!Q12)*Population_Tables!E12</f>
        <v>2275.6606264395014</v>
      </c>
      <c r="BD36" s="216">
        <f>(E36/Population_Tables!R12)*Population_Tables!F12</f>
        <v>12040.475309139596</v>
      </c>
      <c r="BE36" s="216">
        <f>(F36/Population_Tables!S12)*Population_Tables!G12</f>
        <v>2517.2253366495715</v>
      </c>
      <c r="BF36" s="216">
        <f>(G36/Population_Tables!T12)*Population_Tables!H12</f>
        <v>2236.7138194886784</v>
      </c>
      <c r="BG36" s="216"/>
      <c r="BN36" s="216"/>
      <c r="BO36" s="216"/>
      <c r="BP36" s="216"/>
    </row>
    <row r="37" spans="1:68" ht="15.6" x14ac:dyDescent="0.3">
      <c r="A37" s="206">
        <v>2024</v>
      </c>
      <c r="B37" s="229">
        <v>30782.158820900833</v>
      </c>
      <c r="C37" s="229">
        <v>10175.306993402011</v>
      </c>
      <c r="D37" s="229">
        <v>2297.3042609726954</v>
      </c>
      <c r="E37" s="229">
        <v>12396.952127917779</v>
      </c>
      <c r="F37" s="229">
        <v>2609.6789366258217</v>
      </c>
      <c r="G37" s="229">
        <v>2296.1171492763669</v>
      </c>
      <c r="H37" s="229">
        <v>7824.9973028167933</v>
      </c>
      <c r="I37" s="229">
        <v>2447.738205606679</v>
      </c>
      <c r="J37" s="229">
        <v>3587.8682493666734</v>
      </c>
      <c r="K37" s="229">
        <v>4331.0387103328494</v>
      </c>
      <c r="M37" s="206">
        <v>2024</v>
      </c>
      <c r="N37" s="419">
        <f t="shared" si="2"/>
        <v>4594.1559465316432</v>
      </c>
      <c r="O37" s="418">
        <f>(C37/Population_Tables!P13)*Population_Tables!D72</f>
        <v>0</v>
      </c>
      <c r="P37" s="418">
        <f>(D37/Population_Tables!Q13)*Population_Tables!E72</f>
        <v>0</v>
      </c>
      <c r="Q37" s="418">
        <f>((E37-H37)/Population_Tables!R13)*Population_Tables!F72</f>
        <v>2412.8076617140105</v>
      </c>
      <c r="R37" s="418">
        <f>(F37/Population_Tables!S13)*Population_Tables!G72</f>
        <v>1549.8503705885262</v>
      </c>
      <c r="S37" s="418">
        <f>(G37/Population_Tables!T13)*Population_Tables!H72</f>
        <v>631.49791422910687</v>
      </c>
      <c r="T37" s="418">
        <f>(H37/Population_Tables!U13)*Population_Tables!I72</f>
        <v>0</v>
      </c>
      <c r="U37" s="418">
        <f>(I37/Population_Tables!V13)*Population_Tables!J72</f>
        <v>0</v>
      </c>
      <c r="V37" s="418">
        <f>(J37/Population_Tables!W13)*Population_Tables!K72</f>
        <v>0</v>
      </c>
      <c r="W37" s="418">
        <f>(K37/Population_Tables!X13)*Population_Tables!L72</f>
        <v>0</v>
      </c>
      <c r="Y37" s="456">
        <v>2024</v>
      </c>
      <c r="Z37" s="459">
        <f>((B37/Population_Tables!O13)*Population_Tables!C13)-N37</f>
        <v>26393.41482022293</v>
      </c>
      <c r="AA37" s="459">
        <f>((C37/Population_Tables!P13)*Population_Tables!D13)-O37</f>
        <v>10233.136725656912</v>
      </c>
      <c r="AB37" s="459">
        <f>((D37/Population_Tables!Q13)*Population_Tables!E13)-P37</f>
        <v>2310.7852193211966</v>
      </c>
      <c r="AC37" s="459">
        <f>((E37/Population_Tables!R13)*Population_Tables!F13)-Q37</f>
        <v>10068.240636805189</v>
      </c>
      <c r="AD37" s="459">
        <f>((F37/Population_Tables!S13)*Population_Tables!G13)-R37</f>
        <v>1076.8818421688873</v>
      </c>
      <c r="AE37" s="459">
        <f>((G37/Population_Tables!T13)*Population_Tables!H13)-S37</f>
        <v>1683.4249553550167</v>
      </c>
      <c r="AF37" s="459">
        <f>(H37/Population_Tables!U13)*Population_Tables!I13</f>
        <v>7867.9392206595985</v>
      </c>
      <c r="AG37" s="459">
        <f>(I37/Population_Tables!V13)*Population_Tables!J13</f>
        <v>2464.7758834044289</v>
      </c>
      <c r="AH37" s="459">
        <f>(J37/Population_Tables!W13)*Population_Tables!K13</f>
        <v>3607.4341027076202</v>
      </c>
      <c r="AI37" s="459">
        <f>(K37/Population_Tables!X13)*Population_Tables!L13</f>
        <v>4357.0010355289451</v>
      </c>
      <c r="AK37" s="456">
        <v>2024</v>
      </c>
      <c r="AL37" s="459">
        <f t="shared" si="6"/>
        <v>30987.570766754572</v>
      </c>
      <c r="AM37" s="459">
        <f t="shared" si="3"/>
        <v>10233.136725656912</v>
      </c>
      <c r="AN37" s="459">
        <f t="shared" si="3"/>
        <v>2310.7852193211966</v>
      </c>
      <c r="AO37" s="459">
        <f t="shared" si="3"/>
        <v>12481.048298519199</v>
      </c>
      <c r="AP37" s="459">
        <f t="shared" si="3"/>
        <v>2626.7322127574134</v>
      </c>
      <c r="AQ37" s="459">
        <f t="shared" si="3"/>
        <v>2314.9228695841234</v>
      </c>
      <c r="AR37" s="459">
        <f t="shared" si="3"/>
        <v>7867.9392206595985</v>
      </c>
      <c r="AS37" s="459">
        <f t="shared" si="3"/>
        <v>2464.7758834044289</v>
      </c>
      <c r="AT37" s="459">
        <f t="shared" si="3"/>
        <v>3607.4341027076202</v>
      </c>
      <c r="AU37" s="459">
        <f t="shared" si="3"/>
        <v>4357.0010355289451</v>
      </c>
      <c r="AW37" s="216">
        <f>(B37/Population_Tables!O13)*Population_Tables!C13</f>
        <v>30987.570766754572</v>
      </c>
      <c r="AX37" s="153" t="str">
        <f t="shared" si="7"/>
        <v>OK</v>
      </c>
      <c r="AY37" s="421">
        <f t="shared" si="4"/>
        <v>29966.625325838846</v>
      </c>
      <c r="AZ37" s="153" t="str">
        <f t="shared" si="5"/>
        <v>OK</v>
      </c>
      <c r="BB37" s="216">
        <f>(C37/Population_Tables!P13)*Population_Tables!D13</f>
        <v>10233.136725656912</v>
      </c>
      <c r="BC37" s="216">
        <f>(D37/Population_Tables!Q13)*Population_Tables!E13</f>
        <v>2310.7852193211966</v>
      </c>
      <c r="BD37" s="216">
        <f>(E37/Population_Tables!R13)*Population_Tables!F13</f>
        <v>12481.048298519199</v>
      </c>
      <c r="BE37" s="216">
        <f>(F37/Population_Tables!S13)*Population_Tables!G13</f>
        <v>2626.7322127574134</v>
      </c>
      <c r="BF37" s="216">
        <f>(G37/Population_Tables!T13)*Population_Tables!H13</f>
        <v>2314.9228695841234</v>
      </c>
      <c r="BG37" s="216"/>
      <c r="BN37" s="216"/>
      <c r="BO37" s="216"/>
      <c r="BP37" s="216"/>
    </row>
    <row r="38" spans="1:68" ht="15.6" x14ac:dyDescent="0.3">
      <c r="A38" s="206">
        <v>2025</v>
      </c>
      <c r="B38" s="229">
        <v>31480.707584882388</v>
      </c>
      <c r="C38" s="229">
        <v>10245.047643461956</v>
      </c>
      <c r="D38" s="229">
        <v>2328.9582358336665</v>
      </c>
      <c r="E38" s="229">
        <v>12805.835389260783</v>
      </c>
      <c r="F38" s="229">
        <v>2717.9757296409771</v>
      </c>
      <c r="G38" s="229">
        <v>2370.9053330827624</v>
      </c>
      <c r="H38" s="229">
        <v>8027.5912113814811</v>
      </c>
      <c r="I38" s="229">
        <v>2581.0889281454429</v>
      </c>
      <c r="J38" s="229">
        <v>3609.7563262254293</v>
      </c>
      <c r="K38" s="229">
        <v>4352.8692067511329</v>
      </c>
      <c r="M38" s="206">
        <v>2025</v>
      </c>
      <c r="N38" s="419">
        <f t="shared" si="2"/>
        <v>4815.8853737008194</v>
      </c>
      <c r="O38" s="418">
        <f>(C38/Population_Tables!P14)*Population_Tables!D73</f>
        <v>0</v>
      </c>
      <c r="P38" s="418">
        <f>(D38/Population_Tables!Q14)*Population_Tables!E73</f>
        <v>0</v>
      </c>
      <c r="Q38" s="418">
        <f>((E38-H38)/Population_Tables!R14)*Population_Tables!F73</f>
        <v>2537.9243409176288</v>
      </c>
      <c r="R38" s="418">
        <f>(F38/Population_Tables!S14)*Population_Tables!G73</f>
        <v>1622.2644971969985</v>
      </c>
      <c r="S38" s="418">
        <f>(G38/Population_Tables!T14)*Population_Tables!H73</f>
        <v>655.69653558619189</v>
      </c>
      <c r="T38" s="418">
        <f>(H38/Population_Tables!U14)*Population_Tables!I73</f>
        <v>0</v>
      </c>
      <c r="U38" s="418">
        <f>(I38/Population_Tables!V14)*Population_Tables!J73</f>
        <v>0</v>
      </c>
      <c r="V38" s="418">
        <f>(J38/Population_Tables!W14)*Population_Tables!K73</f>
        <v>0</v>
      </c>
      <c r="W38" s="418">
        <f>(K38/Population_Tables!X14)*Population_Tables!L73</f>
        <v>0</v>
      </c>
      <c r="Y38" s="456">
        <v>2025</v>
      </c>
      <c r="Z38" s="459">
        <f>((B38/Population_Tables!O14)*Population_Tables!C14)-N38</f>
        <v>26945.155968990694</v>
      </c>
      <c r="AA38" s="459">
        <f>((C38/Population_Tables!P14)*Population_Tables!D14)-O38</f>
        <v>10323.036444810272</v>
      </c>
      <c r="AB38" s="459">
        <f>((D38/Population_Tables!Q14)*Population_Tables!E14)-P38</f>
        <v>2346.9680001127126</v>
      </c>
      <c r="AC38" s="459">
        <f>((E38/Population_Tables!R14)*Population_Tables!F14)-Q38</f>
        <v>10384.586854318659</v>
      </c>
      <c r="AD38" s="459">
        <f>((F38/Population_Tables!S14)*Population_Tables!G14)-R38</f>
        <v>1119.1963094476773</v>
      </c>
      <c r="AE38" s="459">
        <f>((G38/Population_Tables!T14)*Population_Tables!H14)-S38</f>
        <v>1740.7601009640932</v>
      </c>
      <c r="AF38" s="459">
        <f>(H38/Population_Tables!U14)*Population_Tables!I14</f>
        <v>8086.0805898922608</v>
      </c>
      <c r="AG38" s="459">
        <f>(I38/Population_Tables!V14)*Population_Tables!J14</f>
        <v>2605.350116945835</v>
      </c>
      <c r="AH38" s="459">
        <f>(J38/Population_Tables!W14)*Population_Tables!K14</f>
        <v>3635.9614550861734</v>
      </c>
      <c r="AI38" s="459">
        <f>(K38/Population_Tables!X14)*Population_Tables!L14</f>
        <v>4388.0066385774362</v>
      </c>
      <c r="AK38" s="456">
        <v>2025</v>
      </c>
      <c r="AL38" s="459">
        <f t="shared" si="6"/>
        <v>31761.041342691511</v>
      </c>
      <c r="AM38" s="459">
        <f t="shared" si="3"/>
        <v>10323.036444810272</v>
      </c>
      <c r="AN38" s="459">
        <f t="shared" si="3"/>
        <v>2346.9680001127126</v>
      </c>
      <c r="AO38" s="459">
        <f t="shared" si="3"/>
        <v>12922.511195236288</v>
      </c>
      <c r="AP38" s="459">
        <f t="shared" si="3"/>
        <v>2741.4608066446758</v>
      </c>
      <c r="AQ38" s="459">
        <f t="shared" si="3"/>
        <v>2396.4566365502851</v>
      </c>
      <c r="AR38" s="459">
        <f t="shared" si="3"/>
        <v>8086.0805898922608</v>
      </c>
      <c r="AS38" s="459">
        <f t="shared" si="3"/>
        <v>2605.350116945835</v>
      </c>
      <c r="AT38" s="459">
        <f t="shared" si="3"/>
        <v>3635.9614550861734</v>
      </c>
      <c r="AU38" s="459">
        <f t="shared" si="3"/>
        <v>4388.0066385774362</v>
      </c>
      <c r="AW38" s="216">
        <f>(B38/Population_Tables!O14)*Population_Tables!C14</f>
        <v>31761.041342691515</v>
      </c>
      <c r="AX38" s="153" t="b">
        <f t="shared" si="7"/>
        <v>0</v>
      </c>
      <c r="AY38" s="421">
        <f t="shared" si="4"/>
        <v>30730.433083354234</v>
      </c>
      <c r="AZ38" s="153" t="str">
        <f t="shared" si="5"/>
        <v>OK</v>
      </c>
      <c r="BB38" s="216">
        <f>(C38/Population_Tables!P14)*Population_Tables!D14</f>
        <v>10323.036444810272</v>
      </c>
      <c r="BC38" s="216">
        <f>(D38/Population_Tables!Q14)*Population_Tables!E14</f>
        <v>2346.9680001127126</v>
      </c>
      <c r="BD38" s="216">
        <f>(E38/Population_Tables!R14)*Population_Tables!F14</f>
        <v>12922.511195236288</v>
      </c>
      <c r="BE38" s="216">
        <f>(F38/Population_Tables!S14)*Population_Tables!G14</f>
        <v>2741.4608066446758</v>
      </c>
      <c r="BF38" s="216">
        <f>(G38/Population_Tables!T14)*Population_Tables!H14</f>
        <v>2396.4566365502851</v>
      </c>
      <c r="BG38" s="216"/>
      <c r="BN38" s="216"/>
      <c r="BO38" s="216"/>
      <c r="BP38" s="216"/>
    </row>
    <row r="39" spans="1:68" ht="15.6" x14ac:dyDescent="0.3">
      <c r="A39" s="206">
        <v>2026</v>
      </c>
      <c r="B39" s="229">
        <v>32169.277354501733</v>
      </c>
      <c r="C39" s="229">
        <v>10317.39890594287</v>
      </c>
      <c r="D39" s="229">
        <v>2361.1848500530014</v>
      </c>
      <c r="E39" s="229">
        <v>13211.708045769672</v>
      </c>
      <c r="F39" s="229">
        <v>2830.6605601440669</v>
      </c>
      <c r="G39" s="229">
        <v>2447.9022976614069</v>
      </c>
      <c r="H39" s="229">
        <v>8221.7899846551009</v>
      </c>
      <c r="I39" s="229">
        <v>2717.8425953427395</v>
      </c>
      <c r="J39" s="229">
        <v>3632.1135386769392</v>
      </c>
      <c r="K39" s="229">
        <v>4376.6525460634475</v>
      </c>
      <c r="M39" s="206">
        <v>2026</v>
      </c>
      <c r="N39" s="419">
        <f t="shared" si="2"/>
        <v>5047.3367501303183</v>
      </c>
      <c r="O39" s="418">
        <f>(C39/Population_Tables!P15)*Population_Tables!D74</f>
        <v>0</v>
      </c>
      <c r="P39" s="418">
        <f>(D39/Population_Tables!Q15)*Population_Tables!E74</f>
        <v>0</v>
      </c>
      <c r="Q39" s="418">
        <f>((E39-H39)/Population_Tables!R15)*Population_Tables!F74</f>
        <v>2668.0344868653706</v>
      </c>
      <c r="R39" s="418">
        <f>(F39/Population_Tables!S15)*Population_Tables!G74</f>
        <v>1698.3346301905801</v>
      </c>
      <c r="S39" s="418">
        <f>(G39/Population_Tables!T15)*Population_Tables!H74</f>
        <v>680.96763307436765</v>
      </c>
      <c r="T39" s="418">
        <f>(H39/Population_Tables!U15)*Population_Tables!I74</f>
        <v>0</v>
      </c>
      <c r="U39" s="418">
        <f>(I39/Population_Tables!V15)*Population_Tables!J74</f>
        <v>0</v>
      </c>
      <c r="V39" s="418">
        <f>(J39/Population_Tables!W15)*Population_Tables!K74</f>
        <v>0</v>
      </c>
      <c r="W39" s="418">
        <f>(K39/Population_Tables!X15)*Population_Tables!L74</f>
        <v>0</v>
      </c>
      <c r="Y39" s="456">
        <v>2026</v>
      </c>
      <c r="Z39" s="459">
        <f>((B39/Population_Tables!O15)*Population_Tables!C15)-N39</f>
        <v>27485.942239964173</v>
      </c>
      <c r="AA39" s="459">
        <f>((C39/Population_Tables!P15)*Population_Tables!D15)-O39</f>
        <v>10417.36496708087</v>
      </c>
      <c r="AB39" s="459">
        <f>((D39/Population_Tables!Q15)*Population_Tables!E15)-P39</f>
        <v>2384.1814243115896</v>
      </c>
      <c r="AC39" s="459">
        <f>((E39/Population_Tables!R15)*Population_Tables!F15)-Q39</f>
        <v>10697.025911139244</v>
      </c>
      <c r="AD39" s="459">
        <f>((F39/Population_Tables!S15)*Population_Tables!G15)-R39</f>
        <v>1163.2583851360876</v>
      </c>
      <c r="AE39" s="459">
        <f>((G39/Population_Tables!T15)*Population_Tables!H15)-S39</f>
        <v>1800.3804055063474</v>
      </c>
      <c r="AF39" s="459">
        <f>(H39/Population_Tables!U15)*Population_Tables!I15</f>
        <v>8297.5074094292995</v>
      </c>
      <c r="AG39" s="459">
        <f>(I39/Population_Tables!V15)*Population_Tables!J15</f>
        <v>2750.4619392522841</v>
      </c>
      <c r="AH39" s="459">
        <f>(J39/Population_Tables!W15)*Population_Tables!K15</f>
        <v>3665.5228071292904</v>
      </c>
      <c r="AI39" s="459">
        <f>(K39/Population_Tables!X15)*Population_Tables!L15</f>
        <v>4421.8036423338344</v>
      </c>
      <c r="AK39" s="456">
        <v>2026</v>
      </c>
      <c r="AL39" s="459">
        <f t="shared" si="6"/>
        <v>32533.278990094492</v>
      </c>
      <c r="AM39" s="459">
        <f t="shared" si="3"/>
        <v>10417.36496708087</v>
      </c>
      <c r="AN39" s="459">
        <f t="shared" si="3"/>
        <v>2384.1814243115896</v>
      </c>
      <c r="AO39" s="459">
        <f t="shared" si="3"/>
        <v>13365.060398004614</v>
      </c>
      <c r="AP39" s="459">
        <f t="shared" si="3"/>
        <v>2861.5930153266677</v>
      </c>
      <c r="AQ39" s="459">
        <f t="shared" si="3"/>
        <v>2481.3480385807152</v>
      </c>
      <c r="AR39" s="459">
        <f t="shared" si="3"/>
        <v>8297.5074094292995</v>
      </c>
      <c r="AS39" s="459">
        <f t="shared" si="3"/>
        <v>2750.4619392522841</v>
      </c>
      <c r="AT39" s="459">
        <f t="shared" si="3"/>
        <v>3665.5228071292904</v>
      </c>
      <c r="AU39" s="459">
        <f t="shared" si="3"/>
        <v>4421.8036423338344</v>
      </c>
      <c r="AW39" s="216">
        <f>(B39/Population_Tables!O15)*Population_Tables!C15</f>
        <v>32533.278990094492</v>
      </c>
      <c r="AX39" s="153" t="str">
        <f t="shared" si="7"/>
        <v>OK</v>
      </c>
      <c r="AY39" s="421">
        <f t="shared" si="4"/>
        <v>31509.547843304459</v>
      </c>
      <c r="AZ39" s="153" t="str">
        <f t="shared" si="5"/>
        <v>OK</v>
      </c>
      <c r="BB39" s="216">
        <f>(C39/Population_Tables!P15)*Population_Tables!D15</f>
        <v>10417.36496708087</v>
      </c>
      <c r="BC39" s="216">
        <f>(D39/Population_Tables!Q15)*Population_Tables!E15</f>
        <v>2384.1814243115896</v>
      </c>
      <c r="BD39" s="216">
        <f>(E39/Population_Tables!R15)*Population_Tables!F15</f>
        <v>13365.060398004614</v>
      </c>
      <c r="BE39" s="216">
        <f>(F39/Population_Tables!S15)*Population_Tables!G15</f>
        <v>2861.5930153266677</v>
      </c>
      <c r="BF39" s="216">
        <f>(G39/Population_Tables!T15)*Population_Tables!H15</f>
        <v>2481.3480385807152</v>
      </c>
      <c r="BG39" s="216"/>
      <c r="BN39" s="216"/>
      <c r="BO39" s="216"/>
      <c r="BP39" s="216"/>
    </row>
    <row r="40" spans="1:68" ht="15.6" x14ac:dyDescent="0.3">
      <c r="A40" s="206">
        <v>2027</v>
      </c>
      <c r="B40" s="229">
        <v>32848.661284043264</v>
      </c>
      <c r="C40" s="229">
        <v>10392.233820740599</v>
      </c>
      <c r="D40" s="229">
        <v>2393.9362597798613</v>
      </c>
      <c r="E40" s="229">
        <v>13614.953617172743</v>
      </c>
      <c r="F40" s="229">
        <v>2947.8487616642124</v>
      </c>
      <c r="G40" s="229">
        <v>2527.0658918747827</v>
      </c>
      <c r="H40" s="229">
        <v>8407.8748625909284</v>
      </c>
      <c r="I40" s="229">
        <v>2857.9565168930394</v>
      </c>
      <c r="J40" s="229">
        <v>3654.9950802590097</v>
      </c>
      <c r="K40" s="229">
        <v>4402.2934723448243</v>
      </c>
      <c r="M40" s="206">
        <v>2027</v>
      </c>
      <c r="N40" s="419">
        <f t="shared" si="2"/>
        <v>5288.7251402446427</v>
      </c>
      <c r="O40" s="418">
        <f>(C40/Population_Tables!P16)*Population_Tables!D75</f>
        <v>0</v>
      </c>
      <c r="P40" s="418">
        <f>(D40/Population_Tables!Q16)*Population_Tables!E75</f>
        <v>0</v>
      </c>
      <c r="Q40" s="418">
        <f>((E40-H40)/Population_Tables!R16)*Population_Tables!F75</f>
        <v>2803.2573244987025</v>
      </c>
      <c r="R40" s="418">
        <f>(F40/Population_Tables!S16)*Population_Tables!G75</f>
        <v>1778.1687789430114</v>
      </c>
      <c r="S40" s="418">
        <f>(G40/Population_Tables!T16)*Population_Tables!H75</f>
        <v>707.29903680292853</v>
      </c>
      <c r="T40" s="418">
        <f>(H40/Population_Tables!U16)*Population_Tables!I75</f>
        <v>0</v>
      </c>
      <c r="U40" s="418">
        <f>(I40/Population_Tables!V16)*Population_Tables!J75</f>
        <v>0</v>
      </c>
      <c r="V40" s="418">
        <f>(J40/Population_Tables!W16)*Population_Tables!K75</f>
        <v>0</v>
      </c>
      <c r="W40" s="418">
        <f>(K40/Population_Tables!X16)*Population_Tables!L75</f>
        <v>0</v>
      </c>
      <c r="Y40" s="456">
        <v>2027</v>
      </c>
      <c r="Z40" s="459">
        <f>((B40/Population_Tables!O16)*Population_Tables!C16)-N40</f>
        <v>28016.029847197664</v>
      </c>
      <c r="AA40" s="459">
        <f>((C40/Population_Tables!P16)*Population_Tables!D16)-O40</f>
        <v>10515.917014571189</v>
      </c>
      <c r="AB40" s="459">
        <f>((D40/Population_Tables!Q16)*Population_Tables!E16)-P40</f>
        <v>2422.4075685749681</v>
      </c>
      <c r="AC40" s="459">
        <f>((E40/Population_Tables!R16)*Population_Tables!F16)-Q40</f>
        <v>11005.771461328128</v>
      </c>
      <c r="AD40" s="459">
        <f>((F40/Population_Tables!S16)*Population_Tables!G16)-R40</f>
        <v>1209.1144401731997</v>
      </c>
      <c r="AE40" s="459">
        <f>((G40/Population_Tables!T16)*Population_Tables!H16)-S40</f>
        <v>1862.1997127133341</v>
      </c>
      <c r="AF40" s="459">
        <f>(H40/Population_Tables!U16)*Population_Tables!I16</f>
        <v>8502.4604536531024</v>
      </c>
      <c r="AG40" s="459">
        <f>(I40/Population_Tables!V16)*Population_Tables!J16</f>
        <v>2900.0932439891808</v>
      </c>
      <c r="AH40" s="459">
        <f>(J40/Population_Tables!W16)*Population_Tables!K16</f>
        <v>3696.1507279232733</v>
      </c>
      <c r="AI40" s="459">
        <f>(K40/Population_Tables!X16)*Population_Tables!L16</f>
        <v>4458.2638053723003</v>
      </c>
      <c r="AK40" s="456">
        <v>2027</v>
      </c>
      <c r="AL40" s="459">
        <f t="shared" si="6"/>
        <v>33304.754987442306</v>
      </c>
      <c r="AM40" s="459">
        <f t="shared" si="3"/>
        <v>10515.917014571189</v>
      </c>
      <c r="AN40" s="459">
        <f t="shared" si="3"/>
        <v>2422.4075685749681</v>
      </c>
      <c r="AO40" s="459">
        <f t="shared" si="3"/>
        <v>13809.028785826831</v>
      </c>
      <c r="AP40" s="459">
        <f t="shared" si="3"/>
        <v>2987.2832191162111</v>
      </c>
      <c r="AQ40" s="459">
        <f t="shared" si="3"/>
        <v>2569.4987495162627</v>
      </c>
      <c r="AR40" s="459">
        <f t="shared" si="3"/>
        <v>8502.4604536531024</v>
      </c>
      <c r="AS40" s="459">
        <f t="shared" si="3"/>
        <v>2900.0932439891808</v>
      </c>
      <c r="AT40" s="459">
        <f t="shared" si="3"/>
        <v>3696.1507279232733</v>
      </c>
      <c r="AU40" s="459">
        <f t="shared" si="3"/>
        <v>4458.2638053723003</v>
      </c>
      <c r="AW40" s="216">
        <f>(B40/Population_Tables!O16)*Population_Tables!C16</f>
        <v>33304.754987442306</v>
      </c>
      <c r="AX40" s="153" t="str">
        <f t="shared" si="7"/>
        <v>OK</v>
      </c>
      <c r="AY40" s="421">
        <f t="shared" si="4"/>
        <v>32304.135337605465</v>
      </c>
      <c r="AZ40" s="153" t="str">
        <f t="shared" si="5"/>
        <v>OK</v>
      </c>
      <c r="BB40" s="216">
        <f>(C40/Population_Tables!P16)*Population_Tables!D16</f>
        <v>10515.917014571189</v>
      </c>
      <c r="BC40" s="216">
        <f>(D40/Population_Tables!Q16)*Population_Tables!E16</f>
        <v>2422.4075685749681</v>
      </c>
      <c r="BD40" s="216">
        <f>(E40/Population_Tables!R16)*Population_Tables!F16</f>
        <v>13809.028785826829</v>
      </c>
      <c r="BE40" s="216">
        <f>(F40/Population_Tables!S16)*Population_Tables!G16</f>
        <v>2987.2832191162111</v>
      </c>
      <c r="BF40" s="216">
        <f>(G40/Population_Tables!T16)*Population_Tables!H16</f>
        <v>2569.4987495162627</v>
      </c>
      <c r="BG40" s="216"/>
      <c r="BN40" s="216"/>
      <c r="BO40" s="216"/>
      <c r="BP40" s="216"/>
    </row>
    <row r="41" spans="1:68" ht="15.6" x14ac:dyDescent="0.3">
      <c r="A41" s="206">
        <v>2028</v>
      </c>
      <c r="B41" s="229">
        <v>33519.65252779139</v>
      </c>
      <c r="C41" s="229">
        <v>10469.425427750984</v>
      </c>
      <c r="D41" s="229">
        <v>2427.1646211634061</v>
      </c>
      <c r="E41" s="229">
        <v>14015.955623198301</v>
      </c>
      <c r="F41" s="229">
        <v>3069.6556677305389</v>
      </c>
      <c r="G41" s="229">
        <v>2608.3539645853721</v>
      </c>
      <c r="H41" s="229">
        <v>8586.1270851422396</v>
      </c>
      <c r="I41" s="229">
        <v>3001.3880024908121</v>
      </c>
      <c r="J41" s="229">
        <v>3678.4561445094455</v>
      </c>
      <c r="K41" s="229">
        <v>4429.6967296702933</v>
      </c>
      <c r="M41" s="206">
        <v>2028</v>
      </c>
      <c r="N41" s="419">
        <f t="shared" si="2"/>
        <v>5540.3519905611483</v>
      </c>
      <c r="O41" s="418">
        <f>(C41/Population_Tables!P17)*Population_Tables!D76</f>
        <v>0</v>
      </c>
      <c r="P41" s="418">
        <f>(D41/Population_Tables!Q17)*Population_Tables!E76</f>
        <v>0</v>
      </c>
      <c r="Q41" s="418">
        <f>((E41-H41)/Population_Tables!R17)*Population_Tables!F76</f>
        <v>2943.7608148798945</v>
      </c>
      <c r="R41" s="418">
        <f>(F41/Population_Tables!S17)*Population_Tables!G76</f>
        <v>1861.8904999965143</v>
      </c>
      <c r="S41" s="418">
        <f>(G41/Population_Tables!T17)*Population_Tables!H76</f>
        <v>734.70067568473962</v>
      </c>
      <c r="T41" s="418">
        <f>(H41/Population_Tables!U17)*Population_Tables!I76</f>
        <v>0</v>
      </c>
      <c r="U41" s="418">
        <f>(I41/Population_Tables!V17)*Population_Tables!J76</f>
        <v>0</v>
      </c>
      <c r="V41" s="418">
        <f>(J41/Population_Tables!W17)*Population_Tables!K76</f>
        <v>0</v>
      </c>
      <c r="W41" s="418">
        <f>(K41/Population_Tables!X17)*Population_Tables!L76</f>
        <v>0</v>
      </c>
      <c r="Y41" s="456">
        <v>2028</v>
      </c>
      <c r="Z41" s="459">
        <f>((B41/Population_Tables!O17)*Population_Tables!C17)-N41</f>
        <v>28535.917276653796</v>
      </c>
      <c r="AA41" s="459">
        <f>((C41/Population_Tables!P17)*Population_Tables!D17)-O41</f>
        <v>10618.567169879974</v>
      </c>
      <c r="AB41" s="459">
        <f>((D41/Population_Tables!Q17)*Population_Tables!E17)-P41</f>
        <v>2461.6023288328865</v>
      </c>
      <c r="AC41" s="459">
        <f>((E41/Population_Tables!R17)*Population_Tables!F17)-Q41</f>
        <v>11311.155592927124</v>
      </c>
      <c r="AD41" s="459">
        <f>((F41/Population_Tables!S17)*Population_Tables!G17)-R41</f>
        <v>1256.8106857450066</v>
      </c>
      <c r="AE41" s="459">
        <f>((G41/Population_Tables!T17)*Population_Tables!H17)-S41</f>
        <v>1926.1708330455103</v>
      </c>
      <c r="AF41" s="459">
        <f>(H41/Population_Tables!U17)*Population_Tables!I17</f>
        <v>8701.2309601987563</v>
      </c>
      <c r="AG41" s="459">
        <f>(I41/Population_Tables!V17)*Population_Tables!J17</f>
        <v>3054.2853041903118</v>
      </c>
      <c r="AH41" s="459">
        <f>(J41/Population_Tables!W17)*Population_Tables!K17</f>
        <v>3727.9031129428745</v>
      </c>
      <c r="AI41" s="459">
        <f>(K41/Population_Tables!X17)*Population_Tables!L17</f>
        <v>4497.2985922987546</v>
      </c>
      <c r="AK41" s="456">
        <v>2028</v>
      </c>
      <c r="AL41" s="459">
        <f t="shared" si="6"/>
        <v>34076.269267214942</v>
      </c>
      <c r="AM41" s="459">
        <f t="shared" si="3"/>
        <v>10618.567169879974</v>
      </c>
      <c r="AN41" s="459">
        <f t="shared" si="3"/>
        <v>2461.6023288328865</v>
      </c>
      <c r="AO41" s="459">
        <f t="shared" si="3"/>
        <v>14254.916407807017</v>
      </c>
      <c r="AP41" s="459">
        <f t="shared" si="3"/>
        <v>3118.7011857415209</v>
      </c>
      <c r="AQ41" s="459">
        <f t="shared" si="3"/>
        <v>2660.8715087302498</v>
      </c>
      <c r="AR41" s="459">
        <f t="shared" si="3"/>
        <v>8701.2309601987563</v>
      </c>
      <c r="AS41" s="459">
        <f t="shared" si="3"/>
        <v>3054.2853041903118</v>
      </c>
      <c r="AT41" s="459">
        <f t="shared" si="3"/>
        <v>3727.9031129428745</v>
      </c>
      <c r="AU41" s="459">
        <f t="shared" si="3"/>
        <v>4497.2985922987546</v>
      </c>
      <c r="AW41" s="216">
        <f>(B41/Population_Tables!O17)*Population_Tables!C17</f>
        <v>34076.269267214942</v>
      </c>
      <c r="AX41" s="153" t="str">
        <f t="shared" si="7"/>
        <v>OK</v>
      </c>
      <c r="AY41" s="421">
        <f t="shared" si="4"/>
        <v>33114.65860099165</v>
      </c>
      <c r="AZ41" s="153" t="str">
        <f t="shared" si="5"/>
        <v>OK</v>
      </c>
      <c r="BB41" s="216">
        <f>(C41/Population_Tables!P17)*Population_Tables!D17</f>
        <v>10618.567169879974</v>
      </c>
      <c r="BC41" s="216">
        <f>(D41/Population_Tables!Q17)*Population_Tables!E17</f>
        <v>2461.6023288328865</v>
      </c>
      <c r="BD41" s="216">
        <f>(E41/Population_Tables!R17)*Population_Tables!F17</f>
        <v>14254.916407807019</v>
      </c>
      <c r="BE41" s="216">
        <f>(F41/Population_Tables!S17)*Population_Tables!G17</f>
        <v>3118.7011857415209</v>
      </c>
      <c r="BF41" s="216">
        <f>(G41/Population_Tables!T17)*Population_Tables!H17</f>
        <v>2660.8715087302498</v>
      </c>
      <c r="BG41" s="216"/>
      <c r="BN41" s="216"/>
      <c r="BO41" s="216"/>
      <c r="BP41" s="216"/>
    </row>
    <row r="42" spans="1:68" ht="15.6" x14ac:dyDescent="0.3">
      <c r="A42" s="206">
        <v>2029</v>
      </c>
      <c r="B42" s="229">
        <v>34183.044240030504</v>
      </c>
      <c r="C42" s="229">
        <v>10548.84676686987</v>
      </c>
      <c r="D42" s="229">
        <v>2460.8220903527972</v>
      </c>
      <c r="E42" s="229">
        <v>14415.097583574643</v>
      </c>
      <c r="F42" s="229">
        <v>3196.1966118721684</v>
      </c>
      <c r="G42" s="229">
        <v>2691.7243646556572</v>
      </c>
      <c r="H42" s="229">
        <v>8756.827892262314</v>
      </c>
      <c r="I42" s="229">
        <v>3148.0943618305282</v>
      </c>
      <c r="J42" s="229">
        <v>3702.5519249660533</v>
      </c>
      <c r="K42" s="229">
        <v>4458.7670621148873</v>
      </c>
      <c r="M42" s="206">
        <v>2029</v>
      </c>
      <c r="N42" s="419">
        <f t="shared" si="2"/>
        <v>5802.5552599522389</v>
      </c>
      <c r="O42" s="418">
        <f>(C42/Population_Tables!P18)*Population_Tables!D77</f>
        <v>0</v>
      </c>
      <c r="P42" s="418">
        <f>(D42/Population_Tables!Q18)*Population_Tables!E77</f>
        <v>0</v>
      </c>
      <c r="Q42" s="418">
        <f>((E42-H42)/Population_Tables!R18)*Population_Tables!F77</f>
        <v>3089.7535007252932</v>
      </c>
      <c r="R42" s="418">
        <f>(F42/Population_Tables!S18)*Population_Tables!G77</f>
        <v>1949.624309105739</v>
      </c>
      <c r="S42" s="418">
        <f>(G42/Population_Tables!T18)*Population_Tables!H77</f>
        <v>763.17745012120633</v>
      </c>
      <c r="T42" s="418">
        <f>(H42/Population_Tables!U18)*Population_Tables!I77</f>
        <v>0</v>
      </c>
      <c r="U42" s="418">
        <f>(I42/Population_Tables!V18)*Population_Tables!J77</f>
        <v>0</v>
      </c>
      <c r="V42" s="418">
        <f>(J42/Population_Tables!W18)*Population_Tables!K77</f>
        <v>0</v>
      </c>
      <c r="W42" s="418">
        <f>(K42/Population_Tables!X18)*Population_Tables!L77</f>
        <v>0</v>
      </c>
      <c r="Y42" s="456">
        <v>2029</v>
      </c>
      <c r="Z42" s="459">
        <f>((B42/Population_Tables!O18)*Population_Tables!C18)-N42</f>
        <v>29046.172316030516</v>
      </c>
      <c r="AA42" s="459">
        <f>((C42/Population_Tables!P18)*Population_Tables!D18)-O42</f>
        <v>10725.243755734798</v>
      </c>
      <c r="AB42" s="459">
        <f>((D42/Population_Tables!Q18)*Population_Tables!E18)-P42</f>
        <v>2501.7147607425918</v>
      </c>
      <c r="AC42" s="459">
        <f>((E42/Population_Tables!R18)*Population_Tables!F18)-Q42</f>
        <v>11613.596458137923</v>
      </c>
      <c r="AD42" s="459">
        <f>((F42/Population_Tables!S18)*Population_Tables!G18)-R42</f>
        <v>1306.3851428480762</v>
      </c>
      <c r="AE42" s="459">
        <f>((G42/Population_Tables!T18)*Population_Tables!H18)-S42</f>
        <v>1992.2144821299012</v>
      </c>
      <c r="AF42" s="459">
        <f>(H42/Population_Tables!U18)*Population_Tables!I18</f>
        <v>8894.1515330237708</v>
      </c>
      <c r="AG42" s="459">
        <f>(I42/Population_Tables!V18)*Population_Tables!J18</f>
        <v>3213.1239080273285</v>
      </c>
      <c r="AH42" s="459">
        <f>(J42/Population_Tables!W18)*Population_Tables!K18</f>
        <v>3760.8534253143785</v>
      </c>
      <c r="AI42" s="459">
        <f>(K42/Population_Tables!X18)*Population_Tables!L18</f>
        <v>4538.8486731043831</v>
      </c>
      <c r="AK42" s="456">
        <v>2029</v>
      </c>
      <c r="AL42" s="459">
        <f t="shared" si="6"/>
        <v>34848.727575982753</v>
      </c>
      <c r="AM42" s="459">
        <f t="shared" si="3"/>
        <v>10725.243755734798</v>
      </c>
      <c r="AN42" s="459">
        <f t="shared" si="3"/>
        <v>2501.7147607425918</v>
      </c>
      <c r="AO42" s="459">
        <f t="shared" si="3"/>
        <v>14703.349958863217</v>
      </c>
      <c r="AP42" s="459">
        <f t="shared" si="3"/>
        <v>3256.0094519538152</v>
      </c>
      <c r="AQ42" s="459">
        <f t="shared" si="3"/>
        <v>2755.3919322511074</v>
      </c>
      <c r="AR42" s="459">
        <f t="shared" si="3"/>
        <v>8894.1515330237708</v>
      </c>
      <c r="AS42" s="459">
        <f t="shared" si="3"/>
        <v>3213.1239080273285</v>
      </c>
      <c r="AT42" s="459">
        <f t="shared" si="3"/>
        <v>3760.8534253143785</v>
      </c>
      <c r="AU42" s="459">
        <f t="shared" si="3"/>
        <v>4538.8486731043831</v>
      </c>
      <c r="AW42" s="216">
        <f>(B42/Population_Tables!O18)*Population_Tables!C18</f>
        <v>34848.727575982753</v>
      </c>
      <c r="AX42" s="153" t="str">
        <f t="shared" si="7"/>
        <v>OK</v>
      </c>
      <c r="AY42" s="421">
        <f t="shared" si="4"/>
        <v>33941.709859545532</v>
      </c>
      <c r="AZ42" s="153" t="str">
        <f t="shared" si="5"/>
        <v>OK</v>
      </c>
      <c r="BB42" s="216">
        <f>(C42/Population_Tables!P18)*Population_Tables!D18</f>
        <v>10725.243755734798</v>
      </c>
      <c r="BC42" s="216">
        <f>(D42/Population_Tables!Q18)*Population_Tables!E18</f>
        <v>2501.7147607425918</v>
      </c>
      <c r="BD42" s="216">
        <f>(E42/Population_Tables!R18)*Population_Tables!F18</f>
        <v>14703.349958863217</v>
      </c>
      <c r="BE42" s="216">
        <f>(F42/Population_Tables!S18)*Population_Tables!G18</f>
        <v>3256.0094519538152</v>
      </c>
      <c r="BF42" s="216">
        <f>(G42/Population_Tables!T18)*Population_Tables!H18</f>
        <v>2755.3919322511074</v>
      </c>
      <c r="BG42" s="216"/>
      <c r="BN42" s="216"/>
      <c r="BO42" s="216"/>
      <c r="BP42" s="216"/>
    </row>
    <row r="43" spans="1:68" ht="15.6" x14ac:dyDescent="0.3">
      <c r="A43" s="206">
        <v>2030</v>
      </c>
      <c r="B43" s="229">
        <v>34839.629575045008</v>
      </c>
      <c r="C43" s="229">
        <v>10630.3708779931</v>
      </c>
      <c r="D43" s="229">
        <v>2494.8608234971948</v>
      </c>
      <c r="E43" s="229">
        <v>14812.763018030073</v>
      </c>
      <c r="F43" s="229">
        <v>3327.5869276182239</v>
      </c>
      <c r="G43" s="229">
        <v>2777.1349409481204</v>
      </c>
      <c r="H43" s="229">
        <v>8920.2585239044238</v>
      </c>
      <c r="I43" s="229">
        <v>3298.0329046066581</v>
      </c>
      <c r="J43" s="229">
        <v>3727.3376151666389</v>
      </c>
      <c r="K43" s="229">
        <v>4489.4092137536363</v>
      </c>
      <c r="M43" s="206">
        <v>2030</v>
      </c>
      <c r="N43" s="419">
        <f t="shared" si="2"/>
        <v>6075.684260049803</v>
      </c>
      <c r="O43" s="418">
        <f>(C43/Population_Tables!P19)*Population_Tables!D78</f>
        <v>0</v>
      </c>
      <c r="P43" s="418">
        <f>(D43/Population_Tables!Q19)*Population_Tables!E78</f>
        <v>0</v>
      </c>
      <c r="Q43" s="418">
        <f>((E43-H43)/Population_Tables!R19)*Population_Tables!F78</f>
        <v>3241.447909142596</v>
      </c>
      <c r="R43" s="418">
        <f>(F43/Population_Tables!S19)*Population_Tables!G78</f>
        <v>2041.4996353267245</v>
      </c>
      <c r="S43" s="418">
        <f>(G43/Population_Tables!T19)*Population_Tables!H78</f>
        <v>792.7367155804825</v>
      </c>
      <c r="T43" s="418">
        <f>(H43/Population_Tables!U19)*Population_Tables!I78</f>
        <v>0</v>
      </c>
      <c r="U43" s="418">
        <f>(I43/Population_Tables!V19)*Population_Tables!J78</f>
        <v>0</v>
      </c>
      <c r="V43" s="418">
        <f>(J43/Population_Tables!W19)*Population_Tables!K78</f>
        <v>0</v>
      </c>
      <c r="W43" s="418">
        <f>(K43/Population_Tables!X19)*Population_Tables!L78</f>
        <v>0</v>
      </c>
      <c r="Y43" s="456">
        <v>2030</v>
      </c>
      <c r="Z43" s="459">
        <f>((B43/Population_Tables!O19)*Population_Tables!C19)-N43</f>
        <v>29547.374692045774</v>
      </c>
      <c r="AA43" s="459">
        <f>((C43/Population_Tables!P19)*Population_Tables!D19)-O43</f>
        <v>10835.868943545081</v>
      </c>
      <c r="AB43" s="459">
        <f>((D43/Population_Tables!Q19)*Population_Tables!E19)-P43</f>
        <v>2542.7003082781366</v>
      </c>
      <c r="AC43" s="459">
        <f>((E43/Population_Tables!R19)*Population_Tables!F19)-Q43</f>
        <v>11913.504275709416</v>
      </c>
      <c r="AD43" s="459">
        <f>((F43/Population_Tables!S19)*Population_Tables!G19)-R43</f>
        <v>1357.8807304014219</v>
      </c>
      <c r="AE43" s="459">
        <f>((G43/Population_Tables!T19)*Population_Tables!H19)-S43</f>
        <v>2060.2618696009176</v>
      </c>
      <c r="AF43" s="459">
        <f>(H43/Population_Tables!U19)*Population_Tables!I19</f>
        <v>9081.5483285491082</v>
      </c>
      <c r="AG43" s="459">
        <f>(I43/Population_Tables!V19)*Population_Tables!J19</f>
        <v>3376.698524681181</v>
      </c>
      <c r="AH43" s="459">
        <f>(J43/Population_Tables!W19)*Population_Tables!K19</f>
        <v>3795.0764617825034</v>
      </c>
      <c r="AI43" s="459">
        <f>(K43/Population_Tables!X19)*Population_Tables!L19</f>
        <v>4582.8484536780488</v>
      </c>
      <c r="AK43" s="456">
        <v>2030</v>
      </c>
      <c r="AL43" s="459">
        <f t="shared" si="6"/>
        <v>35623.058952095576</v>
      </c>
      <c r="AM43" s="459">
        <f t="shared" ref="AM43:AM73" si="8">AA43+O43</f>
        <v>10835.868943545081</v>
      </c>
      <c r="AN43" s="459">
        <f t="shared" ref="AN43:AN73" si="9">AB43+P43</f>
        <v>2542.7003082781366</v>
      </c>
      <c r="AO43" s="459">
        <f t="shared" ref="AO43:AO73" si="10">AC43+Q43</f>
        <v>15154.952184852013</v>
      </c>
      <c r="AP43" s="459">
        <f t="shared" ref="AP43:AP73" si="11">AD43+R43</f>
        <v>3399.3803657281464</v>
      </c>
      <c r="AQ43" s="459">
        <f t="shared" ref="AQ43:AQ73" si="12">AE43+S43</f>
        <v>2852.9985851813999</v>
      </c>
      <c r="AR43" s="459">
        <f t="shared" ref="AR43:AR73" si="13">AF43+T43</f>
        <v>9081.5483285491082</v>
      </c>
      <c r="AS43" s="459">
        <f t="shared" ref="AS43:AS73" si="14">AG43+U43</f>
        <v>3376.698524681181</v>
      </c>
      <c r="AT43" s="459">
        <f t="shared" ref="AT43:AT73" si="15">AH43+V43</f>
        <v>3795.0764617825034</v>
      </c>
      <c r="AU43" s="459">
        <f t="shared" ref="AU43:AU73" si="16">AI43+W43</f>
        <v>4582.8484536780488</v>
      </c>
      <c r="AW43" s="216">
        <f>(B43/Population_Tables!O19)*Population_Tables!C19</f>
        <v>35623.058952095576</v>
      </c>
      <c r="AX43" s="153" t="str">
        <f t="shared" si="7"/>
        <v>OK</v>
      </c>
      <c r="AY43" s="421">
        <f t="shared" si="4"/>
        <v>34785.900387584777</v>
      </c>
      <c r="AZ43" s="153" t="str">
        <f t="shared" si="5"/>
        <v>OK</v>
      </c>
      <c r="BB43" s="216">
        <f>(C43/Population_Tables!P19)*Population_Tables!D19</f>
        <v>10835.868943545081</v>
      </c>
      <c r="BC43" s="216">
        <f>(D43/Population_Tables!Q19)*Population_Tables!E19</f>
        <v>2542.7003082781366</v>
      </c>
      <c r="BD43" s="216">
        <f>(E43/Population_Tables!R19)*Population_Tables!F19</f>
        <v>15154.952184852013</v>
      </c>
      <c r="BE43" s="216">
        <f>(F43/Population_Tables!S19)*Population_Tables!G19</f>
        <v>3399.3803657281464</v>
      </c>
      <c r="BF43" s="216">
        <f>(G43/Population_Tables!T19)*Population_Tables!H19</f>
        <v>2852.9985851814004</v>
      </c>
      <c r="BG43" s="216"/>
      <c r="BN43" s="216"/>
      <c r="BO43" s="216"/>
      <c r="BP43" s="216"/>
    </row>
    <row r="44" spans="1:68" ht="15.6" x14ac:dyDescent="0.3">
      <c r="A44" s="206">
        <v>2031</v>
      </c>
      <c r="B44" s="229">
        <v>35490.201687119297</v>
      </c>
      <c r="C44" s="229">
        <v>10713.870801016519</v>
      </c>
      <c r="D44" s="229">
        <v>2529.2329767457595</v>
      </c>
      <c r="E44" s="229">
        <v>15209.335446292887</v>
      </c>
      <c r="F44" s="229">
        <v>3463.9419484978298</v>
      </c>
      <c r="G44" s="229">
        <v>2864.5435423252438</v>
      </c>
      <c r="H44" s="229">
        <v>9076.7002200218503</v>
      </c>
      <c r="I44" s="229">
        <v>3451.1609405136714</v>
      </c>
      <c r="J44" s="229">
        <v>3752.8684086490084</v>
      </c>
      <c r="K44" s="229">
        <v>4521.5279286615714</v>
      </c>
      <c r="M44" s="206">
        <v>2031</v>
      </c>
      <c r="N44" s="419">
        <f t="shared" si="2"/>
        <v>6360.0494160973494</v>
      </c>
      <c r="O44" s="418">
        <f>(C44/Population_Tables!P20)*Population_Tables!D79</f>
        <v>0</v>
      </c>
      <c r="P44" s="418">
        <f>(D44/Population_Tables!Q20)*Population_Tables!E79</f>
        <v>0</v>
      </c>
      <c r="Q44" s="418">
        <f>((E44-H44)/Population_Tables!R20)*Population_Tables!F79</f>
        <v>3399.0062065028173</v>
      </c>
      <c r="R44" s="418">
        <f>(F44/Population_Tables!S20)*Population_Tables!G79</f>
        <v>2137.6489198023314</v>
      </c>
      <c r="S44" s="418">
        <f>(G44/Population_Tables!T20)*Population_Tables!H79</f>
        <v>823.39428979220099</v>
      </c>
      <c r="T44" s="418">
        <f>(H44/Population_Tables!U20)*Population_Tables!I79</f>
        <v>0</v>
      </c>
      <c r="U44" s="418">
        <f>(I44/Population_Tables!V20)*Population_Tables!J79</f>
        <v>0</v>
      </c>
      <c r="V44" s="418">
        <f>(J44/Population_Tables!W20)*Population_Tables!K79</f>
        <v>0</v>
      </c>
      <c r="W44" s="418">
        <f>(K44/Population_Tables!X20)*Population_Tables!L79</f>
        <v>0</v>
      </c>
      <c r="Y44" s="456">
        <v>2031</v>
      </c>
      <c r="Z44" s="459">
        <f>((B44/Population_Tables!O20)*Population_Tables!C20)-N44</f>
        <v>30039.981508535097</v>
      </c>
      <c r="AA44" s="459">
        <f>((C44/Population_Tables!P20)*Population_Tables!D20)-O44</f>
        <v>10950.281617567129</v>
      </c>
      <c r="AB44" s="459">
        <f>((D44/Population_Tables!Q20)*Population_Tables!E20)-P44</f>
        <v>2584.5219167965251</v>
      </c>
      <c r="AC44" s="459">
        <f>((E44/Population_Tables!R20)*Population_Tables!F20)-Q44</f>
        <v>12211.153284728131</v>
      </c>
      <c r="AD44" s="459">
        <f>((F44/Population_Tables!S20)*Population_Tables!G20)-R44</f>
        <v>1411.3546567506737</v>
      </c>
      <c r="AE44" s="459">
        <f>((G44/Population_Tables!T20)*Population_Tables!H20)-S44</f>
        <v>2130.2934260208544</v>
      </c>
      <c r="AF44" s="459">
        <f>(H44/Population_Tables!U20)*Population_Tables!I20</f>
        <v>9263.6831543626449</v>
      </c>
      <c r="AG44" s="459">
        <f>(I44/Population_Tables!V20)*Population_Tables!J20</f>
        <v>3545.0294444844831</v>
      </c>
      <c r="AH44" s="459">
        <f>(J44/Population_Tables!W20)*Population_Tables!K20</f>
        <v>3830.6233655702431</v>
      </c>
      <c r="AI44" s="459">
        <f>(K44/Population_Tables!X20)*Population_Tables!L20</f>
        <v>4629.1881577103622</v>
      </c>
      <c r="AK44" s="456">
        <v>2031</v>
      </c>
      <c r="AL44" s="459">
        <f t="shared" si="6"/>
        <v>36400.030924632447</v>
      </c>
      <c r="AM44" s="459">
        <f t="shared" si="8"/>
        <v>10950.281617567129</v>
      </c>
      <c r="AN44" s="459">
        <f t="shared" si="9"/>
        <v>2584.5219167965251</v>
      </c>
      <c r="AO44" s="459">
        <f t="shared" si="10"/>
        <v>15610.159491230948</v>
      </c>
      <c r="AP44" s="459">
        <f t="shared" si="11"/>
        <v>3549.0035765530051</v>
      </c>
      <c r="AQ44" s="459">
        <f t="shared" si="12"/>
        <v>2953.6877158130555</v>
      </c>
      <c r="AR44" s="459">
        <f t="shared" si="13"/>
        <v>9263.6831543626449</v>
      </c>
      <c r="AS44" s="459">
        <f t="shared" si="14"/>
        <v>3545.0294444844831</v>
      </c>
      <c r="AT44" s="459">
        <f t="shared" si="15"/>
        <v>3830.6233655702431</v>
      </c>
      <c r="AU44" s="459">
        <f t="shared" si="16"/>
        <v>4629.1881577103622</v>
      </c>
      <c r="AW44" s="216">
        <f>(B44/Population_Tables!O20)*Population_Tables!C20</f>
        <v>36400.030924632447</v>
      </c>
      <c r="AX44" s="153" t="str">
        <f t="shared" si="7"/>
        <v>OK</v>
      </c>
      <c r="AY44" s="421">
        <f t="shared" si="4"/>
        <v>35647.654317960667</v>
      </c>
      <c r="AZ44" s="153" t="str">
        <f t="shared" si="5"/>
        <v>OK</v>
      </c>
      <c r="BB44" s="216">
        <f>(C44/Population_Tables!P20)*Population_Tables!D20</f>
        <v>10950.281617567129</v>
      </c>
      <c r="BC44" s="216">
        <f>(D44/Population_Tables!Q20)*Population_Tables!E20</f>
        <v>2584.5219167965251</v>
      </c>
      <c r="BD44" s="216">
        <f>(E44/Population_Tables!R20)*Population_Tables!F20</f>
        <v>15610.159491230948</v>
      </c>
      <c r="BE44" s="216">
        <f>(F44/Population_Tables!S20)*Population_Tables!G20</f>
        <v>3549.0035765530051</v>
      </c>
      <c r="BF44" s="216">
        <f>(G44/Population_Tables!T20)*Population_Tables!H20</f>
        <v>2953.6877158130555</v>
      </c>
      <c r="BG44" s="216"/>
      <c r="BN44" s="216"/>
      <c r="BO44" s="216"/>
      <c r="BP44" s="216"/>
    </row>
    <row r="45" spans="1:68" ht="15.6" x14ac:dyDescent="0.3">
      <c r="A45" s="206">
        <v>2032</v>
      </c>
      <c r="B45" s="229">
        <v>36135.55373053778</v>
      </c>
      <c r="C45" s="229">
        <v>10799.219575835967</v>
      </c>
      <c r="D45" s="229">
        <v>2563.8907062476524</v>
      </c>
      <c r="E45" s="229">
        <v>15605.198388091392</v>
      </c>
      <c r="F45" s="229">
        <v>3605.3770080401082</v>
      </c>
      <c r="G45" s="229">
        <v>2953.9080176495086</v>
      </c>
      <c r="H45" s="229">
        <v>9226.4342205678695</v>
      </c>
      <c r="I45" s="229">
        <v>3607.4357792460387</v>
      </c>
      <c r="J45" s="229">
        <v>3779.1994989509676</v>
      </c>
      <c r="K45" s="229">
        <v>4555.0279509137254</v>
      </c>
      <c r="M45" s="206">
        <v>2032</v>
      </c>
      <c r="N45" s="419">
        <f t="shared" si="2"/>
        <v>6655.805922322942</v>
      </c>
      <c r="O45" s="418">
        <f>(C45/Population_Tables!P21)*Population_Tables!D80</f>
        <v>0</v>
      </c>
      <c r="P45" s="418">
        <f>(D45/Population_Tables!Q21)*Population_Tables!E80</f>
        <v>0</v>
      </c>
      <c r="Q45" s="418">
        <f>((E45-H45)/Population_Tables!R21)*Population_Tables!F80</f>
        <v>3562.4965842578167</v>
      </c>
      <c r="R45" s="418">
        <f>(F45/Population_Tables!S21)*Population_Tables!G80</f>
        <v>2238.1617853426897</v>
      </c>
      <c r="S45" s="418">
        <f>(G45/Population_Tables!T21)*Population_Tables!H80</f>
        <v>855.14755272243531</v>
      </c>
      <c r="T45" s="418">
        <f>(H45/Population_Tables!U21)*Population_Tables!I80</f>
        <v>0</v>
      </c>
      <c r="U45" s="418">
        <f>(I45/Population_Tables!V21)*Population_Tables!J80</f>
        <v>0</v>
      </c>
      <c r="V45" s="418">
        <f>(J45/Population_Tables!W21)*Population_Tables!K80</f>
        <v>0</v>
      </c>
      <c r="W45" s="418">
        <f>(K45/Population_Tables!X21)*Population_Tables!L80</f>
        <v>0</v>
      </c>
      <c r="Y45" s="456">
        <v>2032</v>
      </c>
      <c r="Z45" s="459">
        <f>((B45/Population_Tables!O21)*Population_Tables!C21)-N45</f>
        <v>30524.038328765462</v>
      </c>
      <c r="AA45" s="459">
        <f>((C45/Population_Tables!P21)*Population_Tables!D21)-O45</f>
        <v>11068.167915605338</v>
      </c>
      <c r="AB45" s="459">
        <f>((D45/Population_Tables!Q21)*Population_Tables!E21)-P45</f>
        <v>2627.1217098153106</v>
      </c>
      <c r="AC45" s="459">
        <f>((E45/Population_Tables!R21)*Population_Tables!F21)-Q45</f>
        <v>12506.612694933548</v>
      </c>
      <c r="AD45" s="459">
        <f>((F45/Population_Tables!S21)*Population_Tables!G21)-R45</f>
        <v>1466.8584213249587</v>
      </c>
      <c r="AE45" s="459">
        <f>((G45/Population_Tables!T21)*Population_Tables!H21)-S45</f>
        <v>2202.2930457307966</v>
      </c>
      <c r="AF45" s="459">
        <f>(H45/Population_Tables!U21)*Population_Tables!I21</f>
        <v>9440.6950957695153</v>
      </c>
      <c r="AG45" s="459">
        <f>(I45/Population_Tables!V21)*Population_Tables!J21</f>
        <v>3718.0433711798582</v>
      </c>
      <c r="AH45" s="459">
        <f>(J45/Population_Tables!W21)*Population_Tables!K21</f>
        <v>3867.5014563490304</v>
      </c>
      <c r="AI45" s="459">
        <f>(K45/Population_Tables!X21)*Population_Tables!L21</f>
        <v>4677.6800409993157</v>
      </c>
      <c r="AK45" s="456">
        <v>2032</v>
      </c>
      <c r="AL45" s="459">
        <f t="shared" si="6"/>
        <v>37179.844251088405</v>
      </c>
      <c r="AM45" s="459">
        <f t="shared" si="8"/>
        <v>11068.167915605338</v>
      </c>
      <c r="AN45" s="459">
        <f t="shared" si="9"/>
        <v>2627.1217098153106</v>
      </c>
      <c r="AO45" s="459">
        <f t="shared" si="10"/>
        <v>16069.109279191365</v>
      </c>
      <c r="AP45" s="459">
        <f t="shared" si="11"/>
        <v>3705.0202066676484</v>
      </c>
      <c r="AQ45" s="459">
        <f t="shared" si="12"/>
        <v>3057.4405984532318</v>
      </c>
      <c r="AR45" s="459">
        <f t="shared" si="13"/>
        <v>9440.6950957695153</v>
      </c>
      <c r="AS45" s="459">
        <f t="shared" si="14"/>
        <v>3718.0433711798582</v>
      </c>
      <c r="AT45" s="459">
        <f t="shared" si="15"/>
        <v>3867.5014563490304</v>
      </c>
      <c r="AU45" s="459">
        <f t="shared" si="16"/>
        <v>4677.6800409993157</v>
      </c>
      <c r="AW45" s="216">
        <f>(B45/Population_Tables!O21)*Population_Tables!C21</f>
        <v>37179.844251088405</v>
      </c>
      <c r="AX45" s="153" t="str">
        <f t="shared" si="7"/>
        <v>OK</v>
      </c>
      <c r="AY45" s="421">
        <f t="shared" si="4"/>
        <v>36526.859709732897</v>
      </c>
      <c r="AZ45" s="153" t="str">
        <f t="shared" si="5"/>
        <v>OK</v>
      </c>
      <c r="BB45" s="216">
        <f>(C45/Population_Tables!P21)*Population_Tables!D21</f>
        <v>11068.167915605338</v>
      </c>
      <c r="BC45" s="216">
        <f>(D45/Population_Tables!Q21)*Population_Tables!E21</f>
        <v>2627.1217098153106</v>
      </c>
      <c r="BD45" s="216">
        <f>(E45/Population_Tables!R21)*Population_Tables!F21</f>
        <v>16069.109279191365</v>
      </c>
      <c r="BE45" s="216">
        <f>(F45/Population_Tables!S21)*Population_Tables!G21</f>
        <v>3705.0202066676484</v>
      </c>
      <c r="BF45" s="216">
        <f>(G45/Population_Tables!T21)*Population_Tables!H21</f>
        <v>3057.4405984532318</v>
      </c>
      <c r="BG45" s="216"/>
      <c r="BN45" s="216"/>
      <c r="BO45" s="216"/>
      <c r="BP45" s="216"/>
    </row>
    <row r="46" spans="1:68" ht="15.6" x14ac:dyDescent="0.3">
      <c r="A46" s="206">
        <v>2033</v>
      </c>
      <c r="B46" s="229">
        <v>36776.478859584851</v>
      </c>
      <c r="C46" s="229">
        <v>10886.290242347288</v>
      </c>
      <c r="D46" s="229">
        <v>2598.7861681520335</v>
      </c>
      <c r="E46" s="229">
        <v>16000.735363153881</v>
      </c>
      <c r="F46" s="229">
        <v>3752.0074397741837</v>
      </c>
      <c r="G46" s="229">
        <v>3045.1862157833984</v>
      </c>
      <c r="H46" s="229">
        <v>9369.7417654957553</v>
      </c>
      <c r="I46" s="229">
        <v>3766.8147304982303</v>
      </c>
      <c r="J46" s="229">
        <v>3806.3860796103227</v>
      </c>
      <c r="K46" s="229">
        <v>4589.8140245851282</v>
      </c>
      <c r="M46" s="206">
        <v>2033</v>
      </c>
      <c r="N46" s="419">
        <f t="shared" si="2"/>
        <v>6962.8423608681842</v>
      </c>
      <c r="O46" s="418">
        <f>(C46/Population_Tables!P22)*Population_Tables!D81</f>
        <v>0</v>
      </c>
      <c r="P46" s="418">
        <f>(D46/Population_Tables!Q22)*Population_Tables!E81</f>
        <v>0</v>
      </c>
      <c r="Q46" s="418">
        <f>((E46-H46)/Population_Tables!R22)*Population_Tables!F81</f>
        <v>3731.8632307200292</v>
      </c>
      <c r="R46" s="418">
        <f>(F46/Population_Tables!S22)*Population_Tables!G81</f>
        <v>2343.0355609968642</v>
      </c>
      <c r="S46" s="418">
        <f>(G46/Population_Tables!T22)*Population_Tables!H81</f>
        <v>887.9435691512906</v>
      </c>
      <c r="T46" s="418">
        <f>(H46/Population_Tables!U22)*Population_Tables!I81</f>
        <v>0</v>
      </c>
      <c r="U46" s="418">
        <f>(I46/Population_Tables!V22)*Population_Tables!J81</f>
        <v>0</v>
      </c>
      <c r="V46" s="418">
        <f>(J46/Population_Tables!W22)*Population_Tables!K81</f>
        <v>0</v>
      </c>
      <c r="W46" s="418">
        <f>(K46/Population_Tables!X22)*Population_Tables!L81</f>
        <v>0</v>
      </c>
      <c r="Y46" s="456">
        <v>2033</v>
      </c>
      <c r="Z46" s="459">
        <f>((B46/Population_Tables!O22)*Population_Tables!C22)-N46</f>
        <v>30998.931126042204</v>
      </c>
      <c r="AA46" s="459">
        <f>((C46/Population_Tables!P22)*Population_Tables!D22)-O46</f>
        <v>11189.028293273637</v>
      </c>
      <c r="AB46" s="459">
        <f>((D46/Population_Tables!Q22)*Population_Tables!E22)-P46</f>
        <v>2670.3858337784709</v>
      </c>
      <c r="AC46" s="459">
        <f>((E46/Population_Tables!R22)*Population_Tables!F22)-Q46</f>
        <v>12799.714068079147</v>
      </c>
      <c r="AD46" s="459">
        <f>((F46/Population_Tables!S22)*Population_Tables!G22)-R46</f>
        <v>1524.4120602716152</v>
      </c>
      <c r="AE46" s="459">
        <f>((G46/Population_Tables!T22)*Population_Tables!H22)-S46</f>
        <v>2276.1834872321269</v>
      </c>
      <c r="AF46" s="459">
        <f>(H46/Population_Tables!U22)*Population_Tables!I22</f>
        <v>9612.5660157181646</v>
      </c>
      <c r="AG46" s="459">
        <f>(I46/Population_Tables!V22)*Population_Tables!J22</f>
        <v>3895.5602901716011</v>
      </c>
      <c r="AH46" s="459">
        <f>(J46/Population_Tables!W22)*Population_Tables!K22</f>
        <v>3905.6641674743264</v>
      </c>
      <c r="AI46" s="459">
        <f>(K46/Population_Tables!X22)*Population_Tables!L22</f>
        <v>4728.0413644766486</v>
      </c>
      <c r="AK46" s="456">
        <v>2033</v>
      </c>
      <c r="AL46" s="459">
        <f t="shared" si="6"/>
        <v>37961.773486910388</v>
      </c>
      <c r="AM46" s="459">
        <f t="shared" si="8"/>
        <v>11189.028293273637</v>
      </c>
      <c r="AN46" s="459">
        <f t="shared" si="9"/>
        <v>2670.3858337784709</v>
      </c>
      <c r="AO46" s="459">
        <f t="shared" si="10"/>
        <v>16531.577298799177</v>
      </c>
      <c r="AP46" s="459">
        <f t="shared" si="11"/>
        <v>3867.4476212684795</v>
      </c>
      <c r="AQ46" s="459">
        <f t="shared" si="12"/>
        <v>3164.1270563834178</v>
      </c>
      <c r="AR46" s="459">
        <f t="shared" si="13"/>
        <v>9612.5660157181646</v>
      </c>
      <c r="AS46" s="459">
        <f t="shared" si="14"/>
        <v>3895.5602901716011</v>
      </c>
      <c r="AT46" s="459">
        <f t="shared" si="15"/>
        <v>3905.6641674743264</v>
      </c>
      <c r="AU46" s="459">
        <f t="shared" si="16"/>
        <v>4728.0413644766486</v>
      </c>
      <c r="AW46" s="216">
        <f>(B46/Population_Tables!O22)*Population_Tables!C22</f>
        <v>37961.773486910388</v>
      </c>
      <c r="AX46" s="153" t="str">
        <f t="shared" si="7"/>
        <v>OK</v>
      </c>
      <c r="AY46" s="421">
        <f t="shared" si="4"/>
        <v>37422.566103503188</v>
      </c>
      <c r="AZ46" s="153" t="str">
        <f t="shared" si="5"/>
        <v>OK</v>
      </c>
      <c r="BB46" s="216">
        <f>(C46/Population_Tables!P22)*Population_Tables!D22</f>
        <v>11189.028293273637</v>
      </c>
      <c r="BC46" s="216">
        <f>(D46/Population_Tables!Q22)*Population_Tables!E22</f>
        <v>2670.3858337784709</v>
      </c>
      <c r="BD46" s="216">
        <f>(E46/Population_Tables!R22)*Population_Tables!F22</f>
        <v>16531.577298799177</v>
      </c>
      <c r="BE46" s="216">
        <f>(F46/Population_Tables!S22)*Population_Tables!G22</f>
        <v>3867.4476212684795</v>
      </c>
      <c r="BF46" s="216">
        <f>(G46/Population_Tables!T22)*Population_Tables!H22</f>
        <v>3164.1270563834173</v>
      </c>
      <c r="BG46" s="216"/>
      <c r="BN46" s="216"/>
      <c r="BO46" s="216"/>
      <c r="BP46" s="216"/>
    </row>
    <row r="47" spans="1:68" ht="15.6" x14ac:dyDescent="0.3">
      <c r="A47" s="206">
        <v>2034</v>
      </c>
      <c r="B47" s="229">
        <v>37413.77022854492</v>
      </c>
      <c r="C47" s="229">
        <v>10974.955840446328</v>
      </c>
      <c r="D47" s="229">
        <v>2633.8715186080644</v>
      </c>
      <c r="E47" s="229">
        <v>16396.329891208658</v>
      </c>
      <c r="F47" s="229">
        <v>3903.9485772291782</v>
      </c>
      <c r="G47" s="229">
        <v>3138.3359855893941</v>
      </c>
      <c r="H47" s="229">
        <v>9506.9040947587873</v>
      </c>
      <c r="I47" s="229">
        <v>3929.255103964716</v>
      </c>
      <c r="J47" s="229">
        <v>3834.4833441648793</v>
      </c>
      <c r="K47" s="229">
        <v>4625.7908937508109</v>
      </c>
      <c r="M47" s="206">
        <v>2034</v>
      </c>
      <c r="N47" s="419">
        <f t="shared" si="2"/>
        <v>7280.8727318087967</v>
      </c>
      <c r="O47" s="418">
        <f>(C47/Population_Tables!P23)*Population_Tables!D82</f>
        <v>0</v>
      </c>
      <c r="P47" s="418">
        <f>(D47/Population_Tables!Q23)*Population_Tables!E82</f>
        <v>0</v>
      </c>
      <c r="Q47" s="418">
        <f>((E47-H47)/Population_Tables!R23)*Population_Tables!F82</f>
        <v>3906.9539027557016</v>
      </c>
      <c r="R47" s="418">
        <f>(F47/Population_Tables!S23)*Population_Tables!G82</f>
        <v>2452.2174831470925</v>
      </c>
      <c r="S47" s="418">
        <f>(G47/Population_Tables!T23)*Population_Tables!H82</f>
        <v>921.70134590600219</v>
      </c>
      <c r="T47" s="418">
        <f>(H47/Population_Tables!U23)*Population_Tables!I82</f>
        <v>0</v>
      </c>
      <c r="U47" s="418">
        <f>(I47/Population_Tables!V23)*Population_Tables!J82</f>
        <v>0</v>
      </c>
      <c r="V47" s="418">
        <f>(J47/Population_Tables!W23)*Population_Tables!K82</f>
        <v>0</v>
      </c>
      <c r="W47" s="418">
        <f>(K47/Population_Tables!X23)*Population_Tables!L82</f>
        <v>0</v>
      </c>
      <c r="Y47" s="456">
        <v>2034</v>
      </c>
      <c r="Z47" s="459">
        <f>((B47/Population_Tables!O23)*Population_Tables!C23)-N47</f>
        <v>31463.70945888335</v>
      </c>
      <c r="AA47" s="459">
        <f>((C47/Population_Tables!P23)*Population_Tables!D23)-O47</f>
        <v>11312.243837667445</v>
      </c>
      <c r="AB47" s="459">
        <f>((D47/Population_Tables!Q23)*Population_Tables!E23)-P47</f>
        <v>2714.1712692097499</v>
      </c>
      <c r="AC47" s="459">
        <f>((E47/Population_Tables!R23)*Population_Tables!F23)-Q47</f>
        <v>13090.127813379519</v>
      </c>
      <c r="AD47" s="459">
        <f>((F47/Population_Tables!S23)*Population_Tables!G23)-R47</f>
        <v>1584.0224738105017</v>
      </c>
      <c r="AE47" s="459">
        <f>((G47/Population_Tables!T23)*Population_Tables!H23)-S47</f>
        <v>2351.8660204451899</v>
      </c>
      <c r="AF47" s="459">
        <f>(H47/Population_Tables!U23)*Population_Tables!I23</f>
        <v>9779.1714676935517</v>
      </c>
      <c r="AG47" s="459">
        <f>(I47/Population_Tables!V23)*Population_Tables!J23</f>
        <v>4077.3109072332909</v>
      </c>
      <c r="AH47" s="459">
        <f>(J47/Population_Tables!W23)*Population_Tables!K23</f>
        <v>3945.0276057396804</v>
      </c>
      <c r="AI47" s="459">
        <f>(K47/Population_Tables!X23)*Population_Tables!L23</f>
        <v>4779.9320609287897</v>
      </c>
      <c r="AK47" s="456">
        <v>2034</v>
      </c>
      <c r="AL47" s="459">
        <f t="shared" si="6"/>
        <v>38744.582190692148</v>
      </c>
      <c r="AM47" s="459">
        <f t="shared" si="8"/>
        <v>11312.243837667445</v>
      </c>
      <c r="AN47" s="459">
        <f t="shared" si="9"/>
        <v>2714.1712692097499</v>
      </c>
      <c r="AO47" s="459">
        <f t="shared" si="10"/>
        <v>16997.081716135221</v>
      </c>
      <c r="AP47" s="459">
        <f t="shared" si="11"/>
        <v>4036.2399569575941</v>
      </c>
      <c r="AQ47" s="459">
        <f t="shared" si="12"/>
        <v>3273.567366351192</v>
      </c>
      <c r="AR47" s="459">
        <f t="shared" si="13"/>
        <v>9779.1714676935517</v>
      </c>
      <c r="AS47" s="459">
        <f t="shared" si="14"/>
        <v>4077.3109072332909</v>
      </c>
      <c r="AT47" s="459">
        <f t="shared" si="15"/>
        <v>3945.0276057396804</v>
      </c>
      <c r="AU47" s="459">
        <f t="shared" si="16"/>
        <v>4779.9320609287897</v>
      </c>
      <c r="AW47" s="216">
        <f>(B47/Population_Tables!O23)*Population_Tables!C23</f>
        <v>38744.582190692148</v>
      </c>
      <c r="AX47" s="153" t="str">
        <f t="shared" si="7"/>
        <v>OK</v>
      </c>
      <c r="AY47" s="421">
        <f t="shared" si="4"/>
        <v>38333.304146321199</v>
      </c>
      <c r="AZ47" s="153" t="str">
        <f t="shared" si="5"/>
        <v>OK</v>
      </c>
      <c r="BB47" s="216">
        <f>(C47/Population_Tables!P23)*Population_Tables!D23</f>
        <v>11312.243837667445</v>
      </c>
      <c r="BC47" s="216">
        <f>(D47/Population_Tables!Q23)*Population_Tables!E23</f>
        <v>2714.1712692097499</v>
      </c>
      <c r="BD47" s="216">
        <f>(E47/Population_Tables!R23)*Population_Tables!F23</f>
        <v>16997.081716135221</v>
      </c>
      <c r="BE47" s="216">
        <f>(F47/Population_Tables!S23)*Population_Tables!G23</f>
        <v>4036.2399569575941</v>
      </c>
      <c r="BF47" s="216">
        <f>(G47/Population_Tables!T23)*Population_Tables!H23</f>
        <v>3273.567366351192</v>
      </c>
      <c r="BG47" s="216"/>
      <c r="BN47" s="216"/>
      <c r="BO47" s="216"/>
      <c r="BP47" s="216"/>
    </row>
    <row r="48" spans="1:68" ht="15.6" x14ac:dyDescent="0.3">
      <c r="A48" s="206">
        <v>2035</v>
      </c>
      <c r="B48" s="229">
        <v>38048.220991702372</v>
      </c>
      <c r="C48" s="229">
        <v>11065.089410028926</v>
      </c>
      <c r="D48" s="229">
        <v>2669.0989137649049</v>
      </c>
      <c r="E48" s="229">
        <v>16792.365491984026</v>
      </c>
      <c r="F48" s="229">
        <v>4061.3157539342146</v>
      </c>
      <c r="G48" s="229">
        <v>3233.315175929979</v>
      </c>
      <c r="H48" s="229">
        <v>9638.2024483102414</v>
      </c>
      <c r="I48" s="229">
        <v>4094.7142093399661</v>
      </c>
      <c r="J48" s="229">
        <v>3863.5464861524438</v>
      </c>
      <c r="K48" s="229">
        <v>4662.8633024858054</v>
      </c>
      <c r="M48" s="206">
        <v>2035</v>
      </c>
      <c r="N48" s="419">
        <f t="shared" si="2"/>
        <v>7609.7162352237365</v>
      </c>
      <c r="O48" s="418">
        <f>(C48/Population_Tables!P24)*Population_Tables!D83</f>
        <v>0</v>
      </c>
      <c r="P48" s="418">
        <f>(D48/Population_Tables!Q24)*Population_Tables!E83</f>
        <v>0</v>
      </c>
      <c r="Q48" s="418">
        <f>((E48-H48)/Population_Tables!R24)*Population_Tables!F83</f>
        <v>4087.6674632977092</v>
      </c>
      <c r="R48" s="418">
        <f>(F48/Population_Tables!S24)*Population_Tables!G83</f>
        <v>2565.693303326148</v>
      </c>
      <c r="S48" s="418">
        <f>(G48/Population_Tables!T24)*Population_Tables!H83</f>
        <v>956.3554685998796</v>
      </c>
      <c r="T48" s="418">
        <f>(H48/Population_Tables!U24)*Population_Tables!I83</f>
        <v>0</v>
      </c>
      <c r="U48" s="418">
        <f>(I48/Population_Tables!V24)*Population_Tables!J83</f>
        <v>0</v>
      </c>
      <c r="V48" s="418">
        <f>(J48/Population_Tables!W24)*Population_Tables!K83</f>
        <v>0</v>
      </c>
      <c r="W48" s="418">
        <f>(K48/Population_Tables!X24)*Population_Tables!L83</f>
        <v>0</v>
      </c>
      <c r="Y48" s="456">
        <v>2035</v>
      </c>
      <c r="Z48" s="459">
        <f>((B48/Population_Tables!O24)*Population_Tables!C24)-N48</f>
        <v>31917.833764475246</v>
      </c>
      <c r="AA48" s="459">
        <f>((C48/Population_Tables!P24)*Population_Tables!D24)-O48</f>
        <v>11437.311220442323</v>
      </c>
      <c r="AB48" s="459">
        <f>((D48/Population_Tables!Q24)*Population_Tables!E24)-P48</f>
        <v>2758.3568142226313</v>
      </c>
      <c r="AC48" s="459">
        <f>((E48/Population_Tables!R24)*Population_Tables!F24)-Q48</f>
        <v>13377.672664730802</v>
      </c>
      <c r="AD48" s="459">
        <f>((F48/Population_Tables!S24)*Population_Tables!G24)-R48</f>
        <v>1645.7090295986322</v>
      </c>
      <c r="AE48" s="459">
        <f>((G48/Population_Tables!T24)*Population_Tables!H24)-S48</f>
        <v>2429.2584393246143</v>
      </c>
      <c r="AF48" s="459">
        <f>(H48/Population_Tables!U24)*Population_Tables!I24</f>
        <v>9940.468922436874</v>
      </c>
      <c r="AG48" s="459">
        <f>(I48/Population_Tables!V24)*Population_Tables!J24</f>
        <v>4263.0687175742069</v>
      </c>
      <c r="AH48" s="459">
        <f>(J48/Population_Tables!W24)*Population_Tables!K24</f>
        <v>3985.543359413608</v>
      </c>
      <c r="AI48" s="459">
        <f>(K48/Population_Tables!X24)*Population_Tables!L24</f>
        <v>4833.0728521322471</v>
      </c>
      <c r="AK48" s="456">
        <v>2035</v>
      </c>
      <c r="AL48" s="459">
        <f t="shared" si="6"/>
        <v>39527.549999698982</v>
      </c>
      <c r="AM48" s="459">
        <f t="shared" si="8"/>
        <v>11437.311220442323</v>
      </c>
      <c r="AN48" s="459">
        <f t="shared" si="9"/>
        <v>2758.3568142226313</v>
      </c>
      <c r="AO48" s="459">
        <f t="shared" si="10"/>
        <v>17465.340128028511</v>
      </c>
      <c r="AP48" s="459">
        <f t="shared" si="11"/>
        <v>4211.4023329247802</v>
      </c>
      <c r="AQ48" s="459">
        <f t="shared" si="12"/>
        <v>3385.613907924494</v>
      </c>
      <c r="AR48" s="459">
        <f t="shared" si="13"/>
        <v>9940.468922436874</v>
      </c>
      <c r="AS48" s="459">
        <f t="shared" si="14"/>
        <v>4263.0687175742069</v>
      </c>
      <c r="AT48" s="459">
        <f t="shared" si="15"/>
        <v>3985.543359413608</v>
      </c>
      <c r="AU48" s="459">
        <f t="shared" si="16"/>
        <v>4833.0728521322471</v>
      </c>
      <c r="AW48" s="216">
        <f>(B48/Population_Tables!O24)*Population_Tables!C24</f>
        <v>39527.549999698982</v>
      </c>
      <c r="AX48" s="153" t="str">
        <f t="shared" si="7"/>
        <v>OK</v>
      </c>
      <c r="AY48" s="421">
        <f t="shared" si="4"/>
        <v>39258.024403542746</v>
      </c>
      <c r="AZ48" s="153" t="str">
        <f t="shared" si="5"/>
        <v>OK</v>
      </c>
      <c r="BB48" s="216">
        <f>(C48/Population_Tables!P24)*Population_Tables!D24</f>
        <v>11437.311220442323</v>
      </c>
      <c r="BC48" s="216">
        <f>(D48/Population_Tables!Q24)*Population_Tables!E24</f>
        <v>2758.3568142226313</v>
      </c>
      <c r="BD48" s="216">
        <f>(E48/Population_Tables!R24)*Population_Tables!F24</f>
        <v>17465.340128028511</v>
      </c>
      <c r="BE48" s="216">
        <f>(F48/Population_Tables!S24)*Population_Tables!G24</f>
        <v>4211.4023329247802</v>
      </c>
      <c r="BF48" s="216">
        <f>(G48/Population_Tables!T24)*Population_Tables!H24</f>
        <v>3385.613907924494</v>
      </c>
      <c r="BG48" s="216"/>
      <c r="BN48" s="216"/>
      <c r="BO48" s="216"/>
      <c r="BP48" s="216"/>
    </row>
    <row r="49" spans="1:68" ht="15.6" x14ac:dyDescent="0.3">
      <c r="A49" s="206">
        <v>2036</v>
      </c>
      <c r="B49" s="229">
        <v>38680.624303341618</v>
      </c>
      <c r="C49" s="229">
        <v>11156.56399099093</v>
      </c>
      <c r="D49" s="229">
        <v>2704.4205097717158</v>
      </c>
      <c r="E49" s="229">
        <v>17189.225685208279</v>
      </c>
      <c r="F49" s="229">
        <v>4224.2243034184185</v>
      </c>
      <c r="G49" s="229">
        <v>3330.0816356676337</v>
      </c>
      <c r="H49" s="229">
        <v>9763.9180661033934</v>
      </c>
      <c r="I49" s="229">
        <v>4263.1493563184513</v>
      </c>
      <c r="J49" s="229">
        <v>3893.6306991108218</v>
      </c>
      <c r="K49" s="229">
        <v>4700.9359948651427</v>
      </c>
      <c r="M49" s="206">
        <v>2036</v>
      </c>
      <c r="N49" s="419">
        <f t="shared" si="2"/>
        <v>7949.4173664557011</v>
      </c>
      <c r="O49" s="418">
        <f>(C49/Population_Tables!P25)*Population_Tables!D84</f>
        <v>0</v>
      </c>
      <c r="P49" s="418">
        <f>(D49/Population_Tables!Q25)*Population_Tables!E84</f>
        <v>0</v>
      </c>
      <c r="Q49" s="418">
        <f>((E49-H49)/Population_Tables!R25)*Population_Tables!F84</f>
        <v>4274.0201775157047</v>
      </c>
      <c r="R49" s="418">
        <f>(F49/Population_Tables!S25)*Population_Tables!G84</f>
        <v>2683.5229036281598</v>
      </c>
      <c r="S49" s="418">
        <f>(G49/Population_Tables!T25)*Population_Tables!H84</f>
        <v>991.87428531183639</v>
      </c>
      <c r="T49" s="418">
        <f>(H49/Population_Tables!U25)*Population_Tables!I84</f>
        <v>0</v>
      </c>
      <c r="U49" s="418">
        <f>(I49/Population_Tables!V25)*Population_Tables!J84</f>
        <v>0</v>
      </c>
      <c r="V49" s="418">
        <f>(J49/Population_Tables!W25)*Population_Tables!K84</f>
        <v>0</v>
      </c>
      <c r="W49" s="418">
        <f>(K49/Population_Tables!X25)*Population_Tables!L84</f>
        <v>0</v>
      </c>
      <c r="Y49" s="456">
        <v>2036</v>
      </c>
      <c r="Z49" s="459">
        <f>((B49/Population_Tables!O25)*Population_Tables!C25)-N49</f>
        <v>32361.389620842085</v>
      </c>
      <c r="AA49" s="459">
        <f>((C49/Population_Tables!P25)*Population_Tables!D25)-O49</f>
        <v>11563.913707075557</v>
      </c>
      <c r="AB49" s="459">
        <f>((D49/Population_Tables!Q25)*Population_Tables!E25)-P49</f>
        <v>2802.8566526818886</v>
      </c>
      <c r="AC49" s="459">
        <f>((E49/Population_Tables!R25)*Population_Tables!F25)-Q49</f>
        <v>13662.420648524567</v>
      </c>
      <c r="AD49" s="459">
        <f>((F49/Population_Tables!S25)*Population_Tables!G25)-R49</f>
        <v>1709.510213839485</v>
      </c>
      <c r="AE49" s="459">
        <f>((G49/Population_Tables!T25)*Population_Tables!H25)-S49</f>
        <v>2508.3027048164167</v>
      </c>
      <c r="AF49" s="459">
        <f>(H49/Population_Tables!U25)*Population_Tables!I25</f>
        <v>10096.564101750833</v>
      </c>
      <c r="AG49" s="459">
        <f>(I49/Population_Tables!V25)*Population_Tables!J25</f>
        <v>4452.7171180968271</v>
      </c>
      <c r="AH49" s="459">
        <f>(J49/Population_Tables!W25)*Population_Tables!K25</f>
        <v>4027.2150708162553</v>
      </c>
      <c r="AI49" s="459">
        <f>(K49/Population_Tables!X25)*Population_Tables!L25</f>
        <v>4887.2846002540709</v>
      </c>
      <c r="AK49" s="456">
        <v>2036</v>
      </c>
      <c r="AL49" s="459">
        <f t="shared" si="6"/>
        <v>40310.806987297787</v>
      </c>
      <c r="AM49" s="459">
        <f t="shared" si="8"/>
        <v>11563.913707075557</v>
      </c>
      <c r="AN49" s="459">
        <f t="shared" si="9"/>
        <v>2802.8566526818886</v>
      </c>
      <c r="AO49" s="459">
        <f t="shared" si="10"/>
        <v>17936.440826040271</v>
      </c>
      <c r="AP49" s="459">
        <f t="shared" si="11"/>
        <v>4393.0331174676448</v>
      </c>
      <c r="AQ49" s="459">
        <f t="shared" si="12"/>
        <v>3500.1769901282532</v>
      </c>
      <c r="AR49" s="459">
        <f t="shared" si="13"/>
        <v>10096.564101750833</v>
      </c>
      <c r="AS49" s="459">
        <f t="shared" si="14"/>
        <v>4452.7171180968271</v>
      </c>
      <c r="AT49" s="459">
        <f t="shared" si="15"/>
        <v>4027.2150708162553</v>
      </c>
      <c r="AU49" s="459">
        <f t="shared" si="16"/>
        <v>4887.2846002540709</v>
      </c>
      <c r="AW49" s="216">
        <f>(B49/Population_Tables!O25)*Population_Tables!C25</f>
        <v>40310.806987297787</v>
      </c>
      <c r="AX49" s="153" t="str">
        <f t="shared" si="7"/>
        <v>OK</v>
      </c>
      <c r="AY49" s="421">
        <f t="shared" si="4"/>
        <v>40196.421293393614</v>
      </c>
      <c r="AZ49" s="153" t="str">
        <f t="shared" si="5"/>
        <v>OK</v>
      </c>
      <c r="BB49" s="216">
        <f>(C49/Population_Tables!P25)*Population_Tables!D25</f>
        <v>11563.913707075557</v>
      </c>
      <c r="BC49" s="216">
        <f>(D49/Population_Tables!Q25)*Population_Tables!E25</f>
        <v>2802.8566526818886</v>
      </c>
      <c r="BD49" s="216">
        <f>(E49/Population_Tables!R25)*Population_Tables!F25</f>
        <v>17936.440826040271</v>
      </c>
      <c r="BE49" s="216">
        <f>(F49/Population_Tables!S25)*Population_Tables!G25</f>
        <v>4393.0331174676448</v>
      </c>
      <c r="BF49" s="216">
        <f>(G49/Population_Tables!T25)*Population_Tables!H25</f>
        <v>3500.1769901282532</v>
      </c>
      <c r="BG49" s="216"/>
      <c r="BN49" s="216"/>
      <c r="BO49" s="216"/>
      <c r="BP49" s="216"/>
    </row>
    <row r="50" spans="1:68" ht="15.6" x14ac:dyDescent="0.3">
      <c r="A50" s="206">
        <v>2037</v>
      </c>
      <c r="B50" s="229">
        <v>39311.773317747051</v>
      </c>
      <c r="C50" s="229">
        <v>11249.25262322818</v>
      </c>
      <c r="D50" s="229">
        <v>2739.788462777658</v>
      </c>
      <c r="E50" s="229">
        <v>17587.293990609724</v>
      </c>
      <c r="F50" s="229">
        <v>4392.7895592109107</v>
      </c>
      <c r="G50" s="229">
        <v>3428.5932136648416</v>
      </c>
      <c r="H50" s="229">
        <v>9884.3321880915209</v>
      </c>
      <c r="I50" s="229">
        <v>4434.517854594641</v>
      </c>
      <c r="J50" s="229">
        <v>3924.791176577819</v>
      </c>
      <c r="K50" s="229">
        <v>4739.9137149638536</v>
      </c>
      <c r="M50" s="206">
        <v>2037</v>
      </c>
      <c r="N50" s="419">
        <f t="shared" si="2"/>
        <v>8300.290651315805</v>
      </c>
      <c r="O50" s="418">
        <f>(C50/Population_Tables!P26)*Population_Tables!D85</f>
        <v>0</v>
      </c>
      <c r="P50" s="418">
        <f>(D50/Population_Tables!Q26)*Population_Tables!E85</f>
        <v>0</v>
      </c>
      <c r="Q50" s="418">
        <f>((E50-H50)/Population_Tables!R26)*Population_Tables!F85</f>
        <v>4466.1736652664003</v>
      </c>
      <c r="R50" s="418">
        <f>(F50/Population_Tables!S26)*Population_Tables!G85</f>
        <v>2805.8509551834445</v>
      </c>
      <c r="S50" s="418">
        <f>(G50/Population_Tables!T26)*Population_Tables!H85</f>
        <v>1028.2660308659601</v>
      </c>
      <c r="T50" s="418">
        <f>(H50/Population_Tables!U26)*Population_Tables!I85</f>
        <v>0</v>
      </c>
      <c r="U50" s="418">
        <f>(I50/Population_Tables!V26)*Population_Tables!J85</f>
        <v>0</v>
      </c>
      <c r="V50" s="418">
        <f>(J50/Population_Tables!W26)*Population_Tables!K85</f>
        <v>0</v>
      </c>
      <c r="W50" s="418">
        <f>(K50/Population_Tables!X26)*Population_Tables!L85</f>
        <v>0</v>
      </c>
      <c r="Y50" s="456">
        <v>2037</v>
      </c>
      <c r="Z50" s="459">
        <f>((B50/Population_Tables!O26)*Population_Tables!C26)-N50</f>
        <v>32795.169017493579</v>
      </c>
      <c r="AA50" s="459">
        <f>((C50/Population_Tables!P26)*Population_Tables!D26)-O50</f>
        <v>11691.951892024334</v>
      </c>
      <c r="AB50" s="459">
        <f>((D50/Population_Tables!Q26)*Population_Tables!E26)-P50</f>
        <v>2847.6371947898406</v>
      </c>
      <c r="AC50" s="459">
        <f>((E50/Population_Tables!R26)*Population_Tables!F26)-Q50</f>
        <v>13944.739418938028</v>
      </c>
      <c r="AD50" s="459">
        <f>((F50/Population_Tables!S26)*Population_Tables!G26)-R50</f>
        <v>1775.4899324065577</v>
      </c>
      <c r="AE50" s="459">
        <f>((G50/Population_Tables!T26)*Population_Tables!H26)-S50</f>
        <v>2588.983095203052</v>
      </c>
      <c r="AF50" s="459">
        <f>(H50/Population_Tables!U26)*Population_Tables!I26</f>
        <v>10247.745171857108</v>
      </c>
      <c r="AG50" s="459">
        <f>(I50/Population_Tables!V26)*Population_Tables!J26</f>
        <v>4646.2603578986427</v>
      </c>
      <c r="AH50" s="459">
        <f>(J50/Population_Tables!W26)*Population_Tables!K26</f>
        <v>4070.1174303629673</v>
      </c>
      <c r="AI50" s="459">
        <f>(K50/Population_Tables!X26)*Population_Tables!L26</f>
        <v>4942.4927718329027</v>
      </c>
      <c r="AK50" s="456">
        <v>2037</v>
      </c>
      <c r="AL50" s="459">
        <f t="shared" si="6"/>
        <v>41095.459668809388</v>
      </c>
      <c r="AM50" s="459">
        <f t="shared" si="8"/>
        <v>11691.951892024334</v>
      </c>
      <c r="AN50" s="459">
        <f t="shared" si="9"/>
        <v>2847.6371947898406</v>
      </c>
      <c r="AO50" s="459">
        <f t="shared" si="10"/>
        <v>18410.913084204429</v>
      </c>
      <c r="AP50" s="459">
        <f t="shared" si="11"/>
        <v>4581.3408875900022</v>
      </c>
      <c r="AQ50" s="459">
        <f t="shared" si="12"/>
        <v>3617.2491260690122</v>
      </c>
      <c r="AR50" s="459">
        <f t="shared" si="13"/>
        <v>10247.745171857108</v>
      </c>
      <c r="AS50" s="459">
        <f t="shared" si="14"/>
        <v>4646.2603578986427</v>
      </c>
      <c r="AT50" s="459">
        <f t="shared" si="15"/>
        <v>4070.1174303629673</v>
      </c>
      <c r="AU50" s="459">
        <f t="shared" si="16"/>
        <v>4942.4927718329027</v>
      </c>
      <c r="AW50" s="216">
        <f>(B50/Population_Tables!O26)*Population_Tables!C26</f>
        <v>41095.459668809381</v>
      </c>
      <c r="AX50" s="153" t="b">
        <f t="shared" si="7"/>
        <v>0</v>
      </c>
      <c r="AY50" s="421">
        <f t="shared" si="4"/>
        <v>41149.092184677618</v>
      </c>
      <c r="AZ50" s="153" t="str">
        <f t="shared" si="5"/>
        <v>OK</v>
      </c>
      <c r="BB50" s="216">
        <f>(C50/Population_Tables!P26)*Population_Tables!D26</f>
        <v>11691.951892024334</v>
      </c>
      <c r="BC50" s="216">
        <f>(D50/Population_Tables!Q26)*Population_Tables!E26</f>
        <v>2847.6371947898406</v>
      </c>
      <c r="BD50" s="216">
        <f>(E50/Population_Tables!R26)*Population_Tables!F26</f>
        <v>18410.913084204429</v>
      </c>
      <c r="BE50" s="216">
        <f>(F50/Population_Tables!S26)*Population_Tables!G26</f>
        <v>4581.3408875900022</v>
      </c>
      <c r="BF50" s="216">
        <f>(G50/Population_Tables!T26)*Population_Tables!H26</f>
        <v>3617.2491260690122</v>
      </c>
      <c r="BG50" s="216"/>
      <c r="BN50" s="216"/>
      <c r="BO50" s="216"/>
      <c r="BP50" s="216"/>
    </row>
    <row r="51" spans="1:68" ht="15.6" x14ac:dyDescent="0.3">
      <c r="A51" s="206">
        <v>2038</v>
      </c>
      <c r="B51" s="229">
        <v>39942.461189203081</v>
      </c>
      <c r="C51" s="229">
        <v>11343.02834663652</v>
      </c>
      <c r="D51" s="229">
        <v>2775.1549289318918</v>
      </c>
      <c r="E51" s="229">
        <v>17986.953927916657</v>
      </c>
      <c r="F51" s="229">
        <v>4567.1268548408152</v>
      </c>
      <c r="G51" s="229">
        <v>3528.8077587840849</v>
      </c>
      <c r="H51" s="229">
        <v>9999.7260542279018</v>
      </c>
      <c r="I51" s="229">
        <v>4608.7770138630049</v>
      </c>
      <c r="J51" s="229">
        <v>3957.0831120912421</v>
      </c>
      <c r="K51" s="229">
        <v>4779.7012068569693</v>
      </c>
      <c r="M51" s="206">
        <v>2038</v>
      </c>
      <c r="N51" s="419">
        <f t="shared" si="2"/>
        <v>8662.7613763054287</v>
      </c>
      <c r="O51" s="418">
        <f>(C51/Population_Tables!P27)*Population_Tables!D86</f>
        <v>0</v>
      </c>
      <c r="P51" s="418">
        <f>(D51/Population_Tables!Q27)*Population_Tables!E86</f>
        <v>0</v>
      </c>
      <c r="Q51" s="418">
        <f>((E51-H51)/Population_Tables!R27)*Population_Tables!F86</f>
        <v>4664.350326032416</v>
      </c>
      <c r="R51" s="418">
        <f>(F51/Population_Tables!S27)*Population_Tables!G86</f>
        <v>2932.8547218831927</v>
      </c>
      <c r="S51" s="418">
        <f>(G51/Population_Tables!T27)*Population_Tables!H86</f>
        <v>1065.5563283898205</v>
      </c>
      <c r="T51" s="418">
        <f>(H51/Population_Tables!U27)*Population_Tables!I86</f>
        <v>0</v>
      </c>
      <c r="U51" s="418">
        <f>(I51/Population_Tables!V27)*Population_Tables!J86</f>
        <v>0</v>
      </c>
      <c r="V51" s="418">
        <f>(J51/Population_Tables!W27)*Population_Tables!K86</f>
        <v>0</v>
      </c>
      <c r="W51" s="418">
        <f>(K51/Population_Tables!X27)*Population_Tables!L86</f>
        <v>0</v>
      </c>
      <c r="Y51" s="456">
        <v>2038</v>
      </c>
      <c r="Z51" s="459">
        <f>((B51/Population_Tables!O27)*Population_Tables!C27)-N51</f>
        <v>33220.249690919707</v>
      </c>
      <c r="AA51" s="459">
        <f>((C51/Population_Tables!P27)*Population_Tables!D27)-O51</f>
        <v>11821.413413162307</v>
      </c>
      <c r="AB51" s="459">
        <f>((D51/Population_Tables!Q27)*Population_Tables!E27)-P51</f>
        <v>2892.6907646590453</v>
      </c>
      <c r="AC51" s="459">
        <f>((E51/Population_Tables!R27)*Population_Tables!F27)-Q51</f>
        <v>14225.116624322704</v>
      </c>
      <c r="AD51" s="459">
        <f>((F51/Population_Tables!S27)*Population_Tables!G27)-R51</f>
        <v>1843.7248309943034</v>
      </c>
      <c r="AE51" s="459">
        <f>((G51/Population_Tables!T27)*Population_Tables!H27)-S51</f>
        <v>2671.3187698833981</v>
      </c>
      <c r="AF51" s="459">
        <f>(H51/Population_Tables!U27)*Population_Tables!I27</f>
        <v>10394.3805876922</v>
      </c>
      <c r="AG51" s="459">
        <f>(I51/Population_Tables!V27)*Population_Tables!J27</f>
        <v>4843.7374634540565</v>
      </c>
      <c r="AH51" s="459">
        <f>(J51/Population_Tables!W27)*Population_Tables!K27</f>
        <v>4114.3578683593132</v>
      </c>
      <c r="AI51" s="459">
        <f>(K51/Population_Tables!X27)*Population_Tables!L27</f>
        <v>4998.6551890470982</v>
      </c>
      <c r="AK51" s="456">
        <v>2038</v>
      </c>
      <c r="AL51" s="459">
        <f t="shared" si="6"/>
        <v>41883.011067225132</v>
      </c>
      <c r="AM51" s="459">
        <f t="shared" si="8"/>
        <v>11821.413413162307</v>
      </c>
      <c r="AN51" s="459">
        <f t="shared" si="9"/>
        <v>2892.6907646590453</v>
      </c>
      <c r="AO51" s="459">
        <f t="shared" si="10"/>
        <v>18889.466950355119</v>
      </c>
      <c r="AP51" s="459">
        <f t="shared" si="11"/>
        <v>4776.5795528774961</v>
      </c>
      <c r="AQ51" s="459">
        <f t="shared" si="12"/>
        <v>3736.8750982732186</v>
      </c>
      <c r="AR51" s="459">
        <f t="shared" si="13"/>
        <v>10394.3805876922</v>
      </c>
      <c r="AS51" s="459">
        <f t="shared" si="14"/>
        <v>4843.7374634540565</v>
      </c>
      <c r="AT51" s="459">
        <f t="shared" si="15"/>
        <v>4114.3578683593132</v>
      </c>
      <c r="AU51" s="459">
        <f t="shared" si="16"/>
        <v>4998.6551890470982</v>
      </c>
      <c r="AW51" s="216">
        <f>(B51/Population_Tables!O27)*Population_Tables!C27</f>
        <v>41883.011067225132</v>
      </c>
      <c r="AX51" s="153" t="str">
        <f t="shared" si="7"/>
        <v>OK</v>
      </c>
      <c r="AY51" s="421">
        <f t="shared" si="4"/>
        <v>42117.025779327181</v>
      </c>
      <c r="AZ51" s="153" t="str">
        <f t="shared" si="5"/>
        <v>OK</v>
      </c>
      <c r="BB51" s="216">
        <f>(C51/Population_Tables!P27)*Population_Tables!D27</f>
        <v>11821.413413162307</v>
      </c>
      <c r="BC51" s="216">
        <f>(D51/Population_Tables!Q27)*Population_Tables!E27</f>
        <v>2892.6907646590453</v>
      </c>
      <c r="BD51" s="216">
        <f>(E51/Population_Tables!R27)*Population_Tables!F27</f>
        <v>18889.466950355119</v>
      </c>
      <c r="BE51" s="216">
        <f>(F51/Population_Tables!S27)*Population_Tables!G27</f>
        <v>4776.5795528774961</v>
      </c>
      <c r="BF51" s="216">
        <f>(G51/Population_Tables!T27)*Population_Tables!H27</f>
        <v>3736.8750982732186</v>
      </c>
      <c r="BG51" s="216"/>
      <c r="BN51" s="216"/>
      <c r="BO51" s="216"/>
      <c r="BP51" s="216"/>
    </row>
    <row r="52" spans="1:68" ht="15.6" x14ac:dyDescent="0.3">
      <c r="A52" s="206">
        <v>2039</v>
      </c>
      <c r="B52" s="229">
        <v>40573.481071994102</v>
      </c>
      <c r="C52" s="229">
        <v>11437.764201111793</v>
      </c>
      <c r="D52" s="229">
        <v>2810.4720643835785</v>
      </c>
      <c r="E52" s="229">
        <v>18388.589016857379</v>
      </c>
      <c r="F52" s="229">
        <v>4747.3515238372556</v>
      </c>
      <c r="G52" s="229">
        <v>3630.6831198878449</v>
      </c>
      <c r="H52" s="229">
        <v>10110.38090446581</v>
      </c>
      <c r="I52" s="229">
        <v>4785.8841438180152</v>
      </c>
      <c r="J52" s="229">
        <v>3990.5616991888965</v>
      </c>
      <c r="K52" s="229">
        <v>4820.2032146195224</v>
      </c>
      <c r="M52" s="206">
        <v>2039</v>
      </c>
      <c r="N52" s="419">
        <f t="shared" si="2"/>
        <v>9037.4290095966026</v>
      </c>
      <c r="O52" s="418">
        <f>(C52/Population_Tables!P28)*Population_Tables!D87</f>
        <v>0</v>
      </c>
      <c r="P52" s="418">
        <f>(D52/Population_Tables!Q28)*Population_Tables!E87</f>
        <v>0</v>
      </c>
      <c r="Q52" s="418">
        <f>((E52-H52)/Population_Tables!R28)*Population_Tables!F87</f>
        <v>4868.8720483350262</v>
      </c>
      <c r="R52" s="418">
        <f>(F52/Population_Tables!S28)*Population_Tables!G87</f>
        <v>3064.761975946687</v>
      </c>
      <c r="S52" s="418">
        <f>(G52/Population_Tables!T28)*Population_Tables!H87</f>
        <v>1103.7949853148889</v>
      </c>
      <c r="T52" s="418">
        <f>(H52/Population_Tables!U28)*Population_Tables!I87</f>
        <v>0</v>
      </c>
      <c r="U52" s="418">
        <f>(I52/Population_Tables!V28)*Population_Tables!J87</f>
        <v>0</v>
      </c>
      <c r="V52" s="418">
        <f>(J52/Population_Tables!W28)*Population_Tables!K87</f>
        <v>0</v>
      </c>
      <c r="W52" s="418">
        <f>(K52/Population_Tables!X28)*Population_Tables!L87</f>
        <v>0</v>
      </c>
      <c r="Y52" s="456">
        <v>2039</v>
      </c>
      <c r="Z52" s="459">
        <f>((B52/Population_Tables!O28)*Population_Tables!C28)-N52</f>
        <v>33638.073636802947</v>
      </c>
      <c r="AA52" s="459">
        <f>((C52/Population_Tables!P28)*Population_Tables!D28)-O52</f>
        <v>11952.404471225478</v>
      </c>
      <c r="AB52" s="459">
        <f>((D52/Population_Tables!Q28)*Population_Tables!E28)-P52</f>
        <v>2938.0434911887087</v>
      </c>
      <c r="AC52" s="459">
        <f>((E52/Population_Tables!R28)*Population_Tables!F28)-Q52</f>
        <v>14504.208343193382</v>
      </c>
      <c r="AD52" s="459">
        <f>((F52/Population_Tables!S28)*Population_Tables!G28)-R52</f>
        <v>1914.3065249081656</v>
      </c>
      <c r="AE52" s="459">
        <f>((G52/Population_Tables!T28)*Population_Tables!H28)-S52</f>
        <v>2755.3592146184023</v>
      </c>
      <c r="AF52" s="459">
        <f>(H52/Population_Tables!U28)*Population_Tables!I28</f>
        <v>10536.94846209253</v>
      </c>
      <c r="AG52" s="459">
        <f>(I52/Population_Tables!V28)*Population_Tables!J28</f>
        <v>5045.2628054947963</v>
      </c>
      <c r="AH52" s="459">
        <f>(J52/Population_Tables!W28)*Population_Tables!K28</f>
        <v>4160.0865999745201</v>
      </c>
      <c r="AI52" s="459">
        <f>(K52/Population_Tables!X28)*Population_Tables!L28</f>
        <v>5055.7823951038627</v>
      </c>
      <c r="AK52" s="456">
        <v>2039</v>
      </c>
      <c r="AL52" s="459">
        <f t="shared" si="6"/>
        <v>42675.502646399545</v>
      </c>
      <c r="AM52" s="459">
        <f t="shared" si="8"/>
        <v>11952.404471225478</v>
      </c>
      <c r="AN52" s="459">
        <f t="shared" si="9"/>
        <v>2938.0434911887087</v>
      </c>
      <c r="AO52" s="459">
        <f t="shared" si="10"/>
        <v>19373.080391528409</v>
      </c>
      <c r="AP52" s="459">
        <f t="shared" si="11"/>
        <v>4979.0685008548526</v>
      </c>
      <c r="AQ52" s="459">
        <f t="shared" si="12"/>
        <v>3859.1541999332912</v>
      </c>
      <c r="AR52" s="459">
        <f t="shared" si="13"/>
        <v>10536.94846209253</v>
      </c>
      <c r="AS52" s="459">
        <f t="shared" si="14"/>
        <v>5045.2628054947963</v>
      </c>
      <c r="AT52" s="459">
        <f t="shared" si="15"/>
        <v>4160.0865999745201</v>
      </c>
      <c r="AU52" s="459">
        <f t="shared" si="16"/>
        <v>5055.7823951038627</v>
      </c>
      <c r="AW52" s="216">
        <f>(B52/Population_Tables!O28)*Population_Tables!C28</f>
        <v>42675.502646399545</v>
      </c>
      <c r="AX52" s="153" t="str">
        <f t="shared" si="7"/>
        <v>OK</v>
      </c>
      <c r="AY52" s="421">
        <f t="shared" si="4"/>
        <v>43101.751054730739</v>
      </c>
      <c r="AZ52" s="153" t="str">
        <f t="shared" si="5"/>
        <v>OK</v>
      </c>
      <c r="BB52" s="216">
        <f>(C52/Population_Tables!P28)*Population_Tables!D28</f>
        <v>11952.404471225478</v>
      </c>
      <c r="BC52" s="216">
        <f>(D52/Population_Tables!Q28)*Population_Tables!E28</f>
        <v>2938.0434911887087</v>
      </c>
      <c r="BD52" s="216">
        <f>(E52/Population_Tables!R28)*Population_Tables!F28</f>
        <v>19373.080391528409</v>
      </c>
      <c r="BE52" s="216">
        <f>(F52/Population_Tables!S28)*Population_Tables!G28</f>
        <v>4979.0685008548526</v>
      </c>
      <c r="BF52" s="216">
        <f>(G52/Population_Tables!T28)*Population_Tables!H28</f>
        <v>3859.1541999332912</v>
      </c>
      <c r="BG52" s="216"/>
      <c r="BN52" s="216"/>
      <c r="BO52" s="216"/>
      <c r="BP52" s="216"/>
    </row>
    <row r="53" spans="1:68" ht="15.6" x14ac:dyDescent="0.3">
      <c r="A53" s="206">
        <v>2040</v>
      </c>
      <c r="B53" s="229">
        <v>41205.626120404515</v>
      </c>
      <c r="C53" s="229">
        <v>11533.333226549845</v>
      </c>
      <c r="D53" s="229">
        <v>2845.6920252818782</v>
      </c>
      <c r="E53" s="229">
        <v>18792.582777160194</v>
      </c>
      <c r="F53" s="229">
        <v>4933.5788997293557</v>
      </c>
      <c r="G53" s="229">
        <v>3734.1771458386042</v>
      </c>
      <c r="H53" s="229">
        <v>10216.577978758527</v>
      </c>
      <c r="I53" s="229">
        <v>4965.7965541541407</v>
      </c>
      <c r="J53" s="229">
        <v>4025.2821314085886</v>
      </c>
      <c r="K53" s="229">
        <v>4861.3244823265422</v>
      </c>
      <c r="M53" s="206">
        <v>2040</v>
      </c>
      <c r="N53" s="419">
        <f t="shared" si="2"/>
        <v>9424.8787352720174</v>
      </c>
      <c r="O53" s="418">
        <f>(C53/Population_Tables!P29)*Population_Tables!D88</f>
        <v>0</v>
      </c>
      <c r="P53" s="418">
        <f>(D53/Population_Tables!Q29)*Population_Tables!E88</f>
        <v>0</v>
      </c>
      <c r="Q53" s="418">
        <f>((E53-H53)/Population_Tables!R29)*Population_Tables!F88</f>
        <v>5080.0607628266152</v>
      </c>
      <c r="R53" s="418">
        <f>(F53/Population_Tables!S29)*Population_Tables!G88</f>
        <v>3201.7909404595571</v>
      </c>
      <c r="S53" s="418">
        <f>(G53/Population_Tables!T29)*Population_Tables!H88</f>
        <v>1143.0270319858446</v>
      </c>
      <c r="T53" s="418">
        <f>(H53/Population_Tables!U29)*Population_Tables!I88</f>
        <v>0</v>
      </c>
      <c r="U53" s="418">
        <f>(I53/Population_Tables!V29)*Population_Tables!J88</f>
        <v>0</v>
      </c>
      <c r="V53" s="418">
        <f>(J53/Population_Tables!W29)*Population_Tables!K88</f>
        <v>0</v>
      </c>
      <c r="W53" s="418">
        <f>(K53/Population_Tables!X29)*Population_Tables!L88</f>
        <v>0</v>
      </c>
      <c r="Y53" s="456">
        <v>2040</v>
      </c>
      <c r="Z53" s="459">
        <f>((B53/Population_Tables!O29)*Population_Tables!C29)-N53</f>
        <v>34049.945820286302</v>
      </c>
      <c r="AA53" s="459">
        <f>((C53/Population_Tables!P29)*Population_Tables!D29)-O53</f>
        <v>12084.986398560901</v>
      </c>
      <c r="AB53" s="459">
        <f>((D53/Population_Tables!Q29)*Population_Tables!E29)-P53</f>
        <v>2983.7090810719228</v>
      </c>
      <c r="AC53" s="459">
        <f>((E53/Population_Tables!R29)*Population_Tables!F29)-Q53</f>
        <v>14782.628115810243</v>
      </c>
      <c r="AD53" s="459">
        <f>((F53/Population_Tables!S29)*Population_Tables!G29)-R53</f>
        <v>1987.3242899939928</v>
      </c>
      <c r="AE53" s="459">
        <f>((G53/Population_Tables!T29)*Population_Tables!H29)-S53</f>
        <v>2841.1487336565187</v>
      </c>
      <c r="AF53" s="459">
        <f>(H53/Population_Tables!U29)*Population_Tables!I29</f>
        <v>10675.900872589382</v>
      </c>
      <c r="AG53" s="459">
        <f>(I53/Population_Tables!V29)*Population_Tables!J29</f>
        <v>5250.9510466899665</v>
      </c>
      <c r="AH53" s="459">
        <f>(J53/Population_Tables!W29)*Population_Tables!K29</f>
        <v>4207.4385439993312</v>
      </c>
      <c r="AI53" s="459">
        <f>(K53/Population_Tables!X29)*Population_Tables!L29</f>
        <v>5113.8657712311879</v>
      </c>
      <c r="AK53" s="456">
        <v>2040</v>
      </c>
      <c r="AL53" s="459">
        <f t="shared" si="6"/>
        <v>43474.82455555832</v>
      </c>
      <c r="AM53" s="459">
        <f t="shared" si="8"/>
        <v>12084.986398560901</v>
      </c>
      <c r="AN53" s="459">
        <f t="shared" si="9"/>
        <v>2983.7090810719228</v>
      </c>
      <c r="AO53" s="459">
        <f t="shared" si="10"/>
        <v>19862.688878636858</v>
      </c>
      <c r="AP53" s="459">
        <f t="shared" si="11"/>
        <v>5189.1152304535499</v>
      </c>
      <c r="AQ53" s="459">
        <f t="shared" si="12"/>
        <v>3984.1757656423633</v>
      </c>
      <c r="AR53" s="459">
        <f t="shared" si="13"/>
        <v>10675.900872589382</v>
      </c>
      <c r="AS53" s="459">
        <f t="shared" si="14"/>
        <v>5250.9510466899665</v>
      </c>
      <c r="AT53" s="459">
        <f t="shared" si="15"/>
        <v>4207.4385439993312</v>
      </c>
      <c r="AU53" s="459">
        <f t="shared" si="16"/>
        <v>5113.8657712311879</v>
      </c>
      <c r="AW53" s="216">
        <f>(B53/Population_Tables!O29)*Population_Tables!C29</f>
        <v>43474.82455555832</v>
      </c>
      <c r="AX53" s="153" t="str">
        <f t="shared" si="7"/>
        <v>OK</v>
      </c>
      <c r="AY53" s="421">
        <f t="shared" si="4"/>
        <v>44104.675354365601</v>
      </c>
      <c r="AZ53" s="153" t="str">
        <f t="shared" si="5"/>
        <v>OK</v>
      </c>
      <c r="BB53" s="216">
        <f>(C53/Population_Tables!P29)*Population_Tables!D29</f>
        <v>12084.986398560901</v>
      </c>
      <c r="BC53" s="216">
        <f>(D53/Population_Tables!Q29)*Population_Tables!E29</f>
        <v>2983.7090810719228</v>
      </c>
      <c r="BD53" s="216">
        <f>(E53/Population_Tables!R29)*Population_Tables!F29</f>
        <v>19862.688878636858</v>
      </c>
      <c r="BE53" s="216">
        <f>(F53/Population_Tables!S29)*Population_Tables!G29</f>
        <v>5189.1152304535499</v>
      </c>
      <c r="BF53" s="216">
        <f>(G53/Population_Tables!T29)*Population_Tables!H29</f>
        <v>3984.1757656423633</v>
      </c>
      <c r="BG53" s="216"/>
      <c r="BN53" s="216"/>
      <c r="BO53" s="216"/>
      <c r="BP53" s="216"/>
    </row>
    <row r="54" spans="1:68" ht="15.6" x14ac:dyDescent="0.3">
      <c r="A54" s="206">
        <v>2041</v>
      </c>
      <c r="B54" s="229">
        <v>41839.689488718715</v>
      </c>
      <c r="C54" s="229">
        <v>11629.608462846516</v>
      </c>
      <c r="D54" s="229">
        <v>2880.7669677759518</v>
      </c>
      <c r="E54" s="229">
        <v>19199.318728553397</v>
      </c>
      <c r="F54" s="229">
        <v>5125.9243160462374</v>
      </c>
      <c r="G54" s="229">
        <v>3839.2476854988449</v>
      </c>
      <c r="H54" s="229">
        <v>10318.598517059323</v>
      </c>
      <c r="I54" s="229">
        <v>5148.471554565851</v>
      </c>
      <c r="J54" s="229">
        <v>4061.2996022881239</v>
      </c>
      <c r="K54" s="229">
        <v>4902.9697540530606</v>
      </c>
      <c r="M54" s="206">
        <v>2041</v>
      </c>
      <c r="N54" s="419">
        <f t="shared" si="2"/>
        <v>9825.484022738221</v>
      </c>
      <c r="O54" s="418">
        <f>(C54/Population_Tables!P30)*Population_Tables!D89</f>
        <v>0</v>
      </c>
      <c r="P54" s="418">
        <f>(D54/Population_Tables!Q30)*Population_Tables!E89</f>
        <v>0</v>
      </c>
      <c r="Q54" s="418">
        <f>((E54-H54)/Population_Tables!R30)*Population_Tables!F89</f>
        <v>5298.1240051297464</v>
      </c>
      <c r="R54" s="418">
        <f>(F54/Population_Tables!S30)*Population_Tables!G89</f>
        <v>3344.0959012806484</v>
      </c>
      <c r="S54" s="418">
        <f>(G54/Population_Tables!T30)*Population_Tables!H89</f>
        <v>1183.2641163278265</v>
      </c>
      <c r="T54" s="418">
        <f>(H54/Population_Tables!U30)*Population_Tables!I89</f>
        <v>0</v>
      </c>
      <c r="U54" s="418">
        <f>(I54/Population_Tables!V30)*Population_Tables!J89</f>
        <v>0</v>
      </c>
      <c r="V54" s="418">
        <f>(J54/Population_Tables!W30)*Population_Tables!K89</f>
        <v>0</v>
      </c>
      <c r="W54" s="418">
        <f>(K54/Population_Tables!X30)*Population_Tables!L89</f>
        <v>0</v>
      </c>
      <c r="Y54" s="456">
        <v>2041</v>
      </c>
      <c r="Z54" s="459">
        <f>((B54/Population_Tables!O30)*Population_Tables!C30)-N54</f>
        <v>34456.642464642253</v>
      </c>
      <c r="AA54" s="459">
        <f>((C54/Population_Tables!P30)*Population_Tables!D30)-O54</f>
        <v>12219.075750446078</v>
      </c>
      <c r="AB54" s="459">
        <f>((D54/Population_Tables!Q30)*Population_Tables!E30)-P54</f>
        <v>3029.6557922849343</v>
      </c>
      <c r="AC54" s="459">
        <f>((E54/Population_Tables!R30)*Population_Tables!F30)-Q54</f>
        <v>15060.765716356269</v>
      </c>
      <c r="AD54" s="459">
        <f>((F54/Population_Tables!S30)*Population_Tables!G30)-R54</f>
        <v>2062.8482364930801</v>
      </c>
      <c r="AE54" s="459">
        <f>((G54/Population_Tables!T30)*Population_Tables!H30)-S54</f>
        <v>2928.6905202632452</v>
      </c>
      <c r="AF54" s="459">
        <f>(H54/Population_Tables!U30)*Population_Tables!I30</f>
        <v>10811.542540560973</v>
      </c>
      <c r="AG54" s="459">
        <f>(I54/Population_Tables!V30)*Population_Tables!J30</f>
        <v>5460.8286043911321</v>
      </c>
      <c r="AH54" s="459">
        <f>(J54/Population_Tables!W30)*Population_Tables!K30</f>
        <v>4256.499737016431</v>
      </c>
      <c r="AI54" s="459">
        <f>(K54/Population_Tables!X30)*Population_Tables!L30</f>
        <v>5172.8278874371972</v>
      </c>
      <c r="AK54" s="456">
        <v>2041</v>
      </c>
      <c r="AL54" s="459">
        <f t="shared" si="6"/>
        <v>44282.126487380476</v>
      </c>
      <c r="AM54" s="459">
        <f t="shared" si="8"/>
        <v>12219.075750446078</v>
      </c>
      <c r="AN54" s="459">
        <f t="shared" si="9"/>
        <v>3029.6557922849343</v>
      </c>
      <c r="AO54" s="459">
        <f t="shared" si="10"/>
        <v>20358.889721486015</v>
      </c>
      <c r="AP54" s="459">
        <f t="shared" si="11"/>
        <v>5406.9441377737285</v>
      </c>
      <c r="AQ54" s="459">
        <f t="shared" si="12"/>
        <v>4111.9546365910719</v>
      </c>
      <c r="AR54" s="459">
        <f t="shared" si="13"/>
        <v>10811.542540560973</v>
      </c>
      <c r="AS54" s="459">
        <f t="shared" si="14"/>
        <v>5460.8286043911321</v>
      </c>
      <c r="AT54" s="459">
        <f t="shared" si="15"/>
        <v>4256.499737016431</v>
      </c>
      <c r="AU54" s="459">
        <f t="shared" si="16"/>
        <v>5172.8278874371972</v>
      </c>
      <c r="AW54" s="216">
        <f>(B54/Population_Tables!O30)*Population_Tables!C30</f>
        <v>44282.126487380476</v>
      </c>
      <c r="AX54" s="153" t="str">
        <f t="shared" si="7"/>
        <v>OK</v>
      </c>
      <c r="AY54" s="421">
        <f t="shared" si="4"/>
        <v>45126.520038581832</v>
      </c>
      <c r="AZ54" s="153" t="str">
        <f t="shared" si="5"/>
        <v>OK</v>
      </c>
      <c r="BB54" s="216">
        <f>(C54/Population_Tables!P30)*Population_Tables!D30</f>
        <v>12219.075750446078</v>
      </c>
      <c r="BC54" s="216">
        <f>(D54/Population_Tables!Q30)*Population_Tables!E30</f>
        <v>3029.6557922849343</v>
      </c>
      <c r="BD54" s="216">
        <f>(E54/Population_Tables!R30)*Population_Tables!F30</f>
        <v>20358.889721486015</v>
      </c>
      <c r="BE54" s="216">
        <f>(F54/Population_Tables!S30)*Population_Tables!G30</f>
        <v>5406.9441377737285</v>
      </c>
      <c r="BF54" s="216">
        <f>(G54/Population_Tables!T30)*Population_Tables!H30</f>
        <v>4111.9546365910719</v>
      </c>
      <c r="BG54" s="216"/>
      <c r="BN54" s="216"/>
      <c r="BO54" s="216"/>
      <c r="BP54" s="216"/>
    </row>
    <row r="55" spans="1:68" ht="15.6" x14ac:dyDescent="0.3">
      <c r="A55" s="206">
        <v>2042</v>
      </c>
      <c r="B55" s="229">
        <v>42476.464331221112</v>
      </c>
      <c r="C55" s="229">
        <v>11726.46294989765</v>
      </c>
      <c r="D55" s="229">
        <v>2915.6490480149596</v>
      </c>
      <c r="E55" s="229">
        <v>19609.180390765294</v>
      </c>
      <c r="F55" s="229">
        <v>5324.5031063170245</v>
      </c>
      <c r="G55" s="229">
        <v>3945.8525877310494</v>
      </c>
      <c r="H55" s="229">
        <v>10416.723759321478</v>
      </c>
      <c r="I55" s="229">
        <v>5333.8664547476174</v>
      </c>
      <c r="J55" s="229">
        <v>4098.6693053653089</v>
      </c>
      <c r="K55" s="229">
        <v>4945.0437738741093</v>
      </c>
      <c r="M55" s="206">
        <v>2042</v>
      </c>
      <c r="N55" s="419">
        <f t="shared" si="2"/>
        <v>10239.586135111374</v>
      </c>
      <c r="O55" s="418">
        <f>(C55/Population_Tables!P31)*Population_Tables!D90</f>
        <v>0</v>
      </c>
      <c r="P55" s="418">
        <f>(D55/Population_Tables!Q31)*Population_Tables!E90</f>
        <v>0</v>
      </c>
      <c r="Q55" s="418">
        <f>((E55-H55)/Population_Tables!R31)*Population_Tables!F90</f>
        <v>5523.2636746498092</v>
      </c>
      <c r="R55" s="418">
        <f>(F55/Population_Tables!S31)*Population_Tables!G90</f>
        <v>3491.8155292096671</v>
      </c>
      <c r="S55" s="418">
        <f>(G55/Population_Tables!T31)*Population_Tables!H90</f>
        <v>1224.5069312518967</v>
      </c>
      <c r="T55" s="418">
        <f>(H55/Population_Tables!U31)*Population_Tables!I90</f>
        <v>0</v>
      </c>
      <c r="U55" s="418">
        <f>(I55/Population_Tables!V31)*Population_Tables!J90</f>
        <v>0</v>
      </c>
      <c r="V55" s="418">
        <f>(J55/Population_Tables!W31)*Population_Tables!K90</f>
        <v>0</v>
      </c>
      <c r="W55" s="418">
        <f>(K55/Population_Tables!X31)*Population_Tables!L90</f>
        <v>0</v>
      </c>
      <c r="Y55" s="456">
        <v>2042</v>
      </c>
      <c r="Z55" s="459">
        <f>((B55/Population_Tables!O31)*Population_Tables!C31)-N55</f>
        <v>34858.789265228887</v>
      </c>
      <c r="AA55" s="459">
        <f>((C55/Population_Tables!P31)*Population_Tables!D31)-O55</f>
        <v>12354.516781083217</v>
      </c>
      <c r="AB55" s="459">
        <f>((D55/Population_Tables!Q31)*Population_Tables!E31)-P55</f>
        <v>3075.8327552730029</v>
      </c>
      <c r="AC55" s="459">
        <f>((E55/Population_Tables!R31)*Population_Tables!F31)-Q55</f>
        <v>15338.957306641012</v>
      </c>
      <c r="AD55" s="459">
        <f>((F55/Population_Tables!S31)*Population_Tables!G31)-R55</f>
        <v>2140.9428136171928</v>
      </c>
      <c r="AE55" s="459">
        <f>((G55/Population_Tables!T31)*Population_Tables!H31)-S55</f>
        <v>3017.9715832052284</v>
      </c>
      <c r="AF55" s="459">
        <f>(H55/Population_Tables!U31)*Population_Tables!I31</f>
        <v>10944.141679542043</v>
      </c>
      <c r="AG55" s="459">
        <f>(I55/Population_Tables!V31)*Population_Tables!J31</f>
        <v>5674.9235003735866</v>
      </c>
      <c r="AH55" s="459">
        <f>(J55/Population_Tables!W31)*Population_Tables!K31</f>
        <v>4307.3308018692333</v>
      </c>
      <c r="AI55" s="459">
        <f>(K55/Population_Tables!X31)*Population_Tables!L31</f>
        <v>5232.5638225373195</v>
      </c>
      <c r="AK55" s="456">
        <v>2042</v>
      </c>
      <c r="AL55" s="459">
        <f t="shared" si="6"/>
        <v>45098.375400340257</v>
      </c>
      <c r="AM55" s="459">
        <f t="shared" si="8"/>
        <v>12354.516781083217</v>
      </c>
      <c r="AN55" s="459">
        <f t="shared" si="9"/>
        <v>3075.8327552730029</v>
      </c>
      <c r="AO55" s="459">
        <f t="shared" si="10"/>
        <v>20862.220981290822</v>
      </c>
      <c r="AP55" s="459">
        <f t="shared" si="11"/>
        <v>5632.7583428268599</v>
      </c>
      <c r="AQ55" s="459">
        <f t="shared" si="12"/>
        <v>4242.4785144571251</v>
      </c>
      <c r="AR55" s="459">
        <f t="shared" si="13"/>
        <v>10944.141679542043</v>
      </c>
      <c r="AS55" s="459">
        <f t="shared" si="14"/>
        <v>5674.9235003735866</v>
      </c>
      <c r="AT55" s="459">
        <f t="shared" si="15"/>
        <v>4307.3308018692333</v>
      </c>
      <c r="AU55" s="459">
        <f t="shared" si="16"/>
        <v>5232.5638225373195</v>
      </c>
      <c r="AW55" s="216">
        <f>(B55/Population_Tables!O31)*Population_Tables!C31</f>
        <v>45098.375400340257</v>
      </c>
      <c r="AX55" s="153" t="str">
        <f t="shared" si="7"/>
        <v>OK</v>
      </c>
      <c r="AY55" s="421">
        <f t="shared" si="4"/>
        <v>46167.807374931028</v>
      </c>
      <c r="AZ55" s="153" t="str">
        <f t="shared" si="5"/>
        <v>OK</v>
      </c>
      <c r="BB55" s="216">
        <f>(C55/Population_Tables!P31)*Population_Tables!D31</f>
        <v>12354.516781083217</v>
      </c>
      <c r="BC55" s="216">
        <f>(D55/Population_Tables!Q31)*Population_Tables!E31</f>
        <v>3075.8327552730029</v>
      </c>
      <c r="BD55" s="216">
        <f>(E55/Population_Tables!R31)*Population_Tables!F31</f>
        <v>20862.220981290822</v>
      </c>
      <c r="BE55" s="216">
        <f>(F55/Population_Tables!S31)*Population_Tables!G31</f>
        <v>5632.7583428268599</v>
      </c>
      <c r="BF55" s="216">
        <f>(G55/Population_Tables!T31)*Population_Tables!H31</f>
        <v>4242.4785144571251</v>
      </c>
      <c r="BG55" s="216"/>
      <c r="BN55" s="216"/>
      <c r="BO55" s="216"/>
      <c r="BP55" s="216"/>
    </row>
    <row r="56" spans="1:68" ht="15.6" x14ac:dyDescent="0.3">
      <c r="A56" s="206">
        <v>2043</v>
      </c>
      <c r="B56" s="229">
        <v>43116.743802196099</v>
      </c>
      <c r="C56" s="229">
        <v>11823.769727599092</v>
      </c>
      <c r="D56" s="229">
        <v>2950.290422148063</v>
      </c>
      <c r="E56" s="229">
        <v>20022.551283524179</v>
      </c>
      <c r="F56" s="229">
        <v>5529.4306040708398</v>
      </c>
      <c r="G56" s="229">
        <v>4053.9497013976998</v>
      </c>
      <c r="H56" s="229">
        <v>10511.234945498272</v>
      </c>
      <c r="I56" s="229">
        <v>5521.9385643939104</v>
      </c>
      <c r="J56" s="229">
        <v>4137.4464341779485</v>
      </c>
      <c r="K56" s="229">
        <v>4987.4512858647195</v>
      </c>
      <c r="M56" s="206">
        <v>2043</v>
      </c>
      <c r="N56" s="419">
        <f t="shared" si="2"/>
        <v>10667.766418398014</v>
      </c>
      <c r="O56" s="418">
        <f>(C56/Population_Tables!P32)*Population_Tables!D91</f>
        <v>0</v>
      </c>
      <c r="P56" s="418">
        <f>(D56/Population_Tables!Q32)*Population_Tables!E91</f>
        <v>0</v>
      </c>
      <c r="Q56" s="418">
        <f>((E56-H56)/Population_Tables!R32)*Population_Tables!F91</f>
        <v>5755.8340383692776</v>
      </c>
      <c r="R56" s="418">
        <f>(F56/Population_Tables!S32)*Population_Tables!G91</f>
        <v>3645.1506413994716</v>
      </c>
      <c r="S56" s="418">
        <f>(G56/Population_Tables!T32)*Population_Tables!H91</f>
        <v>1266.7817386292652</v>
      </c>
      <c r="T56" s="418">
        <f>(H56/Population_Tables!U32)*Population_Tables!I91</f>
        <v>0</v>
      </c>
      <c r="U56" s="418">
        <f>(I56/Population_Tables!V32)*Population_Tables!J91</f>
        <v>0</v>
      </c>
      <c r="V56" s="418">
        <f>(J56/Population_Tables!W32)*Population_Tables!K91</f>
        <v>0</v>
      </c>
      <c r="W56" s="418">
        <f>(K56/Population_Tables!X32)*Population_Tables!L91</f>
        <v>0</v>
      </c>
      <c r="Y56" s="456">
        <v>2043</v>
      </c>
      <c r="Z56" s="459">
        <f>((B56/Population_Tables!O32)*Population_Tables!C32)-N56</f>
        <v>35257.414672230632</v>
      </c>
      <c r="AA56" s="459">
        <f>((C56/Population_Tables!P32)*Population_Tables!D32)-O56</f>
        <v>12491.250696292369</v>
      </c>
      <c r="AB56" s="459">
        <f>((D56/Population_Tables!Q32)*Population_Tables!E32)-P56</f>
        <v>3122.2166858482547</v>
      </c>
      <c r="AC56" s="459">
        <f>((E56/Population_Tables!R32)*Population_Tables!F32)-Q56</f>
        <v>15617.73501778844</v>
      </c>
      <c r="AD56" s="459">
        <f>((F56/Population_Tables!S32)*Population_Tables!G32)-R56</f>
        <v>2221.6895149733186</v>
      </c>
      <c r="AE56" s="459">
        <f>((G56/Population_Tables!T32)*Population_Tables!H32)-S56</f>
        <v>3109.0083782278716</v>
      </c>
      <c r="AF56" s="459">
        <f>(H56/Population_Tables!U32)*Population_Tables!I32</f>
        <v>11074.099168588404</v>
      </c>
      <c r="AG56" s="459">
        <f>(I56/Population_Tables!V32)*Population_Tables!J32</f>
        <v>5893.3881012906768</v>
      </c>
      <c r="AH56" s="459">
        <f>(J56/Population_Tables!W32)*Population_Tables!K32</f>
        <v>4360.0253463017425</v>
      </c>
      <c r="AI56" s="459">
        <f>(K56/Population_Tables!X32)*Population_Tables!L32</f>
        <v>5293.0145332322427</v>
      </c>
      <c r="AK56" s="456">
        <v>2043</v>
      </c>
      <c r="AL56" s="459">
        <f t="shared" si="6"/>
        <v>45925.181090628648</v>
      </c>
      <c r="AM56" s="459">
        <f t="shared" si="8"/>
        <v>12491.250696292369</v>
      </c>
      <c r="AN56" s="459">
        <f t="shared" si="9"/>
        <v>3122.2166858482547</v>
      </c>
      <c r="AO56" s="459">
        <f t="shared" si="10"/>
        <v>21373.569056157718</v>
      </c>
      <c r="AP56" s="459">
        <f t="shared" si="11"/>
        <v>5866.8401563727903</v>
      </c>
      <c r="AQ56" s="459">
        <f t="shared" si="12"/>
        <v>4375.790116857137</v>
      </c>
      <c r="AR56" s="459">
        <f t="shared" si="13"/>
        <v>11074.099168588404</v>
      </c>
      <c r="AS56" s="459">
        <f t="shared" si="14"/>
        <v>5893.3881012906768</v>
      </c>
      <c r="AT56" s="459">
        <f t="shared" si="15"/>
        <v>4360.0253463017425</v>
      </c>
      <c r="AU56" s="459">
        <f t="shared" si="16"/>
        <v>5293.0145332322427</v>
      </c>
      <c r="AW56" s="216">
        <f>(B56/Population_Tables!O32)*Population_Tables!C32</f>
        <v>45925.181090628648</v>
      </c>
      <c r="AX56" s="153" t="str">
        <f t="shared" si="7"/>
        <v>OK</v>
      </c>
      <c r="AY56" s="421">
        <f t="shared" si="4"/>
        <v>47229.666711528262</v>
      </c>
      <c r="AZ56" s="153" t="str">
        <f t="shared" si="5"/>
        <v>OK</v>
      </c>
      <c r="BB56" s="216">
        <f>(C56/Population_Tables!P32)*Population_Tables!D32</f>
        <v>12491.250696292369</v>
      </c>
      <c r="BC56" s="216">
        <f>(D56/Population_Tables!Q32)*Population_Tables!E32</f>
        <v>3122.2166858482547</v>
      </c>
      <c r="BD56" s="216">
        <f>(E56/Population_Tables!R32)*Population_Tables!F32</f>
        <v>21373.569056157718</v>
      </c>
      <c r="BE56" s="216">
        <f>(F56/Population_Tables!S32)*Population_Tables!G32</f>
        <v>5866.8401563727903</v>
      </c>
      <c r="BF56" s="216">
        <f>(G56/Population_Tables!T32)*Population_Tables!H32</f>
        <v>4375.790116857137</v>
      </c>
      <c r="BG56" s="216"/>
      <c r="BN56" s="216"/>
      <c r="BO56" s="216"/>
      <c r="BP56" s="216"/>
    </row>
    <row r="57" spans="1:68" ht="15.6" x14ac:dyDescent="0.3">
      <c r="A57" s="206">
        <v>2044</v>
      </c>
      <c r="B57" s="229">
        <v>43761.321055928071</v>
      </c>
      <c r="C57" s="229">
        <v>11921.401835846684</v>
      </c>
      <c r="D57" s="229">
        <v>2984.6432463244219</v>
      </c>
      <c r="E57" s="229">
        <v>20439.81492655836</v>
      </c>
      <c r="F57" s="229">
        <v>5740.8221428368079</v>
      </c>
      <c r="G57" s="229">
        <v>4163.4968753612775</v>
      </c>
      <c r="H57" s="229">
        <v>10602.413315542977</v>
      </c>
      <c r="I57" s="229">
        <v>5712.6451931991987</v>
      </c>
      <c r="J57" s="229">
        <v>4177.6861822638493</v>
      </c>
      <c r="K57" s="229">
        <v>5030.0970340999211</v>
      </c>
      <c r="M57" s="206">
        <v>2044</v>
      </c>
      <c r="N57" s="419">
        <f t="shared" si="2"/>
        <v>11110.688262747239</v>
      </c>
      <c r="O57" s="418">
        <f>(C57/Population_Tables!P33)*Population_Tables!D92</f>
        <v>0</v>
      </c>
      <c r="P57" s="418">
        <f>(D57/Population_Tables!Q33)*Population_Tables!E92</f>
        <v>0</v>
      </c>
      <c r="Q57" s="418">
        <f>((E57-H57)/Population_Tables!R33)*Population_Tables!F92</f>
        <v>5996.251698539505</v>
      </c>
      <c r="R57" s="418">
        <f>(F57/Population_Tables!S33)*Population_Tables!G92</f>
        <v>3804.3171955022822</v>
      </c>
      <c r="S57" s="418">
        <f>(G57/Population_Tables!T33)*Population_Tables!H92</f>
        <v>1310.1193687054515</v>
      </c>
      <c r="T57" s="418">
        <f>(H57/Population_Tables!U33)*Population_Tables!I92</f>
        <v>0</v>
      </c>
      <c r="U57" s="418">
        <f>(I57/Population_Tables!V33)*Population_Tables!J92</f>
        <v>0</v>
      </c>
      <c r="V57" s="418">
        <f>(J57/Population_Tables!W33)*Population_Tables!K92</f>
        <v>0</v>
      </c>
      <c r="W57" s="418">
        <f>(K57/Population_Tables!X33)*Population_Tables!L92</f>
        <v>0</v>
      </c>
      <c r="Y57" s="456">
        <v>2044</v>
      </c>
      <c r="Z57" s="459">
        <f>((B57/Population_Tables!O33)*Population_Tables!C33)-N57</f>
        <v>35653.598326218322</v>
      </c>
      <c r="AA57" s="459">
        <f>((C57/Population_Tables!P33)*Population_Tables!D33)-O57</f>
        <v>12629.220820269209</v>
      </c>
      <c r="AB57" s="459">
        <f>((D57/Population_Tables!Q33)*Population_Tables!E33)-P57</f>
        <v>3168.7844257816287</v>
      </c>
      <c r="AC57" s="459">
        <f>((E57/Population_Tables!R33)*Population_Tables!F33)-Q57</f>
        <v>15897.673798989155</v>
      </c>
      <c r="AD57" s="459">
        <f>((F57/Population_Tables!S33)*Population_Tables!G33)-R57</f>
        <v>2305.1734394790815</v>
      </c>
      <c r="AE57" s="459">
        <f>((G57/Population_Tables!T33)*Population_Tables!H33)-S57</f>
        <v>3201.8214998052949</v>
      </c>
      <c r="AF57" s="459">
        <f>(H57/Population_Tables!U33)*Population_Tables!I33</f>
        <v>11201.847404709095</v>
      </c>
      <c r="AG57" s="459">
        <f>(I57/Population_Tables!V33)*Population_Tables!J33</f>
        <v>6116.4260787052217</v>
      </c>
      <c r="AH57" s="459">
        <f>(J57/Population_Tables!W33)*Population_Tables!K33</f>
        <v>4414.6779725532951</v>
      </c>
      <c r="AI57" s="459">
        <f>(K57/Population_Tables!X33)*Population_Tables!L33</f>
        <v>5354.1253945013596</v>
      </c>
      <c r="AK57" s="456">
        <v>2044</v>
      </c>
      <c r="AL57" s="459">
        <f t="shared" si="6"/>
        <v>46764.286588965559</v>
      </c>
      <c r="AM57" s="459">
        <f t="shared" si="8"/>
        <v>12629.220820269209</v>
      </c>
      <c r="AN57" s="459">
        <f t="shared" si="9"/>
        <v>3168.7844257816287</v>
      </c>
      <c r="AO57" s="459">
        <f t="shared" si="10"/>
        <v>21893.92549752866</v>
      </c>
      <c r="AP57" s="459">
        <f t="shared" si="11"/>
        <v>6109.4906349813637</v>
      </c>
      <c r="AQ57" s="459">
        <f t="shared" si="12"/>
        <v>4511.9408685107464</v>
      </c>
      <c r="AR57" s="459">
        <f t="shared" si="13"/>
        <v>11201.847404709095</v>
      </c>
      <c r="AS57" s="459">
        <f t="shared" si="14"/>
        <v>6116.4260787052217</v>
      </c>
      <c r="AT57" s="459">
        <f t="shared" si="15"/>
        <v>4414.6779725532951</v>
      </c>
      <c r="AU57" s="459">
        <f t="shared" si="16"/>
        <v>5354.1253945013596</v>
      </c>
      <c r="AW57" s="216">
        <f>(B57/Population_Tables!O33)*Population_Tables!C33</f>
        <v>46764.286588965559</v>
      </c>
      <c r="AX57" s="153" t="str">
        <f t="shared" si="7"/>
        <v>OK</v>
      </c>
      <c r="AY57" s="421">
        <f t="shared" si="4"/>
        <v>48313.362247071607</v>
      </c>
      <c r="AZ57" s="153" t="str">
        <f t="shared" si="5"/>
        <v>OK</v>
      </c>
      <c r="BB57" s="216">
        <f>(C57/Population_Tables!P33)*Population_Tables!D33</f>
        <v>12629.220820269209</v>
      </c>
      <c r="BC57" s="216">
        <f>(D57/Population_Tables!Q33)*Population_Tables!E33</f>
        <v>3168.7844257816287</v>
      </c>
      <c r="BD57" s="216">
        <f>(E57/Population_Tables!R33)*Population_Tables!F33</f>
        <v>21893.92549752866</v>
      </c>
      <c r="BE57" s="216">
        <f>(F57/Population_Tables!S33)*Population_Tables!G33</f>
        <v>6109.4906349813637</v>
      </c>
      <c r="BF57" s="216">
        <f>(G57/Population_Tables!T33)*Population_Tables!H33</f>
        <v>4511.9408685107464</v>
      </c>
      <c r="BG57" s="216"/>
      <c r="BN57" s="216"/>
      <c r="BO57" s="216"/>
      <c r="BP57" s="216"/>
    </row>
    <row r="58" spans="1:68" ht="15.6" x14ac:dyDescent="0.3">
      <c r="A58" s="206">
        <v>2045</v>
      </c>
      <c r="B58" s="229">
        <v>44410.989246701443</v>
      </c>
      <c r="C58" s="229">
        <v>12019.232314536268</v>
      </c>
      <c r="D58" s="229">
        <v>3018.6596766931975</v>
      </c>
      <c r="E58" s="229">
        <v>20861.35483959613</v>
      </c>
      <c r="F58" s="229">
        <v>5958.7930561440508</v>
      </c>
      <c r="G58" s="229">
        <v>4274.4519584842656</v>
      </c>
      <c r="H58" s="229">
        <v>10690.540109408874</v>
      </c>
      <c r="I58" s="229">
        <v>5905.9436508579538</v>
      </c>
      <c r="J58" s="229">
        <v>4219.4437431608185</v>
      </c>
      <c r="K58" s="229">
        <v>5072.8857626547469</v>
      </c>
      <c r="M58" s="206">
        <v>2045</v>
      </c>
      <c r="N58" s="419">
        <f t="shared" si="2"/>
        <v>11569.012380313547</v>
      </c>
      <c r="O58" s="418">
        <f>(C58/Population_Tables!P34)*Population_Tables!D93</f>
        <v>0</v>
      </c>
      <c r="P58" s="418">
        <f>(D58/Population_Tables!Q34)*Population_Tables!E93</f>
        <v>0</v>
      </c>
      <c r="Q58" s="418">
        <f>((E58-H58)/Population_Tables!R34)*Population_Tables!F93</f>
        <v>6244.9329352328077</v>
      </c>
      <c r="R58" s="418">
        <f>(F58/Population_Tables!S34)*Population_Tables!G93</f>
        <v>3969.5292493039269</v>
      </c>
      <c r="S58" s="418">
        <f>(G58/Population_Tables!T34)*Population_Tables!H93</f>
        <v>1354.5501957768117</v>
      </c>
      <c r="T58" s="418">
        <f>(H58/Population_Tables!U34)*Population_Tables!I93</f>
        <v>0</v>
      </c>
      <c r="U58" s="418">
        <f>(I58/Population_Tables!V34)*Population_Tables!J93</f>
        <v>0</v>
      </c>
      <c r="V58" s="418">
        <f>(J58/Population_Tables!W34)*Population_Tables!K93</f>
        <v>0</v>
      </c>
      <c r="W58" s="418">
        <f>(K58/Population_Tables!X34)*Population_Tables!L93</f>
        <v>0</v>
      </c>
      <c r="Y58" s="456">
        <v>2045</v>
      </c>
      <c r="Z58" s="459">
        <f>((B58/Population_Tables!O34)*Population_Tables!C34)-N58</f>
        <v>36048.369889839087</v>
      </c>
      <c r="AA58" s="459">
        <f>((C58/Population_Tables!P34)*Population_Tables!D34)-O58</f>
        <v>12768.384937646355</v>
      </c>
      <c r="AB58" s="459">
        <f>((D58/Population_Tables!Q34)*Population_Tables!E34)-P58</f>
        <v>3215.5132359376098</v>
      </c>
      <c r="AC58" s="459">
        <f>((E58/Population_Tables!R34)*Population_Tables!F34)-Q58</f>
        <v>16179.326322838084</v>
      </c>
      <c r="AD58" s="459">
        <f>((F58/Population_Tables!S34)*Population_Tables!G34)-R58</f>
        <v>2391.4798972689632</v>
      </c>
      <c r="AE58" s="459">
        <f>((G58/Population_Tables!T34)*Population_Tables!H34)-S58</f>
        <v>3296.432967834673</v>
      </c>
      <c r="AF58" s="459">
        <f>(H58/Population_Tables!U34)*Population_Tables!I34</f>
        <v>11327.807021298002</v>
      </c>
      <c r="AG58" s="459">
        <f>(I58/Population_Tables!V34)*Population_Tables!J34</f>
        <v>6344.2359408751718</v>
      </c>
      <c r="AH58" s="459">
        <f>(J58/Population_Tables!W34)*Population_Tables!K34</f>
        <v>4471.3893455067873</v>
      </c>
      <c r="AI58" s="459">
        <f>(K58/Population_Tables!X34)*Population_Tables!L34</f>
        <v>5415.8450172122721</v>
      </c>
      <c r="AK58" s="456">
        <v>2045</v>
      </c>
      <c r="AL58" s="459">
        <f t="shared" si="6"/>
        <v>47617.382270152637</v>
      </c>
      <c r="AM58" s="459">
        <f t="shared" si="8"/>
        <v>12768.384937646355</v>
      </c>
      <c r="AN58" s="459">
        <f t="shared" si="9"/>
        <v>3215.5132359376098</v>
      </c>
      <c r="AO58" s="459">
        <f t="shared" si="10"/>
        <v>22424.259258070892</v>
      </c>
      <c r="AP58" s="459">
        <f t="shared" si="11"/>
        <v>6361.0091465728901</v>
      </c>
      <c r="AQ58" s="459">
        <f t="shared" si="12"/>
        <v>4650.983163611485</v>
      </c>
      <c r="AR58" s="459">
        <f t="shared" si="13"/>
        <v>11327.807021298002</v>
      </c>
      <c r="AS58" s="459">
        <f t="shared" si="14"/>
        <v>6344.2359408751718</v>
      </c>
      <c r="AT58" s="459">
        <f t="shared" si="15"/>
        <v>4471.3893455067873</v>
      </c>
      <c r="AU58" s="459">
        <f t="shared" si="16"/>
        <v>5415.8450172122721</v>
      </c>
      <c r="AW58" s="216">
        <f>(B58/Population_Tables!O34)*Population_Tables!C34</f>
        <v>47617.382270152637</v>
      </c>
      <c r="AX58" s="153" t="str">
        <f t="shared" si="7"/>
        <v>OK</v>
      </c>
      <c r="AY58" s="421">
        <f t="shared" si="4"/>
        <v>49420.149741839232</v>
      </c>
      <c r="AZ58" s="153" t="str">
        <f t="shared" si="5"/>
        <v>OK</v>
      </c>
      <c r="BB58" s="216">
        <f>(C58/Population_Tables!P34)*Population_Tables!D34</f>
        <v>12768.384937646355</v>
      </c>
      <c r="BC58" s="216">
        <f>(D58/Population_Tables!Q34)*Population_Tables!E34</f>
        <v>3215.5132359376098</v>
      </c>
      <c r="BD58" s="216">
        <f>(E58/Population_Tables!R34)*Population_Tables!F34</f>
        <v>22424.259258070892</v>
      </c>
      <c r="BE58" s="216">
        <f>(F58/Population_Tables!S34)*Population_Tables!G34</f>
        <v>6361.0091465728901</v>
      </c>
      <c r="BF58" s="216">
        <f>(G58/Population_Tables!T34)*Population_Tables!H34</f>
        <v>4650.983163611485</v>
      </c>
      <c r="BG58" s="216"/>
      <c r="BN58" s="216"/>
      <c r="BO58" s="216"/>
      <c r="BP58" s="216"/>
    </row>
    <row r="59" spans="1:68" ht="15.6" x14ac:dyDescent="0.3">
      <c r="A59" s="206">
        <v>2046</v>
      </c>
      <c r="B59" s="229">
        <v>45066.541528800604</v>
      </c>
      <c r="C59" s="229">
        <v>12117.13420356369</v>
      </c>
      <c r="D59" s="229">
        <v>3052.2918694035498</v>
      </c>
      <c r="E59" s="229">
        <v>21287.554542365797</v>
      </c>
      <c r="F59" s="229">
        <v>6183.4586775216922</v>
      </c>
      <c r="G59" s="229">
        <v>4386.7727996291451</v>
      </c>
      <c r="H59" s="229">
        <v>10775.896567049234</v>
      </c>
      <c r="I59" s="229">
        <v>6101.7912470646452</v>
      </c>
      <c r="J59" s="229">
        <v>4262.7743104066594</v>
      </c>
      <c r="K59" s="229">
        <v>5115.7222156042271</v>
      </c>
      <c r="M59" s="206">
        <v>2046</v>
      </c>
      <c r="N59" s="419">
        <f t="shared" si="2"/>
        <v>12043.303105882231</v>
      </c>
      <c r="O59" s="418">
        <f>(C59/Population_Tables!P35)*Population_Tables!D94</f>
        <v>0</v>
      </c>
      <c r="P59" s="418">
        <f>(D59/Population_Tables!Q35)*Population_Tables!E94</f>
        <v>0</v>
      </c>
      <c r="Q59" s="418">
        <f>((E59-H59)/Population_Tables!R35)*Population_Tables!F94</f>
        <v>6502.2207026613705</v>
      </c>
      <c r="R59" s="418">
        <f>(F59/Population_Tables!S35)*Population_Tables!G94</f>
        <v>4140.9846048048457</v>
      </c>
      <c r="S59" s="418">
        <f>(G59/Population_Tables!T35)*Population_Tables!H94</f>
        <v>1400.0977984160154</v>
      </c>
      <c r="T59" s="418">
        <f>(H59/Population_Tables!U35)*Population_Tables!I94</f>
        <v>0</v>
      </c>
      <c r="U59" s="418">
        <f>(I59/Population_Tables!V35)*Population_Tables!J94</f>
        <v>0</v>
      </c>
      <c r="V59" s="418">
        <f>(J59/Population_Tables!W35)*Population_Tables!K94</f>
        <v>0</v>
      </c>
      <c r="W59" s="418">
        <f>(K59/Population_Tables!X35)*Population_Tables!L94</f>
        <v>0</v>
      </c>
      <c r="Y59" s="456">
        <v>2046</v>
      </c>
      <c r="Z59" s="459">
        <f>((B59/Population_Tables!O35)*Population_Tables!C35)-N59</f>
        <v>36442.606799209912</v>
      </c>
      <c r="AA59" s="459">
        <f>((C59/Population_Tables!P35)*Population_Tables!D35)-O59</f>
        <v>12908.683144712557</v>
      </c>
      <c r="AB59" s="459">
        <f>((D59/Population_Tables!Q35)*Population_Tables!E35)-P59</f>
        <v>3262.3759024387655</v>
      </c>
      <c r="AC59" s="459">
        <f>((E59/Population_Tables!R35)*Population_Tables!F35)-Q59</f>
        <v>16463.169778544725</v>
      </c>
      <c r="AD59" s="459">
        <f>((F59/Population_Tables!S35)*Population_Tables!G35)-R59</f>
        <v>2480.6889840114409</v>
      </c>
      <c r="AE59" s="459">
        <f>((G59/Population_Tables!T35)*Population_Tables!H35)-S59</f>
        <v>3392.8587154412735</v>
      </c>
      <c r="AF59" s="459">
        <f>(H59/Population_Tables!U35)*Population_Tables!I35</f>
        <v>11452.358407337264</v>
      </c>
      <c r="AG59" s="459">
        <f>(I59/Population_Tables!V35)*Population_Tables!J35</f>
        <v>6576.9415231720304</v>
      </c>
      <c r="AH59" s="459">
        <f>(J59/Population_Tables!W35)*Population_Tables!K35</f>
        <v>4530.2594284214947</v>
      </c>
      <c r="AI59" s="459">
        <f>(K59/Population_Tables!X35)*Population_Tables!L35</f>
        <v>5478.1057036510856</v>
      </c>
      <c r="AK59" s="456">
        <v>2046</v>
      </c>
      <c r="AL59" s="459">
        <f t="shared" si="6"/>
        <v>48485.909905092143</v>
      </c>
      <c r="AM59" s="459">
        <f t="shared" si="8"/>
        <v>12908.683144712557</v>
      </c>
      <c r="AN59" s="459">
        <f t="shared" si="9"/>
        <v>3262.3759024387655</v>
      </c>
      <c r="AO59" s="459">
        <f t="shared" si="10"/>
        <v>22965.390481206094</v>
      </c>
      <c r="AP59" s="459">
        <f t="shared" si="11"/>
        <v>6621.6735888162866</v>
      </c>
      <c r="AQ59" s="459">
        <f t="shared" si="12"/>
        <v>4792.9565138572889</v>
      </c>
      <c r="AR59" s="459">
        <f t="shared" si="13"/>
        <v>11452.358407337264</v>
      </c>
      <c r="AS59" s="459">
        <f t="shared" si="14"/>
        <v>6576.9415231720304</v>
      </c>
      <c r="AT59" s="459">
        <f t="shared" si="15"/>
        <v>4530.2594284214947</v>
      </c>
      <c r="AU59" s="459">
        <f t="shared" si="16"/>
        <v>5478.1057036510856</v>
      </c>
      <c r="AW59" s="216">
        <f>(B59/Population_Tables!O35)*Population_Tables!C35</f>
        <v>48485.909905092143</v>
      </c>
      <c r="AX59" s="153" t="str">
        <f t="shared" si="7"/>
        <v>OK</v>
      </c>
      <c r="AY59" s="421">
        <f t="shared" si="4"/>
        <v>50551.079631030996</v>
      </c>
      <c r="AZ59" s="153" t="b">
        <f t="shared" si="5"/>
        <v>0</v>
      </c>
      <c r="BB59" s="216">
        <f>(C59/Population_Tables!P35)*Population_Tables!D35</f>
        <v>12908.683144712557</v>
      </c>
      <c r="BC59" s="216">
        <f>(D59/Population_Tables!Q35)*Population_Tables!E35</f>
        <v>3262.3759024387655</v>
      </c>
      <c r="BD59" s="216">
        <f>(E59/Population_Tables!R35)*Population_Tables!F35</f>
        <v>22965.390481206097</v>
      </c>
      <c r="BE59" s="216">
        <f>(F59/Population_Tables!S35)*Population_Tables!G35</f>
        <v>6621.6735888162866</v>
      </c>
      <c r="BF59" s="216">
        <f>(G59/Population_Tables!T35)*Population_Tables!H35</f>
        <v>4792.9565138572889</v>
      </c>
      <c r="BG59" s="216"/>
      <c r="BN59" s="216"/>
      <c r="BO59" s="216"/>
      <c r="BP59" s="216"/>
    </row>
    <row r="60" spans="1:68" ht="15.6" x14ac:dyDescent="0.3">
      <c r="A60" s="206">
        <v>2047</v>
      </c>
      <c r="B60" s="229">
        <v>45728.771056509955</v>
      </c>
      <c r="C60" s="229">
        <v>12214.980542824791</v>
      </c>
      <c r="D60" s="229">
        <v>3085.49198060464</v>
      </c>
      <c r="E60" s="229">
        <v>21718.797554595658</v>
      </c>
      <c r="F60" s="229">
        <v>6414.9343404988558</v>
      </c>
      <c r="G60" s="229">
        <v>4500.417247658399</v>
      </c>
      <c r="H60" s="229">
        <v>10858.763928417338</v>
      </c>
      <c r="I60" s="229">
        <v>6300.1452915137434</v>
      </c>
      <c r="J60" s="229">
        <v>4307.7330775391811</v>
      </c>
      <c r="K60" s="229">
        <v>5158.5111370233935</v>
      </c>
      <c r="M60" s="206">
        <v>2047</v>
      </c>
      <c r="N60" s="419">
        <f t="shared" si="2"/>
        <v>12534.110801245261</v>
      </c>
      <c r="O60" s="418">
        <f>(C60/Population_Tables!P36)*Population_Tables!D95</f>
        <v>0</v>
      </c>
      <c r="P60" s="418">
        <f>(D60/Population_Tables!Q36)*Population_Tables!E95</f>
        <v>0</v>
      </c>
      <c r="Q60" s="418">
        <f>((E60-H60)/Population_Tables!R36)*Population_Tables!F95</f>
        <v>6768.4527872527269</v>
      </c>
      <c r="R60" s="418">
        <f>(F60/Population_Tables!S36)*Population_Tables!G95</f>
        <v>4318.8735341332031</v>
      </c>
      <c r="S60" s="418">
        <f>(G60/Population_Tables!T36)*Population_Tables!H95</f>
        <v>1446.7844798593301</v>
      </c>
      <c r="T60" s="418">
        <f>(H60/Population_Tables!U36)*Population_Tables!I95</f>
        <v>0</v>
      </c>
      <c r="U60" s="418">
        <f>(I60/Population_Tables!V36)*Population_Tables!J95</f>
        <v>0</v>
      </c>
      <c r="V60" s="418">
        <f>(J60/Population_Tables!W36)*Population_Tables!K95</f>
        <v>0</v>
      </c>
      <c r="W60" s="418">
        <f>(K60/Population_Tables!X36)*Population_Tables!L95</f>
        <v>0</v>
      </c>
      <c r="Y60" s="456">
        <v>2047</v>
      </c>
      <c r="Z60" s="459">
        <f>((B60/Population_Tables!O36)*Population_Tables!C36)-N60</f>
        <v>36837.161800426016</v>
      </c>
      <c r="AA60" s="459">
        <f>((C60/Population_Tables!P36)*Population_Tables!D36)-O60</f>
        <v>13050.090066766752</v>
      </c>
      <c r="AB60" s="459">
        <f>((D60/Population_Tables!Q36)*Population_Tables!E36)-P60</f>
        <v>3309.3445646298287</v>
      </c>
      <c r="AC60" s="459">
        <f>((E60/Population_Tables!R36)*Population_Tables!F36)-Q60</f>
        <v>16749.664978956091</v>
      </c>
      <c r="AD60" s="459">
        <f>((F60/Population_Tables!S36)*Population_Tables!G36)-R60</f>
        <v>2572.8820667788723</v>
      </c>
      <c r="AE60" s="459">
        <f>((G60/Population_Tables!T36)*Population_Tables!H36)-S60</f>
        <v>3491.1188230837211</v>
      </c>
      <c r="AF60" s="459">
        <f>(H60/Population_Tables!U36)*Population_Tables!I36</f>
        <v>11575.857112261907</v>
      </c>
      <c r="AG60" s="459">
        <f>(I60/Population_Tables!V36)*Population_Tables!J36</f>
        <v>6814.6628755497604</v>
      </c>
      <c r="AH60" s="459">
        <f>(J60/Population_Tables!W36)*Population_Tables!K36</f>
        <v>4591.3986654028549</v>
      </c>
      <c r="AI60" s="459">
        <f>(K60/Population_Tables!X36)*Population_Tables!L36</f>
        <v>5540.8558910834927</v>
      </c>
      <c r="AK60" s="456">
        <v>2047</v>
      </c>
      <c r="AL60" s="459">
        <f t="shared" si="6"/>
        <v>49371.272601671277</v>
      </c>
      <c r="AM60" s="459">
        <f t="shared" si="8"/>
        <v>13050.090066766752</v>
      </c>
      <c r="AN60" s="459">
        <f t="shared" si="9"/>
        <v>3309.3445646298287</v>
      </c>
      <c r="AO60" s="459">
        <f t="shared" si="10"/>
        <v>23518.117766208816</v>
      </c>
      <c r="AP60" s="459">
        <f t="shared" si="11"/>
        <v>6891.7556009120754</v>
      </c>
      <c r="AQ60" s="459">
        <f t="shared" si="12"/>
        <v>4937.9033029430511</v>
      </c>
      <c r="AR60" s="459">
        <f t="shared" si="13"/>
        <v>11575.857112261907</v>
      </c>
      <c r="AS60" s="459">
        <f t="shared" si="14"/>
        <v>6814.6628755497604</v>
      </c>
      <c r="AT60" s="459">
        <f t="shared" si="15"/>
        <v>4591.3986654028549</v>
      </c>
      <c r="AU60" s="459">
        <f t="shared" si="16"/>
        <v>5540.8558910834927</v>
      </c>
      <c r="AW60" s="216">
        <f>(B60/Population_Tables!O36)*Population_Tables!C36</f>
        <v>49371.272601671277</v>
      </c>
      <c r="AX60" s="153" t="str">
        <f t="shared" si="7"/>
        <v>OK</v>
      </c>
      <c r="AY60" s="421">
        <f t="shared" si="4"/>
        <v>51707.21130146052</v>
      </c>
      <c r="AZ60" s="153" t="str">
        <f t="shared" si="5"/>
        <v>OK</v>
      </c>
      <c r="BB60" s="216">
        <f>(C60/Population_Tables!P36)*Population_Tables!D36</f>
        <v>13050.090066766752</v>
      </c>
      <c r="BC60" s="216">
        <f>(D60/Population_Tables!Q36)*Population_Tables!E36</f>
        <v>3309.3445646298287</v>
      </c>
      <c r="BD60" s="216">
        <f>(E60/Population_Tables!R36)*Population_Tables!F36</f>
        <v>23518.117766208816</v>
      </c>
      <c r="BE60" s="216">
        <f>(F60/Population_Tables!S36)*Population_Tables!G36</f>
        <v>6891.7556009120754</v>
      </c>
      <c r="BF60" s="216">
        <f>(G60/Population_Tables!T36)*Population_Tables!H36</f>
        <v>4937.9033029430511</v>
      </c>
      <c r="BG60" s="216"/>
      <c r="BN60" s="216"/>
      <c r="BO60" s="216"/>
      <c r="BP60" s="216"/>
    </row>
    <row r="61" spans="1:68" ht="15.6" x14ac:dyDescent="0.3">
      <c r="A61" s="206">
        <v>2048</v>
      </c>
      <c r="B61" s="229">
        <v>46398.470984113905</v>
      </c>
      <c r="C61" s="229">
        <v>12312.644372215416</v>
      </c>
      <c r="D61" s="229">
        <v>3118.212166445629</v>
      </c>
      <c r="E61" s="229">
        <v>22155.467396014006</v>
      </c>
      <c r="F61" s="229">
        <v>6653.3353786046628</v>
      </c>
      <c r="G61" s="229">
        <v>4615.3431514345102</v>
      </c>
      <c r="H61" s="229">
        <v>10939.423433466463</v>
      </c>
      <c r="I61" s="229">
        <v>6500.9630938997179</v>
      </c>
      <c r="J61" s="229">
        <v>4354.3752380961869</v>
      </c>
      <c r="K61" s="229">
        <v>5201.1572709872771</v>
      </c>
      <c r="M61" s="206">
        <v>2048</v>
      </c>
      <c r="N61" s="419">
        <f t="shared" si="2"/>
        <v>13042.094986747299</v>
      </c>
      <c r="O61" s="418">
        <f>(C61/Population_Tables!P37)*Population_Tables!D96</f>
        <v>0</v>
      </c>
      <c r="P61" s="418">
        <f>(D61/Population_Tables!Q37)*Population_Tables!E96</f>
        <v>0</v>
      </c>
      <c r="Q61" s="418">
        <f>((E61-H61)/Population_Tables!R37)*Population_Tables!F96</f>
        <v>7044.0608125699837</v>
      </c>
      <c r="R61" s="418">
        <f>(F61/Population_Tables!S37)*Population_Tables!G96</f>
        <v>4503.3973916641353</v>
      </c>
      <c r="S61" s="418">
        <f>(G61/Population_Tables!T37)*Population_Tables!H96</f>
        <v>1494.6367825131795</v>
      </c>
      <c r="T61" s="418">
        <f>(H61/Population_Tables!U37)*Population_Tables!I96</f>
        <v>0</v>
      </c>
      <c r="U61" s="418">
        <f>(I61/Population_Tables!V37)*Population_Tables!J96</f>
        <v>0</v>
      </c>
      <c r="V61" s="418">
        <f>(J61/Population_Tables!W37)*Population_Tables!K96</f>
        <v>0</v>
      </c>
      <c r="W61" s="418">
        <f>(K61/Population_Tables!X37)*Population_Tables!L96</f>
        <v>0</v>
      </c>
      <c r="Y61" s="456">
        <v>2048</v>
      </c>
      <c r="Z61" s="459">
        <f>((B61/Population_Tables!O37)*Population_Tables!C37)-N61</f>
        <v>37233.002392484152</v>
      </c>
      <c r="AA61" s="459">
        <f>((C61/Population_Tables!P37)*Population_Tables!D37)-O61</f>
        <v>13192.649933795999</v>
      </c>
      <c r="AB61" s="459">
        <f>((D61/Population_Tables!Q37)*Population_Tables!E37)-P61</f>
        <v>3356.3920744996185</v>
      </c>
      <c r="AC61" s="459">
        <f>((E61/Population_Tables!R37)*Population_Tables!F37)-Q61</f>
        <v>17039.334323697865</v>
      </c>
      <c r="AD61" s="459">
        <f>((F61/Population_Tables!S37)*Population_Tables!G37)-R61</f>
        <v>2668.149690732439</v>
      </c>
      <c r="AE61" s="459">
        <f>((G61/Population_Tables!T37)*Population_Tables!H37)-S61</f>
        <v>3591.244609368282</v>
      </c>
      <c r="AF61" s="459">
        <f>(H61/Population_Tables!U37)*Population_Tables!I37</f>
        <v>11698.674974947269</v>
      </c>
      <c r="AG61" s="459">
        <f>(I61/Population_Tables!V37)*Population_Tables!J37</f>
        <v>7057.6079965171057</v>
      </c>
      <c r="AH61" s="459">
        <f>(J61/Population_Tables!W37)*Population_Tables!K37</f>
        <v>4654.9342422776162</v>
      </c>
      <c r="AI61" s="459">
        <f>(K61/Population_Tables!X37)*Population_Tables!L37</f>
        <v>5604.0818198307088</v>
      </c>
      <c r="AK61" s="456">
        <v>2048</v>
      </c>
      <c r="AL61" s="459">
        <f t="shared" si="6"/>
        <v>50275.097379231447</v>
      </c>
      <c r="AM61" s="459">
        <f t="shared" si="8"/>
        <v>13192.649933795999</v>
      </c>
      <c r="AN61" s="459">
        <f t="shared" si="9"/>
        <v>3356.3920744996185</v>
      </c>
      <c r="AO61" s="459">
        <f t="shared" si="10"/>
        <v>24083.395136267849</v>
      </c>
      <c r="AP61" s="459">
        <f t="shared" si="11"/>
        <v>7171.5470823965743</v>
      </c>
      <c r="AQ61" s="459">
        <f t="shared" si="12"/>
        <v>5085.8813918814612</v>
      </c>
      <c r="AR61" s="459">
        <f t="shared" si="13"/>
        <v>11698.674974947269</v>
      </c>
      <c r="AS61" s="459">
        <f t="shared" si="14"/>
        <v>7057.6079965171057</v>
      </c>
      <c r="AT61" s="459">
        <f t="shared" si="15"/>
        <v>4654.9342422776162</v>
      </c>
      <c r="AU61" s="459">
        <f t="shared" si="16"/>
        <v>5604.0818198307088</v>
      </c>
      <c r="AW61" s="216">
        <f>(B61/Population_Tables!O37)*Population_Tables!C37</f>
        <v>50275.097379231454</v>
      </c>
      <c r="AX61" s="153" t="b">
        <f t="shared" si="7"/>
        <v>0</v>
      </c>
      <c r="AY61" s="421">
        <f t="shared" si="4"/>
        <v>52889.865618841504</v>
      </c>
      <c r="AZ61" s="153" t="str">
        <f t="shared" si="5"/>
        <v>OK</v>
      </c>
      <c r="BB61" s="216">
        <f>(C61/Population_Tables!P37)*Population_Tables!D37</f>
        <v>13192.649933795999</v>
      </c>
      <c r="BC61" s="216">
        <f>(D61/Population_Tables!Q37)*Population_Tables!E37</f>
        <v>3356.3920744996185</v>
      </c>
      <c r="BD61" s="216">
        <f>(E61/Population_Tables!R37)*Population_Tables!F37</f>
        <v>24083.395136267849</v>
      </c>
      <c r="BE61" s="216">
        <f>(F61/Population_Tables!S37)*Population_Tables!G37</f>
        <v>7171.5470823965743</v>
      </c>
      <c r="BF61" s="216">
        <f>(G61/Population_Tables!T37)*Population_Tables!H37</f>
        <v>5085.8813918814612</v>
      </c>
      <c r="BG61" s="216"/>
      <c r="BN61" s="216"/>
      <c r="BO61" s="216"/>
      <c r="BP61" s="216"/>
    </row>
    <row r="62" spans="1:68" ht="15.6" x14ac:dyDescent="0.3">
      <c r="A62" s="206">
        <v>2049</v>
      </c>
      <c r="B62" s="229">
        <v>47076.434465896848</v>
      </c>
      <c r="C62" s="229">
        <v>12409.998731631407</v>
      </c>
      <c r="D62" s="229">
        <v>3150.4045830756772</v>
      </c>
      <c r="E62" s="229">
        <v>22597.947586349153</v>
      </c>
      <c r="F62" s="229">
        <v>6898.7771253682395</v>
      </c>
      <c r="G62" s="229">
        <v>4731.5083598199581</v>
      </c>
      <c r="H62" s="229">
        <v>11018.156322149887</v>
      </c>
      <c r="I62" s="229">
        <v>6704.2019639170403</v>
      </c>
      <c r="J62" s="229">
        <v>4402.755985615484</v>
      </c>
      <c r="K62" s="229">
        <v>5243.5653615709089</v>
      </c>
      <c r="M62" s="206">
        <v>2049</v>
      </c>
      <c r="N62" s="419">
        <f t="shared" si="2"/>
        <v>13567.947808963092</v>
      </c>
      <c r="O62" s="418">
        <f>(C62/Population_Tables!P38)*Population_Tables!D97</f>
        <v>0</v>
      </c>
      <c r="P62" s="418">
        <f>(D62/Population_Tables!Q38)*Population_Tables!E97</f>
        <v>0</v>
      </c>
      <c r="Q62" s="418">
        <f>((E62-H62)/Population_Tables!R38)*Population_Tables!F97</f>
        <v>7329.5082666380349</v>
      </c>
      <c r="R62" s="418">
        <f>(F62/Population_Tables!S38)*Population_Tables!G97</f>
        <v>4694.7582111103839</v>
      </c>
      <c r="S62" s="418">
        <f>(G62/Population_Tables!T38)*Population_Tables!H97</f>
        <v>1543.6813312146735</v>
      </c>
      <c r="T62" s="418">
        <f>(H62/Population_Tables!U38)*Population_Tables!I97</f>
        <v>0</v>
      </c>
      <c r="U62" s="418">
        <f>(I62/Population_Tables!V38)*Population_Tables!J97</f>
        <v>0</v>
      </c>
      <c r="V62" s="418">
        <f>(J62/Population_Tables!W38)*Population_Tables!K97</f>
        <v>0</v>
      </c>
      <c r="W62" s="418">
        <f>(K62/Population_Tables!X38)*Population_Tables!L97</f>
        <v>0</v>
      </c>
      <c r="Y62" s="456">
        <v>2049</v>
      </c>
      <c r="Z62" s="459">
        <f>((B62/Population_Tables!O38)*Population_Tables!C38)-N62</f>
        <v>37631.111464596353</v>
      </c>
      <c r="AA62" s="459">
        <f>((C62/Population_Tables!P38)*Population_Tables!D38)-O62</f>
        <v>13336.444364799216</v>
      </c>
      <c r="AB62" s="459">
        <f>((D62/Population_Tables!Q38)*Population_Tables!E38)-P62</f>
        <v>3403.4929331454609</v>
      </c>
      <c r="AC62" s="459">
        <f>((E62/Population_Tables!R38)*Population_Tables!F38)-Q62</f>
        <v>17332.708270768468</v>
      </c>
      <c r="AD62" s="459">
        <f>((F62/Population_Tables!S38)*Population_Tables!G38)-R62</f>
        <v>2766.5858688151802</v>
      </c>
      <c r="AE62" s="459">
        <f>((G62/Population_Tables!T38)*Population_Tables!H38)-S62</f>
        <v>3693.2755430274719</v>
      </c>
      <c r="AF62" s="459">
        <f>(H62/Population_Tables!U38)*Population_Tables!I38</f>
        <v>11821.177966832895</v>
      </c>
      <c r="AG62" s="459">
        <f>(I62/Population_Tables!V38)*Population_Tables!J38</f>
        <v>7306.013285654858</v>
      </c>
      <c r="AH62" s="459">
        <f>(J62/Population_Tables!W38)*Population_Tables!K38</f>
        <v>4721.00622538057</v>
      </c>
      <c r="AI62" s="459">
        <f>(K62/Population_Tables!X38)*Population_Tables!L38</f>
        <v>5667.7855644797364</v>
      </c>
      <c r="AK62" s="456">
        <v>2049</v>
      </c>
      <c r="AL62" s="459">
        <f t="shared" si="6"/>
        <v>51199.059273559447</v>
      </c>
      <c r="AM62" s="459">
        <f t="shared" si="8"/>
        <v>13336.444364799216</v>
      </c>
      <c r="AN62" s="459">
        <f t="shared" si="9"/>
        <v>3403.4929331454609</v>
      </c>
      <c r="AO62" s="459">
        <f t="shared" si="10"/>
        <v>24662.216537406501</v>
      </c>
      <c r="AP62" s="459">
        <f t="shared" si="11"/>
        <v>7461.3440799255641</v>
      </c>
      <c r="AQ62" s="459">
        <f t="shared" si="12"/>
        <v>5236.9568742421452</v>
      </c>
      <c r="AR62" s="459">
        <f t="shared" si="13"/>
        <v>11821.177966832895</v>
      </c>
      <c r="AS62" s="459">
        <f t="shared" si="14"/>
        <v>7306.013285654858</v>
      </c>
      <c r="AT62" s="459">
        <f t="shared" si="15"/>
        <v>4721.00622538057</v>
      </c>
      <c r="AU62" s="459">
        <f t="shared" si="16"/>
        <v>5667.7855644797364</v>
      </c>
      <c r="AW62" s="216">
        <f>(B62/Population_Tables!O38)*Population_Tables!C38</f>
        <v>51199.059273559447</v>
      </c>
      <c r="AX62" s="153" t="str">
        <f t="shared" si="7"/>
        <v>OK</v>
      </c>
      <c r="AY62" s="421">
        <f t="shared" si="4"/>
        <v>54100.454789518895</v>
      </c>
      <c r="AZ62" s="153" t="b">
        <f t="shared" si="5"/>
        <v>0</v>
      </c>
      <c r="BB62" s="216">
        <f>(C62/Population_Tables!P38)*Population_Tables!D38</f>
        <v>13336.444364799216</v>
      </c>
      <c r="BC62" s="216">
        <f>(D62/Population_Tables!Q38)*Population_Tables!E38</f>
        <v>3403.4929331454609</v>
      </c>
      <c r="BD62" s="216">
        <f>(E62/Population_Tables!R38)*Population_Tables!F38</f>
        <v>24662.216537406504</v>
      </c>
      <c r="BE62" s="216">
        <f>(F62/Population_Tables!S38)*Population_Tables!G38</f>
        <v>7461.3440799255641</v>
      </c>
      <c r="BF62" s="216">
        <f>(G62/Population_Tables!T38)*Population_Tables!H38</f>
        <v>5236.9568742421452</v>
      </c>
      <c r="BG62" s="216"/>
      <c r="BN62" s="216"/>
      <c r="BO62" s="216"/>
      <c r="BP62" s="216"/>
    </row>
    <row r="63" spans="1:68" ht="16.2" thickBot="1" x14ac:dyDescent="0.35">
      <c r="A63" s="208">
        <v>2050</v>
      </c>
      <c r="B63" s="231">
        <v>47763.454656143178</v>
      </c>
      <c r="C63" s="231">
        <v>12506.916660968609</v>
      </c>
      <c r="D63" s="231">
        <v>3182.0213866439444</v>
      </c>
      <c r="E63" s="231">
        <v>23046.621645329396</v>
      </c>
      <c r="F63" s="231">
        <v>7151.3749143187069</v>
      </c>
      <c r="G63" s="231">
        <v>4848.8707216772282</v>
      </c>
      <c r="H63" s="231">
        <v>11095.243834420879</v>
      </c>
      <c r="I63" s="231">
        <v>6909.8192112601791</v>
      </c>
      <c r="J63" s="231">
        <v>4452.9305136348776</v>
      </c>
      <c r="K63" s="231">
        <v>5285.6401528493207</v>
      </c>
      <c r="M63" s="208">
        <v>2050</v>
      </c>
      <c r="N63" s="419">
        <f t="shared" si="2"/>
        <v>14112.351820094074</v>
      </c>
      <c r="O63" s="418">
        <f>(C63/Population_Tables!P39)*Population_Tables!D98</f>
        <v>0</v>
      </c>
      <c r="P63" s="418">
        <f>(D63/Population_Tables!Q39)*Population_Tables!E98</f>
        <v>0</v>
      </c>
      <c r="Q63" s="418">
        <f>((E63-H63)/Population_Tables!R39)*Population_Tables!F98</f>
        <v>7625.2457651744962</v>
      </c>
      <c r="R63" s="418">
        <f>(F63/Population_Tables!S39)*Population_Tables!G98</f>
        <v>4893.1605183164529</v>
      </c>
      <c r="S63" s="418">
        <f>(G63/Population_Tables!T39)*Population_Tables!H98</f>
        <v>1593.9455366031254</v>
      </c>
      <c r="T63" s="418">
        <f>(H63/Population_Tables!U39)*Population_Tables!I98</f>
        <v>0</v>
      </c>
      <c r="U63" s="418">
        <f>(I63/Population_Tables!V39)*Population_Tables!J98</f>
        <v>0</v>
      </c>
      <c r="V63" s="418">
        <f>(J63/Population_Tables!W39)*Population_Tables!K98</f>
        <v>0</v>
      </c>
      <c r="W63" s="418">
        <f>(K63/Population_Tables!X39)*Population_Tables!L98</f>
        <v>0</v>
      </c>
      <c r="Y63" s="456">
        <v>2050</v>
      </c>
      <c r="Z63" s="459">
        <f>((B63/Population_Tables!O39)*Population_Tables!C39)-N63</f>
        <v>38032.412862396748</v>
      </c>
      <c r="AA63" s="459">
        <f>((C63/Population_Tables!P39)*Population_Tables!D39)-O63</f>
        <v>13481.52741385497</v>
      </c>
      <c r="AB63" s="459">
        <f>((D63/Population_Tables!Q39)*Population_Tables!E39)-P63</f>
        <v>3450.6186579778687</v>
      </c>
      <c r="AC63" s="459">
        <f>((E63/Population_Tables!R39)*Population_Tables!F39)-Q63</f>
        <v>17630.297548498667</v>
      </c>
      <c r="AD63" s="459">
        <f>((F63/Population_Tables!S39)*Population_Tables!G39)-R63</f>
        <v>2868.2823352289652</v>
      </c>
      <c r="AE63" s="459">
        <f>((G63/Population_Tables!T39)*Population_Tables!H39)-S63</f>
        <v>3797.2473541114359</v>
      </c>
      <c r="AF63" s="459">
        <f>(H63/Population_Tables!U39)*Population_Tables!I39</f>
        <v>11943.734206615374</v>
      </c>
      <c r="AG63" s="459">
        <f>(I63/Population_Tables!V39)*Population_Tables!J39</f>
        <v>7560.0918566932996</v>
      </c>
      <c r="AH63" s="459">
        <f>(J63/Population_Tables!W39)*Population_Tables!K39</f>
        <v>4789.7511112390275</v>
      </c>
      <c r="AI63" s="459">
        <f>(K63/Population_Tables!X39)*Population_Tables!L39</f>
        <v>5731.9532107033019</v>
      </c>
      <c r="AK63" s="456">
        <v>2050</v>
      </c>
      <c r="AL63" s="459">
        <f t="shared" si="6"/>
        <v>52144.764682490822</v>
      </c>
      <c r="AM63" s="459">
        <f t="shared" si="8"/>
        <v>13481.52741385497</v>
      </c>
      <c r="AN63" s="459">
        <f t="shared" si="9"/>
        <v>3450.6186579778687</v>
      </c>
      <c r="AO63" s="459">
        <f t="shared" si="10"/>
        <v>25255.543313673163</v>
      </c>
      <c r="AP63" s="459">
        <f t="shared" si="11"/>
        <v>7761.4428535454181</v>
      </c>
      <c r="AQ63" s="459">
        <f t="shared" si="12"/>
        <v>5391.1928907145611</v>
      </c>
      <c r="AR63" s="459">
        <f t="shared" si="13"/>
        <v>11943.734206615374</v>
      </c>
      <c r="AS63" s="459">
        <f t="shared" si="14"/>
        <v>7560.0918566932996</v>
      </c>
      <c r="AT63" s="459">
        <f t="shared" si="15"/>
        <v>4789.7511112390275</v>
      </c>
      <c r="AU63" s="459">
        <f t="shared" si="16"/>
        <v>5731.9532107033019</v>
      </c>
      <c r="AW63" s="216">
        <f>(B63/Population_Tables!O39)*Population_Tables!C39</f>
        <v>52144.764682490822</v>
      </c>
      <c r="AX63" s="153" t="str">
        <f t="shared" si="7"/>
        <v>OK</v>
      </c>
      <c r="AY63" s="421">
        <f t="shared" si="4"/>
        <v>55340.325129765988</v>
      </c>
      <c r="AZ63" s="153" t="str">
        <f t="shared" si="5"/>
        <v>OK</v>
      </c>
      <c r="BB63" s="216">
        <f>(C63/Population_Tables!P39)*Population_Tables!D39</f>
        <v>13481.52741385497</v>
      </c>
      <c r="BC63" s="216">
        <f>(D63/Population_Tables!Q39)*Population_Tables!E39</f>
        <v>3450.6186579778687</v>
      </c>
      <c r="BD63" s="216">
        <f>(E63/Population_Tables!R39)*Population_Tables!F39</f>
        <v>25255.543313673163</v>
      </c>
      <c r="BE63" s="216">
        <f>(F63/Population_Tables!S39)*Population_Tables!G39</f>
        <v>7761.4428535454181</v>
      </c>
      <c r="BF63" s="216">
        <f>(G63/Population_Tables!T39)*Population_Tables!H39</f>
        <v>5391.1928907145611</v>
      </c>
      <c r="BG63" s="216"/>
      <c r="BN63" s="216"/>
      <c r="BO63" s="216"/>
      <c r="BP63" s="216"/>
    </row>
    <row r="64" spans="1:68" ht="15.6" x14ac:dyDescent="0.3">
      <c r="A64" s="213">
        <v>2051</v>
      </c>
      <c r="B64" s="227">
        <v>48460.324709137305</v>
      </c>
      <c r="C64" s="227">
        <v>12603.271200122865</v>
      </c>
      <c r="D64" s="227">
        <v>3213.0147332995925</v>
      </c>
      <c r="E64" s="227">
        <v>23501.873092683032</v>
      </c>
      <c r="F64" s="227">
        <v>7411.244078985188</v>
      </c>
      <c r="G64" s="227">
        <v>4967.3880858688008</v>
      </c>
      <c r="H64" s="227">
        <v>11170.967210232724</v>
      </c>
      <c r="I64" s="227">
        <v>7117.7721456236059</v>
      </c>
      <c r="J64" s="227">
        <v>4504.9540156921748</v>
      </c>
      <c r="K64" s="227">
        <v>5327.2863888975426</v>
      </c>
      <c r="M64" s="213">
        <v>2051</v>
      </c>
      <c r="N64" s="419">
        <f t="shared" si="2"/>
        <v>14675.96155296743</v>
      </c>
      <c r="O64" s="418">
        <f>(C64/Population_Tables!P40)*Population_Tables!D99</f>
        <v>0</v>
      </c>
      <c r="P64" s="418">
        <f>(D64/Population_Tables!Q40)*Population_Tables!E99</f>
        <v>0</v>
      </c>
      <c r="Q64" s="418">
        <f>((E64-H64)/Population_Tables!R40)*Population_Tables!F99</f>
        <v>7931.6983406787704</v>
      </c>
      <c r="R64" s="418">
        <f>(F64/Population_Tables!S40)*Population_Tables!G99</f>
        <v>5098.8089009158657</v>
      </c>
      <c r="S64" s="418">
        <f>(G64/Population_Tables!T40)*Population_Tables!H99</f>
        <v>1645.4543113727932</v>
      </c>
      <c r="T64" s="418">
        <f>(H64/Population_Tables!U40)*Population_Tables!I99</f>
        <v>0</v>
      </c>
      <c r="U64" s="418">
        <f>(I64/Population_Tables!V40)*Population_Tables!J99</f>
        <v>0</v>
      </c>
      <c r="V64" s="418">
        <f>(J64/Population_Tables!W40)*Population_Tables!K99</f>
        <v>0</v>
      </c>
      <c r="W64" s="418">
        <f>(K64/Population_Tables!X40)*Population_Tables!L99</f>
        <v>0</v>
      </c>
      <c r="Y64" s="456">
        <v>2051</v>
      </c>
      <c r="Z64" s="459">
        <f>((B64/Population_Tables!O40)*Population_Tables!C40)-N64</f>
        <v>38437.745006234923</v>
      </c>
      <c r="AA64" s="459">
        <f>((C64/Population_Tables!P40)*Population_Tables!D40)-O64</f>
        <v>13627.87343594814</v>
      </c>
      <c r="AB64" s="459">
        <f>((D64/Population_Tables!Q40)*Population_Tables!E40)-P64</f>
        <v>3497.7385760586321</v>
      </c>
      <c r="AC64" s="459">
        <f>((E64/Population_Tables!R40)*Population_Tables!F40)-Q64</f>
        <v>17932.586092543992</v>
      </c>
      <c r="AD64" s="459">
        <f>((F64/Population_Tables!S40)*Population_Tables!G40)-R64</f>
        <v>2973.3292085552002</v>
      </c>
      <c r="AE64" s="459">
        <f>((G64/Population_Tables!T40)*Population_Tables!H40)-S64</f>
        <v>3903.1866516945247</v>
      </c>
      <c r="AF64" s="459">
        <f>(H64/Population_Tables!U40)*Population_Tables!I40</f>
        <v>12066.725879233294</v>
      </c>
      <c r="AG64" s="459">
        <f>(I64/Population_Tables!V40)*Population_Tables!J40</f>
        <v>7820.0133298192559</v>
      </c>
      <c r="AH64" s="459">
        <f>(J64/Population_Tables!W40)*Population_Tables!K40</f>
        <v>4861.2923711661797</v>
      </c>
      <c r="AI64" s="459">
        <f>(K64/Population_Tables!X40)*Population_Tables!L40</f>
        <v>5796.5277279356142</v>
      </c>
      <c r="AK64" s="456">
        <v>2051</v>
      </c>
      <c r="AL64" s="459">
        <f t="shared" si="6"/>
        <v>53113.706559202357</v>
      </c>
      <c r="AM64" s="459">
        <f t="shared" si="8"/>
        <v>13627.87343594814</v>
      </c>
      <c r="AN64" s="459">
        <f t="shared" si="9"/>
        <v>3497.7385760586321</v>
      </c>
      <c r="AO64" s="459">
        <f t="shared" si="10"/>
        <v>25864.284433222761</v>
      </c>
      <c r="AP64" s="459">
        <f t="shared" si="11"/>
        <v>8072.1381094710659</v>
      </c>
      <c r="AQ64" s="459">
        <f t="shared" si="12"/>
        <v>5548.6409630673179</v>
      </c>
      <c r="AR64" s="459">
        <f t="shared" si="13"/>
        <v>12066.725879233294</v>
      </c>
      <c r="AS64" s="459">
        <f t="shared" si="14"/>
        <v>7820.0133298192559</v>
      </c>
      <c r="AT64" s="459">
        <f t="shared" si="15"/>
        <v>4861.2923711661797</v>
      </c>
      <c r="AU64" s="459">
        <f t="shared" si="16"/>
        <v>5796.5277279356142</v>
      </c>
      <c r="AW64" s="216">
        <f>(B64/Population_Tables!O40)*Population_Tables!C40</f>
        <v>53113.70655920235</v>
      </c>
      <c r="AX64" s="153" t="b">
        <f t="shared" si="7"/>
        <v>0</v>
      </c>
      <c r="AY64" s="421">
        <f t="shared" si="4"/>
        <v>56610.675517767915</v>
      </c>
      <c r="AZ64" s="153" t="str">
        <f t="shared" si="5"/>
        <v>OK</v>
      </c>
      <c r="BB64" s="216">
        <f>(C64/Population_Tables!P40)*Population_Tables!D40</f>
        <v>13627.87343594814</v>
      </c>
      <c r="BC64" s="216">
        <f>(D64/Population_Tables!Q40)*Population_Tables!E40</f>
        <v>3497.7385760586321</v>
      </c>
      <c r="BD64" s="216">
        <f>(E64/Population_Tables!R40)*Population_Tables!F40</f>
        <v>25864.284433222761</v>
      </c>
      <c r="BE64" s="216">
        <f>(F64/Population_Tables!S40)*Population_Tables!G40</f>
        <v>8072.1381094710659</v>
      </c>
      <c r="BF64" s="216">
        <f>(G64/Population_Tables!T40)*Population_Tables!H40</f>
        <v>5548.6409630673179</v>
      </c>
      <c r="BG64" s="216"/>
      <c r="BN64" s="216"/>
      <c r="BO64" s="216"/>
      <c r="BP64" s="216"/>
    </row>
    <row r="65" spans="1:68" ht="15.6" x14ac:dyDescent="0.3">
      <c r="A65" s="194">
        <v>2052</v>
      </c>
      <c r="B65" s="229">
        <v>49167.837779163623</v>
      </c>
      <c r="C65" s="229">
        <v>12698.935388990016</v>
      </c>
      <c r="D65" s="229">
        <v>3243.3367791917817</v>
      </c>
      <c r="E65" s="229">
        <v>23964.085448138361</v>
      </c>
      <c r="F65" s="229">
        <v>7678.4999528968092</v>
      </c>
      <c r="G65" s="229">
        <v>5087.0183012571579</v>
      </c>
      <c r="H65" s="229">
        <v>11245.607689538694</v>
      </c>
      <c r="I65" s="229">
        <v>7328.0180767017901</v>
      </c>
      <c r="J65" s="229">
        <v>4558.881685325181</v>
      </c>
      <c r="K65" s="229">
        <v>5368.4088137906074</v>
      </c>
      <c r="M65" s="194">
        <v>2052</v>
      </c>
      <c r="N65" s="419">
        <f t="shared" si="2"/>
        <v>15259.382770688202</v>
      </c>
      <c r="O65" s="418">
        <f>(C65/Population_Tables!P41)*Population_Tables!D100</f>
        <v>0</v>
      </c>
      <c r="P65" s="418">
        <f>(D65/Population_Tables!Q41)*Population_Tables!E100</f>
        <v>0</v>
      </c>
      <c r="Q65" s="418">
        <f>((E65-H65)/Population_Tables!R41)*Population_Tables!F100</f>
        <v>8249.2401755760493</v>
      </c>
      <c r="R65" s="418">
        <f>(F65/Population_Tables!S41)*Population_Tables!G100</f>
        <v>5311.9108828002927</v>
      </c>
      <c r="S65" s="418">
        <f>(G65/Population_Tables!T41)*Population_Tables!H100</f>
        <v>1698.2317123118617</v>
      </c>
      <c r="T65" s="418">
        <f>(H65/Population_Tables!U41)*Population_Tables!I100</f>
        <v>0</v>
      </c>
      <c r="U65" s="418">
        <f>(I65/Population_Tables!V41)*Population_Tables!J100</f>
        <v>0</v>
      </c>
      <c r="V65" s="418">
        <f>(J65/Population_Tables!W41)*Population_Tables!K100</f>
        <v>0</v>
      </c>
      <c r="W65" s="418">
        <f>(K65/Population_Tables!X41)*Population_Tables!L100</f>
        <v>0</v>
      </c>
      <c r="Y65" s="456">
        <v>2052</v>
      </c>
      <c r="Z65" s="459">
        <f>((B65/Population_Tables!O41)*Population_Tables!C41)-N65</f>
        <v>38847.870703143722</v>
      </c>
      <c r="AA65" s="459">
        <f>((C65/Population_Tables!P41)*Population_Tables!D41)-O65</f>
        <v>13775.430785062259</v>
      </c>
      <c r="AB65" s="459">
        <f>((D65/Population_Tables!Q41)*Population_Tables!E41)-P65</f>
        <v>3544.8174877974407</v>
      </c>
      <c r="AC65" s="459">
        <f>((E65/Population_Tables!R41)*Population_Tables!F41)-Q65</f>
        <v>18240.025036199375</v>
      </c>
      <c r="AD65" s="459">
        <f>((F65/Population_Tables!S41)*Population_Tables!G41)-R65</f>
        <v>3081.8082388421708</v>
      </c>
      <c r="AE65" s="459">
        <f>((G65/Population_Tables!T41)*Population_Tables!H41)-S65</f>
        <v>4011.1135159602809</v>
      </c>
      <c r="AF65" s="459">
        <f>(H65/Population_Tables!U41)*Population_Tables!I41</f>
        <v>12190.530331695243</v>
      </c>
      <c r="AG65" s="459">
        <f>(I65/Population_Tables!V41)*Population_Tables!J41</f>
        <v>8085.8904657418288</v>
      </c>
      <c r="AH65" s="459">
        <f>(J65/Population_Tables!W41)*Population_Tables!K41</f>
        <v>4935.7477611282029</v>
      </c>
      <c r="AI65" s="459">
        <f>(K65/Population_Tables!X41)*Population_Tables!L41</f>
        <v>5861.4336568130402</v>
      </c>
      <c r="AK65" s="456">
        <v>2052</v>
      </c>
      <c r="AL65" s="459">
        <f t="shared" si="6"/>
        <v>54107.253473831923</v>
      </c>
      <c r="AM65" s="459">
        <f t="shared" si="8"/>
        <v>13775.430785062259</v>
      </c>
      <c r="AN65" s="459">
        <f t="shared" si="9"/>
        <v>3544.8174877974407</v>
      </c>
      <c r="AO65" s="459">
        <f t="shared" si="10"/>
        <v>26489.265211775426</v>
      </c>
      <c r="AP65" s="459">
        <f t="shared" si="11"/>
        <v>8393.7191216424635</v>
      </c>
      <c r="AQ65" s="459">
        <f t="shared" si="12"/>
        <v>5709.3452282721428</v>
      </c>
      <c r="AR65" s="459">
        <f t="shared" si="13"/>
        <v>12190.530331695243</v>
      </c>
      <c r="AS65" s="459">
        <f t="shared" si="14"/>
        <v>8085.8904657418288</v>
      </c>
      <c r="AT65" s="459">
        <f t="shared" si="15"/>
        <v>4935.7477611282029</v>
      </c>
      <c r="AU65" s="459">
        <f t="shared" si="16"/>
        <v>5861.4336568130402</v>
      </c>
      <c r="AW65" s="216">
        <f>(B65/Population_Tables!O41)*Population_Tables!C41</f>
        <v>54107.253473831923</v>
      </c>
      <c r="AX65" s="153" t="str">
        <f t="shared" si="7"/>
        <v>OK</v>
      </c>
      <c r="AY65" s="421">
        <f t="shared" si="4"/>
        <v>57912.577834549724</v>
      </c>
      <c r="AZ65" s="153" t="b">
        <f t="shared" si="5"/>
        <v>0</v>
      </c>
      <c r="BB65" s="216">
        <f>(C65/Population_Tables!P41)*Population_Tables!D41</f>
        <v>13775.430785062259</v>
      </c>
      <c r="BC65" s="216">
        <f>(D65/Population_Tables!Q41)*Population_Tables!E41</f>
        <v>3544.8174877974407</v>
      </c>
      <c r="BD65" s="216">
        <f>(E65/Population_Tables!R41)*Population_Tables!F41</f>
        <v>26489.265211775422</v>
      </c>
      <c r="BE65" s="216">
        <f>(F65/Population_Tables!S41)*Population_Tables!G41</f>
        <v>8393.7191216424635</v>
      </c>
      <c r="BF65" s="216">
        <f>(G65/Population_Tables!T41)*Population_Tables!H41</f>
        <v>5709.3452282721428</v>
      </c>
      <c r="BG65" s="216"/>
      <c r="BN65" s="216"/>
      <c r="BO65" s="216"/>
      <c r="BP65" s="216"/>
    </row>
    <row r="66" spans="1:68" ht="15.6" x14ac:dyDescent="0.3">
      <c r="A66" s="194">
        <v>2053</v>
      </c>
      <c r="B66" s="229">
        <v>49886.787020506534</v>
      </c>
      <c r="C66" s="229">
        <v>12793.782267465907</v>
      </c>
      <c r="D66" s="229">
        <v>3272.9396804696726</v>
      </c>
      <c r="E66" s="229">
        <v>24433.642231423692</v>
      </c>
      <c r="F66" s="229">
        <v>7953.2578695826896</v>
      </c>
      <c r="G66" s="229">
        <v>5207.7192167047824</v>
      </c>
      <c r="H66" s="229">
        <v>11319.44651229207</v>
      </c>
      <c r="I66" s="229">
        <v>7540.5143141892022</v>
      </c>
      <c r="J66" s="229">
        <v>4614.7687160717014</v>
      </c>
      <c r="K66" s="229">
        <v>5408.9121716035443</v>
      </c>
      <c r="M66" s="194">
        <v>2053</v>
      </c>
      <c r="N66" s="419">
        <f t="shared" si="2"/>
        <v>15863.182923854292</v>
      </c>
      <c r="O66" s="418">
        <f>(C66/Population_Tables!P42)*Population_Tables!D101</f>
        <v>0</v>
      </c>
      <c r="P66" s="418">
        <f>(D66/Population_Tables!Q42)*Population_Tables!E101</f>
        <v>0</v>
      </c>
      <c r="Q66" s="418">
        <f>((E66-H66)/Population_Tables!R42)*Population_Tables!F101</f>
        <v>8578.2080437080804</v>
      </c>
      <c r="R66" s="418">
        <f>(F66/Population_Tables!S42)*Population_Tables!G101</f>
        <v>5532.6753891278286</v>
      </c>
      <c r="S66" s="418">
        <f>(G66/Population_Tables!T42)*Population_Tables!H101</f>
        <v>1752.2994910183836</v>
      </c>
      <c r="T66" s="418">
        <f>(H66/Population_Tables!U42)*Population_Tables!I101</f>
        <v>0</v>
      </c>
      <c r="U66" s="418">
        <f>(I66/Population_Tables!V42)*Population_Tables!J101</f>
        <v>0</v>
      </c>
      <c r="V66" s="418">
        <f>(J66/Population_Tables!W42)*Population_Tables!K101</f>
        <v>0</v>
      </c>
      <c r="W66" s="418">
        <f>(K66/Population_Tables!X42)*Population_Tables!L101</f>
        <v>0</v>
      </c>
      <c r="Y66" s="456">
        <v>2053</v>
      </c>
      <c r="Z66" s="459">
        <f>((B66/Population_Tables!O42)*Population_Tables!C42)-N66</f>
        <v>39263.544993256735</v>
      </c>
      <c r="AA66" s="459">
        <f>((C66/Population_Tables!P42)*Population_Tables!D42)-O66</f>
        <v>13924.208738347317</v>
      </c>
      <c r="AB66" s="459">
        <f>((D66/Population_Tables!Q42)*Population_Tables!E42)-P66</f>
        <v>3591.819692475427</v>
      </c>
      <c r="AC66" s="459">
        <f>((E66/Population_Tables!R42)*Population_Tables!F42)-Q66</f>
        <v>18553.051487450706</v>
      </c>
      <c r="AD66" s="459">
        <f>((F66/Population_Tables!S42)*Population_Tables!G42)-R66</f>
        <v>3193.7941882985497</v>
      </c>
      <c r="AE66" s="459">
        <f>((G66/Population_Tables!T42)*Population_Tables!H42)-S66</f>
        <v>4121.0505657756366</v>
      </c>
      <c r="AF66" s="459">
        <f>(H66/Population_Tables!U42)*Population_Tables!I42</f>
        <v>12315.502168144385</v>
      </c>
      <c r="AG66" s="459">
        <f>(I66/Population_Tables!V42)*Population_Tables!J42</f>
        <v>8357.8044854654454</v>
      </c>
      <c r="AH66" s="459">
        <f>(J66/Population_Tables!W42)*Population_Tables!K42</f>
        <v>5013.25887766091</v>
      </c>
      <c r="AI66" s="459">
        <f>(K66/Population_Tables!X42)*Population_Tables!L42</f>
        <v>5926.613389420977</v>
      </c>
      <c r="AK66" s="456">
        <v>2053</v>
      </c>
      <c r="AL66" s="459">
        <f t="shared" si="6"/>
        <v>55126.727917111028</v>
      </c>
      <c r="AM66" s="459">
        <f t="shared" si="8"/>
        <v>13924.208738347317</v>
      </c>
      <c r="AN66" s="459">
        <f t="shared" si="9"/>
        <v>3591.819692475427</v>
      </c>
      <c r="AO66" s="459">
        <f t="shared" si="10"/>
        <v>27131.259531158787</v>
      </c>
      <c r="AP66" s="459">
        <f t="shared" si="11"/>
        <v>8726.4695774263782</v>
      </c>
      <c r="AQ66" s="459">
        <f t="shared" si="12"/>
        <v>5873.35005679402</v>
      </c>
      <c r="AR66" s="459">
        <f t="shared" si="13"/>
        <v>12315.502168144385</v>
      </c>
      <c r="AS66" s="459">
        <f t="shared" si="14"/>
        <v>8357.8044854654454</v>
      </c>
      <c r="AT66" s="459">
        <f t="shared" si="15"/>
        <v>5013.25887766091</v>
      </c>
      <c r="AU66" s="459">
        <f t="shared" si="16"/>
        <v>5926.613389420977</v>
      </c>
      <c r="AW66" s="216">
        <f>(B66/Population_Tables!O42)*Population_Tables!C42</f>
        <v>55126.727917111028</v>
      </c>
      <c r="AX66" s="153" t="str">
        <f t="shared" si="7"/>
        <v>OK</v>
      </c>
      <c r="AY66" s="421">
        <f t="shared" si="4"/>
        <v>59247.107596201939</v>
      </c>
      <c r="AZ66" s="153" t="str">
        <f t="shared" si="5"/>
        <v>OK</v>
      </c>
      <c r="BB66" s="216">
        <f>(C66/Population_Tables!P42)*Population_Tables!D42</f>
        <v>13924.208738347317</v>
      </c>
      <c r="BC66" s="216">
        <f>(D66/Population_Tables!Q42)*Population_Tables!E42</f>
        <v>3591.819692475427</v>
      </c>
      <c r="BD66" s="216">
        <f>(E66/Population_Tables!R42)*Population_Tables!F42</f>
        <v>27131.259531158787</v>
      </c>
      <c r="BE66" s="216">
        <f>(F66/Population_Tables!S42)*Population_Tables!G42</f>
        <v>8726.4695774263782</v>
      </c>
      <c r="BF66" s="216">
        <f>(G66/Population_Tables!T42)*Population_Tables!H42</f>
        <v>5873.35005679402</v>
      </c>
      <c r="BG66" s="216"/>
      <c r="BN66" s="216"/>
      <c r="BO66" s="216"/>
      <c r="BP66" s="216"/>
    </row>
    <row r="67" spans="1:68" ht="15.6" x14ac:dyDescent="0.3">
      <c r="A67" s="194">
        <v>2054</v>
      </c>
      <c r="B67" s="229">
        <v>50617.965587450439</v>
      </c>
      <c r="C67" s="229">
        <v>12887.684875446381</v>
      </c>
      <c r="D67" s="229">
        <v>3301.7755932824257</v>
      </c>
      <c r="E67" s="229">
        <v>24910.926962267316</v>
      </c>
      <c r="F67" s="229">
        <v>8235.633162571954</v>
      </c>
      <c r="G67" s="229">
        <v>5329.4486810741564</v>
      </c>
      <c r="H67" s="229">
        <v>11392.764918446126</v>
      </c>
      <c r="I67" s="229">
        <v>7755.2181677803119</v>
      </c>
      <c r="J67" s="229">
        <v>4672.6703014695431</v>
      </c>
      <c r="K67" s="229">
        <v>5448.701206411386</v>
      </c>
      <c r="M67" s="194">
        <v>2054</v>
      </c>
      <c r="N67" s="419">
        <f t="shared" si="2"/>
        <v>16487.886081681656</v>
      </c>
      <c r="O67" s="418">
        <f>(C67/Population_Tables!P43)*Population_Tables!D102</f>
        <v>0</v>
      </c>
      <c r="P67" s="418">
        <f>(D67/Population_Tables!Q43)*Population_Tables!E102</f>
        <v>0</v>
      </c>
      <c r="Q67" s="418">
        <f>((E67-H67)/Population_Tables!R43)*Population_Tables!F102</f>
        <v>8918.8959270848209</v>
      </c>
      <c r="R67" s="418">
        <f>(F67/Population_Tables!S43)*Population_Tables!G102</f>
        <v>5761.3134930400229</v>
      </c>
      <c r="S67" s="418">
        <f>(G67/Population_Tables!T43)*Population_Tables!H102</f>
        <v>1807.676661556811</v>
      </c>
      <c r="T67" s="418">
        <f>(H67/Population_Tables!U43)*Population_Tables!I102</f>
        <v>0</v>
      </c>
      <c r="U67" s="418">
        <f>(I67/Population_Tables!V43)*Population_Tables!J102</f>
        <v>0</v>
      </c>
      <c r="V67" s="418">
        <f>(J67/Population_Tables!W43)*Population_Tables!K102</f>
        <v>0</v>
      </c>
      <c r="W67" s="418">
        <f>(K67/Population_Tables!X43)*Population_Tables!L102</f>
        <v>0</v>
      </c>
      <c r="Y67" s="456">
        <v>2054</v>
      </c>
      <c r="Z67" s="459">
        <f>((B67/Population_Tables!O43)*Population_Tables!C43)-N67</f>
        <v>39685.4880842602</v>
      </c>
      <c r="AA67" s="459">
        <f>((C67/Population_Tables!P43)*Population_Tables!D43)-O67</f>
        <v>14074.214410126877</v>
      </c>
      <c r="AB67" s="459">
        <f>((D67/Population_Tables!Q43)*Population_Tables!E43)-P67</f>
        <v>3638.707521413874</v>
      </c>
      <c r="AC67" s="459">
        <f>((E67/Population_Tables!R43)*Population_Tables!F43)-Q67</f>
        <v>18872.085186213531</v>
      </c>
      <c r="AD67" s="459">
        <f>((F67/Population_Tables!S43)*Population_Tables!G43)-R67</f>
        <v>3309.3552905025463</v>
      </c>
      <c r="AE67" s="459">
        <f>((G67/Population_Tables!T43)*Population_Tables!H43)-S67</f>
        <v>4233.0146710322351</v>
      </c>
      <c r="AF67" s="459">
        <f>(H67/Population_Tables!U43)*Population_Tables!I43</f>
        <v>12441.9854520842</v>
      </c>
      <c r="AG67" s="459">
        <f>(I67/Population_Tables!V43)*Population_Tables!J43</f>
        <v>8635.7948214466287</v>
      </c>
      <c r="AH67" s="459">
        <f>(J67/Population_Tables!W43)*Population_Tables!K43</f>
        <v>5093.9702808962029</v>
      </c>
      <c r="AI67" s="459">
        <f>(K67/Population_Tables!X43)*Population_Tables!L43</f>
        <v>5992.0032650606372</v>
      </c>
      <c r="AK67" s="456">
        <v>2054</v>
      </c>
      <c r="AL67" s="459">
        <f t="shared" si="6"/>
        <v>56173.374165941859</v>
      </c>
      <c r="AM67" s="459">
        <f t="shared" si="8"/>
        <v>14074.214410126877</v>
      </c>
      <c r="AN67" s="459">
        <f t="shared" si="9"/>
        <v>3638.707521413874</v>
      </c>
      <c r="AO67" s="459">
        <f t="shared" si="10"/>
        <v>27790.981113298352</v>
      </c>
      <c r="AP67" s="459">
        <f t="shared" si="11"/>
        <v>9070.6687835425691</v>
      </c>
      <c r="AQ67" s="459">
        <f t="shared" si="12"/>
        <v>6040.6913325890464</v>
      </c>
      <c r="AR67" s="459">
        <f t="shared" si="13"/>
        <v>12441.9854520842</v>
      </c>
      <c r="AS67" s="459">
        <f t="shared" si="14"/>
        <v>8635.7948214466287</v>
      </c>
      <c r="AT67" s="459">
        <f t="shared" si="15"/>
        <v>5093.9702808962029</v>
      </c>
      <c r="AU67" s="459">
        <f t="shared" si="16"/>
        <v>5992.0032650606372</v>
      </c>
      <c r="AW67" s="216">
        <f>(B67/Population_Tables!O43)*Population_Tables!C43</f>
        <v>56173.374165941859</v>
      </c>
      <c r="AX67" s="153" t="str">
        <f t="shared" si="7"/>
        <v>OK</v>
      </c>
      <c r="AY67" s="421">
        <f t="shared" si="4"/>
        <v>60615.263160970717</v>
      </c>
      <c r="AZ67" s="153" t="str">
        <f t="shared" si="5"/>
        <v>OK</v>
      </c>
      <c r="BB67" s="216">
        <f>(C67/Population_Tables!P43)*Population_Tables!D43</f>
        <v>14074.214410126877</v>
      </c>
      <c r="BC67" s="216">
        <f>(D67/Population_Tables!Q43)*Population_Tables!E43</f>
        <v>3638.707521413874</v>
      </c>
      <c r="BD67" s="216">
        <f>(E67/Population_Tables!R43)*Population_Tables!F43</f>
        <v>27790.981113298352</v>
      </c>
      <c r="BE67" s="216">
        <f>(F67/Population_Tables!S43)*Population_Tables!G43</f>
        <v>9070.6687835425691</v>
      </c>
      <c r="BF67" s="216">
        <f>(G67/Population_Tables!T43)*Population_Tables!H43</f>
        <v>6040.6913325890464</v>
      </c>
      <c r="BG67" s="216"/>
      <c r="BN67" s="216"/>
      <c r="BO67" s="216"/>
      <c r="BP67" s="216"/>
    </row>
    <row r="68" spans="1:68" ht="15.6" x14ac:dyDescent="0.3">
      <c r="A68" s="194">
        <v>2055</v>
      </c>
      <c r="B68" s="229">
        <v>51362.16663427974</v>
      </c>
      <c r="C68" s="229">
        <v>12980.516252827281</v>
      </c>
      <c r="D68" s="229">
        <v>3329.7966737792021</v>
      </c>
      <c r="E68" s="229">
        <v>25396.323160397536</v>
      </c>
      <c r="F68" s="229">
        <v>8525.7411653937288</v>
      </c>
      <c r="G68" s="229">
        <v>5452.1645432277619</v>
      </c>
      <c r="H68" s="229">
        <v>11465.84414795414</v>
      </c>
      <c r="I68" s="229">
        <v>7972.0869471695905</v>
      </c>
      <c r="J68" s="229">
        <v>4732.6416350565123</v>
      </c>
      <c r="K68" s="229">
        <v>5487.6806622891636</v>
      </c>
      <c r="M68" s="194">
        <v>2055</v>
      </c>
      <c r="N68" s="419">
        <f t="shared" si="2"/>
        <v>17134.018122465459</v>
      </c>
      <c r="O68" s="418">
        <f>(C68/Population_Tables!P44)*Population_Tables!D103</f>
        <v>0</v>
      </c>
      <c r="P68" s="418">
        <f>(D68/Population_Tables!Q44)*Population_Tables!E103</f>
        <v>0</v>
      </c>
      <c r="Q68" s="418">
        <f>((E68-H68)/Population_Tables!R44)*Population_Tables!F103</f>
        <v>9271.6007467387244</v>
      </c>
      <c r="R68" s="418">
        <f>(F68/Population_Tables!S44)*Population_Tables!G103</f>
        <v>5998.0350096195234</v>
      </c>
      <c r="S68" s="418">
        <f>(G68/Population_Tables!T44)*Population_Tables!H103</f>
        <v>1864.3823661072113</v>
      </c>
      <c r="T68" s="418">
        <f>(H68/Population_Tables!U44)*Population_Tables!I103</f>
        <v>0</v>
      </c>
      <c r="U68" s="418">
        <f>(I68/Population_Tables!V44)*Population_Tables!J103</f>
        <v>0</v>
      </c>
      <c r="V68" s="418">
        <f>(J68/Population_Tables!W44)*Population_Tables!K103</f>
        <v>0</v>
      </c>
      <c r="W68" s="418">
        <f>(K68/Population_Tables!X44)*Population_Tables!L103</f>
        <v>0</v>
      </c>
      <c r="Y68" s="456">
        <v>2055</v>
      </c>
      <c r="Z68" s="459">
        <f>((B68/Population_Tables!O44)*Population_Tables!C44)-N68</f>
        <v>40114.419035090134</v>
      </c>
      <c r="AA68" s="459">
        <f>((C68/Population_Tables!P44)*Population_Tables!D44)-O68</f>
        <v>14225.42976779234</v>
      </c>
      <c r="AB68" s="459">
        <f>((D68/Population_Tables!Q44)*Population_Tables!E44)-P68</f>
        <v>3685.440739546651</v>
      </c>
      <c r="AC68" s="459">
        <f>((E68/Population_Tables!R44)*Population_Tables!F44)-Q68</f>
        <v>19197.551184449261</v>
      </c>
      <c r="AD68" s="459">
        <f>((F68/Population_Tables!S44)*Population_Tables!G44)-R68</f>
        <v>3428.5629547893932</v>
      </c>
      <c r="AE68" s="459">
        <f>((G68/Population_Tables!T44)*Population_Tables!H44)-S68</f>
        <v>4347.0218001855246</v>
      </c>
      <c r="AF68" s="459">
        <f>(H68/Population_Tables!U44)*Population_Tables!I44</f>
        <v>12570.329729707031</v>
      </c>
      <c r="AG68" s="459">
        <f>(I68/Population_Tables!V44)*Population_Tables!J44</f>
        <v>8919.8951193786288</v>
      </c>
      <c r="AH68" s="459">
        <f>(J68/Population_Tables!W44)*Population_Tables!K44</f>
        <v>5178.0249131259998</v>
      </c>
      <c r="AI68" s="459">
        <f>(K68/Population_Tables!X44)*Population_Tables!L44</f>
        <v>6057.5268516695069</v>
      </c>
      <c r="AK68" s="456">
        <v>2055</v>
      </c>
      <c r="AL68" s="459">
        <f t="shared" si="6"/>
        <v>57248.437157555592</v>
      </c>
      <c r="AM68" s="459">
        <f t="shared" si="8"/>
        <v>14225.42976779234</v>
      </c>
      <c r="AN68" s="459">
        <f t="shared" si="9"/>
        <v>3685.440739546651</v>
      </c>
      <c r="AO68" s="459">
        <f t="shared" si="10"/>
        <v>28469.151931187986</v>
      </c>
      <c r="AP68" s="459">
        <f t="shared" si="11"/>
        <v>9426.5979644089166</v>
      </c>
      <c r="AQ68" s="459">
        <f t="shared" si="12"/>
        <v>6211.4041662927357</v>
      </c>
      <c r="AR68" s="459">
        <f t="shared" si="13"/>
        <v>12570.329729707031</v>
      </c>
      <c r="AS68" s="459">
        <f t="shared" si="14"/>
        <v>8919.8951193786288</v>
      </c>
      <c r="AT68" s="459">
        <f t="shared" si="15"/>
        <v>5178.0249131259998</v>
      </c>
      <c r="AU68" s="459">
        <f t="shared" si="16"/>
        <v>6057.5268516695069</v>
      </c>
      <c r="AW68" s="216">
        <f>(B68/Population_Tables!O44)*Population_Tables!C44</f>
        <v>57248.437157555592</v>
      </c>
      <c r="AX68" s="153" t="str">
        <f t="shared" si="7"/>
        <v>OK</v>
      </c>
      <c r="AY68" s="421">
        <f t="shared" si="4"/>
        <v>62018.024569228626</v>
      </c>
      <c r="AZ68" s="153" t="str">
        <f t="shared" si="5"/>
        <v>OK</v>
      </c>
      <c r="BB68" s="216">
        <f>(C68/Population_Tables!P44)*Population_Tables!D44</f>
        <v>14225.42976779234</v>
      </c>
      <c r="BC68" s="216">
        <f>(D68/Population_Tables!Q44)*Population_Tables!E44</f>
        <v>3685.440739546651</v>
      </c>
      <c r="BD68" s="216">
        <f>(E68/Population_Tables!R44)*Population_Tables!F44</f>
        <v>28469.151931187986</v>
      </c>
      <c r="BE68" s="216">
        <f>(F68/Population_Tables!S44)*Population_Tables!G44</f>
        <v>9426.5979644089166</v>
      </c>
      <c r="BF68" s="216">
        <f>(G68/Population_Tables!T44)*Population_Tables!H44</f>
        <v>6211.4041662927357</v>
      </c>
      <c r="BG68" s="216"/>
      <c r="BN68" s="216"/>
      <c r="BO68" s="216"/>
      <c r="BP68" s="216"/>
    </row>
    <row r="69" spans="1:68" ht="15.6" x14ac:dyDescent="0.3">
      <c r="A69" s="194">
        <v>2056</v>
      </c>
      <c r="B69" s="229">
        <v>52120.183315278831</v>
      </c>
      <c r="C69" s="229">
        <v>13072.149439504452</v>
      </c>
      <c r="D69" s="229">
        <v>3356.9550781091621</v>
      </c>
      <c r="E69" s="229">
        <v>25890.214345542656</v>
      </c>
      <c r="F69" s="229">
        <v>8823.6972115771314</v>
      </c>
      <c r="G69" s="229">
        <v>5575.8246520280809</v>
      </c>
      <c r="H69" s="229">
        <v>11538.965440769385</v>
      </c>
      <c r="I69" s="229">
        <v>8191.0779620515077</v>
      </c>
      <c r="J69" s="229">
        <v>4794.7379103704134</v>
      </c>
      <c r="K69" s="229">
        <v>5525.755283311908</v>
      </c>
      <c r="M69" s="194">
        <v>2056</v>
      </c>
      <c r="N69" s="419">
        <f t="shared" si="2"/>
        <v>17802.195020559062</v>
      </c>
      <c r="O69" s="418">
        <f>(C69/Population_Tables!P45)*Population_Tables!D104</f>
        <v>0</v>
      </c>
      <c r="P69" s="418">
        <f>(D69/Population_Tables!Q45)*Population_Tables!E104</f>
        <v>0</v>
      </c>
      <c r="Q69" s="418">
        <f>((E69-H69)/Population_Tables!R45)*Population_Tables!F104</f>
        <v>9636.7017481105759</v>
      </c>
      <c r="R69" s="418">
        <f>(F69/Population_Tables!S45)*Population_Tables!G104</f>
        <v>6243.0550667035523</v>
      </c>
      <c r="S69" s="418">
        <f>(G69/Population_Tables!T45)*Population_Tables!H104</f>
        <v>1922.4382057449327</v>
      </c>
      <c r="T69" s="418">
        <f>(H69/Population_Tables!U45)*Population_Tables!I104</f>
        <v>0</v>
      </c>
      <c r="U69" s="418">
        <f>(I69/Population_Tables!V45)*Population_Tables!J104</f>
        <v>0</v>
      </c>
      <c r="V69" s="418">
        <f>(J69/Population_Tables!W45)*Population_Tables!K104</f>
        <v>0</v>
      </c>
      <c r="W69" s="418">
        <f>(K69/Population_Tables!X45)*Population_Tables!L104</f>
        <v>0</v>
      </c>
      <c r="Y69" s="456">
        <v>2056</v>
      </c>
      <c r="Z69" s="459">
        <f>((B69/Population_Tables!O45)*Population_Tables!C45)-N69</f>
        <v>40551.122260012628</v>
      </c>
      <c r="AA69" s="459">
        <f>((C69/Population_Tables!P45)*Population_Tables!D45)-O69</f>
        <v>14377.801609298038</v>
      </c>
      <c r="AB69" s="459">
        <f>((D69/Population_Tables!Q45)*Population_Tables!E45)-P69</f>
        <v>3731.9779114969779</v>
      </c>
      <c r="AC69" s="459">
        <f>((E69/Population_Tables!R45)*Population_Tables!F45)-Q69</f>
        <v>19529.924468894198</v>
      </c>
      <c r="AD69" s="459">
        <f>((F69/Population_Tables!S45)*Population_Tables!G45)-R69</f>
        <v>3551.5021791465742</v>
      </c>
      <c r="AE69" s="459">
        <f>((G69/Population_Tables!T45)*Population_Tables!H45)-S69</f>
        <v>4463.0952378662587</v>
      </c>
      <c r="AF69" s="459">
        <f>(H69/Population_Tables!U45)*Population_Tables!I45</f>
        <v>12700.911422323896</v>
      </c>
      <c r="AG69" s="459">
        <f>(I69/Population_Tables!V45)*Population_Tables!J45</f>
        <v>9210.202436936579</v>
      </c>
      <c r="AH69" s="459">
        <f>(J69/Population_Tables!W45)*Population_Tables!K45</f>
        <v>5265.5590748487557</v>
      </c>
      <c r="AI69" s="459">
        <f>(K69/Population_Tables!X45)*Population_Tables!L45</f>
        <v>6123.0996854115883</v>
      </c>
      <c r="AK69" s="456">
        <v>2056</v>
      </c>
      <c r="AL69" s="459">
        <f t="shared" si="6"/>
        <v>58353.317280571689</v>
      </c>
      <c r="AM69" s="459">
        <f t="shared" si="8"/>
        <v>14377.801609298038</v>
      </c>
      <c r="AN69" s="459">
        <f t="shared" si="9"/>
        <v>3731.9779114969779</v>
      </c>
      <c r="AO69" s="459">
        <f t="shared" si="10"/>
        <v>29166.626217004774</v>
      </c>
      <c r="AP69" s="459">
        <f t="shared" si="11"/>
        <v>9794.5572458501265</v>
      </c>
      <c r="AQ69" s="459">
        <f t="shared" si="12"/>
        <v>6385.5334436111916</v>
      </c>
      <c r="AR69" s="459">
        <f t="shared" si="13"/>
        <v>12700.911422323896</v>
      </c>
      <c r="AS69" s="459">
        <f t="shared" si="14"/>
        <v>9210.202436936579</v>
      </c>
      <c r="AT69" s="459">
        <f t="shared" si="15"/>
        <v>5265.5590748487557</v>
      </c>
      <c r="AU69" s="459">
        <f t="shared" si="16"/>
        <v>6123.0996854115883</v>
      </c>
      <c r="AW69" s="216">
        <f>(B69/Population_Tables!O45)*Population_Tables!C45</f>
        <v>58353.317280571689</v>
      </c>
      <c r="AX69" s="153" t="str">
        <f t="shared" si="7"/>
        <v>OK</v>
      </c>
      <c r="AY69" s="421">
        <f t="shared" si="4"/>
        <v>63456.496427261111</v>
      </c>
      <c r="AZ69" s="153" t="str">
        <f t="shared" si="5"/>
        <v>OK</v>
      </c>
      <c r="BB69" s="216">
        <f>(C69/Population_Tables!P45)*Population_Tables!D45</f>
        <v>14377.801609298038</v>
      </c>
      <c r="BC69" s="216">
        <f>(D69/Population_Tables!Q45)*Population_Tables!E45</f>
        <v>3731.9779114969779</v>
      </c>
      <c r="BD69" s="216">
        <f>(E69/Population_Tables!R45)*Population_Tables!F45</f>
        <v>29166.626217004774</v>
      </c>
      <c r="BE69" s="216">
        <f>(F69/Population_Tables!S45)*Population_Tables!G45</f>
        <v>9794.5572458501265</v>
      </c>
      <c r="BF69" s="216">
        <f>(G69/Population_Tables!T45)*Population_Tables!H45</f>
        <v>6385.5334436111916</v>
      </c>
      <c r="BG69" s="216"/>
      <c r="BN69" s="216"/>
      <c r="BO69" s="216"/>
      <c r="BP69" s="216"/>
    </row>
    <row r="70" spans="1:68" ht="15.6" x14ac:dyDescent="0.3">
      <c r="A70" s="194">
        <v>2057</v>
      </c>
      <c r="B70" s="229">
        <v>52892.808784732122</v>
      </c>
      <c r="C70" s="229">
        <v>13162.457475373734</v>
      </c>
      <c r="D70" s="229">
        <v>3383.2029624214661</v>
      </c>
      <c r="E70" s="229">
        <v>26392.984037430972</v>
      </c>
      <c r="F70" s="229">
        <v>9129.616634651291</v>
      </c>
      <c r="G70" s="229">
        <v>5700.3868563375945</v>
      </c>
      <c r="H70" s="229">
        <v>11612.410036845144</v>
      </c>
      <c r="I70" s="229">
        <v>8412.148522120533</v>
      </c>
      <c r="J70" s="229">
        <v>4859.0143209490543</v>
      </c>
      <c r="K70" s="229">
        <v>5562.8298135546493</v>
      </c>
      <c r="M70" s="194">
        <v>2057</v>
      </c>
      <c r="N70" s="419">
        <f t="shared" si="2"/>
        <v>18493.004749056869</v>
      </c>
      <c r="O70" s="418">
        <f>(C70/Population_Tables!P46)*Population_Tables!D105</f>
        <v>0</v>
      </c>
      <c r="P70" s="418">
        <f>(D70/Population_Tables!Q46)*Population_Tables!E105</f>
        <v>0</v>
      </c>
      <c r="Q70" s="418">
        <f>((E70-H70)/Population_Tables!R46)*Population_Tables!F105</f>
        <v>10014.559602736315</v>
      </c>
      <c r="R70" s="418">
        <f>(F70/Population_Tables!S46)*Population_Tables!G105</f>
        <v>6496.5809597911748</v>
      </c>
      <c r="S70" s="418">
        <f>(G70/Population_Tables!T46)*Population_Tables!H105</f>
        <v>1981.8641865293807</v>
      </c>
      <c r="T70" s="418">
        <f>(H70/Population_Tables!U46)*Population_Tables!I105</f>
        <v>0</v>
      </c>
      <c r="U70" s="418">
        <f>(I70/Population_Tables!V46)*Population_Tables!J105</f>
        <v>0</v>
      </c>
      <c r="V70" s="418">
        <f>(J70/Population_Tables!W46)*Population_Tables!K105</f>
        <v>0</v>
      </c>
      <c r="W70" s="418">
        <f>(K70/Population_Tables!X46)*Population_Tables!L105</f>
        <v>0</v>
      </c>
      <c r="Y70" s="456">
        <v>2057</v>
      </c>
      <c r="Z70" s="459">
        <f>((B70/Population_Tables!O46)*Population_Tables!C46)-N70</f>
        <v>40996.334379659274</v>
      </c>
      <c r="AA70" s="459">
        <f>((C70/Population_Tables!P46)*Population_Tables!D46)-O70</f>
        <v>14531.226079519671</v>
      </c>
      <c r="AB70" s="459">
        <f>((D70/Population_Tables!Q46)*Population_Tables!E46)-P70</f>
        <v>3778.2745157514419</v>
      </c>
      <c r="AC70" s="459">
        <f>((E70/Population_Tables!R46)*Population_Tables!F46)-Q70</f>
        <v>19869.659403906837</v>
      </c>
      <c r="AD70" s="459">
        <f>((F70/Population_Tables!S46)*Population_Tables!G46)-R70</f>
        <v>3678.2613185701912</v>
      </c>
      <c r="AE70" s="459">
        <f>((G70/Population_Tables!T46)*Population_Tables!H46)-S70</f>
        <v>4581.250799254216</v>
      </c>
      <c r="AF70" s="459">
        <f>(H70/Population_Tables!U46)*Population_Tables!I46</f>
        <v>12834.110110977455</v>
      </c>
      <c r="AG70" s="459">
        <f>(I70/Population_Tables!V46)*Population_Tables!J46</f>
        <v>9506.78409062842</v>
      </c>
      <c r="AH70" s="459">
        <f>(J70/Population_Tables!W46)*Population_Tables!K46</f>
        <v>5356.7008997925095</v>
      </c>
      <c r="AI70" s="459">
        <f>(K70/Population_Tables!X46)*Population_Tables!L46</f>
        <v>6188.6128078980873</v>
      </c>
      <c r="AK70" s="456">
        <v>2057</v>
      </c>
      <c r="AL70" s="459">
        <f t="shared" si="6"/>
        <v>59489.339128716143</v>
      </c>
      <c r="AM70" s="459">
        <f t="shared" si="8"/>
        <v>14531.226079519671</v>
      </c>
      <c r="AN70" s="459">
        <f t="shared" si="9"/>
        <v>3778.2745157514419</v>
      </c>
      <c r="AO70" s="459">
        <f t="shared" si="10"/>
        <v>29884.21900664315</v>
      </c>
      <c r="AP70" s="459">
        <f t="shared" si="11"/>
        <v>10174.842278361366</v>
      </c>
      <c r="AQ70" s="459">
        <f t="shared" si="12"/>
        <v>6563.1149857835971</v>
      </c>
      <c r="AR70" s="459">
        <f t="shared" si="13"/>
        <v>12834.110110977455</v>
      </c>
      <c r="AS70" s="459">
        <f t="shared" si="14"/>
        <v>9506.78409062842</v>
      </c>
      <c r="AT70" s="459">
        <f t="shared" si="15"/>
        <v>5356.7008997925095</v>
      </c>
      <c r="AU70" s="459">
        <f t="shared" si="16"/>
        <v>6188.6128078980873</v>
      </c>
      <c r="AW70" s="216">
        <f>(B70/Population_Tables!O46)*Population_Tables!C46</f>
        <v>59489.339128716143</v>
      </c>
      <c r="AX70" s="153" t="str">
        <f t="shared" si="7"/>
        <v>OK</v>
      </c>
      <c r="AY70" s="421">
        <f t="shared" si="4"/>
        <v>64931.676866059235</v>
      </c>
      <c r="AZ70" s="153" t="b">
        <f t="shared" si="5"/>
        <v>0</v>
      </c>
      <c r="BB70" s="216">
        <f>(C70/Population_Tables!P46)*Population_Tables!D46</f>
        <v>14531.226079519671</v>
      </c>
      <c r="BC70" s="216">
        <f>(D70/Population_Tables!Q46)*Population_Tables!E46</f>
        <v>3778.2745157514419</v>
      </c>
      <c r="BD70" s="216">
        <f>(E70/Population_Tables!R46)*Population_Tables!F46</f>
        <v>29884.219006643154</v>
      </c>
      <c r="BE70" s="216">
        <f>(F70/Population_Tables!S46)*Population_Tables!G46</f>
        <v>10174.842278361366</v>
      </c>
      <c r="BF70" s="216">
        <f>(G70/Population_Tables!T46)*Population_Tables!H46</f>
        <v>6563.1149857835962</v>
      </c>
      <c r="BG70" s="216"/>
      <c r="BN70" s="216"/>
      <c r="BO70" s="216"/>
      <c r="BP70" s="216"/>
    </row>
    <row r="71" spans="1:68" ht="15.6" x14ac:dyDescent="0.3">
      <c r="A71" s="194">
        <v>2058</v>
      </c>
      <c r="B71" s="229">
        <v>53680.836196924007</v>
      </c>
      <c r="C71" s="229">
        <v>13251.313400330975</v>
      </c>
      <c r="D71" s="229">
        <v>3408.4924828652756</v>
      </c>
      <c r="E71" s="229">
        <v>26905.015755790784</v>
      </c>
      <c r="F71" s="229">
        <v>9443.614768145324</v>
      </c>
      <c r="G71" s="229">
        <v>5825.8090050187866</v>
      </c>
      <c r="H71" s="229">
        <v>11686.459176134689</v>
      </c>
      <c r="I71" s="229">
        <v>8635.2559370711351</v>
      </c>
      <c r="J71" s="229">
        <v>4925.5260603302386</v>
      </c>
      <c r="K71" s="229">
        <v>5598.8089970924211</v>
      </c>
      <c r="M71" s="194">
        <v>2058</v>
      </c>
      <c r="N71" s="419">
        <f t="shared" si="2"/>
        <v>19206.880196057937</v>
      </c>
      <c r="O71" s="418">
        <f>(C71/Population_Tables!P47)*Population_Tables!D106</f>
        <v>0</v>
      </c>
      <c r="P71" s="418">
        <f>(D71/Population_Tables!Q47)*Population_Tables!E106</f>
        <v>0</v>
      </c>
      <c r="Q71" s="418">
        <f>((E71-H71)/Population_Tables!R47)*Population_Tables!F106</f>
        <v>10405.404795547282</v>
      </c>
      <c r="R71" s="418">
        <f>(F71/Population_Tables!S47)*Population_Tables!G106</f>
        <v>6758.8026697833375</v>
      </c>
      <c r="S71" s="418">
        <f>(G71/Population_Tables!T47)*Population_Tables!H106</f>
        <v>2042.6727307273195</v>
      </c>
      <c r="T71" s="418">
        <f>(H71/Population_Tables!U47)*Population_Tables!I106</f>
        <v>0</v>
      </c>
      <c r="U71" s="418">
        <f>(I71/Population_Tables!V47)*Population_Tables!J106</f>
        <v>0</v>
      </c>
      <c r="V71" s="418">
        <f>(J71/Population_Tables!W47)*Population_Tables!K106</f>
        <v>0</v>
      </c>
      <c r="W71" s="418">
        <f>(K71/Population_Tables!X47)*Population_Tables!L106</f>
        <v>0</v>
      </c>
      <c r="Y71" s="456">
        <v>2058</v>
      </c>
      <c r="Z71" s="459">
        <f>((B71/Population_Tables!O47)*Population_Tables!C47)-N71</f>
        <v>41450.66040967263</v>
      </c>
      <c r="AA71" s="459">
        <f>((C71/Population_Tables!P47)*Population_Tables!D47)-O71</f>
        <v>14685.542213401088</v>
      </c>
      <c r="AB71" s="459">
        <f>((D71/Population_Tables!Q47)*Population_Tables!E47)-P71</f>
        <v>3824.2711902244505</v>
      </c>
      <c r="AC71" s="459">
        <f>((E71/Population_Tables!R47)*Population_Tables!F47)-Q71</f>
        <v>20217.133893269111</v>
      </c>
      <c r="AD71" s="459">
        <f>((F71/Population_Tables!S47)*Population_Tables!G47)-R71</f>
        <v>3808.920190352108</v>
      </c>
      <c r="AE71" s="459">
        <f>((G71/Population_Tables!T47)*Population_Tables!H47)-S71</f>
        <v>4701.4874237250579</v>
      </c>
      <c r="AF71" s="459">
        <f>(H71/Population_Tables!U47)*Population_Tables!I47</f>
        <v>12970.278477906246</v>
      </c>
      <c r="AG71" s="459">
        <f>(I71/Population_Tables!V47)*Population_Tables!J47</f>
        <v>9809.5847453434963</v>
      </c>
      <c r="AH71" s="459">
        <f>(J71/Population_Tables!W47)*Population_Tables!K47</f>
        <v>5451.5623456068161</v>
      </c>
      <c r="AI71" s="459">
        <f>(K71/Population_Tables!X47)*Population_Tables!L47</f>
        <v>6253.9261146782119</v>
      </c>
      <c r="AK71" s="456">
        <v>2058</v>
      </c>
      <c r="AL71" s="459">
        <f t="shared" si="6"/>
        <v>60657.540605730566</v>
      </c>
      <c r="AM71" s="459">
        <f t="shared" si="8"/>
        <v>14685.542213401088</v>
      </c>
      <c r="AN71" s="459">
        <f t="shared" si="9"/>
        <v>3824.2711902244505</v>
      </c>
      <c r="AO71" s="459">
        <f t="shared" si="10"/>
        <v>30622.538688816392</v>
      </c>
      <c r="AP71" s="459">
        <f t="shared" si="11"/>
        <v>10567.722860135445</v>
      </c>
      <c r="AQ71" s="459">
        <f t="shared" si="12"/>
        <v>6744.1601544523774</v>
      </c>
      <c r="AR71" s="459">
        <f t="shared" si="13"/>
        <v>12970.278477906246</v>
      </c>
      <c r="AS71" s="459">
        <f t="shared" si="14"/>
        <v>9809.5847453434963</v>
      </c>
      <c r="AT71" s="459">
        <f t="shared" si="15"/>
        <v>5451.5623456068161</v>
      </c>
      <c r="AU71" s="459">
        <f t="shared" si="16"/>
        <v>6253.9261146782119</v>
      </c>
      <c r="AW71" s="216">
        <f>(B71/Population_Tables!O47)*Population_Tables!C47</f>
        <v>60657.540605730566</v>
      </c>
      <c r="AX71" s="153" t="str">
        <f t="shared" si="7"/>
        <v>OK</v>
      </c>
      <c r="AY71" s="421">
        <f t="shared" si="4"/>
        <v>66444.235107029745</v>
      </c>
      <c r="AZ71" s="153" t="str">
        <f t="shared" si="5"/>
        <v>OK</v>
      </c>
      <c r="BB71" s="216">
        <f>(C71/Population_Tables!P47)*Population_Tables!D47</f>
        <v>14685.542213401088</v>
      </c>
      <c r="BC71" s="216">
        <f>(D71/Population_Tables!Q47)*Population_Tables!E47</f>
        <v>3824.2711902244505</v>
      </c>
      <c r="BD71" s="216">
        <f>(E71/Population_Tables!R47)*Population_Tables!F47</f>
        <v>30622.538688816392</v>
      </c>
      <c r="BE71" s="216">
        <f>(F71/Population_Tables!S47)*Population_Tables!G47</f>
        <v>10567.722860135445</v>
      </c>
      <c r="BF71" s="216">
        <f>(G71/Population_Tables!T47)*Population_Tables!H47</f>
        <v>6744.1601544523774</v>
      </c>
      <c r="BG71" s="216"/>
      <c r="BN71" s="216"/>
      <c r="BO71" s="216"/>
      <c r="BP71" s="216"/>
    </row>
    <row r="72" spans="1:68" ht="15.6" x14ac:dyDescent="0.3">
      <c r="A72" s="194">
        <v>2059</v>
      </c>
      <c r="B72" s="229">
        <v>54485.05870613888</v>
      </c>
      <c r="C72" s="229">
        <v>13338.590254272014</v>
      </c>
      <c r="D72" s="229">
        <v>3432.7757955897505</v>
      </c>
      <c r="E72" s="229">
        <v>27426.693020350402</v>
      </c>
      <c r="F72" s="229">
        <v>9765.8069455883615</v>
      </c>
      <c r="G72" s="229">
        <v>5952.0489469341392</v>
      </c>
      <c r="H72" s="229">
        <v>11761.394098591296</v>
      </c>
      <c r="I72" s="229">
        <v>8860.3575165977891</v>
      </c>
      <c r="J72" s="229">
        <v>4994.3283220517742</v>
      </c>
      <c r="K72" s="229">
        <v>5633.5975780002527</v>
      </c>
      <c r="M72" s="194">
        <v>2059</v>
      </c>
      <c r="N72" s="419">
        <f t="shared" si="2"/>
        <v>19944.176778133202</v>
      </c>
      <c r="O72" s="418">
        <f>(C72/Population_Tables!P48)*Population_Tables!D107</f>
        <v>0</v>
      </c>
      <c r="P72" s="418">
        <f>(D72/Population_Tables!Q48)*Population_Tables!E107</f>
        <v>0</v>
      </c>
      <c r="Q72" s="418">
        <f>((E72-H72)/Population_Tables!R48)*Population_Tables!F107</f>
        <v>10809.405674220921</v>
      </c>
      <c r="R72" s="418">
        <f>(F72/Population_Tables!S48)*Population_Tables!G107</f>
        <v>7029.8998348090827</v>
      </c>
      <c r="S72" s="418">
        <f>(G72/Population_Tables!T48)*Population_Tables!H107</f>
        <v>2104.8712691031974</v>
      </c>
      <c r="T72" s="418">
        <f>(H72/Population_Tables!U48)*Population_Tables!I107</f>
        <v>0</v>
      </c>
      <c r="U72" s="418">
        <f>(I72/Population_Tables!V48)*Population_Tables!J107</f>
        <v>0</v>
      </c>
      <c r="V72" s="418">
        <f>(J72/Population_Tables!W48)*Population_Tables!K107</f>
        <v>0</v>
      </c>
      <c r="W72" s="418">
        <f>(K72/Population_Tables!X48)*Population_Tables!L107</f>
        <v>0</v>
      </c>
      <c r="Y72" s="456">
        <v>2059</v>
      </c>
      <c r="Z72" s="459">
        <f>((B72/Population_Tables!O48)*Population_Tables!C48)-N72</f>
        <v>41914.660484076914</v>
      </c>
      <c r="AA72" s="459">
        <f>((C72/Population_Tables!P48)*Population_Tables!D48)-O72</f>
        <v>14840.545422178438</v>
      </c>
      <c r="AB72" s="459">
        <f>((D72/Population_Tables!Q48)*Population_Tables!E48)-P72</f>
        <v>3869.9027025292235</v>
      </c>
      <c r="AC72" s="459">
        <f>((E72/Population_Tables!R48)*Population_Tables!F48)-Q72</f>
        <v>20572.696455295958</v>
      </c>
      <c r="AD72" s="459">
        <f>((F72/Population_Tables!S48)*Population_Tables!G48)-R72</f>
        <v>3943.5576946249275</v>
      </c>
      <c r="AE72" s="459">
        <f>((G72/Population_Tables!T48)*Population_Tables!H48)-S72</f>
        <v>4823.7962628101614</v>
      </c>
      <c r="AF72" s="459">
        <f>(H72/Population_Tables!U48)*Population_Tables!I48</f>
        <v>13109.759927713973</v>
      </c>
      <c r="AG72" s="459">
        <f>(I72/Population_Tables!V48)*Population_Tables!J48</f>
        <v>10118.489404284683</v>
      </c>
      <c r="AH72" s="459">
        <f>(J72/Population_Tables!W48)*Population_Tables!K48</f>
        <v>5550.2474918372591</v>
      </c>
      <c r="AI72" s="459">
        <f>(K72/Population_Tables!X48)*Population_Tables!L48</f>
        <v>6318.8772971030039</v>
      </c>
      <c r="AK72" s="456">
        <v>2059</v>
      </c>
      <c r="AL72" s="459">
        <f t="shared" si="6"/>
        <v>61858.837262210116</v>
      </c>
      <c r="AM72" s="459">
        <f t="shared" si="8"/>
        <v>14840.545422178438</v>
      </c>
      <c r="AN72" s="459">
        <f t="shared" si="9"/>
        <v>3869.9027025292235</v>
      </c>
      <c r="AO72" s="459">
        <f t="shared" si="10"/>
        <v>31382.102129516879</v>
      </c>
      <c r="AP72" s="459">
        <f t="shared" si="11"/>
        <v>10973.45752943401</v>
      </c>
      <c r="AQ72" s="459">
        <f t="shared" si="12"/>
        <v>6928.6675319133592</v>
      </c>
      <c r="AR72" s="459">
        <f t="shared" si="13"/>
        <v>13109.759927713973</v>
      </c>
      <c r="AS72" s="459">
        <f t="shared" si="14"/>
        <v>10118.489404284683</v>
      </c>
      <c r="AT72" s="459">
        <f t="shared" si="15"/>
        <v>5550.2474918372591</v>
      </c>
      <c r="AU72" s="459">
        <f t="shared" si="16"/>
        <v>6318.8772971030039</v>
      </c>
      <c r="AW72" s="216">
        <f>(B72/Population_Tables!O48)*Population_Tables!C48</f>
        <v>61858.837262210116</v>
      </c>
      <c r="AX72" s="153" t="str">
        <f t="shared" si="7"/>
        <v>OK</v>
      </c>
      <c r="AY72" s="421">
        <f t="shared" si="4"/>
        <v>67994.675315571905</v>
      </c>
      <c r="AZ72" s="153" t="str">
        <f t="shared" si="5"/>
        <v>OK</v>
      </c>
      <c r="BB72" s="216">
        <f>(C72/Population_Tables!P48)*Population_Tables!D48</f>
        <v>14840.545422178438</v>
      </c>
      <c r="BC72" s="216">
        <f>(D72/Population_Tables!Q48)*Population_Tables!E48</f>
        <v>3869.9027025292235</v>
      </c>
      <c r="BD72" s="216">
        <f>(E72/Population_Tables!R48)*Population_Tables!F48</f>
        <v>31382.102129516879</v>
      </c>
      <c r="BE72" s="216">
        <f>(F72/Population_Tables!S48)*Population_Tables!G48</f>
        <v>10973.45752943401</v>
      </c>
      <c r="BF72" s="216">
        <f>(G72/Population_Tables!T48)*Population_Tables!H48</f>
        <v>6928.6675319133592</v>
      </c>
      <c r="BG72" s="216"/>
      <c r="BN72" s="216"/>
      <c r="BO72" s="216"/>
      <c r="BP72" s="216"/>
    </row>
    <row r="73" spans="1:68" ht="15.6" x14ac:dyDescent="0.3">
      <c r="A73" s="194">
        <v>2060</v>
      </c>
      <c r="B73" s="229">
        <v>55306.26946666115</v>
      </c>
      <c r="C73" s="229">
        <v>13424.161077092696</v>
      </c>
      <c r="D73" s="229">
        <v>3456.0050567440512</v>
      </c>
      <c r="E73" s="229">
        <v>27958.399350838114</v>
      </c>
      <c r="F73" s="229">
        <v>10096.30850050952</v>
      </c>
      <c r="G73" s="229">
        <v>6079.0645309461324</v>
      </c>
      <c r="H73" s="229">
        <v>11837.496044168249</v>
      </c>
      <c r="I73" s="229">
        <v>9087.4105703949608</v>
      </c>
      <c r="J73" s="229">
        <v>5065.4762996514664</v>
      </c>
      <c r="K73" s="229">
        <v>5667.1003003531769</v>
      </c>
      <c r="M73" s="194">
        <v>2060</v>
      </c>
      <c r="N73" s="419">
        <f t="shared" si="2"/>
        <v>20705.280766097287</v>
      </c>
      <c r="O73" s="418">
        <f>(C73/Population_Tables!P49)*Population_Tables!D108</f>
        <v>0</v>
      </c>
      <c r="P73" s="418">
        <f>(D73/Population_Tables!Q49)*Population_Tables!E108</f>
        <v>0</v>
      </c>
      <c r="Q73" s="418">
        <f>((E73-H73)/Population_Tables!R49)*Population_Tables!F108</f>
        <v>11226.752116866403</v>
      </c>
      <c r="R73" s="418">
        <f>(F73/Population_Tables!S49)*Population_Tables!G108</f>
        <v>7310.0589358191137</v>
      </c>
      <c r="S73" s="418">
        <f>(G73/Population_Tables!T49)*Population_Tables!H108</f>
        <v>2168.4697134117719</v>
      </c>
      <c r="T73" s="418">
        <f>(H73/Population_Tables!U49)*Population_Tables!I108</f>
        <v>0</v>
      </c>
      <c r="U73" s="418">
        <f>(I73/Population_Tables!V49)*Population_Tables!J108</f>
        <v>0</v>
      </c>
      <c r="V73" s="418">
        <f>(J73/Population_Tables!W49)*Population_Tables!K108</f>
        <v>0</v>
      </c>
      <c r="W73" s="418">
        <f>(K73/Population_Tables!X49)*Population_Tables!L108</f>
        <v>0</v>
      </c>
      <c r="Y73" s="456">
        <v>2060</v>
      </c>
      <c r="Z73" s="459">
        <f>((B73/Population_Tables!O49)*Population_Tables!C49)-N73</f>
        <v>42388.949121668687</v>
      </c>
      <c r="AA73" s="459">
        <f>((C73/Population_Tables!P49)*Population_Tables!D49)-O73</f>
        <v>14996.026383256261</v>
      </c>
      <c r="AB73" s="459">
        <f>((D73/Population_Tables!Q49)*Population_Tables!E49)-P73</f>
        <v>3915.1024987449709</v>
      </c>
      <c r="AC73" s="459">
        <f>((E73/Population_Tables!R49)*Population_Tables!F49)-Q73</f>
        <v>20936.729170671962</v>
      </c>
      <c r="AD73" s="459">
        <f>((F73/Population_Tables!S49)*Population_Tables!G49)-R73</f>
        <v>4082.2563004580406</v>
      </c>
      <c r="AE73" s="459">
        <f>((G73/Population_Tables!T49)*Population_Tables!H49)-S73</f>
        <v>4948.1693470415503</v>
      </c>
      <c r="AF73" s="459">
        <f>(H73/Population_Tables!U49)*Population_Tables!I49</f>
        <v>13252.907023455646</v>
      </c>
      <c r="AG73" s="459">
        <f>(I73/Population_Tables!V49)*Population_Tables!J49</f>
        <v>10433.403260237907</v>
      </c>
      <c r="AH73" s="459">
        <f>(J73/Population_Tables!W49)*Population_Tables!K49</f>
        <v>5652.8617410437973</v>
      </c>
      <c r="AI73" s="459">
        <f>(K73/Population_Tables!X49)*Population_Tables!L49</f>
        <v>6383.3041591505716</v>
      </c>
      <c r="AK73" s="456">
        <v>2060</v>
      </c>
      <c r="AL73" s="459">
        <f t="shared" si="6"/>
        <v>63094.229887765978</v>
      </c>
      <c r="AM73" s="459">
        <f t="shared" si="8"/>
        <v>14996.026383256261</v>
      </c>
      <c r="AN73" s="459">
        <f t="shared" si="9"/>
        <v>3915.1024987449709</v>
      </c>
      <c r="AO73" s="459">
        <f t="shared" si="10"/>
        <v>32163.481287538365</v>
      </c>
      <c r="AP73" s="459">
        <f t="shared" si="11"/>
        <v>11392.315236277154</v>
      </c>
      <c r="AQ73" s="459">
        <f t="shared" si="12"/>
        <v>7116.6390604533226</v>
      </c>
      <c r="AR73" s="459">
        <f t="shared" si="13"/>
        <v>13252.907023455646</v>
      </c>
      <c r="AS73" s="459">
        <f t="shared" si="14"/>
        <v>10433.403260237907</v>
      </c>
      <c r="AT73" s="459">
        <f t="shared" si="15"/>
        <v>5652.8617410437973</v>
      </c>
      <c r="AU73" s="459">
        <f t="shared" si="16"/>
        <v>6383.3041591505716</v>
      </c>
      <c r="AW73" s="216">
        <f>(B73/Population_Tables!O49)*Population_Tables!C49</f>
        <v>63094.229887765978</v>
      </c>
      <c r="AX73" s="153" t="str">
        <f t="shared" si="7"/>
        <v>OK</v>
      </c>
      <c r="AY73" s="421">
        <f t="shared" si="4"/>
        <v>69583.56446627008</v>
      </c>
      <c r="AZ73" s="153" t="str">
        <f t="shared" si="5"/>
        <v>OK</v>
      </c>
      <c r="BB73" s="216">
        <f>(C73/Population_Tables!P49)*Population_Tables!D49</f>
        <v>14996.026383256261</v>
      </c>
      <c r="BC73" s="216">
        <f>(D73/Population_Tables!Q49)*Population_Tables!E49</f>
        <v>3915.1024987449709</v>
      </c>
      <c r="BD73" s="216">
        <f>(E73/Population_Tables!R49)*Population_Tables!F49</f>
        <v>32163.481287538365</v>
      </c>
      <c r="BE73" s="216">
        <f>(F73/Population_Tables!S49)*Population_Tables!G49</f>
        <v>11392.315236277154</v>
      </c>
      <c r="BF73" s="216">
        <f>(G73/Population_Tables!T49)*Population_Tables!H49</f>
        <v>7116.6390604533226</v>
      </c>
      <c r="BG73" s="216"/>
      <c r="BN73" s="216"/>
      <c r="BO73" s="216"/>
      <c r="BP73" s="216"/>
    </row>
    <row r="74" spans="1:68" s="165" customFormat="1" ht="15.6" x14ac:dyDescent="0.3">
      <c r="A74" s="465"/>
      <c r="B74" s="466"/>
      <c r="C74" s="466"/>
      <c r="D74" s="466"/>
      <c r="E74" s="466"/>
      <c r="F74" s="466"/>
      <c r="G74" s="466"/>
      <c r="H74" s="466"/>
      <c r="I74" s="466"/>
      <c r="J74" s="466"/>
      <c r="K74" s="466"/>
      <c r="M74" s="465"/>
      <c r="N74" s="467"/>
      <c r="O74" s="468"/>
      <c r="P74" s="468"/>
      <c r="Q74" s="468"/>
      <c r="R74" s="468"/>
      <c r="S74" s="468"/>
      <c r="T74" s="468"/>
      <c r="U74" s="468"/>
      <c r="V74" s="468"/>
      <c r="W74" s="468"/>
      <c r="Y74" s="465"/>
      <c r="Z74" s="469"/>
      <c r="AA74" s="469"/>
      <c r="AB74" s="469"/>
      <c r="AC74" s="469"/>
      <c r="AD74" s="469"/>
      <c r="AE74" s="469"/>
      <c r="AF74" s="469"/>
      <c r="AG74" s="469"/>
      <c r="AH74" s="469"/>
      <c r="AI74" s="469"/>
      <c r="AK74" s="465"/>
      <c r="AL74" s="469"/>
      <c r="AM74" s="469"/>
      <c r="AN74" s="469"/>
      <c r="AO74" s="469"/>
      <c r="AP74" s="469"/>
      <c r="AQ74" s="469"/>
      <c r="AR74" s="469"/>
      <c r="AS74" s="469"/>
      <c r="AT74" s="469"/>
      <c r="AU74" s="469"/>
      <c r="AW74" s="470"/>
      <c r="AY74" s="471"/>
      <c r="BB74" s="470"/>
      <c r="BC74" s="470"/>
      <c r="BD74" s="470"/>
      <c r="BE74" s="470"/>
      <c r="BF74" s="470"/>
      <c r="BG74" s="470"/>
      <c r="BN74" s="470"/>
      <c r="BO74" s="470"/>
      <c r="BP74" s="470"/>
    </row>
    <row r="75" spans="1:68" ht="13.8" thickBot="1" x14ac:dyDescent="0.3"/>
    <row r="76" spans="1:68" ht="15.75" customHeight="1" thickBot="1" x14ac:dyDescent="0.3">
      <c r="A76" s="643" t="str">
        <f>CONCATENATE("Table 4: Total REF2 ",C1," by Economic Development Status ",D1)</f>
        <v>Table 4: Total REF2 Electricity Generation by Economic Development Status (TWh)</v>
      </c>
      <c r="B76" s="644"/>
      <c r="C76" s="644"/>
      <c r="D76" s="644"/>
      <c r="E76" s="644"/>
      <c r="F76" s="645"/>
      <c r="H76" s="650" t="str">
        <f>CONCATENATE("Table 5: Total REF1 ",C1," by Economic Development Status ",D1)</f>
        <v>Table 5: Total REF1 Electricity Generation by Economic Development Status (TWh)</v>
      </c>
      <c r="I76" s="651"/>
      <c r="J76" s="651"/>
      <c r="K76" s="651"/>
      <c r="L76" s="651"/>
      <c r="M76" s="651"/>
      <c r="N76" s="651"/>
      <c r="O76" s="651"/>
      <c r="P76" s="651"/>
      <c r="Q76" s="651"/>
      <c r="R76" s="651"/>
      <c r="S76" s="651"/>
      <c r="T76" s="652"/>
      <c r="W76" s="653" t="str">
        <f>CONCATENATE("Table 6: Change in ",C1," by MDC vs. LLDC Regions, REF1-REF2 ",D1)</f>
        <v>Table 6: Change in Electricity Generation by MDC vs. LLDC Regions, REF1-REF2 (TWh)</v>
      </c>
      <c r="X76" s="654"/>
      <c r="Y76" s="654"/>
      <c r="Z76" s="654"/>
      <c r="AA76" s="654"/>
      <c r="AB76" s="654"/>
      <c r="AC76" s="654"/>
      <c r="AD76" s="655"/>
    </row>
    <row r="77" spans="1:68" ht="105" customHeight="1" x14ac:dyDescent="0.25">
      <c r="A77" s="213"/>
      <c r="B77" s="529" t="s">
        <v>368</v>
      </c>
      <c r="C77" s="463" t="s">
        <v>10</v>
      </c>
      <c r="D77" s="463" t="s">
        <v>514</v>
      </c>
      <c r="E77" s="463" t="str">
        <f>Q77</f>
        <v>Total Electricity Demand in Countries with Higher Educational Attainment (TWh)</v>
      </c>
      <c r="F77" s="463" t="str">
        <f>R77</f>
        <v xml:space="preserve"> --&gt; % LLDC</v>
      </c>
      <c r="H77" s="472"/>
      <c r="I77" s="473" t="s">
        <v>488</v>
      </c>
      <c r="J77" s="473" t="s">
        <v>490</v>
      </c>
      <c r="K77" s="473" t="s">
        <v>10</v>
      </c>
      <c r="L77" s="473" t="s">
        <v>489</v>
      </c>
      <c r="M77" s="473" t="s">
        <v>475</v>
      </c>
      <c r="O77" s="473" t="s">
        <v>481</v>
      </c>
      <c r="P77" s="473" t="s">
        <v>502</v>
      </c>
      <c r="Q77" s="473" t="s">
        <v>482</v>
      </c>
      <c r="R77" s="473" t="s">
        <v>502</v>
      </c>
      <c r="S77" s="473" t="s">
        <v>483</v>
      </c>
      <c r="T77" s="473" t="s">
        <v>502</v>
      </c>
      <c r="W77" s="477" t="s">
        <v>368</v>
      </c>
      <c r="X77" s="477" t="s">
        <v>10</v>
      </c>
      <c r="Y77" s="477" t="s">
        <v>503</v>
      </c>
      <c r="Z77" s="477" t="s">
        <v>461</v>
      </c>
      <c r="AA77" s="477" t="s">
        <v>484</v>
      </c>
      <c r="AB77" s="477" t="s">
        <v>485</v>
      </c>
      <c r="AC77" s="477" t="s">
        <v>516</v>
      </c>
      <c r="AD77" s="477" t="s">
        <v>517</v>
      </c>
      <c r="AF77" s="413" t="s">
        <v>486</v>
      </c>
      <c r="AG77" s="413" t="s">
        <v>487</v>
      </c>
    </row>
    <row r="78" spans="1:68" x14ac:dyDescent="0.25">
      <c r="A78" s="194">
        <v>2014</v>
      </c>
      <c r="B78" s="195">
        <f>SUMIF($C$25:$G$25,"Y",C27:G27)-H27</f>
        <v>4555.5977067421436</v>
      </c>
      <c r="C78" s="195">
        <f t="shared" ref="C78:C124" si="17">H27</f>
        <v>5262.7731992619747</v>
      </c>
      <c r="D78" s="195">
        <f t="shared" ref="D78:D124" si="18">SUMIF($AA$25:$AE$25,"N",C27:G27)-(IF($AC$25="N",H27))</f>
        <v>13334.329783596324</v>
      </c>
      <c r="E78" s="195">
        <f t="shared" ref="E78:E124" si="19">B78+D78+C78</f>
        <v>23152.700689600442</v>
      </c>
      <c r="F78" s="196">
        <f t="shared" ref="F78:F124" si="20">B78/E78</f>
        <v>0.19676312356892314</v>
      </c>
      <c r="H78" s="194">
        <v>2014</v>
      </c>
      <c r="I78" s="195">
        <f t="shared" ref="I78:I124" si="21">SUMIF($O$25:$S$25,"Y",O27:S27)-T27</f>
        <v>2425.941745836798</v>
      </c>
      <c r="J78" s="195">
        <f t="shared" ref="J78:J124" si="22">SUMIF($O$25:$S$25,"N",O27:S27)-(IF($Q$25="N",T27))</f>
        <v>446.11614108143226</v>
      </c>
      <c r="K78" s="195">
        <f t="shared" ref="K78:K124" si="23">AF27</f>
        <v>5262.7731992619747</v>
      </c>
      <c r="L78" s="195">
        <f t="shared" ref="L78:L124" si="24">SUMIF($AA$25:$AE$25,"Y",AA27:AE27)-AF27</f>
        <v>2129.6308022424073</v>
      </c>
      <c r="M78" s="195">
        <f t="shared" ref="M78:M124" si="25">SUMIF($AA$25:$AE$25,"N",AA27:AE27)-(IF($AC$25="N",AF27))</f>
        <v>12888.213642514891</v>
      </c>
      <c r="O78" s="195">
        <f t="shared" ref="O78:O124" si="26">I78+J78</f>
        <v>2872.05788691823</v>
      </c>
      <c r="P78" s="196">
        <f t="shared" ref="P78:P124" si="27">I78/O78</f>
        <v>0.84467021256311703</v>
      </c>
      <c r="Q78" s="195">
        <f t="shared" ref="Q78:Q124" si="28">L78+M78+K78</f>
        <v>20280.617644019272</v>
      </c>
      <c r="R78" s="196">
        <f t="shared" ref="R78:R124" si="29">L78/Q78</f>
        <v>0.10500818267092732</v>
      </c>
      <c r="S78" s="464">
        <f t="shared" ref="S78:S124" si="30">Q78+O78</f>
        <v>23152.6755309375</v>
      </c>
      <c r="T78" s="196">
        <f>O78/S78</f>
        <v>0.12404863891779916</v>
      </c>
      <c r="W78" s="197">
        <v>0</v>
      </c>
      <c r="X78" s="195">
        <f t="shared" ref="X78:X124" si="31">K78-C78</f>
        <v>0</v>
      </c>
      <c r="Y78" s="197">
        <v>0</v>
      </c>
      <c r="Z78" s="195">
        <f>(Q78+O78)-E78</f>
        <v>-2.5158662941976218E-2</v>
      </c>
      <c r="AA78" s="196">
        <v>0</v>
      </c>
      <c r="AB78" s="196">
        <f t="shared" ref="AB78:AB124" si="32">(W78/Z78)*(I78/(L78+I78))</f>
        <v>0</v>
      </c>
      <c r="AC78" s="196">
        <f>W78/Z78</f>
        <v>0</v>
      </c>
      <c r="AD78" s="247">
        <f>(X78+Y78)/Z78</f>
        <v>0</v>
      </c>
      <c r="AF78" s="251">
        <f t="shared" ref="AF78:AF124" si="33">I78/(I78+L78)</f>
        <v>0.53252181152502187</v>
      </c>
      <c r="AG78" s="251">
        <f t="shared" ref="AG78:AG124" si="34">L78/(L78+I78)</f>
        <v>0.46747818847497818</v>
      </c>
    </row>
    <row r="79" spans="1:68" x14ac:dyDescent="0.25">
      <c r="A79" s="194">
        <v>2015</v>
      </c>
      <c r="B79" s="195">
        <f t="shared" ref="B79:B124" si="35">SUMIF($AA$25:$AE$25,"Y",C28:G28)-H28</f>
        <v>4754.2178119212303</v>
      </c>
      <c r="C79" s="195">
        <f t="shared" si="17"/>
        <v>5577.4664453458345</v>
      </c>
      <c r="D79" s="195">
        <f t="shared" si="18"/>
        <v>13461.522180191354</v>
      </c>
      <c r="E79" s="195">
        <f t="shared" si="19"/>
        <v>23793.206437458419</v>
      </c>
      <c r="F79" s="196">
        <f t="shared" si="20"/>
        <v>0.19981408661408959</v>
      </c>
      <c r="H79" s="194">
        <v>2015</v>
      </c>
      <c r="I79" s="195">
        <f t="shared" si="21"/>
        <v>2538.7904171283772</v>
      </c>
      <c r="J79" s="195">
        <f t="shared" si="22"/>
        <v>460.1040856794757</v>
      </c>
      <c r="K79" s="195">
        <f t="shared" si="23"/>
        <v>5577.4664453458345</v>
      </c>
      <c r="L79" s="195">
        <f t="shared" si="24"/>
        <v>2215.4012509356053</v>
      </c>
      <c r="M79" s="195">
        <f t="shared" si="25"/>
        <v>13001.418094511879</v>
      </c>
      <c r="O79" s="195">
        <f t="shared" si="26"/>
        <v>2998.8945028078529</v>
      </c>
      <c r="P79" s="196">
        <f t="shared" si="27"/>
        <v>0.84657543463143436</v>
      </c>
      <c r="Q79" s="195">
        <f t="shared" si="28"/>
        <v>20794.285790793318</v>
      </c>
      <c r="R79" s="196">
        <f t="shared" si="29"/>
        <v>0.10653894407455319</v>
      </c>
      <c r="S79" s="464">
        <f t="shared" si="30"/>
        <v>23793.18029360117</v>
      </c>
      <c r="T79" s="196">
        <f t="shared" ref="T79:T124" si="36">O79/S79</f>
        <v>0.12604008652068938</v>
      </c>
      <c r="W79" s="197">
        <v>0</v>
      </c>
      <c r="X79" s="195">
        <f t="shared" si="31"/>
        <v>0</v>
      </c>
      <c r="Y79" s="197">
        <v>0</v>
      </c>
      <c r="Z79" s="195">
        <f>W79+X79+Y79</f>
        <v>0</v>
      </c>
      <c r="AA79" s="196">
        <v>0</v>
      </c>
      <c r="AB79" s="196" t="e">
        <f t="shared" si="32"/>
        <v>#DIV/0!</v>
      </c>
      <c r="AC79" s="196" t="e">
        <f>W79/Z79</f>
        <v>#DIV/0!</v>
      </c>
      <c r="AD79" s="247" t="e">
        <f t="shared" ref="AD79:AD124" si="37">(X79+Y79)/Z79</f>
        <v>#DIV/0!</v>
      </c>
      <c r="AF79" s="251">
        <f t="shared" si="33"/>
        <v>0.53401095167924351</v>
      </c>
      <c r="AG79" s="251">
        <f t="shared" si="34"/>
        <v>0.46598904832075655</v>
      </c>
    </row>
    <row r="80" spans="1:68" x14ac:dyDescent="0.25">
      <c r="A80" s="194">
        <v>2016</v>
      </c>
      <c r="B80" s="195">
        <f t="shared" si="35"/>
        <v>4990.6434448973323</v>
      </c>
      <c r="C80" s="195">
        <f t="shared" si="17"/>
        <v>5868.2723694275974</v>
      </c>
      <c r="D80" s="195">
        <f t="shared" si="18"/>
        <v>13579.413716791283</v>
      </c>
      <c r="E80" s="195">
        <f t="shared" si="19"/>
        <v>24438.329531116215</v>
      </c>
      <c r="F80" s="196">
        <f t="shared" si="20"/>
        <v>0.20421377158954226</v>
      </c>
      <c r="H80" s="194">
        <v>2016</v>
      </c>
      <c r="I80" s="195">
        <f t="shared" si="21"/>
        <v>2672.0959013667953</v>
      </c>
      <c r="J80" s="195">
        <f t="shared" si="22"/>
        <v>475.55096877765465</v>
      </c>
      <c r="K80" s="195">
        <f t="shared" si="23"/>
        <v>5868.2723694275974</v>
      </c>
      <c r="L80" s="195">
        <f t="shared" si="24"/>
        <v>2318.5206334498898</v>
      </c>
      <c r="M80" s="195">
        <f t="shared" si="25"/>
        <v>13103.862748013627</v>
      </c>
      <c r="O80" s="195">
        <f t="shared" si="26"/>
        <v>3147.6468701444501</v>
      </c>
      <c r="P80" s="196">
        <f t="shared" si="27"/>
        <v>0.84891857683011596</v>
      </c>
      <c r="Q80" s="195">
        <f t="shared" si="28"/>
        <v>21290.655750891114</v>
      </c>
      <c r="R80" s="196">
        <f t="shared" si="29"/>
        <v>0.10889850742868025</v>
      </c>
      <c r="S80" s="464">
        <f t="shared" si="30"/>
        <v>24438.302621035564</v>
      </c>
      <c r="T80" s="196">
        <f t="shared" si="36"/>
        <v>0.12879973371943906</v>
      </c>
      <c r="W80" s="195">
        <f t="shared" ref="W80:W124" si="38">(L80+I80)-B80</f>
        <v>-2.6910080647212453E-2</v>
      </c>
      <c r="X80" s="195">
        <f t="shared" si="31"/>
        <v>0</v>
      </c>
      <c r="Y80" s="195">
        <f t="shared" ref="Y80:Y124" si="39">(M80+J80)-D80</f>
        <v>0</v>
      </c>
      <c r="Z80" s="195">
        <f>W80+X80+Y80</f>
        <v>-2.6910080647212453E-2</v>
      </c>
      <c r="AA80" s="196">
        <f>(W80/Z80)*(L80/(L80+I80))</f>
        <v>0.46457599322145748</v>
      </c>
      <c r="AB80" s="196">
        <f t="shared" si="32"/>
        <v>0.53542400677854252</v>
      </c>
      <c r="AC80" s="196">
        <f t="shared" ref="AC80:AC124" si="40">W80/Z80</f>
        <v>1</v>
      </c>
      <c r="AD80" s="247">
        <f t="shared" si="37"/>
        <v>0</v>
      </c>
      <c r="AF80" s="251">
        <f t="shared" si="33"/>
        <v>0.53542400677854252</v>
      </c>
      <c r="AG80" s="251">
        <f t="shared" si="34"/>
        <v>0.46457599322145748</v>
      </c>
    </row>
    <row r="81" spans="1:33" x14ac:dyDescent="0.25">
      <c r="A81" s="194">
        <v>2017</v>
      </c>
      <c r="B81" s="195">
        <f t="shared" si="35"/>
        <v>5234.8831260810002</v>
      </c>
      <c r="C81" s="195">
        <f t="shared" si="17"/>
        <v>6148.1519986387993</v>
      </c>
      <c r="D81" s="195">
        <f t="shared" si="18"/>
        <v>13704.649881775422</v>
      </c>
      <c r="E81" s="195">
        <f t="shared" si="19"/>
        <v>25087.685006495223</v>
      </c>
      <c r="F81" s="196">
        <f t="shared" si="20"/>
        <v>0.20866345877372441</v>
      </c>
      <c r="H81" s="194">
        <v>2017</v>
      </c>
      <c r="I81" s="195">
        <f t="shared" si="21"/>
        <v>2810.2118580434453</v>
      </c>
      <c r="J81" s="195">
        <f t="shared" si="22"/>
        <v>491.75205751890928</v>
      </c>
      <c r="K81" s="195">
        <f t="shared" si="23"/>
        <v>6148.1519986387993</v>
      </c>
      <c r="L81" s="195">
        <f t="shared" si="24"/>
        <v>2424.6437504336354</v>
      </c>
      <c r="M81" s="195">
        <f t="shared" si="25"/>
        <v>13212.897824256512</v>
      </c>
      <c r="O81" s="195">
        <f t="shared" si="26"/>
        <v>3301.9639155623545</v>
      </c>
      <c r="P81" s="196">
        <f t="shared" si="27"/>
        <v>0.85107285539940269</v>
      </c>
      <c r="Q81" s="195">
        <f t="shared" si="28"/>
        <v>21785.693573328947</v>
      </c>
      <c r="R81" s="196">
        <f t="shared" si="29"/>
        <v>0.11129522878270887</v>
      </c>
      <c r="S81" s="464">
        <f t="shared" si="30"/>
        <v>25087.657488891302</v>
      </c>
      <c r="T81" s="196">
        <f t="shared" si="36"/>
        <v>0.13161706775630402</v>
      </c>
      <c r="W81" s="195">
        <f t="shared" si="38"/>
        <v>-2.7517603919477551E-2</v>
      </c>
      <c r="X81" s="195">
        <f t="shared" si="31"/>
        <v>0</v>
      </c>
      <c r="Y81" s="195">
        <f t="shared" si="39"/>
        <v>0</v>
      </c>
      <c r="Z81" s="195">
        <f t="shared" ref="Z81:Z124" si="41">W81+X81+Y81</f>
        <v>-2.7517603919477551E-2</v>
      </c>
      <c r="AA81" s="196">
        <f t="shared" ref="AA81:AA124" si="42">(W81*(L81/(L81+I81)))/Z81</f>
        <v>0.46317299497378317</v>
      </c>
      <c r="AB81" s="196">
        <f t="shared" si="32"/>
        <v>0.53682700502621683</v>
      </c>
      <c r="AC81" s="196">
        <f t="shared" si="40"/>
        <v>1</v>
      </c>
      <c r="AD81" s="247">
        <f>(X81+Y81)/Z81</f>
        <v>0</v>
      </c>
      <c r="AF81" s="251">
        <f t="shared" si="33"/>
        <v>0.53682700502621683</v>
      </c>
      <c r="AG81" s="251">
        <f t="shared" si="34"/>
        <v>0.46317299497378317</v>
      </c>
    </row>
    <row r="82" spans="1:33" x14ac:dyDescent="0.25">
      <c r="A82" s="194">
        <v>2018</v>
      </c>
      <c r="B82" s="195">
        <f t="shared" si="35"/>
        <v>5487.1544687763781</v>
      </c>
      <c r="C82" s="195">
        <f t="shared" si="17"/>
        <v>6417.386572932719</v>
      </c>
      <c r="D82" s="195">
        <f t="shared" si="18"/>
        <v>13837.013720051253</v>
      </c>
      <c r="E82" s="195">
        <f t="shared" si="19"/>
        <v>25741.554761760348</v>
      </c>
      <c r="F82" s="196">
        <f t="shared" si="20"/>
        <v>0.21316328868090237</v>
      </c>
      <c r="H82" s="194">
        <v>2018</v>
      </c>
      <c r="I82" s="195">
        <f t="shared" si="21"/>
        <v>2953.3369259327465</v>
      </c>
      <c r="J82" s="195">
        <f t="shared" si="22"/>
        <v>508.68997358695106</v>
      </c>
      <c r="K82" s="195">
        <f t="shared" si="23"/>
        <v>6417.386572932719</v>
      </c>
      <c r="L82" s="195">
        <f t="shared" si="24"/>
        <v>2533.789574397495</v>
      </c>
      <c r="M82" s="195">
        <f t="shared" si="25"/>
        <v>13328.323746464301</v>
      </c>
      <c r="O82" s="195">
        <f t="shared" si="26"/>
        <v>3462.0268995196975</v>
      </c>
      <c r="P82" s="196">
        <f t="shared" si="27"/>
        <v>0.85306585178251393</v>
      </c>
      <c r="Q82" s="195">
        <f t="shared" si="28"/>
        <v>22279.499893794513</v>
      </c>
      <c r="R82" s="196">
        <f t="shared" si="29"/>
        <v>0.1137273990204434</v>
      </c>
      <c r="S82" s="464">
        <f t="shared" si="30"/>
        <v>25741.526793314209</v>
      </c>
      <c r="T82" s="196">
        <f t="shared" si="36"/>
        <v>0.1344919020273064</v>
      </c>
      <c r="W82" s="195">
        <f t="shared" si="38"/>
        <v>-2.7968446136583225E-2</v>
      </c>
      <c r="X82" s="195">
        <f t="shared" si="31"/>
        <v>0</v>
      </c>
      <c r="Y82" s="195">
        <f t="shared" si="39"/>
        <v>0</v>
      </c>
      <c r="Z82" s="195">
        <f t="shared" si="41"/>
        <v>-2.7968446136583225E-2</v>
      </c>
      <c r="AA82" s="196">
        <f t="shared" si="42"/>
        <v>0.46176984879882021</v>
      </c>
      <c r="AB82" s="196">
        <f t="shared" si="32"/>
        <v>0.53823015120117979</v>
      </c>
      <c r="AC82" s="196">
        <f>W82/Z82</f>
        <v>1</v>
      </c>
      <c r="AD82" s="247">
        <f t="shared" si="37"/>
        <v>0</v>
      </c>
      <c r="AF82" s="251">
        <f t="shared" si="33"/>
        <v>0.53823015120117979</v>
      </c>
      <c r="AG82" s="251">
        <f t="shared" si="34"/>
        <v>0.46176984879882021</v>
      </c>
    </row>
    <row r="83" spans="1:33" ht="13.8" thickBot="1" x14ac:dyDescent="0.3">
      <c r="A83" s="198">
        <v>2019</v>
      </c>
      <c r="B83" s="195">
        <f t="shared" si="35"/>
        <v>5747.6750862876124</v>
      </c>
      <c r="C83" s="195">
        <f t="shared" si="17"/>
        <v>6676.2573322626322</v>
      </c>
      <c r="D83" s="195">
        <f t="shared" si="18"/>
        <v>13976.288276526268</v>
      </c>
      <c r="E83" s="195">
        <f t="shared" si="19"/>
        <v>26400.22069507651</v>
      </c>
      <c r="F83" s="199">
        <f t="shared" si="20"/>
        <v>0.21771314538137634</v>
      </c>
      <c r="H83" s="198">
        <v>2019</v>
      </c>
      <c r="I83" s="195">
        <f t="shared" si="21"/>
        <v>3101.7105482902634</v>
      </c>
      <c r="J83" s="195">
        <f t="shared" si="22"/>
        <v>526.34199858417833</v>
      </c>
      <c r="K83" s="195">
        <f t="shared" si="23"/>
        <v>6676.2573322626322</v>
      </c>
      <c r="L83" s="195">
        <f t="shared" si="24"/>
        <v>2645.9361276092841</v>
      </c>
      <c r="M83" s="195">
        <f t="shared" si="25"/>
        <v>13449.94627794209</v>
      </c>
      <c r="O83" s="195">
        <f t="shared" si="26"/>
        <v>3628.0525468744418</v>
      </c>
      <c r="P83" s="199">
        <f t="shared" si="27"/>
        <v>0.85492437284635781</v>
      </c>
      <c r="Q83" s="195">
        <f t="shared" si="28"/>
        <v>22772.139737814006</v>
      </c>
      <c r="R83" s="199">
        <f t="shared" si="29"/>
        <v>0.1161918097321178</v>
      </c>
      <c r="S83" s="464">
        <f t="shared" si="30"/>
        <v>26400.192284688448</v>
      </c>
      <c r="T83" s="196">
        <f t="shared" si="36"/>
        <v>0.13742523189797506</v>
      </c>
      <c r="W83" s="195">
        <f t="shared" si="38"/>
        <v>-2.8410388064912695E-2</v>
      </c>
      <c r="X83" s="195">
        <f t="shared" si="31"/>
        <v>0</v>
      </c>
      <c r="Y83" s="195">
        <f t="shared" si="39"/>
        <v>0</v>
      </c>
      <c r="Z83" s="195">
        <f t="shared" si="41"/>
        <v>-2.8410388064912695E-2</v>
      </c>
      <c r="AA83" s="196">
        <f t="shared" si="42"/>
        <v>0.46035121447251737</v>
      </c>
      <c r="AB83" s="196">
        <f t="shared" si="32"/>
        <v>0.53964878552748263</v>
      </c>
      <c r="AC83" s="196">
        <f t="shared" si="40"/>
        <v>1</v>
      </c>
      <c r="AD83" s="247">
        <f t="shared" si="37"/>
        <v>0</v>
      </c>
      <c r="AF83" s="251">
        <f t="shared" si="33"/>
        <v>0.53964878552748263</v>
      </c>
      <c r="AG83" s="251">
        <f t="shared" si="34"/>
        <v>0.46035121447251737</v>
      </c>
    </row>
    <row r="84" spans="1:33" x14ac:dyDescent="0.25">
      <c r="A84" s="201">
        <v>2020</v>
      </c>
      <c r="B84" s="195">
        <f t="shared" si="35"/>
        <v>6016.6625919188555</v>
      </c>
      <c r="C84" s="195">
        <f t="shared" si="17"/>
        <v>6925.0455165818166</v>
      </c>
      <c r="D84" s="195">
        <f t="shared" si="18"/>
        <v>14122.256596107949</v>
      </c>
      <c r="E84" s="195">
        <f t="shared" si="19"/>
        <v>27063.964704608621</v>
      </c>
      <c r="F84" s="220">
        <f t="shared" si="20"/>
        <v>0.22231268247605646</v>
      </c>
      <c r="H84" s="201">
        <v>2020</v>
      </c>
      <c r="I84" s="195">
        <f t="shared" si="21"/>
        <v>3255.5703556320482</v>
      </c>
      <c r="J84" s="195">
        <f t="shared" si="22"/>
        <v>544.68872001944521</v>
      </c>
      <c r="K84" s="195">
        <f t="shared" si="23"/>
        <v>6925.0455165818166</v>
      </c>
      <c r="L84" s="195">
        <f t="shared" si="24"/>
        <v>2761.0633740629437</v>
      </c>
      <c r="M84" s="195">
        <f t="shared" si="25"/>
        <v>13577.567876088506</v>
      </c>
      <c r="O84" s="195">
        <f t="shared" si="26"/>
        <v>3800.2590756514933</v>
      </c>
      <c r="P84" s="203">
        <f t="shared" si="27"/>
        <v>0.85667063503398988</v>
      </c>
      <c r="Q84" s="195">
        <f t="shared" si="28"/>
        <v>23263.676766733268</v>
      </c>
      <c r="R84" s="203">
        <f t="shared" si="29"/>
        <v>0.11868559736916676</v>
      </c>
      <c r="S84" s="464">
        <f t="shared" si="30"/>
        <v>27063.935842384763</v>
      </c>
      <c r="T84" s="196">
        <f t="shared" si="36"/>
        <v>0.14041782753933066</v>
      </c>
      <c r="W84" s="195">
        <f t="shared" si="38"/>
        <v>-2.8862223864052794E-2</v>
      </c>
      <c r="X84" s="195">
        <f t="shared" si="31"/>
        <v>0</v>
      </c>
      <c r="Y84" s="195">
        <f t="shared" si="39"/>
        <v>0</v>
      </c>
      <c r="Z84" s="195">
        <f t="shared" si="41"/>
        <v>-2.8862223864052794E-2</v>
      </c>
      <c r="AA84" s="196">
        <f t="shared" si="42"/>
        <v>0.4589050120228797</v>
      </c>
      <c r="AB84" s="196">
        <f t="shared" si="32"/>
        <v>0.5410949879771203</v>
      </c>
      <c r="AC84" s="196">
        <f t="shared" si="40"/>
        <v>1</v>
      </c>
      <c r="AD84" s="247">
        <f t="shared" si="37"/>
        <v>0</v>
      </c>
      <c r="AF84" s="251">
        <f t="shared" si="33"/>
        <v>0.5410949879771203</v>
      </c>
      <c r="AG84" s="251">
        <f t="shared" si="34"/>
        <v>0.4589050120228797</v>
      </c>
    </row>
    <row r="85" spans="1:33" x14ac:dyDescent="0.25">
      <c r="A85" s="206">
        <v>2021</v>
      </c>
      <c r="B85" s="195">
        <f t="shared" si="35"/>
        <v>6294.3345989742465</v>
      </c>
      <c r="C85" s="195">
        <f t="shared" si="17"/>
        <v>7164.0323658435482</v>
      </c>
      <c r="D85" s="195">
        <f t="shared" si="18"/>
        <v>14274.701723703787</v>
      </c>
      <c r="E85" s="195">
        <f t="shared" si="19"/>
        <v>27733.06868852158</v>
      </c>
      <c r="F85" s="221">
        <f t="shared" si="20"/>
        <v>0.22696134602585122</v>
      </c>
      <c r="H85" s="206">
        <v>2021</v>
      </c>
      <c r="I85" s="195">
        <f t="shared" si="21"/>
        <v>3420.1396456170523</v>
      </c>
      <c r="J85" s="195">
        <f t="shared" si="22"/>
        <v>564.99162392102994</v>
      </c>
      <c r="K85" s="195">
        <f t="shared" si="23"/>
        <v>7171.5499749609917</v>
      </c>
      <c r="L85" s="195">
        <f t="shared" si="24"/>
        <v>2883.0851450389218</v>
      </c>
      <c r="M85" s="195">
        <f t="shared" si="25"/>
        <v>13726.631543236281</v>
      </c>
      <c r="O85" s="195">
        <f t="shared" si="26"/>
        <v>3985.1312695380821</v>
      </c>
      <c r="P85" s="196">
        <f t="shared" si="27"/>
        <v>0.85822509079192311</v>
      </c>
      <c r="Q85" s="195">
        <f t="shared" si="28"/>
        <v>23781.266663236194</v>
      </c>
      <c r="R85" s="196">
        <f t="shared" si="29"/>
        <v>0.12123345597465274</v>
      </c>
      <c r="S85" s="464">
        <f t="shared" si="30"/>
        <v>27766.397932774278</v>
      </c>
      <c r="T85" s="196">
        <f t="shared" si="36"/>
        <v>0.14352352361968429</v>
      </c>
      <c r="W85" s="195">
        <f t="shared" si="38"/>
        <v>8.8901916817276287</v>
      </c>
      <c r="X85" s="195">
        <f t="shared" si="31"/>
        <v>7.5176091174434987</v>
      </c>
      <c r="Y85" s="195">
        <f t="shared" si="39"/>
        <v>16.921443453524262</v>
      </c>
      <c r="Z85" s="195">
        <f t="shared" si="41"/>
        <v>33.329244252695389</v>
      </c>
      <c r="AA85" s="196">
        <f t="shared" si="42"/>
        <v>0.12200575919504304</v>
      </c>
      <c r="AB85" s="196">
        <f t="shared" si="32"/>
        <v>0.14473271271041172</v>
      </c>
      <c r="AC85" s="196">
        <f t="shared" si="40"/>
        <v>0.26673847190545474</v>
      </c>
      <c r="AD85" s="247">
        <f t="shared" si="37"/>
        <v>0.73326152809454526</v>
      </c>
      <c r="AF85" s="251">
        <f t="shared" si="33"/>
        <v>0.54260156653260017</v>
      </c>
      <c r="AG85" s="251">
        <f t="shared" si="34"/>
        <v>0.45739843346739983</v>
      </c>
    </row>
    <row r="86" spans="1:33" x14ac:dyDescent="0.25">
      <c r="A86" s="206">
        <v>2022</v>
      </c>
      <c r="B86" s="195">
        <f t="shared" si="35"/>
        <v>6580.9087207579396</v>
      </c>
      <c r="C86" s="195">
        <f t="shared" si="17"/>
        <v>7393.4991200011027</v>
      </c>
      <c r="D86" s="195">
        <f t="shared" si="18"/>
        <v>14433.406704221261</v>
      </c>
      <c r="E86" s="195">
        <f t="shared" si="19"/>
        <v>28407.814544980301</v>
      </c>
      <c r="F86" s="221">
        <f t="shared" si="20"/>
        <v>0.23165839492291374</v>
      </c>
      <c r="H86" s="206">
        <v>2022</v>
      </c>
      <c r="I86" s="195">
        <f t="shared" si="21"/>
        <v>3592.7874805767051</v>
      </c>
      <c r="J86" s="195">
        <f t="shared" si="22"/>
        <v>586.20850810181093</v>
      </c>
      <c r="K86" s="195">
        <f t="shared" si="23"/>
        <v>7410.8023117024068</v>
      </c>
      <c r="L86" s="195">
        <f t="shared" si="24"/>
        <v>3009.8444369567505</v>
      </c>
      <c r="M86" s="195">
        <f t="shared" si="25"/>
        <v>13884.952976983746</v>
      </c>
      <c r="O86" s="195">
        <f t="shared" si="26"/>
        <v>4178.9959886785164</v>
      </c>
      <c r="P86" s="196">
        <f t="shared" si="27"/>
        <v>0.85972503690122415</v>
      </c>
      <c r="Q86" s="195">
        <f t="shared" si="28"/>
        <v>24305.599725642904</v>
      </c>
      <c r="R86" s="196">
        <f t="shared" si="29"/>
        <v>0.12383337465157476</v>
      </c>
      <c r="S86" s="464">
        <f t="shared" si="30"/>
        <v>28484.595714321418</v>
      </c>
      <c r="T86" s="196">
        <f t="shared" si="36"/>
        <v>0.14671073553546735</v>
      </c>
      <c r="W86" s="195">
        <f t="shared" si="38"/>
        <v>21.723196775516044</v>
      </c>
      <c r="X86" s="195">
        <f t="shared" si="31"/>
        <v>17.303191701304058</v>
      </c>
      <c r="Y86" s="195">
        <f t="shared" si="39"/>
        <v>37.754780864295753</v>
      </c>
      <c r="Z86" s="195">
        <f t="shared" si="41"/>
        <v>76.781169341115856</v>
      </c>
      <c r="AA86" s="196">
        <f t="shared" si="42"/>
        <v>0.12897216109626486</v>
      </c>
      <c r="AB86" s="196">
        <f t="shared" si="32"/>
        <v>0.15395133384305226</v>
      </c>
      <c r="AC86" s="196">
        <f t="shared" si="40"/>
        <v>0.28292349493931712</v>
      </c>
      <c r="AD86" s="247">
        <f t="shared" si="37"/>
        <v>0.71707650506068288</v>
      </c>
      <c r="AF86" s="251">
        <f t="shared" si="33"/>
        <v>0.54414474795058121</v>
      </c>
      <c r="AG86" s="251">
        <f t="shared" si="34"/>
        <v>0.45585525204941879</v>
      </c>
    </row>
    <row r="87" spans="1:33" x14ac:dyDescent="0.25">
      <c r="A87" s="206">
        <v>2023</v>
      </c>
      <c r="B87" s="195">
        <f t="shared" si="35"/>
        <v>6876.6025705740776</v>
      </c>
      <c r="C87" s="195">
        <f t="shared" si="17"/>
        <v>7613.7270190077597</v>
      </c>
      <c r="D87" s="195">
        <f t="shared" si="18"/>
        <v>14598.154582567862</v>
      </c>
      <c r="E87" s="195">
        <f t="shared" si="19"/>
        <v>29088.4841721497</v>
      </c>
      <c r="F87" s="221">
        <f t="shared" si="20"/>
        <v>0.23640291910287886</v>
      </c>
      <c r="H87" s="206">
        <v>2023</v>
      </c>
      <c r="I87" s="195">
        <f t="shared" si="21"/>
        <v>3773.5810393554939</v>
      </c>
      <c r="J87" s="195">
        <f t="shared" si="22"/>
        <v>608.35497777423063</v>
      </c>
      <c r="K87" s="195">
        <f t="shared" si="23"/>
        <v>7642.8945246868852</v>
      </c>
      <c r="L87" s="195">
        <f t="shared" si="24"/>
        <v>3141.2250817467893</v>
      </c>
      <c r="M87" s="195">
        <f t="shared" si="25"/>
        <v>14051.976560404013</v>
      </c>
      <c r="O87" s="195">
        <f t="shared" si="26"/>
        <v>4381.9360171297249</v>
      </c>
      <c r="P87" s="196">
        <f t="shared" si="27"/>
        <v>0.86116753521820744</v>
      </c>
      <c r="Q87" s="195">
        <f t="shared" si="28"/>
        <v>24836.096166837688</v>
      </c>
      <c r="R87" s="196">
        <f t="shared" si="29"/>
        <v>0.1264782138322165</v>
      </c>
      <c r="S87" s="464">
        <f t="shared" si="30"/>
        <v>29218.032183967414</v>
      </c>
      <c r="T87" s="196">
        <f t="shared" si="36"/>
        <v>0.14997368712374104</v>
      </c>
      <c r="W87" s="195">
        <f t="shared" si="38"/>
        <v>38.203550528205596</v>
      </c>
      <c r="X87" s="195">
        <f t="shared" si="31"/>
        <v>29.167505679125497</v>
      </c>
      <c r="Y87" s="195">
        <f t="shared" si="39"/>
        <v>62.176955610380901</v>
      </c>
      <c r="Z87" s="195">
        <f t="shared" si="41"/>
        <v>129.54801181771199</v>
      </c>
      <c r="AA87" s="196">
        <f t="shared" si="42"/>
        <v>0.13396520820163496</v>
      </c>
      <c r="AB87" s="196">
        <f t="shared" si="32"/>
        <v>0.16093357096266522</v>
      </c>
      <c r="AC87" s="196">
        <f t="shared" si="40"/>
        <v>0.29489877916430018</v>
      </c>
      <c r="AD87" s="247">
        <f t="shared" si="37"/>
        <v>0.70510122083569982</v>
      </c>
      <c r="AF87" s="251">
        <f t="shared" si="33"/>
        <v>0.54572477857903423</v>
      </c>
      <c r="AG87" s="251">
        <f t="shared" si="34"/>
        <v>0.45427522142096577</v>
      </c>
    </row>
    <row r="88" spans="1:33" x14ac:dyDescent="0.25">
      <c r="A88" s="206">
        <v>2024</v>
      </c>
      <c r="B88" s="195">
        <f t="shared" si="35"/>
        <v>7181.6337617268073</v>
      </c>
      <c r="C88" s="195">
        <f t="shared" si="17"/>
        <v>7824.9973028167933</v>
      </c>
      <c r="D88" s="195">
        <f t="shared" si="18"/>
        <v>14768.728403651075</v>
      </c>
      <c r="E88" s="195">
        <f t="shared" si="19"/>
        <v>29775.359468194678</v>
      </c>
      <c r="F88" s="221">
        <f t="shared" si="20"/>
        <v>0.24119385592634257</v>
      </c>
      <c r="H88" s="206">
        <v>2024</v>
      </c>
      <c r="I88" s="195">
        <f t="shared" si="21"/>
        <v>3962.6580323025364</v>
      </c>
      <c r="J88" s="195">
        <f t="shared" si="22"/>
        <v>631.49791422910687</v>
      </c>
      <c r="K88" s="195">
        <f t="shared" si="23"/>
        <v>7867.9392206595985</v>
      </c>
      <c r="L88" s="195">
        <f t="shared" si="24"/>
        <v>3277.1832583144769</v>
      </c>
      <c r="M88" s="195">
        <f t="shared" si="25"/>
        <v>14227.346900333125</v>
      </c>
      <c r="O88" s="195">
        <f t="shared" si="26"/>
        <v>4594.1559465316432</v>
      </c>
      <c r="P88" s="196">
        <f t="shared" si="27"/>
        <v>0.86254321325207606</v>
      </c>
      <c r="Q88" s="195">
        <f t="shared" si="28"/>
        <v>25372.4693793072</v>
      </c>
      <c r="R88" s="196">
        <f t="shared" si="29"/>
        <v>0.12916296042462544</v>
      </c>
      <c r="S88" s="464">
        <f t="shared" si="30"/>
        <v>29966.625325838842</v>
      </c>
      <c r="T88" s="196">
        <f t="shared" si="36"/>
        <v>0.15330908624436645</v>
      </c>
      <c r="W88" s="195">
        <f t="shared" si="38"/>
        <v>58.207528890206049</v>
      </c>
      <c r="X88" s="195">
        <f t="shared" si="31"/>
        <v>42.941917842805196</v>
      </c>
      <c r="Y88" s="195">
        <f t="shared" si="39"/>
        <v>90.116410911155981</v>
      </c>
      <c r="Z88" s="195">
        <f t="shared" si="41"/>
        <v>191.26585764416723</v>
      </c>
      <c r="AA88" s="196">
        <f t="shared" si="42"/>
        <v>0.13775690976922772</v>
      </c>
      <c r="AB88" s="196">
        <f t="shared" si="32"/>
        <v>0.16657094888339116</v>
      </c>
      <c r="AC88" s="196">
        <f t="shared" si="40"/>
        <v>0.30432785865261891</v>
      </c>
      <c r="AD88" s="247">
        <f t="shared" si="37"/>
        <v>0.69567214134738109</v>
      </c>
      <c r="AF88" s="251">
        <f t="shared" si="33"/>
        <v>0.54734045585201219</v>
      </c>
      <c r="AG88" s="251">
        <f t="shared" si="34"/>
        <v>0.45265954414798781</v>
      </c>
    </row>
    <row r="89" spans="1:33" x14ac:dyDescent="0.25">
      <c r="A89" s="206">
        <v>2025</v>
      </c>
      <c r="B89" s="195">
        <f t="shared" si="35"/>
        <v>7496.2199075202789</v>
      </c>
      <c r="C89" s="195">
        <f t="shared" si="17"/>
        <v>8027.5912113814811</v>
      </c>
      <c r="D89" s="195">
        <f t="shared" si="18"/>
        <v>14944.911212378385</v>
      </c>
      <c r="E89" s="195">
        <f t="shared" si="19"/>
        <v>30468.722331280147</v>
      </c>
      <c r="F89" s="221">
        <f t="shared" si="20"/>
        <v>0.24603000500038769</v>
      </c>
      <c r="H89" s="206">
        <v>2025</v>
      </c>
      <c r="I89" s="195">
        <f t="shared" si="21"/>
        <v>4160.1888381146273</v>
      </c>
      <c r="J89" s="195">
        <f t="shared" si="22"/>
        <v>655.69653558619189</v>
      </c>
      <c r="K89" s="195">
        <f t="shared" si="23"/>
        <v>8086.0805898922608</v>
      </c>
      <c r="L89" s="195">
        <f t="shared" si="24"/>
        <v>3417.7025738740758</v>
      </c>
      <c r="M89" s="195">
        <f t="shared" si="25"/>
        <v>14410.764545887077</v>
      </c>
      <c r="O89" s="195">
        <f t="shared" si="26"/>
        <v>4815.8853737008194</v>
      </c>
      <c r="P89" s="196">
        <f t="shared" si="27"/>
        <v>0.86384714653573347</v>
      </c>
      <c r="Q89" s="195">
        <f t="shared" si="28"/>
        <v>25914.547709653416</v>
      </c>
      <c r="R89" s="196">
        <f t="shared" si="29"/>
        <v>0.13188355097553753</v>
      </c>
      <c r="S89" s="464">
        <f t="shared" si="30"/>
        <v>30730.433083354234</v>
      </c>
      <c r="T89" s="196">
        <f t="shared" si="36"/>
        <v>0.15671387906047579</v>
      </c>
      <c r="W89" s="195">
        <f t="shared" si="38"/>
        <v>81.671504468424246</v>
      </c>
      <c r="X89" s="195">
        <f t="shared" si="31"/>
        <v>58.489378510779716</v>
      </c>
      <c r="Y89" s="195">
        <f t="shared" si="39"/>
        <v>121.54986909488434</v>
      </c>
      <c r="Z89" s="195">
        <f t="shared" si="41"/>
        <v>261.7107520740883</v>
      </c>
      <c r="AA89" s="196">
        <f t="shared" si="42"/>
        <v>0.14074561661844243</v>
      </c>
      <c r="AB89" s="196">
        <f t="shared" si="32"/>
        <v>0.17132220566691661</v>
      </c>
      <c r="AC89" s="196">
        <f t="shared" si="40"/>
        <v>0.31206782228535901</v>
      </c>
      <c r="AD89" s="247">
        <f t="shared" si="37"/>
        <v>0.68793217771464099</v>
      </c>
      <c r="AF89" s="251">
        <f t="shared" si="33"/>
        <v>0.54899029452084069</v>
      </c>
      <c r="AG89" s="251">
        <f t="shared" si="34"/>
        <v>0.45100970547915931</v>
      </c>
    </row>
    <row r="90" spans="1:33" x14ac:dyDescent="0.25">
      <c r="A90" s="206">
        <v>2026</v>
      </c>
      <c r="B90" s="195">
        <f t="shared" si="35"/>
        <v>7820.578621258639</v>
      </c>
      <c r="C90" s="195">
        <f t="shared" si="17"/>
        <v>8221.7899846551009</v>
      </c>
      <c r="D90" s="195">
        <f t="shared" si="18"/>
        <v>15126.486053657278</v>
      </c>
      <c r="E90" s="195">
        <f t="shared" si="19"/>
        <v>31168.854659571018</v>
      </c>
      <c r="F90" s="221">
        <f t="shared" si="20"/>
        <v>0.25091004166420899</v>
      </c>
      <c r="H90" s="206">
        <v>2026</v>
      </c>
      <c r="I90" s="195">
        <f t="shared" si="21"/>
        <v>4366.3691170559505</v>
      </c>
      <c r="J90" s="195">
        <f t="shared" si="22"/>
        <v>680.96763307436765</v>
      </c>
      <c r="K90" s="195">
        <f t="shared" si="23"/>
        <v>8297.5074094292995</v>
      </c>
      <c r="L90" s="195">
        <f t="shared" si="24"/>
        <v>3562.7768868460316</v>
      </c>
      <c r="M90" s="195">
        <f t="shared" si="25"/>
        <v>14601.926796898806</v>
      </c>
      <c r="O90" s="195">
        <f t="shared" si="26"/>
        <v>5047.3367501303183</v>
      </c>
      <c r="P90" s="196">
        <f t="shared" si="27"/>
        <v>0.86508377253473612</v>
      </c>
      <c r="Q90" s="195">
        <f t="shared" si="28"/>
        <v>26462.211093174141</v>
      </c>
      <c r="R90" s="196">
        <f t="shared" si="29"/>
        <v>0.13463640186004869</v>
      </c>
      <c r="S90" s="464">
        <f t="shared" si="30"/>
        <v>31509.547843304459</v>
      </c>
      <c r="T90" s="196">
        <f t="shared" si="36"/>
        <v>0.16018435984008697</v>
      </c>
      <c r="W90" s="195">
        <f t="shared" si="38"/>
        <v>108.56738264334308</v>
      </c>
      <c r="X90" s="195">
        <f t="shared" si="31"/>
        <v>75.717424774198662</v>
      </c>
      <c r="Y90" s="195">
        <f t="shared" si="39"/>
        <v>156.40837631589602</v>
      </c>
      <c r="Z90" s="195">
        <f t="shared" si="41"/>
        <v>340.69318373343776</v>
      </c>
      <c r="AA90" s="196">
        <f t="shared" si="42"/>
        <v>0.14318520136134597</v>
      </c>
      <c r="AB90" s="196">
        <f t="shared" si="32"/>
        <v>0.17548094115909685</v>
      </c>
      <c r="AC90" s="196">
        <f t="shared" si="40"/>
        <v>0.31866614252044279</v>
      </c>
      <c r="AD90" s="247">
        <f t="shared" si="37"/>
        <v>0.68133385747955721</v>
      </c>
      <c r="AF90" s="251">
        <f t="shared" si="33"/>
        <v>0.55067331524822893</v>
      </c>
      <c r="AG90" s="251">
        <f t="shared" si="34"/>
        <v>0.44932668475177112</v>
      </c>
    </row>
    <row r="91" spans="1:33" x14ac:dyDescent="0.25">
      <c r="A91" s="206">
        <v>2027</v>
      </c>
      <c r="B91" s="195">
        <f t="shared" si="35"/>
        <v>8154.9275162460253</v>
      </c>
      <c r="C91" s="195">
        <f t="shared" si="17"/>
        <v>8407.8748625909284</v>
      </c>
      <c r="D91" s="195">
        <f t="shared" si="18"/>
        <v>15313.235972395243</v>
      </c>
      <c r="E91" s="195">
        <f t="shared" si="19"/>
        <v>31876.038351232197</v>
      </c>
      <c r="F91" s="221">
        <f t="shared" si="20"/>
        <v>0.25583252932467343</v>
      </c>
      <c r="H91" s="206">
        <v>2027</v>
      </c>
      <c r="I91" s="195">
        <f t="shared" si="21"/>
        <v>4581.4261034417141</v>
      </c>
      <c r="J91" s="195">
        <f t="shared" si="22"/>
        <v>707.29903680292853</v>
      </c>
      <c r="K91" s="195">
        <f t="shared" si="23"/>
        <v>8502.4604536531024</v>
      </c>
      <c r="L91" s="195">
        <f t="shared" si="24"/>
        <v>3712.4254478482253</v>
      </c>
      <c r="M91" s="195">
        <f t="shared" si="25"/>
        <v>14800.524295859492</v>
      </c>
      <c r="O91" s="195">
        <f t="shared" si="26"/>
        <v>5288.7251402446427</v>
      </c>
      <c r="P91" s="196">
        <f t="shared" si="27"/>
        <v>0.86626284822012689</v>
      </c>
      <c r="Q91" s="195">
        <f t="shared" si="28"/>
        <v>27015.410197360819</v>
      </c>
      <c r="R91" s="196">
        <f t="shared" si="29"/>
        <v>0.13741880729284275</v>
      </c>
      <c r="S91" s="464">
        <f t="shared" si="30"/>
        <v>32304.135337605461</v>
      </c>
      <c r="T91" s="196">
        <f t="shared" si="36"/>
        <v>0.16371665995616363</v>
      </c>
      <c r="W91" s="195">
        <f t="shared" si="38"/>
        <v>138.92403504391405</v>
      </c>
      <c r="X91" s="195">
        <f t="shared" si="31"/>
        <v>94.585591062173989</v>
      </c>
      <c r="Y91" s="195">
        <f t="shared" si="39"/>
        <v>194.58736026717634</v>
      </c>
      <c r="Z91" s="195">
        <f t="shared" si="41"/>
        <v>428.09698637326437</v>
      </c>
      <c r="AA91" s="196">
        <f t="shared" si="42"/>
        <v>0.14525687660686235</v>
      </c>
      <c r="AB91" s="196">
        <f t="shared" si="32"/>
        <v>0.17925845395139586</v>
      </c>
      <c r="AC91" s="196">
        <f t="shared" si="40"/>
        <v>0.32451533055825821</v>
      </c>
      <c r="AD91" s="247">
        <f t="shared" si="37"/>
        <v>0.67548466944174179</v>
      </c>
      <c r="AF91" s="251">
        <f t="shared" si="33"/>
        <v>0.55238824508851581</v>
      </c>
      <c r="AG91" s="251">
        <f t="shared" si="34"/>
        <v>0.44761175491148419</v>
      </c>
    </row>
    <row r="92" spans="1:33" x14ac:dyDescent="0.25">
      <c r="A92" s="206">
        <v>2028</v>
      </c>
      <c r="B92" s="195">
        <f t="shared" si="35"/>
        <v>8499.484205786599</v>
      </c>
      <c r="C92" s="195">
        <f t="shared" si="17"/>
        <v>8586.1270851422396</v>
      </c>
      <c r="D92" s="195">
        <f t="shared" si="18"/>
        <v>15504.944013499762</v>
      </c>
      <c r="E92" s="195">
        <f t="shared" si="19"/>
        <v>32590.555304428599</v>
      </c>
      <c r="F92" s="221">
        <f t="shared" si="20"/>
        <v>0.26079593079629543</v>
      </c>
      <c r="H92" s="206">
        <v>2028</v>
      </c>
      <c r="I92" s="195">
        <f t="shared" si="21"/>
        <v>4805.6513148764088</v>
      </c>
      <c r="J92" s="195">
        <f t="shared" si="22"/>
        <v>734.70067568473962</v>
      </c>
      <c r="K92" s="195">
        <f t="shared" si="23"/>
        <v>8701.2309601987563</v>
      </c>
      <c r="L92" s="195">
        <f t="shared" si="24"/>
        <v>3866.7353184733747</v>
      </c>
      <c r="M92" s="195">
        <f t="shared" si="25"/>
        <v>15006.340331758372</v>
      </c>
      <c r="O92" s="195">
        <f t="shared" si="26"/>
        <v>5540.3519905611483</v>
      </c>
      <c r="P92" s="196">
        <f t="shared" si="27"/>
        <v>0.86739097498923956</v>
      </c>
      <c r="Q92" s="195">
        <f t="shared" si="28"/>
        <v>27574.306610430503</v>
      </c>
      <c r="R92" s="196">
        <f t="shared" si="29"/>
        <v>0.1402296483136482</v>
      </c>
      <c r="S92" s="464">
        <f t="shared" si="30"/>
        <v>33114.65860099165</v>
      </c>
      <c r="T92" s="196">
        <f t="shared" si="36"/>
        <v>0.16730814160938495</v>
      </c>
      <c r="W92" s="195">
        <f t="shared" si="38"/>
        <v>172.90242756318366</v>
      </c>
      <c r="X92" s="195">
        <f t="shared" si="31"/>
        <v>115.1038750565167</v>
      </c>
      <c r="Y92" s="195">
        <f t="shared" si="39"/>
        <v>236.09699394335075</v>
      </c>
      <c r="Z92" s="195">
        <f t="shared" si="41"/>
        <v>524.10329656305112</v>
      </c>
      <c r="AA92" s="196">
        <f t="shared" si="42"/>
        <v>0.14709232522186277</v>
      </c>
      <c r="AB92" s="196">
        <f t="shared" si="32"/>
        <v>0.18280910584532956</v>
      </c>
      <c r="AC92" s="196">
        <f t="shared" si="40"/>
        <v>0.32990143106719233</v>
      </c>
      <c r="AD92" s="247">
        <f t="shared" si="37"/>
        <v>0.67009856893280773</v>
      </c>
      <c r="AF92" s="251">
        <f t="shared" si="33"/>
        <v>0.55413250331762309</v>
      </c>
      <c r="AG92" s="251">
        <f t="shared" si="34"/>
        <v>0.44586749668237696</v>
      </c>
    </row>
    <row r="93" spans="1:33" x14ac:dyDescent="0.25">
      <c r="A93" s="206">
        <v>2029</v>
      </c>
      <c r="B93" s="195">
        <f t="shared" si="35"/>
        <v>8854.4663031844975</v>
      </c>
      <c r="C93" s="195">
        <f t="shared" si="17"/>
        <v>8756.827892262314</v>
      </c>
      <c r="D93" s="195">
        <f t="shared" si="18"/>
        <v>15701.393221878323</v>
      </c>
      <c r="E93" s="195">
        <f t="shared" si="19"/>
        <v>33312.687417325134</v>
      </c>
      <c r="F93" s="221">
        <f t="shared" si="20"/>
        <v>0.26579861877428418</v>
      </c>
      <c r="H93" s="206">
        <v>2029</v>
      </c>
      <c r="I93" s="195">
        <f t="shared" si="21"/>
        <v>5039.3778098310322</v>
      </c>
      <c r="J93" s="195">
        <f t="shared" si="22"/>
        <v>763.17745012120633</v>
      </c>
      <c r="K93" s="195">
        <f t="shared" si="23"/>
        <v>8894.1515330237708</v>
      </c>
      <c r="L93" s="195">
        <f t="shared" si="24"/>
        <v>4025.830067962228</v>
      </c>
      <c r="M93" s="195">
        <f t="shared" si="25"/>
        <v>15219.172998607291</v>
      </c>
      <c r="O93" s="195">
        <f t="shared" si="26"/>
        <v>5802.5552599522389</v>
      </c>
      <c r="P93" s="196">
        <f t="shared" si="27"/>
        <v>0.86847562566297931</v>
      </c>
      <c r="Q93" s="195">
        <f t="shared" si="28"/>
        <v>28139.15459959329</v>
      </c>
      <c r="R93" s="196">
        <f t="shared" si="29"/>
        <v>0.14306862182776506</v>
      </c>
      <c r="S93" s="464">
        <f t="shared" si="30"/>
        <v>33941.709859545532</v>
      </c>
      <c r="T93" s="196">
        <f t="shared" si="36"/>
        <v>0.17095648050625148</v>
      </c>
      <c r="W93" s="195">
        <f t="shared" si="38"/>
        <v>210.74157460876268</v>
      </c>
      <c r="X93" s="195">
        <f t="shared" si="31"/>
        <v>137.32364076145677</v>
      </c>
      <c r="Y93" s="195">
        <f t="shared" si="39"/>
        <v>280.95722685017427</v>
      </c>
      <c r="Z93" s="195">
        <f t="shared" si="41"/>
        <v>629.02244222039371</v>
      </c>
      <c r="AA93" s="196">
        <f t="shared" si="42"/>
        <v>0.14878589161376171</v>
      </c>
      <c r="AB93" s="196">
        <f t="shared" si="32"/>
        <v>0.18624440375195453</v>
      </c>
      <c r="AC93" s="196">
        <f t="shared" si="40"/>
        <v>0.33503029536571621</v>
      </c>
      <c r="AD93" s="247">
        <f t="shared" si="37"/>
        <v>0.66496970463428373</v>
      </c>
      <c r="AF93" s="251">
        <f t="shared" si="33"/>
        <v>0.55590317152856794</v>
      </c>
      <c r="AG93" s="251">
        <f t="shared" si="34"/>
        <v>0.44409682847143206</v>
      </c>
    </row>
    <row r="94" spans="1:33" x14ac:dyDescent="0.25">
      <c r="A94" s="206">
        <v>2030</v>
      </c>
      <c r="B94" s="195">
        <f t="shared" si="35"/>
        <v>9220.0914217438731</v>
      </c>
      <c r="C94" s="195">
        <f t="shared" si="17"/>
        <v>8920.2585239044238</v>
      </c>
      <c r="D94" s="195">
        <f t="shared" si="18"/>
        <v>15902.366642438416</v>
      </c>
      <c r="E94" s="195">
        <f t="shared" si="19"/>
        <v>34042.716588086711</v>
      </c>
      <c r="F94" s="221">
        <f t="shared" si="20"/>
        <v>0.27083888554800162</v>
      </c>
      <c r="H94" s="206">
        <v>2030</v>
      </c>
      <c r="I94" s="195">
        <f t="shared" si="21"/>
        <v>5282.9475444693207</v>
      </c>
      <c r="J94" s="195">
        <f t="shared" si="22"/>
        <v>792.7367155804825</v>
      </c>
      <c r="K94" s="195">
        <f t="shared" si="23"/>
        <v>9081.5483285491082</v>
      </c>
      <c r="L94" s="195">
        <f t="shared" si="24"/>
        <v>4189.8366775617305</v>
      </c>
      <c r="M94" s="195">
        <f t="shared" si="25"/>
        <v>15438.831121424135</v>
      </c>
      <c r="O94" s="195">
        <f t="shared" si="26"/>
        <v>6075.684260049803</v>
      </c>
      <c r="P94" s="196">
        <f t="shared" si="27"/>
        <v>0.86952305589790735</v>
      </c>
      <c r="Q94" s="195">
        <f t="shared" si="28"/>
        <v>28710.216127534972</v>
      </c>
      <c r="R94" s="196">
        <f t="shared" si="29"/>
        <v>0.14593539313496856</v>
      </c>
      <c r="S94" s="464">
        <f t="shared" si="30"/>
        <v>34785.900387584777</v>
      </c>
      <c r="T94" s="196">
        <f t="shared" si="36"/>
        <v>0.17465939338509226</v>
      </c>
      <c r="W94" s="195">
        <f t="shared" si="38"/>
        <v>252.69280028717913</v>
      </c>
      <c r="X94" s="195">
        <f t="shared" si="31"/>
        <v>161.28980464468441</v>
      </c>
      <c r="Y94" s="195">
        <f t="shared" si="39"/>
        <v>329.20119456620159</v>
      </c>
      <c r="Z94" s="195">
        <f t="shared" si="41"/>
        <v>743.18379949806513</v>
      </c>
      <c r="AA94" s="196">
        <f t="shared" si="42"/>
        <v>0.15038900420671236</v>
      </c>
      <c r="AB94" s="196">
        <f t="shared" si="32"/>
        <v>0.1896248664641014</v>
      </c>
      <c r="AC94" s="196">
        <f t="shared" si="40"/>
        <v>0.34001387067081379</v>
      </c>
      <c r="AD94" s="247">
        <f t="shared" si="37"/>
        <v>0.65998612932918621</v>
      </c>
      <c r="AF94" s="251">
        <f t="shared" si="33"/>
        <v>0.55769744360719831</v>
      </c>
      <c r="AG94" s="251">
        <f t="shared" si="34"/>
        <v>0.44230255639280158</v>
      </c>
    </row>
    <row r="95" spans="1:33" x14ac:dyDescent="0.25">
      <c r="A95" s="206">
        <v>2031</v>
      </c>
      <c r="B95" s="195">
        <f t="shared" si="35"/>
        <v>9596.5771747688686</v>
      </c>
      <c r="C95" s="195">
        <f t="shared" si="17"/>
        <v>9076.7002200218503</v>
      </c>
      <c r="D95" s="195">
        <f t="shared" si="18"/>
        <v>16107.647320087523</v>
      </c>
      <c r="E95" s="195">
        <f t="shared" si="19"/>
        <v>34780.924714878238</v>
      </c>
      <c r="F95" s="221">
        <f t="shared" si="20"/>
        <v>0.2759149520444964</v>
      </c>
      <c r="H95" s="206">
        <v>2031</v>
      </c>
      <c r="I95" s="195">
        <f t="shared" si="21"/>
        <v>5536.6551263051488</v>
      </c>
      <c r="J95" s="195">
        <f t="shared" si="22"/>
        <v>823.39428979220099</v>
      </c>
      <c r="K95" s="195">
        <f t="shared" si="23"/>
        <v>9263.6831543626449</v>
      </c>
      <c r="L95" s="195">
        <f t="shared" si="24"/>
        <v>4358.8247871161602</v>
      </c>
      <c r="M95" s="195">
        <f t="shared" si="25"/>
        <v>15665.09696038451</v>
      </c>
      <c r="O95" s="195">
        <f t="shared" si="26"/>
        <v>6360.0494160973494</v>
      </c>
      <c r="P95" s="196">
        <f t="shared" si="27"/>
        <v>0.87053649493537244</v>
      </c>
      <c r="Q95" s="195">
        <f t="shared" si="28"/>
        <v>29287.604901863313</v>
      </c>
      <c r="R95" s="196">
        <f t="shared" si="29"/>
        <v>0.14882831155779647</v>
      </c>
      <c r="S95" s="464">
        <f t="shared" si="30"/>
        <v>35647.65431796066</v>
      </c>
      <c r="T95" s="196">
        <f t="shared" si="36"/>
        <v>0.17841424738269276</v>
      </c>
      <c r="W95" s="195">
        <f t="shared" si="38"/>
        <v>298.90273865244126</v>
      </c>
      <c r="X95" s="195">
        <f t="shared" si="31"/>
        <v>186.9829343407946</v>
      </c>
      <c r="Y95" s="195">
        <f t="shared" si="39"/>
        <v>380.84393008918778</v>
      </c>
      <c r="Z95" s="195">
        <f t="shared" si="41"/>
        <v>866.72960308242364</v>
      </c>
      <c r="AA95" s="196">
        <f t="shared" si="42"/>
        <v>0.15190735938852395</v>
      </c>
      <c r="AB95" s="196">
        <f t="shared" si="32"/>
        <v>0.19295537241321467</v>
      </c>
      <c r="AC95" s="196">
        <f t="shared" si="40"/>
        <v>0.34486273180173865</v>
      </c>
      <c r="AD95" s="247">
        <f t="shared" si="37"/>
        <v>0.65513726819826135</v>
      </c>
      <c r="AF95" s="251">
        <f t="shared" si="33"/>
        <v>0.55951355313204609</v>
      </c>
      <c r="AG95" s="251">
        <f t="shared" si="34"/>
        <v>0.44048644686795385</v>
      </c>
    </row>
    <row r="96" spans="1:33" x14ac:dyDescent="0.25">
      <c r="A96" s="206">
        <v>2032</v>
      </c>
      <c r="B96" s="195">
        <f t="shared" si="35"/>
        <v>9984.1411755636291</v>
      </c>
      <c r="C96" s="195">
        <f t="shared" si="17"/>
        <v>9226.4342205678695</v>
      </c>
      <c r="D96" s="195">
        <f t="shared" si="18"/>
        <v>16317.018299733127</v>
      </c>
      <c r="E96" s="195">
        <f t="shared" si="19"/>
        <v>35527.593695864627</v>
      </c>
      <c r="F96" s="221">
        <f t="shared" si="20"/>
        <v>0.2810249762771232</v>
      </c>
      <c r="H96" s="206">
        <v>2032</v>
      </c>
      <c r="I96" s="195">
        <f t="shared" si="21"/>
        <v>5800.6583696005064</v>
      </c>
      <c r="J96" s="195">
        <f t="shared" si="22"/>
        <v>855.14755272243531</v>
      </c>
      <c r="K96" s="195">
        <f t="shared" si="23"/>
        <v>9440.6950957695153</v>
      </c>
      <c r="L96" s="195">
        <f t="shared" si="24"/>
        <v>4532.7760204889928</v>
      </c>
      <c r="M96" s="195">
        <f t="shared" si="25"/>
        <v>15897.582671151446</v>
      </c>
      <c r="O96" s="195">
        <f t="shared" si="26"/>
        <v>6655.805922322942</v>
      </c>
      <c r="P96" s="196">
        <f t="shared" si="27"/>
        <v>0.871518556474979</v>
      </c>
      <c r="Q96" s="195">
        <f t="shared" si="28"/>
        <v>29871.053787409954</v>
      </c>
      <c r="R96" s="196">
        <f t="shared" si="29"/>
        <v>0.1517447644381219</v>
      </c>
      <c r="S96" s="464">
        <f t="shared" si="30"/>
        <v>36526.859709732897</v>
      </c>
      <c r="T96" s="196">
        <f t="shared" si="36"/>
        <v>0.18221675707176779</v>
      </c>
      <c r="W96" s="195">
        <f t="shared" si="38"/>
        <v>349.29321452587101</v>
      </c>
      <c r="X96" s="195">
        <f t="shared" si="31"/>
        <v>214.26087520164583</v>
      </c>
      <c r="Y96" s="195">
        <f t="shared" si="39"/>
        <v>435.71192414075449</v>
      </c>
      <c r="Z96" s="195">
        <f t="shared" si="41"/>
        <v>999.26601386827133</v>
      </c>
      <c r="AA96" s="196">
        <f t="shared" si="42"/>
        <v>0.15333051891419897</v>
      </c>
      <c r="AB96" s="196">
        <f t="shared" si="32"/>
        <v>0.19621926030196549</v>
      </c>
      <c r="AC96" s="196">
        <f t="shared" si="40"/>
        <v>0.34954977921616448</v>
      </c>
      <c r="AD96" s="247">
        <f t="shared" si="37"/>
        <v>0.65045022078383552</v>
      </c>
      <c r="AF96" s="251">
        <f t="shared" si="33"/>
        <v>0.56134854595522965</v>
      </c>
      <c r="AG96" s="251">
        <f t="shared" si="34"/>
        <v>0.43865145404477024</v>
      </c>
    </row>
    <row r="97" spans="1:33" x14ac:dyDescent="0.25">
      <c r="A97" s="206">
        <v>2033</v>
      </c>
      <c r="B97" s="195">
        <f t="shared" si="35"/>
        <v>10383.001037432308</v>
      </c>
      <c r="C97" s="195">
        <f t="shared" si="17"/>
        <v>9369.7417654957553</v>
      </c>
      <c r="D97" s="195">
        <f t="shared" si="18"/>
        <v>16530.262626282718</v>
      </c>
      <c r="E97" s="195">
        <f t="shared" si="19"/>
        <v>36283.005429210782</v>
      </c>
      <c r="F97" s="221">
        <f t="shared" si="20"/>
        <v>0.28616706126205149</v>
      </c>
      <c r="H97" s="206">
        <v>2033</v>
      </c>
      <c r="I97" s="195">
        <f t="shared" si="21"/>
        <v>6074.8987917168934</v>
      </c>
      <c r="J97" s="195">
        <f t="shared" si="22"/>
        <v>887.9435691512906</v>
      </c>
      <c r="K97" s="195">
        <f t="shared" si="23"/>
        <v>9612.5660157181646</v>
      </c>
      <c r="L97" s="195">
        <f t="shared" si="24"/>
        <v>4711.5601126325982</v>
      </c>
      <c r="M97" s="195">
        <f t="shared" si="25"/>
        <v>16135.597614284236</v>
      </c>
      <c r="O97" s="195">
        <f t="shared" si="26"/>
        <v>6962.8423608681842</v>
      </c>
      <c r="P97" s="196">
        <f t="shared" si="27"/>
        <v>0.87247398072062987</v>
      </c>
      <c r="Q97" s="195">
        <f t="shared" si="28"/>
        <v>30459.723742634997</v>
      </c>
      <c r="R97" s="196">
        <f t="shared" si="29"/>
        <v>0.1546816429604628</v>
      </c>
      <c r="S97" s="464">
        <f t="shared" si="30"/>
        <v>37422.566103503181</v>
      </c>
      <c r="T97" s="196">
        <f t="shared" si="36"/>
        <v>0.1860599922947663</v>
      </c>
      <c r="W97" s="195">
        <f t="shared" si="38"/>
        <v>403.45786691718422</v>
      </c>
      <c r="X97" s="195">
        <f t="shared" si="31"/>
        <v>242.82425022240932</v>
      </c>
      <c r="Y97" s="195">
        <f t="shared" si="39"/>
        <v>493.27855715280748</v>
      </c>
      <c r="Z97" s="195">
        <f t="shared" si="41"/>
        <v>1139.560674292401</v>
      </c>
      <c r="AA97" s="196">
        <f t="shared" si="42"/>
        <v>0.15464880832800562</v>
      </c>
      <c r="AB97" s="196">
        <f t="shared" si="32"/>
        <v>0.19939804149656151</v>
      </c>
      <c r="AC97" s="196">
        <f t="shared" si="40"/>
        <v>0.35404684982456719</v>
      </c>
      <c r="AD97" s="247">
        <f t="shared" si="37"/>
        <v>0.64595315017543287</v>
      </c>
      <c r="AF97" s="251">
        <f t="shared" si="33"/>
        <v>0.56319676787228778</v>
      </c>
      <c r="AG97" s="251">
        <f t="shared" si="34"/>
        <v>0.43680323212771205</v>
      </c>
    </row>
    <row r="98" spans="1:33" x14ac:dyDescent="0.25">
      <c r="A98" s="206">
        <v>2034</v>
      </c>
      <c r="B98" s="195">
        <f t="shared" si="35"/>
        <v>10793.374373679047</v>
      </c>
      <c r="C98" s="195">
        <f t="shared" si="17"/>
        <v>9506.9040947587873</v>
      </c>
      <c r="D98" s="195">
        <f t="shared" si="18"/>
        <v>16747.163344643785</v>
      </c>
      <c r="E98" s="195">
        <f t="shared" si="19"/>
        <v>37047.441813081619</v>
      </c>
      <c r="F98" s="221">
        <f t="shared" si="20"/>
        <v>0.29133926245530556</v>
      </c>
      <c r="H98" s="206">
        <v>2034</v>
      </c>
      <c r="I98" s="195">
        <f t="shared" si="21"/>
        <v>6359.1713859027941</v>
      </c>
      <c r="J98" s="195">
        <f t="shared" si="22"/>
        <v>921.70134590600219</v>
      </c>
      <c r="K98" s="195">
        <f t="shared" si="23"/>
        <v>9779.1714676935517</v>
      </c>
      <c r="L98" s="195">
        <f t="shared" si="24"/>
        <v>4894.9788194964676</v>
      </c>
      <c r="M98" s="195">
        <f t="shared" si="25"/>
        <v>16378.281127322385</v>
      </c>
      <c r="O98" s="195">
        <f t="shared" si="26"/>
        <v>7280.8727318087967</v>
      </c>
      <c r="P98" s="196">
        <f t="shared" si="27"/>
        <v>0.87340784822686723</v>
      </c>
      <c r="Q98" s="195">
        <f t="shared" si="28"/>
        <v>31052.431414512404</v>
      </c>
      <c r="R98" s="196">
        <f t="shared" si="29"/>
        <v>0.15763592725330974</v>
      </c>
      <c r="S98" s="464">
        <f t="shared" si="30"/>
        <v>38333.304146321199</v>
      </c>
      <c r="T98" s="196">
        <f t="shared" si="36"/>
        <v>0.18993595501230837</v>
      </c>
      <c r="W98" s="195">
        <f t="shared" si="38"/>
        <v>460.77583172021514</v>
      </c>
      <c r="X98" s="195">
        <f t="shared" si="31"/>
        <v>272.26737293476435</v>
      </c>
      <c r="Y98" s="195">
        <f t="shared" si="39"/>
        <v>552.81912858460419</v>
      </c>
      <c r="Z98" s="195">
        <f t="shared" si="41"/>
        <v>1285.8623332395837</v>
      </c>
      <c r="AA98" s="196">
        <f t="shared" si="42"/>
        <v>0.15585951723662145</v>
      </c>
      <c r="AB98" s="196">
        <f t="shared" si="32"/>
        <v>0.2024804230580311</v>
      </c>
      <c r="AC98" s="196">
        <f t="shared" si="40"/>
        <v>0.3583399402946526</v>
      </c>
      <c r="AD98" s="247">
        <f t="shared" si="37"/>
        <v>0.64166005970534734</v>
      </c>
      <c r="AF98" s="251">
        <f t="shared" si="33"/>
        <v>0.56505122731096424</v>
      </c>
      <c r="AG98" s="251">
        <f t="shared" si="34"/>
        <v>0.43494877268903565</v>
      </c>
    </row>
    <row r="99" spans="1:33" x14ac:dyDescent="0.25">
      <c r="A99" s="206">
        <v>2035</v>
      </c>
      <c r="B99" s="195">
        <f t="shared" si="35"/>
        <v>11215.478797607999</v>
      </c>
      <c r="C99" s="195">
        <f t="shared" si="17"/>
        <v>9638.2024483102414</v>
      </c>
      <c r="D99" s="195">
        <f t="shared" si="18"/>
        <v>16967.503499723811</v>
      </c>
      <c r="E99" s="195">
        <f t="shared" si="19"/>
        <v>37821.184745642051</v>
      </c>
      <c r="F99" s="221">
        <f t="shared" si="20"/>
        <v>0.29653959475450603</v>
      </c>
      <c r="H99" s="206">
        <v>2035</v>
      </c>
      <c r="I99" s="195">
        <f t="shared" si="21"/>
        <v>6653.3607666238568</v>
      </c>
      <c r="J99" s="195">
        <f t="shared" si="22"/>
        <v>956.3554685998796</v>
      </c>
      <c r="K99" s="195">
        <f t="shared" si="23"/>
        <v>9940.468922436874</v>
      </c>
      <c r="L99" s="195">
        <f t="shared" si="24"/>
        <v>5082.9127718925611</v>
      </c>
      <c r="M99" s="195">
        <f t="shared" si="25"/>
        <v>16624.92647398957</v>
      </c>
      <c r="O99" s="195">
        <f t="shared" si="26"/>
        <v>7609.7162352237365</v>
      </c>
      <c r="P99" s="196">
        <f t="shared" si="27"/>
        <v>0.87432442432306257</v>
      </c>
      <c r="Q99" s="195">
        <f t="shared" si="28"/>
        <v>31648.308168319007</v>
      </c>
      <c r="R99" s="196">
        <f t="shared" si="29"/>
        <v>0.16060614503813267</v>
      </c>
      <c r="S99" s="464">
        <f t="shared" si="30"/>
        <v>39258.024403542746</v>
      </c>
      <c r="T99" s="196">
        <f t="shared" si="36"/>
        <v>0.19383849164190278</v>
      </c>
      <c r="W99" s="195">
        <f t="shared" si="38"/>
        <v>520.79474090841904</v>
      </c>
      <c r="X99" s="195">
        <f t="shared" si="31"/>
        <v>302.2664741266326</v>
      </c>
      <c r="Y99" s="195">
        <f t="shared" si="39"/>
        <v>613.77844286563777</v>
      </c>
      <c r="Z99" s="195">
        <f t="shared" si="41"/>
        <v>1436.8396579006894</v>
      </c>
      <c r="AA99" s="196">
        <f t="shared" si="42"/>
        <v>0.15697869607664089</v>
      </c>
      <c r="AB99" s="196">
        <f t="shared" si="32"/>
        <v>0.20547979958412893</v>
      </c>
      <c r="AC99" s="196">
        <f t="shared" si="40"/>
        <v>0.36245849566076982</v>
      </c>
      <c r="AD99" s="247">
        <f t="shared" si="37"/>
        <v>0.63754150433923018</v>
      </c>
      <c r="AF99" s="251">
        <f t="shared" si="33"/>
        <v>0.5669057341573267</v>
      </c>
      <c r="AG99" s="251">
        <f t="shared" si="34"/>
        <v>0.43309426584267324</v>
      </c>
    </row>
    <row r="100" spans="1:33" x14ac:dyDescent="0.25">
      <c r="A100" s="206">
        <v>2036</v>
      </c>
      <c r="B100" s="195">
        <f t="shared" si="35"/>
        <v>11649.531922523303</v>
      </c>
      <c r="C100" s="195">
        <f t="shared" si="17"/>
        <v>9763.9180661033934</v>
      </c>
      <c r="D100" s="195">
        <f t="shared" si="18"/>
        <v>17191.06613643028</v>
      </c>
      <c r="E100" s="195">
        <f t="shared" si="19"/>
        <v>38604.51612505698</v>
      </c>
      <c r="F100" s="221">
        <f t="shared" si="20"/>
        <v>0.30176603910240329</v>
      </c>
      <c r="H100" s="206">
        <v>2036</v>
      </c>
      <c r="I100" s="195">
        <f t="shared" si="21"/>
        <v>6957.5430811438646</v>
      </c>
      <c r="J100" s="195">
        <f t="shared" si="22"/>
        <v>991.87428531183639</v>
      </c>
      <c r="K100" s="195">
        <f t="shared" si="23"/>
        <v>10096.564101750833</v>
      </c>
      <c r="L100" s="195">
        <f t="shared" si="24"/>
        <v>5275.3667606132185</v>
      </c>
      <c r="M100" s="195">
        <f t="shared" si="25"/>
        <v>16875.073064573862</v>
      </c>
      <c r="O100" s="195">
        <f t="shared" si="26"/>
        <v>7949.4173664557011</v>
      </c>
      <c r="P100" s="196">
        <f t="shared" si="27"/>
        <v>0.87522679467085651</v>
      </c>
      <c r="Q100" s="195">
        <f t="shared" si="28"/>
        <v>32247.003926937912</v>
      </c>
      <c r="R100" s="196">
        <f t="shared" si="29"/>
        <v>0.16359246187849344</v>
      </c>
      <c r="S100" s="464">
        <f t="shared" si="30"/>
        <v>40196.421293393614</v>
      </c>
      <c r="T100" s="196">
        <f t="shared" si="36"/>
        <v>0.19776430614140789</v>
      </c>
      <c r="W100" s="195">
        <f t="shared" si="38"/>
        <v>583.37791923377881</v>
      </c>
      <c r="X100" s="195">
        <f t="shared" si="31"/>
        <v>332.64603564743993</v>
      </c>
      <c r="Y100" s="195">
        <f t="shared" si="39"/>
        <v>675.88121345541731</v>
      </c>
      <c r="Z100" s="195">
        <f t="shared" si="41"/>
        <v>1591.9051683366361</v>
      </c>
      <c r="AA100" s="196">
        <f t="shared" si="42"/>
        <v>0.15803587233479124</v>
      </c>
      <c r="AB100" s="196">
        <f t="shared" si="32"/>
        <v>0.20842937373469916</v>
      </c>
      <c r="AC100" s="196">
        <f t="shared" si="40"/>
        <v>0.36646524606949038</v>
      </c>
      <c r="AD100" s="247">
        <f t="shared" si="37"/>
        <v>0.63353475393050962</v>
      </c>
      <c r="AF100" s="251">
        <f t="shared" si="33"/>
        <v>0.56875618075711354</v>
      </c>
      <c r="AG100" s="251">
        <f t="shared" si="34"/>
        <v>0.43124381924288652</v>
      </c>
    </row>
    <row r="101" spans="1:33" x14ac:dyDescent="0.25">
      <c r="A101" s="206">
        <v>2037</v>
      </c>
      <c r="B101" s="195">
        <f t="shared" si="35"/>
        <v>12095.751361729115</v>
      </c>
      <c r="C101" s="195">
        <f t="shared" si="17"/>
        <v>9884.3321880915209</v>
      </c>
      <c r="D101" s="195">
        <f t="shared" si="18"/>
        <v>17417.634299670681</v>
      </c>
      <c r="E101" s="195">
        <f t="shared" si="19"/>
        <v>39397.717849491317</v>
      </c>
      <c r="F101" s="221">
        <f t="shared" si="20"/>
        <v>0.30701654872339995</v>
      </c>
      <c r="H101" s="206">
        <v>2037</v>
      </c>
      <c r="I101" s="195">
        <f t="shared" si="21"/>
        <v>7272.0246204498453</v>
      </c>
      <c r="J101" s="195">
        <f t="shared" si="22"/>
        <v>1028.2660308659601</v>
      </c>
      <c r="K101" s="195">
        <f t="shared" si="23"/>
        <v>10247.745171857108</v>
      </c>
      <c r="L101" s="195">
        <f t="shared" si="24"/>
        <v>5472.4841794874774</v>
      </c>
      <c r="M101" s="195">
        <f t="shared" si="25"/>
        <v>17128.572182017226</v>
      </c>
      <c r="O101" s="195">
        <f t="shared" si="26"/>
        <v>8300.290651315805</v>
      </c>
      <c r="P101" s="196">
        <f t="shared" si="27"/>
        <v>0.87611686456992277</v>
      </c>
      <c r="Q101" s="195">
        <f t="shared" si="28"/>
        <v>32848.80153336181</v>
      </c>
      <c r="R101" s="196">
        <f t="shared" si="29"/>
        <v>0.16659615949548504</v>
      </c>
      <c r="S101" s="464">
        <f t="shared" si="30"/>
        <v>41149.092184677618</v>
      </c>
      <c r="T101" s="196">
        <f t="shared" si="36"/>
        <v>0.20171260678276939</v>
      </c>
      <c r="W101" s="195">
        <f t="shared" si="38"/>
        <v>648.75743820820753</v>
      </c>
      <c r="X101" s="195">
        <f t="shared" si="31"/>
        <v>363.41298376558734</v>
      </c>
      <c r="Y101" s="195">
        <f t="shared" si="39"/>
        <v>739.20391321250645</v>
      </c>
      <c r="Z101" s="195">
        <f t="shared" si="41"/>
        <v>1751.3743351863013</v>
      </c>
      <c r="AA101" s="196">
        <f t="shared" si="42"/>
        <v>0.15906139325092605</v>
      </c>
      <c r="AB101" s="196">
        <f t="shared" si="32"/>
        <v>0.21136623331309823</v>
      </c>
      <c r="AC101" s="196">
        <f t="shared" si="40"/>
        <v>0.37042762656402428</v>
      </c>
      <c r="AD101" s="247">
        <f t="shared" si="37"/>
        <v>0.62957237343597572</v>
      </c>
      <c r="AF101" s="251">
        <f t="shared" si="33"/>
        <v>0.57060061981248023</v>
      </c>
      <c r="AG101" s="251">
        <f t="shared" si="34"/>
        <v>0.42939938018751972</v>
      </c>
    </row>
    <row r="102" spans="1:33" x14ac:dyDescent="0.25">
      <c r="A102" s="206">
        <v>2038</v>
      </c>
      <c r="B102" s="195">
        <f t="shared" si="35"/>
        <v>12554.35472852957</v>
      </c>
      <c r="C102" s="195">
        <f t="shared" si="17"/>
        <v>9999.7260542279018</v>
      </c>
      <c r="D102" s="195">
        <f t="shared" si="18"/>
        <v>17646.991034352497</v>
      </c>
      <c r="E102" s="195">
        <f t="shared" si="19"/>
        <v>40201.071817109972</v>
      </c>
      <c r="F102" s="221">
        <f t="shared" si="20"/>
        <v>0.31228905501933191</v>
      </c>
      <c r="H102" s="206">
        <v>2038</v>
      </c>
      <c r="I102" s="195">
        <f t="shared" si="21"/>
        <v>7597.2050479156087</v>
      </c>
      <c r="J102" s="195">
        <f t="shared" si="22"/>
        <v>1065.5563283898205</v>
      </c>
      <c r="K102" s="195">
        <f t="shared" si="23"/>
        <v>10394.3805876922</v>
      </c>
      <c r="L102" s="195">
        <f t="shared" si="24"/>
        <v>5674.4608676248081</v>
      </c>
      <c r="M102" s="195">
        <f t="shared" si="25"/>
        <v>17385.422947704748</v>
      </c>
      <c r="O102" s="195">
        <f t="shared" si="26"/>
        <v>8662.7613763054287</v>
      </c>
      <c r="P102" s="196">
        <f t="shared" si="27"/>
        <v>0.8769957658877281</v>
      </c>
      <c r="Q102" s="195">
        <f t="shared" si="28"/>
        <v>33454.264403021756</v>
      </c>
      <c r="R102" s="196">
        <f t="shared" si="29"/>
        <v>0.1696184617681285</v>
      </c>
      <c r="S102" s="464">
        <f t="shared" si="30"/>
        <v>42117.025779327189</v>
      </c>
      <c r="T102" s="196">
        <f t="shared" si="36"/>
        <v>0.20568312258548602</v>
      </c>
      <c r="W102" s="195">
        <f t="shared" si="38"/>
        <v>717.31118701084597</v>
      </c>
      <c r="X102" s="195">
        <f t="shared" si="31"/>
        <v>394.65453346429786</v>
      </c>
      <c r="Y102" s="195">
        <f t="shared" si="39"/>
        <v>803.98824174207039</v>
      </c>
      <c r="Z102" s="195">
        <f t="shared" si="41"/>
        <v>1915.9539622172142</v>
      </c>
      <c r="AA102" s="196">
        <f t="shared" si="42"/>
        <v>0.16007433241280195</v>
      </c>
      <c r="AB102" s="196">
        <f t="shared" si="32"/>
        <v>0.21431419735163271</v>
      </c>
      <c r="AC102" s="196">
        <f t="shared" si="40"/>
        <v>0.37438852976443465</v>
      </c>
      <c r="AD102" s="247">
        <f t="shared" si="37"/>
        <v>0.6256114702355654</v>
      </c>
      <c r="AF102" s="251">
        <f t="shared" si="33"/>
        <v>0.57243793629703144</v>
      </c>
      <c r="AG102" s="251">
        <f t="shared" si="34"/>
        <v>0.42756206370296856</v>
      </c>
    </row>
    <row r="103" spans="1:33" x14ac:dyDescent="0.25">
      <c r="A103" s="206">
        <v>2039</v>
      </c>
      <c r="B103" s="195">
        <f t="shared" si="35"/>
        <v>13025.559636228825</v>
      </c>
      <c r="C103" s="195">
        <f t="shared" si="17"/>
        <v>10110.38090446581</v>
      </c>
      <c r="D103" s="195">
        <f t="shared" si="18"/>
        <v>17878.919385383218</v>
      </c>
      <c r="E103" s="195">
        <f t="shared" si="19"/>
        <v>41014.859926077857</v>
      </c>
      <c r="F103" s="221">
        <f t="shared" si="20"/>
        <v>0.31758147314668705</v>
      </c>
      <c r="H103" s="206">
        <v>2039</v>
      </c>
      <c r="I103" s="195">
        <f t="shared" si="21"/>
        <v>7933.6340242817132</v>
      </c>
      <c r="J103" s="195">
        <f t="shared" si="22"/>
        <v>1103.7949853148889</v>
      </c>
      <c r="K103" s="195">
        <f t="shared" si="23"/>
        <v>10536.94846209253</v>
      </c>
      <c r="L103" s="195">
        <f t="shared" si="24"/>
        <v>5881.5664060090185</v>
      </c>
      <c r="M103" s="195">
        <f t="shared" si="25"/>
        <v>17645.807177032588</v>
      </c>
      <c r="O103" s="195">
        <f t="shared" si="26"/>
        <v>9037.4290095966026</v>
      </c>
      <c r="P103" s="196">
        <f t="shared" si="27"/>
        <v>0.87786404915127969</v>
      </c>
      <c r="Q103" s="195">
        <f t="shared" si="28"/>
        <v>34064.322045134133</v>
      </c>
      <c r="R103" s="196">
        <f t="shared" si="29"/>
        <v>0.17266060361383773</v>
      </c>
      <c r="S103" s="464">
        <f t="shared" si="30"/>
        <v>43101.751054730732</v>
      </c>
      <c r="T103" s="196">
        <f t="shared" si="36"/>
        <v>0.20967660915030686</v>
      </c>
      <c r="W103" s="195">
        <f t="shared" si="38"/>
        <v>789.64079406190649</v>
      </c>
      <c r="X103" s="195">
        <f t="shared" si="31"/>
        <v>426.56755762672037</v>
      </c>
      <c r="Y103" s="195">
        <f t="shared" si="39"/>
        <v>870.68277696425866</v>
      </c>
      <c r="Z103" s="195">
        <f t="shared" si="41"/>
        <v>2086.8911286528855</v>
      </c>
      <c r="AA103" s="196">
        <f t="shared" si="42"/>
        <v>0.16108889351929934</v>
      </c>
      <c r="AB103" s="196">
        <f t="shared" si="32"/>
        <v>0.21729250990907673</v>
      </c>
      <c r="AC103" s="196">
        <f t="shared" si="40"/>
        <v>0.37838140342837606</v>
      </c>
      <c r="AD103" s="247">
        <f t="shared" si="37"/>
        <v>0.62161859657162399</v>
      </c>
      <c r="AF103" s="251">
        <f t="shared" si="33"/>
        <v>0.57426847075535015</v>
      </c>
      <c r="AG103" s="251">
        <f t="shared" si="34"/>
        <v>0.42573152924464991</v>
      </c>
    </row>
    <row r="104" spans="1:33" x14ac:dyDescent="0.25">
      <c r="A104" s="206">
        <v>2040</v>
      </c>
      <c r="B104" s="195">
        <f t="shared" si="35"/>
        <v>13509.583698131024</v>
      </c>
      <c r="C104" s="195">
        <f t="shared" si="17"/>
        <v>10216.577978758527</v>
      </c>
      <c r="D104" s="195">
        <f t="shared" si="18"/>
        <v>18113.202397670328</v>
      </c>
      <c r="E104" s="195">
        <f t="shared" si="19"/>
        <v>41839.364074559882</v>
      </c>
      <c r="F104" s="221">
        <f t="shared" si="20"/>
        <v>0.32289170729402711</v>
      </c>
      <c r="H104" s="206">
        <v>2040</v>
      </c>
      <c r="I104" s="195">
        <f t="shared" si="21"/>
        <v>8281.8517032861728</v>
      </c>
      <c r="J104" s="195">
        <f t="shared" si="22"/>
        <v>1143.0270319858446</v>
      </c>
      <c r="K104" s="195">
        <f t="shared" si="23"/>
        <v>10675.900872589382</v>
      </c>
      <c r="L104" s="195">
        <f t="shared" si="24"/>
        <v>6094.0515332148552</v>
      </c>
      <c r="M104" s="195">
        <f t="shared" si="25"/>
        <v>17909.844213289343</v>
      </c>
      <c r="O104" s="195">
        <f t="shared" si="26"/>
        <v>9424.8787352720174</v>
      </c>
      <c r="P104" s="196">
        <f t="shared" si="27"/>
        <v>0.87872236194316877</v>
      </c>
      <c r="Q104" s="195">
        <f t="shared" si="28"/>
        <v>34679.796619093577</v>
      </c>
      <c r="R104" s="196">
        <f t="shared" si="29"/>
        <v>0.17572339307952189</v>
      </c>
      <c r="S104" s="464">
        <f t="shared" si="30"/>
        <v>44104.675354365594</v>
      </c>
      <c r="T104" s="196">
        <f t="shared" si="36"/>
        <v>0.2136934159371183</v>
      </c>
      <c r="W104" s="195">
        <f t="shared" si="38"/>
        <v>866.31953837000401</v>
      </c>
      <c r="X104" s="195">
        <f t="shared" si="31"/>
        <v>459.32289383085481</v>
      </c>
      <c r="Y104" s="195">
        <f t="shared" si="39"/>
        <v>939.66884760485846</v>
      </c>
      <c r="Z104" s="195">
        <f t="shared" si="41"/>
        <v>2265.3112798057173</v>
      </c>
      <c r="AA104" s="196">
        <f t="shared" si="42"/>
        <v>0.16211425443723548</v>
      </c>
      <c r="AB104" s="196">
        <f t="shared" si="32"/>
        <v>0.22031422066588732</v>
      </c>
      <c r="AC104" s="196">
        <f t="shared" si="40"/>
        <v>0.38242847510312283</v>
      </c>
      <c r="AD104" s="247">
        <f t="shared" si="37"/>
        <v>0.61757152489687717</v>
      </c>
      <c r="AF104" s="251">
        <f t="shared" si="33"/>
        <v>0.57609261602834105</v>
      </c>
      <c r="AG104" s="251">
        <f t="shared" si="34"/>
        <v>0.42390738397165889</v>
      </c>
    </row>
    <row r="105" spans="1:33" x14ac:dyDescent="0.25">
      <c r="A105" s="206">
        <v>2041</v>
      </c>
      <c r="B105" s="195">
        <f t="shared" si="35"/>
        <v>14006.644527540313</v>
      </c>
      <c r="C105" s="195">
        <f t="shared" si="17"/>
        <v>10318.598517059323</v>
      </c>
      <c r="D105" s="195">
        <f t="shared" si="18"/>
        <v>18349.623116121311</v>
      </c>
      <c r="E105" s="195">
        <f t="shared" si="19"/>
        <v>42674.866160720951</v>
      </c>
      <c r="F105" s="221">
        <f t="shared" si="20"/>
        <v>0.3282176556755646</v>
      </c>
      <c r="H105" s="206">
        <v>2041</v>
      </c>
      <c r="I105" s="195">
        <f t="shared" si="21"/>
        <v>8642.2199064103952</v>
      </c>
      <c r="J105" s="195">
        <f t="shared" si="22"/>
        <v>1183.2641163278265</v>
      </c>
      <c r="K105" s="195">
        <f t="shared" si="23"/>
        <v>10811.542540560973</v>
      </c>
      <c r="L105" s="195">
        <f t="shared" si="24"/>
        <v>6312.0714122883746</v>
      </c>
      <c r="M105" s="195">
        <f t="shared" si="25"/>
        <v>18177.422062994257</v>
      </c>
      <c r="O105" s="195">
        <f t="shared" si="26"/>
        <v>9825.484022738221</v>
      </c>
      <c r="P105" s="196">
        <f t="shared" si="27"/>
        <v>0.87957192606598256</v>
      </c>
      <c r="Q105" s="195">
        <f t="shared" si="28"/>
        <v>35301.036015843601</v>
      </c>
      <c r="R105" s="196">
        <f t="shared" si="29"/>
        <v>0.17880697352495345</v>
      </c>
      <c r="S105" s="464">
        <f t="shared" si="30"/>
        <v>45126.520038581824</v>
      </c>
      <c r="T105" s="196">
        <f t="shared" si="36"/>
        <v>0.21773192380750225</v>
      </c>
      <c r="W105" s="195">
        <f t="shared" si="38"/>
        <v>947.64679115845684</v>
      </c>
      <c r="X105" s="195">
        <f t="shared" si="31"/>
        <v>492.94402350165001</v>
      </c>
      <c r="Y105" s="195">
        <f t="shared" si="39"/>
        <v>1011.0630632007742</v>
      </c>
      <c r="Z105" s="195">
        <f t="shared" si="41"/>
        <v>2451.653877860881</v>
      </c>
      <c r="AA105" s="196">
        <f t="shared" si="42"/>
        <v>0.16315237735116062</v>
      </c>
      <c r="AB105" s="196">
        <f t="shared" si="32"/>
        <v>0.22338130087967445</v>
      </c>
      <c r="AC105" s="196">
        <f t="shared" si="40"/>
        <v>0.38653367823083506</v>
      </c>
      <c r="AD105" s="247">
        <f t="shared" si="37"/>
        <v>0.61346632176916494</v>
      </c>
      <c r="AF105" s="251">
        <f t="shared" si="33"/>
        <v>0.5779090243884849</v>
      </c>
      <c r="AG105" s="251">
        <f t="shared" si="34"/>
        <v>0.4220909756115151</v>
      </c>
    </row>
    <row r="106" spans="1:33" x14ac:dyDescent="0.25">
      <c r="A106" s="206">
        <v>2042</v>
      </c>
      <c r="B106" s="195">
        <f t="shared" si="35"/>
        <v>14516.959737760841</v>
      </c>
      <c r="C106" s="195">
        <f t="shared" si="17"/>
        <v>10416.723759321478</v>
      </c>
      <c r="D106" s="195">
        <f t="shared" si="18"/>
        <v>18587.964585643658</v>
      </c>
      <c r="E106" s="195">
        <f t="shared" si="19"/>
        <v>43521.64808272598</v>
      </c>
      <c r="F106" s="221">
        <f t="shared" si="20"/>
        <v>0.33355721525450949</v>
      </c>
      <c r="H106" s="206">
        <v>2042</v>
      </c>
      <c r="I106" s="195">
        <f t="shared" si="21"/>
        <v>9015.0792038594773</v>
      </c>
      <c r="J106" s="195">
        <f t="shared" si="22"/>
        <v>1224.5069312518967</v>
      </c>
      <c r="K106" s="195">
        <f t="shared" si="23"/>
        <v>10944.141679542043</v>
      </c>
      <c r="L106" s="195">
        <f t="shared" si="24"/>
        <v>6535.7584407161612</v>
      </c>
      <c r="M106" s="195">
        <f t="shared" si="25"/>
        <v>18448.321119561449</v>
      </c>
      <c r="O106" s="195">
        <f t="shared" si="26"/>
        <v>10239.586135111374</v>
      </c>
      <c r="P106" s="196">
        <f t="shared" si="27"/>
        <v>0.88041441176483859</v>
      </c>
      <c r="Q106" s="195">
        <f t="shared" si="28"/>
        <v>35928.221239819657</v>
      </c>
      <c r="R106" s="196">
        <f t="shared" si="29"/>
        <v>0.18191155073027956</v>
      </c>
      <c r="S106" s="464">
        <f t="shared" si="30"/>
        <v>46167.807374931028</v>
      </c>
      <c r="T106" s="196">
        <f t="shared" si="36"/>
        <v>0.22179060945986007</v>
      </c>
      <c r="W106" s="195">
        <f t="shared" si="38"/>
        <v>1033.8779068147978</v>
      </c>
      <c r="X106" s="195">
        <f t="shared" si="31"/>
        <v>527.41792022056507</v>
      </c>
      <c r="Y106" s="195">
        <f t="shared" si="39"/>
        <v>1084.8634651696884</v>
      </c>
      <c r="Z106" s="195">
        <f t="shared" si="41"/>
        <v>2646.1592922050513</v>
      </c>
      <c r="AA106" s="196">
        <f t="shared" si="42"/>
        <v>0.16420844028628853</v>
      </c>
      <c r="AB106" s="196">
        <f t="shared" si="32"/>
        <v>0.22650042968248221</v>
      </c>
      <c r="AC106" s="196">
        <f t="shared" si="40"/>
        <v>0.39070886996877074</v>
      </c>
      <c r="AD106" s="247">
        <f t="shared" si="37"/>
        <v>0.60929113003122926</v>
      </c>
      <c r="AF106" s="251">
        <f t="shared" si="33"/>
        <v>0.5797166306989302</v>
      </c>
      <c r="AG106" s="251">
        <f t="shared" si="34"/>
        <v>0.4202833693010698</v>
      </c>
    </row>
    <row r="107" spans="1:33" x14ac:dyDescent="0.25">
      <c r="A107" s="206">
        <v>2043</v>
      </c>
      <c r="B107" s="195">
        <f t="shared" si="35"/>
        <v>15040.746942096746</v>
      </c>
      <c r="C107" s="195">
        <f t="shared" si="17"/>
        <v>10511.234945498272</v>
      </c>
      <c r="D107" s="195">
        <f t="shared" si="18"/>
        <v>18828.009851144852</v>
      </c>
      <c r="E107" s="195">
        <f t="shared" si="19"/>
        <v>44379.991738739875</v>
      </c>
      <c r="F107" s="221">
        <f t="shared" si="20"/>
        <v>0.33890828620789226</v>
      </c>
      <c r="H107" s="206">
        <v>2043</v>
      </c>
      <c r="I107" s="195">
        <f t="shared" si="21"/>
        <v>9400.9846797687496</v>
      </c>
      <c r="J107" s="195">
        <f t="shared" si="22"/>
        <v>1266.7817386292652</v>
      </c>
      <c r="K107" s="195">
        <f t="shared" si="23"/>
        <v>11074.099168588404</v>
      </c>
      <c r="L107" s="195">
        <f t="shared" si="24"/>
        <v>6765.3253641733536</v>
      </c>
      <c r="M107" s="195">
        <f t="shared" si="25"/>
        <v>18722.475760368496</v>
      </c>
      <c r="O107" s="195">
        <f t="shared" si="26"/>
        <v>10667.766418398014</v>
      </c>
      <c r="P107" s="196">
        <f t="shared" si="27"/>
        <v>0.88125145518329617</v>
      </c>
      <c r="Q107" s="195">
        <f t="shared" si="28"/>
        <v>36561.900293130253</v>
      </c>
      <c r="R107" s="196">
        <f t="shared" si="29"/>
        <v>0.18503757490538628</v>
      </c>
      <c r="S107" s="464">
        <f t="shared" si="30"/>
        <v>47229.666711528269</v>
      </c>
      <c r="T107" s="196">
        <f t="shared" si="36"/>
        <v>0.22587003384027954</v>
      </c>
      <c r="W107" s="195">
        <f t="shared" si="38"/>
        <v>1125.5631018453569</v>
      </c>
      <c r="X107" s="195">
        <f t="shared" si="31"/>
        <v>562.86422309013142</v>
      </c>
      <c r="Y107" s="195">
        <f t="shared" si="39"/>
        <v>1161.2476478529097</v>
      </c>
      <c r="Z107" s="195">
        <f t="shared" si="41"/>
        <v>2849.674972788398</v>
      </c>
      <c r="AA107" s="196">
        <f t="shared" si="42"/>
        <v>0.1652921785545764</v>
      </c>
      <c r="AB107" s="196">
        <f t="shared" si="32"/>
        <v>0.22968728843495076</v>
      </c>
      <c r="AC107" s="196">
        <f t="shared" si="40"/>
        <v>0.39497946698952718</v>
      </c>
      <c r="AD107" s="247">
        <f t="shared" si="37"/>
        <v>0.60502053301047276</v>
      </c>
      <c r="AF107" s="251">
        <f t="shared" si="33"/>
        <v>0.58151703476029271</v>
      </c>
      <c r="AG107" s="251">
        <f t="shared" si="34"/>
        <v>0.41848296523970724</v>
      </c>
    </row>
    <row r="108" spans="1:33" x14ac:dyDescent="0.25">
      <c r="A108" s="206">
        <v>2044</v>
      </c>
      <c r="B108" s="195">
        <f t="shared" si="35"/>
        <v>15578.223753852191</v>
      </c>
      <c r="C108" s="195">
        <f t="shared" si="17"/>
        <v>10602.413315542977</v>
      </c>
      <c r="D108" s="195">
        <f t="shared" si="18"/>
        <v>19069.541957532383</v>
      </c>
      <c r="E108" s="195">
        <f t="shared" si="19"/>
        <v>45250.179026927552</v>
      </c>
      <c r="F108" s="221">
        <f t="shared" si="20"/>
        <v>0.34426877614300433</v>
      </c>
      <c r="H108" s="206">
        <v>2044</v>
      </c>
      <c r="I108" s="195">
        <f t="shared" si="21"/>
        <v>9800.5688940417876</v>
      </c>
      <c r="J108" s="195">
        <f t="shared" si="22"/>
        <v>1310.1193687054515</v>
      </c>
      <c r="K108" s="195">
        <f t="shared" si="23"/>
        <v>11201.847404709095</v>
      </c>
      <c r="L108" s="195">
        <f t="shared" si="24"/>
        <v>7000.9998337591405</v>
      </c>
      <c r="M108" s="195">
        <f t="shared" si="25"/>
        <v>18999.826745856131</v>
      </c>
      <c r="O108" s="195">
        <f t="shared" si="26"/>
        <v>11110.688262747239</v>
      </c>
      <c r="P108" s="196">
        <f t="shared" si="27"/>
        <v>0.88208476939289904</v>
      </c>
      <c r="Q108" s="195">
        <f t="shared" si="28"/>
        <v>37202.673984324363</v>
      </c>
      <c r="R108" s="196">
        <f t="shared" si="29"/>
        <v>0.18818539325181483</v>
      </c>
      <c r="S108" s="464">
        <f t="shared" si="30"/>
        <v>48313.3622470716</v>
      </c>
      <c r="T108" s="196">
        <f t="shared" si="36"/>
        <v>0.229971331863178</v>
      </c>
      <c r="W108" s="195">
        <f t="shared" si="38"/>
        <v>1223.3449739487369</v>
      </c>
      <c r="X108" s="195">
        <f t="shared" si="31"/>
        <v>599.4340891661177</v>
      </c>
      <c r="Y108" s="195">
        <f t="shared" si="39"/>
        <v>1240.4041570291993</v>
      </c>
      <c r="Z108" s="195">
        <f t="shared" si="41"/>
        <v>3063.1832201440538</v>
      </c>
      <c r="AA108" s="196">
        <f t="shared" si="42"/>
        <v>0.16641259857119345</v>
      </c>
      <c r="AB108" s="196">
        <f t="shared" si="32"/>
        <v>0.2329578882817627</v>
      </c>
      <c r="AC108" s="196">
        <f t="shared" si="40"/>
        <v>0.39937048685295617</v>
      </c>
      <c r="AD108" s="247">
        <f t="shared" si="37"/>
        <v>0.60062951314704383</v>
      </c>
      <c r="AF108" s="251">
        <f t="shared" si="33"/>
        <v>0.58331272828263658</v>
      </c>
      <c r="AG108" s="251">
        <f t="shared" si="34"/>
        <v>0.41668727171736336</v>
      </c>
    </row>
    <row r="109" spans="1:33" x14ac:dyDescent="0.25">
      <c r="A109" s="206">
        <v>2045</v>
      </c>
      <c r="B109" s="195">
        <f t="shared" si="35"/>
        <v>16129.607786331308</v>
      </c>
      <c r="C109" s="195">
        <f t="shared" si="17"/>
        <v>10690.540109408874</v>
      </c>
      <c r="D109" s="195">
        <f t="shared" si="18"/>
        <v>19312.34394971373</v>
      </c>
      <c r="E109" s="195">
        <f t="shared" si="19"/>
        <v>46132.491845453915</v>
      </c>
      <c r="F109" s="221">
        <f t="shared" si="20"/>
        <v>0.34963660407433172</v>
      </c>
      <c r="H109" s="206">
        <v>2045</v>
      </c>
      <c r="I109" s="195">
        <f t="shared" si="21"/>
        <v>10214.462184536735</v>
      </c>
      <c r="J109" s="195">
        <f t="shared" si="22"/>
        <v>1354.5501957768117</v>
      </c>
      <c r="K109" s="195">
        <f t="shared" si="23"/>
        <v>11327.807021298002</v>
      </c>
      <c r="L109" s="195">
        <f t="shared" si="24"/>
        <v>7242.9991988090442</v>
      </c>
      <c r="M109" s="195">
        <f t="shared" si="25"/>
        <v>19280.331141418639</v>
      </c>
      <c r="O109" s="195">
        <f t="shared" si="26"/>
        <v>11569.012380313547</v>
      </c>
      <c r="P109" s="196">
        <f t="shared" si="27"/>
        <v>0.88291565854992193</v>
      </c>
      <c r="Q109" s="195">
        <f t="shared" si="28"/>
        <v>37851.137361525689</v>
      </c>
      <c r="R109" s="196">
        <f t="shared" si="29"/>
        <v>0.19135486285733888</v>
      </c>
      <c r="S109" s="464">
        <f t="shared" si="30"/>
        <v>49420.149741839239</v>
      </c>
      <c r="T109" s="196">
        <f t="shared" si="36"/>
        <v>0.23409504909935933</v>
      </c>
      <c r="W109" s="195">
        <f t="shared" si="38"/>
        <v>1327.8535970144694</v>
      </c>
      <c r="X109" s="195">
        <f t="shared" si="31"/>
        <v>637.2669118891281</v>
      </c>
      <c r="Y109" s="195">
        <f t="shared" si="39"/>
        <v>1322.5373874817196</v>
      </c>
      <c r="Z109" s="195">
        <f t="shared" si="41"/>
        <v>3287.6578963853171</v>
      </c>
      <c r="AA109" s="196">
        <f t="shared" si="42"/>
        <v>0.16757179494656144</v>
      </c>
      <c r="AB109" s="196">
        <f t="shared" si="32"/>
        <v>0.23631864586676202</v>
      </c>
      <c r="AC109" s="196">
        <f t="shared" si="40"/>
        <v>0.40389044081332343</v>
      </c>
      <c r="AD109" s="247">
        <f t="shared" si="37"/>
        <v>0.59610955918667652</v>
      </c>
      <c r="AF109" s="251">
        <f t="shared" si="33"/>
        <v>0.58510581580213128</v>
      </c>
      <c r="AG109" s="251">
        <f t="shared" si="34"/>
        <v>0.41489418419786878</v>
      </c>
    </row>
    <row r="110" spans="1:33" x14ac:dyDescent="0.25">
      <c r="A110" s="206">
        <v>2046</v>
      </c>
      <c r="B110" s="195">
        <f t="shared" si="35"/>
        <v>16695.116652838253</v>
      </c>
      <c r="C110" s="195">
        <f t="shared" si="17"/>
        <v>10775.896567049234</v>
      </c>
      <c r="D110" s="195">
        <f t="shared" si="18"/>
        <v>19556.198872596382</v>
      </c>
      <c r="E110" s="195">
        <f t="shared" si="19"/>
        <v>47027.212092483867</v>
      </c>
      <c r="F110" s="221">
        <f t="shared" si="20"/>
        <v>0.35500970416884553</v>
      </c>
      <c r="H110" s="206">
        <v>2046</v>
      </c>
      <c r="I110" s="195">
        <f t="shared" si="21"/>
        <v>10643.205307466216</v>
      </c>
      <c r="J110" s="195">
        <f t="shared" si="22"/>
        <v>1400.0977984160154</v>
      </c>
      <c r="K110" s="195">
        <f t="shared" si="23"/>
        <v>11452.358407337264</v>
      </c>
      <c r="L110" s="195">
        <f t="shared" si="24"/>
        <v>7491.5003552189028</v>
      </c>
      <c r="M110" s="195">
        <f t="shared" si="25"/>
        <v>19563.917762592595</v>
      </c>
      <c r="O110" s="195">
        <f t="shared" si="26"/>
        <v>12043.303105882231</v>
      </c>
      <c r="P110" s="196">
        <f t="shared" si="27"/>
        <v>0.88374470142396611</v>
      </c>
      <c r="Q110" s="195">
        <f t="shared" si="28"/>
        <v>38507.776525148758</v>
      </c>
      <c r="R110" s="196">
        <f t="shared" si="29"/>
        <v>0.19454512909428395</v>
      </c>
      <c r="S110" s="464">
        <f t="shared" si="30"/>
        <v>50551.079631030989</v>
      </c>
      <c r="T110" s="196">
        <f t="shared" si="36"/>
        <v>0.23824027486228799</v>
      </c>
      <c r="W110" s="195">
        <f t="shared" si="38"/>
        <v>1439.5890098468662</v>
      </c>
      <c r="X110" s="195">
        <f t="shared" si="31"/>
        <v>676.46184028802963</v>
      </c>
      <c r="Y110" s="195">
        <f t="shared" si="39"/>
        <v>1407.8166884122293</v>
      </c>
      <c r="Z110" s="195">
        <f t="shared" si="41"/>
        <v>3523.8675385471252</v>
      </c>
      <c r="AA110" s="196">
        <f t="shared" si="42"/>
        <v>0.16876300149431531</v>
      </c>
      <c r="AB110" s="196">
        <f t="shared" si="32"/>
        <v>0.23976228899954993</v>
      </c>
      <c r="AC110" s="196">
        <f t="shared" si="40"/>
        <v>0.40852529049386527</v>
      </c>
      <c r="AD110" s="247">
        <f t="shared" si="37"/>
        <v>0.59147470950613479</v>
      </c>
      <c r="AF110" s="251">
        <f t="shared" si="33"/>
        <v>0.58689705283533822</v>
      </c>
      <c r="AG110" s="251">
        <f t="shared" si="34"/>
        <v>0.41310294716466173</v>
      </c>
    </row>
    <row r="111" spans="1:33" x14ac:dyDescent="0.25">
      <c r="A111" s="206">
        <v>2047</v>
      </c>
      <c r="B111" s="195">
        <f t="shared" si="35"/>
        <v>17274.967966677174</v>
      </c>
      <c r="C111" s="195">
        <f t="shared" si="17"/>
        <v>10858.763928417338</v>
      </c>
      <c r="D111" s="195">
        <f t="shared" si="18"/>
        <v>19800.88977108783</v>
      </c>
      <c r="E111" s="195">
        <f t="shared" si="19"/>
        <v>47934.621666182342</v>
      </c>
      <c r="F111" s="221">
        <f t="shared" si="20"/>
        <v>0.36038602926670399</v>
      </c>
      <c r="H111" s="206">
        <v>2047</v>
      </c>
      <c r="I111" s="195">
        <f t="shared" si="21"/>
        <v>11087.32632138593</v>
      </c>
      <c r="J111" s="195">
        <f t="shared" si="22"/>
        <v>1446.7844798593301</v>
      </c>
      <c r="K111" s="195">
        <f t="shared" si="23"/>
        <v>11575.857112261907</v>
      </c>
      <c r="L111" s="195">
        <f t="shared" si="24"/>
        <v>7746.6899334730551</v>
      </c>
      <c r="M111" s="195">
        <f t="shared" si="25"/>
        <v>19850.553454480301</v>
      </c>
      <c r="O111" s="195">
        <f t="shared" si="26"/>
        <v>12534.110801245261</v>
      </c>
      <c r="P111" s="196">
        <f t="shared" si="27"/>
        <v>0.88457222831350801</v>
      </c>
      <c r="Q111" s="195">
        <f t="shared" si="28"/>
        <v>39173.100500215267</v>
      </c>
      <c r="R111" s="196">
        <f t="shared" si="29"/>
        <v>0.19775534319604049</v>
      </c>
      <c r="S111" s="464">
        <f t="shared" si="30"/>
        <v>51707.211301460527</v>
      </c>
      <c r="T111" s="196">
        <f t="shared" si="36"/>
        <v>0.24240546890393258</v>
      </c>
      <c r="W111" s="195">
        <f t="shared" si="38"/>
        <v>1559.0482881818134</v>
      </c>
      <c r="X111" s="195">
        <f t="shared" si="31"/>
        <v>717.09318384456856</v>
      </c>
      <c r="Y111" s="195">
        <f t="shared" si="39"/>
        <v>1496.4481632518</v>
      </c>
      <c r="Z111" s="195">
        <f t="shared" si="41"/>
        <v>3772.589635278182</v>
      </c>
      <c r="AA111" s="196">
        <f t="shared" si="42"/>
        <v>0.16997820236776365</v>
      </c>
      <c r="AB111" s="196">
        <f t="shared" si="32"/>
        <v>0.24327858909528471</v>
      </c>
      <c r="AC111" s="196">
        <f t="shared" si="40"/>
        <v>0.41325679146304839</v>
      </c>
      <c r="AD111" s="247">
        <f t="shared" si="37"/>
        <v>0.58674320853695161</v>
      </c>
      <c r="AF111" s="251">
        <f t="shared" si="33"/>
        <v>0.58868624574567363</v>
      </c>
      <c r="AG111" s="251">
        <f t="shared" si="34"/>
        <v>0.41131375425432626</v>
      </c>
    </row>
    <row r="112" spans="1:33" x14ac:dyDescent="0.25">
      <c r="A112" s="206">
        <v>2048</v>
      </c>
      <c r="B112" s="195">
        <f t="shared" si="35"/>
        <v>17869.379341152206</v>
      </c>
      <c r="C112" s="195">
        <f t="shared" si="17"/>
        <v>10939.423433466463</v>
      </c>
      <c r="D112" s="195">
        <f t="shared" si="18"/>
        <v>20046.199690095556</v>
      </c>
      <c r="E112" s="195">
        <f t="shared" si="19"/>
        <v>48855.002464714227</v>
      </c>
      <c r="F112" s="221">
        <f t="shared" si="20"/>
        <v>0.36576355418380041</v>
      </c>
      <c r="H112" s="206">
        <v>2048</v>
      </c>
      <c r="I112" s="195">
        <f t="shared" si="21"/>
        <v>11547.458204234119</v>
      </c>
      <c r="J112" s="195">
        <f t="shared" si="22"/>
        <v>1494.6367825131795</v>
      </c>
      <c r="K112" s="195">
        <f t="shared" si="23"/>
        <v>11698.674974947269</v>
      </c>
      <c r="L112" s="195">
        <f t="shared" si="24"/>
        <v>8008.809039483036</v>
      </c>
      <c r="M112" s="195">
        <f t="shared" si="25"/>
        <v>20140.2866176639</v>
      </c>
      <c r="O112" s="195">
        <f t="shared" si="26"/>
        <v>13042.094986747299</v>
      </c>
      <c r="P112" s="196">
        <f t="shared" si="27"/>
        <v>0.88539902645763946</v>
      </c>
      <c r="Q112" s="195">
        <f t="shared" si="28"/>
        <v>39847.770632094209</v>
      </c>
      <c r="R112" s="196">
        <f t="shared" si="29"/>
        <v>0.20098512193885643</v>
      </c>
      <c r="S112" s="464">
        <f t="shared" si="30"/>
        <v>52889.865618841504</v>
      </c>
      <c r="T112" s="196">
        <f t="shared" si="36"/>
        <v>0.24658967902730269</v>
      </c>
      <c r="W112" s="195">
        <f t="shared" si="38"/>
        <v>1686.8879025649512</v>
      </c>
      <c r="X112" s="195">
        <f t="shared" si="31"/>
        <v>759.25154148080583</v>
      </c>
      <c r="Y112" s="195">
        <f t="shared" si="39"/>
        <v>1588.7237100815219</v>
      </c>
      <c r="Z112" s="195">
        <f t="shared" si="41"/>
        <v>4034.8631541272789</v>
      </c>
      <c r="AA112" s="196">
        <f t="shared" si="42"/>
        <v>0.17121404548725117</v>
      </c>
      <c r="AB112" s="196">
        <f t="shared" si="32"/>
        <v>0.24686404988493668</v>
      </c>
      <c r="AC112" s="196">
        <f t="shared" si="40"/>
        <v>0.41807809537218787</v>
      </c>
      <c r="AD112" s="247">
        <f t="shared" si="37"/>
        <v>0.58192190462781213</v>
      </c>
      <c r="AF112" s="251">
        <f t="shared" si="33"/>
        <v>0.59047353261875535</v>
      </c>
      <c r="AG112" s="251">
        <f t="shared" si="34"/>
        <v>0.4095264673812446</v>
      </c>
    </row>
    <row r="113" spans="1:53" x14ac:dyDescent="0.25">
      <c r="A113" s="206">
        <v>2049</v>
      </c>
      <c r="B113" s="195">
        <f t="shared" si="35"/>
        <v>18478.568389567507</v>
      </c>
      <c r="C113" s="195">
        <f t="shared" si="17"/>
        <v>11018.156322149887</v>
      </c>
      <c r="D113" s="195">
        <f t="shared" si="18"/>
        <v>20291.911674527044</v>
      </c>
      <c r="E113" s="195">
        <f t="shared" si="19"/>
        <v>49788.636386244434</v>
      </c>
      <c r="F113" s="221">
        <f t="shared" si="20"/>
        <v>0.37114027880210737</v>
      </c>
      <c r="H113" s="206">
        <v>2049</v>
      </c>
      <c r="I113" s="195">
        <f t="shared" si="21"/>
        <v>12024.266477748419</v>
      </c>
      <c r="J113" s="195">
        <f t="shared" si="22"/>
        <v>1543.6813312146735</v>
      </c>
      <c r="K113" s="195">
        <f t="shared" si="23"/>
        <v>11821.177966832895</v>
      </c>
      <c r="L113" s="195">
        <f t="shared" si="24"/>
        <v>8278.1161727507515</v>
      </c>
      <c r="M113" s="195">
        <f t="shared" si="25"/>
        <v>20433.212840972148</v>
      </c>
      <c r="O113" s="195">
        <f t="shared" si="26"/>
        <v>13567.947808963092</v>
      </c>
      <c r="P113" s="196">
        <f t="shared" si="27"/>
        <v>0.88622587933343133</v>
      </c>
      <c r="Q113" s="195">
        <f t="shared" si="28"/>
        <v>40532.506980555794</v>
      </c>
      <c r="R113" s="196">
        <f t="shared" si="29"/>
        <v>0.20423400350543133</v>
      </c>
      <c r="S113" s="464">
        <f t="shared" si="30"/>
        <v>54100.454789518888</v>
      </c>
      <c r="T113" s="196">
        <f t="shared" si="36"/>
        <v>0.25079175141410581</v>
      </c>
      <c r="W113" s="195">
        <f t="shared" si="38"/>
        <v>1823.8142609316637</v>
      </c>
      <c r="X113" s="195">
        <f t="shared" si="31"/>
        <v>803.02164468300725</v>
      </c>
      <c r="Y113" s="195">
        <f t="shared" si="39"/>
        <v>1684.9824976597774</v>
      </c>
      <c r="Z113" s="195">
        <f t="shared" si="41"/>
        <v>4311.8184032744484</v>
      </c>
      <c r="AA113" s="196">
        <f t="shared" si="42"/>
        <v>0.17246646165941618</v>
      </c>
      <c r="AB113" s="196">
        <f t="shared" si="32"/>
        <v>0.25051384278629901</v>
      </c>
      <c r="AC113" s="196">
        <f t="shared" si="40"/>
        <v>0.42298030444571516</v>
      </c>
      <c r="AD113" s="247">
        <f t="shared" si="37"/>
        <v>0.57701969555428478</v>
      </c>
      <c r="AF113" s="251">
        <f t="shared" si="33"/>
        <v>0.59225888334110288</v>
      </c>
      <c r="AG113" s="251">
        <f t="shared" si="34"/>
        <v>0.40774111665889712</v>
      </c>
    </row>
    <row r="114" spans="1:53" ht="13.8" thickBot="1" x14ac:dyDescent="0.3">
      <c r="A114" s="208">
        <v>2050</v>
      </c>
      <c r="B114" s="195">
        <f t="shared" si="35"/>
        <v>19102.752725227227</v>
      </c>
      <c r="C114" s="195">
        <f t="shared" si="17"/>
        <v>11095.243834420879</v>
      </c>
      <c r="D114" s="195">
        <f t="shared" si="18"/>
        <v>20537.808769289783</v>
      </c>
      <c r="E114" s="195">
        <f t="shared" si="19"/>
        <v>50735.805328937888</v>
      </c>
      <c r="F114" s="222">
        <f t="shared" si="20"/>
        <v>0.37651423095341507</v>
      </c>
      <c r="H114" s="208">
        <v>2050</v>
      </c>
      <c r="I114" s="195">
        <f t="shared" si="21"/>
        <v>12518.406283490949</v>
      </c>
      <c r="J114" s="195">
        <f t="shared" si="22"/>
        <v>1593.9455366031254</v>
      </c>
      <c r="K114" s="195">
        <f t="shared" si="23"/>
        <v>11943.734206615374</v>
      </c>
      <c r="L114" s="195">
        <f t="shared" si="24"/>
        <v>8554.8456771122565</v>
      </c>
      <c r="M114" s="195">
        <f t="shared" si="25"/>
        <v>20729.393425944276</v>
      </c>
      <c r="O114" s="195">
        <f t="shared" si="26"/>
        <v>14112.351820094074</v>
      </c>
      <c r="P114" s="210">
        <f t="shared" si="27"/>
        <v>0.88705316045667437</v>
      </c>
      <c r="Q114" s="195">
        <f t="shared" si="28"/>
        <v>41227.973309671906</v>
      </c>
      <c r="R114" s="210">
        <f t="shared" si="29"/>
        <v>0.20750099969394631</v>
      </c>
      <c r="S114" s="464">
        <f t="shared" si="30"/>
        <v>55340.325129765981</v>
      </c>
      <c r="T114" s="196">
        <f t="shared" si="36"/>
        <v>0.25501028024324784</v>
      </c>
      <c r="W114" s="195">
        <f t="shared" si="38"/>
        <v>1970.4992353759808</v>
      </c>
      <c r="X114" s="195">
        <f t="shared" si="31"/>
        <v>848.49037219449565</v>
      </c>
      <c r="Y114" s="195">
        <f t="shared" si="39"/>
        <v>1785.5301932576185</v>
      </c>
      <c r="Z114" s="195">
        <f t="shared" si="41"/>
        <v>4604.519800828095</v>
      </c>
      <c r="AA114" s="196">
        <f t="shared" si="42"/>
        <v>0.17372909031184589</v>
      </c>
      <c r="AB114" s="196">
        <f t="shared" si="32"/>
        <v>0.25421982089092454</v>
      </c>
      <c r="AC114" s="196">
        <f t="shared" si="40"/>
        <v>0.42794891120277045</v>
      </c>
      <c r="AD114" s="247">
        <f t="shared" si="37"/>
        <v>0.57205108879722955</v>
      </c>
      <c r="AF114" s="251">
        <f t="shared" si="33"/>
        <v>0.59404245281622015</v>
      </c>
      <c r="AG114" s="251">
        <f t="shared" si="34"/>
        <v>0.4059575471837798</v>
      </c>
    </row>
    <row r="115" spans="1:53" x14ac:dyDescent="0.25">
      <c r="A115" s="213">
        <v>2051</v>
      </c>
      <c r="B115" s="195">
        <f t="shared" si="35"/>
        <v>19742.149961435498</v>
      </c>
      <c r="C115" s="195">
        <f t="shared" si="17"/>
        <v>11170.967210232724</v>
      </c>
      <c r="D115" s="195">
        <f t="shared" si="18"/>
        <v>20783.674019291258</v>
      </c>
      <c r="E115" s="195">
        <f t="shared" si="19"/>
        <v>51696.791190959477</v>
      </c>
      <c r="F115" s="214">
        <f t="shared" si="20"/>
        <v>0.38188346910181004</v>
      </c>
      <c r="H115" s="213">
        <v>2051</v>
      </c>
      <c r="I115" s="195">
        <f t="shared" si="21"/>
        <v>13030.507241594636</v>
      </c>
      <c r="J115" s="195">
        <f t="shared" si="22"/>
        <v>1645.4543113727932</v>
      </c>
      <c r="K115" s="195">
        <f t="shared" si="23"/>
        <v>12066.725879233294</v>
      </c>
      <c r="L115" s="195">
        <f t="shared" si="24"/>
        <v>8839.1894218658999</v>
      </c>
      <c r="M115" s="195">
        <f t="shared" si="25"/>
        <v>21028.798663701295</v>
      </c>
      <c r="O115" s="195">
        <f t="shared" si="26"/>
        <v>14675.96155296743</v>
      </c>
      <c r="P115" s="214">
        <f t="shared" si="27"/>
        <v>0.88788098787025727</v>
      </c>
      <c r="Q115" s="195">
        <f t="shared" si="28"/>
        <v>41934.713964800489</v>
      </c>
      <c r="R115" s="214">
        <f t="shared" si="29"/>
        <v>0.21078454068591984</v>
      </c>
      <c r="S115" s="464">
        <f t="shared" si="30"/>
        <v>56610.675517767915</v>
      </c>
      <c r="T115" s="196">
        <f t="shared" si="36"/>
        <v>0.25924371010837366</v>
      </c>
      <c r="W115" s="195">
        <f t="shared" si="38"/>
        <v>2127.5467020250362</v>
      </c>
      <c r="X115" s="195">
        <f t="shared" si="31"/>
        <v>895.75866900057008</v>
      </c>
      <c r="Y115" s="195">
        <f t="shared" si="39"/>
        <v>1890.5789557828284</v>
      </c>
      <c r="Z115" s="195">
        <f t="shared" si="41"/>
        <v>4913.8843268084347</v>
      </c>
      <c r="AA115" s="196">
        <f t="shared" si="42"/>
        <v>0.17499428057802754</v>
      </c>
      <c r="AB115" s="196">
        <f t="shared" si="32"/>
        <v>0.2579720980601275</v>
      </c>
      <c r="AC115" s="196">
        <f t="shared" si="40"/>
        <v>0.43296637863815501</v>
      </c>
      <c r="AD115" s="247">
        <f t="shared" si="37"/>
        <v>0.56703362136184499</v>
      </c>
      <c r="AF115" s="251">
        <f t="shared" si="33"/>
        <v>0.59582478175683873</v>
      </c>
      <c r="AG115" s="251">
        <f t="shared" si="34"/>
        <v>0.40417521824316138</v>
      </c>
    </row>
    <row r="116" spans="1:53" x14ac:dyDescent="0.25">
      <c r="A116" s="194">
        <v>2052</v>
      </c>
      <c r="B116" s="195">
        <f t="shared" si="35"/>
        <v>20396.977711496475</v>
      </c>
      <c r="C116" s="195">
        <f t="shared" si="17"/>
        <v>11245.607689538694</v>
      </c>
      <c r="D116" s="195">
        <f t="shared" si="18"/>
        <v>21029.290469438954</v>
      </c>
      <c r="E116" s="195">
        <f t="shared" si="19"/>
        <v>52671.875870474119</v>
      </c>
      <c r="F116" s="196">
        <f t="shared" si="20"/>
        <v>0.38724608483006878</v>
      </c>
      <c r="H116" s="194">
        <v>2052</v>
      </c>
      <c r="I116" s="195">
        <f t="shared" si="21"/>
        <v>13561.151058376341</v>
      </c>
      <c r="J116" s="195">
        <f t="shared" si="22"/>
        <v>1698.2317123118617</v>
      </c>
      <c r="K116" s="195">
        <f t="shared" si="23"/>
        <v>12190.530331695243</v>
      </c>
      <c r="L116" s="195">
        <f t="shared" si="24"/>
        <v>9131.3029433463034</v>
      </c>
      <c r="M116" s="195">
        <f t="shared" si="25"/>
        <v>21331.361788819981</v>
      </c>
      <c r="O116" s="195">
        <f t="shared" si="26"/>
        <v>15259.382770688202</v>
      </c>
      <c r="P116" s="196">
        <f t="shared" si="27"/>
        <v>0.88870901675171299</v>
      </c>
      <c r="Q116" s="195">
        <f t="shared" si="28"/>
        <v>42653.195063861524</v>
      </c>
      <c r="R116" s="196">
        <f t="shared" si="29"/>
        <v>0.21408250729340836</v>
      </c>
      <c r="S116" s="464">
        <f t="shared" si="30"/>
        <v>57912.577834549724</v>
      </c>
      <c r="T116" s="196">
        <f t="shared" si="36"/>
        <v>0.26348995919820195</v>
      </c>
      <c r="W116" s="195">
        <f t="shared" si="38"/>
        <v>2295.4762902261718</v>
      </c>
      <c r="X116" s="195">
        <f t="shared" si="31"/>
        <v>944.92264215654905</v>
      </c>
      <c r="Y116" s="195">
        <f t="shared" si="39"/>
        <v>2000.3030316928889</v>
      </c>
      <c r="Z116" s="195">
        <f t="shared" si="41"/>
        <v>5240.7019640756098</v>
      </c>
      <c r="AA116" s="196">
        <f t="shared" si="42"/>
        <v>0.17625223650603181</v>
      </c>
      <c r="AB116" s="196">
        <f t="shared" si="32"/>
        <v>0.26175708094063649</v>
      </c>
      <c r="AC116" s="196">
        <f t="shared" si="40"/>
        <v>0.43800931744666832</v>
      </c>
      <c r="AD116" s="247">
        <f t="shared" si="37"/>
        <v>0.56199068255333173</v>
      </c>
      <c r="AF116" s="251">
        <f t="shared" si="33"/>
        <v>0.59760619355433653</v>
      </c>
      <c r="AG116" s="251">
        <f t="shared" si="34"/>
        <v>0.40239380644566347</v>
      </c>
    </row>
    <row r="117" spans="1:53" x14ac:dyDescent="0.25">
      <c r="A117" s="194">
        <v>2053</v>
      </c>
      <c r="B117" s="195">
        <f t="shared" si="35"/>
        <v>21067.45358871431</v>
      </c>
      <c r="C117" s="195">
        <f t="shared" si="17"/>
        <v>11319.44651229207</v>
      </c>
      <c r="D117" s="195">
        <f t="shared" si="18"/>
        <v>21274.441164640364</v>
      </c>
      <c r="E117" s="195">
        <f t="shared" si="19"/>
        <v>53661.341265646741</v>
      </c>
      <c r="F117" s="196">
        <f t="shared" si="20"/>
        <v>0.39260020513504024</v>
      </c>
      <c r="H117" s="194">
        <v>2053</v>
      </c>
      <c r="I117" s="195">
        <f t="shared" si="21"/>
        <v>14110.883432835908</v>
      </c>
      <c r="J117" s="195">
        <f t="shared" si="22"/>
        <v>1752.2994910183836</v>
      </c>
      <c r="K117" s="195">
        <f t="shared" si="23"/>
        <v>12315.502168144385</v>
      </c>
      <c r="L117" s="195">
        <f t="shared" si="24"/>
        <v>9431.3435076048718</v>
      </c>
      <c r="M117" s="195">
        <f t="shared" si="25"/>
        <v>21637.078996598382</v>
      </c>
      <c r="O117" s="195">
        <f t="shared" si="26"/>
        <v>15863.182923854292</v>
      </c>
      <c r="P117" s="196">
        <f t="shared" si="27"/>
        <v>0.88953670272670438</v>
      </c>
      <c r="Q117" s="195">
        <f t="shared" si="28"/>
        <v>43383.924672347639</v>
      </c>
      <c r="R117" s="196">
        <f t="shared" si="29"/>
        <v>0.21739258443845422</v>
      </c>
      <c r="S117" s="464">
        <f t="shared" si="30"/>
        <v>59247.107596201931</v>
      </c>
      <c r="T117" s="196">
        <f t="shared" si="36"/>
        <v>0.26774611567487239</v>
      </c>
      <c r="W117" s="195">
        <f t="shared" si="38"/>
        <v>2474.7733517264678</v>
      </c>
      <c r="X117" s="195">
        <f t="shared" si="31"/>
        <v>996.05565585231489</v>
      </c>
      <c r="Y117" s="195">
        <f t="shared" si="39"/>
        <v>2114.9373229764024</v>
      </c>
      <c r="Z117" s="195">
        <f t="shared" si="41"/>
        <v>5585.766330555185</v>
      </c>
      <c r="AA117" s="196">
        <f t="shared" si="42"/>
        <v>0.17749196117809979</v>
      </c>
      <c r="AB117" s="196">
        <f t="shared" si="32"/>
        <v>0.26555796344710259</v>
      </c>
      <c r="AC117" s="196">
        <f t="shared" si="40"/>
        <v>0.44304992462520232</v>
      </c>
      <c r="AD117" s="247">
        <f t="shared" si="37"/>
        <v>0.55695007537479768</v>
      </c>
      <c r="AF117" s="251">
        <f t="shared" si="33"/>
        <v>0.59938609327549508</v>
      </c>
      <c r="AG117" s="251">
        <f t="shared" si="34"/>
        <v>0.40061390672450503</v>
      </c>
    </row>
    <row r="118" spans="1:53" x14ac:dyDescent="0.25">
      <c r="A118" s="194">
        <v>2054</v>
      </c>
      <c r="B118" s="195">
        <f t="shared" si="35"/>
        <v>21753.795206393144</v>
      </c>
      <c r="C118" s="195">
        <f t="shared" si="17"/>
        <v>11392.764918446126</v>
      </c>
      <c r="D118" s="195">
        <f t="shared" si="18"/>
        <v>21518.909149802963</v>
      </c>
      <c r="E118" s="195">
        <f t="shared" si="19"/>
        <v>54665.46927464223</v>
      </c>
      <c r="F118" s="196">
        <f t="shared" si="20"/>
        <v>0.39794399453704343</v>
      </c>
      <c r="H118" s="194">
        <v>2054</v>
      </c>
      <c r="I118" s="195">
        <f t="shared" si="21"/>
        <v>14680.209420124844</v>
      </c>
      <c r="J118" s="195">
        <f t="shared" si="22"/>
        <v>1807.676661556811</v>
      </c>
      <c r="K118" s="195">
        <f t="shared" si="23"/>
        <v>12441.9854520842</v>
      </c>
      <c r="L118" s="195">
        <f t="shared" si="24"/>
        <v>9739.4550246318777</v>
      </c>
      <c r="M118" s="195">
        <f t="shared" si="25"/>
        <v>21945.936602572983</v>
      </c>
      <c r="O118" s="195">
        <f t="shared" si="26"/>
        <v>16487.886081681656</v>
      </c>
      <c r="P118" s="196">
        <f t="shared" si="27"/>
        <v>0.89036334599829781</v>
      </c>
      <c r="Q118" s="195">
        <f t="shared" si="28"/>
        <v>44127.377079289057</v>
      </c>
      <c r="R118" s="196">
        <f t="shared" si="29"/>
        <v>0.22071230309319784</v>
      </c>
      <c r="S118" s="464">
        <f t="shared" si="30"/>
        <v>60615.263160970717</v>
      </c>
      <c r="T118" s="196">
        <f t="shared" si="36"/>
        <v>0.27200881794237536</v>
      </c>
      <c r="W118" s="195">
        <f t="shared" si="38"/>
        <v>2665.8692383635789</v>
      </c>
      <c r="X118" s="195">
        <f t="shared" si="31"/>
        <v>1049.2205336380739</v>
      </c>
      <c r="Y118" s="195">
        <f t="shared" si="39"/>
        <v>2234.7041143268325</v>
      </c>
      <c r="Z118" s="195">
        <f t="shared" si="41"/>
        <v>5949.7938863284853</v>
      </c>
      <c r="AA118" s="196">
        <f t="shared" si="42"/>
        <v>0.17870301785671533</v>
      </c>
      <c r="AB118" s="196">
        <f t="shared" si="32"/>
        <v>0.26935775354063479</v>
      </c>
      <c r="AC118" s="196">
        <f t="shared" si="40"/>
        <v>0.44806077139735012</v>
      </c>
      <c r="AD118" s="247">
        <f t="shared" si="37"/>
        <v>0.55193922860264988</v>
      </c>
      <c r="AF118" s="251">
        <f t="shared" si="33"/>
        <v>0.6011634374966569</v>
      </c>
      <c r="AG118" s="251">
        <f t="shared" si="34"/>
        <v>0.39883656250334298</v>
      </c>
    </row>
    <row r="119" spans="1:53" x14ac:dyDescent="0.25">
      <c r="A119" s="194">
        <v>2055</v>
      </c>
      <c r="B119" s="195">
        <f t="shared" si="35"/>
        <v>22456.220177837127</v>
      </c>
      <c r="C119" s="195">
        <f t="shared" si="17"/>
        <v>11465.84414795414</v>
      </c>
      <c r="D119" s="195">
        <f t="shared" si="18"/>
        <v>21762.477469834244</v>
      </c>
      <c r="E119" s="195">
        <f t="shared" si="19"/>
        <v>55684.541795625511</v>
      </c>
      <c r="F119" s="196">
        <f t="shared" si="20"/>
        <v>0.40327565700830192</v>
      </c>
      <c r="H119" s="194">
        <v>2055</v>
      </c>
      <c r="I119" s="195">
        <f t="shared" si="21"/>
        <v>15269.635756358248</v>
      </c>
      <c r="J119" s="195">
        <f t="shared" si="22"/>
        <v>1864.3823661072113</v>
      </c>
      <c r="K119" s="195">
        <f t="shared" si="23"/>
        <v>12570.329729707031</v>
      </c>
      <c r="L119" s="195">
        <f t="shared" si="24"/>
        <v>10055.784409531625</v>
      </c>
      <c r="M119" s="195">
        <f t="shared" si="25"/>
        <v>22257.892307524515</v>
      </c>
      <c r="O119" s="195">
        <f t="shared" si="26"/>
        <v>17134.018122465459</v>
      </c>
      <c r="P119" s="196">
        <f t="shared" si="27"/>
        <v>0.89118825760650355</v>
      </c>
      <c r="Q119" s="195">
        <f t="shared" si="28"/>
        <v>44884.006446763175</v>
      </c>
      <c r="R119" s="196">
        <f t="shared" si="29"/>
        <v>0.22403936737373856</v>
      </c>
      <c r="S119" s="464">
        <f t="shared" si="30"/>
        <v>62018.024569228633</v>
      </c>
      <c r="T119" s="196">
        <f t="shared" si="36"/>
        <v>0.27627481270931697</v>
      </c>
      <c r="W119" s="195">
        <f t="shared" si="38"/>
        <v>2869.1999880527474</v>
      </c>
      <c r="X119" s="195">
        <f t="shared" si="31"/>
        <v>1104.4855817528914</v>
      </c>
      <c r="Y119" s="195">
        <f t="shared" si="39"/>
        <v>2359.7972037974832</v>
      </c>
      <c r="Z119" s="195">
        <f t="shared" si="41"/>
        <v>6333.482773603122</v>
      </c>
      <c r="AA119" s="196">
        <f t="shared" si="42"/>
        <v>0.17987778087965325</v>
      </c>
      <c r="AB119" s="196">
        <f t="shared" si="32"/>
        <v>0.2731431067765166</v>
      </c>
      <c r="AC119" s="196">
        <f t="shared" si="40"/>
        <v>0.45302088765616993</v>
      </c>
      <c r="AD119" s="247">
        <f t="shared" si="37"/>
        <v>0.54697911234383012</v>
      </c>
      <c r="AF119" s="251">
        <f t="shared" si="33"/>
        <v>0.602937114422469</v>
      </c>
      <c r="AG119" s="251">
        <f t="shared" si="34"/>
        <v>0.39706288557753089</v>
      </c>
    </row>
    <row r="120" spans="1:53" x14ac:dyDescent="0.25">
      <c r="A120" s="194">
        <v>2056</v>
      </c>
      <c r="B120" s="195">
        <f t="shared" si="35"/>
        <v>23174.946116350406</v>
      </c>
      <c r="C120" s="195">
        <f t="shared" si="17"/>
        <v>11538.965440769385</v>
      </c>
      <c r="D120" s="195">
        <f t="shared" si="18"/>
        <v>22004.929169641695</v>
      </c>
      <c r="E120" s="195">
        <f t="shared" si="19"/>
        <v>56718.840726761482</v>
      </c>
      <c r="F120" s="196">
        <f t="shared" si="20"/>
        <v>0.40859343772546181</v>
      </c>
      <c r="H120" s="194">
        <v>2056</v>
      </c>
      <c r="I120" s="195">
        <f t="shared" si="21"/>
        <v>15879.756814814129</v>
      </c>
      <c r="J120" s="195">
        <f t="shared" si="22"/>
        <v>1922.4382057449327</v>
      </c>
      <c r="K120" s="195">
        <f t="shared" si="23"/>
        <v>12700.911422323896</v>
      </c>
      <c r="L120" s="195">
        <f t="shared" si="24"/>
        <v>10380.515225716876</v>
      </c>
      <c r="M120" s="195">
        <f t="shared" si="25"/>
        <v>22572.874758661274</v>
      </c>
      <c r="O120" s="195">
        <f t="shared" si="26"/>
        <v>17802.195020559062</v>
      </c>
      <c r="P120" s="196">
        <f t="shared" si="27"/>
        <v>0.8920111703346254</v>
      </c>
      <c r="Q120" s="195">
        <f t="shared" si="28"/>
        <v>45654.301406702041</v>
      </c>
      <c r="R120" s="196">
        <f t="shared" si="29"/>
        <v>0.22737211841758723</v>
      </c>
      <c r="S120" s="464">
        <f t="shared" si="30"/>
        <v>63456.496427261103</v>
      </c>
      <c r="T120" s="196">
        <f t="shared" si="36"/>
        <v>0.28054172579422748</v>
      </c>
      <c r="W120" s="195">
        <f t="shared" si="38"/>
        <v>3085.3259241805972</v>
      </c>
      <c r="X120" s="195">
        <f t="shared" si="31"/>
        <v>1161.9459815545106</v>
      </c>
      <c r="Y120" s="195">
        <f t="shared" si="39"/>
        <v>2490.3837947645115</v>
      </c>
      <c r="Z120" s="195">
        <f t="shared" si="41"/>
        <v>6737.6557004996193</v>
      </c>
      <c r="AA120" s="196">
        <f t="shared" si="42"/>
        <v>0.18101389890698497</v>
      </c>
      <c r="AB120" s="196">
        <f t="shared" si="32"/>
        <v>0.27690886552750671</v>
      </c>
      <c r="AC120" s="196">
        <f t="shared" si="40"/>
        <v>0.4579227644344917</v>
      </c>
      <c r="AD120" s="247">
        <f t="shared" si="37"/>
        <v>0.54207723556550835</v>
      </c>
      <c r="AF120" s="251">
        <f t="shared" si="33"/>
        <v>0.6047064855346802</v>
      </c>
      <c r="AG120" s="251">
        <f t="shared" si="34"/>
        <v>0.3952935144653198</v>
      </c>
    </row>
    <row r="121" spans="1:53" x14ac:dyDescent="0.25">
      <c r="A121" s="194">
        <v>2057</v>
      </c>
      <c r="B121" s="195">
        <f t="shared" si="35"/>
        <v>23910.190635237119</v>
      </c>
      <c r="C121" s="195">
        <f t="shared" si="17"/>
        <v>11612.410036845144</v>
      </c>
      <c r="D121" s="195">
        <f t="shared" si="18"/>
        <v>22246.047294132793</v>
      </c>
      <c r="E121" s="195">
        <f t="shared" si="19"/>
        <v>57768.647966215052</v>
      </c>
      <c r="F121" s="196">
        <f t="shared" si="20"/>
        <v>0.41389562465129115</v>
      </c>
      <c r="H121" s="194">
        <v>2057</v>
      </c>
      <c r="I121" s="195">
        <f t="shared" si="21"/>
        <v>16511.140562527489</v>
      </c>
      <c r="J121" s="195">
        <f t="shared" si="22"/>
        <v>1981.8641865293807</v>
      </c>
      <c r="K121" s="195">
        <f t="shared" si="23"/>
        <v>12834.110110977455</v>
      </c>
      <c r="L121" s="195">
        <f t="shared" si="24"/>
        <v>10713.810611499573</v>
      </c>
      <c r="M121" s="195">
        <f t="shared" si="25"/>
        <v>22890.75139452533</v>
      </c>
      <c r="O121" s="195">
        <f t="shared" si="26"/>
        <v>18493.004749056869</v>
      </c>
      <c r="P121" s="196">
        <f t="shared" si="27"/>
        <v>0.89283168347045105</v>
      </c>
      <c r="Q121" s="195">
        <f t="shared" si="28"/>
        <v>46438.672117002359</v>
      </c>
      <c r="R121" s="196">
        <f t="shared" si="29"/>
        <v>0.23070880632646212</v>
      </c>
      <c r="S121" s="464">
        <f t="shared" si="30"/>
        <v>64931.676866059228</v>
      </c>
      <c r="T121" s="196">
        <f t="shared" si="36"/>
        <v>0.28480713330727858</v>
      </c>
      <c r="W121" s="195">
        <f t="shared" si="38"/>
        <v>3314.7605387899421</v>
      </c>
      <c r="X121" s="195">
        <f t="shared" si="31"/>
        <v>1221.7000741323118</v>
      </c>
      <c r="Y121" s="195">
        <f t="shared" si="39"/>
        <v>2626.5682869219163</v>
      </c>
      <c r="Z121" s="195">
        <f t="shared" si="41"/>
        <v>7163.0288998441702</v>
      </c>
      <c r="AA121" s="196">
        <f t="shared" si="42"/>
        <v>0.18210937849551539</v>
      </c>
      <c r="AB121" s="196">
        <f t="shared" si="32"/>
        <v>0.28065024248857051</v>
      </c>
      <c r="AC121" s="196">
        <f t="shared" si="40"/>
        <v>0.46275962098408591</v>
      </c>
      <c r="AD121" s="247">
        <f t="shared" si="37"/>
        <v>0.53724037901591404</v>
      </c>
      <c r="AF121" s="251">
        <f t="shared" si="33"/>
        <v>0.60647089711879154</v>
      </c>
      <c r="AG121" s="251">
        <f t="shared" si="34"/>
        <v>0.39352910288120851</v>
      </c>
    </row>
    <row r="122" spans="1:53" x14ac:dyDescent="0.25">
      <c r="A122" s="194">
        <v>2058</v>
      </c>
      <c r="B122" s="195">
        <f t="shared" si="35"/>
        <v>24662.171347801421</v>
      </c>
      <c r="C122" s="195">
        <f t="shared" si="17"/>
        <v>11686.459176134689</v>
      </c>
      <c r="D122" s="195">
        <f t="shared" si="18"/>
        <v>22485.614888215037</v>
      </c>
      <c r="E122" s="195">
        <f t="shared" si="19"/>
        <v>58834.245412151147</v>
      </c>
      <c r="F122" s="196">
        <f t="shared" si="20"/>
        <v>0.41918054995072473</v>
      </c>
      <c r="H122" s="194">
        <v>2058</v>
      </c>
      <c r="I122" s="195">
        <f t="shared" si="21"/>
        <v>17164.207465330619</v>
      </c>
      <c r="J122" s="195">
        <f t="shared" si="22"/>
        <v>2042.6727307273195</v>
      </c>
      <c r="K122" s="195">
        <f t="shared" si="23"/>
        <v>12970.278477906246</v>
      </c>
      <c r="L122" s="195">
        <f t="shared" si="24"/>
        <v>11055.775605714971</v>
      </c>
      <c r="M122" s="195">
        <f t="shared" si="25"/>
        <v>23211.300827350598</v>
      </c>
      <c r="O122" s="195">
        <f t="shared" si="26"/>
        <v>19206.880196057937</v>
      </c>
      <c r="P122" s="196">
        <f t="shared" si="27"/>
        <v>0.89364890550280207</v>
      </c>
      <c r="Q122" s="195">
        <f t="shared" si="28"/>
        <v>47237.354910971815</v>
      </c>
      <c r="R122" s="196">
        <f t="shared" si="29"/>
        <v>0.23404730486183609</v>
      </c>
      <c r="S122" s="464">
        <f t="shared" si="30"/>
        <v>66444.235107029759</v>
      </c>
      <c r="T122" s="196">
        <f t="shared" si="36"/>
        <v>0.28906766952947976</v>
      </c>
      <c r="W122" s="195">
        <f t="shared" si="38"/>
        <v>3557.8117232441691</v>
      </c>
      <c r="X122" s="195">
        <f t="shared" si="31"/>
        <v>1283.8193017715566</v>
      </c>
      <c r="Y122" s="195">
        <f t="shared" si="39"/>
        <v>2768.3586698628787</v>
      </c>
      <c r="Z122" s="195">
        <f t="shared" si="41"/>
        <v>7609.9896948786045</v>
      </c>
      <c r="AA122" s="196">
        <f t="shared" si="42"/>
        <v>0.18316030569322664</v>
      </c>
      <c r="AB122" s="196">
        <f t="shared" si="32"/>
        <v>0.28435829366026744</v>
      </c>
      <c r="AC122" s="196">
        <f t="shared" si="40"/>
        <v>0.4675185993534941</v>
      </c>
      <c r="AD122" s="247">
        <f t="shared" si="37"/>
        <v>0.53248140064650595</v>
      </c>
      <c r="AF122" s="251">
        <f t="shared" si="33"/>
        <v>0.60822883635750746</v>
      </c>
      <c r="AG122" s="251">
        <f t="shared" si="34"/>
        <v>0.39177116364249254</v>
      </c>
    </row>
    <row r="123" spans="1:53" x14ac:dyDescent="0.25">
      <c r="A123" s="194">
        <v>2059</v>
      </c>
      <c r="B123" s="195">
        <f t="shared" si="35"/>
        <v>25431.105867347465</v>
      </c>
      <c r="C123" s="195">
        <f t="shared" si="17"/>
        <v>11761.394098591296</v>
      </c>
      <c r="D123" s="195">
        <f t="shared" si="18"/>
        <v>22723.414996795902</v>
      </c>
      <c r="E123" s="195">
        <f t="shared" si="19"/>
        <v>59915.914962734663</v>
      </c>
      <c r="F123" s="196">
        <f t="shared" si="20"/>
        <v>0.42444659124649287</v>
      </c>
      <c r="H123" s="194">
        <v>2059</v>
      </c>
      <c r="I123" s="195">
        <f t="shared" si="21"/>
        <v>17839.305509030004</v>
      </c>
      <c r="J123" s="195">
        <f t="shared" si="22"/>
        <v>2104.8712691031974</v>
      </c>
      <c r="K123" s="195">
        <f t="shared" si="23"/>
        <v>13109.759927713973</v>
      </c>
      <c r="L123" s="195">
        <f t="shared" si="24"/>
        <v>11406.494222206913</v>
      </c>
      <c r="M123" s="195">
        <f t="shared" si="25"/>
        <v>23534.244387517821</v>
      </c>
      <c r="O123" s="195">
        <f t="shared" si="26"/>
        <v>19944.176778133202</v>
      </c>
      <c r="P123" s="196">
        <f t="shared" si="27"/>
        <v>0.89446186260187088</v>
      </c>
      <c r="Q123" s="195">
        <f t="shared" si="28"/>
        <v>48050.498537438711</v>
      </c>
      <c r="R123" s="196">
        <f t="shared" si="29"/>
        <v>0.23738555414403253</v>
      </c>
      <c r="S123" s="464">
        <f t="shared" si="30"/>
        <v>67994.67531557192</v>
      </c>
      <c r="T123" s="196">
        <f t="shared" si="36"/>
        <v>0.2933196854837492</v>
      </c>
      <c r="W123" s="195">
        <f t="shared" si="38"/>
        <v>3814.6938638894535</v>
      </c>
      <c r="X123" s="195">
        <f t="shared" si="31"/>
        <v>1348.3658291226766</v>
      </c>
      <c r="Y123" s="195">
        <f t="shared" si="39"/>
        <v>2915.7006598251173</v>
      </c>
      <c r="Z123" s="195">
        <f t="shared" si="41"/>
        <v>8078.7603528372474</v>
      </c>
      <c r="AA123" s="196">
        <f t="shared" si="42"/>
        <v>0.18416353746134728</v>
      </c>
      <c r="AB123" s="196">
        <f t="shared" si="32"/>
        <v>0.28802448363148525</v>
      </c>
      <c r="AC123" s="196">
        <f t="shared" si="40"/>
        <v>0.47218802109283253</v>
      </c>
      <c r="AD123" s="247">
        <f t="shared" si="37"/>
        <v>0.52781197890716747</v>
      </c>
      <c r="AF123" s="251">
        <f t="shared" si="33"/>
        <v>0.60997837887729767</v>
      </c>
      <c r="AG123" s="251">
        <f t="shared" si="34"/>
        <v>0.39002162112270228</v>
      </c>
    </row>
    <row r="124" spans="1:53" x14ac:dyDescent="0.25">
      <c r="A124" s="194">
        <v>2060</v>
      </c>
      <c r="B124" s="195">
        <f t="shared" si="35"/>
        <v>26217.211807179381</v>
      </c>
      <c r="C124" s="195">
        <f t="shared" si="17"/>
        <v>11837.496044168249</v>
      </c>
      <c r="D124" s="195">
        <f t="shared" si="18"/>
        <v>22959.230664782881</v>
      </c>
      <c r="E124" s="195">
        <f t="shared" si="19"/>
        <v>61013.938516130511</v>
      </c>
      <c r="F124" s="196">
        <f t="shared" si="20"/>
        <v>0.42969217271965204</v>
      </c>
      <c r="H124" s="194">
        <v>2060</v>
      </c>
      <c r="I124" s="195">
        <f t="shared" si="21"/>
        <v>18536.811052685516</v>
      </c>
      <c r="J124" s="195">
        <f t="shared" si="22"/>
        <v>2168.4697134117719</v>
      </c>
      <c r="K124" s="195">
        <f t="shared" si="23"/>
        <v>13252.907023455646</v>
      </c>
      <c r="L124" s="195">
        <f t="shared" si="24"/>
        <v>11766.078447674357</v>
      </c>
      <c r="M124" s="195">
        <f t="shared" si="25"/>
        <v>23859.298229042783</v>
      </c>
      <c r="O124" s="195">
        <f t="shared" si="26"/>
        <v>20705.280766097287</v>
      </c>
      <c r="P124" s="196">
        <f t="shared" si="27"/>
        <v>0.89526972669878446</v>
      </c>
      <c r="Q124" s="195">
        <f t="shared" si="28"/>
        <v>48878.283700172789</v>
      </c>
      <c r="R124" s="196">
        <f t="shared" si="29"/>
        <v>0.24072200488563314</v>
      </c>
      <c r="S124" s="464">
        <f t="shared" si="30"/>
        <v>69583.56446627008</v>
      </c>
      <c r="T124" s="196">
        <f t="shared" si="36"/>
        <v>0.29755993279323828</v>
      </c>
      <c r="W124" s="195">
        <f t="shared" si="38"/>
        <v>4085.6776931804925</v>
      </c>
      <c r="X124" s="195">
        <f t="shared" si="31"/>
        <v>1415.4109792873969</v>
      </c>
      <c r="Y124" s="195">
        <f t="shared" si="39"/>
        <v>3068.5372776716722</v>
      </c>
      <c r="Z124" s="195">
        <f t="shared" si="41"/>
        <v>8569.6259501395616</v>
      </c>
      <c r="AA124" s="196">
        <f t="shared" si="42"/>
        <v>0.18511854783971235</v>
      </c>
      <c r="AB124" s="196">
        <f t="shared" si="32"/>
        <v>0.29164411565949849</v>
      </c>
      <c r="AC124" s="196">
        <f t="shared" si="40"/>
        <v>0.47676266349921081</v>
      </c>
      <c r="AD124" s="247">
        <f t="shared" si="37"/>
        <v>0.52323733650078919</v>
      </c>
      <c r="AF124" s="251">
        <f t="shared" si="33"/>
        <v>0.61171760707721867</v>
      </c>
      <c r="AG124" s="251">
        <f t="shared" si="34"/>
        <v>0.38828239292278133</v>
      </c>
      <c r="BA124" s="429"/>
    </row>
    <row r="125" spans="1:53" x14ac:dyDescent="0.25">
      <c r="BA125" s="429"/>
    </row>
    <row r="126" spans="1:53" x14ac:dyDescent="0.25">
      <c r="BA126" s="429"/>
    </row>
    <row r="127" spans="1:53" x14ac:dyDescent="0.25">
      <c r="BA127" s="429"/>
    </row>
    <row r="128" spans="1:53" ht="13.8" thickBot="1" x14ac:dyDescent="0.3">
      <c r="BA128" s="429"/>
    </row>
    <row r="129" spans="1:56" s="485" customFormat="1" ht="33" customHeight="1" thickBot="1" x14ac:dyDescent="0.35">
      <c r="A129" s="491"/>
      <c r="B129" s="660" t="s">
        <v>595</v>
      </c>
      <c r="C129" s="660"/>
      <c r="D129" s="660"/>
      <c r="E129" s="660"/>
      <c r="F129" s="660"/>
      <c r="G129" s="660"/>
      <c r="H129" s="660"/>
      <c r="I129" s="492"/>
      <c r="J129" s="620" t="s">
        <v>596</v>
      </c>
      <c r="K129" s="621"/>
      <c r="L129" s="621"/>
      <c r="M129" s="621"/>
      <c r="N129" s="621"/>
      <c r="O129" s="621"/>
      <c r="P129" s="622"/>
      <c r="Q129" s="492"/>
      <c r="R129" s="656" t="s">
        <v>597</v>
      </c>
      <c r="S129" s="657"/>
      <c r="T129" s="657"/>
      <c r="U129" s="657"/>
      <c r="V129" s="657"/>
      <c r="W129" s="657"/>
      <c r="X129" s="657"/>
      <c r="Y129" s="657"/>
      <c r="Z129" s="657"/>
      <c r="AA129" s="658"/>
      <c r="AB129" s="491"/>
      <c r="AC129" s="491"/>
      <c r="AD129" s="491"/>
      <c r="AE129" s="620" t="s">
        <v>598</v>
      </c>
      <c r="AF129" s="621"/>
      <c r="AG129" s="621"/>
      <c r="AH129" s="621"/>
      <c r="AI129" s="621"/>
      <c r="AJ129" s="621"/>
      <c r="AK129" s="621"/>
      <c r="AL129" s="621"/>
      <c r="AM129" s="621"/>
      <c r="AN129" s="622"/>
      <c r="AO129" s="491"/>
      <c r="AP129" s="491"/>
      <c r="AQ129" s="491"/>
      <c r="AR129" s="634" t="s">
        <v>505</v>
      </c>
      <c r="AS129" s="635"/>
      <c r="AT129" s="635"/>
      <c r="AU129" s="635"/>
      <c r="AV129" s="635"/>
      <c r="AW129" s="635"/>
      <c r="AX129" s="635"/>
      <c r="AY129" s="635"/>
      <c r="AZ129" s="636"/>
      <c r="BA129" s="433"/>
      <c r="BB129" s="491"/>
      <c r="BC129" s="491"/>
      <c r="BD129" s="491"/>
    </row>
    <row r="130" spans="1:56" s="413" customFormat="1" ht="67.5" customHeight="1" x14ac:dyDescent="0.25">
      <c r="A130" s="446"/>
      <c r="B130" s="661" t="s">
        <v>376</v>
      </c>
      <c r="C130" s="661"/>
      <c r="D130" s="661"/>
      <c r="E130" s="662" t="s">
        <v>375</v>
      </c>
      <c r="F130" s="662"/>
      <c r="G130" s="662"/>
      <c r="H130" s="662"/>
      <c r="I130" s="447"/>
      <c r="J130" s="624" t="s">
        <v>376</v>
      </c>
      <c r="K130" s="624"/>
      <c r="L130" s="624"/>
      <c r="M130" s="626" t="s">
        <v>375</v>
      </c>
      <c r="N130" s="626"/>
      <c r="O130" s="626"/>
      <c r="P130" s="626"/>
      <c r="Q130" s="447"/>
      <c r="R130" s="624" t="s">
        <v>377</v>
      </c>
      <c r="S130" s="624"/>
      <c r="T130" s="624"/>
      <c r="U130" s="624"/>
      <c r="V130" s="626" t="s">
        <v>375</v>
      </c>
      <c r="W130" s="626"/>
      <c r="X130" s="626"/>
      <c r="Y130" s="626"/>
      <c r="Z130" s="605" t="s">
        <v>470</v>
      </c>
      <c r="AA130" s="605"/>
      <c r="AB130" s="445"/>
      <c r="AC130" s="445"/>
      <c r="AD130" s="446"/>
      <c r="AE130" s="641" t="s">
        <v>245</v>
      </c>
      <c r="AF130" s="641"/>
      <c r="AG130" s="641"/>
      <c r="AH130" s="641"/>
      <c r="AI130" s="642" t="s">
        <v>247</v>
      </c>
      <c r="AJ130" s="642"/>
      <c r="AK130" s="642"/>
      <c r="AL130" s="642"/>
      <c r="AM130" s="611" t="s">
        <v>462</v>
      </c>
      <c r="AN130" s="611"/>
      <c r="AO130" s="445"/>
      <c r="AP130" s="445"/>
      <c r="AQ130" s="446"/>
      <c r="AR130" s="606" t="str">
        <f ca="1">CONCATENATE("Table 11(a): EMISSIONS ALLOCATION TO HEALTH &amp; EDUCATION in LLDC, ",A1)</f>
        <v>Table 11(a): EMISSIONS ALLOCATION TO HEALTH &amp; EDUCATION in LLDC, Electricity_cluster</v>
      </c>
      <c r="AS130" s="607"/>
      <c r="AT130" s="608"/>
      <c r="AU130" s="445"/>
      <c r="AV130" s="606" t="str">
        <f ca="1">CONCATENATE("Table 11(b): EMISSIONS ALLOCATION TO Education in LLDC, ",A1)</f>
        <v>Table 11(b): EMISSIONS ALLOCATION TO Education in LLDC, Electricity_cluster</v>
      </c>
      <c r="AW130" s="608"/>
      <c r="AX130" s="446"/>
      <c r="AY130" s="606" t="str">
        <f ca="1">CONCATENATE("Table 11(c): EMISSIONS ALLOCATION TO Family Planning in LLDC, ",A1)</f>
        <v>Table 11(c): EMISSIONS ALLOCATION TO Family Planning in LLDC, Electricity_cluster</v>
      </c>
      <c r="AZ130" s="608"/>
      <c r="BA130" s="429"/>
      <c r="BB130" s="446"/>
      <c r="BC130" s="612" t="s">
        <v>463</v>
      </c>
      <c r="BD130" s="613"/>
    </row>
    <row r="131" spans="1:56" ht="24.75" customHeight="1" x14ac:dyDescent="0.25">
      <c r="B131" s="453" t="s">
        <v>219</v>
      </c>
      <c r="C131" s="453" t="s">
        <v>220</v>
      </c>
      <c r="D131" s="453" t="s">
        <v>221</v>
      </c>
      <c r="E131" s="454" t="s">
        <v>222</v>
      </c>
      <c r="F131" s="454" t="s">
        <v>220</v>
      </c>
      <c r="G131" s="454" t="s">
        <v>248</v>
      </c>
      <c r="H131" s="454" t="s">
        <v>221</v>
      </c>
      <c r="I131" s="414"/>
      <c r="J131" s="451" t="s">
        <v>219</v>
      </c>
      <c r="K131" s="451" t="s">
        <v>220</v>
      </c>
      <c r="L131" s="451" t="s">
        <v>221</v>
      </c>
      <c r="M131" s="452" t="s">
        <v>222</v>
      </c>
      <c r="N131" s="452" t="s">
        <v>220</v>
      </c>
      <c r="O131" s="452" t="s">
        <v>248</v>
      </c>
      <c r="P131" s="452" t="s">
        <v>221</v>
      </c>
      <c r="Q131" s="414"/>
      <c r="R131" s="625" t="s">
        <v>223</v>
      </c>
      <c r="S131" s="625"/>
      <c r="T131" s="625"/>
      <c r="U131" s="625"/>
      <c r="V131" s="623" t="s">
        <v>223</v>
      </c>
      <c r="W131" s="623"/>
      <c r="X131" s="623"/>
      <c r="Y131" s="623"/>
      <c r="Z131" s="604" t="s">
        <v>218</v>
      </c>
      <c r="AA131" s="604"/>
      <c r="AE131" s="659" t="s">
        <v>223</v>
      </c>
      <c r="AF131" s="659"/>
      <c r="AG131" s="659"/>
      <c r="AH131" s="659"/>
      <c r="AI131" s="609" t="s">
        <v>223</v>
      </c>
      <c r="AJ131" s="609"/>
      <c r="AK131" s="609"/>
      <c r="AL131" s="609"/>
      <c r="AM131" s="610" t="s">
        <v>218</v>
      </c>
      <c r="AN131" s="610"/>
      <c r="AR131" s="435"/>
      <c r="AS131" s="603"/>
      <c r="AT131" s="603"/>
      <c r="AV131" s="603"/>
      <c r="AW131" s="603"/>
      <c r="AY131" s="603"/>
      <c r="AZ131" s="603"/>
      <c r="BA131" s="429"/>
      <c r="BC131" s="602" t="s">
        <v>218</v>
      </c>
      <c r="BD131" s="602"/>
    </row>
    <row r="132" spans="1:56" ht="38.25" customHeight="1" x14ac:dyDescent="0.25">
      <c r="B132" s="453" t="s">
        <v>500</v>
      </c>
      <c r="C132" s="453" t="s">
        <v>500</v>
      </c>
      <c r="D132" s="453" t="s">
        <v>513</v>
      </c>
      <c r="E132" s="454" t="s">
        <v>500</v>
      </c>
      <c r="F132" s="454" t="s">
        <v>500</v>
      </c>
      <c r="G132" s="454" t="s">
        <v>249</v>
      </c>
      <c r="H132" s="454" t="s">
        <v>513</v>
      </c>
      <c r="I132" s="415"/>
      <c r="J132" s="451" t="s">
        <v>500</v>
      </c>
      <c r="K132" s="451" t="s">
        <v>500</v>
      </c>
      <c r="L132" s="451" t="s">
        <v>513</v>
      </c>
      <c r="M132" s="452" t="s">
        <v>500</v>
      </c>
      <c r="N132" s="452" t="s">
        <v>500</v>
      </c>
      <c r="O132" s="452" t="s">
        <v>249</v>
      </c>
      <c r="P132" s="452" t="s">
        <v>513</v>
      </c>
      <c r="Q132" s="415"/>
      <c r="R132" s="436" t="s">
        <v>224</v>
      </c>
      <c r="S132" s="436" t="s">
        <v>36</v>
      </c>
      <c r="T132" s="436" t="s">
        <v>225</v>
      </c>
      <c r="U132" s="436" t="s">
        <v>226</v>
      </c>
      <c r="V132" s="437" t="s">
        <v>224</v>
      </c>
      <c r="W132" s="437" t="s">
        <v>36</v>
      </c>
      <c r="X132" s="437" t="s">
        <v>225</v>
      </c>
      <c r="Y132" s="437" t="s">
        <v>226</v>
      </c>
      <c r="Z132" s="438" t="s">
        <v>227</v>
      </c>
      <c r="AA132" s="438" t="s">
        <v>228</v>
      </c>
      <c r="AE132" s="448" t="s">
        <v>224</v>
      </c>
      <c r="AF132" s="448" t="s">
        <v>36</v>
      </c>
      <c r="AG132" s="448" t="s">
        <v>225</v>
      </c>
      <c r="AH132" s="448" t="s">
        <v>226</v>
      </c>
      <c r="AI132" s="449" t="s">
        <v>224</v>
      </c>
      <c r="AJ132" s="449" t="s">
        <v>36</v>
      </c>
      <c r="AK132" s="449" t="s">
        <v>225</v>
      </c>
      <c r="AL132" s="449" t="s">
        <v>226</v>
      </c>
      <c r="AM132" s="450" t="s">
        <v>227</v>
      </c>
      <c r="AN132" s="450" t="s">
        <v>228</v>
      </c>
      <c r="AR132" s="435"/>
      <c r="AS132" s="434" t="s">
        <v>227</v>
      </c>
      <c r="AT132" s="434" t="s">
        <v>228</v>
      </c>
      <c r="AV132" s="434" t="s">
        <v>227</v>
      </c>
      <c r="AW132" s="434" t="s">
        <v>228</v>
      </c>
      <c r="AY132" s="434" t="s">
        <v>227</v>
      </c>
      <c r="AZ132" s="434" t="s">
        <v>228</v>
      </c>
      <c r="BA132" s="429"/>
      <c r="BC132" s="481" t="s">
        <v>227</v>
      </c>
      <c r="BD132" s="481" t="s">
        <v>228</v>
      </c>
    </row>
    <row r="133" spans="1:56" ht="15.6" x14ac:dyDescent="0.3">
      <c r="A133" s="152">
        <v>2014</v>
      </c>
      <c r="B133" s="178"/>
      <c r="C133" s="182"/>
      <c r="D133" s="183"/>
      <c r="E133" s="179">
        <f>IFERROR(IF($G$19="Y",$F$19,$AA78)*(SUMIF($H$5:$H$16,"Y",$F$5:$F$16)*(Z27-B27)),0)</f>
        <v>0</v>
      </c>
      <c r="F133" s="183" t="str">
        <f>IFERROR(E133-E132,"")</f>
        <v/>
      </c>
      <c r="G133" s="247">
        <f t="shared" ref="G133:G179" si="43">IFERROR(E133/((Z27+N27)-B27),"")</f>
        <v>0</v>
      </c>
      <c r="H133" s="245" t="s">
        <v>264</v>
      </c>
      <c r="I133" s="416"/>
      <c r="J133" s="178"/>
      <c r="K133" s="182"/>
      <c r="L133" s="183"/>
      <c r="M133" s="179">
        <f t="shared" ref="M133:M179" si="44">IFERROR(IF($G$19="Y",$F$19,$AB78)*(SUMIF($H$5:$H$16,"Y",$F$5:$F$16)*((Z27+N27)-B27)),0)</f>
        <v>0</v>
      </c>
      <c r="N133" s="183" t="str">
        <f>IFERROR(M133-M132,"")</f>
        <v/>
      </c>
      <c r="O133" s="247">
        <f t="shared" ref="O133:O179" si="45">IFERROR(M133/((Z27+N27)-B27),"")</f>
        <v>0</v>
      </c>
      <c r="P133" s="245" t="s">
        <v>264</v>
      </c>
      <c r="Q133" s="416"/>
      <c r="R133" s="439"/>
      <c r="S133" s="440"/>
      <c r="T133" s="439"/>
      <c r="U133" s="440"/>
      <c r="V133" s="439" t="str">
        <f>IFERROR((E133)*'Emissions Factors'!B11,"")</f>
        <v/>
      </c>
      <c r="W133" s="441"/>
      <c r="X133" s="441"/>
      <c r="Y133" s="441"/>
      <c r="Z133" s="441">
        <f t="shared" ref="Z133:Z179" si="46">SUM(V133:Y133)</f>
        <v>0</v>
      </c>
      <c r="AA133" s="441">
        <f t="shared" ref="AA133:AA179" si="47">SUM(R133:U133)</f>
        <v>0</v>
      </c>
      <c r="AE133" s="182"/>
      <c r="AF133" s="178"/>
      <c r="AG133" s="182"/>
      <c r="AH133" s="178"/>
      <c r="AI133" s="182" t="str">
        <f>IFERROR((M133)*'Emissions Factors'!B11,"")</f>
        <v/>
      </c>
      <c r="AJ133" s="180"/>
      <c r="AK133" s="180"/>
      <c r="AL133" s="180"/>
      <c r="AM133" s="180">
        <f t="shared" ref="AM133:AM179" si="48">SUM(AI133:AL133)</f>
        <v>0</v>
      </c>
      <c r="AN133" s="180">
        <f t="shared" ref="AN133:AN179" si="49">SUM(AE133:AH133)</f>
        <v>0</v>
      </c>
      <c r="AR133" s="478">
        <v>2014</v>
      </c>
      <c r="AS133" s="479">
        <f>IFERROR(Z133+AM133,"")</f>
        <v>0</v>
      </c>
      <c r="AT133" s="479">
        <f>IFERROR(AA133+AN133,"")</f>
        <v>0</v>
      </c>
      <c r="AU133" s="430"/>
      <c r="AV133" s="479">
        <f t="shared" ref="AV133:AV179" si="50">IFERROR(AM133*$F$20,"")</f>
        <v>0</v>
      </c>
      <c r="AW133" s="479">
        <f t="shared" ref="AW133:AW179" si="51">IFERROR(AN133*$F$20,"")</f>
        <v>0</v>
      </c>
      <c r="AX133" s="430"/>
      <c r="AY133" s="479">
        <f t="shared" ref="AY133:AY179" si="52">AS133-AV133</f>
        <v>0</v>
      </c>
      <c r="AZ133" s="479">
        <f t="shared" ref="AZ133:AZ179" si="53">AT133-AW133</f>
        <v>0</v>
      </c>
      <c r="BA133" s="429"/>
      <c r="BC133" s="480" t="str">
        <f t="shared" ref="BC133:BC179" si="54">IFERROR(AV133/AS133,"")</f>
        <v/>
      </c>
      <c r="BD133" s="480" t="str">
        <f t="shared" ref="BD133:BD179" si="55">IFERROR(AZ133/(AW133+AZ133),"")</f>
        <v/>
      </c>
    </row>
    <row r="134" spans="1:56" ht="15.6" x14ac:dyDescent="0.3">
      <c r="A134" s="152">
        <v>2015</v>
      </c>
      <c r="B134" s="178"/>
      <c r="C134" s="182"/>
      <c r="D134" s="183"/>
      <c r="E134" s="179">
        <f>IFERROR(IF($G$19="Y",$F$19,$AA79)*(SUMIF($H$5:$H$16,"Y",$F$5:$F$16)*(Z28-B28)),0)</f>
        <v>0</v>
      </c>
      <c r="F134" s="183">
        <f>IFERROR(E134-E133,"")</f>
        <v>0</v>
      </c>
      <c r="G134" s="247">
        <f t="shared" si="43"/>
        <v>0</v>
      </c>
      <c r="H134" s="246"/>
      <c r="I134" s="417"/>
      <c r="J134" s="178"/>
      <c r="K134" s="182"/>
      <c r="L134" s="183"/>
      <c r="M134" s="179">
        <f t="shared" si="44"/>
        <v>0</v>
      </c>
      <c r="N134" s="183">
        <f>IFERROR(M134-M133,"")</f>
        <v>0</v>
      </c>
      <c r="O134" s="247">
        <f t="shared" si="45"/>
        <v>0</v>
      </c>
      <c r="P134" s="246"/>
      <c r="Q134" s="417"/>
      <c r="R134" s="439"/>
      <c r="S134" s="440"/>
      <c r="T134" s="439"/>
      <c r="U134" s="440"/>
      <c r="V134" s="439">
        <f>IFERROR((E134)*'Emissions Factors'!B12,"")</f>
        <v>0</v>
      </c>
      <c r="W134" s="441"/>
      <c r="X134" s="441"/>
      <c r="Y134" s="441"/>
      <c r="Z134" s="441">
        <f t="shared" si="46"/>
        <v>0</v>
      </c>
      <c r="AA134" s="441">
        <f t="shared" si="47"/>
        <v>0</v>
      </c>
      <c r="AE134" s="182"/>
      <c r="AF134" s="178"/>
      <c r="AG134" s="182"/>
      <c r="AH134" s="178"/>
      <c r="AI134" s="182">
        <f>IFERROR((M134)*'Emissions Factors'!B12,"")</f>
        <v>0</v>
      </c>
      <c r="AJ134" s="180"/>
      <c r="AK134" s="180"/>
      <c r="AL134" s="180"/>
      <c r="AM134" s="180">
        <f t="shared" si="48"/>
        <v>0</v>
      </c>
      <c r="AN134" s="180">
        <f t="shared" si="49"/>
        <v>0</v>
      </c>
      <c r="AR134" s="478">
        <v>2015</v>
      </c>
      <c r="AS134" s="479">
        <f t="shared" ref="AS134:AS179" si="56">IFERROR(Z134+AM134,"")</f>
        <v>0</v>
      </c>
      <c r="AT134" s="479">
        <f t="shared" ref="AT134:AT179" si="57">IFERROR(AA134+AN134,"")</f>
        <v>0</v>
      </c>
      <c r="AU134" s="430"/>
      <c r="AV134" s="479">
        <f t="shared" si="50"/>
        <v>0</v>
      </c>
      <c r="AW134" s="479">
        <f t="shared" si="51"/>
        <v>0</v>
      </c>
      <c r="AX134" s="430"/>
      <c r="AY134" s="479">
        <f t="shared" si="52"/>
        <v>0</v>
      </c>
      <c r="AZ134" s="479">
        <f t="shared" si="53"/>
        <v>0</v>
      </c>
      <c r="BA134" s="429"/>
      <c r="BC134" s="480" t="str">
        <f t="shared" si="54"/>
        <v/>
      </c>
      <c r="BD134" s="480" t="str">
        <f t="shared" si="55"/>
        <v/>
      </c>
    </row>
    <row r="135" spans="1:56" ht="15.6" x14ac:dyDescent="0.3">
      <c r="A135" s="152">
        <v>2016</v>
      </c>
      <c r="B135" s="178"/>
      <c r="C135" s="182"/>
      <c r="D135" s="183"/>
      <c r="E135" s="179">
        <f t="shared" ref="E135:E179" si="58">IFERROR(IF($G$19="Y",$F$19,$AA80)*(SUMIF($H$5:$H$16,"Y",$F$5:$F$16)*((Z29+N29)-B29)),0)</f>
        <v>-1.5077299119757194E-2</v>
      </c>
      <c r="F135" s="183">
        <f t="shared" ref="F135:F179" si="59">IFERROR(E135-E134,"")</f>
        <v>-1.5077299119757194E-2</v>
      </c>
      <c r="G135" s="247">
        <f t="shared" si="43"/>
        <v>0.37597424947433716</v>
      </c>
      <c r="H135" s="246"/>
      <c r="I135" s="417"/>
      <c r="J135" s="178"/>
      <c r="K135" s="182"/>
      <c r="L135" s="183"/>
      <c r="M135" s="179">
        <f t="shared" si="44"/>
        <v>-1.7376592901671553E-2</v>
      </c>
      <c r="N135" s="183">
        <f>IFERROR(M135-M134,"")</f>
        <v>-1.7376592901671553E-2</v>
      </c>
      <c r="O135" s="247">
        <f t="shared" si="45"/>
        <v>0.43331046381284943</v>
      </c>
      <c r="P135" s="246"/>
      <c r="Q135" s="417"/>
      <c r="R135" s="439"/>
      <c r="S135" s="440"/>
      <c r="T135" s="439"/>
      <c r="U135" s="440"/>
      <c r="V135" s="439">
        <f>IFERROR((E135)*'Emissions Factors'!B13,"")</f>
        <v>-9.2431941910602229E-3</v>
      </c>
      <c r="W135" s="441"/>
      <c r="X135" s="441"/>
      <c r="Y135" s="441"/>
      <c r="Z135" s="441">
        <f t="shared" si="46"/>
        <v>-9.2431941910602229E-3</v>
      </c>
      <c r="AA135" s="441">
        <f t="shared" si="47"/>
        <v>0</v>
      </c>
      <c r="AE135" s="182"/>
      <c r="AF135" s="178"/>
      <c r="AG135" s="182"/>
      <c r="AH135" s="178"/>
      <c r="AI135" s="182">
        <f>IFERROR((M135)*'Emissions Factors'!B13,"")</f>
        <v>-1.0652784778852047E-2</v>
      </c>
      <c r="AJ135" s="180"/>
      <c r="AK135" s="180"/>
      <c r="AL135" s="180"/>
      <c r="AM135" s="180">
        <f t="shared" si="48"/>
        <v>-1.0652784778852047E-2</v>
      </c>
      <c r="AN135" s="180">
        <f t="shared" si="49"/>
        <v>0</v>
      </c>
      <c r="AR135" s="478">
        <v>2016</v>
      </c>
      <c r="AS135" s="479">
        <f t="shared" si="56"/>
        <v>-1.989597896991227E-2</v>
      </c>
      <c r="AT135" s="479">
        <f t="shared" si="57"/>
        <v>0</v>
      </c>
      <c r="AU135" s="430"/>
      <c r="AV135" s="479">
        <f t="shared" si="50"/>
        <v>-5.3263923894260237E-3</v>
      </c>
      <c r="AW135" s="479">
        <f t="shared" si="51"/>
        <v>0</v>
      </c>
      <c r="AX135" s="430"/>
      <c r="AY135" s="479">
        <f t="shared" si="52"/>
        <v>-1.4569586580486247E-2</v>
      </c>
      <c r="AZ135" s="479">
        <f t="shared" si="53"/>
        <v>0</v>
      </c>
      <c r="BA135" s="429"/>
      <c r="BC135" s="480">
        <f t="shared" si="54"/>
        <v>0.26771200338927126</v>
      </c>
      <c r="BD135" s="480" t="str">
        <f t="shared" si="55"/>
        <v/>
      </c>
    </row>
    <row r="136" spans="1:56" ht="15.6" x14ac:dyDescent="0.3">
      <c r="A136" s="152">
        <v>2017</v>
      </c>
      <c r="B136" s="178"/>
      <c r="C136" s="182"/>
      <c r="D136" s="183"/>
      <c r="E136" s="179">
        <f t="shared" si="58"/>
        <v>-1.509081088242465E-2</v>
      </c>
      <c r="F136" s="183">
        <f>IFERROR(E136-E135,"")</f>
        <v>-1.3511762667456004E-5</v>
      </c>
      <c r="G136" s="247">
        <f t="shared" si="43"/>
        <v>0.3748388244397256</v>
      </c>
      <c r="H136" s="246"/>
      <c r="I136" s="417"/>
      <c r="J136" s="178"/>
      <c r="K136" s="182"/>
      <c r="L136" s="183"/>
      <c r="M136" s="179">
        <f t="shared" si="44"/>
        <v>-1.7490559461238911E-2</v>
      </c>
      <c r="N136" s="183">
        <f>IFERROR(M136-M135,"")</f>
        <v>-1.1396655956735779E-4</v>
      </c>
      <c r="O136" s="247">
        <f t="shared" si="45"/>
        <v>0.43444588884746094</v>
      </c>
      <c r="P136" s="246"/>
      <c r="Q136" s="417"/>
      <c r="R136" s="439"/>
      <c r="S136" s="440"/>
      <c r="T136" s="439"/>
      <c r="U136" s="440"/>
      <c r="V136" s="439">
        <f>IFERROR((E136)*'Emissions Factors'!B14,"")</f>
        <v>-9.1383766657744652E-3</v>
      </c>
      <c r="W136" s="441"/>
      <c r="X136" s="441"/>
      <c r="Y136" s="441"/>
      <c r="Z136" s="441">
        <f t="shared" si="46"/>
        <v>-9.1383766657744652E-3</v>
      </c>
      <c r="AA136" s="441">
        <f t="shared" si="47"/>
        <v>0</v>
      </c>
      <c r="AE136" s="182"/>
      <c r="AF136" s="178"/>
      <c r="AG136" s="182"/>
      <c r="AH136" s="178"/>
      <c r="AI136" s="182">
        <f>IFERROR((M136)*'Emissions Factors'!B14,"")</f>
        <v>-1.0591566066080447E-2</v>
      </c>
      <c r="AJ136" s="180"/>
      <c r="AK136" s="180"/>
      <c r="AL136" s="180"/>
      <c r="AM136" s="180">
        <f t="shared" si="48"/>
        <v>-1.0591566066080447E-2</v>
      </c>
      <c r="AN136" s="180">
        <f t="shared" si="49"/>
        <v>0</v>
      </c>
      <c r="AR136" s="478">
        <v>2017</v>
      </c>
      <c r="AS136" s="479">
        <f t="shared" si="56"/>
        <v>-1.972994273185491E-2</v>
      </c>
      <c r="AT136" s="479">
        <f t="shared" si="57"/>
        <v>0</v>
      </c>
      <c r="AU136" s="430"/>
      <c r="AV136" s="479">
        <f t="shared" si="50"/>
        <v>-5.2957830330402234E-3</v>
      </c>
      <c r="AW136" s="479">
        <f t="shared" si="51"/>
        <v>0</v>
      </c>
      <c r="AX136" s="430"/>
      <c r="AY136" s="479">
        <f t="shared" si="52"/>
        <v>-1.4434159698814687E-2</v>
      </c>
      <c r="AZ136" s="479">
        <f t="shared" si="53"/>
        <v>0</v>
      </c>
      <c r="BA136" s="429"/>
      <c r="BC136" s="480">
        <f t="shared" si="54"/>
        <v>0.26841350251310842</v>
      </c>
      <c r="BD136" s="480" t="str">
        <f t="shared" si="55"/>
        <v/>
      </c>
    </row>
    <row r="137" spans="1:56" ht="15.6" x14ac:dyDescent="0.3">
      <c r="A137" s="152">
        <v>2018</v>
      </c>
      <c r="B137" s="178"/>
      <c r="C137" s="182"/>
      <c r="D137" s="183"/>
      <c r="E137" s="179">
        <f t="shared" si="58"/>
        <v>-1.5030668899152619E-2</v>
      </c>
      <c r="F137" s="183">
        <f t="shared" si="59"/>
        <v>6.0141983272031171E-5</v>
      </c>
      <c r="G137" s="247">
        <f t="shared" si="43"/>
        <v>0.3737032796898207</v>
      </c>
      <c r="H137" s="246"/>
      <c r="I137" s="417"/>
      <c r="J137" s="178"/>
      <c r="K137" s="182"/>
      <c r="L137" s="183"/>
      <c r="M137" s="179">
        <f t="shared" si="44"/>
        <v>-1.7519461730318271E-2</v>
      </c>
      <c r="N137" s="183">
        <f t="shared" ref="N137:N179" si="60">IFERROR(M137-M136,"")</f>
        <v>-2.8902269079360277E-5</v>
      </c>
      <c r="O137" s="247">
        <f t="shared" si="45"/>
        <v>0.4355814335973659</v>
      </c>
      <c r="P137" s="246"/>
      <c r="Q137" s="417"/>
      <c r="R137" s="439"/>
      <c r="S137" s="440"/>
      <c r="T137" s="439"/>
      <c r="U137" s="440"/>
      <c r="V137" s="439">
        <f>IFERROR((E137)*'Emissions Factors'!B15,"")</f>
        <v>-9.0157523950914441E-3</v>
      </c>
      <c r="W137" s="441"/>
      <c r="X137" s="441"/>
      <c r="Y137" s="441"/>
      <c r="Z137" s="441">
        <f t="shared" si="46"/>
        <v>-9.0157523950914441E-3</v>
      </c>
      <c r="AA137" s="441">
        <f t="shared" si="47"/>
        <v>0</v>
      </c>
      <c r="AE137" s="182"/>
      <c r="AF137" s="178"/>
      <c r="AG137" s="182"/>
      <c r="AH137" s="178"/>
      <c r="AI137" s="182">
        <f>IFERROR((M137)*'Emissions Factors'!B15,"")</f>
        <v>-1.0508589478990828E-2</v>
      </c>
      <c r="AJ137" s="180"/>
      <c r="AK137" s="180"/>
      <c r="AL137" s="180"/>
      <c r="AM137" s="180">
        <f t="shared" si="48"/>
        <v>-1.0508589478990828E-2</v>
      </c>
      <c r="AN137" s="180">
        <f t="shared" si="49"/>
        <v>0</v>
      </c>
      <c r="AR137" s="478">
        <v>2018</v>
      </c>
      <c r="AS137" s="479">
        <f t="shared" si="56"/>
        <v>-1.9524341874082272E-2</v>
      </c>
      <c r="AT137" s="479">
        <f t="shared" si="57"/>
        <v>0</v>
      </c>
      <c r="AU137" s="430"/>
      <c r="AV137" s="479">
        <f t="shared" si="50"/>
        <v>-5.2542947394954142E-3</v>
      </c>
      <c r="AW137" s="479">
        <f t="shared" si="51"/>
        <v>0</v>
      </c>
      <c r="AX137" s="430"/>
      <c r="AY137" s="479">
        <f t="shared" si="52"/>
        <v>-1.4270047134586858E-2</v>
      </c>
      <c r="AZ137" s="479">
        <f t="shared" si="53"/>
        <v>0</v>
      </c>
      <c r="BA137" s="429"/>
      <c r="BC137" s="480">
        <f t="shared" si="54"/>
        <v>0.26911507560058989</v>
      </c>
      <c r="BD137" s="480" t="str">
        <f t="shared" si="55"/>
        <v/>
      </c>
    </row>
    <row r="138" spans="1:56" ht="15.6" x14ac:dyDescent="0.3">
      <c r="A138" s="152">
        <v>2019</v>
      </c>
      <c r="B138" s="178"/>
      <c r="C138" s="182"/>
      <c r="D138" s="183"/>
      <c r="E138" s="179">
        <f t="shared" si="58"/>
        <v>-1.4976542817820078E-2</v>
      </c>
      <c r="F138" s="183">
        <f t="shared" si="59"/>
        <v>5.4126081332541223E-5</v>
      </c>
      <c r="G138" s="247">
        <f t="shared" si="43"/>
        <v>0.37255520061579939</v>
      </c>
      <c r="H138" s="246"/>
      <c r="I138" s="417"/>
      <c r="J138" s="178"/>
      <c r="K138" s="182"/>
      <c r="L138" s="183"/>
      <c r="M138" s="179">
        <f t="shared" si="44"/>
        <v>-1.7556319803125969E-2</v>
      </c>
      <c r="N138" s="183">
        <f t="shared" si="60"/>
        <v>-3.6858072807698095E-5</v>
      </c>
      <c r="O138" s="247">
        <f t="shared" si="45"/>
        <v>0.43672951267138721</v>
      </c>
      <c r="P138" s="246"/>
      <c r="Q138" s="417"/>
      <c r="R138" s="439"/>
      <c r="S138" s="440"/>
      <c r="T138" s="439"/>
      <c r="U138" s="440"/>
      <c r="V138" s="439">
        <f>IFERROR((E138)*'Emissions Factors'!B16,"")</f>
        <v>-8.9363849215704175E-3</v>
      </c>
      <c r="W138" s="441"/>
      <c r="X138" s="441"/>
      <c r="Y138" s="441"/>
      <c r="Z138" s="441">
        <f t="shared" si="46"/>
        <v>-8.9363849215704175E-3</v>
      </c>
      <c r="AA138" s="441">
        <f t="shared" si="47"/>
        <v>0</v>
      </c>
      <c r="AE138" s="182"/>
      <c r="AF138" s="178"/>
      <c r="AG138" s="182"/>
      <c r="AH138" s="178"/>
      <c r="AI138" s="182">
        <f>IFERROR((M138)*'Emissions Factors'!B16,"")</f>
        <v>-1.0475717492039948E-2</v>
      </c>
      <c r="AJ138" s="180"/>
      <c r="AK138" s="180"/>
      <c r="AL138" s="180"/>
      <c r="AM138" s="180">
        <f t="shared" si="48"/>
        <v>-1.0475717492039948E-2</v>
      </c>
      <c r="AN138" s="180">
        <f t="shared" si="49"/>
        <v>0</v>
      </c>
      <c r="AR138" s="478">
        <v>2019</v>
      </c>
      <c r="AS138" s="479">
        <f t="shared" si="56"/>
        <v>-1.9412102413610365E-2</v>
      </c>
      <c r="AT138" s="479">
        <f t="shared" si="57"/>
        <v>0</v>
      </c>
      <c r="AU138" s="430"/>
      <c r="AV138" s="479">
        <f t="shared" si="50"/>
        <v>-5.2378587460199738E-3</v>
      </c>
      <c r="AW138" s="479">
        <f t="shared" si="51"/>
        <v>0</v>
      </c>
      <c r="AX138" s="430"/>
      <c r="AY138" s="479">
        <f t="shared" si="52"/>
        <v>-1.4174243667590392E-2</v>
      </c>
      <c r="AZ138" s="479">
        <f t="shared" si="53"/>
        <v>0</v>
      </c>
      <c r="BA138" s="429"/>
      <c r="BC138" s="480">
        <f t="shared" si="54"/>
        <v>0.26982439276374132</v>
      </c>
      <c r="BD138" s="480" t="str">
        <f t="shared" si="55"/>
        <v/>
      </c>
    </row>
    <row r="139" spans="1:56" ht="15.6" x14ac:dyDescent="0.3">
      <c r="A139" s="152">
        <v>2020</v>
      </c>
      <c r="B139" s="178"/>
      <c r="C139" s="182"/>
      <c r="D139" s="183"/>
      <c r="E139" s="179">
        <f t="shared" si="58"/>
        <v>-1.493449785394186E-2</v>
      </c>
      <c r="F139" s="183">
        <f t="shared" si="59"/>
        <v>4.2044963878218322E-5</v>
      </c>
      <c r="G139" s="247">
        <f t="shared" si="43"/>
        <v>0.37138481108098914</v>
      </c>
      <c r="H139" s="246"/>
      <c r="I139" s="417"/>
      <c r="J139" s="178"/>
      <c r="K139" s="182"/>
      <c r="L139" s="183"/>
      <c r="M139" s="179">
        <f t="shared" si="44"/>
        <v>-1.7609269293228168E-2</v>
      </c>
      <c r="N139" s="183">
        <f t="shared" si="60"/>
        <v>-5.294949010219846E-5</v>
      </c>
      <c r="O139" s="247">
        <f t="shared" si="45"/>
        <v>0.43789990220619746</v>
      </c>
      <c r="P139" s="246"/>
      <c r="Q139" s="417"/>
      <c r="R139" s="439"/>
      <c r="S139" s="440"/>
      <c r="T139" s="439"/>
      <c r="U139" s="440"/>
      <c r="V139" s="439">
        <f>IFERROR((E139)*'Emissions Factors'!B17,"")</f>
        <v>-8.8555070566282441E-3</v>
      </c>
      <c r="W139" s="441"/>
      <c r="X139" s="441"/>
      <c r="Y139" s="441"/>
      <c r="Z139" s="441">
        <f t="shared" si="46"/>
        <v>-8.8555070566282441E-3</v>
      </c>
      <c r="AA139" s="441">
        <f t="shared" si="47"/>
        <v>0</v>
      </c>
      <c r="AD139" s="431"/>
      <c r="AE139" s="182"/>
      <c r="AF139" s="178"/>
      <c r="AG139" s="182"/>
      <c r="AH139" s="178"/>
      <c r="AI139" s="182">
        <f>IFERROR((M139)*'Emissions Factors'!B17,"")</f>
        <v>-1.0441530074416934E-2</v>
      </c>
      <c r="AJ139" s="180"/>
      <c r="AK139" s="180"/>
      <c r="AL139" s="180"/>
      <c r="AM139" s="180">
        <f t="shared" si="48"/>
        <v>-1.0441530074416934E-2</v>
      </c>
      <c r="AN139" s="180">
        <f t="shared" si="49"/>
        <v>0</v>
      </c>
      <c r="AQ139" s="430"/>
      <c r="AR139" s="478">
        <v>2020</v>
      </c>
      <c r="AS139" s="479">
        <f t="shared" si="56"/>
        <v>-1.9297037131045178E-2</v>
      </c>
      <c r="AT139" s="479">
        <f t="shared" si="57"/>
        <v>0</v>
      </c>
      <c r="AU139" s="430"/>
      <c r="AV139" s="479">
        <f t="shared" si="50"/>
        <v>-5.2207650372084668E-3</v>
      </c>
      <c r="AW139" s="479">
        <f t="shared" si="51"/>
        <v>0</v>
      </c>
      <c r="AX139" s="430"/>
      <c r="AY139" s="479">
        <f t="shared" si="52"/>
        <v>-1.407627209383671E-2</v>
      </c>
      <c r="AZ139" s="479">
        <f t="shared" si="53"/>
        <v>0</v>
      </c>
      <c r="BA139" s="429"/>
      <c r="BC139" s="480">
        <f t="shared" si="54"/>
        <v>0.27054749398856015</v>
      </c>
      <c r="BD139" s="480" t="str">
        <f t="shared" si="55"/>
        <v/>
      </c>
    </row>
    <row r="140" spans="1:56" ht="15.6" x14ac:dyDescent="0.3">
      <c r="A140" s="152">
        <v>2021</v>
      </c>
      <c r="B140" s="178"/>
      <c r="C140" s="182"/>
      <c r="D140" s="183"/>
      <c r="E140" s="179">
        <f t="shared" si="58"/>
        <v>3.5733340865513483</v>
      </c>
      <c r="F140" s="183">
        <f t="shared" si="59"/>
        <v>3.5882685844052902</v>
      </c>
      <c r="G140" s="247">
        <f t="shared" si="43"/>
        <v>9.8737395849545939E-2</v>
      </c>
      <c r="H140" s="246"/>
      <c r="I140" s="417"/>
      <c r="J140" s="178"/>
      <c r="K140" s="182"/>
      <c r="L140" s="183"/>
      <c r="M140" s="179">
        <f t="shared" si="44"/>
        <v>4.2389665797692127</v>
      </c>
      <c r="N140" s="183">
        <f t="shared" si="60"/>
        <v>4.2565758490624406</v>
      </c>
      <c r="O140" s="247">
        <f t="shared" si="45"/>
        <v>0.11712997190912229</v>
      </c>
      <c r="P140" s="246"/>
      <c r="Q140" s="417"/>
      <c r="R140" s="439"/>
      <c r="S140" s="440"/>
      <c r="T140" s="439"/>
      <c r="U140" s="440"/>
      <c r="V140" s="439">
        <f>IFERROR((E140)*'Emissions Factors'!B18,"")</f>
        <v>2.1061024227897018</v>
      </c>
      <c r="W140" s="441"/>
      <c r="X140" s="441"/>
      <c r="Y140" s="441"/>
      <c r="Z140" s="441">
        <f t="shared" si="46"/>
        <v>2.1061024227897018</v>
      </c>
      <c r="AA140" s="441">
        <f t="shared" si="47"/>
        <v>0</v>
      </c>
      <c r="AD140" s="431"/>
      <c r="AE140" s="182"/>
      <c r="AF140" s="178"/>
      <c r="AG140" s="182"/>
      <c r="AH140" s="178"/>
      <c r="AI140" s="182">
        <f>IFERROR((M140)*'Emissions Factors'!B18,"")</f>
        <v>2.4984223606118796</v>
      </c>
      <c r="AJ140" s="180"/>
      <c r="AK140" s="180"/>
      <c r="AL140" s="180"/>
      <c r="AM140" s="180">
        <f t="shared" si="48"/>
        <v>2.4984223606118796</v>
      </c>
      <c r="AN140" s="180">
        <f t="shared" si="49"/>
        <v>0</v>
      </c>
      <c r="AQ140" s="430"/>
      <c r="AR140" s="478">
        <v>2021</v>
      </c>
      <c r="AS140" s="479">
        <f t="shared" si="56"/>
        <v>4.6045247834015814</v>
      </c>
      <c r="AT140" s="479">
        <f t="shared" si="57"/>
        <v>0</v>
      </c>
      <c r="AU140" s="430"/>
      <c r="AV140" s="479">
        <f t="shared" si="50"/>
        <v>1.2492111803059398</v>
      </c>
      <c r="AW140" s="479">
        <f t="shared" si="51"/>
        <v>0</v>
      </c>
      <c r="AX140" s="430"/>
      <c r="AY140" s="479">
        <f t="shared" si="52"/>
        <v>3.3553136030956416</v>
      </c>
      <c r="AZ140" s="479">
        <f t="shared" si="53"/>
        <v>0</v>
      </c>
      <c r="BA140" s="429"/>
      <c r="BC140" s="480">
        <f t="shared" si="54"/>
        <v>0.27130078326630008</v>
      </c>
      <c r="BD140" s="480" t="str">
        <f t="shared" si="55"/>
        <v/>
      </c>
    </row>
    <row r="141" spans="1:56" ht="15.6" x14ac:dyDescent="0.3">
      <c r="A141" s="152">
        <v>2022</v>
      </c>
      <c r="B141" s="178"/>
      <c r="C141" s="182"/>
      <c r="D141" s="183"/>
      <c r="E141" s="179">
        <f t="shared" si="58"/>
        <v>8.666045301089536</v>
      </c>
      <c r="F141" s="183">
        <f t="shared" si="59"/>
        <v>5.0927112145381876</v>
      </c>
      <c r="G141" s="247">
        <f t="shared" si="43"/>
        <v>0.10437519841481954</v>
      </c>
      <c r="H141" s="246"/>
      <c r="I141" s="417"/>
      <c r="J141" s="178"/>
      <c r="K141" s="182"/>
      <c r="L141" s="183"/>
      <c r="M141" s="179">
        <f t="shared" si="44"/>
        <v>10.344474512226247</v>
      </c>
      <c r="N141" s="183">
        <f t="shared" si="60"/>
        <v>6.1055079324570345</v>
      </c>
      <c r="O141" s="247">
        <f t="shared" si="45"/>
        <v>0.12459046106935448</v>
      </c>
      <c r="P141" s="246"/>
      <c r="Q141" s="417"/>
      <c r="R141" s="182"/>
      <c r="S141" s="178"/>
      <c r="T141" s="182"/>
      <c r="U141" s="178"/>
      <c r="V141" s="182">
        <f>IFERROR((E141)*'Emissions Factors'!B19,"")</f>
        <v>5.0773487684628318</v>
      </c>
      <c r="W141" s="180"/>
      <c r="X141" s="180"/>
      <c r="Y141" s="180"/>
      <c r="Z141" s="180">
        <f t="shared" si="46"/>
        <v>5.0773487684628318</v>
      </c>
      <c r="AA141" s="180">
        <f t="shared" si="47"/>
        <v>0</v>
      </c>
      <c r="AD141" s="431"/>
      <c r="AE141" s="182"/>
      <c r="AF141" s="178"/>
      <c r="AG141" s="182"/>
      <c r="AH141" s="178"/>
      <c r="AI141" s="182">
        <f>IFERROR((M141)*'Emissions Factors'!B19,"")</f>
        <v>6.0607235596199471</v>
      </c>
      <c r="AJ141" s="180"/>
      <c r="AK141" s="180"/>
      <c r="AL141" s="180"/>
      <c r="AM141" s="180">
        <f t="shared" si="48"/>
        <v>6.0607235596199471</v>
      </c>
      <c r="AN141" s="180">
        <f t="shared" si="49"/>
        <v>0</v>
      </c>
      <c r="AQ141" s="430"/>
      <c r="AR141" s="478">
        <v>2022</v>
      </c>
      <c r="AS141" s="479">
        <f t="shared" si="56"/>
        <v>11.138072328082778</v>
      </c>
      <c r="AT141" s="479">
        <f t="shared" si="57"/>
        <v>0</v>
      </c>
      <c r="AU141" s="430"/>
      <c r="AV141" s="479">
        <f t="shared" si="50"/>
        <v>3.0303617798099736</v>
      </c>
      <c r="AW141" s="479">
        <f t="shared" si="51"/>
        <v>0</v>
      </c>
      <c r="AX141" s="430"/>
      <c r="AY141" s="479">
        <f t="shared" si="52"/>
        <v>8.107710548272804</v>
      </c>
      <c r="AZ141" s="479">
        <f t="shared" si="53"/>
        <v>0</v>
      </c>
      <c r="BA141" s="429"/>
      <c r="BC141" s="480">
        <f t="shared" si="54"/>
        <v>0.27207237397529066</v>
      </c>
      <c r="BD141" s="480" t="str">
        <f t="shared" si="55"/>
        <v/>
      </c>
    </row>
    <row r="142" spans="1:56" ht="15.6" x14ac:dyDescent="0.3">
      <c r="A142" s="152">
        <v>2023</v>
      </c>
      <c r="B142" s="178"/>
      <c r="C142" s="182"/>
      <c r="D142" s="183"/>
      <c r="E142" s="179">
        <f t="shared" si="58"/>
        <v>15.130255885457348</v>
      </c>
      <c r="F142" s="183">
        <f t="shared" si="59"/>
        <v>6.4642105843678124</v>
      </c>
      <c r="G142" s="247">
        <f t="shared" si="43"/>
        <v>0.10841599510991841</v>
      </c>
      <c r="H142" s="246"/>
      <c r="I142" s="417"/>
      <c r="J142" s="178"/>
      <c r="K142" s="182"/>
      <c r="L142" s="183"/>
      <c r="M142" s="179">
        <f t="shared" si="44"/>
        <v>18.176108124734853</v>
      </c>
      <c r="N142" s="183">
        <f t="shared" si="60"/>
        <v>7.8316336125086057</v>
      </c>
      <c r="O142" s="247">
        <f t="shared" si="45"/>
        <v>0.13024107883480363</v>
      </c>
      <c r="P142" s="246"/>
      <c r="Q142" s="417"/>
      <c r="R142" s="182"/>
      <c r="S142" s="178"/>
      <c r="T142" s="182"/>
      <c r="U142" s="178"/>
      <c r="V142" s="182">
        <f>IFERROR((E142)*'Emissions Factors'!B20,"")</f>
        <v>8.8129196385658464</v>
      </c>
      <c r="W142" s="180"/>
      <c r="X142" s="180"/>
      <c r="Y142" s="180"/>
      <c r="Z142" s="180">
        <f t="shared" si="46"/>
        <v>8.8129196385658464</v>
      </c>
      <c r="AA142" s="180">
        <f t="shared" si="47"/>
        <v>0</v>
      </c>
      <c r="AD142" s="431"/>
      <c r="AE142" s="182"/>
      <c r="AF142" s="178"/>
      <c r="AG142" s="182"/>
      <c r="AH142" s="178"/>
      <c r="AI142" s="182">
        <f>IFERROR((M142)*'Emissions Factors'!B20,"")</f>
        <v>10.587037090306954</v>
      </c>
      <c r="AJ142" s="180"/>
      <c r="AK142" s="180"/>
      <c r="AL142" s="180"/>
      <c r="AM142" s="180">
        <f t="shared" si="48"/>
        <v>10.587037090306954</v>
      </c>
      <c r="AN142" s="180">
        <f t="shared" si="49"/>
        <v>0</v>
      </c>
      <c r="AQ142" s="430"/>
      <c r="AR142" s="478">
        <v>2023</v>
      </c>
      <c r="AS142" s="479">
        <f t="shared" si="56"/>
        <v>19.399956728872802</v>
      </c>
      <c r="AT142" s="479">
        <f t="shared" si="57"/>
        <v>0</v>
      </c>
      <c r="AU142" s="430"/>
      <c r="AV142" s="479">
        <f t="shared" si="50"/>
        <v>5.2935185451534768</v>
      </c>
      <c r="AW142" s="479">
        <f t="shared" si="51"/>
        <v>0</v>
      </c>
      <c r="AX142" s="430"/>
      <c r="AY142" s="479">
        <f t="shared" si="52"/>
        <v>14.106438183719325</v>
      </c>
      <c r="AZ142" s="479">
        <f t="shared" si="53"/>
        <v>0</v>
      </c>
      <c r="BA142" s="429"/>
      <c r="BC142" s="480">
        <f t="shared" si="54"/>
        <v>0.27286238928951706</v>
      </c>
      <c r="BD142" s="480" t="str">
        <f t="shared" si="55"/>
        <v/>
      </c>
    </row>
    <row r="143" spans="1:56" ht="15.6" x14ac:dyDescent="0.3">
      <c r="A143" s="152">
        <v>2024</v>
      </c>
      <c r="B143" s="178"/>
      <c r="C143" s="182"/>
      <c r="D143" s="183"/>
      <c r="E143" s="179">
        <f t="shared" si="58"/>
        <v>22.900260654066162</v>
      </c>
      <c r="F143" s="183">
        <f t="shared" si="59"/>
        <v>7.7700047686088141</v>
      </c>
      <c r="G143" s="247">
        <f t="shared" si="43"/>
        <v>0.11148456122591828</v>
      </c>
      <c r="H143" s="246"/>
      <c r="I143" s="417"/>
      <c r="J143" s="178"/>
      <c r="K143" s="182"/>
      <c r="L143" s="183"/>
      <c r="M143" s="179">
        <f t="shared" si="44"/>
        <v>27.690212804678346</v>
      </c>
      <c r="N143" s="183">
        <f t="shared" si="60"/>
        <v>9.5141046799434932</v>
      </c>
      <c r="O143" s="247">
        <f t="shared" si="45"/>
        <v>0.13480332260906983</v>
      </c>
      <c r="P143" s="246"/>
      <c r="Q143" s="417"/>
      <c r="R143" s="182"/>
      <c r="S143" s="178"/>
      <c r="T143" s="182"/>
      <c r="U143" s="178"/>
      <c r="V143" s="182">
        <f>IFERROR((E143)*'Emissions Factors'!B21,"")</f>
        <v>13.262147992584431</v>
      </c>
      <c r="W143" s="180"/>
      <c r="X143" s="180"/>
      <c r="Y143" s="180"/>
      <c r="Z143" s="180">
        <f t="shared" si="46"/>
        <v>13.262147992584431</v>
      </c>
      <c r="AA143" s="180">
        <f t="shared" si="47"/>
        <v>0</v>
      </c>
      <c r="AD143" s="431"/>
      <c r="AE143" s="182"/>
      <c r="AF143" s="178"/>
      <c r="AG143" s="182"/>
      <c r="AH143" s="178"/>
      <c r="AI143" s="182">
        <f>IFERROR((M143)*'Emissions Factors'!B21,"")</f>
        <v>16.036136256667241</v>
      </c>
      <c r="AJ143" s="180"/>
      <c r="AK143" s="180"/>
      <c r="AL143" s="180"/>
      <c r="AM143" s="180">
        <f t="shared" si="48"/>
        <v>16.036136256667241</v>
      </c>
      <c r="AN143" s="180">
        <f t="shared" si="49"/>
        <v>0</v>
      </c>
      <c r="AQ143" s="430"/>
      <c r="AR143" s="478">
        <v>2024</v>
      </c>
      <c r="AS143" s="479">
        <f t="shared" si="56"/>
        <v>29.298284249251672</v>
      </c>
      <c r="AT143" s="479">
        <f t="shared" si="57"/>
        <v>0</v>
      </c>
      <c r="AU143" s="430"/>
      <c r="AV143" s="479">
        <f t="shared" si="50"/>
        <v>8.0180681283336206</v>
      </c>
      <c r="AW143" s="479">
        <f t="shared" si="51"/>
        <v>0</v>
      </c>
      <c r="AX143" s="430"/>
      <c r="AY143" s="479">
        <f t="shared" si="52"/>
        <v>21.280216120918052</v>
      </c>
      <c r="AZ143" s="479">
        <f t="shared" si="53"/>
        <v>0</v>
      </c>
      <c r="BA143" s="429"/>
      <c r="BC143" s="480">
        <f t="shared" si="54"/>
        <v>0.27367022792600615</v>
      </c>
      <c r="BD143" s="480" t="str">
        <f t="shared" si="55"/>
        <v/>
      </c>
    </row>
    <row r="144" spans="1:56" ht="15.6" x14ac:dyDescent="0.3">
      <c r="A144" s="152">
        <v>2025</v>
      </c>
      <c r="B144" s="178"/>
      <c r="C144" s="182"/>
      <c r="D144" s="183"/>
      <c r="E144" s="179">
        <f t="shared" si="58"/>
        <v>31.930933385462524</v>
      </c>
      <c r="F144" s="183">
        <f t="shared" si="59"/>
        <v>9.0306727313963613</v>
      </c>
      <c r="G144" s="247">
        <f t="shared" si="43"/>
        <v>0.11390327599148446</v>
      </c>
      <c r="H144" s="246"/>
      <c r="I144" s="417"/>
      <c r="J144" s="178"/>
      <c r="K144" s="182"/>
      <c r="L144" s="183"/>
      <c r="M144" s="179">
        <f t="shared" si="44"/>
        <v>38.867838786277389</v>
      </c>
      <c r="N144" s="183">
        <f t="shared" si="60"/>
        <v>11.177625981599043</v>
      </c>
      <c r="O144" s="247">
        <f t="shared" si="45"/>
        <v>0.13864844209287902</v>
      </c>
      <c r="P144" s="246"/>
      <c r="Q144" s="417"/>
      <c r="R144" s="182"/>
      <c r="S144" s="178"/>
      <c r="T144" s="182"/>
      <c r="U144" s="178"/>
      <c r="V144" s="182">
        <f>IFERROR((E144)*'Emissions Factors'!B22,"")</f>
        <v>18.397988309446482</v>
      </c>
      <c r="W144" s="180"/>
      <c r="X144" s="180"/>
      <c r="Y144" s="180"/>
      <c r="Z144" s="180">
        <f t="shared" si="46"/>
        <v>18.397988309446482</v>
      </c>
      <c r="AA144" s="180">
        <f t="shared" si="47"/>
        <v>0</v>
      </c>
      <c r="AD144" s="431"/>
      <c r="AE144" s="182"/>
      <c r="AF144" s="178"/>
      <c r="AG144" s="182"/>
      <c r="AH144" s="178"/>
      <c r="AI144" s="182">
        <f>IFERROR((M144)*'Emissions Factors'!B22,"")</f>
        <v>22.394899484176911</v>
      </c>
      <c r="AJ144" s="180"/>
      <c r="AK144" s="180"/>
      <c r="AL144" s="180"/>
      <c r="AM144" s="180">
        <f t="shared" si="48"/>
        <v>22.394899484176911</v>
      </c>
      <c r="AN144" s="180">
        <f t="shared" si="49"/>
        <v>0</v>
      </c>
      <c r="AQ144" s="430"/>
      <c r="AR144" s="478">
        <v>2025</v>
      </c>
      <c r="AS144" s="479">
        <f t="shared" si="56"/>
        <v>40.792887793623393</v>
      </c>
      <c r="AT144" s="479">
        <f t="shared" si="57"/>
        <v>0</v>
      </c>
      <c r="AU144" s="430"/>
      <c r="AV144" s="479">
        <f t="shared" si="50"/>
        <v>11.197449742088455</v>
      </c>
      <c r="AW144" s="479">
        <f t="shared" si="51"/>
        <v>0</v>
      </c>
      <c r="AX144" s="430"/>
      <c r="AY144" s="479">
        <f t="shared" si="52"/>
        <v>29.595438051534938</v>
      </c>
      <c r="AZ144" s="479">
        <f t="shared" si="53"/>
        <v>0</v>
      </c>
      <c r="BA144" s="429"/>
      <c r="BC144" s="480">
        <f t="shared" si="54"/>
        <v>0.27449514726042029</v>
      </c>
      <c r="BD144" s="480" t="str">
        <f t="shared" si="55"/>
        <v/>
      </c>
    </row>
    <row r="145" spans="1:56" ht="15.6" x14ac:dyDescent="0.3">
      <c r="A145" s="152">
        <v>2026</v>
      </c>
      <c r="B145" s="178"/>
      <c r="C145" s="182"/>
      <c r="D145" s="183"/>
      <c r="E145" s="179">
        <f t="shared" si="58"/>
        <v>42.179633974123945</v>
      </c>
      <c r="F145" s="183">
        <f t="shared" si="59"/>
        <v>10.248700588661421</v>
      </c>
      <c r="G145" s="247">
        <f t="shared" si="43"/>
        <v>0.11587759463068495</v>
      </c>
      <c r="H145" s="246"/>
      <c r="I145" s="417"/>
      <c r="J145" s="178"/>
      <c r="K145" s="182"/>
      <c r="L145" s="183"/>
      <c r="M145" s="179">
        <f t="shared" si="44"/>
        <v>51.693343984943695</v>
      </c>
      <c r="N145" s="183">
        <f t="shared" si="60"/>
        <v>12.825505198666306</v>
      </c>
      <c r="O145" s="247">
        <f t="shared" si="45"/>
        <v>0.14201404315330535</v>
      </c>
      <c r="P145" s="246"/>
      <c r="Q145" s="417"/>
      <c r="R145" s="182"/>
      <c r="S145" s="178"/>
      <c r="T145" s="182"/>
      <c r="U145" s="178"/>
      <c r="V145" s="182">
        <f>IFERROR((E145)*'Emissions Factors'!B23,"")</f>
        <v>24.15376555525588</v>
      </c>
      <c r="W145" s="180"/>
      <c r="X145" s="180"/>
      <c r="Y145" s="180"/>
      <c r="Z145" s="180">
        <f t="shared" si="46"/>
        <v>24.15376555525588</v>
      </c>
      <c r="AA145" s="180">
        <f t="shared" si="47"/>
        <v>0</v>
      </c>
      <c r="AD145" s="431"/>
      <c r="AE145" s="182"/>
      <c r="AF145" s="178"/>
      <c r="AG145" s="182"/>
      <c r="AH145" s="178"/>
      <c r="AI145" s="182">
        <f>IFERROR((M145)*'Emissions Factors'!B23,"")</f>
        <v>29.601700957042489</v>
      </c>
      <c r="AJ145" s="180"/>
      <c r="AK145" s="180"/>
      <c r="AL145" s="180"/>
      <c r="AM145" s="180">
        <f t="shared" si="48"/>
        <v>29.601700957042489</v>
      </c>
      <c r="AN145" s="180">
        <f t="shared" si="49"/>
        <v>0</v>
      </c>
      <c r="AQ145" s="430"/>
      <c r="AR145" s="478">
        <v>2026</v>
      </c>
      <c r="AS145" s="479">
        <f t="shared" si="56"/>
        <v>53.755466512298369</v>
      </c>
      <c r="AT145" s="479">
        <f t="shared" si="57"/>
        <v>0</v>
      </c>
      <c r="AU145" s="430"/>
      <c r="AV145" s="479">
        <f t="shared" si="50"/>
        <v>14.800850478521244</v>
      </c>
      <c r="AW145" s="479">
        <f t="shared" si="51"/>
        <v>0</v>
      </c>
      <c r="AX145" s="430"/>
      <c r="AY145" s="479">
        <f t="shared" si="52"/>
        <v>38.954616033777128</v>
      </c>
      <c r="AZ145" s="479">
        <f t="shared" si="53"/>
        <v>0</v>
      </c>
      <c r="BA145" s="429"/>
      <c r="BC145" s="480">
        <f t="shared" si="54"/>
        <v>0.27533665762411441</v>
      </c>
      <c r="BD145" s="480" t="str">
        <f t="shared" si="55"/>
        <v/>
      </c>
    </row>
    <row r="146" spans="1:56" ht="15.6" x14ac:dyDescent="0.3">
      <c r="A146" s="152">
        <v>2027</v>
      </c>
      <c r="B146" s="178"/>
      <c r="C146" s="182"/>
      <c r="D146" s="183"/>
      <c r="E146" s="179">
        <f t="shared" si="58"/>
        <v>53.615716625702134</v>
      </c>
      <c r="F146" s="183">
        <f t="shared" si="59"/>
        <v>11.436082651578189</v>
      </c>
      <c r="G146" s="247">
        <f t="shared" si="43"/>
        <v>0.11755416973777683</v>
      </c>
      <c r="H146" s="246"/>
      <c r="I146" s="417"/>
      <c r="J146" s="178"/>
      <c r="K146" s="182"/>
      <c r="L146" s="183"/>
      <c r="M146" s="179">
        <f t="shared" si="44"/>
        <v>66.166027346380801</v>
      </c>
      <c r="N146" s="183">
        <f t="shared" si="60"/>
        <v>14.472683361437106</v>
      </c>
      <c r="O146" s="247">
        <f t="shared" si="45"/>
        <v>0.14507112651035972</v>
      </c>
      <c r="P146" s="246"/>
      <c r="Q146" s="417"/>
      <c r="R146" s="182"/>
      <c r="S146" s="178"/>
      <c r="T146" s="182"/>
      <c r="U146" s="178"/>
      <c r="V146" s="182">
        <f>IFERROR((E146)*'Emissions Factors'!B24,"")</f>
        <v>30.533327821769102</v>
      </c>
      <c r="W146" s="180"/>
      <c r="X146" s="180"/>
      <c r="Y146" s="180"/>
      <c r="Z146" s="180">
        <f t="shared" si="46"/>
        <v>30.533327821769102</v>
      </c>
      <c r="AA146" s="180">
        <f t="shared" si="47"/>
        <v>0</v>
      </c>
      <c r="AD146" s="431"/>
      <c r="AE146" s="182"/>
      <c r="AF146" s="178"/>
      <c r="AG146" s="182"/>
      <c r="AH146" s="178"/>
      <c r="AI146" s="182">
        <f>IFERROR((M146)*'Emissions Factors'!B24,"")</f>
        <v>37.68053717783777</v>
      </c>
      <c r="AJ146" s="180"/>
      <c r="AK146" s="180"/>
      <c r="AL146" s="180"/>
      <c r="AM146" s="180">
        <f t="shared" si="48"/>
        <v>37.68053717783777</v>
      </c>
      <c r="AN146" s="180">
        <f t="shared" si="49"/>
        <v>0</v>
      </c>
      <c r="AQ146" s="430"/>
      <c r="AR146" s="478">
        <v>2027</v>
      </c>
      <c r="AS146" s="479">
        <f t="shared" si="56"/>
        <v>68.213864999606869</v>
      </c>
      <c r="AT146" s="479">
        <f t="shared" si="57"/>
        <v>0</v>
      </c>
      <c r="AU146" s="430"/>
      <c r="AV146" s="479">
        <f t="shared" si="50"/>
        <v>18.840268588918885</v>
      </c>
      <c r="AW146" s="479">
        <f t="shared" si="51"/>
        <v>0</v>
      </c>
      <c r="AX146" s="430"/>
      <c r="AY146" s="479">
        <f t="shared" si="52"/>
        <v>49.373596410687981</v>
      </c>
      <c r="AZ146" s="479">
        <f t="shared" si="53"/>
        <v>0</v>
      </c>
      <c r="BA146" s="429"/>
      <c r="BC146" s="480">
        <f t="shared" si="54"/>
        <v>0.2761941225442579</v>
      </c>
      <c r="BD146" s="480" t="str">
        <f t="shared" si="55"/>
        <v/>
      </c>
    </row>
    <row r="147" spans="1:56" ht="15.6" x14ac:dyDescent="0.3">
      <c r="A147" s="152">
        <v>2028</v>
      </c>
      <c r="B147" s="178"/>
      <c r="C147" s="182"/>
      <c r="D147" s="183"/>
      <c r="E147" s="179">
        <f t="shared" si="58"/>
        <v>66.259417451552153</v>
      </c>
      <c r="F147" s="183">
        <f t="shared" si="59"/>
        <v>12.643700825850019</v>
      </c>
      <c r="G147" s="247">
        <f t="shared" si="43"/>
        <v>0.1190395702439208</v>
      </c>
      <c r="H147" s="246"/>
      <c r="I147" s="417"/>
      <c r="J147" s="178"/>
      <c r="K147" s="182"/>
      <c r="L147" s="183"/>
      <c r="M147" s="179">
        <f t="shared" si="44"/>
        <v>82.348449110996242</v>
      </c>
      <c r="N147" s="183">
        <f t="shared" si="60"/>
        <v>16.182421764615441</v>
      </c>
      <c r="O147" s="247">
        <f t="shared" si="45"/>
        <v>0.14794461481032448</v>
      </c>
      <c r="P147" s="246"/>
      <c r="Q147" s="417"/>
      <c r="R147" s="182"/>
      <c r="S147" s="178"/>
      <c r="T147" s="182"/>
      <c r="U147" s="178"/>
      <c r="V147" s="182">
        <f>IFERROR((E147)*'Emissions Factors'!B25,"")</f>
        <v>37.527928529772971</v>
      </c>
      <c r="W147" s="180"/>
      <c r="X147" s="180"/>
      <c r="Y147" s="180"/>
      <c r="Z147" s="180">
        <f t="shared" si="46"/>
        <v>37.527928529772971</v>
      </c>
      <c r="AA147" s="180">
        <f t="shared" si="47"/>
        <v>0</v>
      </c>
      <c r="AD147" s="431"/>
      <c r="AE147" s="182"/>
      <c r="AF147" s="178"/>
      <c r="AG147" s="182"/>
      <c r="AH147" s="178"/>
      <c r="AI147" s="182">
        <f>IFERROR((M147)*'Emissions Factors'!B25,"")</f>
        <v>46.640414776280537</v>
      </c>
      <c r="AJ147" s="180"/>
      <c r="AK147" s="180"/>
      <c r="AL147" s="180"/>
      <c r="AM147" s="180">
        <f t="shared" si="48"/>
        <v>46.640414776280537</v>
      </c>
      <c r="AN147" s="180">
        <f t="shared" si="49"/>
        <v>0</v>
      </c>
      <c r="AQ147" s="430"/>
      <c r="AR147" s="478">
        <v>2028</v>
      </c>
      <c r="AS147" s="479">
        <f t="shared" si="56"/>
        <v>84.168343306053515</v>
      </c>
      <c r="AT147" s="479">
        <f t="shared" si="57"/>
        <v>0</v>
      </c>
      <c r="AU147" s="430"/>
      <c r="AV147" s="479">
        <f t="shared" si="50"/>
        <v>23.320207388140268</v>
      </c>
      <c r="AW147" s="479">
        <f t="shared" si="51"/>
        <v>0</v>
      </c>
      <c r="AX147" s="430"/>
      <c r="AY147" s="479">
        <f t="shared" si="52"/>
        <v>60.848135917913247</v>
      </c>
      <c r="AZ147" s="479">
        <f t="shared" si="53"/>
        <v>0</v>
      </c>
      <c r="BA147" s="429"/>
      <c r="BC147" s="480">
        <f t="shared" si="54"/>
        <v>0.27706625165881155</v>
      </c>
      <c r="BD147" s="480" t="str">
        <f t="shared" si="55"/>
        <v/>
      </c>
    </row>
    <row r="148" spans="1:56" ht="15.6" x14ac:dyDescent="0.3">
      <c r="A148" s="152">
        <v>2029</v>
      </c>
      <c r="B148" s="178"/>
      <c r="C148" s="182"/>
      <c r="D148" s="183"/>
      <c r="E148" s="179">
        <f t="shared" si="58"/>
        <v>80.15502876071659</v>
      </c>
      <c r="F148" s="183">
        <f t="shared" si="59"/>
        <v>13.895611309164437</v>
      </c>
      <c r="G148" s="247">
        <f t="shared" si="43"/>
        <v>0.12041014763582156</v>
      </c>
      <c r="H148" s="246"/>
      <c r="I148" s="417"/>
      <c r="J148" s="178"/>
      <c r="K148" s="182"/>
      <c r="L148" s="183"/>
      <c r="M148" s="179">
        <f t="shared" si="44"/>
        <v>100.33495365282099</v>
      </c>
      <c r="N148" s="183">
        <f t="shared" si="60"/>
        <v>17.986504541824743</v>
      </c>
      <c r="O148" s="247">
        <f t="shared" si="45"/>
        <v>0.1507247488917435</v>
      </c>
      <c r="P148" s="246"/>
      <c r="Q148" s="417"/>
      <c r="R148" s="182"/>
      <c r="S148" s="178"/>
      <c r="T148" s="182"/>
      <c r="U148" s="178"/>
      <c r="V148" s="182">
        <f>IFERROR((E148)*'Emissions Factors'!B26,"")</f>
        <v>45.152704385352585</v>
      </c>
      <c r="W148" s="180"/>
      <c r="X148" s="180"/>
      <c r="Y148" s="180"/>
      <c r="Z148" s="180">
        <f t="shared" si="46"/>
        <v>45.152704385352585</v>
      </c>
      <c r="AA148" s="180">
        <f t="shared" si="47"/>
        <v>0</v>
      </c>
      <c r="AD148" s="431"/>
      <c r="AE148" s="182"/>
      <c r="AF148" s="178"/>
      <c r="AG148" s="182"/>
      <c r="AH148" s="178"/>
      <c r="AI148" s="182">
        <f>IFERROR((M148)*'Emissions Factors'!B26,"")</f>
        <v>56.520402672778935</v>
      </c>
      <c r="AJ148" s="180"/>
      <c r="AK148" s="180"/>
      <c r="AL148" s="180"/>
      <c r="AM148" s="180">
        <f t="shared" si="48"/>
        <v>56.520402672778935</v>
      </c>
      <c r="AN148" s="180">
        <f t="shared" si="49"/>
        <v>0</v>
      </c>
      <c r="AQ148" s="430"/>
      <c r="AR148" s="478">
        <v>2029</v>
      </c>
      <c r="AS148" s="479">
        <f t="shared" si="56"/>
        <v>101.67310705813152</v>
      </c>
      <c r="AT148" s="479">
        <f t="shared" si="57"/>
        <v>0</v>
      </c>
      <c r="AU148" s="430"/>
      <c r="AV148" s="479">
        <f t="shared" si="50"/>
        <v>28.260201336389468</v>
      </c>
      <c r="AW148" s="479">
        <f t="shared" si="51"/>
        <v>0</v>
      </c>
      <c r="AX148" s="430"/>
      <c r="AY148" s="479">
        <f t="shared" si="52"/>
        <v>73.41290572174205</v>
      </c>
      <c r="AZ148" s="479">
        <f t="shared" si="53"/>
        <v>0</v>
      </c>
      <c r="BA148" s="429"/>
      <c r="BC148" s="480">
        <f t="shared" si="54"/>
        <v>0.27795158576428397</v>
      </c>
      <c r="BD148" s="480" t="str">
        <f t="shared" si="55"/>
        <v/>
      </c>
    </row>
    <row r="149" spans="1:56" ht="15.6" x14ac:dyDescent="0.3">
      <c r="A149" s="152">
        <v>2030</v>
      </c>
      <c r="B149" s="178"/>
      <c r="C149" s="182"/>
      <c r="D149" s="183"/>
      <c r="E149" s="179">
        <f t="shared" si="58"/>
        <v>95.349248261106354</v>
      </c>
      <c r="F149" s="183">
        <f t="shared" si="59"/>
        <v>15.194219500389764</v>
      </c>
      <c r="G149" s="247">
        <f t="shared" si="43"/>
        <v>0.1217075221509747</v>
      </c>
      <c r="H149" s="246"/>
      <c r="I149" s="417"/>
      <c r="J149" s="178"/>
      <c r="K149" s="182"/>
      <c r="L149" s="183"/>
      <c r="M149" s="179">
        <f t="shared" si="44"/>
        <v>120.22546837342347</v>
      </c>
      <c r="N149" s="183">
        <f t="shared" si="60"/>
        <v>19.890514720602482</v>
      </c>
      <c r="O149" s="247">
        <f t="shared" si="45"/>
        <v>0.15346050568852135</v>
      </c>
      <c r="P149" s="246"/>
      <c r="Q149" s="417"/>
      <c r="R149" s="182"/>
      <c r="S149" s="178"/>
      <c r="T149" s="182"/>
      <c r="U149" s="178"/>
      <c r="V149" s="182">
        <f>IFERROR((E149)*'Emissions Factors'!B27,"")</f>
        <v>53.436111654111293</v>
      </c>
      <c r="W149" s="180"/>
      <c r="X149" s="180"/>
      <c r="Y149" s="180"/>
      <c r="Z149" s="180">
        <f t="shared" si="46"/>
        <v>53.436111654111293</v>
      </c>
      <c r="AA149" s="180">
        <f t="shared" si="47"/>
        <v>0</v>
      </c>
      <c r="AD149" s="431"/>
      <c r="AE149" s="182"/>
      <c r="AF149" s="178"/>
      <c r="AG149" s="182"/>
      <c r="AH149" s="178"/>
      <c r="AI149" s="182">
        <f>IFERROR((M149)*'Emissions Factors'!B27,"")</f>
        <v>67.377369710114792</v>
      </c>
      <c r="AJ149" s="180"/>
      <c r="AK149" s="180"/>
      <c r="AL149" s="180"/>
      <c r="AM149" s="180">
        <f t="shared" si="48"/>
        <v>67.377369710114792</v>
      </c>
      <c r="AN149" s="180">
        <f t="shared" si="49"/>
        <v>0</v>
      </c>
      <c r="AQ149" s="430"/>
      <c r="AR149" s="478">
        <v>2030</v>
      </c>
      <c r="AS149" s="479">
        <f t="shared" si="56"/>
        <v>120.81348136422608</v>
      </c>
      <c r="AT149" s="479">
        <f t="shared" si="57"/>
        <v>0</v>
      </c>
      <c r="AU149" s="430"/>
      <c r="AV149" s="479">
        <f>IFERROR(AM149*$F$20,"")</f>
        <v>33.688684855057396</v>
      </c>
      <c r="AW149" s="479">
        <f t="shared" si="51"/>
        <v>0</v>
      </c>
      <c r="AX149" s="430"/>
      <c r="AY149" s="479">
        <f t="shared" si="52"/>
        <v>87.124796509168675</v>
      </c>
      <c r="AZ149" s="479">
        <f t="shared" si="53"/>
        <v>0</v>
      </c>
      <c r="BA149" s="429"/>
      <c r="BC149" s="480">
        <f t="shared" si="54"/>
        <v>0.27884872180359921</v>
      </c>
      <c r="BD149" s="480" t="str">
        <f t="shared" si="55"/>
        <v/>
      </c>
    </row>
    <row r="150" spans="1:56" ht="15.6" x14ac:dyDescent="0.3">
      <c r="A150" s="152">
        <v>2031</v>
      </c>
      <c r="B150" s="178"/>
      <c r="C150" s="182"/>
      <c r="D150" s="183"/>
      <c r="E150" s="179">
        <f t="shared" si="58"/>
        <v>111.85104353899004</v>
      </c>
      <c r="F150" s="183">
        <f t="shared" si="59"/>
        <v>16.501795277883687</v>
      </c>
      <c r="G150" s="247">
        <f t="shared" si="43"/>
        <v>0.12293630378895522</v>
      </c>
      <c r="H150" s="246"/>
      <c r="I150" s="417"/>
      <c r="J150" s="178"/>
      <c r="K150" s="182"/>
      <c r="L150" s="183"/>
      <c r="M150" s="179">
        <f t="shared" si="44"/>
        <v>142.07514269057179</v>
      </c>
      <c r="N150" s="183">
        <f t="shared" si="60"/>
        <v>21.849674317148327</v>
      </c>
      <c r="O150" s="247">
        <f t="shared" si="45"/>
        <v>0.15615583324065074</v>
      </c>
      <c r="P150" s="246"/>
      <c r="Q150" s="417"/>
      <c r="R150" s="182"/>
      <c r="S150" s="178"/>
      <c r="T150" s="182"/>
      <c r="U150" s="178"/>
      <c r="V150" s="182">
        <f>IFERROR((E150)*'Emissions Factors'!B28,"")</f>
        <v>62.335195044375034</v>
      </c>
      <c r="W150" s="180"/>
      <c r="X150" s="180"/>
      <c r="Y150" s="180"/>
      <c r="Z150" s="180">
        <f t="shared" si="46"/>
        <v>62.335195044375034</v>
      </c>
      <c r="AA150" s="180">
        <f t="shared" si="47"/>
        <v>0</v>
      </c>
      <c r="AD150" s="431"/>
      <c r="AE150" s="182"/>
      <c r="AF150" s="178"/>
      <c r="AG150" s="182"/>
      <c r="AH150" s="178"/>
      <c r="AI150" s="182">
        <f>IFERROR((M150)*'Emissions Factors'!B28,"")</f>
        <v>79.17924992346633</v>
      </c>
      <c r="AJ150" s="180"/>
      <c r="AK150" s="180"/>
      <c r="AL150" s="180"/>
      <c r="AM150" s="180">
        <f t="shared" si="48"/>
        <v>79.17924992346633</v>
      </c>
      <c r="AN150" s="180">
        <f t="shared" si="49"/>
        <v>0</v>
      </c>
      <c r="AQ150" s="430"/>
      <c r="AR150" s="478">
        <v>2031</v>
      </c>
      <c r="AS150" s="479">
        <f t="shared" si="56"/>
        <v>141.51444496784137</v>
      </c>
      <c r="AT150" s="479">
        <f t="shared" si="57"/>
        <v>0</v>
      </c>
      <c r="AU150" s="430"/>
      <c r="AV150" s="479">
        <f t="shared" si="50"/>
        <v>39.589624961733165</v>
      </c>
      <c r="AW150" s="479">
        <f t="shared" si="51"/>
        <v>0</v>
      </c>
      <c r="AX150" s="430"/>
      <c r="AY150" s="479">
        <f t="shared" si="52"/>
        <v>101.92482000610821</v>
      </c>
      <c r="AZ150" s="479">
        <f t="shared" si="53"/>
        <v>0</v>
      </c>
      <c r="BA150" s="429"/>
      <c r="BC150" s="480">
        <f t="shared" si="54"/>
        <v>0.27975677656602305</v>
      </c>
      <c r="BD150" s="480" t="str">
        <f t="shared" si="55"/>
        <v/>
      </c>
    </row>
    <row r="151" spans="1:56" ht="15.6" x14ac:dyDescent="0.3">
      <c r="A151" s="152">
        <v>2032</v>
      </c>
      <c r="B151" s="178"/>
      <c r="C151" s="182"/>
      <c r="D151" s="183"/>
      <c r="E151" s="179">
        <f t="shared" si="58"/>
        <v>129.58396914648009</v>
      </c>
      <c r="F151" s="183">
        <f t="shared" si="59"/>
        <v>17.732925607490046</v>
      </c>
      <c r="G151" s="247">
        <f t="shared" si="43"/>
        <v>0.12408804503765304</v>
      </c>
      <c r="H151" s="246"/>
      <c r="I151" s="417"/>
      <c r="J151" s="178"/>
      <c r="K151" s="182"/>
      <c r="L151" s="183"/>
      <c r="M151" s="179">
        <f t="shared" si="44"/>
        <v>165.83046058262846</v>
      </c>
      <c r="N151" s="183">
        <f t="shared" si="60"/>
        <v>23.755317892056667</v>
      </c>
      <c r="O151" s="247">
        <f t="shared" si="45"/>
        <v>0.15879724781489996</v>
      </c>
      <c r="P151" s="246"/>
      <c r="Q151" s="417"/>
      <c r="R151" s="182"/>
      <c r="S151" s="178"/>
      <c r="T151" s="182"/>
      <c r="U151" s="178"/>
      <c r="V151" s="182">
        <f>IFERROR((E151)*'Emissions Factors'!B29,"")</f>
        <v>71.834272690351696</v>
      </c>
      <c r="W151" s="180"/>
      <c r="X151" s="180"/>
      <c r="Y151" s="180"/>
      <c r="Z151" s="180">
        <f t="shared" si="46"/>
        <v>71.834272690351696</v>
      </c>
      <c r="AA151" s="180">
        <f t="shared" si="47"/>
        <v>0</v>
      </c>
      <c r="AD151" s="431"/>
      <c r="AE151" s="182"/>
      <c r="AF151" s="178"/>
      <c r="AG151" s="182"/>
      <c r="AH151" s="178"/>
      <c r="AI151" s="182">
        <f>IFERROR((M151)*'Emissions Factors'!B29,"")</f>
        <v>91.927347219883544</v>
      </c>
      <c r="AJ151" s="180"/>
      <c r="AK151" s="180"/>
      <c r="AL151" s="180"/>
      <c r="AM151" s="180">
        <f t="shared" si="48"/>
        <v>91.927347219883544</v>
      </c>
      <c r="AN151" s="180">
        <f t="shared" si="49"/>
        <v>0</v>
      </c>
      <c r="AQ151" s="430"/>
      <c r="AR151" s="478">
        <v>2032</v>
      </c>
      <c r="AS151" s="479">
        <f t="shared" si="56"/>
        <v>163.76161991023525</v>
      </c>
      <c r="AT151" s="479">
        <f t="shared" si="57"/>
        <v>0</v>
      </c>
      <c r="AU151" s="430"/>
      <c r="AV151" s="479">
        <f t="shared" si="50"/>
        <v>45.963673609941772</v>
      </c>
      <c r="AW151" s="479">
        <f t="shared" si="51"/>
        <v>0</v>
      </c>
      <c r="AX151" s="430"/>
      <c r="AY151" s="479">
        <f t="shared" si="52"/>
        <v>117.79794630029349</v>
      </c>
      <c r="AZ151" s="479">
        <f t="shared" si="53"/>
        <v>0</v>
      </c>
      <c r="BA151" s="429"/>
      <c r="BC151" s="480">
        <f t="shared" si="54"/>
        <v>0.28067427297761482</v>
      </c>
      <c r="BD151" s="480" t="str">
        <f t="shared" si="55"/>
        <v/>
      </c>
    </row>
    <row r="152" spans="1:56" ht="15.6" x14ac:dyDescent="0.3">
      <c r="A152" s="152">
        <v>2033</v>
      </c>
      <c r="B152" s="178"/>
      <c r="C152" s="182"/>
      <c r="D152" s="183"/>
      <c r="E152" s="179">
        <f t="shared" si="58"/>
        <v>148.34545012023159</v>
      </c>
      <c r="F152" s="183">
        <f t="shared" si="59"/>
        <v>18.761480973751503</v>
      </c>
      <c r="G152" s="247">
        <f t="shared" si="43"/>
        <v>0.12515491650793512</v>
      </c>
      <c r="H152" s="246"/>
      <c r="I152" s="417"/>
      <c r="J152" s="178"/>
      <c r="K152" s="182"/>
      <c r="L152" s="183"/>
      <c r="M152" s="179">
        <f t="shared" si="44"/>
        <v>191.27074135716683</v>
      </c>
      <c r="N152" s="183">
        <f t="shared" si="60"/>
        <v>25.440280774538365</v>
      </c>
      <c r="O152" s="247">
        <f t="shared" si="45"/>
        <v>0.16136978684257131</v>
      </c>
      <c r="P152" s="246"/>
      <c r="Q152" s="417"/>
      <c r="R152" s="182"/>
      <c r="S152" s="178"/>
      <c r="T152" s="182"/>
      <c r="U152" s="178"/>
      <c r="V152" s="182">
        <f>IFERROR((E152)*'Emissions Factors'!B30,"")</f>
        <v>81.799104102331427</v>
      </c>
      <c r="W152" s="180"/>
      <c r="X152" s="180"/>
      <c r="Y152" s="180"/>
      <c r="Z152" s="180">
        <f t="shared" si="46"/>
        <v>81.799104102331427</v>
      </c>
      <c r="AA152" s="180">
        <f t="shared" si="47"/>
        <v>0</v>
      </c>
      <c r="AD152" s="431"/>
      <c r="AE152" s="182"/>
      <c r="AF152" s="178"/>
      <c r="AG152" s="182"/>
      <c r="AH152" s="178"/>
      <c r="AI152" s="182">
        <f>IFERROR((M152)*'Emissions Factors'!B30,"")</f>
        <v>105.46852142296478</v>
      </c>
      <c r="AJ152" s="180"/>
      <c r="AK152" s="180"/>
      <c r="AL152" s="180"/>
      <c r="AM152" s="180">
        <f t="shared" si="48"/>
        <v>105.46852142296478</v>
      </c>
      <c r="AN152" s="180">
        <f t="shared" si="49"/>
        <v>0</v>
      </c>
      <c r="AQ152" s="430"/>
      <c r="AR152" s="478">
        <v>2033</v>
      </c>
      <c r="AS152" s="479">
        <f t="shared" si="56"/>
        <v>187.26762552529621</v>
      </c>
      <c r="AT152" s="479">
        <f t="shared" si="57"/>
        <v>0</v>
      </c>
      <c r="AU152" s="430"/>
      <c r="AV152" s="479">
        <f t="shared" si="50"/>
        <v>52.734260711482392</v>
      </c>
      <c r="AW152" s="479">
        <f t="shared" si="51"/>
        <v>0</v>
      </c>
      <c r="AX152" s="430"/>
      <c r="AY152" s="479">
        <f t="shared" si="52"/>
        <v>134.53336481381382</v>
      </c>
      <c r="AZ152" s="479">
        <f t="shared" si="53"/>
        <v>0</v>
      </c>
      <c r="BA152" s="429"/>
      <c r="BC152" s="480">
        <f t="shared" si="54"/>
        <v>0.28159838393614395</v>
      </c>
      <c r="BD152" s="480" t="str">
        <f t="shared" si="55"/>
        <v/>
      </c>
    </row>
    <row r="153" spans="1:56" ht="15.6" x14ac:dyDescent="0.3">
      <c r="A153" s="152">
        <v>2034</v>
      </c>
      <c r="B153" s="178"/>
      <c r="C153" s="182"/>
      <c r="D153" s="183"/>
      <c r="E153" s="179">
        <f t="shared" si="58"/>
        <v>167.86160049941529</v>
      </c>
      <c r="F153" s="183">
        <f t="shared" si="59"/>
        <v>19.516150379183699</v>
      </c>
      <c r="G153" s="247">
        <f t="shared" si="43"/>
        <v>0.12613472471991849</v>
      </c>
      <c r="H153" s="246"/>
      <c r="I153" s="417"/>
      <c r="J153" s="178"/>
      <c r="K153" s="182"/>
      <c r="L153" s="183"/>
      <c r="M153" s="179">
        <f t="shared" si="44"/>
        <v>218.07258540855841</v>
      </c>
      <c r="N153" s="183">
        <f t="shared" si="60"/>
        <v>26.801844051391583</v>
      </c>
      <c r="O153" s="247">
        <f t="shared" si="45"/>
        <v>0.16386431112078692</v>
      </c>
      <c r="P153" s="246"/>
      <c r="Q153" s="417"/>
      <c r="R153" s="182"/>
      <c r="S153" s="178"/>
      <c r="T153" s="182"/>
      <c r="U153" s="178"/>
      <c r="V153" s="182">
        <f>IFERROR((E153)*'Emissions Factors'!B31,"")</f>
        <v>92.071034426224031</v>
      </c>
      <c r="W153" s="180"/>
      <c r="X153" s="180"/>
      <c r="Y153" s="180"/>
      <c r="Z153" s="180">
        <f t="shared" si="46"/>
        <v>92.071034426224031</v>
      </c>
      <c r="AA153" s="180">
        <f t="shared" si="47"/>
        <v>0</v>
      </c>
      <c r="AD153" s="431"/>
      <c r="AE153" s="182"/>
      <c r="AF153" s="178"/>
      <c r="AG153" s="182"/>
      <c r="AH153" s="178"/>
      <c r="AI153" s="182">
        <f>IFERROR((M153)*'Emissions Factors'!B31,"")</f>
        <v>119.61144454021216</v>
      </c>
      <c r="AJ153" s="180"/>
      <c r="AK153" s="180"/>
      <c r="AL153" s="180"/>
      <c r="AM153" s="180">
        <f t="shared" si="48"/>
        <v>119.61144454021216</v>
      </c>
      <c r="AN153" s="180">
        <f t="shared" si="49"/>
        <v>0</v>
      </c>
      <c r="AQ153" s="430"/>
      <c r="AR153" s="478">
        <v>2034</v>
      </c>
      <c r="AS153" s="479">
        <f t="shared" si="56"/>
        <v>211.68247896643618</v>
      </c>
      <c r="AT153" s="479">
        <f t="shared" si="57"/>
        <v>0</v>
      </c>
      <c r="AU153" s="430"/>
      <c r="AV153" s="479">
        <f t="shared" si="50"/>
        <v>59.805722270106081</v>
      </c>
      <c r="AW153" s="479">
        <f t="shared" si="51"/>
        <v>0</v>
      </c>
      <c r="AX153" s="430"/>
      <c r="AY153" s="479">
        <f t="shared" si="52"/>
        <v>151.87675669633009</v>
      </c>
      <c r="AZ153" s="479">
        <f t="shared" si="53"/>
        <v>0</v>
      </c>
      <c r="BA153" s="429"/>
      <c r="BC153" s="480">
        <f t="shared" si="54"/>
        <v>0.28252561365548218</v>
      </c>
      <c r="BD153" s="480" t="str">
        <f t="shared" si="55"/>
        <v/>
      </c>
    </row>
    <row r="154" spans="1:56" ht="15.6" x14ac:dyDescent="0.3">
      <c r="A154" s="152">
        <v>2035</v>
      </c>
      <c r="B154" s="178"/>
      <c r="C154" s="182"/>
      <c r="D154" s="183"/>
      <c r="E154" s="179">
        <f t="shared" si="58"/>
        <v>187.93463625681221</v>
      </c>
      <c r="F154" s="183">
        <f t="shared" si="59"/>
        <v>20.073035757396923</v>
      </c>
      <c r="G154" s="247">
        <f t="shared" si="43"/>
        <v>0.12704045904658071</v>
      </c>
      <c r="H154" s="246"/>
      <c r="I154" s="417"/>
      <c r="J154" s="178"/>
      <c r="K154" s="182"/>
      <c r="L154" s="183"/>
      <c r="M154" s="179">
        <f t="shared" si="44"/>
        <v>246.0000774507152</v>
      </c>
      <c r="N154" s="183">
        <f t="shared" si="60"/>
        <v>27.927492042156786</v>
      </c>
      <c r="O154" s="247">
        <f t="shared" si="45"/>
        <v>0.16629166069275031</v>
      </c>
      <c r="P154" s="246"/>
      <c r="Q154" s="417"/>
      <c r="R154" s="182"/>
      <c r="S154" s="178"/>
      <c r="T154" s="182"/>
      <c r="U154" s="178"/>
      <c r="V154" s="182">
        <f>IFERROR((E154)*'Emissions Factors'!B32,"")</f>
        <v>102.52092695567244</v>
      </c>
      <c r="W154" s="180"/>
      <c r="X154" s="180"/>
      <c r="Y154" s="180"/>
      <c r="Z154" s="180">
        <f t="shared" si="46"/>
        <v>102.52092695567244</v>
      </c>
      <c r="AA154" s="180">
        <f t="shared" si="47"/>
        <v>0</v>
      </c>
      <c r="AD154" s="431"/>
      <c r="AE154" s="182"/>
      <c r="AF154" s="178"/>
      <c r="AG154" s="182"/>
      <c r="AH154" s="178"/>
      <c r="AI154" s="182">
        <f>IFERROR((M154)*'Emissions Factors'!B32,"")</f>
        <v>134.1964231486912</v>
      </c>
      <c r="AJ154" s="180"/>
      <c r="AK154" s="180"/>
      <c r="AL154" s="180"/>
      <c r="AM154" s="180">
        <f t="shared" si="48"/>
        <v>134.1964231486912</v>
      </c>
      <c r="AN154" s="180">
        <f t="shared" si="49"/>
        <v>0</v>
      </c>
      <c r="AQ154" s="430"/>
      <c r="AR154" s="478">
        <v>2035</v>
      </c>
      <c r="AS154" s="479">
        <f t="shared" si="56"/>
        <v>236.71735010436362</v>
      </c>
      <c r="AT154" s="479">
        <f t="shared" si="57"/>
        <v>0</v>
      </c>
      <c r="AU154" s="430"/>
      <c r="AV154" s="479">
        <f t="shared" si="50"/>
        <v>67.098211574345598</v>
      </c>
      <c r="AW154" s="479">
        <f t="shared" si="51"/>
        <v>0</v>
      </c>
      <c r="AX154" s="430"/>
      <c r="AY154" s="479">
        <f t="shared" si="52"/>
        <v>169.61913853001801</v>
      </c>
      <c r="AZ154" s="479">
        <f t="shared" si="53"/>
        <v>0</v>
      </c>
      <c r="BA154" s="429"/>
      <c r="BC154" s="480">
        <f t="shared" si="54"/>
        <v>0.28345286707866335</v>
      </c>
      <c r="BD154" s="480" t="str">
        <f t="shared" si="55"/>
        <v/>
      </c>
    </row>
    <row r="155" spans="1:56" ht="15.6" x14ac:dyDescent="0.3">
      <c r="A155" s="152">
        <v>2036</v>
      </c>
      <c r="B155" s="178"/>
      <c r="C155" s="182"/>
      <c r="D155" s="183"/>
      <c r="E155" s="179">
        <f t="shared" si="58"/>
        <v>208.49387002954353</v>
      </c>
      <c r="F155" s="183">
        <f t="shared" si="59"/>
        <v>20.559233772731318</v>
      </c>
      <c r="G155" s="247">
        <f t="shared" si="43"/>
        <v>0.12789601563155195</v>
      </c>
      <c r="H155" s="246"/>
      <c r="I155" s="417"/>
      <c r="J155" s="178"/>
      <c r="K155" s="182"/>
      <c r="L155" s="183"/>
      <c r="M155" s="179">
        <f t="shared" si="44"/>
        <v>274.97710561385452</v>
      </c>
      <c r="N155" s="183">
        <f t="shared" si="60"/>
        <v>28.977028163139323</v>
      </c>
      <c r="O155" s="247">
        <f t="shared" si="45"/>
        <v>0.16867870596351389</v>
      </c>
      <c r="P155" s="246"/>
      <c r="Q155" s="417"/>
      <c r="R155" s="182"/>
      <c r="S155" s="178"/>
      <c r="T155" s="182"/>
      <c r="U155" s="178"/>
      <c r="V155" s="182">
        <f>IFERROR((E155)*'Emissions Factors'!B33,"")</f>
        <v>113.14713293678084</v>
      </c>
      <c r="W155" s="180"/>
      <c r="X155" s="180"/>
      <c r="Y155" s="180"/>
      <c r="Z155" s="180">
        <f t="shared" si="46"/>
        <v>113.14713293678084</v>
      </c>
      <c r="AA155" s="180">
        <f t="shared" si="47"/>
        <v>0</v>
      </c>
      <c r="AD155" s="431"/>
      <c r="AE155" s="182"/>
      <c r="AF155" s="178"/>
      <c r="AG155" s="182"/>
      <c r="AH155" s="178"/>
      <c r="AI155" s="182">
        <f>IFERROR((M155)*'Emissions Factors'!B33,"")</f>
        <v>149.22679078791782</v>
      </c>
      <c r="AJ155" s="180"/>
      <c r="AK155" s="180"/>
      <c r="AL155" s="180"/>
      <c r="AM155" s="180">
        <f t="shared" si="48"/>
        <v>149.22679078791782</v>
      </c>
      <c r="AN155" s="180">
        <f t="shared" si="49"/>
        <v>0</v>
      </c>
      <c r="AQ155" s="430"/>
      <c r="AR155" s="478">
        <v>2036</v>
      </c>
      <c r="AS155" s="479">
        <f t="shared" si="56"/>
        <v>262.37392372469867</v>
      </c>
      <c r="AT155" s="479">
        <f t="shared" si="57"/>
        <v>0</v>
      </c>
      <c r="AU155" s="430"/>
      <c r="AV155" s="479">
        <f t="shared" si="50"/>
        <v>74.613395393958911</v>
      </c>
      <c r="AW155" s="479">
        <f t="shared" si="51"/>
        <v>0</v>
      </c>
      <c r="AX155" s="430"/>
      <c r="AY155" s="479">
        <f t="shared" si="52"/>
        <v>187.76052833073976</v>
      </c>
      <c r="AZ155" s="479">
        <f t="shared" si="53"/>
        <v>0</v>
      </c>
      <c r="BA155" s="429"/>
      <c r="BC155" s="480">
        <f t="shared" si="54"/>
        <v>0.28437809037855671</v>
      </c>
      <c r="BD155" s="480" t="str">
        <f t="shared" si="55"/>
        <v/>
      </c>
    </row>
    <row r="156" spans="1:56" ht="15.6" x14ac:dyDescent="0.3">
      <c r="A156" s="152">
        <v>2037</v>
      </c>
      <c r="B156" s="178"/>
      <c r="C156" s="182"/>
      <c r="D156" s="183"/>
      <c r="E156" s="179">
        <f t="shared" si="58"/>
        <v>229.60672723459899</v>
      </c>
      <c r="F156" s="183">
        <f t="shared" si="59"/>
        <v>21.112857205055462</v>
      </c>
      <c r="G156" s="247">
        <f t="shared" si="43"/>
        <v>0.1287259540321361</v>
      </c>
      <c r="H156" s="246"/>
      <c r="I156" s="417"/>
      <c r="J156" s="178"/>
      <c r="K156" s="182"/>
      <c r="L156" s="183"/>
      <c r="M156" s="179">
        <f t="shared" si="44"/>
        <v>305.10929199749489</v>
      </c>
      <c r="N156" s="183">
        <f t="shared" si="60"/>
        <v>30.132186383640374</v>
      </c>
      <c r="O156" s="247">
        <f t="shared" si="45"/>
        <v>0.17105546152538328</v>
      </c>
      <c r="P156" s="246"/>
      <c r="Q156" s="417"/>
      <c r="R156" s="182"/>
      <c r="S156" s="178"/>
      <c r="T156" s="182"/>
      <c r="U156" s="178"/>
      <c r="V156" s="182">
        <f>IFERROR((E156)*'Emissions Factors'!B34,"")</f>
        <v>123.94042635225254</v>
      </c>
      <c r="W156" s="180"/>
      <c r="X156" s="180"/>
      <c r="Y156" s="180"/>
      <c r="Z156" s="180">
        <f t="shared" si="46"/>
        <v>123.94042635225254</v>
      </c>
      <c r="AA156" s="180">
        <f t="shared" si="47"/>
        <v>0</v>
      </c>
      <c r="AD156" s="431"/>
      <c r="AE156" s="182"/>
      <c r="AF156" s="178"/>
      <c r="AG156" s="182"/>
      <c r="AH156" s="178"/>
      <c r="AI156" s="182">
        <f>IFERROR((M156)*'Emissions Factors'!B34,"")</f>
        <v>164.69628825624889</v>
      </c>
      <c r="AJ156" s="180"/>
      <c r="AK156" s="180"/>
      <c r="AL156" s="180"/>
      <c r="AM156" s="180">
        <f t="shared" si="48"/>
        <v>164.69628825624889</v>
      </c>
      <c r="AN156" s="180">
        <f t="shared" si="49"/>
        <v>0</v>
      </c>
      <c r="AQ156" s="430"/>
      <c r="AR156" s="478">
        <v>2037</v>
      </c>
      <c r="AS156" s="479">
        <f t="shared" si="56"/>
        <v>288.63671460850145</v>
      </c>
      <c r="AT156" s="479">
        <f t="shared" si="57"/>
        <v>0</v>
      </c>
      <c r="AU156" s="430"/>
      <c r="AV156" s="479">
        <f t="shared" si="50"/>
        <v>82.348144128124446</v>
      </c>
      <c r="AW156" s="479">
        <f t="shared" si="51"/>
        <v>0</v>
      </c>
      <c r="AX156" s="430"/>
      <c r="AY156" s="479">
        <f t="shared" si="52"/>
        <v>206.28857048037702</v>
      </c>
      <c r="AZ156" s="479">
        <f t="shared" si="53"/>
        <v>0</v>
      </c>
      <c r="BA156" s="429"/>
      <c r="BC156" s="480">
        <f t="shared" si="54"/>
        <v>0.28530030990624011</v>
      </c>
      <c r="BD156" s="480" t="str">
        <f t="shared" si="55"/>
        <v/>
      </c>
    </row>
    <row r="157" spans="1:56" ht="15.6" x14ac:dyDescent="0.3">
      <c r="A157" s="152">
        <v>2038</v>
      </c>
      <c r="B157" s="178"/>
      <c r="C157" s="182"/>
      <c r="D157" s="183"/>
      <c r="E157" s="179">
        <f t="shared" si="58"/>
        <v>251.38991214888074</v>
      </c>
      <c r="F157" s="183">
        <f t="shared" si="59"/>
        <v>21.783184914281748</v>
      </c>
      <c r="G157" s="247">
        <f t="shared" si="43"/>
        <v>0.12954571021133221</v>
      </c>
      <c r="H157" s="246"/>
      <c r="I157" s="417"/>
      <c r="J157" s="178"/>
      <c r="K157" s="182"/>
      <c r="L157" s="183"/>
      <c r="M157" s="179">
        <f t="shared" si="44"/>
        <v>336.57130679481793</v>
      </c>
      <c r="N157" s="183">
        <f t="shared" si="60"/>
        <v>31.462014797323036</v>
      </c>
      <c r="O157" s="247">
        <f t="shared" si="45"/>
        <v>0.17344120375708957</v>
      </c>
      <c r="P157" s="246"/>
      <c r="Q157" s="417"/>
      <c r="R157" s="182"/>
      <c r="S157" s="178"/>
      <c r="T157" s="182"/>
      <c r="U157" s="178"/>
      <c r="V157" s="182">
        <f>IFERROR((E157)*'Emissions Factors'!B35,"")</f>
        <v>134.97213405629344</v>
      </c>
      <c r="W157" s="180"/>
      <c r="X157" s="180"/>
      <c r="Y157" s="180"/>
      <c r="Z157" s="180">
        <f t="shared" si="46"/>
        <v>134.97213405629344</v>
      </c>
      <c r="AA157" s="180">
        <f t="shared" si="47"/>
        <v>0</v>
      </c>
      <c r="AD157" s="431"/>
      <c r="AE157" s="182"/>
      <c r="AF157" s="178"/>
      <c r="AG157" s="182"/>
      <c r="AH157" s="178"/>
      <c r="AI157" s="182">
        <f>IFERROR((M157)*'Emissions Factors'!B35,"")</f>
        <v>180.7063264865948</v>
      </c>
      <c r="AJ157" s="180"/>
      <c r="AK157" s="180"/>
      <c r="AL157" s="180"/>
      <c r="AM157" s="180">
        <f t="shared" si="48"/>
        <v>180.7063264865948</v>
      </c>
      <c r="AN157" s="180">
        <f t="shared" si="49"/>
        <v>0</v>
      </c>
      <c r="AQ157" s="430"/>
      <c r="AR157" s="478">
        <v>2038</v>
      </c>
      <c r="AS157" s="479">
        <f t="shared" si="56"/>
        <v>315.67846054288827</v>
      </c>
      <c r="AT157" s="479">
        <f t="shared" si="57"/>
        <v>0</v>
      </c>
      <c r="AU157" s="430"/>
      <c r="AV157" s="479">
        <f t="shared" si="50"/>
        <v>90.353163243297402</v>
      </c>
      <c r="AW157" s="479">
        <f t="shared" si="51"/>
        <v>0</v>
      </c>
      <c r="AX157" s="430"/>
      <c r="AY157" s="479">
        <f t="shared" si="52"/>
        <v>225.32529729959089</v>
      </c>
      <c r="AZ157" s="479">
        <f t="shared" si="53"/>
        <v>0</v>
      </c>
      <c r="BA157" s="429"/>
      <c r="BC157" s="480">
        <f t="shared" si="54"/>
        <v>0.28621896814851566</v>
      </c>
      <c r="BD157" s="480" t="str">
        <f t="shared" si="55"/>
        <v/>
      </c>
    </row>
    <row r="158" spans="1:56" ht="15.6" x14ac:dyDescent="0.3">
      <c r="A158" s="152">
        <v>2039</v>
      </c>
      <c r="B158" s="178"/>
      <c r="C158" s="182"/>
      <c r="D158" s="183"/>
      <c r="E158" s="179">
        <f t="shared" si="58"/>
        <v>274.03378205534193</v>
      </c>
      <c r="F158" s="183">
        <f t="shared" si="59"/>
        <v>22.643869906461191</v>
      </c>
      <c r="G158" s="247">
        <f t="shared" si="43"/>
        <v>0.1303667790055163</v>
      </c>
      <c r="H158" s="246"/>
      <c r="I158" s="417"/>
      <c r="J158" s="178"/>
      <c r="K158" s="182"/>
      <c r="L158" s="183"/>
      <c r="M158" s="179">
        <f t="shared" si="44"/>
        <v>369.643660725426</v>
      </c>
      <c r="N158" s="183">
        <f t="shared" si="60"/>
        <v>33.072353930608074</v>
      </c>
      <c r="O158" s="247">
        <f t="shared" si="45"/>
        <v>0.17585150658122031</v>
      </c>
      <c r="P158" s="246"/>
      <c r="Q158" s="417"/>
      <c r="R158" s="182"/>
      <c r="S158" s="178"/>
      <c r="T158" s="182"/>
      <c r="U158" s="178"/>
      <c r="V158" s="182">
        <f>IFERROR((E158)*'Emissions Factors'!B36,"")</f>
        <v>146.33358661696542</v>
      </c>
      <c r="W158" s="180"/>
      <c r="X158" s="180"/>
      <c r="Y158" s="180"/>
      <c r="Z158" s="180">
        <f t="shared" si="46"/>
        <v>146.33358661696542</v>
      </c>
      <c r="AA158" s="180">
        <f t="shared" si="47"/>
        <v>0</v>
      </c>
      <c r="AD158" s="431"/>
      <c r="AE158" s="182"/>
      <c r="AF158" s="178"/>
      <c r="AG158" s="182"/>
      <c r="AH158" s="178"/>
      <c r="AI158" s="182">
        <f>IFERROR((M158)*'Emissions Factors'!B36,"")</f>
        <v>197.389103775725</v>
      </c>
      <c r="AJ158" s="180"/>
      <c r="AK158" s="180"/>
      <c r="AL158" s="180"/>
      <c r="AM158" s="180">
        <f t="shared" si="48"/>
        <v>197.389103775725</v>
      </c>
      <c r="AN158" s="180">
        <f t="shared" si="49"/>
        <v>0</v>
      </c>
      <c r="AQ158" s="430"/>
      <c r="AR158" s="478">
        <v>2039</v>
      </c>
      <c r="AS158" s="479">
        <f t="shared" si="56"/>
        <v>343.72269039269042</v>
      </c>
      <c r="AT158" s="479">
        <f t="shared" si="57"/>
        <v>0</v>
      </c>
      <c r="AU158" s="430"/>
      <c r="AV158" s="479">
        <f t="shared" si="50"/>
        <v>98.694551887862502</v>
      </c>
      <c r="AW158" s="479">
        <f t="shared" si="51"/>
        <v>0</v>
      </c>
      <c r="AX158" s="430"/>
      <c r="AY158" s="479">
        <f t="shared" si="52"/>
        <v>245.02813850482792</v>
      </c>
      <c r="AZ158" s="479">
        <f t="shared" si="53"/>
        <v>0</v>
      </c>
      <c r="BA158" s="429"/>
      <c r="BC158" s="480">
        <f t="shared" si="54"/>
        <v>0.28713423537767507</v>
      </c>
      <c r="BD158" s="480" t="str">
        <f t="shared" si="55"/>
        <v/>
      </c>
    </row>
    <row r="159" spans="1:56" ht="15.6" x14ac:dyDescent="0.3">
      <c r="A159" s="152">
        <v>2040</v>
      </c>
      <c r="B159" s="178"/>
      <c r="C159" s="182"/>
      <c r="D159" s="183"/>
      <c r="E159" s="179">
        <f t="shared" si="58"/>
        <v>297.71109201013036</v>
      </c>
      <c r="F159" s="183">
        <f t="shared" si="59"/>
        <v>23.677309954788427</v>
      </c>
      <c r="G159" s="247">
        <f t="shared" si="43"/>
        <v>0.13119658792200414</v>
      </c>
      <c r="H159" s="246"/>
      <c r="I159" s="417"/>
      <c r="J159" s="178"/>
      <c r="K159" s="182"/>
      <c r="L159" s="183"/>
      <c r="M159" s="179">
        <f t="shared" si="44"/>
        <v>404.59111660163177</v>
      </c>
      <c r="N159" s="183">
        <f t="shared" si="60"/>
        <v>34.947455876205765</v>
      </c>
      <c r="O159" s="247">
        <f t="shared" si="45"/>
        <v>0.17829693090468257</v>
      </c>
      <c r="P159" s="246"/>
      <c r="Q159" s="417"/>
      <c r="R159" s="182"/>
      <c r="S159" s="178"/>
      <c r="T159" s="182"/>
      <c r="U159" s="178"/>
      <c r="V159" s="182">
        <f>IFERROR((E159)*'Emissions Factors'!B37,"")</f>
        <v>158.04891936712298</v>
      </c>
      <c r="W159" s="180"/>
      <c r="X159" s="180"/>
      <c r="Y159" s="180"/>
      <c r="Z159" s="180">
        <f t="shared" si="46"/>
        <v>158.04891936712298</v>
      </c>
      <c r="AA159" s="180">
        <f t="shared" si="47"/>
        <v>0</v>
      </c>
      <c r="AD159" s="431"/>
      <c r="AE159" s="182"/>
      <c r="AF159" s="178"/>
      <c r="AG159" s="182"/>
      <c r="AH159" s="178"/>
      <c r="AI159" s="182">
        <f>IFERROR((M159)*'Emissions Factors'!B37,"")</f>
        <v>214.78940651042203</v>
      </c>
      <c r="AJ159" s="180"/>
      <c r="AK159" s="180"/>
      <c r="AL159" s="180"/>
      <c r="AM159" s="180">
        <f t="shared" si="48"/>
        <v>214.78940651042203</v>
      </c>
      <c r="AN159" s="180">
        <f t="shared" si="49"/>
        <v>0</v>
      </c>
      <c r="AQ159" s="430"/>
      <c r="AR159" s="478">
        <v>2040</v>
      </c>
      <c r="AS159" s="479">
        <f t="shared" si="56"/>
        <v>372.838325877545</v>
      </c>
      <c r="AT159" s="479">
        <f t="shared" si="57"/>
        <v>0</v>
      </c>
      <c r="AU159" s="430"/>
      <c r="AV159" s="479">
        <f t="shared" si="50"/>
        <v>107.39470325521101</v>
      </c>
      <c r="AW159" s="479">
        <f t="shared" si="51"/>
        <v>0</v>
      </c>
      <c r="AX159" s="430"/>
      <c r="AY159" s="479">
        <f t="shared" si="52"/>
        <v>265.44362262233398</v>
      </c>
      <c r="AZ159" s="479">
        <f t="shared" si="53"/>
        <v>0</v>
      </c>
      <c r="BA159" s="429"/>
      <c r="BC159" s="480">
        <f t="shared" si="54"/>
        <v>0.28804630801417053</v>
      </c>
      <c r="BD159" s="480" t="str">
        <f t="shared" si="55"/>
        <v/>
      </c>
    </row>
    <row r="160" spans="1:56" ht="15.6" x14ac:dyDescent="0.3">
      <c r="A160" s="152">
        <v>2041</v>
      </c>
      <c r="B160" s="178"/>
      <c r="C160" s="182"/>
      <c r="D160" s="183"/>
      <c r="E160" s="179">
        <f t="shared" si="58"/>
        <v>322.49138214323654</v>
      </c>
      <c r="F160" s="183">
        <f t="shared" si="59"/>
        <v>24.780290133106178</v>
      </c>
      <c r="G160" s="247">
        <f t="shared" si="43"/>
        <v>0.13203672492675689</v>
      </c>
      <c r="H160" s="246"/>
      <c r="I160" s="417"/>
      <c r="J160" s="178"/>
      <c r="K160" s="182"/>
      <c r="L160" s="183"/>
      <c r="M160" s="179">
        <f>IFERROR(IF($G$19="Y",$F$19,$AB105)*(SUMIF($H$5:$H$16,"Y",$F$5:$F$16)*((Z54+N54)-B54)),0)</f>
        <v>441.54149412477398</v>
      </c>
      <c r="N160" s="183">
        <f t="shared" si="60"/>
        <v>36.950377523142208</v>
      </c>
      <c r="O160" s="247">
        <f t="shared" si="45"/>
        <v>0.18077907203612609</v>
      </c>
      <c r="P160" s="246"/>
      <c r="Q160" s="417"/>
      <c r="R160" s="182"/>
      <c r="S160" s="178"/>
      <c r="T160" s="182"/>
      <c r="U160" s="178"/>
      <c r="V160" s="182">
        <f>IFERROR((E160)*'Emissions Factors'!B38,"")</f>
        <v>170.33512828314886</v>
      </c>
      <c r="W160" s="180"/>
      <c r="X160" s="180"/>
      <c r="Y160" s="180"/>
      <c r="Z160" s="180">
        <f t="shared" si="46"/>
        <v>170.33512828314886</v>
      </c>
      <c r="AA160" s="180">
        <f t="shared" si="47"/>
        <v>0</v>
      </c>
      <c r="AD160" s="431"/>
      <c r="AE160" s="182"/>
      <c r="AF160" s="178"/>
      <c r="AG160" s="182"/>
      <c r="AH160" s="178"/>
      <c r="AI160" s="182">
        <f>IFERROR((M160)*'Emissions Factors'!B38,"")</f>
        <v>233.21561817943899</v>
      </c>
      <c r="AJ160" s="180"/>
      <c r="AK160" s="180"/>
      <c r="AL160" s="180"/>
      <c r="AM160" s="180">
        <f t="shared" si="48"/>
        <v>233.21561817943899</v>
      </c>
      <c r="AN160" s="180">
        <f t="shared" si="49"/>
        <v>0</v>
      </c>
      <c r="AQ160" s="430"/>
      <c r="AR160" s="478">
        <v>2041</v>
      </c>
      <c r="AS160" s="479">
        <f t="shared" si="56"/>
        <v>403.55074646258788</v>
      </c>
      <c r="AT160" s="479">
        <f t="shared" si="57"/>
        <v>0</v>
      </c>
      <c r="AU160" s="430"/>
      <c r="AV160" s="479">
        <f t="shared" si="50"/>
        <v>116.6078090897195</v>
      </c>
      <c r="AW160" s="479">
        <f t="shared" si="51"/>
        <v>0</v>
      </c>
      <c r="AX160" s="430"/>
      <c r="AY160" s="479">
        <f t="shared" si="52"/>
        <v>286.94293737286841</v>
      </c>
      <c r="AZ160" s="479">
        <f t="shared" si="53"/>
        <v>0</v>
      </c>
      <c r="BA160" s="429"/>
      <c r="BC160" s="480">
        <f t="shared" si="54"/>
        <v>0.28895451219424245</v>
      </c>
      <c r="BD160" s="480" t="str">
        <f t="shared" si="55"/>
        <v/>
      </c>
    </row>
    <row r="161" spans="1:56" ht="15.6" x14ac:dyDescent="0.3">
      <c r="A161" s="152">
        <v>2042</v>
      </c>
      <c r="B161" s="178"/>
      <c r="C161" s="182"/>
      <c r="D161" s="183"/>
      <c r="E161" s="179">
        <f t="shared" si="58"/>
        <v>348.42938156653929</v>
      </c>
      <c r="F161" s="183">
        <f t="shared" si="59"/>
        <v>25.937999423302756</v>
      </c>
      <c r="G161" s="247">
        <f t="shared" si="43"/>
        <v>0.1328913805164251</v>
      </c>
      <c r="H161" s="246"/>
      <c r="I161" s="417"/>
      <c r="J161" s="178"/>
      <c r="K161" s="182"/>
      <c r="L161" s="183"/>
      <c r="M161" s="179">
        <f t="shared" si="44"/>
        <v>480.60504381645052</v>
      </c>
      <c r="N161" s="183">
        <f t="shared" si="60"/>
        <v>39.063549691676542</v>
      </c>
      <c r="O161" s="247">
        <f t="shared" si="45"/>
        <v>0.18330333529501217</v>
      </c>
      <c r="P161" s="246"/>
      <c r="Q161" s="417"/>
      <c r="R161" s="182"/>
      <c r="S161" s="178"/>
      <c r="T161" s="182"/>
      <c r="U161" s="178"/>
      <c r="V161" s="182">
        <f>IFERROR((E161)*'Emissions Factors'!B39,"")</f>
        <v>183.01896897617786</v>
      </c>
      <c r="W161" s="180"/>
      <c r="X161" s="180"/>
      <c r="Y161" s="180"/>
      <c r="Z161" s="180">
        <f t="shared" si="46"/>
        <v>183.01896897617786</v>
      </c>
      <c r="AA161" s="180">
        <f t="shared" si="47"/>
        <v>0</v>
      </c>
      <c r="AD161" s="431"/>
      <c r="AE161" s="182"/>
      <c r="AF161" s="178"/>
      <c r="AG161" s="182"/>
      <c r="AH161" s="178"/>
      <c r="AI161" s="182">
        <f>IFERROR((M161)*'Emissions Factors'!B39,"")</f>
        <v>252.44667716760833</v>
      </c>
      <c r="AJ161" s="180"/>
      <c r="AK161" s="180"/>
      <c r="AL161" s="180"/>
      <c r="AM161" s="180">
        <f t="shared" si="48"/>
        <v>252.44667716760833</v>
      </c>
      <c r="AN161" s="180">
        <f t="shared" si="49"/>
        <v>0</v>
      </c>
      <c r="AQ161" s="430"/>
      <c r="AR161" s="478">
        <v>2042</v>
      </c>
      <c r="AS161" s="479">
        <f t="shared" si="56"/>
        <v>435.46564614378622</v>
      </c>
      <c r="AT161" s="479">
        <f t="shared" si="57"/>
        <v>0</v>
      </c>
      <c r="AU161" s="430"/>
      <c r="AV161" s="479">
        <f t="shared" si="50"/>
        <v>126.22333858380416</v>
      </c>
      <c r="AW161" s="479">
        <f t="shared" si="51"/>
        <v>0</v>
      </c>
      <c r="AX161" s="430"/>
      <c r="AY161" s="479">
        <f t="shared" si="52"/>
        <v>309.24230755998207</v>
      </c>
      <c r="AZ161" s="479">
        <f t="shared" si="53"/>
        <v>0</v>
      </c>
      <c r="BA161" s="429"/>
      <c r="BC161" s="480">
        <f t="shared" si="54"/>
        <v>0.2898583153494651</v>
      </c>
      <c r="BD161" s="480" t="str">
        <f t="shared" si="55"/>
        <v/>
      </c>
    </row>
    <row r="162" spans="1:56" ht="15.6" x14ac:dyDescent="0.3">
      <c r="A162" s="152">
        <v>2043</v>
      </c>
      <c r="B162" s="178"/>
      <c r="C162" s="182"/>
      <c r="D162" s="183"/>
      <c r="E162" s="179">
        <f t="shared" si="58"/>
        <v>375.68025617961024</v>
      </c>
      <c r="F162" s="183">
        <f t="shared" si="59"/>
        <v>27.250874613070948</v>
      </c>
      <c r="G162" s="247">
        <f t="shared" si="43"/>
        <v>0.13376843333015481</v>
      </c>
      <c r="H162" s="246"/>
      <c r="I162" s="417"/>
      <c r="J162" s="178"/>
      <c r="K162" s="182"/>
      <c r="L162" s="183"/>
      <c r="M162" s="179">
        <f t="shared" si="44"/>
        <v>522.03909534625268</v>
      </c>
      <c r="N162" s="183">
        <f t="shared" si="60"/>
        <v>41.434051529802161</v>
      </c>
      <c r="O162" s="247">
        <f t="shared" si="45"/>
        <v>0.18588241136679046</v>
      </c>
      <c r="P162" s="246"/>
      <c r="Q162" s="417"/>
      <c r="R162" s="182"/>
      <c r="S162" s="178"/>
      <c r="T162" s="182"/>
      <c r="U162" s="178"/>
      <c r="V162" s="182">
        <f>IFERROR((E162)*'Emissions Factors'!B40,"")</f>
        <v>196.23202051227548</v>
      </c>
      <c r="W162" s="180"/>
      <c r="X162" s="180"/>
      <c r="Y162" s="180"/>
      <c r="Z162" s="180">
        <f t="shared" si="46"/>
        <v>196.23202051227548</v>
      </c>
      <c r="AA162" s="180">
        <f t="shared" si="47"/>
        <v>0</v>
      </c>
      <c r="AD162" s="431"/>
      <c r="AE162" s="182"/>
      <c r="AF162" s="178"/>
      <c r="AG162" s="182"/>
      <c r="AH162" s="178"/>
      <c r="AI162" s="182">
        <f>IFERROR((M162)*'Emissions Factors'!B40,"")</f>
        <v>272.68078314240535</v>
      </c>
      <c r="AJ162" s="180"/>
      <c r="AK162" s="180"/>
      <c r="AL162" s="180"/>
      <c r="AM162" s="180">
        <f t="shared" si="48"/>
        <v>272.68078314240535</v>
      </c>
      <c r="AN162" s="180">
        <f t="shared" si="49"/>
        <v>0</v>
      </c>
      <c r="AQ162" s="430"/>
      <c r="AR162" s="478">
        <v>2043</v>
      </c>
      <c r="AS162" s="479">
        <f t="shared" si="56"/>
        <v>468.91280365468083</v>
      </c>
      <c r="AT162" s="479">
        <f t="shared" si="57"/>
        <v>0</v>
      </c>
      <c r="AU162" s="430"/>
      <c r="AV162" s="479">
        <f t="shared" si="50"/>
        <v>136.34039157120267</v>
      </c>
      <c r="AW162" s="479">
        <f t="shared" si="51"/>
        <v>0</v>
      </c>
      <c r="AX162" s="430"/>
      <c r="AY162" s="479">
        <f t="shared" si="52"/>
        <v>332.57241208347818</v>
      </c>
      <c r="AZ162" s="479">
        <f t="shared" si="53"/>
        <v>0</v>
      </c>
      <c r="BA162" s="429"/>
      <c r="BC162" s="480">
        <f t="shared" si="54"/>
        <v>0.29075851738014635</v>
      </c>
      <c r="BD162" s="480" t="str">
        <f t="shared" si="55"/>
        <v/>
      </c>
    </row>
    <row r="163" spans="1:56" ht="15.6" x14ac:dyDescent="0.3">
      <c r="A163" s="152">
        <v>2044</v>
      </c>
      <c r="B163" s="178"/>
      <c r="C163" s="182"/>
      <c r="D163" s="183"/>
      <c r="E163" s="179">
        <f t="shared" si="58"/>
        <v>404.42490003844927</v>
      </c>
      <c r="F163" s="183">
        <f t="shared" si="59"/>
        <v>28.744643858839027</v>
      </c>
      <c r="G163" s="247">
        <f t="shared" si="43"/>
        <v>0.13467517212206395</v>
      </c>
      <c r="H163" s="246"/>
      <c r="I163" s="417"/>
      <c r="J163" s="178"/>
      <c r="K163" s="182"/>
      <c r="L163" s="183"/>
      <c r="M163" s="179">
        <f t="shared" si="44"/>
        <v>566.14686322090063</v>
      </c>
      <c r="N163" s="183">
        <f t="shared" si="60"/>
        <v>44.107767874647948</v>
      </c>
      <c r="O163" s="247">
        <f t="shared" si="45"/>
        <v>0.18852925782609475</v>
      </c>
      <c r="P163" s="246"/>
      <c r="Q163" s="417"/>
      <c r="R163" s="182"/>
      <c r="S163" s="178"/>
      <c r="T163" s="182"/>
      <c r="U163" s="178"/>
      <c r="V163" s="182">
        <f>IFERROR((E163)*'Emissions Factors'!B41,"")</f>
        <v>210.0543003986532</v>
      </c>
      <c r="W163" s="180"/>
      <c r="X163" s="180"/>
      <c r="Y163" s="180"/>
      <c r="Z163" s="180">
        <f t="shared" si="46"/>
        <v>210.0543003986532</v>
      </c>
      <c r="AA163" s="180">
        <f t="shared" si="47"/>
        <v>0</v>
      </c>
      <c r="AD163" s="431"/>
      <c r="AE163" s="182"/>
      <c r="AF163" s="178"/>
      <c r="AG163" s="182"/>
      <c r="AH163" s="178"/>
      <c r="AI163" s="182">
        <f>IFERROR((M163)*'Emissions Factors'!B41,"")</f>
        <v>294.0510914769398</v>
      </c>
      <c r="AJ163" s="180"/>
      <c r="AK163" s="180"/>
      <c r="AL163" s="180"/>
      <c r="AM163" s="180">
        <f t="shared" si="48"/>
        <v>294.0510914769398</v>
      </c>
      <c r="AN163" s="180">
        <f t="shared" si="49"/>
        <v>0</v>
      </c>
      <c r="AQ163" s="430"/>
      <c r="AR163" s="478">
        <v>2044</v>
      </c>
      <c r="AS163" s="479">
        <f t="shared" si="56"/>
        <v>504.105391875593</v>
      </c>
      <c r="AT163" s="479">
        <f t="shared" si="57"/>
        <v>0</v>
      </c>
      <c r="AU163" s="430"/>
      <c r="AV163" s="479">
        <f t="shared" si="50"/>
        <v>147.0255457384699</v>
      </c>
      <c r="AW163" s="479">
        <f t="shared" si="51"/>
        <v>0</v>
      </c>
      <c r="AX163" s="430"/>
      <c r="AY163" s="479">
        <f t="shared" si="52"/>
        <v>357.07984613712313</v>
      </c>
      <c r="AZ163" s="479">
        <f t="shared" si="53"/>
        <v>0</v>
      </c>
      <c r="BA163" s="429"/>
      <c r="BC163" s="480">
        <f t="shared" si="54"/>
        <v>0.29165636414131829</v>
      </c>
      <c r="BD163" s="480" t="str">
        <f t="shared" si="55"/>
        <v/>
      </c>
    </row>
    <row r="164" spans="1:56" ht="15.6" x14ac:dyDescent="0.3">
      <c r="A164" s="152">
        <v>2045</v>
      </c>
      <c r="B164" s="178"/>
      <c r="C164" s="182"/>
      <c r="D164" s="183"/>
      <c r="E164" s="179">
        <f t="shared" si="58"/>
        <v>434.8295134469418</v>
      </c>
      <c r="F164" s="183">
        <f t="shared" si="59"/>
        <v>30.404613408492537</v>
      </c>
      <c r="G164" s="247">
        <f t="shared" si="43"/>
        <v>0.13561329202834718</v>
      </c>
      <c r="H164" s="246"/>
      <c r="I164" s="417"/>
      <c r="J164" s="178"/>
      <c r="K164" s="182"/>
      <c r="L164" s="183"/>
      <c r="M164" s="179">
        <f t="shared" si="44"/>
        <v>613.21967598099582</v>
      </c>
      <c r="N164" s="183">
        <f t="shared" si="60"/>
        <v>47.072812760095189</v>
      </c>
      <c r="O164" s="247">
        <f t="shared" si="45"/>
        <v>0.19124906756469867</v>
      </c>
      <c r="P164" s="246"/>
      <c r="Q164" s="417"/>
      <c r="R164" s="182"/>
      <c r="S164" s="178"/>
      <c r="T164" s="182"/>
      <c r="U164" s="178"/>
      <c r="V164" s="182">
        <f>IFERROR((E164)*'Emissions Factors'!B42,"")</f>
        <v>224.50951446241737</v>
      </c>
      <c r="W164" s="180"/>
      <c r="X164" s="180"/>
      <c r="Y164" s="180"/>
      <c r="Z164" s="180">
        <f t="shared" si="46"/>
        <v>224.50951446241737</v>
      </c>
      <c r="AA164" s="180">
        <f t="shared" si="47"/>
        <v>0</v>
      </c>
      <c r="AD164" s="431"/>
      <c r="AE164" s="182"/>
      <c r="AF164" s="178"/>
      <c r="AG164" s="182"/>
      <c r="AH164" s="178"/>
      <c r="AI164" s="182">
        <f>IFERROR((M164)*'Emissions Factors'!B42,"")</f>
        <v>316.61524219444067</v>
      </c>
      <c r="AJ164" s="180"/>
      <c r="AK164" s="180"/>
      <c r="AL164" s="180"/>
      <c r="AM164" s="180">
        <f t="shared" si="48"/>
        <v>316.61524219444067</v>
      </c>
      <c r="AN164" s="180">
        <f t="shared" si="49"/>
        <v>0</v>
      </c>
      <c r="AQ164" s="430"/>
      <c r="AR164" s="478">
        <v>2045</v>
      </c>
      <c r="AS164" s="479">
        <f t="shared" si="56"/>
        <v>541.12475665685804</v>
      </c>
      <c r="AT164" s="479">
        <f t="shared" si="57"/>
        <v>0</v>
      </c>
      <c r="AU164" s="430"/>
      <c r="AV164" s="479">
        <f t="shared" si="50"/>
        <v>158.30762109722033</v>
      </c>
      <c r="AW164" s="479">
        <f t="shared" si="51"/>
        <v>0</v>
      </c>
      <c r="AX164" s="430"/>
      <c r="AY164" s="479">
        <f t="shared" si="52"/>
        <v>382.81713555963768</v>
      </c>
      <c r="AZ164" s="479">
        <f t="shared" si="53"/>
        <v>0</v>
      </c>
      <c r="BA164" s="429"/>
      <c r="BC164" s="480">
        <f t="shared" si="54"/>
        <v>0.29255290790106564</v>
      </c>
      <c r="BD164" s="480" t="str">
        <f t="shared" si="55"/>
        <v/>
      </c>
    </row>
    <row r="165" spans="1:56" ht="15.6" x14ac:dyDescent="0.3">
      <c r="A165" s="152">
        <v>2046</v>
      </c>
      <c r="B165" s="178"/>
      <c r="C165" s="182"/>
      <c r="D165" s="183"/>
      <c r="E165" s="179">
        <f t="shared" si="58"/>
        <v>467.00815961848633</v>
      </c>
      <c r="F165" s="183">
        <f t="shared" si="59"/>
        <v>32.178646171544528</v>
      </c>
      <c r="G165" s="247">
        <f t="shared" si="43"/>
        <v>0.136577317277812</v>
      </c>
      <c r="H165" s="246"/>
      <c r="I165" s="417"/>
      <c r="J165" s="178"/>
      <c r="K165" s="182"/>
      <c r="L165" s="183"/>
      <c r="M165" s="179">
        <f t="shared" si="44"/>
        <v>663.48040945080697</v>
      </c>
      <c r="N165" s="183">
        <f t="shared" si="60"/>
        <v>50.260733469811157</v>
      </c>
      <c r="O165" s="247">
        <f t="shared" si="45"/>
        <v>0.19403595531008033</v>
      </c>
      <c r="P165" s="246"/>
      <c r="Q165" s="417"/>
      <c r="R165" s="182"/>
      <c r="S165" s="178"/>
      <c r="T165" s="182"/>
      <c r="U165" s="178"/>
      <c r="V165" s="182">
        <f>IFERROR((E165)*'Emissions Factors'!B43,"")</f>
        <v>239.7766145189178</v>
      </c>
      <c r="W165" s="180"/>
      <c r="X165" s="180"/>
      <c r="Y165" s="180"/>
      <c r="Z165" s="180">
        <f t="shared" si="46"/>
        <v>239.7766145189178</v>
      </c>
      <c r="AA165" s="180">
        <f t="shared" si="47"/>
        <v>0</v>
      </c>
      <c r="AD165" s="431"/>
      <c r="AE165" s="182"/>
      <c r="AF165" s="178"/>
      <c r="AG165" s="182"/>
      <c r="AH165" s="178"/>
      <c r="AI165" s="182">
        <f>IFERROR((M165)*'Emissions Factors'!B43,"")</f>
        <v>340.65162053635879</v>
      </c>
      <c r="AJ165" s="180"/>
      <c r="AK165" s="180"/>
      <c r="AL165" s="180"/>
      <c r="AM165" s="180">
        <f t="shared" si="48"/>
        <v>340.65162053635879</v>
      </c>
      <c r="AN165" s="180">
        <f t="shared" si="49"/>
        <v>0</v>
      </c>
      <c r="AQ165" s="430"/>
      <c r="AR165" s="478">
        <v>2046</v>
      </c>
      <c r="AS165" s="479">
        <f t="shared" si="56"/>
        <v>580.42823505527656</v>
      </c>
      <c r="AT165" s="479">
        <f t="shared" si="57"/>
        <v>0</v>
      </c>
      <c r="AU165" s="430"/>
      <c r="AV165" s="479">
        <f t="shared" si="50"/>
        <v>170.3258102681794</v>
      </c>
      <c r="AW165" s="479">
        <f t="shared" si="51"/>
        <v>0</v>
      </c>
      <c r="AX165" s="430"/>
      <c r="AY165" s="479">
        <f t="shared" si="52"/>
        <v>410.10242478709716</v>
      </c>
      <c r="AZ165" s="479">
        <f t="shared" si="53"/>
        <v>0</v>
      </c>
      <c r="BA165" s="429"/>
      <c r="BC165" s="480">
        <f t="shared" si="54"/>
        <v>0.29344852641766916</v>
      </c>
      <c r="BD165" s="480" t="str">
        <f t="shared" si="55"/>
        <v/>
      </c>
    </row>
    <row r="166" spans="1:56" ht="15.6" x14ac:dyDescent="0.3">
      <c r="A166" s="152">
        <v>2047</v>
      </c>
      <c r="B166" s="178"/>
      <c r="C166" s="182"/>
      <c r="D166" s="183"/>
      <c r="E166" s="179">
        <f t="shared" si="58"/>
        <v>501.06528365197937</v>
      </c>
      <c r="F166" s="183">
        <f t="shared" si="59"/>
        <v>34.057124033493039</v>
      </c>
      <c r="G166" s="247">
        <f t="shared" si="43"/>
        <v>0.13756076076826698</v>
      </c>
      <c r="H166" s="246"/>
      <c r="I166" s="417"/>
      <c r="J166" s="178"/>
      <c r="K166" s="182"/>
      <c r="L166" s="183"/>
      <c r="M166" s="179">
        <f t="shared" si="44"/>
        <v>717.14168966055729</v>
      </c>
      <c r="N166" s="183">
        <f t="shared" si="60"/>
        <v>53.661280209750316</v>
      </c>
      <c r="O166" s="247">
        <f t="shared" si="45"/>
        <v>0.19688164322488874</v>
      </c>
      <c r="P166" s="246"/>
      <c r="Q166" s="417"/>
      <c r="R166" s="182"/>
      <c r="S166" s="178"/>
      <c r="T166" s="182"/>
      <c r="U166" s="178"/>
      <c r="V166" s="182">
        <f>IFERROR((E166)*'Emissions Factors'!B44,"")</f>
        <v>255.75093050569805</v>
      </c>
      <c r="W166" s="180"/>
      <c r="X166" s="180"/>
      <c r="Y166" s="180"/>
      <c r="Z166" s="180">
        <f t="shared" si="46"/>
        <v>255.75093050569805</v>
      </c>
      <c r="AA166" s="180">
        <f t="shared" si="47"/>
        <v>0</v>
      </c>
      <c r="AD166" s="431"/>
      <c r="AE166" s="182"/>
      <c r="AF166" s="178"/>
      <c r="AG166" s="182"/>
      <c r="AH166" s="178"/>
      <c r="AI166" s="182">
        <f>IFERROR((M166)*'Emissions Factors'!B44,"")</f>
        <v>366.03943721334593</v>
      </c>
      <c r="AJ166" s="180"/>
      <c r="AK166" s="180"/>
      <c r="AL166" s="180"/>
      <c r="AM166" s="180">
        <f t="shared" si="48"/>
        <v>366.03943721334593</v>
      </c>
      <c r="AN166" s="180">
        <f t="shared" si="49"/>
        <v>0</v>
      </c>
      <c r="AQ166" s="430"/>
      <c r="AR166" s="478">
        <v>2047</v>
      </c>
      <c r="AS166" s="479">
        <f t="shared" si="56"/>
        <v>621.79036771904396</v>
      </c>
      <c r="AT166" s="479">
        <f t="shared" si="57"/>
        <v>0</v>
      </c>
      <c r="AU166" s="430"/>
      <c r="AV166" s="479">
        <f t="shared" si="50"/>
        <v>183.01971860667297</v>
      </c>
      <c r="AW166" s="479">
        <f t="shared" si="51"/>
        <v>0</v>
      </c>
      <c r="AX166" s="430"/>
      <c r="AY166" s="479">
        <f t="shared" si="52"/>
        <v>438.77064911237096</v>
      </c>
      <c r="AZ166" s="479">
        <f t="shared" si="53"/>
        <v>0</v>
      </c>
      <c r="BA166" s="429"/>
      <c r="BC166" s="480">
        <f t="shared" si="54"/>
        <v>0.29434312287283687</v>
      </c>
      <c r="BD166" s="480" t="str">
        <f t="shared" si="55"/>
        <v/>
      </c>
    </row>
    <row r="167" spans="1:56" ht="15.6" x14ac:dyDescent="0.3">
      <c r="A167" s="152">
        <v>2048</v>
      </c>
      <c r="B167" s="178"/>
      <c r="C167" s="182"/>
      <c r="D167" s="183"/>
      <c r="E167" s="179">
        <f t="shared" si="58"/>
        <v>537.14887992448564</v>
      </c>
      <c r="F167" s="183">
        <f t="shared" si="59"/>
        <v>36.08359627250627</v>
      </c>
      <c r="G167" s="247">
        <f t="shared" si="43"/>
        <v>0.1385609097128894</v>
      </c>
      <c r="H167" s="246"/>
      <c r="I167" s="417"/>
      <c r="J167" s="178"/>
      <c r="K167" s="182"/>
      <c r="L167" s="183"/>
      <c r="M167" s="179">
        <f t="shared" si="44"/>
        <v>774.48522118583935</v>
      </c>
      <c r="N167" s="183">
        <f t="shared" si="60"/>
        <v>57.34353152528206</v>
      </c>
      <c r="O167" s="247">
        <f t="shared" si="45"/>
        <v>0.19978330183204471</v>
      </c>
      <c r="P167" s="246"/>
      <c r="Q167" s="417"/>
      <c r="R167" s="182"/>
      <c r="S167" s="178"/>
      <c r="T167" s="182"/>
      <c r="U167" s="178"/>
      <c r="V167" s="182">
        <f>IFERROR((E167)*'Emissions Factors'!B45,"")</f>
        <v>272.53249143298865</v>
      </c>
      <c r="W167" s="180"/>
      <c r="X167" s="180"/>
      <c r="Y167" s="180"/>
      <c r="Z167" s="180">
        <f t="shared" si="46"/>
        <v>272.53249143298865</v>
      </c>
      <c r="AA167" s="180">
        <f t="shared" si="47"/>
        <v>0</v>
      </c>
      <c r="AD167" s="431"/>
      <c r="AE167" s="182"/>
      <c r="AF167" s="178"/>
      <c r="AG167" s="182"/>
      <c r="AH167" s="178"/>
      <c r="AI167" s="182">
        <f>IFERROR((M167)*'Emissions Factors'!B45,"")</f>
        <v>392.94950580084878</v>
      </c>
      <c r="AJ167" s="180"/>
      <c r="AK167" s="180"/>
      <c r="AL167" s="180"/>
      <c r="AM167" s="180">
        <f t="shared" si="48"/>
        <v>392.94950580084878</v>
      </c>
      <c r="AN167" s="180">
        <f t="shared" si="49"/>
        <v>0</v>
      </c>
      <c r="AQ167" s="430"/>
      <c r="AR167" s="478">
        <v>2048</v>
      </c>
      <c r="AS167" s="479">
        <f t="shared" si="56"/>
        <v>665.48199723383743</v>
      </c>
      <c r="AT167" s="479">
        <f t="shared" si="57"/>
        <v>0</v>
      </c>
      <c r="AU167" s="430"/>
      <c r="AV167" s="479">
        <f t="shared" si="50"/>
        <v>196.47475290042439</v>
      </c>
      <c r="AW167" s="479">
        <f t="shared" si="51"/>
        <v>0</v>
      </c>
      <c r="AX167" s="430"/>
      <c r="AY167" s="479">
        <f t="shared" si="52"/>
        <v>469.00724433341304</v>
      </c>
      <c r="AZ167" s="479">
        <f t="shared" si="53"/>
        <v>0</v>
      </c>
      <c r="BA167" s="429"/>
      <c r="BC167" s="480">
        <f t="shared" si="54"/>
        <v>0.29523676630937767</v>
      </c>
      <c r="BD167" s="480" t="str">
        <f t="shared" si="55"/>
        <v/>
      </c>
    </row>
    <row r="168" spans="1:56" ht="15.6" x14ac:dyDescent="0.3">
      <c r="A168" s="152">
        <v>2049</v>
      </c>
      <c r="B168" s="178"/>
      <c r="C168" s="182"/>
      <c r="D168" s="183"/>
      <c r="E168" s="179">
        <f t="shared" si="58"/>
        <v>575.41317656078854</v>
      </c>
      <c r="F168" s="183">
        <f t="shared" si="59"/>
        <v>38.264296636302902</v>
      </c>
      <c r="G168" s="247">
        <f t="shared" si="43"/>
        <v>0.13957447097569617</v>
      </c>
      <c r="H168" s="246"/>
      <c r="I168" s="417"/>
      <c r="J168" s="178"/>
      <c r="K168" s="182"/>
      <c r="L168" s="183"/>
      <c r="M168" s="179">
        <f t="shared" si="44"/>
        <v>835.80868223978064</v>
      </c>
      <c r="N168" s="183">
        <f t="shared" si="60"/>
        <v>61.323461053941287</v>
      </c>
      <c r="O168" s="247">
        <f t="shared" si="45"/>
        <v>0.2027370234337813</v>
      </c>
      <c r="P168" s="246"/>
      <c r="Q168" s="417"/>
      <c r="R168" s="182"/>
      <c r="S168" s="178"/>
      <c r="T168" s="182"/>
      <c r="U168" s="178"/>
      <c r="V168" s="182">
        <f>IFERROR((E168)*'Emissions Factors'!B46,"")</f>
        <v>290.44179843776908</v>
      </c>
      <c r="W168" s="180"/>
      <c r="X168" s="180"/>
      <c r="Y168" s="180"/>
      <c r="Z168" s="180">
        <f t="shared" si="46"/>
        <v>290.44179843776908</v>
      </c>
      <c r="AA168" s="180">
        <f t="shared" si="47"/>
        <v>0</v>
      </c>
      <c r="AD168" s="431"/>
      <c r="AE168" s="182"/>
      <c r="AF168" s="178"/>
      <c r="AG168" s="182"/>
      <c r="AH168" s="178"/>
      <c r="AI168" s="182">
        <f>IFERROR((M168)*'Emissions Factors'!B46,"")</f>
        <v>421.87733390213464</v>
      </c>
      <c r="AJ168" s="180"/>
      <c r="AK168" s="180"/>
      <c r="AL168" s="180"/>
      <c r="AM168" s="180">
        <f t="shared" si="48"/>
        <v>421.87733390213464</v>
      </c>
      <c r="AN168" s="180">
        <f t="shared" si="49"/>
        <v>0</v>
      </c>
      <c r="AQ168" s="430"/>
      <c r="AR168" s="478">
        <v>2049</v>
      </c>
      <c r="AS168" s="479">
        <f t="shared" si="56"/>
        <v>712.31913233990372</v>
      </c>
      <c r="AT168" s="479">
        <f t="shared" si="57"/>
        <v>0</v>
      </c>
      <c r="AU168" s="430"/>
      <c r="AV168" s="479">
        <f t="shared" si="50"/>
        <v>210.93866695106732</v>
      </c>
      <c r="AW168" s="479">
        <f t="shared" si="51"/>
        <v>0</v>
      </c>
      <c r="AX168" s="430"/>
      <c r="AY168" s="479">
        <f t="shared" si="52"/>
        <v>501.3804653888364</v>
      </c>
      <c r="AZ168" s="479">
        <f t="shared" si="53"/>
        <v>0</v>
      </c>
      <c r="BA168" s="429"/>
      <c r="BC168" s="480">
        <f t="shared" si="54"/>
        <v>0.29612944167055144</v>
      </c>
      <c r="BD168" s="480" t="str">
        <f t="shared" si="55"/>
        <v/>
      </c>
    </row>
    <row r="169" spans="1:56" ht="15.6" x14ac:dyDescent="0.3">
      <c r="A169" s="152">
        <v>2050</v>
      </c>
      <c r="B169" s="178"/>
      <c r="C169" s="182"/>
      <c r="D169" s="183"/>
      <c r="E169" s="179">
        <f t="shared" si="58"/>
        <v>615.99596590038391</v>
      </c>
      <c r="F169" s="183">
        <f t="shared" si="59"/>
        <v>40.582789339595365</v>
      </c>
      <c r="G169" s="247">
        <f t="shared" si="43"/>
        <v>0.14059629704266594</v>
      </c>
      <c r="H169" s="246"/>
      <c r="I169" s="417"/>
      <c r="J169" s="178"/>
      <c r="K169" s="182"/>
      <c r="L169" s="183"/>
      <c r="M169" s="179">
        <f t="shared" si="44"/>
        <v>901.39414095608061</v>
      </c>
      <c r="N169" s="183">
        <f t="shared" si="60"/>
        <v>65.585458716299968</v>
      </c>
      <c r="O169" s="247">
        <f t="shared" si="45"/>
        <v>0.20573621486163179</v>
      </c>
      <c r="P169" s="246"/>
      <c r="Q169" s="417"/>
      <c r="R169" s="182"/>
      <c r="S169" s="178"/>
      <c r="T169" s="182"/>
      <c r="U169" s="178"/>
      <c r="V169" s="182">
        <f>IFERROR((E169)*'Emissions Factors'!B47,"")</f>
        <v>309.8568509157115</v>
      </c>
      <c r="W169" s="180"/>
      <c r="X169" s="180"/>
      <c r="Y169" s="180"/>
      <c r="Z169" s="180">
        <f t="shared" si="46"/>
        <v>309.8568509157115</v>
      </c>
      <c r="AA169" s="180">
        <f t="shared" si="47"/>
        <v>0</v>
      </c>
      <c r="AD169" s="431"/>
      <c r="AE169" s="182"/>
      <c r="AF169" s="178"/>
      <c r="AG169" s="182"/>
      <c r="AH169" s="178"/>
      <c r="AI169" s="182">
        <f>IFERROR((M169)*'Emissions Factors'!B47,"")</f>
        <v>453.41717383209578</v>
      </c>
      <c r="AJ169" s="180"/>
      <c r="AK169" s="180"/>
      <c r="AL169" s="180"/>
      <c r="AM169" s="180">
        <f t="shared" si="48"/>
        <v>453.41717383209578</v>
      </c>
      <c r="AN169" s="180">
        <f t="shared" si="49"/>
        <v>0</v>
      </c>
      <c r="AQ169" s="430"/>
      <c r="AR169" s="478">
        <v>2050</v>
      </c>
      <c r="AS169" s="479">
        <f t="shared" si="56"/>
        <v>763.27402474780729</v>
      </c>
      <c r="AT169" s="479">
        <f t="shared" si="57"/>
        <v>0</v>
      </c>
      <c r="AU169" s="430"/>
      <c r="AV169" s="479">
        <f t="shared" si="50"/>
        <v>226.70858691604789</v>
      </c>
      <c r="AW169" s="479">
        <f t="shared" si="51"/>
        <v>0</v>
      </c>
      <c r="AX169" s="430"/>
      <c r="AY169" s="479">
        <f t="shared" si="52"/>
        <v>536.56543783175937</v>
      </c>
      <c r="AZ169" s="479">
        <f t="shared" si="53"/>
        <v>0</v>
      </c>
      <c r="BA169" s="429"/>
      <c r="BC169" s="480">
        <f t="shared" si="54"/>
        <v>0.29702122640811007</v>
      </c>
      <c r="BD169" s="480" t="str">
        <f t="shared" si="55"/>
        <v/>
      </c>
    </row>
    <row r="170" spans="1:56" ht="15.6" x14ac:dyDescent="0.3">
      <c r="A170" s="152">
        <v>2051</v>
      </c>
      <c r="B170" s="178"/>
      <c r="C170" s="182"/>
      <c r="D170" s="183"/>
      <c r="E170" s="179">
        <f t="shared" si="58"/>
        <v>659.01285052754145</v>
      </c>
      <c r="F170" s="183">
        <f t="shared" si="59"/>
        <v>43.016884627157538</v>
      </c>
      <c r="G170" s="247">
        <f t="shared" si="43"/>
        <v>0.14162019618448651</v>
      </c>
      <c r="H170" s="246"/>
      <c r="I170" s="417"/>
      <c r="J170" s="178"/>
      <c r="K170" s="182"/>
      <c r="L170" s="183"/>
      <c r="M170" s="179">
        <f t="shared" si="44"/>
        <v>971.49990924058409</v>
      </c>
      <c r="N170" s="183">
        <f t="shared" si="60"/>
        <v>70.105768284503483</v>
      </c>
      <c r="O170" s="247">
        <f t="shared" si="45"/>
        <v>0.20877287541468426</v>
      </c>
      <c r="P170" s="246"/>
      <c r="Q170" s="417"/>
      <c r="R170" s="182"/>
      <c r="S170" s="178"/>
      <c r="T170" s="182"/>
      <c r="U170" s="178"/>
      <c r="V170" s="182">
        <f>IFERROR((E170)*'Emissions Factors'!B48,"")</f>
        <v>330.22810863774731</v>
      </c>
      <c r="W170" s="180"/>
      <c r="X170" s="180"/>
      <c r="Y170" s="180"/>
      <c r="Z170" s="180">
        <f t="shared" si="46"/>
        <v>330.22810863774731</v>
      </c>
      <c r="AA170" s="180">
        <f t="shared" si="47"/>
        <v>0</v>
      </c>
      <c r="AD170" s="431"/>
      <c r="AE170" s="182"/>
      <c r="AF170" s="178"/>
      <c r="AG170" s="182"/>
      <c r="AH170" s="178"/>
      <c r="AI170" s="182">
        <f>IFERROR((M170)*'Emissions Factors'!B48,"")</f>
        <v>486.81384181423283</v>
      </c>
      <c r="AJ170" s="180"/>
      <c r="AK170" s="180"/>
      <c r="AL170" s="180"/>
      <c r="AM170" s="180">
        <f t="shared" si="48"/>
        <v>486.81384181423283</v>
      </c>
      <c r="AN170" s="180">
        <f t="shared" si="49"/>
        <v>0</v>
      </c>
      <c r="AR170" s="478">
        <v>2051</v>
      </c>
      <c r="AS170" s="479">
        <f t="shared" si="56"/>
        <v>817.04195045198014</v>
      </c>
      <c r="AT170" s="479">
        <f t="shared" si="57"/>
        <v>0</v>
      </c>
      <c r="AU170" s="430"/>
      <c r="AV170" s="479">
        <f t="shared" si="50"/>
        <v>243.40692090711642</v>
      </c>
      <c r="AW170" s="479">
        <f t="shared" si="51"/>
        <v>0</v>
      </c>
      <c r="AX170" s="430"/>
      <c r="AY170" s="479">
        <f t="shared" si="52"/>
        <v>573.63502954486376</v>
      </c>
      <c r="AZ170" s="479">
        <f t="shared" si="53"/>
        <v>0</v>
      </c>
      <c r="BA170" s="429"/>
      <c r="BC170" s="480">
        <f t="shared" si="54"/>
        <v>0.29791239087841931</v>
      </c>
      <c r="BD170" s="480" t="str">
        <f t="shared" si="55"/>
        <v/>
      </c>
    </row>
    <row r="171" spans="1:56" ht="15.6" x14ac:dyDescent="0.3">
      <c r="A171" s="152">
        <v>2052</v>
      </c>
      <c r="B171" s="178"/>
      <c r="C171" s="182"/>
      <c r="D171" s="183"/>
      <c r="E171" s="179">
        <f t="shared" si="58"/>
        <v>704.54956470928846</v>
      </c>
      <c r="F171" s="183">
        <f t="shared" si="59"/>
        <v>45.536714181747016</v>
      </c>
      <c r="G171" s="247">
        <f t="shared" si="43"/>
        <v>0.14263824068700937</v>
      </c>
      <c r="H171" s="246"/>
      <c r="I171" s="417"/>
      <c r="J171" s="178"/>
      <c r="K171" s="182"/>
      <c r="L171" s="183"/>
      <c r="M171" s="179">
        <f t="shared" si="44"/>
        <v>1046.3460838409733</v>
      </c>
      <c r="N171" s="183">
        <f t="shared" si="60"/>
        <v>74.84617460038919</v>
      </c>
      <c r="O171" s="247">
        <f t="shared" si="45"/>
        <v>0.2118360041999339</v>
      </c>
      <c r="P171" s="246"/>
      <c r="Q171" s="417"/>
      <c r="R171" s="182"/>
      <c r="S171" s="178"/>
      <c r="T171" s="182"/>
      <c r="U171" s="178"/>
      <c r="V171" s="182">
        <f>IFERROR((E171)*'Emissions Factors'!B49,"")</f>
        <v>351.74266520913415</v>
      </c>
      <c r="W171" s="180"/>
      <c r="X171" s="180"/>
      <c r="Y171" s="180"/>
      <c r="Z171" s="180">
        <f t="shared" si="46"/>
        <v>351.74266520913415</v>
      </c>
      <c r="AA171" s="180">
        <f t="shared" si="47"/>
        <v>0</v>
      </c>
      <c r="AD171" s="431"/>
      <c r="AE171" s="182"/>
      <c r="AF171" s="178"/>
      <c r="AG171" s="182"/>
      <c r="AH171" s="178"/>
      <c r="AI171" s="182">
        <f>IFERROR((M171)*'Emissions Factors'!B49,"")</f>
        <v>522.38278000104481</v>
      </c>
      <c r="AJ171" s="180"/>
      <c r="AK171" s="180"/>
      <c r="AL171" s="180"/>
      <c r="AM171" s="180">
        <f t="shared" si="48"/>
        <v>522.38278000104481</v>
      </c>
      <c r="AN171" s="180">
        <f t="shared" si="49"/>
        <v>0</v>
      </c>
      <c r="AR171" s="478">
        <v>2052</v>
      </c>
      <c r="AS171" s="479">
        <f t="shared" si="56"/>
        <v>874.1254452101789</v>
      </c>
      <c r="AT171" s="479">
        <f t="shared" si="57"/>
        <v>0</v>
      </c>
      <c r="AU171" s="430"/>
      <c r="AV171" s="479">
        <f t="shared" si="50"/>
        <v>261.1913900005224</v>
      </c>
      <c r="AW171" s="479">
        <f t="shared" si="51"/>
        <v>0</v>
      </c>
      <c r="AX171" s="430"/>
      <c r="AY171" s="479">
        <f t="shared" si="52"/>
        <v>612.93405520965644</v>
      </c>
      <c r="AZ171" s="479">
        <f t="shared" si="53"/>
        <v>0</v>
      </c>
      <c r="BA171" s="429"/>
      <c r="BC171" s="480">
        <f t="shared" si="54"/>
        <v>0.29880309677716826</v>
      </c>
      <c r="BD171" s="480" t="str">
        <f t="shared" si="55"/>
        <v/>
      </c>
    </row>
    <row r="172" spans="1:56" ht="15.6" x14ac:dyDescent="0.3">
      <c r="A172" s="152">
        <v>2053</v>
      </c>
      <c r="B172" s="178"/>
      <c r="C172" s="182"/>
      <c r="D172" s="183"/>
      <c r="E172" s="179">
        <f t="shared" si="58"/>
        <v>752.67313228085379</v>
      </c>
      <c r="F172" s="183">
        <f t="shared" si="59"/>
        <v>48.123567571565331</v>
      </c>
      <c r="G172" s="247">
        <f t="shared" si="43"/>
        <v>0.14364153091279894</v>
      </c>
      <c r="H172" s="246"/>
      <c r="I172" s="417"/>
      <c r="J172" s="178"/>
      <c r="K172" s="182"/>
      <c r="L172" s="183"/>
      <c r="M172" s="179">
        <f t="shared" si="44"/>
        <v>1126.1261795923949</v>
      </c>
      <c r="N172" s="183">
        <f t="shared" si="60"/>
        <v>79.780095751421641</v>
      </c>
      <c r="O172" s="247">
        <f t="shared" si="45"/>
        <v>0.21491200030941759</v>
      </c>
      <c r="P172" s="246"/>
      <c r="Q172" s="417"/>
      <c r="R172" s="182"/>
      <c r="S172" s="178"/>
      <c r="T172" s="182"/>
      <c r="U172" s="178"/>
      <c r="V172" s="182">
        <f>IFERROR((E172)*'Emissions Factors'!B50,"")</f>
        <v>374.34620492061117</v>
      </c>
      <c r="W172" s="180"/>
      <c r="X172" s="180"/>
      <c r="Y172" s="180"/>
      <c r="Z172" s="180">
        <f t="shared" si="46"/>
        <v>374.34620492061117</v>
      </c>
      <c r="AA172" s="180">
        <f t="shared" si="47"/>
        <v>0</v>
      </c>
      <c r="AD172" s="431"/>
      <c r="AE172" s="182"/>
      <c r="AF172" s="178"/>
      <c r="AG172" s="182"/>
      <c r="AH172" s="178"/>
      <c r="AI172" s="182">
        <f>IFERROR((M172)*'Emissions Factors'!B50,"")</f>
        <v>560.08517311450623</v>
      </c>
      <c r="AJ172" s="180"/>
      <c r="AK172" s="180"/>
      <c r="AL172" s="180"/>
      <c r="AM172" s="180">
        <f t="shared" si="48"/>
        <v>560.08517311450623</v>
      </c>
      <c r="AN172" s="180">
        <f t="shared" si="49"/>
        <v>0</v>
      </c>
      <c r="AR172" s="478">
        <v>2053</v>
      </c>
      <c r="AS172" s="479">
        <f t="shared" si="56"/>
        <v>934.4313780351174</v>
      </c>
      <c r="AT172" s="479">
        <f t="shared" si="57"/>
        <v>0</v>
      </c>
      <c r="AU172" s="430"/>
      <c r="AV172" s="479">
        <f t="shared" si="50"/>
        <v>280.04258655725312</v>
      </c>
      <c r="AW172" s="479">
        <f t="shared" si="51"/>
        <v>0</v>
      </c>
      <c r="AX172" s="430"/>
      <c r="AY172" s="479">
        <f t="shared" si="52"/>
        <v>654.38879147786429</v>
      </c>
      <c r="AZ172" s="479">
        <f t="shared" si="53"/>
        <v>0</v>
      </c>
      <c r="BA172" s="429"/>
      <c r="BC172" s="480">
        <f t="shared" si="54"/>
        <v>0.29969304663774748</v>
      </c>
      <c r="BD172" s="480" t="str">
        <f t="shared" si="55"/>
        <v/>
      </c>
    </row>
    <row r="173" spans="1:56" ht="15.6" x14ac:dyDescent="0.3">
      <c r="A173" s="152">
        <v>2054</v>
      </c>
      <c r="B173" s="178"/>
      <c r="C173" s="182"/>
      <c r="D173" s="183"/>
      <c r="E173" s="179">
        <f t="shared" si="58"/>
        <v>803.43219154839176</v>
      </c>
      <c r="F173" s="183">
        <f t="shared" si="59"/>
        <v>50.759059267537964</v>
      </c>
      <c r="G173" s="247">
        <f t="shared" si="43"/>
        <v>0.14462162056972683</v>
      </c>
      <c r="H173" s="246"/>
      <c r="I173" s="417"/>
      <c r="J173" s="178"/>
      <c r="K173" s="182"/>
      <c r="L173" s="183"/>
      <c r="M173" s="179">
        <f t="shared" si="44"/>
        <v>1211.0074739265042</v>
      </c>
      <c r="N173" s="183">
        <f t="shared" si="60"/>
        <v>84.88129433410927</v>
      </c>
      <c r="O173" s="247">
        <f t="shared" si="45"/>
        <v>0.21798711234581328</v>
      </c>
      <c r="P173" s="246"/>
      <c r="Q173" s="417"/>
      <c r="R173" s="182"/>
      <c r="S173" s="178"/>
      <c r="T173" s="182"/>
      <c r="U173" s="178"/>
      <c r="V173" s="182">
        <f>IFERROR((E173)*'Emissions Factors'!B51,"")</f>
        <v>398.04099803261533</v>
      </c>
      <c r="W173" s="180"/>
      <c r="X173" s="180"/>
      <c r="Y173" s="180"/>
      <c r="Z173" s="180">
        <f t="shared" si="46"/>
        <v>398.04099803261533</v>
      </c>
      <c r="AA173" s="180">
        <f t="shared" si="47"/>
        <v>0</v>
      </c>
      <c r="AD173" s="431"/>
      <c r="AE173" s="182"/>
      <c r="AF173" s="178"/>
      <c r="AG173" s="182"/>
      <c r="AH173" s="178"/>
      <c r="AI173" s="182">
        <f>IFERROR((M173)*'Emissions Factors'!B51,"")</f>
        <v>599.96428898085651</v>
      </c>
      <c r="AJ173" s="180"/>
      <c r="AK173" s="180"/>
      <c r="AL173" s="180"/>
      <c r="AM173" s="180">
        <f t="shared" si="48"/>
        <v>599.96428898085651</v>
      </c>
      <c r="AN173" s="180">
        <f t="shared" si="49"/>
        <v>0</v>
      </c>
      <c r="AR173" s="478">
        <v>2054</v>
      </c>
      <c r="AS173" s="479">
        <f t="shared" si="56"/>
        <v>998.00528701347184</v>
      </c>
      <c r="AT173" s="479">
        <f t="shared" si="57"/>
        <v>0</v>
      </c>
      <c r="AU173" s="430"/>
      <c r="AV173" s="479">
        <f t="shared" si="50"/>
        <v>299.98214449042825</v>
      </c>
      <c r="AW173" s="479">
        <f t="shared" si="51"/>
        <v>0</v>
      </c>
      <c r="AX173" s="430"/>
      <c r="AY173" s="479">
        <f t="shared" si="52"/>
        <v>698.02314252304359</v>
      </c>
      <c r="AZ173" s="479">
        <f t="shared" si="53"/>
        <v>0</v>
      </c>
      <c r="BA173" s="429"/>
      <c r="BC173" s="480">
        <f t="shared" si="54"/>
        <v>0.30058171874832851</v>
      </c>
      <c r="BD173" s="480" t="str">
        <f t="shared" si="55"/>
        <v/>
      </c>
    </row>
    <row r="174" spans="1:56" ht="15.6" x14ac:dyDescent="0.3">
      <c r="A174" s="152">
        <v>2055</v>
      </c>
      <c r="B174" s="178"/>
      <c r="C174" s="182"/>
      <c r="D174" s="183"/>
      <c r="E174" s="179">
        <f t="shared" si="58"/>
        <v>856.87816409223524</v>
      </c>
      <c r="F174" s="183">
        <f t="shared" si="59"/>
        <v>53.445972543843482</v>
      </c>
      <c r="G174" s="247">
        <f t="shared" si="43"/>
        <v>0.14557233832592556</v>
      </c>
      <c r="H174" s="246"/>
      <c r="I174" s="417"/>
      <c r="J174" s="178"/>
      <c r="K174" s="182"/>
      <c r="L174" s="183"/>
      <c r="M174" s="179">
        <f t="shared" si="44"/>
        <v>1301.163282783112</v>
      </c>
      <c r="N174" s="183">
        <f t="shared" si="60"/>
        <v>90.155808856607791</v>
      </c>
      <c r="O174" s="247">
        <f t="shared" si="45"/>
        <v>0.22105054085400461</v>
      </c>
      <c r="P174" s="246"/>
      <c r="Q174" s="417"/>
      <c r="R174" s="182"/>
      <c r="S174" s="178"/>
      <c r="T174" s="182"/>
      <c r="U174" s="178"/>
      <c r="V174" s="182">
        <f>IFERROR((E174)*'Emissions Factors'!B52,"")</f>
        <v>422.794173655046</v>
      </c>
      <c r="W174" s="180"/>
      <c r="X174" s="180"/>
      <c r="Y174" s="180"/>
      <c r="Z174" s="180">
        <f t="shared" si="46"/>
        <v>422.794173655046</v>
      </c>
      <c r="AA174" s="180">
        <f t="shared" si="47"/>
        <v>0</v>
      </c>
      <c r="AD174" s="431"/>
      <c r="AE174" s="182"/>
      <c r="AF174" s="178"/>
      <c r="AG174" s="182"/>
      <c r="AH174" s="178"/>
      <c r="AI174" s="182">
        <f>IFERROR((M174)*'Emissions Factors'!B52,"")</f>
        <v>642.00988890569613</v>
      </c>
      <c r="AJ174" s="180"/>
      <c r="AK174" s="180"/>
      <c r="AL174" s="180"/>
      <c r="AM174" s="180">
        <f t="shared" si="48"/>
        <v>642.00988890569613</v>
      </c>
      <c r="AN174" s="180">
        <f t="shared" si="49"/>
        <v>0</v>
      </c>
      <c r="AR174" s="478">
        <v>2055</v>
      </c>
      <c r="AS174" s="479">
        <f t="shared" si="56"/>
        <v>1064.8040625607421</v>
      </c>
      <c r="AT174" s="479">
        <f t="shared" si="57"/>
        <v>0</v>
      </c>
      <c r="AU174" s="430"/>
      <c r="AV174" s="479">
        <f t="shared" si="50"/>
        <v>321.00494445284806</v>
      </c>
      <c r="AW174" s="479">
        <f t="shared" si="51"/>
        <v>0</v>
      </c>
      <c r="AX174" s="430"/>
      <c r="AY174" s="479">
        <f t="shared" si="52"/>
        <v>743.79911810789395</v>
      </c>
      <c r="AZ174" s="479">
        <f t="shared" si="53"/>
        <v>0</v>
      </c>
      <c r="BA174" s="429"/>
      <c r="BC174" s="480">
        <f t="shared" si="54"/>
        <v>0.30146855721123456</v>
      </c>
      <c r="BD174" s="480" t="str">
        <f t="shared" si="55"/>
        <v/>
      </c>
    </row>
    <row r="175" spans="1:56" ht="15.6" x14ac:dyDescent="0.3">
      <c r="A175" s="152">
        <v>2056</v>
      </c>
      <c r="B175" s="178"/>
      <c r="C175" s="182"/>
      <c r="D175" s="183"/>
      <c r="E175" s="179">
        <f t="shared" si="58"/>
        <v>913.10289751974972</v>
      </c>
      <c r="F175" s="183">
        <f t="shared" si="59"/>
        <v>56.224733427514479</v>
      </c>
      <c r="G175" s="247">
        <f t="shared" si="43"/>
        <v>0.14649178127793511</v>
      </c>
      <c r="H175" s="246"/>
      <c r="I175" s="417"/>
      <c r="J175" s="178"/>
      <c r="K175" s="182"/>
      <c r="L175" s="183"/>
      <c r="M175" s="179">
        <f t="shared" si="44"/>
        <v>1396.8335524997426</v>
      </c>
      <c r="N175" s="183">
        <f t="shared" si="60"/>
        <v>95.670269716630628</v>
      </c>
      <c r="O175" s="247">
        <f t="shared" si="45"/>
        <v>0.22409811184510833</v>
      </c>
      <c r="P175" s="246"/>
      <c r="Q175" s="417"/>
      <c r="R175" s="182"/>
      <c r="S175" s="178"/>
      <c r="T175" s="182"/>
      <c r="U175" s="178"/>
      <c r="V175" s="182">
        <f>IFERROR((E175)*'Emissions Factors'!B53,"")</f>
        <v>448.732181098517</v>
      </c>
      <c r="W175" s="180"/>
      <c r="X175" s="180"/>
      <c r="Y175" s="180"/>
      <c r="Z175" s="180">
        <f t="shared" si="46"/>
        <v>448.732181098517</v>
      </c>
      <c r="AA175" s="180">
        <f t="shared" si="47"/>
        <v>0</v>
      </c>
      <c r="AD175" s="431"/>
      <c r="AE175" s="182"/>
      <c r="AF175" s="178"/>
      <c r="AG175" s="182"/>
      <c r="AH175" s="178"/>
      <c r="AI175" s="182">
        <f>IFERROR((M175)*'Emissions Factors'!B53,"")</f>
        <v>686.45512827456776</v>
      </c>
      <c r="AJ175" s="180"/>
      <c r="AK175" s="180"/>
      <c r="AL175" s="180"/>
      <c r="AM175" s="180">
        <f t="shared" si="48"/>
        <v>686.45512827456776</v>
      </c>
      <c r="AN175" s="180">
        <f t="shared" si="49"/>
        <v>0</v>
      </c>
      <c r="AR175" s="478">
        <v>2056</v>
      </c>
      <c r="AS175" s="479">
        <f t="shared" si="56"/>
        <v>1135.1873093730846</v>
      </c>
      <c r="AT175" s="479">
        <f t="shared" si="57"/>
        <v>0</v>
      </c>
      <c r="AU175" s="430"/>
      <c r="AV175" s="479">
        <f t="shared" si="50"/>
        <v>343.22756413728388</v>
      </c>
      <c r="AW175" s="479">
        <f t="shared" si="51"/>
        <v>0</v>
      </c>
      <c r="AX175" s="430"/>
      <c r="AY175" s="479">
        <f t="shared" si="52"/>
        <v>791.95974523580071</v>
      </c>
      <c r="AZ175" s="479">
        <f t="shared" si="53"/>
        <v>0</v>
      </c>
      <c r="BA175" s="429"/>
      <c r="BC175" s="480">
        <f t="shared" si="54"/>
        <v>0.3023532427673401</v>
      </c>
      <c r="BD175" s="480" t="str">
        <f t="shared" si="55"/>
        <v/>
      </c>
    </row>
    <row r="176" spans="1:56" ht="15.6" x14ac:dyDescent="0.3">
      <c r="A176" s="152">
        <v>2057</v>
      </c>
      <c r="B176" s="178"/>
      <c r="C176" s="182"/>
      <c r="D176" s="183"/>
      <c r="E176" s="179">
        <f t="shared" si="58"/>
        <v>972.18566654280414</v>
      </c>
      <c r="F176" s="183">
        <f t="shared" si="59"/>
        <v>59.082769023054425</v>
      </c>
      <c r="G176" s="247">
        <f t="shared" si="43"/>
        <v>0.14737833616265089</v>
      </c>
      <c r="H176" s="246"/>
      <c r="I176" s="417"/>
      <c r="J176" s="178"/>
      <c r="K176" s="182"/>
      <c r="L176" s="183"/>
      <c r="M176" s="179">
        <f t="shared" si="44"/>
        <v>1498.2432278514946</v>
      </c>
      <c r="N176" s="183">
        <f t="shared" si="60"/>
        <v>101.40967535175196</v>
      </c>
      <c r="O176" s="247">
        <f t="shared" si="45"/>
        <v>0.22712595102634214</v>
      </c>
      <c r="P176" s="246"/>
      <c r="Q176" s="417"/>
      <c r="R176" s="182"/>
      <c r="S176" s="178"/>
      <c r="T176" s="182"/>
      <c r="U176" s="178"/>
      <c r="V176" s="182">
        <f>IFERROR((E176)*'Emissions Factors'!B54,"")</f>
        <v>475.762321474283</v>
      </c>
      <c r="W176" s="180"/>
      <c r="X176" s="180"/>
      <c r="Y176" s="180"/>
      <c r="Z176" s="180">
        <f t="shared" si="46"/>
        <v>475.762321474283</v>
      </c>
      <c r="AA176" s="180">
        <f t="shared" si="47"/>
        <v>0</v>
      </c>
      <c r="AD176" s="431"/>
      <c r="AE176" s="182"/>
      <c r="AF176" s="178"/>
      <c r="AG176" s="182"/>
      <c r="AH176" s="178"/>
      <c r="AI176" s="182">
        <f>IFERROR((M176)*'Emissions Factors'!B54,"")</f>
        <v>733.20117827962861</v>
      </c>
      <c r="AJ176" s="180"/>
      <c r="AK176" s="180"/>
      <c r="AL176" s="180"/>
      <c r="AM176" s="180">
        <f t="shared" si="48"/>
        <v>733.20117827962861</v>
      </c>
      <c r="AN176" s="180">
        <f t="shared" si="49"/>
        <v>0</v>
      </c>
      <c r="AR176" s="478">
        <v>2057</v>
      </c>
      <c r="AS176" s="479">
        <f t="shared" si="56"/>
        <v>1208.9634997539115</v>
      </c>
      <c r="AT176" s="479">
        <f t="shared" si="57"/>
        <v>0</v>
      </c>
      <c r="AU176" s="430"/>
      <c r="AV176" s="479">
        <f t="shared" si="50"/>
        <v>366.6005891398143</v>
      </c>
      <c r="AW176" s="479">
        <f t="shared" si="51"/>
        <v>0</v>
      </c>
      <c r="AX176" s="430"/>
      <c r="AY176" s="479">
        <f t="shared" si="52"/>
        <v>842.36291061409725</v>
      </c>
      <c r="AZ176" s="479">
        <f t="shared" si="53"/>
        <v>0</v>
      </c>
      <c r="BA176" s="429"/>
      <c r="BC176" s="480">
        <f t="shared" si="54"/>
        <v>0.30323544855939577</v>
      </c>
      <c r="BD176" s="480" t="str">
        <f t="shared" si="55"/>
        <v/>
      </c>
    </row>
    <row r="177" spans="1:56" ht="15.6" x14ac:dyDescent="0.3">
      <c r="A177" s="152">
        <v>2058</v>
      </c>
      <c r="B177" s="178"/>
      <c r="C177" s="182"/>
      <c r="D177" s="183"/>
      <c r="E177" s="179">
        <f t="shared" si="58"/>
        <v>1034.1487699953668</v>
      </c>
      <c r="F177" s="183">
        <f t="shared" si="59"/>
        <v>61.963103452562677</v>
      </c>
      <c r="G177" s="247">
        <f t="shared" si="43"/>
        <v>0.14822883547853635</v>
      </c>
      <c r="H177" s="246"/>
      <c r="I177" s="417"/>
      <c r="J177" s="178"/>
      <c r="K177" s="182"/>
      <c r="L177" s="183"/>
      <c r="M177" s="179">
        <f t="shared" si="44"/>
        <v>1605.5268007647885</v>
      </c>
      <c r="N177" s="183">
        <f t="shared" si="60"/>
        <v>107.28357291329394</v>
      </c>
      <c r="O177" s="247">
        <f t="shared" si="45"/>
        <v>0.23012682015568309</v>
      </c>
      <c r="P177" s="246"/>
      <c r="Q177" s="417"/>
      <c r="R177" s="182"/>
      <c r="S177" s="178"/>
      <c r="T177" s="182"/>
      <c r="U177" s="178"/>
      <c r="V177" s="182">
        <f>IFERROR((E177)*'Emissions Factors'!B55,"")</f>
        <v>503.90325277087265</v>
      </c>
      <c r="W177" s="180"/>
      <c r="X177" s="180"/>
      <c r="Y177" s="180"/>
      <c r="Z177" s="180">
        <f t="shared" si="46"/>
        <v>503.90325277087265</v>
      </c>
      <c r="AA177" s="180">
        <f t="shared" si="47"/>
        <v>0</v>
      </c>
      <c r="AD177" s="431"/>
      <c r="AE177" s="182"/>
      <c r="AF177" s="178"/>
      <c r="AG177" s="182"/>
      <c r="AH177" s="178"/>
      <c r="AI177" s="182">
        <f>IFERROR((M177)*'Emissions Factors'!B55,"")</f>
        <v>782.31507959905457</v>
      </c>
      <c r="AJ177" s="180"/>
      <c r="AK177" s="180"/>
      <c r="AL177" s="180"/>
      <c r="AM177" s="180">
        <f t="shared" si="48"/>
        <v>782.31507959905457</v>
      </c>
      <c r="AN177" s="180">
        <f t="shared" si="49"/>
        <v>0</v>
      </c>
      <c r="AR177" s="478">
        <v>2058</v>
      </c>
      <c r="AS177" s="479">
        <f t="shared" si="56"/>
        <v>1286.2183323699273</v>
      </c>
      <c r="AT177" s="479">
        <f t="shared" si="57"/>
        <v>0</v>
      </c>
      <c r="AU177" s="430"/>
      <c r="AV177" s="479">
        <f t="shared" si="50"/>
        <v>391.15753979952729</v>
      </c>
      <c r="AW177" s="479">
        <f t="shared" si="51"/>
        <v>0</v>
      </c>
      <c r="AX177" s="430"/>
      <c r="AY177" s="479">
        <f t="shared" si="52"/>
        <v>895.06079257040005</v>
      </c>
      <c r="AZ177" s="479">
        <f t="shared" si="53"/>
        <v>0</v>
      </c>
      <c r="BA177" s="429"/>
      <c r="BC177" s="480">
        <f t="shared" si="54"/>
        <v>0.30411441817875368</v>
      </c>
      <c r="BD177" s="480" t="str">
        <f t="shared" si="55"/>
        <v/>
      </c>
    </row>
    <row r="178" spans="1:56" ht="15.6" x14ac:dyDescent="0.3">
      <c r="A178" s="152">
        <v>2059</v>
      </c>
      <c r="B178" s="178"/>
      <c r="C178" s="182"/>
      <c r="D178" s="183"/>
      <c r="E178" s="179">
        <f t="shared" si="58"/>
        <v>1098.9933802395065</v>
      </c>
      <c r="F178" s="183">
        <f t="shared" si="59"/>
        <v>64.844610244139631</v>
      </c>
      <c r="G178" s="247">
        <f t="shared" si="43"/>
        <v>0.1490407356123605</v>
      </c>
      <c r="H178" s="246"/>
      <c r="I178" s="417"/>
      <c r="J178" s="178"/>
      <c r="K178" s="182"/>
      <c r="L178" s="183"/>
      <c r="M178" s="179">
        <f t="shared" si="44"/>
        <v>1718.7821499374704</v>
      </c>
      <c r="N178" s="183">
        <f t="shared" si="60"/>
        <v>113.25534917268192</v>
      </c>
      <c r="O178" s="247">
        <f t="shared" si="45"/>
        <v>0.2330938116553965</v>
      </c>
      <c r="P178" s="246"/>
      <c r="Q178" s="417"/>
      <c r="R178" s="182"/>
      <c r="S178" s="178"/>
      <c r="T178" s="182"/>
      <c r="U178" s="178"/>
      <c r="V178" s="182">
        <f>IFERROR((E178)*'Emissions Factors'!B56,"")</f>
        <v>533.12690475943089</v>
      </c>
      <c r="W178" s="180"/>
      <c r="X178" s="180"/>
      <c r="Y178" s="180"/>
      <c r="Z178" s="180">
        <f t="shared" si="46"/>
        <v>533.12690475943089</v>
      </c>
      <c r="AA178" s="180">
        <f t="shared" si="47"/>
        <v>0</v>
      </c>
      <c r="AD178" s="431"/>
      <c r="AE178" s="182"/>
      <c r="AF178" s="178"/>
      <c r="AG178" s="182"/>
      <c r="AH178" s="178"/>
      <c r="AI178" s="182">
        <f>IFERROR((M178)*'Emissions Factors'!B56,"")</f>
        <v>833.78937856042921</v>
      </c>
      <c r="AJ178" s="180"/>
      <c r="AK178" s="180"/>
      <c r="AL178" s="180"/>
      <c r="AM178" s="180">
        <f t="shared" si="48"/>
        <v>833.78937856042921</v>
      </c>
      <c r="AN178" s="180">
        <f t="shared" si="49"/>
        <v>0</v>
      </c>
      <c r="AR178" s="478">
        <v>2059</v>
      </c>
      <c r="AS178" s="479">
        <f t="shared" si="56"/>
        <v>1366.9162833198602</v>
      </c>
      <c r="AT178" s="479">
        <f t="shared" si="57"/>
        <v>0</v>
      </c>
      <c r="AU178" s="430"/>
      <c r="AV178" s="479">
        <f t="shared" si="50"/>
        <v>416.89468928021461</v>
      </c>
      <c r="AW178" s="479">
        <f t="shared" si="51"/>
        <v>0</v>
      </c>
      <c r="AX178" s="430"/>
      <c r="AY178" s="479">
        <f t="shared" si="52"/>
        <v>950.02159403964561</v>
      </c>
      <c r="AZ178" s="479">
        <f t="shared" si="53"/>
        <v>0</v>
      </c>
      <c r="BA178" s="429"/>
      <c r="BC178" s="480">
        <f t="shared" si="54"/>
        <v>0.30498918943864883</v>
      </c>
      <c r="BD178" s="480" t="str">
        <f t="shared" si="55"/>
        <v/>
      </c>
    </row>
    <row r="179" spans="1:56" ht="15.6" x14ac:dyDescent="0.3">
      <c r="A179" s="152">
        <v>2060</v>
      </c>
      <c r="B179" s="178"/>
      <c r="C179" s="182"/>
      <c r="D179" s="183"/>
      <c r="E179" s="179">
        <f t="shared" si="58"/>
        <v>1166.7424723301424</v>
      </c>
      <c r="F179" s="183">
        <f t="shared" si="59"/>
        <v>67.749092090635941</v>
      </c>
      <c r="G179" s="247">
        <f t="shared" si="43"/>
        <v>0.14981361091260195</v>
      </c>
      <c r="H179" s="246"/>
      <c r="I179" s="417"/>
      <c r="J179" s="178"/>
      <c r="K179" s="182"/>
      <c r="L179" s="183"/>
      <c r="M179" s="179">
        <f t="shared" si="44"/>
        <v>1838.1387522536756</v>
      </c>
      <c r="N179" s="183">
        <f t="shared" si="60"/>
        <v>119.35660231620523</v>
      </c>
      <c r="O179" s="247">
        <f t="shared" si="45"/>
        <v>0.2360231245233923</v>
      </c>
      <c r="P179" s="246"/>
      <c r="Q179" s="417"/>
      <c r="R179" s="182"/>
      <c r="S179" s="178"/>
      <c r="T179" s="182"/>
      <c r="U179" s="178"/>
      <c r="V179" s="182">
        <f>IFERROR((E179)*'Emissions Factors'!B57,"")</f>
        <v>563.6031937544119</v>
      </c>
      <c r="W179" s="180"/>
      <c r="X179" s="180"/>
      <c r="Y179" s="180"/>
      <c r="Z179" s="180">
        <f t="shared" si="46"/>
        <v>563.6031937544119</v>
      </c>
      <c r="AA179" s="180">
        <f t="shared" si="47"/>
        <v>0</v>
      </c>
      <c r="AD179" s="431"/>
      <c r="AE179" s="182"/>
      <c r="AF179" s="178"/>
      <c r="AG179" s="182"/>
      <c r="AH179" s="178"/>
      <c r="AI179" s="182">
        <f>IFERROR((M179)*'Emissions Factors'!B57,"")</f>
        <v>887.92590987531946</v>
      </c>
      <c r="AJ179" s="180"/>
      <c r="AK179" s="180"/>
      <c r="AL179" s="180"/>
      <c r="AM179" s="180">
        <f t="shared" si="48"/>
        <v>887.92590987531946</v>
      </c>
      <c r="AN179" s="180">
        <f t="shared" si="49"/>
        <v>0</v>
      </c>
      <c r="AR179" s="478">
        <v>2060</v>
      </c>
      <c r="AS179" s="479">
        <f t="shared" si="56"/>
        <v>1451.5291036297313</v>
      </c>
      <c r="AT179" s="479">
        <f t="shared" si="57"/>
        <v>0</v>
      </c>
      <c r="AU179" s="430"/>
      <c r="AV179" s="479">
        <f t="shared" si="50"/>
        <v>443.96295493765973</v>
      </c>
      <c r="AW179" s="479">
        <f t="shared" si="51"/>
        <v>0</v>
      </c>
      <c r="AX179" s="430"/>
      <c r="AY179" s="479">
        <f t="shared" si="52"/>
        <v>1007.5661486920715</v>
      </c>
      <c r="AZ179" s="479">
        <f t="shared" si="53"/>
        <v>0</v>
      </c>
      <c r="BA179" s="429"/>
      <c r="BC179" s="480">
        <f t="shared" si="54"/>
        <v>0.30585880353860939</v>
      </c>
      <c r="BD179" s="480" t="str">
        <f t="shared" si="55"/>
        <v/>
      </c>
    </row>
    <row r="180" spans="1:56" x14ac:dyDescent="0.25">
      <c r="BA180" s="429"/>
    </row>
    <row r="181" spans="1:56" x14ac:dyDescent="0.25">
      <c r="BA181" s="429"/>
    </row>
    <row r="182" spans="1:56" x14ac:dyDescent="0.25">
      <c r="BA182" s="429"/>
    </row>
    <row r="183" spans="1:56" x14ac:dyDescent="0.25">
      <c r="BA183" s="429"/>
    </row>
    <row r="184" spans="1:56" x14ac:dyDescent="0.25">
      <c r="BA184" s="429"/>
    </row>
    <row r="185" spans="1:56" x14ac:dyDescent="0.25">
      <c r="BA185" s="429"/>
    </row>
    <row r="186" spans="1:56" x14ac:dyDescent="0.25">
      <c r="BA186" s="429"/>
    </row>
    <row r="187" spans="1:56" ht="13.8" thickBot="1" x14ac:dyDescent="0.3">
      <c r="BA187" s="429"/>
    </row>
    <row r="188" spans="1:56" s="485" customFormat="1" ht="33" customHeight="1" thickBot="1" x14ac:dyDescent="0.35">
      <c r="A188" s="491"/>
      <c r="B188" s="660" t="s">
        <v>518</v>
      </c>
      <c r="C188" s="660"/>
      <c r="D188" s="660"/>
      <c r="E188" s="660"/>
      <c r="F188" s="660"/>
      <c r="G188" s="660"/>
      <c r="H188" s="660"/>
      <c r="I188" s="492"/>
      <c r="J188" s="492"/>
      <c r="K188" s="656" t="s">
        <v>519</v>
      </c>
      <c r="L188" s="657"/>
      <c r="M188" s="657"/>
      <c r="N188" s="657"/>
      <c r="O188" s="657"/>
      <c r="P188" s="657"/>
      <c r="Q188" s="657"/>
      <c r="R188" s="657"/>
      <c r="S188" s="657"/>
      <c r="T188" s="658"/>
      <c r="U188" s="491"/>
      <c r="V188" s="491"/>
      <c r="W188" s="634" t="s">
        <v>520</v>
      </c>
      <c r="X188" s="635"/>
      <c r="Y188" s="635"/>
      <c r="Z188" s="635"/>
      <c r="AA188" s="635"/>
      <c r="AB188" s="635"/>
      <c r="AC188" s="635"/>
      <c r="AD188" s="635"/>
      <c r="AE188" s="636"/>
      <c r="AF188" s="484"/>
      <c r="AG188" s="491"/>
      <c r="AH188" s="491"/>
      <c r="AI188" s="491"/>
    </row>
    <row r="189" spans="1:56" s="413" customFormat="1" ht="67.5" customHeight="1" x14ac:dyDescent="0.25">
      <c r="A189" s="446"/>
      <c r="B189" s="661" t="s">
        <v>376</v>
      </c>
      <c r="C189" s="661"/>
      <c r="D189" s="661"/>
      <c r="E189" s="662" t="s">
        <v>375</v>
      </c>
      <c r="F189" s="662"/>
      <c r="G189" s="662"/>
      <c r="H189" s="662"/>
      <c r="I189" s="447"/>
      <c r="J189" s="447"/>
      <c r="K189" s="624" t="s">
        <v>377</v>
      </c>
      <c r="L189" s="624"/>
      <c r="M189" s="624"/>
      <c r="N189" s="624"/>
      <c r="O189" s="626" t="s">
        <v>375</v>
      </c>
      <c r="P189" s="626"/>
      <c r="Q189" s="626"/>
      <c r="R189" s="626"/>
      <c r="S189" s="605" t="s">
        <v>470</v>
      </c>
      <c r="T189" s="605"/>
      <c r="U189" s="445"/>
      <c r="V189" s="446"/>
      <c r="W189" s="606" t="str">
        <f ca="1">CONCATENATE("Table 14(a): EMISSIONS ALLOCATION TO HEALTH &amp; EDUCATION in MDC, ",A1)</f>
        <v>Table 14(a): EMISSIONS ALLOCATION TO HEALTH &amp; EDUCATION in MDC, Electricity_cluster</v>
      </c>
      <c r="X189" s="607"/>
      <c r="Y189" s="608"/>
      <c r="Z189" s="445"/>
      <c r="AA189" s="606" t="str">
        <f ca="1">CONCATENATE("Table 14(b): EMISSIONS ALLOCATION TO Education in MDC, ",A1)</f>
        <v>Table 14(b): EMISSIONS ALLOCATION TO Education in MDC, Electricity_cluster</v>
      </c>
      <c r="AB189" s="608"/>
      <c r="AC189" s="446"/>
      <c r="AD189" s="606" t="str">
        <f ca="1">CONCATENATE("Table 14(c): EMISSIONS ALLOCATION TO Family Planning in MDC, ",$A$1)</f>
        <v>Table 14(c): EMISSIONS ALLOCATION TO Family Planning in MDC, Electricity_cluster</v>
      </c>
      <c r="AE189" s="608"/>
      <c r="AF189" s="484"/>
      <c r="AG189" s="446"/>
      <c r="AH189" s="612" t="s">
        <v>463</v>
      </c>
      <c r="AI189" s="613"/>
    </row>
    <row r="190" spans="1:56" ht="24.75" customHeight="1" x14ac:dyDescent="0.25">
      <c r="B190" s="453" t="s">
        <v>219</v>
      </c>
      <c r="C190" s="453" t="s">
        <v>220</v>
      </c>
      <c r="D190" s="453" t="s">
        <v>221</v>
      </c>
      <c r="E190" s="454" t="s">
        <v>222</v>
      </c>
      <c r="F190" s="454" t="s">
        <v>220</v>
      </c>
      <c r="G190" s="454" t="s">
        <v>248</v>
      </c>
      <c r="H190" s="454" t="s">
        <v>221</v>
      </c>
      <c r="I190" s="414"/>
      <c r="J190" s="414"/>
      <c r="K190" s="625" t="s">
        <v>223</v>
      </c>
      <c r="L190" s="625"/>
      <c r="M190" s="625"/>
      <c r="N190" s="625"/>
      <c r="O190" s="623" t="s">
        <v>223</v>
      </c>
      <c r="P190" s="623"/>
      <c r="Q190" s="623"/>
      <c r="R190" s="623"/>
      <c r="S190" s="604" t="s">
        <v>218</v>
      </c>
      <c r="T190" s="604"/>
      <c r="W190" s="435"/>
      <c r="X190" s="603"/>
      <c r="Y190" s="603"/>
      <c r="AA190" s="603"/>
      <c r="AB190" s="603"/>
      <c r="AD190" s="603"/>
      <c r="AE190" s="603"/>
      <c r="AF190" s="484"/>
      <c r="AH190" s="602" t="s">
        <v>218</v>
      </c>
      <c r="AI190" s="602"/>
    </row>
    <row r="191" spans="1:56" ht="38.25" customHeight="1" x14ac:dyDescent="0.25">
      <c r="B191" s="453" t="s">
        <v>500</v>
      </c>
      <c r="C191" s="453" t="s">
        <v>500</v>
      </c>
      <c r="D191" s="453" t="s">
        <v>513</v>
      </c>
      <c r="E191" s="454" t="s">
        <v>500</v>
      </c>
      <c r="F191" s="454" t="s">
        <v>500</v>
      </c>
      <c r="G191" s="454" t="s">
        <v>249</v>
      </c>
      <c r="H191" s="454" t="s">
        <v>513</v>
      </c>
      <c r="I191" s="415"/>
      <c r="J191" s="415"/>
      <c r="K191" s="436" t="s">
        <v>224</v>
      </c>
      <c r="L191" s="436" t="s">
        <v>36</v>
      </c>
      <c r="M191" s="436" t="s">
        <v>225</v>
      </c>
      <c r="N191" s="436" t="s">
        <v>226</v>
      </c>
      <c r="O191" s="437" t="s">
        <v>224</v>
      </c>
      <c r="P191" s="437" t="s">
        <v>36</v>
      </c>
      <c r="Q191" s="437" t="s">
        <v>225</v>
      </c>
      <c r="R191" s="437" t="s">
        <v>226</v>
      </c>
      <c r="S191" s="438" t="s">
        <v>227</v>
      </c>
      <c r="T191" s="438" t="s">
        <v>228</v>
      </c>
      <c r="W191" s="435"/>
      <c r="X191" s="434" t="s">
        <v>227</v>
      </c>
      <c r="Y191" s="434" t="s">
        <v>228</v>
      </c>
      <c r="AA191" s="434" t="s">
        <v>227</v>
      </c>
      <c r="AB191" s="434" t="s">
        <v>228</v>
      </c>
      <c r="AD191" s="434" t="s">
        <v>227</v>
      </c>
      <c r="AE191" s="434" t="s">
        <v>228</v>
      </c>
      <c r="AF191" s="484"/>
      <c r="AH191" s="481" t="s">
        <v>227</v>
      </c>
      <c r="AI191" s="481" t="s">
        <v>228</v>
      </c>
    </row>
    <row r="192" spans="1:56" ht="15.6" x14ac:dyDescent="0.3">
      <c r="A192" s="152">
        <v>2014</v>
      </c>
      <c r="B192" s="178"/>
      <c r="C192" s="182"/>
      <c r="D192" s="183"/>
      <c r="E192" s="179">
        <f>IFERROR(IF($G$19="Y",$F$19,$AD78)*(SUMIF($H$5:$H$16,"Y",$F$5:$F$16)*(AL27-B27)),0)</f>
        <v>0</v>
      </c>
      <c r="F192" s="183" t="str">
        <f>IFERROR(E192-E191,"")</f>
        <v/>
      </c>
      <c r="G192" s="247">
        <f>E192/(AL27-B27)</f>
        <v>0</v>
      </c>
      <c r="H192" s="245" t="s">
        <v>264</v>
      </c>
      <c r="I192" s="416"/>
      <c r="J192" s="416"/>
      <c r="K192" s="494"/>
      <c r="L192" s="495"/>
      <c r="M192" s="494"/>
      <c r="N192" s="495"/>
      <c r="O192" s="494"/>
      <c r="P192" s="496"/>
      <c r="Q192" s="496"/>
      <c r="R192" s="496"/>
      <c r="S192" s="496"/>
      <c r="T192" s="496"/>
      <c r="W192" s="478">
        <v>2014</v>
      </c>
      <c r="X192" s="479">
        <f>S192</f>
        <v>0</v>
      </c>
      <c r="Y192" s="479">
        <f>T192</f>
        <v>0</v>
      </c>
      <c r="Z192" s="430"/>
      <c r="AA192" s="479"/>
      <c r="AB192" s="479"/>
      <c r="AC192" s="430"/>
      <c r="AD192" s="479">
        <f>X192-AA192</f>
        <v>0</v>
      </c>
      <c r="AE192" s="479">
        <f t="shared" ref="AE192:AE238" si="61">Y192-AB192</f>
        <v>0</v>
      </c>
      <c r="AF192" s="484"/>
      <c r="AH192" s="480" t="str">
        <f t="shared" ref="AH192:AH238" si="62">IFERROR(AA192/X192,"")</f>
        <v/>
      </c>
      <c r="AI192" s="480" t="str">
        <f t="shared" ref="AI192:AI238" si="63">IFERROR(AE192/(AB192+AE192),"")</f>
        <v/>
      </c>
    </row>
    <row r="193" spans="1:35" ht="15.6" x14ac:dyDescent="0.3">
      <c r="A193" s="152">
        <v>2015</v>
      </c>
      <c r="B193" s="178"/>
      <c r="C193" s="182"/>
      <c r="D193" s="183"/>
      <c r="E193" s="179">
        <f t="shared" ref="E193:E238" si="64">IFERROR(IF($G$19="Y",$F$19,$AD79)*(SUMIF($H$5:$H$16,"Y",$F$5:$F$16)*(AL28-B28)),0)</f>
        <v>0</v>
      </c>
      <c r="F193" s="183">
        <f>IFERROR(E193-E192,"")</f>
        <v>0</v>
      </c>
      <c r="G193" s="247">
        <f t="shared" ref="G193:G238" si="65">E193/(AL28-B28)</f>
        <v>0</v>
      </c>
      <c r="H193" s="246"/>
      <c r="I193" s="417"/>
      <c r="J193" s="417"/>
      <c r="K193" s="439"/>
      <c r="L193" s="440"/>
      <c r="M193" s="439"/>
      <c r="N193" s="440"/>
      <c r="O193" s="439">
        <f>IFERROR((E193)*'Emissions Factors'!B12,"")</f>
        <v>0</v>
      </c>
      <c r="P193" s="441"/>
      <c r="Q193" s="441"/>
      <c r="R193" s="441"/>
      <c r="S193" s="441">
        <f t="shared" ref="S193:S238" si="66">SUM(O193:R193)</f>
        <v>0</v>
      </c>
      <c r="T193" s="441">
        <f t="shared" ref="T193:T238" si="67">SUM(K193:N193)</f>
        <v>0</v>
      </c>
      <c r="W193" s="478">
        <v>2015</v>
      </c>
      <c r="X193" s="479">
        <f t="shared" ref="X193:X238" si="68">S193</f>
        <v>0</v>
      </c>
      <c r="Y193" s="479">
        <f t="shared" ref="Y193:Y238" si="69">T193</f>
        <v>0</v>
      </c>
      <c r="Z193" s="430"/>
      <c r="AA193" s="479"/>
      <c r="AB193" s="479"/>
      <c r="AC193" s="430"/>
      <c r="AD193" s="479">
        <f t="shared" ref="AD193:AD238" si="70">X193-AA193</f>
        <v>0</v>
      </c>
      <c r="AE193" s="479">
        <f t="shared" si="61"/>
        <v>0</v>
      </c>
      <c r="AF193" s="484"/>
      <c r="AH193" s="480" t="str">
        <f t="shared" si="62"/>
        <v/>
      </c>
      <c r="AI193" s="480" t="str">
        <f t="shared" si="63"/>
        <v/>
      </c>
    </row>
    <row r="194" spans="1:35" ht="15.6" x14ac:dyDescent="0.3">
      <c r="A194" s="152">
        <v>2016</v>
      </c>
      <c r="B194" s="178"/>
      <c r="C194" s="182"/>
      <c r="D194" s="183"/>
      <c r="E194" s="179">
        <f t="shared" si="64"/>
        <v>0</v>
      </c>
      <c r="F194" s="183">
        <f t="shared" ref="F194" si="71">IFERROR(E194-E193,"")</f>
        <v>0</v>
      </c>
      <c r="G194" s="247">
        <f t="shared" si="65"/>
        <v>0</v>
      </c>
      <c r="H194" s="246"/>
      <c r="I194" s="417"/>
      <c r="J194" s="417"/>
      <c r="K194" s="439"/>
      <c r="L194" s="440"/>
      <c r="M194" s="439"/>
      <c r="N194" s="440"/>
      <c r="O194" s="439">
        <f>IFERROR((E194)*'Emissions Factors'!B13,"")</f>
        <v>0</v>
      </c>
      <c r="P194" s="441"/>
      <c r="Q194" s="441"/>
      <c r="R194" s="441"/>
      <c r="S194" s="441">
        <f t="shared" si="66"/>
        <v>0</v>
      </c>
      <c r="T194" s="441">
        <f t="shared" si="67"/>
        <v>0</v>
      </c>
      <c r="W194" s="478">
        <v>2016</v>
      </c>
      <c r="X194" s="479">
        <f t="shared" si="68"/>
        <v>0</v>
      </c>
      <c r="Y194" s="479">
        <f t="shared" si="69"/>
        <v>0</v>
      </c>
      <c r="Z194" s="430"/>
      <c r="AA194" s="479"/>
      <c r="AB194" s="479"/>
      <c r="AC194" s="430"/>
      <c r="AD194" s="479">
        <f t="shared" si="70"/>
        <v>0</v>
      </c>
      <c r="AE194" s="479">
        <f t="shared" si="61"/>
        <v>0</v>
      </c>
      <c r="AF194" s="484"/>
      <c r="AH194" s="480" t="str">
        <f t="shared" si="62"/>
        <v/>
      </c>
      <c r="AI194" s="480" t="str">
        <f t="shared" si="63"/>
        <v/>
      </c>
    </row>
    <row r="195" spans="1:35" ht="15.6" x14ac:dyDescent="0.3">
      <c r="A195" s="152">
        <v>2017</v>
      </c>
      <c r="B195" s="178"/>
      <c r="C195" s="182"/>
      <c r="D195" s="183"/>
      <c r="E195" s="179">
        <f t="shared" si="64"/>
        <v>0</v>
      </c>
      <c r="F195" s="183">
        <f>IFERROR(E195-E194,"")</f>
        <v>0</v>
      </c>
      <c r="G195" s="247">
        <f t="shared" si="65"/>
        <v>0</v>
      </c>
      <c r="H195" s="246"/>
      <c r="I195" s="417"/>
      <c r="J195" s="417"/>
      <c r="K195" s="439"/>
      <c r="L195" s="440"/>
      <c r="M195" s="439"/>
      <c r="N195" s="440"/>
      <c r="O195" s="439">
        <f>IFERROR((E195)*'Emissions Factors'!B14,"")</f>
        <v>0</v>
      </c>
      <c r="P195" s="441"/>
      <c r="Q195" s="441"/>
      <c r="R195" s="441"/>
      <c r="S195" s="441">
        <f t="shared" si="66"/>
        <v>0</v>
      </c>
      <c r="T195" s="441">
        <f t="shared" si="67"/>
        <v>0</v>
      </c>
      <c r="W195" s="478">
        <v>2017</v>
      </c>
      <c r="X195" s="479">
        <f t="shared" si="68"/>
        <v>0</v>
      </c>
      <c r="Y195" s="479">
        <f t="shared" si="69"/>
        <v>0</v>
      </c>
      <c r="Z195" s="430"/>
      <c r="AA195" s="479"/>
      <c r="AB195" s="479"/>
      <c r="AC195" s="430"/>
      <c r="AD195" s="479">
        <f t="shared" si="70"/>
        <v>0</v>
      </c>
      <c r="AE195" s="479">
        <f t="shared" si="61"/>
        <v>0</v>
      </c>
      <c r="AF195" s="484"/>
      <c r="AH195" s="480" t="str">
        <f t="shared" si="62"/>
        <v/>
      </c>
      <c r="AI195" s="480" t="str">
        <f t="shared" si="63"/>
        <v/>
      </c>
    </row>
    <row r="196" spans="1:35" ht="15.6" x14ac:dyDescent="0.3">
      <c r="A196" s="152">
        <v>2018</v>
      </c>
      <c r="B196" s="178"/>
      <c r="C196" s="182"/>
      <c r="D196" s="183"/>
      <c r="E196" s="179">
        <f t="shared" si="64"/>
        <v>0</v>
      </c>
      <c r="F196" s="183">
        <f t="shared" ref="F196:F238" si="72">IFERROR(E196-E195,"")</f>
        <v>0</v>
      </c>
      <c r="G196" s="247">
        <f t="shared" si="65"/>
        <v>0</v>
      </c>
      <c r="H196" s="246"/>
      <c r="I196" s="417"/>
      <c r="J196" s="417"/>
      <c r="K196" s="439"/>
      <c r="L196" s="440"/>
      <c r="M196" s="439"/>
      <c r="N196" s="440"/>
      <c r="O196" s="439">
        <f>IFERROR((E196)*'Emissions Factors'!B15,"")</f>
        <v>0</v>
      </c>
      <c r="P196" s="441"/>
      <c r="Q196" s="441"/>
      <c r="R196" s="441"/>
      <c r="S196" s="441">
        <f t="shared" si="66"/>
        <v>0</v>
      </c>
      <c r="T196" s="441">
        <f t="shared" si="67"/>
        <v>0</v>
      </c>
      <c r="W196" s="478">
        <v>2018</v>
      </c>
      <c r="X196" s="479">
        <f t="shared" si="68"/>
        <v>0</v>
      </c>
      <c r="Y196" s="479">
        <f t="shared" si="69"/>
        <v>0</v>
      </c>
      <c r="Z196" s="430"/>
      <c r="AA196" s="479"/>
      <c r="AB196" s="479"/>
      <c r="AC196" s="430"/>
      <c r="AD196" s="479">
        <f t="shared" si="70"/>
        <v>0</v>
      </c>
      <c r="AE196" s="479">
        <f t="shared" si="61"/>
        <v>0</v>
      </c>
      <c r="AF196" s="484"/>
      <c r="AH196" s="480" t="str">
        <f t="shared" si="62"/>
        <v/>
      </c>
      <c r="AI196" s="480" t="str">
        <f t="shared" si="63"/>
        <v/>
      </c>
    </row>
    <row r="197" spans="1:35" ht="15.6" x14ac:dyDescent="0.3">
      <c r="A197" s="152">
        <v>2019</v>
      </c>
      <c r="B197" s="178"/>
      <c r="C197" s="182"/>
      <c r="D197" s="183"/>
      <c r="E197" s="179">
        <f t="shared" si="64"/>
        <v>0</v>
      </c>
      <c r="F197" s="183">
        <f t="shared" si="72"/>
        <v>0</v>
      </c>
      <c r="G197" s="247">
        <f t="shared" si="65"/>
        <v>0</v>
      </c>
      <c r="H197" s="246"/>
      <c r="I197" s="417"/>
      <c r="J197" s="417"/>
      <c r="K197" s="439"/>
      <c r="L197" s="440"/>
      <c r="M197" s="439"/>
      <c r="N197" s="440"/>
      <c r="O197" s="439">
        <f>IFERROR((E197)*'Emissions Factors'!B16,"")</f>
        <v>0</v>
      </c>
      <c r="P197" s="441"/>
      <c r="Q197" s="441"/>
      <c r="R197" s="441"/>
      <c r="S197" s="441">
        <f t="shared" si="66"/>
        <v>0</v>
      </c>
      <c r="T197" s="441">
        <f t="shared" si="67"/>
        <v>0</v>
      </c>
      <c r="W197" s="478">
        <v>2019</v>
      </c>
      <c r="X197" s="479">
        <f t="shared" si="68"/>
        <v>0</v>
      </c>
      <c r="Y197" s="479">
        <f t="shared" si="69"/>
        <v>0</v>
      </c>
      <c r="Z197" s="430"/>
      <c r="AA197" s="479"/>
      <c r="AB197" s="479"/>
      <c r="AC197" s="430"/>
      <c r="AD197" s="479">
        <f t="shared" si="70"/>
        <v>0</v>
      </c>
      <c r="AE197" s="479">
        <f t="shared" si="61"/>
        <v>0</v>
      </c>
      <c r="AF197" s="484"/>
      <c r="AH197" s="480" t="str">
        <f t="shared" si="62"/>
        <v/>
      </c>
      <c r="AI197" s="480" t="str">
        <f t="shared" si="63"/>
        <v/>
      </c>
    </row>
    <row r="198" spans="1:35" ht="15.6" x14ac:dyDescent="0.3">
      <c r="A198" s="152">
        <v>2020</v>
      </c>
      <c r="B198" s="178"/>
      <c r="C198" s="182"/>
      <c r="D198" s="183"/>
      <c r="E198" s="179">
        <f t="shared" si="64"/>
        <v>0</v>
      </c>
      <c r="F198" s="183">
        <f t="shared" si="72"/>
        <v>0</v>
      </c>
      <c r="G198" s="247">
        <f t="shared" si="65"/>
        <v>0</v>
      </c>
      <c r="H198" s="246"/>
      <c r="I198" s="417"/>
      <c r="J198" s="417"/>
      <c r="K198" s="439"/>
      <c r="L198" s="440"/>
      <c r="M198" s="439"/>
      <c r="N198" s="440"/>
      <c r="O198" s="439">
        <f>IFERROR((E198)*'Emissions Factors'!B17,"")</f>
        <v>0</v>
      </c>
      <c r="P198" s="441"/>
      <c r="Q198" s="441"/>
      <c r="R198" s="441"/>
      <c r="S198" s="441">
        <f t="shared" si="66"/>
        <v>0</v>
      </c>
      <c r="T198" s="441">
        <f t="shared" si="67"/>
        <v>0</v>
      </c>
      <c r="V198" s="430"/>
      <c r="W198" s="478">
        <v>2020</v>
      </c>
      <c r="X198" s="479">
        <f t="shared" si="68"/>
        <v>0</v>
      </c>
      <c r="Y198" s="479">
        <f t="shared" si="69"/>
        <v>0</v>
      </c>
      <c r="Z198" s="430"/>
      <c r="AA198" s="479"/>
      <c r="AB198" s="479"/>
      <c r="AC198" s="430"/>
      <c r="AD198" s="479">
        <f t="shared" si="70"/>
        <v>0</v>
      </c>
      <c r="AE198" s="479">
        <f t="shared" si="61"/>
        <v>0</v>
      </c>
      <c r="AF198" s="484"/>
      <c r="AH198" s="480" t="str">
        <f t="shared" si="62"/>
        <v/>
      </c>
      <c r="AI198" s="480" t="str">
        <f t="shared" si="63"/>
        <v/>
      </c>
    </row>
    <row r="199" spans="1:35" ht="15.6" x14ac:dyDescent="0.3">
      <c r="A199" s="152">
        <v>2021</v>
      </c>
      <c r="B199" s="178"/>
      <c r="C199" s="182"/>
      <c r="D199" s="183"/>
      <c r="E199" s="179">
        <f t="shared" si="64"/>
        <v>21.475940398094117</v>
      </c>
      <c r="F199" s="183">
        <f t="shared" si="72"/>
        <v>21.475940398094117</v>
      </c>
      <c r="G199" s="247">
        <f t="shared" si="65"/>
        <v>0.59341734552851833</v>
      </c>
      <c r="H199" s="246"/>
      <c r="I199" s="417"/>
      <c r="J199" s="417"/>
      <c r="K199" s="439"/>
      <c r="L199" s="440"/>
      <c r="M199" s="439"/>
      <c r="N199" s="440"/>
      <c r="O199" s="439">
        <f>IFERROR((E199)*'Emissions Factors'!B18,"")</f>
        <v>12.657794935643865</v>
      </c>
      <c r="P199" s="441"/>
      <c r="Q199" s="441"/>
      <c r="R199" s="441"/>
      <c r="S199" s="441">
        <f t="shared" si="66"/>
        <v>12.657794935643865</v>
      </c>
      <c r="T199" s="441">
        <f t="shared" si="67"/>
        <v>0</v>
      </c>
      <c r="V199" s="430"/>
      <c r="W199" s="478">
        <v>2021</v>
      </c>
      <c r="X199" s="479">
        <f t="shared" si="68"/>
        <v>12.657794935643865</v>
      </c>
      <c r="Y199" s="479">
        <f t="shared" si="69"/>
        <v>0</v>
      </c>
      <c r="Z199" s="430"/>
      <c r="AA199" s="479"/>
      <c r="AB199" s="479"/>
      <c r="AC199" s="430"/>
      <c r="AD199" s="479">
        <f t="shared" si="70"/>
        <v>12.657794935643865</v>
      </c>
      <c r="AE199" s="479">
        <f t="shared" si="61"/>
        <v>0</v>
      </c>
      <c r="AF199" s="484"/>
      <c r="AH199" s="480">
        <f t="shared" si="62"/>
        <v>0</v>
      </c>
      <c r="AI199" s="480" t="str">
        <f t="shared" si="63"/>
        <v/>
      </c>
    </row>
    <row r="200" spans="1:35" ht="15.6" x14ac:dyDescent="0.3">
      <c r="A200" s="152">
        <v>2022</v>
      </c>
      <c r="B200" s="178"/>
      <c r="C200" s="182"/>
      <c r="D200" s="183"/>
      <c r="E200" s="179">
        <f t="shared" si="64"/>
        <v>48.18262657911535</v>
      </c>
      <c r="F200" s="183">
        <f t="shared" si="72"/>
        <v>26.706686181021233</v>
      </c>
      <c r="G200" s="247">
        <f t="shared" si="65"/>
        <v>0.58031905380301252</v>
      </c>
      <c r="H200" s="246"/>
      <c r="I200" s="417"/>
      <c r="J200" s="417"/>
      <c r="K200" s="182"/>
      <c r="L200" s="178"/>
      <c r="M200" s="182"/>
      <c r="N200" s="178"/>
      <c r="O200" s="439">
        <f>IFERROR((E200)*'Emissions Factors'!B19,"")</f>
        <v>28.229716234234147</v>
      </c>
      <c r="P200" s="180"/>
      <c r="Q200" s="180"/>
      <c r="R200" s="180"/>
      <c r="S200" s="180">
        <f t="shared" si="66"/>
        <v>28.229716234234147</v>
      </c>
      <c r="T200" s="180">
        <f t="shared" si="67"/>
        <v>0</v>
      </c>
      <c r="V200" s="430"/>
      <c r="W200" s="478">
        <v>2022</v>
      </c>
      <c r="X200" s="479">
        <f t="shared" si="68"/>
        <v>28.229716234234147</v>
      </c>
      <c r="Y200" s="479">
        <f t="shared" si="69"/>
        <v>0</v>
      </c>
      <c r="Z200" s="430"/>
      <c r="AA200" s="479"/>
      <c r="AB200" s="479"/>
      <c r="AC200" s="430"/>
      <c r="AD200" s="479">
        <f t="shared" si="70"/>
        <v>28.229716234234147</v>
      </c>
      <c r="AE200" s="479">
        <f t="shared" si="61"/>
        <v>0</v>
      </c>
      <c r="AF200" s="484"/>
      <c r="AH200" s="480">
        <f t="shared" si="62"/>
        <v>0</v>
      </c>
      <c r="AI200" s="480" t="str">
        <f t="shared" si="63"/>
        <v/>
      </c>
    </row>
    <row r="201" spans="1:35" ht="15.6" x14ac:dyDescent="0.3">
      <c r="A201" s="152">
        <v>2023</v>
      </c>
      <c r="B201" s="178"/>
      <c r="C201" s="182"/>
      <c r="D201" s="183"/>
      <c r="E201" s="179">
        <f t="shared" si="64"/>
        <v>79.635317554504482</v>
      </c>
      <c r="F201" s="183">
        <f t="shared" si="72"/>
        <v>31.452690975389132</v>
      </c>
      <c r="G201" s="247">
        <f t="shared" si="65"/>
        <v>0.57062763934246452</v>
      </c>
      <c r="H201" s="246"/>
      <c r="I201" s="417"/>
      <c r="J201" s="417"/>
      <c r="K201" s="182"/>
      <c r="L201" s="178"/>
      <c r="M201" s="182"/>
      <c r="N201" s="178"/>
      <c r="O201" s="439">
        <f>IFERROR((E201)*'Emissions Factors'!B20,"")</f>
        <v>46.385180747278945</v>
      </c>
      <c r="P201" s="180"/>
      <c r="Q201" s="180"/>
      <c r="R201" s="180"/>
      <c r="S201" s="180">
        <f t="shared" si="66"/>
        <v>46.385180747278945</v>
      </c>
      <c r="T201" s="180">
        <f t="shared" si="67"/>
        <v>0</v>
      </c>
      <c r="V201" s="430"/>
      <c r="W201" s="478">
        <v>2023</v>
      </c>
      <c r="X201" s="479">
        <f t="shared" si="68"/>
        <v>46.385180747278945</v>
      </c>
      <c r="Y201" s="479">
        <f t="shared" si="69"/>
        <v>0</v>
      </c>
      <c r="Z201" s="430"/>
      <c r="AA201" s="479"/>
      <c r="AB201" s="479"/>
      <c r="AC201" s="430"/>
      <c r="AD201" s="479">
        <f t="shared" si="70"/>
        <v>46.385180747278945</v>
      </c>
      <c r="AE201" s="479">
        <f t="shared" si="61"/>
        <v>0</v>
      </c>
      <c r="AF201" s="484"/>
      <c r="AH201" s="480">
        <f t="shared" si="62"/>
        <v>0</v>
      </c>
      <c r="AI201" s="480" t="str">
        <f t="shared" si="63"/>
        <v/>
      </c>
    </row>
    <row r="202" spans="1:35" ht="15.6" x14ac:dyDescent="0.3">
      <c r="A202" s="152">
        <v>2024</v>
      </c>
      <c r="B202" s="178"/>
      <c r="C202" s="182"/>
      <c r="D202" s="183"/>
      <c r="E202" s="179">
        <f t="shared" si="64"/>
        <v>115.64627424726164</v>
      </c>
      <c r="F202" s="183">
        <f t="shared" si="72"/>
        <v>36.010956692757162</v>
      </c>
      <c r="G202" s="247">
        <f t="shared" si="65"/>
        <v>0.56299682945219842</v>
      </c>
      <c r="H202" s="246"/>
      <c r="I202" s="417"/>
      <c r="J202" s="417"/>
      <c r="K202" s="182"/>
      <c r="L202" s="178"/>
      <c r="M202" s="182"/>
      <c r="N202" s="178"/>
      <c r="O202" s="439">
        <f>IFERROR((E202)*'Emissions Factors'!B21,"")</f>
        <v>66.973823006938701</v>
      </c>
      <c r="P202" s="180"/>
      <c r="Q202" s="180"/>
      <c r="R202" s="180"/>
      <c r="S202" s="180">
        <f t="shared" si="66"/>
        <v>66.973823006938701</v>
      </c>
      <c r="T202" s="180">
        <f t="shared" si="67"/>
        <v>0</v>
      </c>
      <c r="V202" s="430"/>
      <c r="W202" s="478">
        <v>2024</v>
      </c>
      <c r="X202" s="479">
        <f t="shared" si="68"/>
        <v>66.973823006938701</v>
      </c>
      <c r="Y202" s="479">
        <f t="shared" si="69"/>
        <v>0</v>
      </c>
      <c r="Z202" s="430"/>
      <c r="AA202" s="479"/>
      <c r="AB202" s="479"/>
      <c r="AC202" s="430"/>
      <c r="AD202" s="479">
        <f>X202-AA202</f>
        <v>66.973823006938701</v>
      </c>
      <c r="AE202" s="479">
        <f t="shared" si="61"/>
        <v>0</v>
      </c>
      <c r="AF202" s="484"/>
      <c r="AH202" s="480">
        <f t="shared" si="62"/>
        <v>0</v>
      </c>
      <c r="AI202" s="480" t="str">
        <f t="shared" si="63"/>
        <v/>
      </c>
    </row>
    <row r="203" spans="1:35" ht="15.6" x14ac:dyDescent="0.3">
      <c r="A203" s="152">
        <v>2025</v>
      </c>
      <c r="B203" s="178"/>
      <c r="C203" s="182"/>
      <c r="D203" s="183"/>
      <c r="E203" s="179">
        <f t="shared" si="64"/>
        <v>156.07105264153597</v>
      </c>
      <c r="F203" s="183">
        <f t="shared" si="72"/>
        <v>40.424778394274327</v>
      </c>
      <c r="G203" s="247">
        <f t="shared" si="65"/>
        <v>0.55673299520282316</v>
      </c>
      <c r="H203" s="246"/>
      <c r="I203" s="417"/>
      <c r="J203" s="417"/>
      <c r="K203" s="182"/>
      <c r="L203" s="178"/>
      <c r="M203" s="182"/>
      <c r="N203" s="178"/>
      <c r="O203" s="439">
        <f>IFERROR((E203)*'Emissions Factors'!B22,"")</f>
        <v>89.925132074255927</v>
      </c>
      <c r="P203" s="180"/>
      <c r="Q203" s="180"/>
      <c r="R203" s="180"/>
      <c r="S203" s="180">
        <f t="shared" si="66"/>
        <v>89.925132074255927</v>
      </c>
      <c r="T203" s="180">
        <f t="shared" si="67"/>
        <v>0</v>
      </c>
      <c r="V203" s="430"/>
      <c r="W203" s="478">
        <v>2025</v>
      </c>
      <c r="X203" s="479">
        <f t="shared" si="68"/>
        <v>89.925132074255927</v>
      </c>
      <c r="Y203" s="479">
        <f t="shared" si="69"/>
        <v>0</v>
      </c>
      <c r="Z203" s="430"/>
      <c r="AA203" s="479"/>
      <c r="AB203" s="479"/>
      <c r="AC203" s="430"/>
      <c r="AD203" s="479">
        <f t="shared" si="70"/>
        <v>89.925132074255927</v>
      </c>
      <c r="AE203" s="479">
        <f t="shared" si="61"/>
        <v>0</v>
      </c>
      <c r="AF203" s="484"/>
      <c r="AH203" s="480">
        <f t="shared" si="62"/>
        <v>0</v>
      </c>
      <c r="AI203" s="480" t="str">
        <f t="shared" si="63"/>
        <v/>
      </c>
    </row>
    <row r="204" spans="1:35" ht="15.6" x14ac:dyDescent="0.3">
      <c r="A204" s="152">
        <v>2026</v>
      </c>
      <c r="B204" s="178"/>
      <c r="C204" s="182"/>
      <c r="D204" s="183"/>
      <c r="E204" s="179">
        <f t="shared" si="64"/>
        <v>200.70798133768469</v>
      </c>
      <c r="F204" s="183">
        <f t="shared" si="72"/>
        <v>44.636928696148715</v>
      </c>
      <c r="G204" s="247">
        <f t="shared" si="65"/>
        <v>0.55139307550319627</v>
      </c>
      <c r="H204" s="246"/>
      <c r="I204" s="417"/>
      <c r="J204" s="417"/>
      <c r="K204" s="182"/>
      <c r="L204" s="178"/>
      <c r="M204" s="182"/>
      <c r="N204" s="178"/>
      <c r="O204" s="439">
        <f>IFERROR((E204)*'Emissions Factors'!B23,"")</f>
        <v>114.93351339352859</v>
      </c>
      <c r="P204" s="180"/>
      <c r="Q204" s="180"/>
      <c r="R204" s="180"/>
      <c r="S204" s="180">
        <f t="shared" si="66"/>
        <v>114.93351339352859</v>
      </c>
      <c r="T204" s="180">
        <f t="shared" si="67"/>
        <v>0</v>
      </c>
      <c r="V204" s="430"/>
      <c r="W204" s="478">
        <v>2026</v>
      </c>
      <c r="X204" s="479">
        <f t="shared" si="68"/>
        <v>114.93351339352859</v>
      </c>
      <c r="Y204" s="479">
        <f t="shared" si="69"/>
        <v>0</v>
      </c>
      <c r="Z204" s="430"/>
      <c r="AA204" s="479"/>
      <c r="AB204" s="479"/>
      <c r="AC204" s="430"/>
      <c r="AD204" s="479">
        <f t="shared" si="70"/>
        <v>114.93351339352859</v>
      </c>
      <c r="AE204" s="479">
        <f t="shared" si="61"/>
        <v>0</v>
      </c>
      <c r="AF204" s="484"/>
      <c r="AH204" s="480">
        <f t="shared" si="62"/>
        <v>0</v>
      </c>
      <c r="AI204" s="480" t="str">
        <f t="shared" si="63"/>
        <v/>
      </c>
    </row>
    <row r="205" spans="1:35" ht="15.6" x14ac:dyDescent="0.3">
      <c r="A205" s="152">
        <v>2027</v>
      </c>
      <c r="B205" s="178"/>
      <c r="C205" s="182"/>
      <c r="D205" s="183"/>
      <c r="E205" s="179">
        <f>IFERROR(IF($G$19="Y",$F$19,$AD91)*(SUMIF($H$5:$H$16,"Y",$F$5:$F$16)*(AL40-B40)),0)</f>
        <v>249.32791801530126</v>
      </c>
      <c r="F205" s="183">
        <f t="shared" si="72"/>
        <v>48.619936677616579</v>
      </c>
      <c r="G205" s="247">
        <f t="shared" si="65"/>
        <v>0.54665941703904997</v>
      </c>
      <c r="H205" s="246"/>
      <c r="I205" s="417"/>
      <c r="J205" s="417"/>
      <c r="K205" s="182"/>
      <c r="L205" s="178"/>
      <c r="M205" s="182"/>
      <c r="N205" s="178"/>
      <c r="O205" s="439">
        <f>IFERROR((E205)*'Emissions Factors'!B24,"")</f>
        <v>141.98842307800018</v>
      </c>
      <c r="P205" s="180"/>
      <c r="Q205" s="180"/>
      <c r="R205" s="180"/>
      <c r="S205" s="180">
        <f t="shared" si="66"/>
        <v>141.98842307800018</v>
      </c>
      <c r="T205" s="180">
        <f t="shared" si="67"/>
        <v>0</v>
      </c>
      <c r="V205" s="430"/>
      <c r="W205" s="478">
        <v>2027</v>
      </c>
      <c r="X205" s="479">
        <f t="shared" si="68"/>
        <v>141.98842307800018</v>
      </c>
      <c r="Y205" s="479">
        <f t="shared" si="69"/>
        <v>0</v>
      </c>
      <c r="Z205" s="430"/>
      <c r="AA205" s="479"/>
      <c r="AB205" s="479"/>
      <c r="AC205" s="430"/>
      <c r="AD205" s="479">
        <f t="shared" si="70"/>
        <v>141.98842307800018</v>
      </c>
      <c r="AE205" s="479">
        <f t="shared" si="61"/>
        <v>0</v>
      </c>
      <c r="AF205" s="484"/>
      <c r="AH205" s="480">
        <f t="shared" si="62"/>
        <v>0</v>
      </c>
      <c r="AI205" s="480" t="str">
        <f t="shared" si="63"/>
        <v/>
      </c>
    </row>
    <row r="206" spans="1:35" ht="15.6" x14ac:dyDescent="0.3">
      <c r="A206" s="152">
        <v>2028</v>
      </c>
      <c r="B206" s="178"/>
      <c r="C206" s="182"/>
      <c r="D206" s="183"/>
      <c r="E206" s="179">
        <f>IFERROR(IF($G$19="Y",$F$19,$AD92)*(SUMIF($H$5:$H$16,"Y",$F$5:$F$16)*(AL41-B41)),0)</f>
        <v>301.85355181269</v>
      </c>
      <c r="F206" s="183">
        <f t="shared" si="72"/>
        <v>52.525633797388736</v>
      </c>
      <c r="G206" s="247">
        <f t="shared" si="65"/>
        <v>0.54230052823294117</v>
      </c>
      <c r="H206" s="246"/>
      <c r="I206" s="417"/>
      <c r="J206" s="417"/>
      <c r="K206" s="182"/>
      <c r="L206" s="178"/>
      <c r="M206" s="182"/>
      <c r="N206" s="178"/>
      <c r="O206" s="439">
        <f>IFERROR((E206)*'Emissions Factors'!B25,"")</f>
        <v>170.96344873794828</v>
      </c>
      <c r="P206" s="180"/>
      <c r="Q206" s="180"/>
      <c r="R206" s="180"/>
      <c r="S206" s="180">
        <f t="shared" si="66"/>
        <v>170.96344873794828</v>
      </c>
      <c r="T206" s="180">
        <f t="shared" si="67"/>
        <v>0</v>
      </c>
      <c r="V206" s="430"/>
      <c r="W206" s="478">
        <v>2028</v>
      </c>
      <c r="X206" s="479">
        <f t="shared" si="68"/>
        <v>170.96344873794828</v>
      </c>
      <c r="Y206" s="479">
        <f t="shared" si="69"/>
        <v>0</v>
      </c>
      <c r="Z206" s="430"/>
      <c r="AA206" s="479"/>
      <c r="AB206" s="479"/>
      <c r="AC206" s="430"/>
      <c r="AD206" s="479">
        <f t="shared" si="70"/>
        <v>170.96344873794828</v>
      </c>
      <c r="AE206" s="479">
        <f t="shared" si="61"/>
        <v>0</v>
      </c>
      <c r="AF206" s="484"/>
      <c r="AH206" s="480">
        <f t="shared" si="62"/>
        <v>0</v>
      </c>
      <c r="AI206" s="480" t="str">
        <f t="shared" si="63"/>
        <v/>
      </c>
    </row>
    <row r="207" spans="1:35" ht="15.6" x14ac:dyDescent="0.3">
      <c r="A207" s="152">
        <v>2029</v>
      </c>
      <c r="B207" s="178"/>
      <c r="C207" s="182"/>
      <c r="D207" s="183"/>
      <c r="E207" s="179">
        <f t="shared" si="64"/>
        <v>358.23736526263673</v>
      </c>
      <c r="F207" s="183">
        <f t="shared" si="72"/>
        <v>56.383813449946729</v>
      </c>
      <c r="G207" s="247">
        <f t="shared" si="65"/>
        <v>0.53814981675962148</v>
      </c>
      <c r="H207" s="246"/>
      <c r="I207" s="417"/>
      <c r="J207" s="417"/>
      <c r="K207" s="182"/>
      <c r="L207" s="178"/>
      <c r="M207" s="182"/>
      <c r="N207" s="178"/>
      <c r="O207" s="439">
        <f>IFERROR((E207)*'Emissions Factors'!B26,"")</f>
        <v>201.80126067672072</v>
      </c>
      <c r="P207" s="180"/>
      <c r="Q207" s="180"/>
      <c r="R207" s="180"/>
      <c r="S207" s="180">
        <f t="shared" si="66"/>
        <v>201.80126067672072</v>
      </c>
      <c r="T207" s="180">
        <f t="shared" si="67"/>
        <v>0</v>
      </c>
      <c r="V207" s="430"/>
      <c r="W207" s="478">
        <v>2029</v>
      </c>
      <c r="X207" s="479">
        <f t="shared" si="68"/>
        <v>201.80126067672072</v>
      </c>
      <c r="Y207" s="479">
        <f t="shared" si="69"/>
        <v>0</v>
      </c>
      <c r="Z207" s="430"/>
      <c r="AA207" s="479"/>
      <c r="AB207" s="479"/>
      <c r="AC207" s="430"/>
      <c r="AD207" s="479">
        <f t="shared" si="70"/>
        <v>201.80126067672072</v>
      </c>
      <c r="AE207" s="479">
        <f t="shared" si="61"/>
        <v>0</v>
      </c>
      <c r="AF207" s="484"/>
      <c r="AH207" s="480">
        <f t="shared" si="62"/>
        <v>0</v>
      </c>
      <c r="AI207" s="480" t="str">
        <f t="shared" si="63"/>
        <v/>
      </c>
    </row>
    <row r="208" spans="1:35" ht="15.6" x14ac:dyDescent="0.3">
      <c r="A208" s="152">
        <v>2030</v>
      </c>
      <c r="B208" s="178"/>
      <c r="C208" s="182"/>
      <c r="D208" s="183"/>
      <c r="E208" s="179">
        <f t="shared" si="64"/>
        <v>418.44270215259849</v>
      </c>
      <c r="F208" s="183">
        <f t="shared" si="72"/>
        <v>60.205336889961757</v>
      </c>
      <c r="G208" s="247">
        <f t="shared" si="65"/>
        <v>0.53411668544769053</v>
      </c>
      <c r="H208" s="246"/>
      <c r="I208" s="417"/>
      <c r="J208" s="417"/>
      <c r="K208" s="182"/>
      <c r="L208" s="178"/>
      <c r="M208" s="182"/>
      <c r="N208" s="178"/>
      <c r="O208" s="439">
        <f>IFERROR((E208)*'Emissions Factors'!B27,"")</f>
        <v>234.50579171681918</v>
      </c>
      <c r="P208" s="180"/>
      <c r="Q208" s="180"/>
      <c r="R208" s="180"/>
      <c r="S208" s="180">
        <f t="shared" si="66"/>
        <v>234.50579171681918</v>
      </c>
      <c r="T208" s="180">
        <f t="shared" si="67"/>
        <v>0</v>
      </c>
      <c r="V208" s="430"/>
      <c r="W208" s="478">
        <v>2030</v>
      </c>
      <c r="X208" s="479">
        <f t="shared" si="68"/>
        <v>234.50579171681918</v>
      </c>
      <c r="Y208" s="479">
        <f t="shared" si="69"/>
        <v>0</v>
      </c>
      <c r="Z208" s="430"/>
      <c r="AA208" s="479"/>
      <c r="AB208" s="479"/>
      <c r="AC208" s="430"/>
      <c r="AD208" s="479">
        <f t="shared" si="70"/>
        <v>234.50579171681918</v>
      </c>
      <c r="AE208" s="479">
        <f t="shared" si="61"/>
        <v>0</v>
      </c>
      <c r="AF208" s="484"/>
      <c r="AH208" s="480">
        <f t="shared" si="62"/>
        <v>0</v>
      </c>
      <c r="AI208" s="480" t="str">
        <f t="shared" si="63"/>
        <v/>
      </c>
    </row>
    <row r="209" spans="1:35" ht="15.6" x14ac:dyDescent="0.3">
      <c r="A209" s="152">
        <v>2031</v>
      </c>
      <c r="B209" s="178"/>
      <c r="C209" s="182"/>
      <c r="D209" s="183"/>
      <c r="E209" s="179">
        <f t="shared" si="64"/>
        <v>482.38470739156696</v>
      </c>
      <c r="F209" s="183">
        <f t="shared" si="72"/>
        <v>63.942005238968477</v>
      </c>
      <c r="G209" s="247">
        <f t="shared" si="65"/>
        <v>0.53019257625758065</v>
      </c>
      <c r="H209" s="246"/>
      <c r="I209" s="417"/>
      <c r="J209" s="417"/>
      <c r="K209" s="182"/>
      <c r="L209" s="178"/>
      <c r="M209" s="182"/>
      <c r="N209" s="178"/>
      <c r="O209" s="439">
        <f>IFERROR((E209)*'Emissions Factors'!B28,"")</f>
        <v>268.83562164706308</v>
      </c>
      <c r="P209" s="180"/>
      <c r="Q209" s="180"/>
      <c r="R209" s="180"/>
      <c r="S209" s="180">
        <f t="shared" si="66"/>
        <v>268.83562164706308</v>
      </c>
      <c r="T209" s="180">
        <f t="shared" si="67"/>
        <v>0</v>
      </c>
      <c r="V209" s="430"/>
      <c r="W209" s="478">
        <v>2031</v>
      </c>
      <c r="X209" s="479">
        <f t="shared" si="68"/>
        <v>268.83562164706308</v>
      </c>
      <c r="Y209" s="479">
        <f t="shared" si="69"/>
        <v>0</v>
      </c>
      <c r="Z209" s="430"/>
      <c r="AA209" s="479"/>
      <c r="AB209" s="479"/>
      <c r="AC209" s="430"/>
      <c r="AD209" s="479">
        <f t="shared" si="70"/>
        <v>268.83562164706308</v>
      </c>
      <c r="AE209" s="479">
        <f t="shared" si="61"/>
        <v>0</v>
      </c>
      <c r="AF209" s="484"/>
      <c r="AH209" s="480">
        <f t="shared" si="62"/>
        <v>0</v>
      </c>
      <c r="AI209" s="480" t="str">
        <f t="shared" si="63"/>
        <v/>
      </c>
    </row>
    <row r="210" spans="1:35" ht="15.6" x14ac:dyDescent="0.3">
      <c r="A210" s="152">
        <v>2032</v>
      </c>
      <c r="B210" s="178"/>
      <c r="C210" s="182"/>
      <c r="D210" s="183"/>
      <c r="E210" s="179">
        <f t="shared" si="64"/>
        <v>549.71392478323071</v>
      </c>
      <c r="F210" s="183">
        <f t="shared" si="72"/>
        <v>67.329217391663747</v>
      </c>
      <c r="G210" s="247">
        <f t="shared" si="65"/>
        <v>0.5263994204346335</v>
      </c>
      <c r="H210" s="246"/>
      <c r="I210" s="417"/>
      <c r="J210" s="417"/>
      <c r="K210" s="182"/>
      <c r="L210" s="178"/>
      <c r="M210" s="182"/>
      <c r="N210" s="178"/>
      <c r="O210" s="439">
        <f>IFERROR((E210)*'Emissions Factors'!B29,"")</f>
        <v>304.73136634613343</v>
      </c>
      <c r="P210" s="180"/>
      <c r="Q210" s="180"/>
      <c r="R210" s="180"/>
      <c r="S210" s="180">
        <f t="shared" si="66"/>
        <v>304.73136634613343</v>
      </c>
      <c r="T210" s="180">
        <f t="shared" si="67"/>
        <v>0</v>
      </c>
      <c r="V210" s="430"/>
      <c r="W210" s="478">
        <v>2032</v>
      </c>
      <c r="X210" s="479">
        <f t="shared" si="68"/>
        <v>304.73136634613343</v>
      </c>
      <c r="Y210" s="479">
        <f t="shared" si="69"/>
        <v>0</v>
      </c>
      <c r="Z210" s="430"/>
      <c r="AA210" s="479"/>
      <c r="AB210" s="479"/>
      <c r="AC210" s="430"/>
      <c r="AD210" s="479">
        <f t="shared" si="70"/>
        <v>304.73136634613343</v>
      </c>
      <c r="AE210" s="479">
        <f t="shared" si="61"/>
        <v>0</v>
      </c>
      <c r="AF210" s="484"/>
      <c r="AH210" s="480">
        <f t="shared" si="62"/>
        <v>0</v>
      </c>
      <c r="AI210" s="480" t="str">
        <f t="shared" si="63"/>
        <v/>
      </c>
    </row>
    <row r="211" spans="1:35" ht="15.6" x14ac:dyDescent="0.3">
      <c r="A211" s="152">
        <v>2033</v>
      </c>
      <c r="B211" s="178"/>
      <c r="C211" s="182"/>
      <c r="D211" s="183"/>
      <c r="E211" s="179">
        <f t="shared" si="64"/>
        <v>619.62463115859111</v>
      </c>
      <c r="F211" s="183">
        <f t="shared" si="72"/>
        <v>69.910706375360405</v>
      </c>
      <c r="G211" s="247">
        <f t="shared" si="65"/>
        <v>0.52276000993668015</v>
      </c>
      <c r="H211" s="246"/>
      <c r="I211" s="417"/>
      <c r="J211" s="417"/>
      <c r="K211" s="182"/>
      <c r="L211" s="178"/>
      <c r="M211" s="182"/>
      <c r="N211" s="178"/>
      <c r="O211" s="439">
        <f>IFERROR((E211)*'Emissions Factors'!B30,"")</f>
        <v>341.66696496206083</v>
      </c>
      <c r="P211" s="180"/>
      <c r="Q211" s="180"/>
      <c r="R211" s="180"/>
      <c r="S211" s="180">
        <f t="shared" si="66"/>
        <v>341.66696496206083</v>
      </c>
      <c r="T211" s="180">
        <f t="shared" si="67"/>
        <v>0</v>
      </c>
      <c r="V211" s="430"/>
      <c r="W211" s="478">
        <v>2033</v>
      </c>
      <c r="X211" s="479">
        <f t="shared" si="68"/>
        <v>341.66696496206083</v>
      </c>
      <c r="Y211" s="479">
        <f t="shared" si="69"/>
        <v>0</v>
      </c>
      <c r="Z211" s="430"/>
      <c r="AA211" s="479"/>
      <c r="AB211" s="479"/>
      <c r="AC211" s="430"/>
      <c r="AD211" s="479">
        <f t="shared" si="70"/>
        <v>341.66696496206083</v>
      </c>
      <c r="AE211" s="479">
        <f t="shared" si="61"/>
        <v>0</v>
      </c>
      <c r="AF211" s="484"/>
      <c r="AH211" s="480">
        <f t="shared" si="62"/>
        <v>0</v>
      </c>
      <c r="AI211" s="480" t="str">
        <f t="shared" si="63"/>
        <v/>
      </c>
    </row>
    <row r="212" spans="1:35" ht="15.6" x14ac:dyDescent="0.3">
      <c r="A212" s="152">
        <v>2034</v>
      </c>
      <c r="B212" s="178"/>
      <c r="C212" s="182"/>
      <c r="D212" s="183"/>
      <c r="E212" s="179">
        <f t="shared" si="64"/>
        <v>691.07159131750427</v>
      </c>
      <c r="F212" s="183">
        <f t="shared" si="72"/>
        <v>71.446960158913157</v>
      </c>
      <c r="G212" s="247">
        <f t="shared" si="65"/>
        <v>0.51928567744648091</v>
      </c>
      <c r="H212" s="246"/>
      <c r="I212" s="417"/>
      <c r="J212" s="417"/>
      <c r="K212" s="182"/>
      <c r="L212" s="178"/>
      <c r="M212" s="182"/>
      <c r="N212" s="178"/>
      <c r="O212" s="439">
        <f>IFERROR((E212)*'Emissions Factors'!B31,"")</f>
        <v>379.04843088518624</v>
      </c>
      <c r="P212" s="180"/>
      <c r="Q212" s="180"/>
      <c r="R212" s="180"/>
      <c r="S212" s="180">
        <f t="shared" si="66"/>
        <v>379.04843088518624</v>
      </c>
      <c r="T212" s="180">
        <f t="shared" si="67"/>
        <v>0</v>
      </c>
      <c r="V212" s="430"/>
      <c r="W212" s="478">
        <v>2034</v>
      </c>
      <c r="X212" s="479">
        <f t="shared" si="68"/>
        <v>379.04843088518624</v>
      </c>
      <c r="Y212" s="479">
        <f t="shared" si="69"/>
        <v>0</v>
      </c>
      <c r="Z212" s="430"/>
      <c r="AA212" s="479"/>
      <c r="AB212" s="479"/>
      <c r="AC212" s="430"/>
      <c r="AD212" s="479">
        <f t="shared" si="70"/>
        <v>379.04843088518624</v>
      </c>
      <c r="AE212" s="479">
        <f t="shared" si="61"/>
        <v>0</v>
      </c>
      <c r="AF212" s="484"/>
      <c r="AH212" s="480">
        <f t="shared" si="62"/>
        <v>0</v>
      </c>
      <c r="AI212" s="480" t="str">
        <f t="shared" si="63"/>
        <v/>
      </c>
    </row>
    <row r="213" spans="1:35" ht="15.6" x14ac:dyDescent="0.3">
      <c r="A213" s="152">
        <v>2035</v>
      </c>
      <c r="B213" s="178"/>
      <c r="C213" s="182"/>
      <c r="D213" s="183"/>
      <c r="E213" s="179">
        <f t="shared" si="64"/>
        <v>763.26363838642715</v>
      </c>
      <c r="F213" s="183">
        <f t="shared" si="72"/>
        <v>72.192047068922875</v>
      </c>
      <c r="G213" s="247">
        <f t="shared" si="65"/>
        <v>0.5159525935478555</v>
      </c>
      <c r="H213" s="246"/>
      <c r="I213" s="417"/>
      <c r="J213" s="417"/>
      <c r="K213" s="182"/>
      <c r="L213" s="178"/>
      <c r="M213" s="182"/>
      <c r="N213" s="178"/>
      <c r="O213" s="439">
        <f>IFERROR((E213)*'Emissions Factors'!B32,"")</f>
        <v>416.37080464511382</v>
      </c>
      <c r="P213" s="180"/>
      <c r="Q213" s="180"/>
      <c r="R213" s="180"/>
      <c r="S213" s="180">
        <f t="shared" si="66"/>
        <v>416.37080464511382</v>
      </c>
      <c r="T213" s="180">
        <f t="shared" si="67"/>
        <v>0</v>
      </c>
      <c r="V213" s="430"/>
      <c r="W213" s="478">
        <v>2035</v>
      </c>
      <c r="X213" s="479">
        <f t="shared" si="68"/>
        <v>416.37080464511382</v>
      </c>
      <c r="Y213" s="479">
        <f t="shared" si="69"/>
        <v>0</v>
      </c>
      <c r="Z213" s="430"/>
      <c r="AA213" s="479"/>
      <c r="AB213" s="479"/>
      <c r="AC213" s="430"/>
      <c r="AD213" s="479">
        <f t="shared" si="70"/>
        <v>416.37080464511382</v>
      </c>
      <c r="AE213" s="479">
        <f t="shared" si="61"/>
        <v>0</v>
      </c>
      <c r="AF213" s="484"/>
      <c r="AH213" s="480">
        <f t="shared" si="62"/>
        <v>0</v>
      </c>
      <c r="AI213" s="480" t="str">
        <f t="shared" si="63"/>
        <v/>
      </c>
    </row>
    <row r="214" spans="1:35" ht="15.6" x14ac:dyDescent="0.3">
      <c r="A214" s="152">
        <v>2036</v>
      </c>
      <c r="B214" s="178"/>
      <c r="C214" s="182"/>
      <c r="D214" s="183"/>
      <c r="E214" s="179">
        <f t="shared" si="64"/>
        <v>835.81095034780662</v>
      </c>
      <c r="F214" s="183">
        <f t="shared" si="72"/>
        <v>72.547311961379478</v>
      </c>
      <c r="G214" s="247">
        <f t="shared" si="65"/>
        <v>0.51270999169212084</v>
      </c>
      <c r="H214" s="246"/>
      <c r="I214" s="417"/>
      <c r="J214" s="417"/>
      <c r="K214" s="182"/>
      <c r="L214" s="178"/>
      <c r="M214" s="182"/>
      <c r="N214" s="178"/>
      <c r="O214" s="439">
        <f>IFERROR((E214)*'Emissions Factors'!B33,"")</f>
        <v>453.58461951720648</v>
      </c>
      <c r="P214" s="180"/>
      <c r="Q214" s="180"/>
      <c r="R214" s="180"/>
      <c r="S214" s="180">
        <f t="shared" si="66"/>
        <v>453.58461951720648</v>
      </c>
      <c r="T214" s="180">
        <f t="shared" si="67"/>
        <v>0</v>
      </c>
      <c r="V214" s="430"/>
      <c r="W214" s="478">
        <v>2036</v>
      </c>
      <c r="X214" s="479">
        <f t="shared" si="68"/>
        <v>453.58461951720648</v>
      </c>
      <c r="Y214" s="479">
        <f t="shared" si="69"/>
        <v>0</v>
      </c>
      <c r="Z214" s="430"/>
      <c r="AA214" s="479"/>
      <c r="AB214" s="479"/>
      <c r="AC214" s="430"/>
      <c r="AD214" s="479">
        <f t="shared" si="70"/>
        <v>453.58461951720648</v>
      </c>
      <c r="AE214" s="479">
        <f t="shared" si="61"/>
        <v>0</v>
      </c>
      <c r="AF214" s="484"/>
      <c r="AH214" s="480">
        <f t="shared" si="62"/>
        <v>0</v>
      </c>
      <c r="AI214" s="480" t="str">
        <f t="shared" si="63"/>
        <v/>
      </c>
    </row>
    <row r="215" spans="1:35" ht="15.6" x14ac:dyDescent="0.3">
      <c r="A215" s="152">
        <v>2037</v>
      </c>
      <c r="B215" s="178"/>
      <c r="C215" s="182"/>
      <c r="D215" s="183"/>
      <c r="E215" s="179">
        <f t="shared" si="64"/>
        <v>908.79407798165744</v>
      </c>
      <c r="F215" s="183">
        <f t="shared" si="72"/>
        <v>72.983127633850813</v>
      </c>
      <c r="G215" s="247">
        <f t="shared" si="65"/>
        <v>0.50950329772966707</v>
      </c>
      <c r="H215" s="246"/>
      <c r="I215" s="417"/>
      <c r="J215" s="417"/>
      <c r="K215" s="182"/>
      <c r="L215" s="178"/>
      <c r="M215" s="182"/>
      <c r="N215" s="178"/>
      <c r="O215" s="439">
        <f>IFERROR((E215)*'Emissions Factors'!B34,"")</f>
        <v>490.56195716932774</v>
      </c>
      <c r="P215" s="180"/>
      <c r="Q215" s="180"/>
      <c r="R215" s="180"/>
      <c r="S215" s="180">
        <f t="shared" si="66"/>
        <v>490.56195716932774</v>
      </c>
      <c r="T215" s="180">
        <f t="shared" si="67"/>
        <v>0</v>
      </c>
      <c r="V215" s="430"/>
      <c r="W215" s="478">
        <v>2037</v>
      </c>
      <c r="X215" s="479">
        <f t="shared" si="68"/>
        <v>490.56195716932774</v>
      </c>
      <c r="Y215" s="479">
        <f t="shared" si="69"/>
        <v>0</v>
      </c>
      <c r="Z215" s="430"/>
      <c r="AA215" s="479"/>
      <c r="AB215" s="479"/>
      <c r="AC215" s="430"/>
      <c r="AD215" s="479">
        <f t="shared" si="70"/>
        <v>490.56195716932774</v>
      </c>
      <c r="AE215" s="479">
        <f t="shared" si="61"/>
        <v>0</v>
      </c>
      <c r="AF215" s="484"/>
      <c r="AH215" s="480">
        <f t="shared" si="62"/>
        <v>0</v>
      </c>
      <c r="AI215" s="480" t="str">
        <f t="shared" si="63"/>
        <v/>
      </c>
    </row>
    <row r="216" spans="1:35" ht="15.6" x14ac:dyDescent="0.3">
      <c r="A216" s="152">
        <v>2038</v>
      </c>
      <c r="B216" s="178"/>
      <c r="C216" s="182"/>
      <c r="D216" s="183"/>
      <c r="E216" s="179">
        <f t="shared" si="64"/>
        <v>982.49613271086207</v>
      </c>
      <c r="F216" s="183">
        <f t="shared" si="72"/>
        <v>73.702054729204633</v>
      </c>
      <c r="G216" s="247">
        <f t="shared" si="65"/>
        <v>0.50629779931876484</v>
      </c>
      <c r="H216" s="246"/>
      <c r="I216" s="417"/>
      <c r="J216" s="417"/>
      <c r="K216" s="182"/>
      <c r="L216" s="178"/>
      <c r="M216" s="182"/>
      <c r="N216" s="178"/>
      <c r="O216" s="439">
        <f>IFERROR((E216)*'Emissions Factors'!B35,"")</f>
        <v>527.50565287402981</v>
      </c>
      <c r="P216" s="180"/>
      <c r="Q216" s="180"/>
      <c r="R216" s="180"/>
      <c r="S216" s="180">
        <f t="shared" si="66"/>
        <v>527.50565287402981</v>
      </c>
      <c r="T216" s="180">
        <f t="shared" si="67"/>
        <v>0</v>
      </c>
      <c r="V216" s="430"/>
      <c r="W216" s="478">
        <v>2038</v>
      </c>
      <c r="X216" s="479">
        <f t="shared" si="68"/>
        <v>527.50565287402981</v>
      </c>
      <c r="Y216" s="479">
        <f t="shared" si="69"/>
        <v>0</v>
      </c>
      <c r="Z216" s="430"/>
      <c r="AA216" s="479"/>
      <c r="AB216" s="479"/>
      <c r="AC216" s="430"/>
      <c r="AD216" s="479">
        <f t="shared" si="70"/>
        <v>527.50565287402981</v>
      </c>
      <c r="AE216" s="479">
        <f t="shared" si="61"/>
        <v>0</v>
      </c>
      <c r="AF216" s="484"/>
      <c r="AH216" s="480">
        <f t="shared" si="62"/>
        <v>0</v>
      </c>
      <c r="AI216" s="480" t="str">
        <f t="shared" si="63"/>
        <v/>
      </c>
    </row>
    <row r="217" spans="1:35" ht="15.6" x14ac:dyDescent="0.3">
      <c r="A217" s="152">
        <v>2039</v>
      </c>
      <c r="B217" s="178"/>
      <c r="C217" s="182"/>
      <c r="D217" s="183"/>
      <c r="E217" s="179">
        <f t="shared" si="64"/>
        <v>1057.4564843854223</v>
      </c>
      <c r="F217" s="183">
        <f t="shared" si="72"/>
        <v>74.960351674560229</v>
      </c>
      <c r="G217" s="247">
        <f t="shared" si="65"/>
        <v>0.50306642770044996</v>
      </c>
      <c r="H217" s="246"/>
      <c r="I217" s="417"/>
      <c r="J217" s="417"/>
      <c r="K217" s="182"/>
      <c r="L217" s="178"/>
      <c r="M217" s="182"/>
      <c r="N217" s="178"/>
      <c r="O217" s="439">
        <f>IFERROR((E217)*'Emissions Factors'!B36,"")</f>
        <v>564.68001459847551</v>
      </c>
      <c r="P217" s="180"/>
      <c r="Q217" s="180"/>
      <c r="R217" s="180"/>
      <c r="S217" s="180">
        <f t="shared" si="66"/>
        <v>564.68001459847551</v>
      </c>
      <c r="T217" s="180">
        <f t="shared" si="67"/>
        <v>0</v>
      </c>
      <c r="V217" s="430"/>
      <c r="W217" s="478">
        <v>2039</v>
      </c>
      <c r="X217" s="479">
        <f t="shared" si="68"/>
        <v>564.68001459847551</v>
      </c>
      <c r="Y217" s="479">
        <f t="shared" si="69"/>
        <v>0</v>
      </c>
      <c r="Z217" s="430"/>
      <c r="AA217" s="479"/>
      <c r="AB217" s="479"/>
      <c r="AC217" s="430"/>
      <c r="AD217" s="479">
        <f t="shared" si="70"/>
        <v>564.68001459847551</v>
      </c>
      <c r="AE217" s="479">
        <f t="shared" si="61"/>
        <v>0</v>
      </c>
      <c r="AF217" s="484"/>
      <c r="AH217" s="480">
        <f t="shared" si="62"/>
        <v>0</v>
      </c>
      <c r="AI217" s="480" t="str">
        <f t="shared" si="63"/>
        <v/>
      </c>
    </row>
    <row r="218" spans="1:35" ht="15.6" x14ac:dyDescent="0.3">
      <c r="A218" s="152">
        <v>2040</v>
      </c>
      <c r="B218" s="178"/>
      <c r="C218" s="182"/>
      <c r="D218" s="183"/>
      <c r="E218" s="179">
        <f t="shared" si="64"/>
        <v>1134.1253963734173</v>
      </c>
      <c r="F218" s="183">
        <f t="shared" si="72"/>
        <v>76.668911987994989</v>
      </c>
      <c r="G218" s="247">
        <f t="shared" si="65"/>
        <v>0.49979119446049985</v>
      </c>
      <c r="H218" s="246"/>
      <c r="I218" s="417"/>
      <c r="J218" s="417"/>
      <c r="K218" s="182"/>
      <c r="L218" s="178"/>
      <c r="M218" s="182"/>
      <c r="N218" s="178"/>
      <c r="O218" s="439">
        <f>IFERROR((E218)*'Emissions Factors'!B37,"")</f>
        <v>602.08469934176742</v>
      </c>
      <c r="P218" s="180"/>
      <c r="Q218" s="180"/>
      <c r="R218" s="180"/>
      <c r="S218" s="180">
        <f t="shared" si="66"/>
        <v>602.08469934176742</v>
      </c>
      <c r="T218" s="180">
        <f t="shared" si="67"/>
        <v>0</v>
      </c>
      <c r="V218" s="430"/>
      <c r="W218" s="478">
        <v>2040</v>
      </c>
      <c r="X218" s="479">
        <f t="shared" si="68"/>
        <v>602.08469934176742</v>
      </c>
      <c r="Y218" s="479">
        <f t="shared" si="69"/>
        <v>0</v>
      </c>
      <c r="Z218" s="430"/>
      <c r="AA218" s="479"/>
      <c r="AB218" s="479"/>
      <c r="AC218" s="430"/>
      <c r="AD218" s="479">
        <f t="shared" si="70"/>
        <v>602.08469934176742</v>
      </c>
      <c r="AE218" s="479">
        <f t="shared" si="61"/>
        <v>0</v>
      </c>
      <c r="AF218" s="484"/>
      <c r="AH218" s="480">
        <f t="shared" si="62"/>
        <v>0</v>
      </c>
      <c r="AI218" s="480" t="str">
        <f t="shared" si="63"/>
        <v/>
      </c>
    </row>
    <row r="219" spans="1:35" ht="15.6" x14ac:dyDescent="0.3">
      <c r="A219" s="152">
        <v>2041</v>
      </c>
      <c r="B219" s="178"/>
      <c r="C219" s="182"/>
      <c r="D219" s="183"/>
      <c r="E219" s="179">
        <f t="shared" si="64"/>
        <v>1212.5940499159885</v>
      </c>
      <c r="F219" s="183">
        <f t="shared" si="72"/>
        <v>78.468653542571246</v>
      </c>
      <c r="G219" s="247">
        <f t="shared" si="65"/>
        <v>0.49646891632430351</v>
      </c>
      <c r="H219" s="246"/>
      <c r="I219" s="417"/>
      <c r="J219" s="417"/>
      <c r="K219" s="182"/>
      <c r="L219" s="178"/>
      <c r="M219" s="182"/>
      <c r="N219" s="178"/>
      <c r="O219" s="439">
        <f>IFERROR((E219)*'Emissions Factors'!B38,"")</f>
        <v>640.47405445421691</v>
      </c>
      <c r="P219" s="180"/>
      <c r="Q219" s="180"/>
      <c r="R219" s="180"/>
      <c r="S219" s="180">
        <f t="shared" si="66"/>
        <v>640.47405445421691</v>
      </c>
      <c r="T219" s="180">
        <f t="shared" si="67"/>
        <v>0</v>
      </c>
      <c r="V219" s="430"/>
      <c r="W219" s="478">
        <v>2041</v>
      </c>
      <c r="X219" s="479">
        <f t="shared" si="68"/>
        <v>640.47405445421691</v>
      </c>
      <c r="Y219" s="479">
        <f t="shared" si="69"/>
        <v>0</v>
      </c>
      <c r="Z219" s="430"/>
      <c r="AA219" s="479"/>
      <c r="AB219" s="479"/>
      <c r="AC219" s="430"/>
      <c r="AD219" s="479">
        <f t="shared" si="70"/>
        <v>640.47405445421691</v>
      </c>
      <c r="AE219" s="479">
        <f t="shared" si="61"/>
        <v>0</v>
      </c>
      <c r="AF219" s="484"/>
      <c r="AH219" s="480">
        <f t="shared" si="62"/>
        <v>0</v>
      </c>
      <c r="AI219" s="480" t="str">
        <f t="shared" si="63"/>
        <v/>
      </c>
    </row>
    <row r="220" spans="1:35" ht="15.6" x14ac:dyDescent="0.3">
      <c r="A220" s="152">
        <v>2042</v>
      </c>
      <c r="B220" s="178"/>
      <c r="C220" s="182"/>
      <c r="D220" s="183"/>
      <c r="E220" s="179">
        <f t="shared" si="64"/>
        <v>1292.8381224535983</v>
      </c>
      <c r="F220" s="183">
        <f t="shared" si="72"/>
        <v>80.244072537609782</v>
      </c>
      <c r="G220" s="247">
        <f t="shared" si="65"/>
        <v>0.49308999747574922</v>
      </c>
      <c r="H220" s="246"/>
      <c r="I220" s="417"/>
      <c r="J220" s="417"/>
      <c r="K220" s="182"/>
      <c r="L220" s="178"/>
      <c r="M220" s="182"/>
      <c r="N220" s="178"/>
      <c r="O220" s="439">
        <f>IFERROR((E220)*'Emissions Factors'!B39,"")</f>
        <v>679.08710557283803</v>
      </c>
      <c r="P220" s="180"/>
      <c r="Q220" s="180"/>
      <c r="R220" s="180"/>
      <c r="S220" s="180">
        <f t="shared" si="66"/>
        <v>679.08710557283803</v>
      </c>
      <c r="T220" s="180">
        <f t="shared" si="67"/>
        <v>0</v>
      </c>
      <c r="V220" s="430"/>
      <c r="W220" s="478">
        <v>2042</v>
      </c>
      <c r="X220" s="479">
        <f t="shared" si="68"/>
        <v>679.08710557283803</v>
      </c>
      <c r="Y220" s="479">
        <f t="shared" si="69"/>
        <v>0</v>
      </c>
      <c r="Z220" s="430"/>
      <c r="AA220" s="479"/>
      <c r="AB220" s="479"/>
      <c r="AC220" s="430"/>
      <c r="AD220" s="479">
        <f t="shared" si="70"/>
        <v>679.08710557283803</v>
      </c>
      <c r="AE220" s="479">
        <f t="shared" si="61"/>
        <v>0</v>
      </c>
      <c r="AF220" s="484"/>
      <c r="AH220" s="480">
        <f t="shared" si="62"/>
        <v>0</v>
      </c>
      <c r="AI220" s="480" t="str">
        <f t="shared" si="63"/>
        <v/>
      </c>
    </row>
    <row r="221" spans="1:35" ht="15.6" x14ac:dyDescent="0.3">
      <c r="A221" s="152">
        <v>2043</v>
      </c>
      <c r="B221" s="178"/>
      <c r="C221" s="182"/>
      <c r="D221" s="183"/>
      <c r="E221" s="179">
        <f t="shared" si="64"/>
        <v>1375.1060142283163</v>
      </c>
      <c r="F221" s="183">
        <f t="shared" si="72"/>
        <v>82.267891774718009</v>
      </c>
      <c r="G221" s="247">
        <f t="shared" si="65"/>
        <v>0.48963386859024122</v>
      </c>
      <c r="H221" s="246"/>
      <c r="I221" s="417"/>
      <c r="J221" s="417"/>
      <c r="K221" s="182"/>
      <c r="L221" s="178"/>
      <c r="M221" s="182"/>
      <c r="N221" s="178"/>
      <c r="O221" s="439">
        <f>IFERROR((E221)*'Emissions Factors'!B40,"")</f>
        <v>718.26993075088751</v>
      </c>
      <c r="P221" s="180"/>
      <c r="Q221" s="180"/>
      <c r="R221" s="180"/>
      <c r="S221" s="180">
        <f t="shared" si="66"/>
        <v>718.26993075088751</v>
      </c>
      <c r="T221" s="180">
        <f t="shared" si="67"/>
        <v>0</v>
      </c>
      <c r="V221" s="430"/>
      <c r="W221" s="478">
        <v>2043</v>
      </c>
      <c r="X221" s="479">
        <f t="shared" si="68"/>
        <v>718.26993075088751</v>
      </c>
      <c r="Y221" s="479">
        <f t="shared" si="69"/>
        <v>0</v>
      </c>
      <c r="Z221" s="430"/>
      <c r="AA221" s="479"/>
      <c r="AB221" s="479"/>
      <c r="AC221" s="430"/>
      <c r="AD221" s="479">
        <f t="shared" si="70"/>
        <v>718.26993075088751</v>
      </c>
      <c r="AE221" s="479">
        <f t="shared" si="61"/>
        <v>0</v>
      </c>
      <c r="AF221" s="484"/>
      <c r="AH221" s="480">
        <f t="shared" si="62"/>
        <v>0</v>
      </c>
      <c r="AI221" s="480" t="str">
        <f t="shared" si="63"/>
        <v/>
      </c>
    </row>
    <row r="222" spans="1:35" ht="15.6" x14ac:dyDescent="0.3">
      <c r="A222" s="152">
        <v>2044</v>
      </c>
      <c r="B222" s="178"/>
      <c r="C222" s="182"/>
      <c r="D222" s="183"/>
      <c r="E222" s="179">
        <f t="shared" si="64"/>
        <v>1459.6823371561968</v>
      </c>
      <c r="F222" s="183">
        <f t="shared" si="72"/>
        <v>84.576322927880483</v>
      </c>
      <c r="G222" s="247">
        <f t="shared" si="65"/>
        <v>0.48608028333902781</v>
      </c>
      <c r="H222" s="246"/>
      <c r="I222" s="417"/>
      <c r="J222" s="417"/>
      <c r="K222" s="182"/>
      <c r="L222" s="178"/>
      <c r="M222" s="182"/>
      <c r="N222" s="178"/>
      <c r="O222" s="439">
        <f>IFERROR((E222)*'Emissions Factors'!B41,"")</f>
        <v>758.14459521771744</v>
      </c>
      <c r="P222" s="180"/>
      <c r="Q222" s="180"/>
      <c r="R222" s="180"/>
      <c r="S222" s="180">
        <f t="shared" si="66"/>
        <v>758.14459521771744</v>
      </c>
      <c r="T222" s="180">
        <f t="shared" si="67"/>
        <v>0</v>
      </c>
      <c r="V222" s="430"/>
      <c r="W222" s="478">
        <v>2044</v>
      </c>
      <c r="X222" s="479">
        <f t="shared" si="68"/>
        <v>758.14459521771744</v>
      </c>
      <c r="Y222" s="479">
        <f t="shared" si="69"/>
        <v>0</v>
      </c>
      <c r="Z222" s="430"/>
      <c r="AA222" s="479"/>
      <c r="AB222" s="479"/>
      <c r="AC222" s="430"/>
      <c r="AD222" s="479">
        <f t="shared" si="70"/>
        <v>758.14459521771744</v>
      </c>
      <c r="AE222" s="479">
        <f t="shared" si="61"/>
        <v>0</v>
      </c>
      <c r="AF222" s="484"/>
      <c r="AH222" s="480">
        <f t="shared" si="62"/>
        <v>0</v>
      </c>
      <c r="AI222" s="480" t="str">
        <f t="shared" si="63"/>
        <v/>
      </c>
    </row>
    <row r="223" spans="1:35" ht="15.6" x14ac:dyDescent="0.3">
      <c r="A223" s="152">
        <v>2045</v>
      </c>
      <c r="B223" s="178"/>
      <c r="C223" s="182"/>
      <c r="D223" s="183"/>
      <c r="E223" s="179">
        <f t="shared" si="64"/>
        <v>1546.8356692417969</v>
      </c>
      <c r="F223" s="183">
        <f t="shared" si="72"/>
        <v>87.153332085600141</v>
      </c>
      <c r="G223" s="247">
        <f t="shared" si="65"/>
        <v>0.48242235369414072</v>
      </c>
      <c r="H223" s="246"/>
      <c r="I223" s="417"/>
      <c r="J223" s="417"/>
      <c r="K223" s="182"/>
      <c r="L223" s="178"/>
      <c r="M223" s="182"/>
      <c r="N223" s="178"/>
      <c r="O223" s="439">
        <f>IFERROR((E223)*'Emissions Factors'!B42,"")</f>
        <v>798.6562878441772</v>
      </c>
      <c r="P223" s="180"/>
      <c r="Q223" s="180"/>
      <c r="R223" s="180"/>
      <c r="S223" s="180">
        <f t="shared" si="66"/>
        <v>798.6562878441772</v>
      </c>
      <c r="T223" s="180">
        <f t="shared" si="67"/>
        <v>0</v>
      </c>
      <c r="V223" s="430"/>
      <c r="W223" s="478">
        <v>2045</v>
      </c>
      <c r="X223" s="479">
        <f t="shared" si="68"/>
        <v>798.6562878441772</v>
      </c>
      <c r="Y223" s="479">
        <f t="shared" si="69"/>
        <v>0</v>
      </c>
      <c r="Z223" s="430"/>
      <c r="AA223" s="479"/>
      <c r="AB223" s="479"/>
      <c r="AC223" s="430"/>
      <c r="AD223" s="479">
        <f t="shared" si="70"/>
        <v>798.6562878441772</v>
      </c>
      <c r="AE223" s="479">
        <f t="shared" si="61"/>
        <v>0</v>
      </c>
      <c r="AF223" s="484"/>
      <c r="AH223" s="480">
        <f t="shared" si="62"/>
        <v>0</v>
      </c>
      <c r="AI223" s="480" t="str">
        <f t="shared" si="63"/>
        <v/>
      </c>
    </row>
    <row r="224" spans="1:35" ht="15.6" x14ac:dyDescent="0.3">
      <c r="A224" s="152">
        <v>2046</v>
      </c>
      <c r="B224" s="178"/>
      <c r="C224" s="182"/>
      <c r="D224" s="183"/>
      <c r="E224" s="179">
        <f t="shared" si="64"/>
        <v>1636.7539869610773</v>
      </c>
      <c r="F224" s="183">
        <f t="shared" si="72"/>
        <v>89.918317719280367</v>
      </c>
      <c r="G224" s="247">
        <f t="shared" si="65"/>
        <v>0.47867144069929424</v>
      </c>
      <c r="H224" s="246"/>
      <c r="I224" s="417"/>
      <c r="J224" s="417"/>
      <c r="K224" s="182"/>
      <c r="L224" s="178"/>
      <c r="M224" s="182"/>
      <c r="N224" s="178"/>
      <c r="O224" s="439">
        <f>IFERROR((E224)*'Emissions Factors'!B43,"")</f>
        <v>840.36075539767262</v>
      </c>
      <c r="P224" s="180"/>
      <c r="Q224" s="180"/>
      <c r="R224" s="180"/>
      <c r="S224" s="180">
        <f t="shared" si="66"/>
        <v>840.36075539767262</v>
      </c>
      <c r="T224" s="180">
        <f t="shared" si="67"/>
        <v>0</v>
      </c>
      <c r="V224" s="430"/>
      <c r="W224" s="478">
        <v>2046</v>
      </c>
      <c r="X224" s="479">
        <f t="shared" si="68"/>
        <v>840.36075539767262</v>
      </c>
      <c r="Y224" s="479">
        <f t="shared" si="69"/>
        <v>0</v>
      </c>
      <c r="Z224" s="430"/>
      <c r="AA224" s="479"/>
      <c r="AB224" s="479"/>
      <c r="AC224" s="430"/>
      <c r="AD224" s="479">
        <f t="shared" si="70"/>
        <v>840.36075539767262</v>
      </c>
      <c r="AE224" s="479">
        <f t="shared" si="61"/>
        <v>0</v>
      </c>
      <c r="AF224" s="484"/>
      <c r="AH224" s="480">
        <f t="shared" si="62"/>
        <v>0</v>
      </c>
      <c r="AI224" s="480" t="str">
        <f t="shared" si="63"/>
        <v/>
      </c>
    </row>
    <row r="225" spans="1:35" ht="15.6" x14ac:dyDescent="0.3">
      <c r="A225" s="152">
        <v>2047</v>
      </c>
      <c r="B225" s="178"/>
      <c r="C225" s="182"/>
      <c r="D225" s="183"/>
      <c r="E225" s="179">
        <f t="shared" si="64"/>
        <v>1729.6138453114772</v>
      </c>
      <c r="F225" s="183">
        <f t="shared" si="72"/>
        <v>92.859858350399918</v>
      </c>
      <c r="G225" s="247">
        <f t="shared" si="65"/>
        <v>0.47484230929403076</v>
      </c>
      <c r="H225" s="246"/>
      <c r="I225" s="417"/>
      <c r="J225" s="417"/>
      <c r="K225" s="182"/>
      <c r="L225" s="178"/>
      <c r="M225" s="182"/>
      <c r="N225" s="178"/>
      <c r="O225" s="439">
        <f>IFERROR((E225)*'Emissions Factors'!B44,"")</f>
        <v>882.81979372010994</v>
      </c>
      <c r="P225" s="180"/>
      <c r="Q225" s="180"/>
      <c r="R225" s="180"/>
      <c r="S225" s="180">
        <f t="shared" si="66"/>
        <v>882.81979372010994</v>
      </c>
      <c r="T225" s="180">
        <f t="shared" si="67"/>
        <v>0</v>
      </c>
      <c r="V225" s="430"/>
      <c r="W225" s="478">
        <v>2047</v>
      </c>
      <c r="X225" s="479">
        <f t="shared" si="68"/>
        <v>882.81979372010994</v>
      </c>
      <c r="Y225" s="479">
        <f t="shared" si="69"/>
        <v>0</v>
      </c>
      <c r="Z225" s="430"/>
      <c r="AA225" s="479"/>
      <c r="AB225" s="479"/>
      <c r="AC225" s="430"/>
      <c r="AD225" s="479">
        <f t="shared" si="70"/>
        <v>882.81979372010994</v>
      </c>
      <c r="AE225" s="479">
        <f t="shared" si="61"/>
        <v>0</v>
      </c>
      <c r="AF225" s="484"/>
      <c r="AH225" s="480">
        <f t="shared" si="62"/>
        <v>0</v>
      </c>
      <c r="AI225" s="480" t="str">
        <f t="shared" si="63"/>
        <v/>
      </c>
    </row>
    <row r="226" spans="1:35" ht="15.6" x14ac:dyDescent="0.3">
      <c r="A226" s="152">
        <v>2048</v>
      </c>
      <c r="B226" s="178"/>
      <c r="C226" s="182"/>
      <c r="D226" s="183"/>
      <c r="E226" s="179">
        <f t="shared" si="64"/>
        <v>1825.6603795839148</v>
      </c>
      <c r="F226" s="183">
        <f t="shared" si="72"/>
        <v>96.046534272437611</v>
      </c>
      <c r="G226" s="247">
        <f t="shared" si="65"/>
        <v>0.47094050174225244</v>
      </c>
      <c r="H226" s="246"/>
      <c r="I226" s="417"/>
      <c r="J226" s="417"/>
      <c r="K226" s="182"/>
      <c r="L226" s="178"/>
      <c r="M226" s="182"/>
      <c r="N226" s="178"/>
      <c r="O226" s="439">
        <f>IFERROR((E226)*'Emissions Factors'!B45,"")</f>
        <v>926.28280604149779</v>
      </c>
      <c r="P226" s="180"/>
      <c r="Q226" s="180"/>
      <c r="R226" s="180"/>
      <c r="S226" s="180">
        <f t="shared" si="66"/>
        <v>926.28280604149779</v>
      </c>
      <c r="T226" s="180">
        <f t="shared" si="67"/>
        <v>0</v>
      </c>
      <c r="V226" s="430"/>
      <c r="W226" s="478">
        <v>2048</v>
      </c>
      <c r="X226" s="479">
        <f t="shared" si="68"/>
        <v>926.28280604149779</v>
      </c>
      <c r="Y226" s="479">
        <f t="shared" si="69"/>
        <v>0</v>
      </c>
      <c r="Z226" s="430"/>
      <c r="AA226" s="479"/>
      <c r="AB226" s="479"/>
      <c r="AC226" s="430"/>
      <c r="AD226" s="479">
        <f t="shared" si="70"/>
        <v>926.28280604149779</v>
      </c>
      <c r="AE226" s="479">
        <f t="shared" si="61"/>
        <v>0</v>
      </c>
      <c r="AF226" s="484"/>
      <c r="AH226" s="480">
        <f t="shared" si="62"/>
        <v>0</v>
      </c>
      <c r="AI226" s="480" t="str">
        <f t="shared" si="63"/>
        <v/>
      </c>
    </row>
    <row r="227" spans="1:35" ht="15.6" x14ac:dyDescent="0.3">
      <c r="A227" s="152">
        <v>2049</v>
      </c>
      <c r="B227" s="178"/>
      <c r="C227" s="182"/>
      <c r="D227" s="183"/>
      <c r="E227" s="179">
        <f t="shared" si="64"/>
        <v>1925.1553766593001</v>
      </c>
      <c r="F227" s="183">
        <f t="shared" si="72"/>
        <v>99.494997075385299</v>
      </c>
      <c r="G227" s="247">
        <f t="shared" si="65"/>
        <v>0.46697321887770898</v>
      </c>
      <c r="H227" s="246"/>
      <c r="I227" s="417"/>
      <c r="J227" s="417"/>
      <c r="K227" s="182"/>
      <c r="L227" s="178"/>
      <c r="M227" s="182"/>
      <c r="N227" s="178"/>
      <c r="O227" s="439">
        <f>IFERROR((E227)*'Emissions Factors'!B46,"")</f>
        <v>971.72885961883753</v>
      </c>
      <c r="P227" s="180"/>
      <c r="Q227" s="180"/>
      <c r="R227" s="180"/>
      <c r="S227" s="180">
        <f t="shared" si="66"/>
        <v>971.72885961883753</v>
      </c>
      <c r="T227" s="180">
        <f t="shared" si="67"/>
        <v>0</v>
      </c>
      <c r="V227" s="430"/>
      <c r="W227" s="478">
        <v>2049</v>
      </c>
      <c r="X227" s="479">
        <f t="shared" si="68"/>
        <v>971.72885961883753</v>
      </c>
      <c r="Y227" s="479">
        <f t="shared" si="69"/>
        <v>0</v>
      </c>
      <c r="Z227" s="430"/>
      <c r="AA227" s="479"/>
      <c r="AB227" s="479"/>
      <c r="AC227" s="430"/>
      <c r="AD227" s="479">
        <f t="shared" si="70"/>
        <v>971.72885961883753</v>
      </c>
      <c r="AE227" s="479">
        <f t="shared" si="61"/>
        <v>0</v>
      </c>
      <c r="AF227" s="484"/>
      <c r="AH227" s="480">
        <f t="shared" si="62"/>
        <v>0</v>
      </c>
      <c r="AI227" s="480" t="str">
        <f t="shared" si="63"/>
        <v/>
      </c>
    </row>
    <row r="228" spans="1:35" ht="15.6" x14ac:dyDescent="0.3">
      <c r="A228" s="152">
        <v>2050</v>
      </c>
      <c r="B228" s="178"/>
      <c r="C228" s="182"/>
      <c r="D228" s="183"/>
      <c r="E228" s="179">
        <f t="shared" si="64"/>
        <v>2028.3371216385644</v>
      </c>
      <c r="F228" s="183">
        <f t="shared" si="72"/>
        <v>103.18174497926429</v>
      </c>
      <c r="G228" s="247">
        <f t="shared" si="65"/>
        <v>0.46295220138288878</v>
      </c>
      <c r="H228" s="246"/>
      <c r="I228" s="417"/>
      <c r="J228" s="417"/>
      <c r="K228" s="182"/>
      <c r="L228" s="178"/>
      <c r="M228" s="182"/>
      <c r="N228" s="178"/>
      <c r="O228" s="439">
        <f>IFERROR((E228)*'Emissions Factors'!B47,"")</f>
        <v>1020.2893978172599</v>
      </c>
      <c r="P228" s="180"/>
      <c r="Q228" s="180"/>
      <c r="R228" s="180"/>
      <c r="S228" s="180">
        <f t="shared" si="66"/>
        <v>1020.2893978172599</v>
      </c>
      <c r="T228" s="180">
        <f t="shared" si="67"/>
        <v>0</v>
      </c>
      <c r="V228" s="430"/>
      <c r="W228" s="478">
        <v>2050</v>
      </c>
      <c r="X228" s="479">
        <f t="shared" si="68"/>
        <v>1020.2893978172599</v>
      </c>
      <c r="Y228" s="479">
        <f t="shared" si="69"/>
        <v>0</v>
      </c>
      <c r="Z228" s="430"/>
      <c r="AA228" s="479"/>
      <c r="AB228" s="479"/>
      <c r="AC228" s="430"/>
      <c r="AD228" s="479">
        <f t="shared" si="70"/>
        <v>1020.2893978172599</v>
      </c>
      <c r="AE228" s="479">
        <f t="shared" si="61"/>
        <v>0</v>
      </c>
      <c r="AF228" s="484"/>
      <c r="AH228" s="480">
        <f t="shared" si="62"/>
        <v>0</v>
      </c>
      <c r="AI228" s="480" t="str">
        <f t="shared" si="63"/>
        <v/>
      </c>
    </row>
    <row r="229" spans="1:35" ht="15.6" x14ac:dyDescent="0.3">
      <c r="A229" s="152">
        <v>2051</v>
      </c>
      <c r="B229" s="178"/>
      <c r="C229" s="182"/>
      <c r="D229" s="183"/>
      <c r="E229" s="179">
        <f t="shared" si="64"/>
        <v>2135.3980365775683</v>
      </c>
      <c r="F229" s="183">
        <f t="shared" si="72"/>
        <v>107.06091493900385</v>
      </c>
      <c r="G229" s="247">
        <f t="shared" si="65"/>
        <v>0.45889164168801588</v>
      </c>
      <c r="H229" s="246"/>
      <c r="I229" s="417"/>
      <c r="J229" s="417"/>
      <c r="K229" s="182"/>
      <c r="L229" s="178"/>
      <c r="M229" s="182"/>
      <c r="N229" s="178"/>
      <c r="O229" s="439">
        <f>IFERROR((E229)*'Emissions Factors'!B48,"")</f>
        <v>1070.0374874985828</v>
      </c>
      <c r="P229" s="180"/>
      <c r="Q229" s="180"/>
      <c r="R229" s="180"/>
      <c r="S229" s="180">
        <f t="shared" si="66"/>
        <v>1070.0374874985828</v>
      </c>
      <c r="T229" s="180">
        <f t="shared" si="67"/>
        <v>0</v>
      </c>
      <c r="W229" s="478">
        <v>2051</v>
      </c>
      <c r="X229" s="479">
        <f t="shared" si="68"/>
        <v>1070.0374874985828</v>
      </c>
      <c r="Y229" s="479">
        <f t="shared" si="69"/>
        <v>0</v>
      </c>
      <c r="Z229" s="430"/>
      <c r="AA229" s="479"/>
      <c r="AB229" s="479"/>
      <c r="AC229" s="430"/>
      <c r="AD229" s="479">
        <f t="shared" si="70"/>
        <v>1070.0374874985828</v>
      </c>
      <c r="AE229" s="479">
        <f t="shared" si="61"/>
        <v>0</v>
      </c>
      <c r="AF229" s="484"/>
      <c r="AH229" s="480">
        <f t="shared" si="62"/>
        <v>0</v>
      </c>
      <c r="AI229" s="480" t="str">
        <f t="shared" si="63"/>
        <v/>
      </c>
    </row>
    <row r="230" spans="1:35" ht="15.6" x14ac:dyDescent="0.3">
      <c r="A230" s="152">
        <v>2052</v>
      </c>
      <c r="B230" s="178"/>
      <c r="C230" s="182"/>
      <c r="D230" s="183"/>
      <c r="E230" s="179">
        <f t="shared" si="64"/>
        <v>2246.4979657156027</v>
      </c>
      <c r="F230" s="183">
        <f t="shared" si="72"/>
        <v>111.09992913803444</v>
      </c>
      <c r="G230" s="247">
        <f t="shared" si="65"/>
        <v>0.45481046840024336</v>
      </c>
      <c r="H230" s="246"/>
      <c r="I230" s="417"/>
      <c r="J230" s="417"/>
      <c r="K230" s="182"/>
      <c r="L230" s="178"/>
      <c r="M230" s="182"/>
      <c r="N230" s="178"/>
      <c r="O230" s="439">
        <f>IFERROR((E230)*'Emissions Factors'!B49,"")</f>
        <v>1121.5522958611896</v>
      </c>
      <c r="P230" s="180"/>
      <c r="Q230" s="180"/>
      <c r="R230" s="180"/>
      <c r="S230" s="180">
        <f t="shared" si="66"/>
        <v>1121.5522958611896</v>
      </c>
      <c r="T230" s="180">
        <f t="shared" si="67"/>
        <v>0</v>
      </c>
      <c r="W230" s="478">
        <v>2052</v>
      </c>
      <c r="X230" s="479">
        <f t="shared" si="68"/>
        <v>1121.5522958611896</v>
      </c>
      <c r="Y230" s="479">
        <f t="shared" si="69"/>
        <v>0</v>
      </c>
      <c r="Z230" s="430"/>
      <c r="AA230" s="479"/>
      <c r="AB230" s="479"/>
      <c r="AC230" s="430"/>
      <c r="AD230" s="479">
        <f t="shared" si="70"/>
        <v>1121.5522958611896</v>
      </c>
      <c r="AE230" s="479">
        <f t="shared" si="61"/>
        <v>0</v>
      </c>
      <c r="AF230" s="484"/>
      <c r="AH230" s="480">
        <f t="shared" si="62"/>
        <v>0</v>
      </c>
      <c r="AI230" s="480" t="str">
        <f t="shared" si="63"/>
        <v/>
      </c>
    </row>
    <row r="231" spans="1:35" ht="15.6" x14ac:dyDescent="0.3">
      <c r="A231" s="152">
        <v>2053</v>
      </c>
      <c r="B231" s="178"/>
      <c r="C231" s="182"/>
      <c r="D231" s="183"/>
      <c r="E231" s="179">
        <f t="shared" si="64"/>
        <v>2361.8047542771228</v>
      </c>
      <c r="F231" s="183">
        <f t="shared" si="72"/>
        <v>115.30678856152008</v>
      </c>
      <c r="G231" s="247">
        <f t="shared" si="65"/>
        <v>0.45073118206497009</v>
      </c>
      <c r="H231" s="246"/>
      <c r="I231" s="417"/>
      <c r="J231" s="417"/>
      <c r="K231" s="182"/>
      <c r="L231" s="178"/>
      <c r="M231" s="182"/>
      <c r="N231" s="178"/>
      <c r="O231" s="439">
        <f>IFERROR((E231)*'Emissions Factors'!B50,"")</f>
        <v>1174.6568445294135</v>
      </c>
      <c r="P231" s="180"/>
      <c r="Q231" s="180"/>
      <c r="R231" s="180"/>
      <c r="S231" s="180">
        <f t="shared" si="66"/>
        <v>1174.6568445294135</v>
      </c>
      <c r="T231" s="180">
        <f t="shared" si="67"/>
        <v>0</v>
      </c>
      <c r="W231" s="478">
        <v>2053</v>
      </c>
      <c r="X231" s="479">
        <f t="shared" si="68"/>
        <v>1174.6568445294135</v>
      </c>
      <c r="Y231" s="479">
        <f t="shared" si="69"/>
        <v>0</v>
      </c>
      <c r="Z231" s="430"/>
      <c r="AA231" s="479"/>
      <c r="AB231" s="479"/>
      <c r="AC231" s="430"/>
      <c r="AD231" s="479">
        <f t="shared" si="70"/>
        <v>1174.6568445294135</v>
      </c>
      <c r="AE231" s="479">
        <f t="shared" si="61"/>
        <v>0</v>
      </c>
      <c r="AF231" s="484"/>
      <c r="AH231" s="480">
        <f t="shared" si="62"/>
        <v>0</v>
      </c>
      <c r="AI231" s="480" t="str">
        <f t="shared" si="63"/>
        <v/>
      </c>
    </row>
    <row r="232" spans="1:35" ht="15.6" x14ac:dyDescent="0.3">
      <c r="A232" s="152">
        <v>2054</v>
      </c>
      <c r="B232" s="178"/>
      <c r="C232" s="182"/>
      <c r="D232" s="183"/>
      <c r="E232" s="179">
        <f t="shared" si="64"/>
        <v>2481.4675731627099</v>
      </c>
      <c r="F232" s="183">
        <f t="shared" si="72"/>
        <v>119.66281888558706</v>
      </c>
      <c r="G232" s="247">
        <f t="shared" si="65"/>
        <v>0.44667598037164641</v>
      </c>
      <c r="H232" s="246"/>
      <c r="I232" s="417"/>
      <c r="J232" s="417"/>
      <c r="K232" s="182"/>
      <c r="L232" s="178"/>
      <c r="M232" s="182"/>
      <c r="N232" s="178"/>
      <c r="O232" s="439">
        <f>IFERROR((E232)*'Emissions Factors'!B51,"")</f>
        <v>1229.3829395903226</v>
      </c>
      <c r="P232" s="180"/>
      <c r="Q232" s="180"/>
      <c r="R232" s="180"/>
      <c r="S232" s="180">
        <f t="shared" si="66"/>
        <v>1229.3829395903226</v>
      </c>
      <c r="T232" s="180">
        <f t="shared" si="67"/>
        <v>0</v>
      </c>
      <c r="W232" s="478">
        <v>2054</v>
      </c>
      <c r="X232" s="479">
        <f t="shared" si="68"/>
        <v>1229.3829395903226</v>
      </c>
      <c r="Y232" s="479">
        <f t="shared" si="69"/>
        <v>0</v>
      </c>
      <c r="Z232" s="430"/>
      <c r="AA232" s="479"/>
      <c r="AB232" s="479"/>
      <c r="AC232" s="430"/>
      <c r="AD232" s="479">
        <f t="shared" si="70"/>
        <v>1229.3829395903226</v>
      </c>
      <c r="AE232" s="479">
        <f t="shared" si="61"/>
        <v>0</v>
      </c>
      <c r="AF232" s="484"/>
      <c r="AH232" s="480">
        <f t="shared" si="62"/>
        <v>0</v>
      </c>
      <c r="AI232" s="480" t="str">
        <f t="shared" si="63"/>
        <v/>
      </c>
    </row>
    <row r="233" spans="1:35" ht="15.6" x14ac:dyDescent="0.3">
      <c r="A233" s="152">
        <v>2055</v>
      </c>
      <c r="B233" s="178"/>
      <c r="C233" s="182"/>
      <c r="D233" s="183"/>
      <c r="E233" s="179">
        <f t="shared" si="64"/>
        <v>2605.6273058847687</v>
      </c>
      <c r="F233" s="183">
        <f t="shared" si="72"/>
        <v>124.15973272205883</v>
      </c>
      <c r="G233" s="247">
        <f t="shared" si="65"/>
        <v>0.4426618341072564</v>
      </c>
      <c r="H233" s="246"/>
      <c r="I233" s="417"/>
      <c r="J233" s="417"/>
      <c r="K233" s="182"/>
      <c r="L233" s="178"/>
      <c r="M233" s="182"/>
      <c r="N233" s="178"/>
      <c r="O233" s="439">
        <f>IFERROR((E233)*'Emissions Factors'!B52,"")</f>
        <v>1285.6484034829396</v>
      </c>
      <c r="P233" s="180"/>
      <c r="Q233" s="180"/>
      <c r="R233" s="180"/>
      <c r="S233" s="180">
        <f t="shared" si="66"/>
        <v>1285.6484034829396</v>
      </c>
      <c r="T233" s="180">
        <f t="shared" si="67"/>
        <v>0</v>
      </c>
      <c r="W233" s="478">
        <v>2055</v>
      </c>
      <c r="X233" s="479">
        <f t="shared" si="68"/>
        <v>1285.6484034829396</v>
      </c>
      <c r="Y233" s="479">
        <f t="shared" si="69"/>
        <v>0</v>
      </c>
      <c r="Z233" s="430"/>
      <c r="AA233" s="479"/>
      <c r="AB233" s="479"/>
      <c r="AC233" s="430"/>
      <c r="AD233" s="479">
        <f t="shared" si="70"/>
        <v>1285.6484034829396</v>
      </c>
      <c r="AE233" s="479">
        <f t="shared" si="61"/>
        <v>0</v>
      </c>
      <c r="AF233" s="484"/>
      <c r="AH233" s="480">
        <f t="shared" si="62"/>
        <v>0</v>
      </c>
      <c r="AI233" s="480" t="str">
        <f t="shared" si="63"/>
        <v/>
      </c>
    </row>
    <row r="234" spans="1:35" ht="15.6" x14ac:dyDescent="0.3">
      <c r="A234" s="152">
        <v>2056</v>
      </c>
      <c r="B234" s="178"/>
      <c r="C234" s="182"/>
      <c r="D234" s="183"/>
      <c r="E234" s="179">
        <f t="shared" si="64"/>
        <v>2734.4435839631624</v>
      </c>
      <c r="F234" s="183">
        <f t="shared" si="72"/>
        <v>128.81627807839368</v>
      </c>
      <c r="G234" s="247">
        <f t="shared" si="65"/>
        <v>0.43869482016414307</v>
      </c>
      <c r="H234" s="246"/>
      <c r="I234" s="417"/>
      <c r="J234" s="417"/>
      <c r="K234" s="182"/>
      <c r="L234" s="178"/>
      <c r="M234" s="182"/>
      <c r="N234" s="178"/>
      <c r="O234" s="439">
        <f>IFERROR((E234)*'Emissions Factors'!B53,"")</f>
        <v>1343.8056508807604</v>
      </c>
      <c r="P234" s="180"/>
      <c r="Q234" s="180"/>
      <c r="R234" s="180"/>
      <c r="S234" s="180">
        <f t="shared" si="66"/>
        <v>1343.8056508807604</v>
      </c>
      <c r="T234" s="180">
        <f t="shared" si="67"/>
        <v>0</v>
      </c>
      <c r="W234" s="478">
        <v>2056</v>
      </c>
      <c r="X234" s="479">
        <f t="shared" si="68"/>
        <v>1343.8056508807604</v>
      </c>
      <c r="Y234" s="479">
        <f t="shared" si="69"/>
        <v>0</v>
      </c>
      <c r="Z234" s="430"/>
      <c r="AA234" s="479"/>
      <c r="AB234" s="479"/>
      <c r="AC234" s="430"/>
      <c r="AD234" s="479">
        <f t="shared" si="70"/>
        <v>1343.8056508807604</v>
      </c>
      <c r="AE234" s="479">
        <f t="shared" si="61"/>
        <v>0</v>
      </c>
      <c r="AF234" s="484"/>
      <c r="AH234" s="480">
        <f t="shared" si="62"/>
        <v>0</v>
      </c>
      <c r="AI234" s="480" t="str">
        <f t="shared" si="63"/>
        <v/>
      </c>
    </row>
    <row r="235" spans="1:35" ht="15.6" x14ac:dyDescent="0.3">
      <c r="A235" s="152">
        <v>2057</v>
      </c>
      <c r="B235" s="178"/>
      <c r="C235" s="182"/>
      <c r="D235" s="183"/>
      <c r="E235" s="179">
        <f t="shared" si="64"/>
        <v>2868.0422737270346</v>
      </c>
      <c r="F235" s="183">
        <f t="shared" si="72"/>
        <v>133.59868976387224</v>
      </c>
      <c r="G235" s="247">
        <f t="shared" si="65"/>
        <v>0.43478042609819334</v>
      </c>
      <c r="H235" s="246"/>
      <c r="I235" s="417"/>
      <c r="J235" s="417"/>
      <c r="K235" s="182"/>
      <c r="L235" s="178"/>
      <c r="M235" s="182"/>
      <c r="N235" s="178"/>
      <c r="O235" s="439">
        <f>IFERROR((E235)*'Emissions Factors'!B54,"")</f>
        <v>1403.5451222883025</v>
      </c>
      <c r="P235" s="180"/>
      <c r="Q235" s="180"/>
      <c r="R235" s="180"/>
      <c r="S235" s="180">
        <f t="shared" si="66"/>
        <v>1403.5451222883025</v>
      </c>
      <c r="T235" s="180">
        <f t="shared" si="67"/>
        <v>0</v>
      </c>
      <c r="W235" s="478">
        <v>2057</v>
      </c>
      <c r="X235" s="479">
        <f t="shared" si="68"/>
        <v>1403.5451222883025</v>
      </c>
      <c r="Y235" s="479">
        <f t="shared" si="69"/>
        <v>0</v>
      </c>
      <c r="Z235" s="430"/>
      <c r="AA235" s="479"/>
      <c r="AB235" s="479"/>
      <c r="AC235" s="430"/>
      <c r="AD235" s="479">
        <f t="shared" si="70"/>
        <v>1403.5451222883025</v>
      </c>
      <c r="AE235" s="479">
        <f t="shared" si="61"/>
        <v>0</v>
      </c>
      <c r="AF235" s="484"/>
      <c r="AH235" s="480">
        <f t="shared" si="62"/>
        <v>0</v>
      </c>
      <c r="AI235" s="480" t="str">
        <f t="shared" si="63"/>
        <v/>
      </c>
    </row>
    <row r="236" spans="1:35" ht="15.6" x14ac:dyDescent="0.3">
      <c r="A236" s="152">
        <v>2058</v>
      </c>
      <c r="B236" s="178"/>
      <c r="C236" s="182"/>
      <c r="D236" s="183"/>
      <c r="E236" s="179">
        <f t="shared" si="64"/>
        <v>3006.4646564103114</v>
      </c>
      <c r="F236" s="183">
        <f t="shared" si="72"/>
        <v>138.42238268327674</v>
      </c>
      <c r="G236" s="247">
        <f t="shared" si="65"/>
        <v>0.43092905765296707</v>
      </c>
      <c r="H236" s="246"/>
      <c r="I236" s="417"/>
      <c r="J236" s="417"/>
      <c r="K236" s="182"/>
      <c r="L236" s="178"/>
      <c r="M236" s="182"/>
      <c r="N236" s="178"/>
      <c r="O236" s="439">
        <f>IFERROR((E236)*'Emissions Factors'!B55,"")</f>
        <v>1464.9413736793472</v>
      </c>
      <c r="P236" s="180"/>
      <c r="Q236" s="180"/>
      <c r="R236" s="180"/>
      <c r="S236" s="180">
        <f t="shared" si="66"/>
        <v>1464.9413736793472</v>
      </c>
      <c r="T236" s="180">
        <f t="shared" si="67"/>
        <v>0</v>
      </c>
      <c r="W236" s="478">
        <v>2058</v>
      </c>
      <c r="X236" s="479">
        <f t="shared" si="68"/>
        <v>1464.9413736793472</v>
      </c>
      <c r="Y236" s="479">
        <f t="shared" si="69"/>
        <v>0</v>
      </c>
      <c r="Z236" s="430"/>
      <c r="AA236" s="479"/>
      <c r="AB236" s="479"/>
      <c r="AC236" s="430"/>
      <c r="AD236" s="479">
        <f t="shared" si="70"/>
        <v>1464.9413736793472</v>
      </c>
      <c r="AE236" s="479">
        <f t="shared" si="61"/>
        <v>0</v>
      </c>
      <c r="AF236" s="484"/>
      <c r="AH236" s="480">
        <f t="shared" si="62"/>
        <v>0</v>
      </c>
      <c r="AI236" s="480" t="str">
        <f t="shared" si="63"/>
        <v/>
      </c>
    </row>
    <row r="237" spans="1:35" ht="15.6" x14ac:dyDescent="0.3">
      <c r="A237" s="152">
        <v>2059</v>
      </c>
      <c r="B237" s="178"/>
      <c r="C237" s="182"/>
      <c r="D237" s="183"/>
      <c r="E237" s="179">
        <f t="shared" si="64"/>
        <v>3149.7107344163387</v>
      </c>
      <c r="F237" s="183">
        <f t="shared" si="72"/>
        <v>143.24607800602735</v>
      </c>
      <c r="G237" s="247">
        <f t="shared" si="65"/>
        <v>0.42715016601942962</v>
      </c>
      <c r="H237" s="246"/>
      <c r="I237" s="417"/>
      <c r="J237" s="417"/>
      <c r="K237" s="182"/>
      <c r="L237" s="178"/>
      <c r="M237" s="182"/>
      <c r="N237" s="178"/>
      <c r="O237" s="439">
        <f>IFERROR((E237)*'Emissions Factors'!B56,"")</f>
        <v>1527.9396263160247</v>
      </c>
      <c r="P237" s="180"/>
      <c r="Q237" s="180"/>
      <c r="R237" s="180"/>
      <c r="S237" s="180">
        <f t="shared" si="66"/>
        <v>1527.9396263160247</v>
      </c>
      <c r="T237" s="180">
        <f t="shared" si="67"/>
        <v>0</v>
      </c>
      <c r="W237" s="478">
        <v>2059</v>
      </c>
      <c r="X237" s="479">
        <f t="shared" si="68"/>
        <v>1527.9396263160247</v>
      </c>
      <c r="Y237" s="479">
        <f t="shared" si="69"/>
        <v>0</v>
      </c>
      <c r="Z237" s="430"/>
      <c r="AA237" s="479"/>
      <c r="AB237" s="479"/>
      <c r="AC237" s="430"/>
      <c r="AD237" s="479">
        <f t="shared" si="70"/>
        <v>1527.9396263160247</v>
      </c>
      <c r="AE237" s="479">
        <f t="shared" si="61"/>
        <v>0</v>
      </c>
      <c r="AF237" s="484"/>
      <c r="AH237" s="480">
        <f t="shared" si="62"/>
        <v>0</v>
      </c>
      <c r="AI237" s="480" t="str">
        <f t="shared" si="63"/>
        <v/>
      </c>
    </row>
    <row r="238" spans="1:35" ht="15.6" x14ac:dyDescent="0.3">
      <c r="A238" s="152">
        <v>2060</v>
      </c>
      <c r="B238" s="178"/>
      <c r="C238" s="182"/>
      <c r="D238" s="183"/>
      <c r="E238" s="179">
        <f t="shared" si="64"/>
        <v>3297.7960919019597</v>
      </c>
      <c r="F238" s="183">
        <f t="shared" si="72"/>
        <v>148.08535748562099</v>
      </c>
      <c r="G238" s="247">
        <f t="shared" si="65"/>
        <v>0.42344797785119231</v>
      </c>
      <c r="H238" s="246"/>
      <c r="I238" s="417"/>
      <c r="J238" s="417"/>
      <c r="K238" s="182"/>
      <c r="L238" s="178"/>
      <c r="M238" s="182"/>
      <c r="N238" s="178"/>
      <c r="O238" s="439">
        <f>IFERROR((E238)*'Emissions Factors'!B57,"")</f>
        <v>1593.0236995956705</v>
      </c>
      <c r="P238" s="180"/>
      <c r="Q238" s="180"/>
      <c r="R238" s="180"/>
      <c r="S238" s="180">
        <f t="shared" si="66"/>
        <v>1593.0236995956705</v>
      </c>
      <c r="T238" s="180">
        <f t="shared" si="67"/>
        <v>0</v>
      </c>
      <c r="W238" s="478">
        <v>2060</v>
      </c>
      <c r="X238" s="479">
        <f t="shared" si="68"/>
        <v>1593.0236995956705</v>
      </c>
      <c r="Y238" s="479">
        <f t="shared" si="69"/>
        <v>0</v>
      </c>
      <c r="Z238" s="430"/>
      <c r="AA238" s="479"/>
      <c r="AB238" s="479"/>
      <c r="AC238" s="430"/>
      <c r="AD238" s="479">
        <f t="shared" si="70"/>
        <v>1593.0236995956705</v>
      </c>
      <c r="AE238" s="479">
        <f t="shared" si="61"/>
        <v>0</v>
      </c>
      <c r="AF238" s="484"/>
      <c r="AH238" s="480">
        <f t="shared" si="62"/>
        <v>0</v>
      </c>
      <c r="AI238" s="480" t="str">
        <f t="shared" si="63"/>
        <v/>
      </c>
    </row>
    <row r="239" spans="1:35" x14ac:dyDescent="0.25">
      <c r="A239" s="13"/>
      <c r="B239" s="13"/>
      <c r="C239" s="13"/>
      <c r="D239" s="13"/>
      <c r="E239" s="13"/>
      <c r="F239" s="13"/>
      <c r="G239" s="13"/>
      <c r="H239" s="13"/>
      <c r="I239" s="13"/>
      <c r="J239" s="13"/>
    </row>
    <row r="242" ht="13.95" customHeight="1" x14ac:dyDescent="0.25"/>
    <row r="257" spans="12:19" x14ac:dyDescent="0.25">
      <c r="L257" s="170"/>
      <c r="M257" s="170"/>
      <c r="S257" s="170"/>
    </row>
    <row r="258" spans="12:19" x14ac:dyDescent="0.25">
      <c r="L258" s="170"/>
      <c r="M258" s="170"/>
      <c r="S258" s="170"/>
    </row>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ht="13.8" thickBot="1" x14ac:dyDescent="0.3">
      <c r="L280" s="209"/>
      <c r="M280" s="209"/>
      <c r="S280" s="209"/>
    </row>
    <row r="291" spans="1:13" x14ac:dyDescent="0.25">
      <c r="A291" s="13"/>
      <c r="B291" s="13"/>
      <c r="C291" s="13"/>
      <c r="D291" s="13"/>
      <c r="E291" s="13"/>
      <c r="F291" s="13"/>
      <c r="G291" s="13"/>
      <c r="H291" s="13"/>
      <c r="I291" s="13"/>
      <c r="J291" s="13"/>
      <c r="K291" s="13"/>
    </row>
    <row r="300" spans="1:13" ht="13.8" thickBot="1" x14ac:dyDescent="0.3"/>
    <row r="301" spans="1:13" x14ac:dyDescent="0.25">
      <c r="L301" s="202"/>
      <c r="M301" s="202"/>
    </row>
    <row r="302" spans="1:13" x14ac:dyDescent="0.25">
      <c r="L302" s="170"/>
      <c r="M302" s="170"/>
    </row>
    <row r="303" spans="1:13" x14ac:dyDescent="0.25">
      <c r="L303" s="170"/>
      <c r="M303" s="170"/>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c r="AC310" s="251"/>
    </row>
    <row r="311" spans="12:29" x14ac:dyDescent="0.25">
      <c r="L311" s="170"/>
      <c r="M311" s="170"/>
      <c r="AC311" s="251"/>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ht="13.8" thickBot="1" x14ac:dyDescent="0.3">
      <c r="L331" s="209"/>
      <c r="M331" s="209"/>
      <c r="AC331" s="251"/>
    </row>
    <row r="332" spans="12:29" x14ac:dyDescent="0.25">
      <c r="AC332" s="251"/>
    </row>
    <row r="333" spans="12:29" x14ac:dyDescent="0.25">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sheetData>
  <mergeCells count="66">
    <mergeCell ref="W189:Y189"/>
    <mergeCell ref="AA189:AB189"/>
    <mergeCell ref="AD189:AE189"/>
    <mergeCell ref="AH189:AI189"/>
    <mergeCell ref="K190:N190"/>
    <mergeCell ref="O190:R190"/>
    <mergeCell ref="S190:T190"/>
    <mergeCell ref="X190:Y190"/>
    <mergeCell ref="AA190:AB190"/>
    <mergeCell ref="AD190:AE190"/>
    <mergeCell ref="AH190:AI190"/>
    <mergeCell ref="O189:R189"/>
    <mergeCell ref="S189:T189"/>
    <mergeCell ref="B189:D189"/>
    <mergeCell ref="E189:H189"/>
    <mergeCell ref="K189:N189"/>
    <mergeCell ref="B188:H188"/>
    <mergeCell ref="K188:T188"/>
    <mergeCell ref="W188:AE188"/>
    <mergeCell ref="A76:F76"/>
    <mergeCell ref="A23:K23"/>
    <mergeCell ref="A24:K24"/>
    <mergeCell ref="H76:T76"/>
    <mergeCell ref="W76:AD76"/>
    <mergeCell ref="R129:AA129"/>
    <mergeCell ref="AE131:AH131"/>
    <mergeCell ref="B129:H129"/>
    <mergeCell ref="B130:D130"/>
    <mergeCell ref="E130:H130"/>
    <mergeCell ref="AK23:AU23"/>
    <mergeCell ref="AK24:AU24"/>
    <mergeCell ref="AR129:AZ129"/>
    <mergeCell ref="AE129:AN129"/>
    <mergeCell ref="V130:Y130"/>
    <mergeCell ref="Y24:AI24"/>
    <mergeCell ref="M23:W23"/>
    <mergeCell ref="M24:W24"/>
    <mergeCell ref="AV130:AW130"/>
    <mergeCell ref="AE130:AH130"/>
    <mergeCell ref="AI130:AL130"/>
    <mergeCell ref="I1:T1"/>
    <mergeCell ref="L15:O16"/>
    <mergeCell ref="J129:P129"/>
    <mergeCell ref="V131:Y131"/>
    <mergeCell ref="R130:U130"/>
    <mergeCell ref="R131:U131"/>
    <mergeCell ref="J130:L130"/>
    <mergeCell ref="M130:P130"/>
    <mergeCell ref="Y23:AI23"/>
    <mergeCell ref="E3:F3"/>
    <mergeCell ref="L2:O2"/>
    <mergeCell ref="L4:L5"/>
    <mergeCell ref="L7:L8"/>
    <mergeCell ref="L11:L12"/>
    <mergeCell ref="BC131:BD131"/>
    <mergeCell ref="AV131:AW131"/>
    <mergeCell ref="AY131:AZ131"/>
    <mergeCell ref="Z131:AA131"/>
    <mergeCell ref="Z130:AA130"/>
    <mergeCell ref="AS131:AT131"/>
    <mergeCell ref="AR130:AT130"/>
    <mergeCell ref="AI131:AL131"/>
    <mergeCell ref="AM131:AN131"/>
    <mergeCell ref="AM130:AN130"/>
    <mergeCell ref="AY130:AZ130"/>
    <mergeCell ref="BC130:BD130"/>
  </mergeCells>
  <dataValidations disablePrompts="1" count="1">
    <dataValidation type="list" allowBlank="1" showInputMessage="1" showErrorMessage="1" sqref="G5:H16 G19 C25:G25">
      <formula1>"Y,N"</formula1>
    </dataValidation>
  </dataValidation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rgb="FFFFC000"/>
  </sheetPr>
  <dimension ref="A1:EG183"/>
  <sheetViews>
    <sheetView showGridLines="0" topLeftCell="E1" zoomScale="96" zoomScaleNormal="96" zoomScalePageLayoutView="80" workbookViewId="0">
      <selection activeCell="W66" sqref="W66"/>
    </sheetView>
  </sheetViews>
  <sheetFormatPr defaultColWidth="8.796875" defaultRowHeight="13.2" x14ac:dyDescent="0.25"/>
  <cols>
    <col min="1" max="1" width="33.796875" style="153" bestFit="1" customWidth="1"/>
    <col min="2" max="2" width="18.796875" style="153" customWidth="1"/>
    <col min="3" max="4" width="22.69921875" style="153"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20" width="8.796875" style="153"/>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Electricity_cluster_mdc</v>
      </c>
      <c r="B1" s="156"/>
      <c r="C1" s="669" t="s">
        <v>297</v>
      </c>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3.2270088048016587</v>
      </c>
      <c r="O2" s="165" t="s">
        <v>208</v>
      </c>
    </row>
    <row r="3" spans="1:137" ht="12.75" customHeight="1" x14ac:dyDescent="0.25">
      <c r="A3" s="153" t="s">
        <v>212</v>
      </c>
      <c r="B3" s="234">
        <v>2020</v>
      </c>
      <c r="D3" s="248" t="s">
        <v>61</v>
      </c>
      <c r="E3" s="249">
        <v>0.39276519099913759</v>
      </c>
      <c r="F3" s="167" t="s">
        <v>211</v>
      </c>
      <c r="G3" s="167" t="s">
        <v>213</v>
      </c>
      <c r="I3" s="618"/>
      <c r="J3" s="618"/>
      <c r="K3" s="618"/>
      <c r="L3" s="618"/>
      <c r="M3" s="166"/>
      <c r="N3" s="164">
        <f ca="1">SUM(OFFSET(O27,B3-2015,0,B4-B3+1,4))/1000</f>
        <v>13.693547803022955</v>
      </c>
      <c r="O3" s="165" t="s">
        <v>209</v>
      </c>
      <c r="Q3" s="165"/>
      <c r="S3" s="671" t="s">
        <v>210</v>
      </c>
      <c r="T3" s="671"/>
      <c r="U3" s="671"/>
      <c r="V3" s="671"/>
      <c r="W3" s="671"/>
    </row>
    <row r="4" spans="1:137" ht="13.8" x14ac:dyDescent="0.25">
      <c r="A4" s="153" t="s">
        <v>215</v>
      </c>
      <c r="B4" s="234">
        <v>2050</v>
      </c>
      <c r="D4" s="248" t="s">
        <v>23</v>
      </c>
      <c r="E4" s="249">
        <v>0.22722085296507805</v>
      </c>
      <c r="F4" s="167" t="s">
        <v>211</v>
      </c>
      <c r="G4" s="167" t="s">
        <v>213</v>
      </c>
      <c r="I4" s="168"/>
      <c r="J4" s="168"/>
      <c r="K4" s="168"/>
      <c r="L4" s="168"/>
      <c r="M4" s="168"/>
      <c r="N4" s="168"/>
      <c r="S4" s="671"/>
      <c r="T4" s="671"/>
      <c r="U4" s="671"/>
      <c r="V4" s="671"/>
      <c r="W4" s="671"/>
    </row>
    <row r="5" spans="1:137" ht="12.75" customHeight="1" x14ac:dyDescent="0.25">
      <c r="D5" s="248" t="s">
        <v>250</v>
      </c>
      <c r="E5" s="249">
        <v>0.10448690657434809</v>
      </c>
      <c r="F5" s="167" t="s">
        <v>213</v>
      </c>
      <c r="G5" s="167" t="s">
        <v>211</v>
      </c>
      <c r="I5" s="618" t="s">
        <v>214</v>
      </c>
      <c r="J5" s="618"/>
      <c r="K5" s="618"/>
      <c r="L5" s="618"/>
      <c r="M5" s="169"/>
      <c r="N5" s="164">
        <f>SUM(J27:M72)/1000</f>
        <v>6.3411288497465961</v>
      </c>
      <c r="O5" s="165" t="s">
        <v>208</v>
      </c>
      <c r="S5" s="671"/>
      <c r="T5" s="671"/>
      <c r="U5" s="671"/>
      <c r="V5" s="671"/>
      <c r="W5" s="671"/>
    </row>
    <row r="6" spans="1:137" ht="13.8" x14ac:dyDescent="0.25">
      <c r="D6" s="248" t="s">
        <v>62</v>
      </c>
      <c r="E6" s="249">
        <v>3.4133616091552056E-2</v>
      </c>
      <c r="F6" s="167" t="s">
        <v>211</v>
      </c>
      <c r="G6" s="167" t="s">
        <v>213</v>
      </c>
      <c r="I6" s="618"/>
      <c r="J6" s="618"/>
      <c r="K6" s="618"/>
      <c r="L6" s="618"/>
      <c r="M6" s="163"/>
      <c r="N6" s="164">
        <f>SUM(O27:R72)/1000</f>
        <v>26.908061391072017</v>
      </c>
      <c r="O6" s="165" t="s">
        <v>209</v>
      </c>
    </row>
    <row r="7" spans="1:137" ht="13.8" x14ac:dyDescent="0.25">
      <c r="D7" s="248" t="s">
        <v>251</v>
      </c>
      <c r="E7" s="249">
        <v>0.1551650532314188</v>
      </c>
      <c r="F7" s="167" t="s">
        <v>211</v>
      </c>
      <c r="G7" s="167" t="s">
        <v>213</v>
      </c>
      <c r="I7" s="172"/>
      <c r="J7" s="172"/>
      <c r="K7" s="172"/>
      <c r="L7" s="172"/>
      <c r="M7" s="172"/>
      <c r="N7" s="172"/>
      <c r="O7" s="172"/>
      <c r="P7" s="165"/>
    </row>
    <row r="8" spans="1:137" ht="13.8" x14ac:dyDescent="0.25">
      <c r="D8" s="248" t="s">
        <v>252</v>
      </c>
      <c r="E8" s="249">
        <v>1.7332940957023223E-2</v>
      </c>
      <c r="F8" s="167" t="s">
        <v>213</v>
      </c>
      <c r="G8" s="167" t="s">
        <v>211</v>
      </c>
    </row>
    <row r="9" spans="1:137" ht="13.8" x14ac:dyDescent="0.25">
      <c r="D9" s="248" t="s">
        <v>253</v>
      </c>
      <c r="E9" s="249">
        <v>4.0349566697904026E-5</v>
      </c>
      <c r="F9" s="167" t="s">
        <v>213</v>
      </c>
      <c r="G9" s="167" t="s">
        <v>211</v>
      </c>
    </row>
    <row r="10" spans="1:137" ht="13.8" x14ac:dyDescent="0.25">
      <c r="D10" s="248" t="s">
        <v>254</v>
      </c>
      <c r="E10" s="249">
        <v>4.3602231976115999E-2</v>
      </c>
      <c r="F10" s="167" t="s">
        <v>213</v>
      </c>
      <c r="G10" s="167" t="s">
        <v>211</v>
      </c>
    </row>
    <row r="11" spans="1:137" ht="13.8" x14ac:dyDescent="0.25">
      <c r="D11" s="248" t="s">
        <v>255</v>
      </c>
      <c r="E11" s="249">
        <v>2.3510401861254883E-3</v>
      </c>
      <c r="F11" s="167" t="s">
        <v>213</v>
      </c>
      <c r="G11" s="167" t="s">
        <v>211</v>
      </c>
    </row>
    <row r="12" spans="1:137" ht="13.8" x14ac:dyDescent="0.25">
      <c r="D12" s="248" t="s">
        <v>256</v>
      </c>
      <c r="E12" s="249">
        <v>1.8982433430409871E-2</v>
      </c>
      <c r="F12" s="167" t="s">
        <v>213</v>
      </c>
      <c r="G12" s="167" t="s">
        <v>211</v>
      </c>
    </row>
    <row r="13" spans="1:137" ht="13.8" x14ac:dyDescent="0.25">
      <c r="D13" s="248" t="s">
        <v>257</v>
      </c>
      <c r="E13" s="249">
        <v>5.183950710377493E-4</v>
      </c>
      <c r="F13" s="167" t="s">
        <v>213</v>
      </c>
      <c r="G13" s="167" t="s">
        <v>211</v>
      </c>
    </row>
    <row r="14" spans="1:137" ht="13.8" x14ac:dyDescent="0.25">
      <c r="D14" s="248" t="s">
        <v>259</v>
      </c>
      <c r="E14" s="249">
        <v>3.4009889510549468E-3</v>
      </c>
      <c r="F14" s="167" t="s">
        <v>213</v>
      </c>
      <c r="G14" s="167" t="s">
        <v>211</v>
      </c>
    </row>
    <row r="16" spans="1:137" x14ac:dyDescent="0.25">
      <c r="F16" s="153" t="s">
        <v>217</v>
      </c>
    </row>
    <row r="17" spans="1:26" x14ac:dyDescent="0.25">
      <c r="D17" s="171" t="s">
        <v>216</v>
      </c>
      <c r="E17" s="233">
        <v>1</v>
      </c>
      <c r="F17" s="167" t="s">
        <v>211</v>
      </c>
    </row>
    <row r="22" spans="1:26" x14ac:dyDescent="0.25">
      <c r="D22" s="170"/>
      <c r="I22" s="172"/>
      <c r="J22" s="172"/>
      <c r="K22" s="172"/>
      <c r="L22" s="172"/>
      <c r="M22" s="172"/>
      <c r="N22" s="172"/>
      <c r="O22" s="172"/>
      <c r="P22" s="165"/>
    </row>
    <row r="23" spans="1:26" ht="67.5" customHeight="1" x14ac:dyDescent="0.25">
      <c r="B23" s="665" t="s">
        <v>261</v>
      </c>
      <c r="C23" s="665"/>
      <c r="D23" s="665"/>
      <c r="E23" s="666" t="s">
        <v>262</v>
      </c>
      <c r="F23" s="666"/>
      <c r="G23" s="666"/>
      <c r="H23" s="666"/>
      <c r="J23" s="665" t="s">
        <v>261</v>
      </c>
      <c r="K23" s="665"/>
      <c r="L23" s="665"/>
      <c r="M23" s="665"/>
      <c r="N23" s="163"/>
      <c r="O23" s="667" t="s">
        <v>262</v>
      </c>
      <c r="P23" s="667"/>
      <c r="Q23" s="667"/>
      <c r="R23" s="667"/>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664" t="s">
        <v>223</v>
      </c>
      <c r="P24" s="664"/>
      <c r="Q24" s="664"/>
      <c r="R24" s="664"/>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256"/>
      <c r="C26" s="256"/>
      <c r="D26" s="315"/>
      <c r="E26" s="316"/>
      <c r="F26" s="315"/>
      <c r="G26" s="317"/>
      <c r="H26" s="256" t="s">
        <v>264</v>
      </c>
      <c r="I26" s="165"/>
      <c r="J26" s="256" t="str">
        <f>IFERROR('Emissions Factors'!B11*$B26,"")</f>
        <v/>
      </c>
      <c r="K26" s="314"/>
      <c r="L26" s="256"/>
      <c r="M26" s="314"/>
      <c r="N26" s="318"/>
      <c r="O26" s="256"/>
      <c r="P26" s="257"/>
      <c r="Q26" s="257"/>
      <c r="R26" s="257"/>
      <c r="S26" s="165"/>
      <c r="T26" s="257" t="str">
        <f t="shared" ref="T26:T72" si="0">IF(AND(A26&gt;=$B$3,A26&lt;=$B$4),SUM(O26:R26),"")</f>
        <v/>
      </c>
      <c r="U26" s="257" t="str">
        <f t="shared" ref="U26:U72" si="1">IF(AND(A26&gt;=$B$3,A26&lt;=$B$4),SUM(J26:M26),"")</f>
        <v/>
      </c>
      <c r="V26" s="319"/>
      <c r="W26" s="165"/>
      <c r="X26" s="257">
        <f t="shared" ref="X26:X72" si="2">SUM(O26:R26)</f>
        <v>0</v>
      </c>
      <c r="Y26" s="257">
        <f t="shared" ref="Y26:Y72" si="3">SUM(J26:M26)</f>
        <v>0</v>
      </c>
    </row>
    <row r="27" spans="1:26" ht="15.6" x14ac:dyDescent="0.3">
      <c r="A27" s="152">
        <v>2015</v>
      </c>
      <c r="B27" s="178">
        <f t="shared" ref="B27:B72" si="4">IFERROR(IF($F$17="Y",$E$17,1-$Y86)*(IF($F$3="Y",$E$3,0)+IF($F$4="Y",$E$4,0)+IF($F$5="Y",$E$5,0)+IF($F$6="Y",$E$6,0)+IF($F$7="Y",$E$7,0)+IF($F$8="Y",$E$8,0)+IF($F$9="Y",$E$9,0)+IF($F$10="Y",$E$10,0)+IF($F$11="Y",$E$11,0)+IF($F$12="Y",$E$12,0)+IF($F$13="Y",$E$13,0)+IF($F$14="Y",$E$14,0))*(B86-B138),0)</f>
        <v>-7.5790555377131773E-3</v>
      </c>
      <c r="C27" s="182">
        <f>IFERROR(B27-B26,"")</f>
        <v>-7.5790555377131773E-3</v>
      </c>
      <c r="D27" s="183"/>
      <c r="E27" s="179">
        <f>IFERROR(IF($F$17="Y",$E$17,1-$Y86)*(SUMIF($G$3:$G$14,"Y",$E$3:$E$14))*(B86-B138),0)</f>
        <v>-3.2161101994210427E-2</v>
      </c>
      <c r="F27" s="183">
        <f>IFERROR(E27-E26,"")</f>
        <v>-3.2161101994210427E-2</v>
      </c>
      <c r="G27" s="247">
        <f>IFERROR(E27/(B86-B138),"")</f>
        <v>0.80928471328718643</v>
      </c>
      <c r="H27" s="246"/>
      <c r="J27" s="182">
        <f>IFERROR('Emissions Factors'!B12*$B27,"")</f>
        <v>-4.6791696429625005E-3</v>
      </c>
      <c r="K27" s="178"/>
      <c r="L27" s="182"/>
      <c r="M27" s="178"/>
      <c r="N27" s="163"/>
      <c r="O27" s="182">
        <f>IFERROR(E27*'Emissions Factors'!B12,"")</f>
        <v>-1.9855673492127038E-2</v>
      </c>
      <c r="P27" s="180"/>
      <c r="Q27" s="180"/>
      <c r="R27" s="180"/>
      <c r="T27" s="180" t="str">
        <f t="shared" si="0"/>
        <v/>
      </c>
      <c r="U27" s="180" t="str">
        <f t="shared" si="1"/>
        <v/>
      </c>
      <c r="V27" s="181"/>
      <c r="X27" s="180">
        <f t="shared" si="2"/>
        <v>-1.9855673492127038E-2</v>
      </c>
      <c r="Y27" s="180">
        <f t="shared" si="3"/>
        <v>-4.6791696429625005E-3</v>
      </c>
    </row>
    <row r="28" spans="1:26" ht="15.6" x14ac:dyDescent="0.3">
      <c r="A28" s="152">
        <v>2016</v>
      </c>
      <c r="B28" s="178">
        <f t="shared" si="4"/>
        <v>0</v>
      </c>
      <c r="C28" s="182">
        <f t="shared" ref="C28:C72" si="5">IFERROR(B28-B27,"")</f>
        <v>7.5790555377131773E-3</v>
      </c>
      <c r="D28" s="183"/>
      <c r="E28" s="179">
        <f>IFERROR(IF($F$17="Y",$E$17,1-$Y87)*(SUMIF($G$3:$G$14,"Y",$E$3:$E$14))*(B87-B139),0)</f>
        <v>0</v>
      </c>
      <c r="F28" s="183">
        <f t="shared" ref="F28:F72" si="6">IFERROR(E28-E27,"")</f>
        <v>3.2161101994210427E-2</v>
      </c>
      <c r="G28" s="247">
        <f>IFERROR(E28/(B87-B139),"")</f>
        <v>0</v>
      </c>
      <c r="H28" s="246"/>
      <c r="J28" s="182">
        <f>IFERROR('Emissions Factors'!B13*$B28,"")</f>
        <v>0</v>
      </c>
      <c r="K28" s="178"/>
      <c r="L28" s="182"/>
      <c r="M28" s="178"/>
      <c r="N28" s="163"/>
      <c r="O28" s="182">
        <f>IFERROR(E28*'Emissions Factors'!B13,"")</f>
        <v>0</v>
      </c>
      <c r="P28" s="180"/>
      <c r="Q28" s="180"/>
      <c r="R28" s="180"/>
      <c r="T28" s="180" t="str">
        <f t="shared" si="0"/>
        <v/>
      </c>
      <c r="U28" s="180" t="str">
        <f t="shared" si="1"/>
        <v/>
      </c>
      <c r="V28" s="181"/>
      <c r="X28" s="180">
        <f t="shared" si="2"/>
        <v>0</v>
      </c>
      <c r="Y28" s="180">
        <f t="shared" si="3"/>
        <v>0</v>
      </c>
    </row>
    <row r="29" spans="1:26" ht="15.6" x14ac:dyDescent="0.3">
      <c r="A29" s="152">
        <v>2017</v>
      </c>
      <c r="B29" s="178">
        <f t="shared" si="4"/>
        <v>0</v>
      </c>
      <c r="C29" s="182">
        <f>IFERROR(B29-B28,"")</f>
        <v>0</v>
      </c>
      <c r="D29" s="183"/>
      <c r="E29" s="179">
        <f t="shared" ref="E29:E72" si="7">IFERROR(IF($F$17="Y",$E$17,1-$Y88)*(SUMIF($G$3:$G$14,"Y",$E$3:$E$14))*(B88-B140),0)</f>
        <v>0</v>
      </c>
      <c r="F29" s="183">
        <f>IFERROR(E29-E28,"")</f>
        <v>0</v>
      </c>
      <c r="G29" s="247">
        <f t="shared" ref="G29:G72" si="8">IFERROR(E29/(B88-B140),"")</f>
        <v>0</v>
      </c>
      <c r="H29" s="246"/>
      <c r="J29" s="182">
        <f>IFERROR('Emissions Factors'!B14*$B29,"")</f>
        <v>0</v>
      </c>
      <c r="K29" s="178"/>
      <c r="L29" s="182"/>
      <c r="M29" s="178"/>
      <c r="N29" s="163"/>
      <c r="O29" s="182">
        <f>IFERROR(E29*'Emissions Factors'!B14,"")</f>
        <v>0</v>
      </c>
      <c r="P29" s="180"/>
      <c r="Q29" s="180"/>
      <c r="R29" s="180"/>
      <c r="T29" s="180" t="str">
        <f t="shared" si="0"/>
        <v/>
      </c>
      <c r="U29" s="180" t="str">
        <f t="shared" si="1"/>
        <v/>
      </c>
      <c r="V29" s="181"/>
      <c r="X29" s="180">
        <f t="shared" si="2"/>
        <v>0</v>
      </c>
      <c r="Y29" s="180">
        <f t="shared" si="3"/>
        <v>0</v>
      </c>
    </row>
    <row r="30" spans="1:26" ht="15.6" x14ac:dyDescent="0.3">
      <c r="A30" s="152">
        <v>2018</v>
      </c>
      <c r="B30" s="178">
        <f t="shared" si="4"/>
        <v>0</v>
      </c>
      <c r="C30" s="182">
        <f t="shared" si="5"/>
        <v>0</v>
      </c>
      <c r="D30" s="183"/>
      <c r="E30" s="179">
        <f>IFERROR(IF($F$17="Y",$E$17,1-$Y89)*(SUMIF($G$3:$G$14,"Y",$E$3:$E$14))*(B89-B141),0)</f>
        <v>0</v>
      </c>
      <c r="F30" s="183">
        <f t="shared" si="6"/>
        <v>0</v>
      </c>
      <c r="G30" s="247">
        <f t="shared" si="8"/>
        <v>0</v>
      </c>
      <c r="H30" s="246"/>
      <c r="J30" s="182">
        <f>IFERROR('Emissions Factors'!B15*$B30,"")</f>
        <v>0</v>
      </c>
      <c r="K30" s="178"/>
      <c r="L30" s="182"/>
      <c r="M30" s="178"/>
      <c r="N30" s="163"/>
      <c r="O30" s="182">
        <f>IFERROR(E30*'Emissions Factors'!B15,"")</f>
        <v>0</v>
      </c>
      <c r="P30" s="180"/>
      <c r="Q30" s="180"/>
      <c r="R30" s="180"/>
      <c r="T30" s="180" t="str">
        <f t="shared" si="0"/>
        <v/>
      </c>
      <c r="U30" s="180" t="str">
        <f t="shared" si="1"/>
        <v/>
      </c>
      <c r="V30" s="181"/>
      <c r="X30" s="180">
        <f t="shared" si="2"/>
        <v>0</v>
      </c>
      <c r="Y30" s="180">
        <f t="shared" si="3"/>
        <v>0</v>
      </c>
    </row>
    <row r="31" spans="1:26" ht="15.6" x14ac:dyDescent="0.3">
      <c r="A31" s="152">
        <v>2019</v>
      </c>
      <c r="B31" s="178">
        <f t="shared" si="4"/>
        <v>0</v>
      </c>
      <c r="C31" s="182">
        <f t="shared" si="5"/>
        <v>0</v>
      </c>
      <c r="D31" s="183"/>
      <c r="E31" s="179">
        <f t="shared" si="7"/>
        <v>0</v>
      </c>
      <c r="F31" s="183">
        <f t="shared" si="6"/>
        <v>0</v>
      </c>
      <c r="G31" s="247">
        <f t="shared" si="8"/>
        <v>0</v>
      </c>
      <c r="H31" s="246"/>
      <c r="J31" s="182">
        <f>IFERROR('Emissions Factors'!B16*$B31,"")</f>
        <v>0</v>
      </c>
      <c r="K31" s="178"/>
      <c r="L31" s="182"/>
      <c r="M31" s="178"/>
      <c r="N31" s="163"/>
      <c r="O31" s="182">
        <f>IFERROR(E31*'Emissions Factors'!B16,"")</f>
        <v>0</v>
      </c>
      <c r="P31" s="180"/>
      <c r="Q31" s="180"/>
      <c r="R31" s="180"/>
      <c r="T31" s="180" t="str">
        <f t="shared" si="0"/>
        <v/>
      </c>
      <c r="U31" s="180" t="str">
        <f t="shared" si="1"/>
        <v/>
      </c>
      <c r="V31" s="181"/>
      <c r="X31" s="180">
        <f t="shared" si="2"/>
        <v>0</v>
      </c>
      <c r="Y31" s="180">
        <f t="shared" si="3"/>
        <v>0</v>
      </c>
    </row>
    <row r="32" spans="1:26" ht="15.6" x14ac:dyDescent="0.3">
      <c r="A32" s="152">
        <v>2020</v>
      </c>
      <c r="B32" s="178">
        <f t="shared" si="4"/>
        <v>0</v>
      </c>
      <c r="C32" s="182">
        <f t="shared" si="5"/>
        <v>0</v>
      </c>
      <c r="D32" s="183"/>
      <c r="E32" s="179">
        <f t="shared" si="7"/>
        <v>0</v>
      </c>
      <c r="F32" s="183">
        <f t="shared" si="6"/>
        <v>0</v>
      </c>
      <c r="G32" s="247">
        <f t="shared" si="8"/>
        <v>0</v>
      </c>
      <c r="H32" s="246"/>
      <c r="J32" s="182">
        <f>IFERROR('Emissions Factors'!B17*$B32,"")</f>
        <v>0</v>
      </c>
      <c r="K32" s="178"/>
      <c r="L32" s="182"/>
      <c r="M32" s="178"/>
      <c r="N32" s="163"/>
      <c r="O32" s="182">
        <f>IFERROR(E32*'Emissions Factors'!B17,"")</f>
        <v>0</v>
      </c>
      <c r="P32" s="180"/>
      <c r="Q32" s="180"/>
      <c r="R32" s="180"/>
      <c r="T32" s="180">
        <f t="shared" si="0"/>
        <v>0</v>
      </c>
      <c r="U32" s="180">
        <f t="shared" si="1"/>
        <v>0</v>
      </c>
      <c r="V32" s="181"/>
      <c r="X32" s="180">
        <f t="shared" si="2"/>
        <v>0</v>
      </c>
      <c r="Y32" s="180">
        <f t="shared" si="3"/>
        <v>0</v>
      </c>
    </row>
    <row r="33" spans="1:25" ht="15.6" x14ac:dyDescent="0.3">
      <c r="A33" s="152">
        <v>2021</v>
      </c>
      <c r="B33" s="178">
        <f t="shared" si="4"/>
        <v>5.0610002428109189</v>
      </c>
      <c r="C33" s="182">
        <f t="shared" si="5"/>
        <v>5.0610002428109189</v>
      </c>
      <c r="D33" s="183"/>
      <c r="E33" s="179">
        <f t="shared" si="7"/>
        <v>21.475940398093105</v>
      </c>
      <c r="F33" s="183">
        <f t="shared" si="6"/>
        <v>21.475940398093105</v>
      </c>
      <c r="G33" s="247">
        <f t="shared" si="8"/>
        <v>0.59341734552849035</v>
      </c>
      <c r="H33" s="246"/>
      <c r="J33" s="182">
        <f>IFERROR('Emissions Factors'!B18*$B33,"")</f>
        <v>2.9829242424433962</v>
      </c>
      <c r="K33" s="178"/>
      <c r="L33" s="182"/>
      <c r="M33" s="178"/>
      <c r="N33" s="163"/>
      <c r="O33" s="182">
        <f>IFERROR(E33*'Emissions Factors'!B18,"")</f>
        <v>12.657794935643269</v>
      </c>
      <c r="P33" s="180"/>
      <c r="Q33" s="180"/>
      <c r="R33" s="180"/>
      <c r="T33" s="180">
        <f t="shared" si="0"/>
        <v>12.657794935643269</v>
      </c>
      <c r="U33" s="180">
        <f t="shared" si="1"/>
        <v>2.9829242424433962</v>
      </c>
      <c r="V33" s="181"/>
      <c r="X33" s="180">
        <f t="shared" si="2"/>
        <v>12.657794935643269</v>
      </c>
      <c r="Y33" s="180">
        <f t="shared" si="3"/>
        <v>2.9829242424433962</v>
      </c>
    </row>
    <row r="34" spans="1:25" ht="15.6" x14ac:dyDescent="0.3">
      <c r="A34" s="152">
        <v>2022</v>
      </c>
      <c r="B34" s="178">
        <f t="shared" si="4"/>
        <v>11.354673196887243</v>
      </c>
      <c r="C34" s="182">
        <f t="shared" si="5"/>
        <v>6.2936729540763237</v>
      </c>
      <c r="D34" s="183"/>
      <c r="E34" s="179">
        <f t="shared" si="7"/>
        <v>48.182626579116366</v>
      </c>
      <c r="F34" s="183">
        <f t="shared" si="6"/>
        <v>26.706686181023262</v>
      </c>
      <c r="G34" s="247">
        <f t="shared" si="8"/>
        <v>0.58031905380302473</v>
      </c>
      <c r="H34" s="246"/>
      <c r="J34" s="182">
        <f>IFERROR('Emissions Factors'!B19*$B34,"")</f>
        <v>6.6525888071765706</v>
      </c>
      <c r="K34" s="178"/>
      <c r="L34" s="182"/>
      <c r="M34" s="178"/>
      <c r="N34" s="163"/>
      <c r="O34" s="182">
        <f>IFERROR(E34*'Emissions Factors'!B19,"")</f>
        <v>28.229716234234743</v>
      </c>
      <c r="P34" s="180"/>
      <c r="Q34" s="180"/>
      <c r="R34" s="180"/>
      <c r="T34" s="180">
        <f t="shared" si="0"/>
        <v>28.229716234234743</v>
      </c>
      <c r="U34" s="180">
        <f t="shared" si="1"/>
        <v>6.6525888071765706</v>
      </c>
      <c r="V34" s="181"/>
      <c r="X34" s="180">
        <f t="shared" si="2"/>
        <v>28.229716234234743</v>
      </c>
      <c r="Y34" s="180">
        <f t="shared" si="3"/>
        <v>6.6525888071765706</v>
      </c>
    </row>
    <row r="35" spans="1:25" ht="15.6" x14ac:dyDescent="0.3">
      <c r="A35" s="152">
        <v>2023</v>
      </c>
      <c r="B35" s="178">
        <f t="shared" si="4"/>
        <v>18.766785249388835</v>
      </c>
      <c r="C35" s="182">
        <f t="shared" si="5"/>
        <v>7.4121120525015929</v>
      </c>
      <c r="D35" s="183"/>
      <c r="E35" s="179">
        <f t="shared" si="7"/>
        <v>79.63531755450758</v>
      </c>
      <c r="F35" s="183">
        <f t="shared" si="6"/>
        <v>31.452690975391214</v>
      </c>
      <c r="G35" s="247">
        <f t="shared" si="8"/>
        <v>0.57062763934247185</v>
      </c>
      <c r="H35" s="246"/>
      <c r="J35" s="182">
        <f>IFERROR('Emissions Factors'!B20*$B35,"")</f>
        <v>10.931088775309725</v>
      </c>
      <c r="K35" s="178"/>
      <c r="L35" s="182"/>
      <c r="M35" s="178"/>
      <c r="N35" s="163"/>
      <c r="O35" s="182">
        <f>IFERROR(E35*'Emissions Factors'!B20,"")</f>
        <v>46.385180747280749</v>
      </c>
      <c r="P35" s="180"/>
      <c r="Q35" s="180"/>
      <c r="R35" s="180"/>
      <c r="T35" s="180">
        <f t="shared" si="0"/>
        <v>46.385180747280749</v>
      </c>
      <c r="U35" s="180">
        <f t="shared" si="1"/>
        <v>10.931088775309725</v>
      </c>
      <c r="V35" s="181"/>
      <c r="X35" s="180">
        <f t="shared" si="2"/>
        <v>46.385180747280749</v>
      </c>
      <c r="Y35" s="180">
        <f t="shared" si="3"/>
        <v>10.931088775309725</v>
      </c>
    </row>
    <row r="36" spans="1:25" ht="15.6" x14ac:dyDescent="0.3">
      <c r="A36" s="152">
        <v>2024</v>
      </c>
      <c r="B36" s="178">
        <f t="shared" si="4"/>
        <v>27.253093983141024</v>
      </c>
      <c r="C36" s="182">
        <f t="shared" si="5"/>
        <v>8.486308733752189</v>
      </c>
      <c r="D36" s="183"/>
      <c r="E36" s="179">
        <f t="shared" si="7"/>
        <v>115.64627424726109</v>
      </c>
      <c r="F36" s="183">
        <f t="shared" si="6"/>
        <v>36.01095669275351</v>
      </c>
      <c r="G36" s="247">
        <f t="shared" si="8"/>
        <v>0.56299682945219576</v>
      </c>
      <c r="H36" s="246"/>
      <c r="J36" s="182">
        <f>IFERROR('Emissions Factors'!B21*$B36,"")</f>
        <v>15.782989159822177</v>
      </c>
      <c r="K36" s="178"/>
      <c r="L36" s="182"/>
      <c r="M36" s="178"/>
      <c r="N36" s="163"/>
      <c r="O36" s="182">
        <f>IFERROR(E36*'Emissions Factors'!B21,"")</f>
        <v>66.973823006938389</v>
      </c>
      <c r="P36" s="180"/>
      <c r="Q36" s="180"/>
      <c r="R36" s="180"/>
      <c r="T36" s="180">
        <f t="shared" si="0"/>
        <v>66.973823006938389</v>
      </c>
      <c r="U36" s="180">
        <f t="shared" si="1"/>
        <v>15.782989159822177</v>
      </c>
      <c r="V36" s="181"/>
      <c r="X36" s="180">
        <f t="shared" si="2"/>
        <v>66.973823006938389</v>
      </c>
      <c r="Y36" s="180">
        <f t="shared" si="3"/>
        <v>15.782989159822177</v>
      </c>
    </row>
    <row r="37" spans="1:25" ht="15.6" x14ac:dyDescent="0.3">
      <c r="A37" s="152">
        <v>2025</v>
      </c>
      <c r="B37" s="178">
        <f t="shared" si="4"/>
        <v>36.779559855023344</v>
      </c>
      <c r="C37" s="182">
        <f t="shared" si="5"/>
        <v>9.5264658718823192</v>
      </c>
      <c r="D37" s="183"/>
      <c r="E37" s="179">
        <f t="shared" si="7"/>
        <v>156.07105264153796</v>
      </c>
      <c r="F37" s="183">
        <f t="shared" si="6"/>
        <v>40.424778394276871</v>
      </c>
      <c r="G37" s="247">
        <f t="shared" si="8"/>
        <v>0.55673299520282304</v>
      </c>
      <c r="H37" s="246"/>
      <c r="J37" s="182">
        <f>IFERROR('Emissions Factors'!B22*$B37,"")</f>
        <v>21.191673418083671</v>
      </c>
      <c r="K37" s="178"/>
      <c r="L37" s="182"/>
      <c r="M37" s="178"/>
      <c r="N37" s="163"/>
      <c r="O37" s="182">
        <f>IFERROR(E37*'Emissions Factors'!B22,"")</f>
        <v>89.925132074257064</v>
      </c>
      <c r="P37" s="180"/>
      <c r="Q37" s="180"/>
      <c r="R37" s="180"/>
      <c r="T37" s="180">
        <f t="shared" si="0"/>
        <v>89.925132074257064</v>
      </c>
      <c r="U37" s="180">
        <f t="shared" si="1"/>
        <v>21.191673418083671</v>
      </c>
      <c r="V37" s="181"/>
      <c r="X37" s="180">
        <f t="shared" si="2"/>
        <v>89.925132074257064</v>
      </c>
      <c r="Y37" s="180">
        <f t="shared" si="3"/>
        <v>21.191673418083671</v>
      </c>
    </row>
    <row r="38" spans="1:25" ht="15.6" x14ac:dyDescent="0.3">
      <c r="A38" s="152">
        <v>2026</v>
      </c>
      <c r="B38" s="178">
        <f t="shared" si="4"/>
        <v>47.298657169597334</v>
      </c>
      <c r="C38" s="182">
        <f t="shared" si="5"/>
        <v>10.51909731457399</v>
      </c>
      <c r="D38" s="183"/>
      <c r="E38" s="179">
        <f t="shared" si="7"/>
        <v>200.70798133768469</v>
      </c>
      <c r="F38" s="183">
        <f t="shared" si="6"/>
        <v>44.636928696146725</v>
      </c>
      <c r="G38" s="247">
        <f t="shared" si="8"/>
        <v>0.55139307550319627</v>
      </c>
      <c r="H38" s="246"/>
      <c r="J38" s="182">
        <f>IFERROR('Emissions Factors'!B23*$B38,"")</f>
        <v>27.085125419858617</v>
      </c>
      <c r="K38" s="178"/>
      <c r="L38" s="182"/>
      <c r="M38" s="178"/>
      <c r="N38" s="163"/>
      <c r="O38" s="182">
        <f>IFERROR(E38*'Emissions Factors'!B23,"")</f>
        <v>114.93351339352859</v>
      </c>
      <c r="P38" s="180"/>
      <c r="Q38" s="180"/>
      <c r="R38" s="180"/>
      <c r="T38" s="180">
        <f t="shared" si="0"/>
        <v>114.93351339352859</v>
      </c>
      <c r="U38" s="180">
        <f t="shared" si="1"/>
        <v>27.085125419858617</v>
      </c>
      <c r="V38" s="181"/>
      <c r="X38" s="180">
        <f t="shared" si="2"/>
        <v>114.93351339352859</v>
      </c>
      <c r="Y38" s="180">
        <f t="shared" si="3"/>
        <v>27.085125419858617</v>
      </c>
    </row>
    <row r="39" spans="1:25" ht="15.6" x14ac:dyDescent="0.3">
      <c r="A39" s="152">
        <v>2027</v>
      </c>
      <c r="B39" s="178">
        <f t="shared" si="4"/>
        <v>58.756386459660142</v>
      </c>
      <c r="C39" s="182">
        <f t="shared" si="5"/>
        <v>11.457729290062808</v>
      </c>
      <c r="D39" s="183"/>
      <c r="E39" s="179">
        <f t="shared" si="7"/>
        <v>249.32791801530232</v>
      </c>
      <c r="F39" s="183">
        <f t="shared" si="6"/>
        <v>48.61993667761763</v>
      </c>
      <c r="G39" s="247">
        <f t="shared" si="8"/>
        <v>0.5466594170390523</v>
      </c>
      <c r="H39" s="246"/>
      <c r="J39" s="182">
        <f>IFERROR('Emissions Factors'!B24*$B39,"")</f>
        <v>33.46086040255112</v>
      </c>
      <c r="K39" s="178"/>
      <c r="L39" s="182"/>
      <c r="M39" s="178"/>
      <c r="N39" s="163"/>
      <c r="O39" s="182">
        <f>IFERROR(E39*'Emissions Factors'!B24,"")</f>
        <v>141.98842307800078</v>
      </c>
      <c r="P39" s="180"/>
      <c r="Q39" s="180"/>
      <c r="R39" s="180"/>
      <c r="T39" s="180">
        <f t="shared" si="0"/>
        <v>141.98842307800078</v>
      </c>
      <c r="U39" s="180">
        <f t="shared" si="1"/>
        <v>33.46086040255112</v>
      </c>
      <c r="V39" s="181"/>
      <c r="X39" s="180">
        <f t="shared" si="2"/>
        <v>141.98842307800078</v>
      </c>
      <c r="Y39" s="180">
        <f t="shared" si="3"/>
        <v>33.46086040255112</v>
      </c>
    </row>
    <row r="40" spans="1:25" ht="15.6" x14ac:dyDescent="0.3">
      <c r="A40" s="152">
        <v>2028</v>
      </c>
      <c r="B40" s="178">
        <f t="shared" si="4"/>
        <v>71.134528719077693</v>
      </c>
      <c r="C40" s="182">
        <f t="shared" si="5"/>
        <v>12.378142259417551</v>
      </c>
      <c r="D40" s="183"/>
      <c r="E40" s="179">
        <f t="shared" si="7"/>
        <v>301.85355181268847</v>
      </c>
      <c r="F40" s="183">
        <f t="shared" si="6"/>
        <v>52.525633797386149</v>
      </c>
      <c r="G40" s="247">
        <f t="shared" si="8"/>
        <v>0.54230052823293851</v>
      </c>
      <c r="H40" s="246"/>
      <c r="J40" s="182">
        <f>IFERROR('Emissions Factors'!B25*$B40,"")</f>
        <v>40.289088139366001</v>
      </c>
      <c r="K40" s="178"/>
      <c r="L40" s="182"/>
      <c r="M40" s="178"/>
      <c r="N40" s="163"/>
      <c r="O40" s="182">
        <f>IFERROR(E40*'Emissions Factors'!B25,"")</f>
        <v>170.9634487379474</v>
      </c>
      <c r="P40" s="180"/>
      <c r="Q40" s="180"/>
      <c r="R40" s="180"/>
      <c r="T40" s="180">
        <f t="shared" si="0"/>
        <v>170.9634487379474</v>
      </c>
      <c r="U40" s="180">
        <f t="shared" si="1"/>
        <v>40.289088139366001</v>
      </c>
      <c r="V40" s="181"/>
      <c r="X40" s="180">
        <f t="shared" si="2"/>
        <v>170.9634487379474</v>
      </c>
      <c r="Y40" s="180">
        <f t="shared" si="3"/>
        <v>40.289088139366001</v>
      </c>
    </row>
    <row r="41" spans="1:25" ht="15.6" x14ac:dyDescent="0.3">
      <c r="A41" s="152">
        <v>2029</v>
      </c>
      <c r="B41" s="178">
        <f t="shared" si="4"/>
        <v>84.421886025495269</v>
      </c>
      <c r="C41" s="182">
        <f t="shared" si="5"/>
        <v>13.287357306417576</v>
      </c>
      <c r="D41" s="183"/>
      <c r="E41" s="179">
        <f t="shared" si="7"/>
        <v>358.23736526263622</v>
      </c>
      <c r="F41" s="183">
        <f t="shared" si="6"/>
        <v>56.383813449947752</v>
      </c>
      <c r="G41" s="247">
        <f t="shared" si="8"/>
        <v>0.5381498167596207</v>
      </c>
      <c r="H41" s="246"/>
      <c r="J41" s="182">
        <f>IFERROR('Emissions Factors'!B26*$B41,"")</f>
        <v>47.556298367037577</v>
      </c>
      <c r="K41" s="178"/>
      <c r="L41" s="182"/>
      <c r="M41" s="178"/>
      <c r="N41" s="163"/>
      <c r="O41" s="182">
        <f>IFERROR(E41*'Emissions Factors'!B26,"")</f>
        <v>201.8012606767204</v>
      </c>
      <c r="P41" s="180"/>
      <c r="Q41" s="180"/>
      <c r="R41" s="180"/>
      <c r="T41" s="180">
        <f t="shared" si="0"/>
        <v>201.8012606767204</v>
      </c>
      <c r="U41" s="180">
        <f t="shared" si="1"/>
        <v>47.556298367037577</v>
      </c>
      <c r="V41" s="181"/>
      <c r="X41" s="180">
        <f t="shared" si="2"/>
        <v>201.8012606767204</v>
      </c>
      <c r="Y41" s="180">
        <f t="shared" si="3"/>
        <v>47.556298367037577</v>
      </c>
    </row>
    <row r="42" spans="1:25" ht="15.6" x14ac:dyDescent="0.3">
      <c r="A42" s="152">
        <v>2030</v>
      </c>
      <c r="B42" s="178">
        <f t="shared" si="4"/>
        <v>98.609820009781799</v>
      </c>
      <c r="C42" s="182">
        <f t="shared" si="5"/>
        <v>14.187933984286531</v>
      </c>
      <c r="D42" s="183"/>
      <c r="E42" s="179">
        <f t="shared" si="7"/>
        <v>418.44270215259951</v>
      </c>
      <c r="F42" s="183">
        <f t="shared" si="6"/>
        <v>60.205336889963291</v>
      </c>
      <c r="G42" s="247">
        <f t="shared" si="8"/>
        <v>0.53411668544769175</v>
      </c>
      <c r="H42" s="246"/>
      <c r="J42" s="182">
        <f>IFERROR('Emissions Factors'!B27*$B42,"")</f>
        <v>55.263417890877214</v>
      </c>
      <c r="K42" s="178"/>
      <c r="L42" s="182"/>
      <c r="M42" s="178"/>
      <c r="N42" s="163"/>
      <c r="O42" s="182">
        <f>IFERROR(E42*'Emissions Factors'!B27,"")</f>
        <v>234.50579171681974</v>
      </c>
      <c r="P42" s="180"/>
      <c r="Q42" s="180"/>
      <c r="R42" s="180"/>
      <c r="T42" s="180">
        <f t="shared" si="0"/>
        <v>234.50579171681974</v>
      </c>
      <c r="U42" s="180">
        <f t="shared" si="1"/>
        <v>55.263417890877214</v>
      </c>
      <c r="V42" s="181"/>
      <c r="X42" s="180">
        <f t="shared" si="2"/>
        <v>234.50579171681974</v>
      </c>
      <c r="Y42" s="180">
        <f t="shared" si="3"/>
        <v>55.263417890877214</v>
      </c>
    </row>
    <row r="43" spans="1:25" ht="15.6" x14ac:dyDescent="0.3">
      <c r="A43" s="152">
        <v>2031</v>
      </c>
      <c r="B43" s="178">
        <f t="shared" si="4"/>
        <v>113.6783337997051</v>
      </c>
      <c r="C43" s="182">
        <f t="shared" si="5"/>
        <v>15.068513789923301</v>
      </c>
      <c r="D43" s="183"/>
      <c r="E43" s="179">
        <f t="shared" si="7"/>
        <v>482.38470739156804</v>
      </c>
      <c r="F43" s="183">
        <f t="shared" si="6"/>
        <v>63.942005238968534</v>
      </c>
      <c r="G43" s="247">
        <f t="shared" si="8"/>
        <v>0.53019257625758176</v>
      </c>
      <c r="H43" s="246"/>
      <c r="J43" s="182">
        <f>IFERROR('Emissions Factors'!B28*$B43,"")</f>
        <v>63.353553847300773</v>
      </c>
      <c r="K43" s="178"/>
      <c r="L43" s="182"/>
      <c r="M43" s="178"/>
      <c r="N43" s="163"/>
      <c r="O43" s="182">
        <f>IFERROR(E43*'Emissions Factors'!B28,"")</f>
        <v>268.8356216470637</v>
      </c>
      <c r="P43" s="180"/>
      <c r="Q43" s="180"/>
      <c r="R43" s="180"/>
      <c r="T43" s="180">
        <f t="shared" si="0"/>
        <v>268.8356216470637</v>
      </c>
      <c r="U43" s="180">
        <f t="shared" si="1"/>
        <v>63.353553847300773</v>
      </c>
      <c r="V43" s="181"/>
      <c r="X43" s="180">
        <f t="shared" si="2"/>
        <v>268.8356216470637</v>
      </c>
      <c r="Y43" s="180">
        <f t="shared" si="3"/>
        <v>63.353553847300773</v>
      </c>
    </row>
    <row r="44" spans="1:25" ht="15.6" x14ac:dyDescent="0.3">
      <c r="A44" s="152">
        <v>2032</v>
      </c>
      <c r="B44" s="178">
        <f t="shared" si="4"/>
        <v>129.54507487139014</v>
      </c>
      <c r="C44" s="182">
        <f t="shared" si="5"/>
        <v>15.866741071685041</v>
      </c>
      <c r="D44" s="183"/>
      <c r="E44" s="179">
        <f t="shared" si="7"/>
        <v>549.71392478323264</v>
      </c>
      <c r="F44" s="183">
        <f t="shared" si="6"/>
        <v>67.329217391664599</v>
      </c>
      <c r="G44" s="247">
        <f t="shared" si="8"/>
        <v>0.52639942043463539</v>
      </c>
      <c r="H44" s="246"/>
      <c r="J44" s="182">
        <f>IFERROR('Emissions Factors'!B29*$B44,"")</f>
        <v>71.812711829225833</v>
      </c>
      <c r="K44" s="178"/>
      <c r="L44" s="182"/>
      <c r="M44" s="178"/>
      <c r="N44" s="163"/>
      <c r="O44" s="182">
        <f>IFERROR(E44*'Emissions Factors'!B29,"")</f>
        <v>304.73136634613451</v>
      </c>
      <c r="P44" s="180"/>
      <c r="Q44" s="180"/>
      <c r="R44" s="180"/>
      <c r="T44" s="180">
        <f t="shared" si="0"/>
        <v>304.73136634613451</v>
      </c>
      <c r="U44" s="180">
        <f t="shared" si="1"/>
        <v>71.812711829225833</v>
      </c>
      <c r="V44" s="181"/>
      <c r="X44" s="180">
        <f t="shared" si="2"/>
        <v>304.73136634613451</v>
      </c>
      <c r="Y44" s="180">
        <f t="shared" si="3"/>
        <v>71.812711829225833</v>
      </c>
    </row>
    <row r="45" spans="1:25" ht="15.6" x14ac:dyDescent="0.3">
      <c r="A45" s="152">
        <v>2033</v>
      </c>
      <c r="B45" s="178">
        <f t="shared" si="4"/>
        <v>146.02016724835505</v>
      </c>
      <c r="C45" s="182">
        <f t="shared" si="5"/>
        <v>16.475092376964909</v>
      </c>
      <c r="D45" s="183"/>
      <c r="E45" s="179">
        <f t="shared" si="7"/>
        <v>619.62463115859202</v>
      </c>
      <c r="F45" s="183">
        <f t="shared" si="6"/>
        <v>69.910706375359382</v>
      </c>
      <c r="G45" s="247">
        <f t="shared" si="8"/>
        <v>0.52276000993668092</v>
      </c>
      <c r="H45" s="246"/>
      <c r="J45" s="182">
        <f>IFERROR('Emissions Factors'!B30*$B45,"")</f>
        <v>80.516920823034098</v>
      </c>
      <c r="K45" s="178"/>
      <c r="L45" s="182"/>
      <c r="M45" s="178"/>
      <c r="N45" s="163"/>
      <c r="O45" s="182">
        <f>IFERROR(E45*'Emissions Factors'!B30,"")</f>
        <v>341.66696496206134</v>
      </c>
      <c r="P45" s="180"/>
      <c r="Q45" s="180"/>
      <c r="R45" s="180"/>
      <c r="T45" s="180">
        <f t="shared" si="0"/>
        <v>341.66696496206134</v>
      </c>
      <c r="U45" s="180">
        <f t="shared" si="1"/>
        <v>80.516920823034098</v>
      </c>
      <c r="V45" s="181"/>
      <c r="X45" s="180">
        <f t="shared" si="2"/>
        <v>341.66696496206134</v>
      </c>
      <c r="Y45" s="180">
        <f t="shared" si="3"/>
        <v>80.516920823034098</v>
      </c>
    </row>
    <row r="46" spans="1:25" ht="15.6" x14ac:dyDescent="0.3">
      <c r="A46" s="152">
        <v>2034</v>
      </c>
      <c r="B46" s="178">
        <f t="shared" si="4"/>
        <v>162.85729177047676</v>
      </c>
      <c r="C46" s="182">
        <f t="shared" si="5"/>
        <v>16.837124522121712</v>
      </c>
      <c r="D46" s="183"/>
      <c r="E46" s="179">
        <f t="shared" si="7"/>
        <v>691.0715913175045</v>
      </c>
      <c r="F46" s="183">
        <f t="shared" si="6"/>
        <v>71.446960158912475</v>
      </c>
      <c r="G46" s="247">
        <f t="shared" si="8"/>
        <v>0.51928567744648113</v>
      </c>
      <c r="H46" s="246"/>
      <c r="J46" s="182">
        <f>IFERROR('Emissions Factors'!B31*$B46,"")</f>
        <v>89.326202493901562</v>
      </c>
      <c r="K46" s="178"/>
      <c r="L46" s="182"/>
      <c r="M46" s="178"/>
      <c r="N46" s="163"/>
      <c r="O46" s="182">
        <f>IFERROR(E46*'Emissions Factors'!B31,"")</f>
        <v>379.04843088518635</v>
      </c>
      <c r="P46" s="180"/>
      <c r="Q46" s="180"/>
      <c r="R46" s="180"/>
      <c r="T46" s="180">
        <f t="shared" si="0"/>
        <v>379.04843088518635</v>
      </c>
      <c r="U46" s="180">
        <f t="shared" si="1"/>
        <v>89.326202493901562</v>
      </c>
      <c r="V46" s="181"/>
      <c r="X46" s="180">
        <f t="shared" si="2"/>
        <v>379.04843088518635</v>
      </c>
      <c r="Y46" s="180">
        <f t="shared" si="3"/>
        <v>89.326202493901562</v>
      </c>
    </row>
    <row r="47" spans="1:25" ht="15.6" x14ac:dyDescent="0.3">
      <c r="A47" s="152">
        <v>2035</v>
      </c>
      <c r="B47" s="178">
        <f t="shared" si="4"/>
        <v>179.87000278439265</v>
      </c>
      <c r="C47" s="182">
        <f t="shared" si="5"/>
        <v>17.01271101391589</v>
      </c>
      <c r="D47" s="183"/>
      <c r="E47" s="179">
        <f t="shared" si="7"/>
        <v>763.26363838642817</v>
      </c>
      <c r="F47" s="183">
        <f t="shared" si="6"/>
        <v>72.192047068923671</v>
      </c>
      <c r="G47" s="247">
        <f t="shared" si="8"/>
        <v>0.51595259354785616</v>
      </c>
      <c r="H47" s="246"/>
      <c r="J47" s="182">
        <f>IFERROR('Emissions Factors'!B32*$B47,"")</f>
        <v>98.121558560267218</v>
      </c>
      <c r="K47" s="178"/>
      <c r="L47" s="182"/>
      <c r="M47" s="178"/>
      <c r="N47" s="163"/>
      <c r="O47" s="182">
        <f>IFERROR(E47*'Emissions Factors'!B32,"")</f>
        <v>416.37080464511439</v>
      </c>
      <c r="P47" s="180"/>
      <c r="Q47" s="180"/>
      <c r="R47" s="180"/>
      <c r="T47" s="180">
        <f t="shared" si="0"/>
        <v>416.37080464511439</v>
      </c>
      <c r="U47" s="180">
        <f t="shared" si="1"/>
        <v>98.121558560267218</v>
      </c>
      <c r="V47" s="181"/>
      <c r="X47" s="180">
        <f t="shared" si="2"/>
        <v>416.37080464511439</v>
      </c>
      <c r="Y47" s="180">
        <f t="shared" si="3"/>
        <v>98.121558560267218</v>
      </c>
    </row>
    <row r="48" spans="1:25" ht="15.6" x14ac:dyDescent="0.3">
      <c r="A48" s="152">
        <v>2036</v>
      </c>
      <c r="B48" s="178">
        <f t="shared" si="4"/>
        <v>196.96643519414235</v>
      </c>
      <c r="C48" s="182">
        <f t="shared" si="5"/>
        <v>17.096432409749696</v>
      </c>
      <c r="D48" s="183"/>
      <c r="E48" s="179">
        <f t="shared" si="7"/>
        <v>835.8109503478056</v>
      </c>
      <c r="F48" s="183">
        <f t="shared" si="6"/>
        <v>72.547311961377432</v>
      </c>
      <c r="G48" s="247">
        <f t="shared" si="8"/>
        <v>0.51270999169212017</v>
      </c>
      <c r="H48" s="246"/>
      <c r="J48" s="182">
        <f>IFERROR('Emissions Factors'!B33*$B48,"")</f>
        <v>106.89133173957346</v>
      </c>
      <c r="K48" s="178"/>
      <c r="L48" s="182"/>
      <c r="M48" s="178"/>
      <c r="N48" s="163"/>
      <c r="O48" s="182">
        <f>IFERROR(E48*'Emissions Factors'!B33,"")</f>
        <v>453.58461951720591</v>
      </c>
      <c r="P48" s="180"/>
      <c r="Q48" s="180"/>
      <c r="R48" s="180"/>
      <c r="T48" s="180">
        <f t="shared" si="0"/>
        <v>453.58461951720591</v>
      </c>
      <c r="U48" s="180">
        <f t="shared" si="1"/>
        <v>106.89133173957346</v>
      </c>
      <c r="V48" s="181"/>
      <c r="X48" s="180">
        <f t="shared" si="2"/>
        <v>453.58461951720591</v>
      </c>
      <c r="Y48" s="180">
        <f t="shared" si="3"/>
        <v>106.89133173957346</v>
      </c>
    </row>
    <row r="49" spans="1:25" ht="15.6" x14ac:dyDescent="0.3">
      <c r="A49" s="152">
        <v>2037</v>
      </c>
      <c r="B49" s="178">
        <f t="shared" si="4"/>
        <v>214.16557152201196</v>
      </c>
      <c r="C49" s="182">
        <f t="shared" si="5"/>
        <v>17.19913632786961</v>
      </c>
      <c r="D49" s="183"/>
      <c r="E49" s="179">
        <f t="shared" si="7"/>
        <v>908.79407798165391</v>
      </c>
      <c r="F49" s="183">
        <f t="shared" si="6"/>
        <v>72.983127633848312</v>
      </c>
      <c r="G49" s="247">
        <f t="shared" si="8"/>
        <v>0.50950329772966718</v>
      </c>
      <c r="H49" s="246"/>
      <c r="J49" s="182">
        <f>IFERROR('Emissions Factors'!B34*$B49,"")</f>
        <v>115.60537691603039</v>
      </c>
      <c r="K49" s="178"/>
      <c r="L49" s="182"/>
      <c r="M49" s="178"/>
      <c r="N49" s="163"/>
      <c r="O49" s="182">
        <f>IFERROR(E49*'Emissions Factors'!B34,"")</f>
        <v>490.56195716932581</v>
      </c>
      <c r="P49" s="180"/>
      <c r="Q49" s="180"/>
      <c r="R49" s="180"/>
      <c r="T49" s="180">
        <f t="shared" si="0"/>
        <v>490.56195716932581</v>
      </c>
      <c r="U49" s="180">
        <f t="shared" si="1"/>
        <v>115.60537691603039</v>
      </c>
      <c r="V49" s="181"/>
      <c r="X49" s="180">
        <f t="shared" si="2"/>
        <v>490.56195716932581</v>
      </c>
      <c r="Y49" s="180">
        <f t="shared" si="3"/>
        <v>115.60537691603039</v>
      </c>
    </row>
    <row r="50" spans="1:25" ht="15.6" x14ac:dyDescent="0.3">
      <c r="A50" s="152">
        <v>2038</v>
      </c>
      <c r="B50" s="178">
        <f t="shared" si="4"/>
        <v>231.53412954396043</v>
      </c>
      <c r="C50" s="182">
        <f t="shared" si="5"/>
        <v>17.368558021948473</v>
      </c>
      <c r="D50" s="183"/>
      <c r="E50" s="179">
        <f t="shared" si="7"/>
        <v>982.49613271086218</v>
      </c>
      <c r="F50" s="183">
        <f t="shared" si="6"/>
        <v>73.702054729208271</v>
      </c>
      <c r="G50" s="247">
        <f t="shared" si="8"/>
        <v>0.50629779931876484</v>
      </c>
      <c r="H50" s="246"/>
      <c r="J50" s="182">
        <f>IFERROR('Emissions Factors'!B35*$B50,"")</f>
        <v>124.31149406228779</v>
      </c>
      <c r="K50" s="178"/>
      <c r="L50" s="182"/>
      <c r="M50" s="178"/>
      <c r="N50" s="163"/>
      <c r="O50" s="182">
        <f>IFERROR(E50*'Emissions Factors'!B35,"")</f>
        <v>527.50565287402992</v>
      </c>
      <c r="P50" s="180"/>
      <c r="Q50" s="180"/>
      <c r="R50" s="180"/>
      <c r="T50" s="180">
        <f t="shared" si="0"/>
        <v>527.50565287402992</v>
      </c>
      <c r="U50" s="180">
        <f t="shared" si="1"/>
        <v>124.31149406228779</v>
      </c>
      <c r="V50" s="181"/>
      <c r="X50" s="180">
        <f t="shared" si="2"/>
        <v>527.50565287402992</v>
      </c>
      <c r="Y50" s="180">
        <f t="shared" si="3"/>
        <v>124.31149406228779</v>
      </c>
    </row>
    <row r="51" spans="1:25" ht="15.6" x14ac:dyDescent="0.3">
      <c r="A51" s="152">
        <v>2039</v>
      </c>
      <c r="B51" s="178">
        <f t="shared" si="4"/>
        <v>249.19921665976494</v>
      </c>
      <c r="C51" s="182">
        <f t="shared" si="5"/>
        <v>17.665087115804511</v>
      </c>
      <c r="D51" s="183"/>
      <c r="E51" s="179">
        <f t="shared" si="7"/>
        <v>1057.4564843854223</v>
      </c>
      <c r="F51" s="183">
        <f t="shared" si="6"/>
        <v>74.960351674560115</v>
      </c>
      <c r="G51" s="247">
        <f t="shared" si="8"/>
        <v>0.50306642770044996</v>
      </c>
      <c r="H51" s="246"/>
      <c r="J51" s="182">
        <f>IFERROR('Emissions Factors'!B36*$B51,"")</f>
        <v>133.07196974932523</v>
      </c>
      <c r="K51" s="178"/>
      <c r="L51" s="182"/>
      <c r="M51" s="178"/>
      <c r="N51" s="163"/>
      <c r="O51" s="182">
        <f>IFERROR(E51*'Emissions Factors'!B36,"")</f>
        <v>564.68001459847551</v>
      </c>
      <c r="P51" s="180"/>
      <c r="Q51" s="180"/>
      <c r="R51" s="180"/>
      <c r="T51" s="180">
        <f t="shared" si="0"/>
        <v>564.68001459847551</v>
      </c>
      <c r="U51" s="180">
        <f t="shared" si="1"/>
        <v>133.07196974932523</v>
      </c>
      <c r="V51" s="181"/>
      <c r="X51" s="180">
        <f t="shared" si="2"/>
        <v>564.68001459847551</v>
      </c>
      <c r="Y51" s="180">
        <f t="shared" si="3"/>
        <v>133.07196974932523</v>
      </c>
    </row>
    <row r="52" spans="1:25" ht="15.6" x14ac:dyDescent="0.3">
      <c r="A52" s="152">
        <v>2040</v>
      </c>
      <c r="B52" s="178">
        <f t="shared" si="4"/>
        <v>267.26694151812546</v>
      </c>
      <c r="C52" s="182">
        <f t="shared" si="5"/>
        <v>18.067724858360521</v>
      </c>
      <c r="D52" s="183"/>
      <c r="E52" s="179">
        <f t="shared" si="7"/>
        <v>1134.125396373418</v>
      </c>
      <c r="F52" s="183">
        <f t="shared" si="6"/>
        <v>76.668911987995671</v>
      </c>
      <c r="G52" s="247">
        <f t="shared" si="8"/>
        <v>0.49979119446050019</v>
      </c>
      <c r="H52" s="246"/>
      <c r="J52" s="182">
        <f>IFERROR('Emissions Factors'!B37*$B52,"")</f>
        <v>141.88672314586927</v>
      </c>
      <c r="K52" s="178"/>
      <c r="L52" s="182"/>
      <c r="M52" s="178"/>
      <c r="N52" s="163"/>
      <c r="O52" s="182">
        <f>IFERROR(E52*'Emissions Factors'!B37,"")</f>
        <v>602.08469934176776</v>
      </c>
      <c r="P52" s="180"/>
      <c r="Q52" s="180"/>
      <c r="R52" s="180"/>
      <c r="T52" s="180">
        <f t="shared" si="0"/>
        <v>602.08469934176776</v>
      </c>
      <c r="U52" s="180">
        <f t="shared" si="1"/>
        <v>141.88672314586927</v>
      </c>
      <c r="V52" s="181"/>
      <c r="X52" s="180">
        <f t="shared" si="2"/>
        <v>602.08469934176776</v>
      </c>
      <c r="Y52" s="180">
        <f t="shared" si="3"/>
        <v>141.88672314586927</v>
      </c>
    </row>
    <row r="53" spans="1:25" ht="15.6" x14ac:dyDescent="0.3">
      <c r="A53" s="152">
        <v>2041</v>
      </c>
      <c r="B53" s="178">
        <f t="shared" si="4"/>
        <v>285.75879180596002</v>
      </c>
      <c r="C53" s="182">
        <f t="shared" si="5"/>
        <v>18.491850287834552</v>
      </c>
      <c r="D53" s="183"/>
      <c r="E53" s="179">
        <f t="shared" si="7"/>
        <v>1212.5940499159885</v>
      </c>
      <c r="F53" s="183">
        <f t="shared" si="6"/>
        <v>78.468653542570564</v>
      </c>
      <c r="G53" s="247">
        <f t="shared" si="8"/>
        <v>0.49646891632430351</v>
      </c>
      <c r="H53" s="246"/>
      <c r="J53" s="182">
        <f>IFERROR('Emissions Factors'!B38*$B53,"")</f>
        <v>150.9335230505063</v>
      </c>
      <c r="K53" s="178"/>
      <c r="L53" s="182"/>
      <c r="M53" s="178"/>
      <c r="N53" s="163"/>
      <c r="O53" s="182">
        <f>IFERROR(E53*'Emissions Factors'!B38,"")</f>
        <v>640.47405445421691</v>
      </c>
      <c r="P53" s="180"/>
      <c r="Q53" s="180"/>
      <c r="R53" s="180"/>
      <c r="T53" s="180">
        <f t="shared" si="0"/>
        <v>640.47405445421691</v>
      </c>
      <c r="U53" s="180">
        <f t="shared" si="1"/>
        <v>150.9335230505063</v>
      </c>
      <c r="V53" s="181"/>
      <c r="X53" s="180">
        <f t="shared" si="2"/>
        <v>640.47405445421691</v>
      </c>
      <c r="Y53" s="180">
        <f t="shared" si="3"/>
        <v>150.9335230505063</v>
      </c>
    </row>
    <row r="54" spans="1:25" ht="15.6" x14ac:dyDescent="0.3">
      <c r="A54" s="152">
        <v>2042</v>
      </c>
      <c r="B54" s="178">
        <f t="shared" si="4"/>
        <v>304.66903569139373</v>
      </c>
      <c r="C54" s="182">
        <f t="shared" si="5"/>
        <v>18.910243885433715</v>
      </c>
      <c r="D54" s="183"/>
      <c r="E54" s="179">
        <f t="shared" si="7"/>
        <v>1292.8381224535985</v>
      </c>
      <c r="F54" s="183">
        <f t="shared" si="6"/>
        <v>80.244072537610009</v>
      </c>
      <c r="G54" s="247">
        <f t="shared" si="8"/>
        <v>0.49308999747574928</v>
      </c>
      <c r="H54" s="246"/>
      <c r="J54" s="182">
        <f>IFERROR('Emissions Factors'!B39*$B54,"")</f>
        <v>160.03303894897488</v>
      </c>
      <c r="K54" s="178"/>
      <c r="L54" s="182"/>
      <c r="M54" s="178"/>
      <c r="N54" s="163"/>
      <c r="O54" s="182">
        <f>IFERROR(E54*'Emissions Factors'!B39,"")</f>
        <v>679.08710557283825</v>
      </c>
      <c r="P54" s="180"/>
      <c r="Q54" s="180"/>
      <c r="R54" s="180"/>
      <c r="T54" s="180">
        <f t="shared" si="0"/>
        <v>679.08710557283825</v>
      </c>
      <c r="U54" s="180">
        <f t="shared" si="1"/>
        <v>160.03303894897488</v>
      </c>
      <c r="V54" s="181"/>
      <c r="X54" s="180">
        <f t="shared" si="2"/>
        <v>679.08710557283825</v>
      </c>
      <c r="Y54" s="180">
        <f t="shared" si="3"/>
        <v>160.03303894897488</v>
      </c>
    </row>
    <row r="55" spans="1:25" ht="15.6" x14ac:dyDescent="0.3">
      <c r="A55" s="152">
        <v>2043</v>
      </c>
      <c r="B55" s="178">
        <f t="shared" si="4"/>
        <v>324.05621094563099</v>
      </c>
      <c r="C55" s="182">
        <f t="shared" si="5"/>
        <v>19.387175254237263</v>
      </c>
      <c r="D55" s="183"/>
      <c r="E55" s="179">
        <f t="shared" si="7"/>
        <v>1375.1060142283154</v>
      </c>
      <c r="F55" s="183">
        <f t="shared" si="6"/>
        <v>82.267891774716873</v>
      </c>
      <c r="G55" s="247">
        <f t="shared" si="8"/>
        <v>0.48963386859024094</v>
      </c>
      <c r="H55" s="246"/>
      <c r="J55" s="182">
        <f>IFERROR('Emissions Factors'!B40*$B55,"")</f>
        <v>169.26682727508381</v>
      </c>
      <c r="K55" s="178"/>
      <c r="L55" s="182"/>
      <c r="M55" s="178"/>
      <c r="N55" s="163"/>
      <c r="O55" s="182">
        <f>IFERROR(E55*'Emissions Factors'!B40,"")</f>
        <v>718.26993075088706</v>
      </c>
      <c r="P55" s="180"/>
      <c r="Q55" s="180"/>
      <c r="R55" s="180"/>
      <c r="T55" s="180">
        <f t="shared" si="0"/>
        <v>718.26993075088706</v>
      </c>
      <c r="U55" s="180">
        <f t="shared" si="1"/>
        <v>169.26682727508381</v>
      </c>
      <c r="V55" s="181"/>
      <c r="X55" s="180">
        <f t="shared" si="2"/>
        <v>718.26993075088706</v>
      </c>
      <c r="Y55" s="180">
        <f t="shared" si="3"/>
        <v>169.26682727508381</v>
      </c>
    </row>
    <row r="56" spans="1:25" ht="15.6" x14ac:dyDescent="0.3">
      <c r="A56" s="152">
        <v>2044</v>
      </c>
      <c r="B56" s="178">
        <f t="shared" si="4"/>
        <v>343.98738894946246</v>
      </c>
      <c r="C56" s="182">
        <f t="shared" si="5"/>
        <v>19.931178003831462</v>
      </c>
      <c r="D56" s="183"/>
      <c r="E56" s="179">
        <f t="shared" si="7"/>
        <v>1459.6823371561979</v>
      </c>
      <c r="F56" s="183">
        <f t="shared" si="6"/>
        <v>84.576322927882529</v>
      </c>
      <c r="G56" s="247">
        <f t="shared" si="8"/>
        <v>0.48608028333902814</v>
      </c>
      <c r="H56" s="246"/>
      <c r="J56" s="182">
        <f>IFERROR('Emissions Factors'!B41*$B56,"")</f>
        <v>178.66365380783739</v>
      </c>
      <c r="K56" s="178"/>
      <c r="L56" s="182"/>
      <c r="M56" s="178"/>
      <c r="N56" s="163"/>
      <c r="O56" s="182">
        <f>IFERROR(E56*'Emissions Factors'!B41,"")</f>
        <v>758.14459521771801</v>
      </c>
      <c r="P56" s="180"/>
      <c r="Q56" s="180"/>
      <c r="R56" s="180"/>
      <c r="T56" s="180">
        <f t="shared" si="0"/>
        <v>758.14459521771801</v>
      </c>
      <c r="U56" s="180">
        <f t="shared" si="1"/>
        <v>178.66365380783739</v>
      </c>
      <c r="V56" s="181"/>
      <c r="X56" s="180">
        <f t="shared" si="2"/>
        <v>758.14459521771801</v>
      </c>
      <c r="Y56" s="180">
        <f t="shared" si="3"/>
        <v>178.66365380783739</v>
      </c>
    </row>
    <row r="57" spans="1:25" ht="15.6" x14ac:dyDescent="0.3">
      <c r="A57" s="152">
        <v>2045</v>
      </c>
      <c r="B57" s="178">
        <f t="shared" si="4"/>
        <v>364.52586254692841</v>
      </c>
      <c r="C57" s="182">
        <f t="shared" si="5"/>
        <v>20.538473597465952</v>
      </c>
      <c r="D57" s="183"/>
      <c r="E57" s="179">
        <f t="shared" si="7"/>
        <v>1546.8356692417949</v>
      </c>
      <c r="F57" s="183">
        <f t="shared" si="6"/>
        <v>87.153332085596958</v>
      </c>
      <c r="G57" s="247">
        <f t="shared" si="8"/>
        <v>0.4824223536941401</v>
      </c>
      <c r="H57" s="246"/>
      <c r="J57" s="182">
        <f>IFERROR('Emissions Factors'!B42*$B57,"")</f>
        <v>188.21060180725499</v>
      </c>
      <c r="K57" s="178"/>
      <c r="L57" s="182"/>
      <c r="M57" s="178"/>
      <c r="N57" s="163"/>
      <c r="O57" s="182">
        <f>IFERROR(E57*'Emissions Factors'!B42,"")</f>
        <v>798.65628784417618</v>
      </c>
      <c r="P57" s="180"/>
      <c r="Q57" s="180"/>
      <c r="R57" s="180"/>
      <c r="T57" s="180">
        <f t="shared" si="0"/>
        <v>798.65628784417618</v>
      </c>
      <c r="U57" s="180">
        <f t="shared" si="1"/>
        <v>188.21060180725499</v>
      </c>
      <c r="V57" s="181"/>
      <c r="X57" s="180">
        <f t="shared" si="2"/>
        <v>798.65628784417618</v>
      </c>
      <c r="Y57" s="180">
        <f t="shared" si="3"/>
        <v>188.21060180725499</v>
      </c>
    </row>
    <row r="58" spans="1:25" ht="15.6" x14ac:dyDescent="0.3">
      <c r="A58" s="152">
        <v>2046</v>
      </c>
      <c r="B58" s="178">
        <f t="shared" si="4"/>
        <v>385.71593010042398</v>
      </c>
      <c r="C58" s="182">
        <f t="shared" si="5"/>
        <v>21.190067553495567</v>
      </c>
      <c r="D58" s="183"/>
      <c r="E58" s="179">
        <f t="shared" si="7"/>
        <v>1636.7539869610773</v>
      </c>
      <c r="F58" s="183">
        <f t="shared" si="6"/>
        <v>89.918317719282413</v>
      </c>
      <c r="G58" s="247">
        <f t="shared" si="8"/>
        <v>0.47867144069929424</v>
      </c>
      <c r="H58" s="246"/>
      <c r="J58" s="182">
        <f>IFERROR('Emissions Factors'!B43*$B58,"")</f>
        <v>198.03863804231952</v>
      </c>
      <c r="K58" s="178"/>
      <c r="L58" s="182"/>
      <c r="M58" s="178"/>
      <c r="N58" s="163"/>
      <c r="O58" s="182">
        <f>IFERROR(E58*'Emissions Factors'!B43,"")</f>
        <v>840.36075539767262</v>
      </c>
      <c r="P58" s="180"/>
      <c r="Q58" s="180"/>
      <c r="R58" s="180"/>
      <c r="T58" s="180">
        <f t="shared" si="0"/>
        <v>840.36075539767262</v>
      </c>
      <c r="U58" s="180">
        <f t="shared" si="1"/>
        <v>198.03863804231952</v>
      </c>
      <c r="V58" s="181"/>
      <c r="X58" s="180">
        <f t="shared" si="2"/>
        <v>840.36075539767262</v>
      </c>
      <c r="Y58" s="180">
        <f t="shared" si="3"/>
        <v>198.03863804231952</v>
      </c>
    </row>
    <row r="59" spans="1:25" ht="15.6" x14ac:dyDescent="0.3">
      <c r="A59" s="152">
        <v>2047</v>
      </c>
      <c r="B59" s="178">
        <f t="shared" si="4"/>
        <v>407.59919839728047</v>
      </c>
      <c r="C59" s="182">
        <f t="shared" si="5"/>
        <v>21.8832682968565</v>
      </c>
      <c r="D59" s="183"/>
      <c r="E59" s="179">
        <f t="shared" si="7"/>
        <v>1729.6138453114791</v>
      </c>
      <c r="F59" s="183">
        <f t="shared" si="6"/>
        <v>92.859858350401737</v>
      </c>
      <c r="G59" s="247">
        <f t="shared" si="8"/>
        <v>0.47484230929403126</v>
      </c>
      <c r="H59" s="246"/>
      <c r="J59" s="182">
        <f>IFERROR('Emissions Factors'!B44*$B59,"")</f>
        <v>208.04449572659854</v>
      </c>
      <c r="K59" s="178"/>
      <c r="L59" s="182"/>
      <c r="M59" s="178"/>
      <c r="N59" s="163"/>
      <c r="O59" s="182">
        <f>IFERROR(E59*'Emissions Factors'!B44,"")</f>
        <v>882.81979372011085</v>
      </c>
      <c r="P59" s="180"/>
      <c r="Q59" s="180"/>
      <c r="R59" s="180"/>
      <c r="T59" s="180">
        <f t="shared" si="0"/>
        <v>882.81979372011085</v>
      </c>
      <c r="U59" s="180">
        <f t="shared" si="1"/>
        <v>208.04449572659854</v>
      </c>
      <c r="V59" s="181"/>
      <c r="X59" s="180">
        <f t="shared" si="2"/>
        <v>882.81979372011085</v>
      </c>
      <c r="Y59" s="180">
        <f t="shared" si="3"/>
        <v>208.04449572659854</v>
      </c>
    </row>
    <row r="60" spans="1:25" ht="15.6" x14ac:dyDescent="0.3">
      <c r="A60" s="152">
        <v>2048</v>
      </c>
      <c r="B60" s="178">
        <f t="shared" si="4"/>
        <v>430.23343579333584</v>
      </c>
      <c r="C60" s="182">
        <f t="shared" si="5"/>
        <v>22.634237396055369</v>
      </c>
      <c r="D60" s="183"/>
      <c r="E60" s="179">
        <f t="shared" si="7"/>
        <v>1825.660379583921</v>
      </c>
      <c r="F60" s="183">
        <f t="shared" si="6"/>
        <v>96.046534272441932</v>
      </c>
      <c r="G60" s="247">
        <f t="shared" si="8"/>
        <v>0.47094050174225316</v>
      </c>
      <c r="H60" s="246"/>
      <c r="J60" s="182">
        <f>IFERROR('Emissions Factors'!B45*$B60,"")</f>
        <v>218.28694899450664</v>
      </c>
      <c r="K60" s="178"/>
      <c r="L60" s="182"/>
      <c r="M60" s="178"/>
      <c r="N60" s="163"/>
      <c r="O60" s="182">
        <f>IFERROR(E60*'Emissions Factors'!B45,"")</f>
        <v>926.28280604150086</v>
      </c>
      <c r="P60" s="180"/>
      <c r="Q60" s="180"/>
      <c r="R60" s="180"/>
      <c r="T60" s="180">
        <f t="shared" si="0"/>
        <v>926.28280604150086</v>
      </c>
      <c r="U60" s="180">
        <f t="shared" si="1"/>
        <v>218.28694899450664</v>
      </c>
      <c r="V60" s="181"/>
      <c r="X60" s="180">
        <f t="shared" si="2"/>
        <v>926.28280604150086</v>
      </c>
      <c r="Y60" s="180">
        <f t="shared" si="3"/>
        <v>218.28694899450664</v>
      </c>
    </row>
    <row r="61" spans="1:25" ht="15.6" x14ac:dyDescent="0.3">
      <c r="A61" s="152">
        <v>2049</v>
      </c>
      <c r="B61" s="178">
        <f t="shared" si="4"/>
        <v>453.68033474271431</v>
      </c>
      <c r="C61" s="182">
        <f t="shared" si="5"/>
        <v>23.446898949378465</v>
      </c>
      <c r="D61" s="183"/>
      <c r="E61" s="179">
        <f t="shared" si="7"/>
        <v>1925.1553766592999</v>
      </c>
      <c r="F61" s="183">
        <f t="shared" si="6"/>
        <v>99.494997075378933</v>
      </c>
      <c r="G61" s="247">
        <f t="shared" si="8"/>
        <v>0.46697321887770893</v>
      </c>
      <c r="H61" s="246"/>
      <c r="J61" s="182">
        <f>IFERROR('Emissions Factors'!B46*$B61,"")</f>
        <v>228.99672392990928</v>
      </c>
      <c r="K61" s="178"/>
      <c r="L61" s="182"/>
      <c r="M61" s="178"/>
      <c r="N61" s="163"/>
      <c r="O61" s="182">
        <f>IFERROR(E61*'Emissions Factors'!B46,"")</f>
        <v>971.72885961883742</v>
      </c>
      <c r="P61" s="180"/>
      <c r="Q61" s="180"/>
      <c r="R61" s="180"/>
      <c r="T61" s="180">
        <f t="shared" si="0"/>
        <v>971.72885961883742</v>
      </c>
      <c r="U61" s="180">
        <f t="shared" si="1"/>
        <v>228.99672392990928</v>
      </c>
      <c r="V61" s="181"/>
      <c r="X61" s="180">
        <f t="shared" si="2"/>
        <v>971.72885961883742</v>
      </c>
      <c r="Y61" s="180">
        <f t="shared" si="3"/>
        <v>228.99672392990928</v>
      </c>
    </row>
    <row r="62" spans="1:25" ht="15.6" x14ac:dyDescent="0.3">
      <c r="A62" s="152">
        <v>2050</v>
      </c>
      <c r="B62" s="178">
        <f t="shared" si="4"/>
        <v>477.99604929182345</v>
      </c>
      <c r="C62" s="182">
        <f t="shared" si="5"/>
        <v>24.315714549109146</v>
      </c>
      <c r="D62" s="183"/>
      <c r="E62" s="179">
        <f t="shared" si="7"/>
        <v>2028.3371216385644</v>
      </c>
      <c r="F62" s="183">
        <f t="shared" si="6"/>
        <v>103.18174497926452</v>
      </c>
      <c r="G62" s="247">
        <f t="shared" si="8"/>
        <v>0.46295220138288878</v>
      </c>
      <c r="H62" s="246"/>
      <c r="J62" s="182">
        <f>IFERROR('Emissions Factors'!B47*$B62,"")</f>
        <v>240.4404554293256</v>
      </c>
      <c r="K62" s="178"/>
      <c r="L62" s="182"/>
      <c r="M62" s="178"/>
      <c r="N62" s="163"/>
      <c r="O62" s="182">
        <f>IFERROR(E62*'Emissions Factors'!B47,"")</f>
        <v>1020.2893978172599</v>
      </c>
      <c r="P62" s="180"/>
      <c r="Q62" s="180"/>
      <c r="R62" s="180"/>
      <c r="T62" s="180">
        <f t="shared" si="0"/>
        <v>1020.2893978172599</v>
      </c>
      <c r="U62" s="180">
        <f t="shared" si="1"/>
        <v>240.4404554293256</v>
      </c>
      <c r="V62" s="181"/>
      <c r="X62" s="180">
        <f t="shared" si="2"/>
        <v>1020.2893978172599</v>
      </c>
      <c r="Y62" s="180">
        <f t="shared" si="3"/>
        <v>240.4404554293256</v>
      </c>
    </row>
    <row r="63" spans="1:25" ht="15.6" x14ac:dyDescent="0.3">
      <c r="A63" s="152">
        <v>2051</v>
      </c>
      <c r="B63" s="178">
        <f t="shared" si="4"/>
        <v>503.22592544429949</v>
      </c>
      <c r="C63" s="182">
        <f t="shared" si="5"/>
        <v>25.229876152476038</v>
      </c>
      <c r="D63" s="183"/>
      <c r="E63" s="179">
        <f t="shared" si="7"/>
        <v>2135.398036577566</v>
      </c>
      <c r="F63" s="183">
        <f t="shared" si="6"/>
        <v>107.06091493900158</v>
      </c>
      <c r="G63" s="247">
        <f t="shared" si="8"/>
        <v>0.45889164168801611</v>
      </c>
      <c r="H63" s="246"/>
      <c r="J63" s="182">
        <f>IFERROR('Emissions Factors'!B48*$B63,"")</f>
        <v>252.16404421237624</v>
      </c>
      <c r="K63" s="178"/>
      <c r="L63" s="182"/>
      <c r="M63" s="178"/>
      <c r="N63" s="163"/>
      <c r="O63" s="182">
        <f>IFERROR(E63*'Emissions Factors'!B48,"")</f>
        <v>1070.0374874985816</v>
      </c>
      <c r="P63" s="180"/>
      <c r="Q63" s="180"/>
      <c r="R63" s="180"/>
      <c r="T63" s="180" t="str">
        <f t="shared" si="0"/>
        <v/>
      </c>
      <c r="U63" s="180" t="str">
        <f t="shared" si="1"/>
        <v/>
      </c>
      <c r="V63" s="181"/>
      <c r="X63" s="180">
        <f t="shared" si="2"/>
        <v>1070.0374874985816</v>
      </c>
      <c r="Y63" s="180">
        <f t="shared" si="3"/>
        <v>252.16404421237624</v>
      </c>
    </row>
    <row r="64" spans="1:25" ht="15.6" x14ac:dyDescent="0.3">
      <c r="A64" s="152">
        <v>2052</v>
      </c>
      <c r="B64" s="178">
        <f t="shared" si="4"/>
        <v>529.40763194567353</v>
      </c>
      <c r="C64" s="182">
        <f t="shared" si="5"/>
        <v>26.181706501374038</v>
      </c>
      <c r="D64" s="183"/>
      <c r="E64" s="179">
        <f t="shared" si="7"/>
        <v>2246.4979657156023</v>
      </c>
      <c r="F64" s="183">
        <f t="shared" si="6"/>
        <v>111.09992913803626</v>
      </c>
      <c r="G64" s="247">
        <f t="shared" si="8"/>
        <v>0.45481046840024325</v>
      </c>
      <c r="H64" s="246"/>
      <c r="J64" s="182">
        <f>IFERROR('Emissions Factors'!B49*$B64,"")</f>
        <v>264.30397628513725</v>
      </c>
      <c r="K64" s="178"/>
      <c r="L64" s="182"/>
      <c r="M64" s="178"/>
      <c r="N64" s="163"/>
      <c r="O64" s="182">
        <f>IFERROR(E64*'Emissions Factors'!B49,"")</f>
        <v>1121.5522958611894</v>
      </c>
      <c r="P64" s="180"/>
      <c r="Q64" s="180"/>
      <c r="R64" s="180"/>
      <c r="T64" s="180" t="str">
        <f t="shared" si="0"/>
        <v/>
      </c>
      <c r="U64" s="180" t="str">
        <f t="shared" si="1"/>
        <v/>
      </c>
      <c r="V64" s="181"/>
      <c r="X64" s="180">
        <f t="shared" si="2"/>
        <v>1121.5522958611894</v>
      </c>
      <c r="Y64" s="180">
        <f t="shared" si="3"/>
        <v>264.30397628513725</v>
      </c>
    </row>
    <row r="65" spans="1:25" ht="15.6" x14ac:dyDescent="0.3">
      <c r="A65" s="152">
        <v>2053</v>
      </c>
      <c r="B65" s="178">
        <f t="shared" si="4"/>
        <v>556.58072304623454</v>
      </c>
      <c r="C65" s="182">
        <f t="shared" si="5"/>
        <v>27.17309110056101</v>
      </c>
      <c r="D65" s="183"/>
      <c r="E65" s="179">
        <f t="shared" si="7"/>
        <v>2361.8047542771228</v>
      </c>
      <c r="F65" s="183">
        <f t="shared" si="6"/>
        <v>115.30678856152053</v>
      </c>
      <c r="G65" s="247">
        <f t="shared" si="8"/>
        <v>0.45073118206497009</v>
      </c>
      <c r="H65" s="246"/>
      <c r="J65" s="182">
        <f>IFERROR('Emissions Factors'!B50*$B65,"")</f>
        <v>276.81854508735421</v>
      </c>
      <c r="K65" s="178"/>
      <c r="L65" s="182"/>
      <c r="M65" s="178"/>
      <c r="N65" s="163"/>
      <c r="O65" s="182">
        <f>IFERROR(E65*'Emissions Factors'!B50,"")</f>
        <v>1174.6568445294135</v>
      </c>
      <c r="P65" s="180"/>
      <c r="Q65" s="180"/>
      <c r="R65" s="180"/>
      <c r="T65" s="180" t="str">
        <f t="shared" si="0"/>
        <v/>
      </c>
      <c r="U65" s="180" t="str">
        <f t="shared" si="1"/>
        <v/>
      </c>
      <c r="V65" s="181"/>
      <c r="X65" s="180">
        <f t="shared" si="2"/>
        <v>1174.6568445294135</v>
      </c>
      <c r="Y65" s="180">
        <f t="shared" si="3"/>
        <v>276.81854508735421</v>
      </c>
    </row>
    <row r="66" spans="1:25" ht="15.6" x14ac:dyDescent="0.3">
      <c r="A66" s="152">
        <v>2054</v>
      </c>
      <c r="B66" s="178">
        <f t="shared" si="4"/>
        <v>584.78035222238793</v>
      </c>
      <c r="C66" s="182">
        <f t="shared" si="5"/>
        <v>28.199629176153394</v>
      </c>
      <c r="D66" s="183"/>
      <c r="E66" s="179">
        <f t="shared" si="7"/>
        <v>2481.4675731627099</v>
      </c>
      <c r="F66" s="183">
        <f t="shared" si="6"/>
        <v>119.66281888558706</v>
      </c>
      <c r="G66" s="247">
        <f t="shared" si="8"/>
        <v>0.44667598037164641</v>
      </c>
      <c r="H66" s="246"/>
      <c r="J66" s="182">
        <f>IFERROR('Emissions Factors'!B51*$B66,"")</f>
        <v>289.71524601207591</v>
      </c>
      <c r="K66" s="178"/>
      <c r="L66" s="182"/>
      <c r="M66" s="178"/>
      <c r="N66" s="163"/>
      <c r="O66" s="182">
        <f>IFERROR(E66*'Emissions Factors'!B51,"")</f>
        <v>1229.3829395903226</v>
      </c>
      <c r="P66" s="180"/>
      <c r="Q66" s="180"/>
      <c r="R66" s="180"/>
      <c r="T66" s="180" t="str">
        <f t="shared" si="0"/>
        <v/>
      </c>
      <c r="U66" s="180" t="str">
        <f t="shared" si="1"/>
        <v/>
      </c>
      <c r="V66" s="181"/>
      <c r="X66" s="180">
        <f t="shared" si="2"/>
        <v>1229.3829395903226</v>
      </c>
      <c r="Y66" s="180">
        <f t="shared" si="3"/>
        <v>289.71524601207591</v>
      </c>
    </row>
    <row r="67" spans="1:25" ht="15.6" x14ac:dyDescent="0.3">
      <c r="A67" s="152">
        <v>2055</v>
      </c>
      <c r="B67" s="178">
        <f t="shared" si="4"/>
        <v>614.03971995230916</v>
      </c>
      <c r="C67" s="182">
        <f t="shared" si="5"/>
        <v>29.259367729921223</v>
      </c>
      <c r="D67" s="183"/>
      <c r="E67" s="179">
        <f t="shared" si="7"/>
        <v>2605.6273058847687</v>
      </c>
      <c r="F67" s="183">
        <f t="shared" si="6"/>
        <v>124.15973272205883</v>
      </c>
      <c r="G67" s="247">
        <f t="shared" si="8"/>
        <v>0.4426618341072564</v>
      </c>
      <c r="H67" s="246"/>
      <c r="J67" s="182">
        <f>IFERROR('Emissions Factors'!B52*$B67,"")</f>
        <v>302.97471317132022</v>
      </c>
      <c r="K67" s="178"/>
      <c r="L67" s="182"/>
      <c r="M67" s="178"/>
      <c r="N67" s="163"/>
      <c r="O67" s="182">
        <f>IFERROR(E67*'Emissions Factors'!B52,"")</f>
        <v>1285.6484034829396</v>
      </c>
      <c r="P67" s="180"/>
      <c r="Q67" s="180"/>
      <c r="R67" s="180"/>
      <c r="T67" s="180" t="str">
        <f t="shared" si="0"/>
        <v/>
      </c>
      <c r="U67" s="180" t="str">
        <f t="shared" si="1"/>
        <v/>
      </c>
      <c r="V67" s="181"/>
      <c r="X67" s="180">
        <f t="shared" si="2"/>
        <v>1285.6484034829396</v>
      </c>
      <c r="Y67" s="180">
        <f t="shared" si="3"/>
        <v>302.97471317132022</v>
      </c>
    </row>
    <row r="68" spans="1:25" ht="15.6" x14ac:dyDescent="0.3">
      <c r="A68" s="152">
        <v>2056</v>
      </c>
      <c r="B68" s="178">
        <f t="shared" si="4"/>
        <v>644.39644485226461</v>
      </c>
      <c r="C68" s="182">
        <f t="shared" si="5"/>
        <v>30.356724899955452</v>
      </c>
      <c r="D68" s="183"/>
      <c r="E68" s="179">
        <f t="shared" si="7"/>
        <v>2734.4435839631628</v>
      </c>
      <c r="F68" s="183">
        <f t="shared" si="6"/>
        <v>128.81627807839413</v>
      </c>
      <c r="G68" s="247">
        <f t="shared" si="8"/>
        <v>0.43869482016414313</v>
      </c>
      <c r="H68" s="246"/>
      <c r="J68" s="182">
        <f>IFERROR('Emissions Factors'!B53*$B68,"")</f>
        <v>316.67999628095868</v>
      </c>
      <c r="K68" s="178"/>
      <c r="L68" s="182"/>
      <c r="M68" s="178"/>
      <c r="N68" s="163"/>
      <c r="O68" s="182">
        <f>IFERROR(E68*'Emissions Factors'!B53,"")</f>
        <v>1343.8056508807606</v>
      </c>
      <c r="P68" s="180"/>
      <c r="Q68" s="180"/>
      <c r="R68" s="180"/>
      <c r="T68" s="180" t="str">
        <f t="shared" si="0"/>
        <v/>
      </c>
      <c r="U68" s="180" t="str">
        <f t="shared" si="1"/>
        <v/>
      </c>
      <c r="V68" s="181"/>
      <c r="X68" s="180">
        <f t="shared" si="2"/>
        <v>1343.8056508807606</v>
      </c>
      <c r="Y68" s="180">
        <f t="shared" si="3"/>
        <v>316.67999628095868</v>
      </c>
    </row>
    <row r="69" spans="1:25" ht="15.6" x14ac:dyDescent="0.3">
      <c r="A69" s="152">
        <v>2057</v>
      </c>
      <c r="B69" s="178">
        <f t="shared" si="4"/>
        <v>675.88018846491673</v>
      </c>
      <c r="C69" s="182">
        <f t="shared" si="5"/>
        <v>31.48374361265212</v>
      </c>
      <c r="D69" s="183"/>
      <c r="E69" s="179">
        <f t="shared" si="7"/>
        <v>2868.0422737270319</v>
      </c>
      <c r="F69" s="183">
        <f t="shared" si="6"/>
        <v>133.59868976386906</v>
      </c>
      <c r="G69" s="247">
        <f t="shared" si="8"/>
        <v>0.43478042609819295</v>
      </c>
      <c r="H69" s="246"/>
      <c r="J69" s="182">
        <f>IFERROR('Emissions Factors'!B54*$B69,"")</f>
        <v>330.75814483671661</v>
      </c>
      <c r="K69" s="178"/>
      <c r="L69" s="182"/>
      <c r="M69" s="178"/>
      <c r="N69" s="163"/>
      <c r="O69" s="182">
        <f>IFERROR(E69*'Emissions Factors'!B54,"")</f>
        <v>1403.5451222883012</v>
      </c>
      <c r="P69" s="180"/>
      <c r="Q69" s="180"/>
      <c r="R69" s="180"/>
      <c r="T69" s="180" t="str">
        <f t="shared" si="0"/>
        <v/>
      </c>
      <c r="U69" s="180" t="str">
        <f t="shared" si="1"/>
        <v/>
      </c>
      <c r="V69" s="181"/>
      <c r="X69" s="180">
        <f t="shared" si="2"/>
        <v>1403.5451222883012</v>
      </c>
      <c r="Y69" s="180">
        <f t="shared" si="3"/>
        <v>330.75814483671661</v>
      </c>
    </row>
    <row r="70" spans="1:25" ht="15.6" x14ac:dyDescent="0.3">
      <c r="A70" s="152">
        <v>2058</v>
      </c>
      <c r="B70" s="178">
        <f t="shared" si="4"/>
        <v>708.50067908765789</v>
      </c>
      <c r="C70" s="182">
        <f t="shared" si="5"/>
        <v>32.620490622741158</v>
      </c>
      <c r="D70" s="183"/>
      <c r="E70" s="179">
        <f t="shared" si="7"/>
        <v>3006.4646564103114</v>
      </c>
      <c r="F70" s="183">
        <f t="shared" si="6"/>
        <v>138.42238268327947</v>
      </c>
      <c r="G70" s="247">
        <f t="shared" si="8"/>
        <v>0.43092905765296707</v>
      </c>
      <c r="H70" s="246"/>
      <c r="J70" s="182">
        <f>IFERROR('Emissions Factors'!B55*$B70,"")</f>
        <v>345.22672863039088</v>
      </c>
      <c r="K70" s="178"/>
      <c r="L70" s="182"/>
      <c r="M70" s="178"/>
      <c r="N70" s="163"/>
      <c r="O70" s="182">
        <f>IFERROR(E70*'Emissions Factors'!B55,"")</f>
        <v>1464.9413736793472</v>
      </c>
      <c r="P70" s="180"/>
      <c r="Q70" s="180"/>
      <c r="R70" s="180"/>
      <c r="T70" s="180" t="str">
        <f t="shared" si="0"/>
        <v/>
      </c>
      <c r="U70" s="180" t="str">
        <f t="shared" si="1"/>
        <v/>
      </c>
      <c r="V70" s="181"/>
      <c r="X70" s="180">
        <f t="shared" si="2"/>
        <v>1464.9413736793472</v>
      </c>
      <c r="Y70" s="180">
        <f t="shared" si="3"/>
        <v>345.22672863039088</v>
      </c>
    </row>
    <row r="71" spans="1:25" ht="15.6" x14ac:dyDescent="0.3">
      <c r="A71" s="152">
        <v>2059</v>
      </c>
      <c r="B71" s="178">
        <f t="shared" si="4"/>
        <v>742.25791728685613</v>
      </c>
      <c r="C71" s="182">
        <f t="shared" si="5"/>
        <v>33.757238199198241</v>
      </c>
      <c r="D71" s="183"/>
      <c r="E71" s="179">
        <f t="shared" si="7"/>
        <v>3149.7107344163383</v>
      </c>
      <c r="F71" s="183">
        <f t="shared" si="6"/>
        <v>143.24607800602689</v>
      </c>
      <c r="G71" s="247">
        <f t="shared" si="8"/>
        <v>0.42715016601942957</v>
      </c>
      <c r="H71" s="246"/>
      <c r="J71" s="182">
        <f>IFERROR('Emissions Factors'!B56*$B71,"")</f>
        <v>360.0728385553</v>
      </c>
      <c r="K71" s="178"/>
      <c r="L71" s="182"/>
      <c r="M71" s="178"/>
      <c r="N71" s="163"/>
      <c r="O71" s="182">
        <f>IFERROR(E71*'Emissions Factors'!B56,"")</f>
        <v>1527.9396263160245</v>
      </c>
      <c r="P71" s="180"/>
      <c r="Q71" s="180"/>
      <c r="R71" s="180"/>
      <c r="T71" s="180" t="str">
        <f t="shared" si="0"/>
        <v/>
      </c>
      <c r="U71" s="180" t="str">
        <f t="shared" si="1"/>
        <v/>
      </c>
      <c r="V71" s="181"/>
      <c r="X71" s="180">
        <f t="shared" si="2"/>
        <v>1527.9396263160245</v>
      </c>
      <c r="Y71" s="180">
        <f t="shared" si="3"/>
        <v>360.0728385553</v>
      </c>
    </row>
    <row r="72" spans="1:25" ht="15.6" x14ac:dyDescent="0.3">
      <c r="A72" s="152">
        <v>2060</v>
      </c>
      <c r="B72" s="178">
        <f t="shared" si="4"/>
        <v>777.15557561049491</v>
      </c>
      <c r="C72" s="182">
        <f t="shared" si="5"/>
        <v>34.89765832363878</v>
      </c>
      <c r="D72" s="183"/>
      <c r="E72" s="179">
        <f t="shared" si="7"/>
        <v>3297.7960919019629</v>
      </c>
      <c r="F72" s="183">
        <f t="shared" si="6"/>
        <v>148.08535748562463</v>
      </c>
      <c r="G72" s="247">
        <f t="shared" si="8"/>
        <v>0.42344797785119276</v>
      </c>
      <c r="H72" s="246"/>
      <c r="J72" s="182">
        <f>IFERROR('Emissions Factors'!B57*$B72,"")</f>
        <v>375.41049104294916</v>
      </c>
      <c r="K72" s="178"/>
      <c r="L72" s="182"/>
      <c r="M72" s="178"/>
      <c r="N72" s="163"/>
      <c r="O72" s="182">
        <f>IFERROR(E72*'Emissions Factors'!B57,"")</f>
        <v>1593.023699595672</v>
      </c>
      <c r="P72" s="180"/>
      <c r="Q72" s="180"/>
      <c r="R72" s="180"/>
      <c r="T72" s="180" t="str">
        <f t="shared" si="0"/>
        <v/>
      </c>
      <c r="U72" s="180" t="str">
        <f t="shared" si="1"/>
        <v/>
      </c>
      <c r="V72" s="181"/>
      <c r="X72" s="180">
        <f t="shared" si="2"/>
        <v>1593.023699595672</v>
      </c>
      <c r="Y72" s="180">
        <f t="shared" si="3"/>
        <v>375.41049104294916</v>
      </c>
    </row>
    <row r="81" spans="1:25" ht="15.6" x14ac:dyDescent="0.3">
      <c r="A81" s="184" t="s">
        <v>229</v>
      </c>
      <c r="B81" s="185" t="s">
        <v>230</v>
      </c>
      <c r="C81" s="186"/>
      <c r="D81" s="186"/>
      <c r="E81" s="186"/>
      <c r="F81" s="186"/>
      <c r="G81" s="186"/>
      <c r="H81" s="186"/>
      <c r="I81" s="186"/>
      <c r="J81" s="186"/>
      <c r="K81" s="186"/>
      <c r="P81" s="187"/>
    </row>
    <row r="82" spans="1:25" ht="15.6" x14ac:dyDescent="0.3">
      <c r="A82" s="184"/>
      <c r="B82" s="185"/>
      <c r="C82" s="186"/>
      <c r="D82" s="186"/>
      <c r="E82" s="186"/>
      <c r="F82" s="186"/>
      <c r="G82" s="186"/>
      <c r="H82" s="186"/>
      <c r="I82" s="186"/>
      <c r="J82" s="186"/>
      <c r="K82" s="186"/>
      <c r="P82" s="187"/>
    </row>
    <row r="83" spans="1:2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row>
    <row r="84" spans="1:2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25" ht="15.6" x14ac:dyDescent="0.3">
      <c r="A85" s="194">
        <v>2014</v>
      </c>
      <c r="B85" s="253">
        <f>(B137/Population_Tables!O3)*Population_Tables!C3</f>
        <v>22547.961862911307</v>
      </c>
      <c r="C85" s="253">
        <f>(C137/Population_Tables!P3)*Population_Tables!D3</f>
        <v>9630.9413150014097</v>
      </c>
      <c r="D85" s="253">
        <f>(D137/Population_Tables!Q3)*Population_Tables!E3</f>
        <v>2021.8145594545779</v>
      </c>
      <c r="E85" s="253">
        <f>(E137/Population_Tables!R3)*Population_Tables!F3</f>
        <v>8068.073345583688</v>
      </c>
      <c r="F85" s="253">
        <f>(F137/Population_Tables!S3)*Population_Tables!G3</f>
        <v>1750.2724017574915</v>
      </c>
      <c r="G85" s="253">
        <f>(G137/Population_Tables!T3)*Population_Tables!H3</f>
        <v>1681.5739091403352</v>
      </c>
      <c r="H85" s="253">
        <f>(H137/Population_Tables!U3)*Population_Tables!I3</f>
        <v>5262.7731992619747</v>
      </c>
      <c r="I85" s="253">
        <f>(I137/Population_Tables!V3)*Population_Tables!J3</f>
        <v>1324.8796753128709</v>
      </c>
      <c r="J85" s="253">
        <f>(J137/Population_Tables!W3)*Population_Tables!K3</f>
        <v>3379.5507078190226</v>
      </c>
      <c r="K85" s="253">
        <f>(K137/Population_Tables!X3)*Population_Tables!L3</f>
        <v>4226.0825845289046</v>
      </c>
      <c r="N85" s="195">
        <f t="shared" ref="N85:N131" si="9">SUMIF($C$83:$G$83,"Y",C85:G85)-H85</f>
        <v>4555.5725480792053</v>
      </c>
      <c r="O85" s="195">
        <f>H85</f>
        <v>5262.7731992619747</v>
      </c>
      <c r="P85" s="195">
        <f t="shared" ref="P85:P131" si="10">SUMIF($C$83:$G$83,"N",C85:G85)-(IF($E$83="N",H85))</f>
        <v>13334.329783596324</v>
      </c>
      <c r="Q85" s="195">
        <f>N85+P85+O85</f>
        <v>23152.675530937504</v>
      </c>
      <c r="R85" s="196">
        <f>N85/Q85</f>
        <v>0.19676225073822989</v>
      </c>
      <c r="U85" s="197">
        <v>0</v>
      </c>
      <c r="V85" s="195">
        <f>O85-O137</f>
        <v>0</v>
      </c>
      <c r="W85" s="197">
        <v>0</v>
      </c>
      <c r="X85" s="195">
        <f>U85+V85+W85</f>
        <v>0</v>
      </c>
      <c r="Y85" s="196">
        <v>0</v>
      </c>
    </row>
    <row r="86" spans="1:25" ht="15.6" x14ac:dyDescent="0.3">
      <c r="A86" s="194">
        <v>2015</v>
      </c>
      <c r="B86" s="253">
        <f>(B138/Population_Tables!O4)*Population_Tables!C4</f>
        <v>23915.255001683807</v>
      </c>
      <c r="C86" s="253">
        <f>(C138/Population_Tables!P4)*Population_Tables!D4</f>
        <v>9686.0671189920522</v>
      </c>
      <c r="D86" s="253">
        <f>(D138/Population_Tables!Q4)*Population_Tables!E4</f>
        <v>2046.0814937388261</v>
      </c>
      <c r="E86" s="253">
        <f>(E138/Population_Tables!R4)*Population_Tables!F4</f>
        <v>8518.2186592687212</v>
      </c>
      <c r="F86" s="253">
        <f>(F138/Population_Tables!S4)*Population_Tables!G4</f>
        <v>1813.4394541410954</v>
      </c>
      <c r="G86" s="253">
        <f>(G138/Population_Tables!T4)*Population_Tables!H4</f>
        <v>1729.3735674604757</v>
      </c>
      <c r="H86" s="253">
        <f>(H138/Population_Tables!U4)*Population_Tables!I4</f>
        <v>5577.4664453458345</v>
      </c>
      <c r="I86" s="253">
        <f>(I138/Population_Tables!V4)*Population_Tables!J4</f>
        <v>1407.7581128041975</v>
      </c>
      <c r="J86" s="253">
        <f>(J138/Population_Tables!W4)*Population_Tables!K4</f>
        <v>3402.8797255738145</v>
      </c>
      <c r="K86" s="253">
        <f>(K138/Population_Tables!X4)*Population_Tables!L4</f>
        <v>4238.1594004195249</v>
      </c>
      <c r="N86" s="195">
        <f t="shared" si="9"/>
        <v>4754.1916680639815</v>
      </c>
      <c r="O86" s="195">
        <f t="shared" ref="O86:O131" si="11">H86</f>
        <v>5577.4664453458345</v>
      </c>
      <c r="P86" s="195">
        <f t="shared" si="10"/>
        <v>13461.522180191354</v>
      </c>
      <c r="Q86" s="195">
        <f t="shared" ref="Q86:Q131" si="12">N86+P86+O86</f>
        <v>23793.18029360117</v>
      </c>
      <c r="R86" s="196">
        <f t="shared" ref="R86:R130" si="13">N86/Q86</f>
        <v>0.19981320737280978</v>
      </c>
      <c r="U86" s="197">
        <v>0</v>
      </c>
      <c r="V86" s="195">
        <f t="shared" ref="V86:W131" si="14">O86-O138</f>
        <v>0</v>
      </c>
      <c r="W86" s="197">
        <v>0</v>
      </c>
      <c r="X86" s="195">
        <f>U86+V86+W86</f>
        <v>0</v>
      </c>
      <c r="Y86" s="196">
        <v>0</v>
      </c>
    </row>
    <row r="87" spans="1:25" ht="15.6" x14ac:dyDescent="0.3">
      <c r="A87" s="194">
        <v>2016</v>
      </c>
      <c r="B87" s="253">
        <f>(B139/Population_Tables!O5)*Population_Tables!C5</f>
        <v>24739.30629593461</v>
      </c>
      <c r="C87" s="253">
        <f>(C139/Population_Tables!P5)*Population_Tables!D5</f>
        <v>9726.5990525762081</v>
      </c>
      <c r="D87" s="253">
        <f>(D139/Population_Tables!Q5)*Population_Tables!E5</f>
        <v>2070.428741086751</v>
      </c>
      <c r="E87" s="253">
        <f>(E139/Population_Tables!R5)*Population_Tables!F5</f>
        <v>8971.4549856688882</v>
      </c>
      <c r="F87" s="253">
        <f>(F139/Population_Tables!S5)*Population_Tables!G5</f>
        <v>1887.4339185753947</v>
      </c>
      <c r="G87" s="253">
        <f>(G139/Population_Tables!T5)*Population_Tables!H5</f>
        <v>1782.3859231283234</v>
      </c>
      <c r="H87" s="253">
        <f>(H139/Population_Tables!U5)*Population_Tables!I5</f>
        <v>5868.2723694275974</v>
      </c>
      <c r="I87" s="253">
        <f>(I139/Population_Tables!V5)*Population_Tables!J5</f>
        <v>1508.5612696673247</v>
      </c>
      <c r="J87" s="253">
        <f>(J139/Population_Tables!W5)*Population_Tables!K5</f>
        <v>3423.0292912990535</v>
      </c>
      <c r="K87" s="253">
        <f>(K139/Population_Tables!X5)*Population_Tables!L5</f>
        <v>4238.1277941679373</v>
      </c>
      <c r="N87" s="195">
        <f t="shared" si="9"/>
        <v>4990.6165348166851</v>
      </c>
      <c r="O87" s="195">
        <f t="shared" si="11"/>
        <v>5868.2723694275974</v>
      </c>
      <c r="P87" s="195">
        <f t="shared" si="10"/>
        <v>13579.413716791283</v>
      </c>
      <c r="Q87" s="195">
        <f t="shared" si="12"/>
        <v>24438.302621035567</v>
      </c>
      <c r="R87" s="196">
        <f t="shared" si="13"/>
        <v>0.20421289531462594</v>
      </c>
      <c r="U87" s="195">
        <f>N87-N139</f>
        <v>-2.6910080647212453E-2</v>
      </c>
      <c r="V87" s="195">
        <f>O87-O139</f>
        <v>0</v>
      </c>
      <c r="W87" s="195">
        <f>P87-P139</f>
        <v>0</v>
      </c>
      <c r="X87" s="195">
        <f>U87+V87+W87</f>
        <v>-2.6910080647212453E-2</v>
      </c>
      <c r="Y87" s="196">
        <f t="shared" ref="Y87:Y131" si="15">U87/X87</f>
        <v>1</v>
      </c>
    </row>
    <row r="88" spans="1:25" ht="15.6" x14ac:dyDescent="0.3">
      <c r="A88" s="194">
        <v>2017</v>
      </c>
      <c r="B88" s="253">
        <f>(B140/Population_Tables!O6)*Population_Tables!C6</f>
        <v>25546.240411532512</v>
      </c>
      <c r="C88" s="253">
        <f>(C140/Population_Tables!P6)*Population_Tables!D6</f>
        <v>9770.8842395187457</v>
      </c>
      <c r="D88" s="253">
        <f>(D140/Population_Tables!Q6)*Population_Tables!E6</f>
        <v>2095.7792224505938</v>
      </c>
      <c r="E88" s="253">
        <f>(E140/Population_Tables!R6)*Population_Tables!F6</f>
        <v>9418.2291883803609</v>
      </c>
      <c r="F88" s="253">
        <f>(F140/Population_Tables!S6)*Population_Tables!G6</f>
        <v>1964.7784187355189</v>
      </c>
      <c r="G88" s="253">
        <f>(G140/Population_Tables!T6)*Population_Tables!H6</f>
        <v>1837.9864198060814</v>
      </c>
      <c r="H88" s="253">
        <f>(H140/Population_Tables!U6)*Population_Tables!I6</f>
        <v>6148.1519986387993</v>
      </c>
      <c r="I88" s="253">
        <f>(I140/Population_Tables!V6)*Population_Tables!J6</f>
        <v>1613.1515839387532</v>
      </c>
      <c r="J88" s="253">
        <f>(J140/Population_Tables!W6)*Population_Tables!K6</f>
        <v>3443.151250776792</v>
      </c>
      <c r="K88" s="253">
        <f>(K140/Population_Tables!X6)*Population_Tables!L6</f>
        <v>4240.9063341350993</v>
      </c>
      <c r="N88" s="195">
        <f t="shared" si="9"/>
        <v>5234.8556084770808</v>
      </c>
      <c r="O88" s="195">
        <f>H88</f>
        <v>6148.1519986387993</v>
      </c>
      <c r="P88" s="195">
        <f t="shared" si="10"/>
        <v>13704.649881775422</v>
      </c>
      <c r="Q88" s="195">
        <f t="shared" si="12"/>
        <v>25087.657488891302</v>
      </c>
      <c r="R88" s="196">
        <f t="shared" si="13"/>
        <v>0.20866259078971605</v>
      </c>
      <c r="U88" s="195">
        <f>N88-N140</f>
        <v>-2.7517603919477551E-2</v>
      </c>
      <c r="V88" s="195">
        <f t="shared" si="14"/>
        <v>0</v>
      </c>
      <c r="W88" s="195">
        <f t="shared" si="14"/>
        <v>0</v>
      </c>
      <c r="X88" s="195">
        <f t="shared" ref="X88:X131" si="16">U88+V88+W88</f>
        <v>-2.7517603919477551E-2</v>
      </c>
      <c r="Y88" s="196">
        <f t="shared" si="15"/>
        <v>1</v>
      </c>
    </row>
    <row r="89" spans="1:25" ht="15.6" x14ac:dyDescent="0.3">
      <c r="A89" s="194">
        <v>2018</v>
      </c>
      <c r="B89" s="253">
        <f>(B141/Population_Tables!O7)*Population_Tables!C7</f>
        <v>26336.85049461438</v>
      </c>
      <c r="C89" s="253">
        <f>(C141/Population_Tables!P7)*Population_Tables!D7</f>
        <v>9818.7957197155065</v>
      </c>
      <c r="D89" s="253">
        <f>(D141/Population_Tables!Q7)*Population_Tables!E7</f>
        <v>2122.0850939795155</v>
      </c>
      <c r="E89" s="253">
        <f>(E141/Population_Tables!R7)*Population_Tables!F7</f>
        <v>9858.924785112371</v>
      </c>
      <c r="F89" s="253">
        <f>(F141/Population_Tables!S7)*Population_Tables!G7</f>
        <v>2045.5882881505904</v>
      </c>
      <c r="G89" s="253">
        <f>(G141/Population_Tables!T7)*Population_Tables!H7</f>
        <v>1896.1329063562314</v>
      </c>
      <c r="H89" s="253">
        <f>(H141/Population_Tables!U7)*Population_Tables!I7</f>
        <v>6417.386572932719</v>
      </c>
      <c r="I89" s="253">
        <f>(I141/Population_Tables!V7)*Population_Tables!J7</f>
        <v>1721.486365312953</v>
      </c>
      <c r="J89" s="253">
        <f>(J141/Population_Tables!W7)*Population_Tables!K7</f>
        <v>3463.3007975448368</v>
      </c>
      <c r="K89" s="253">
        <f>(K141/Population_Tables!X7)*Population_Tables!L7</f>
        <v>4246.3997643960429</v>
      </c>
      <c r="N89" s="195">
        <f t="shared" si="9"/>
        <v>5487.1265003302433</v>
      </c>
      <c r="O89" s="195">
        <f t="shared" si="11"/>
        <v>6417.386572932719</v>
      </c>
      <c r="P89" s="195">
        <f t="shared" si="10"/>
        <v>13837.013720051253</v>
      </c>
      <c r="Q89" s="195">
        <f t="shared" si="12"/>
        <v>25741.526793314213</v>
      </c>
      <c r="R89" s="196">
        <f t="shared" si="13"/>
        <v>0.21316243377434013</v>
      </c>
      <c r="U89" s="195">
        <f t="shared" ref="U89:U131" si="17">N89-N141</f>
        <v>-2.7968446134764235E-2</v>
      </c>
      <c r="V89" s="195">
        <f t="shared" si="14"/>
        <v>0</v>
      </c>
      <c r="W89" s="195">
        <f t="shared" si="14"/>
        <v>0</v>
      </c>
      <c r="X89" s="195">
        <f t="shared" si="16"/>
        <v>-2.7968446134764235E-2</v>
      </c>
      <c r="Y89" s="196">
        <f t="shared" si="15"/>
        <v>1</v>
      </c>
    </row>
    <row r="90" spans="1:25" ht="16.2" thickBot="1" x14ac:dyDescent="0.35">
      <c r="A90" s="198">
        <v>2019</v>
      </c>
      <c r="B90" s="253">
        <f>(B142/Population_Tables!O8)*Population_Tables!C8</f>
        <v>27111.929486078974</v>
      </c>
      <c r="C90" s="253">
        <f>(C142/Population_Tables!P8)*Population_Tables!D8</f>
        <v>9870.2065330623354</v>
      </c>
      <c r="D90" s="253">
        <f>(D142/Population_Tables!Q8)*Population_Tables!E8</f>
        <v>2149.2985118226766</v>
      </c>
      <c r="E90" s="253">
        <f>(E142/Population_Tables!R8)*Population_Tables!F8</f>
        <v>10293.925147812448</v>
      </c>
      <c r="F90" s="253">
        <f>(F142/Population_Tables!S8)*Population_Tables!G8</f>
        <v>2129.9788603497332</v>
      </c>
      <c r="G90" s="253">
        <f>(G142/Population_Tables!T8)*Population_Tables!H8</f>
        <v>1956.7832316412555</v>
      </c>
      <c r="H90" s="253">
        <f>(H142/Population_Tables!U8)*Population_Tables!I8</f>
        <v>6676.2573322626322</v>
      </c>
      <c r="I90" s="253">
        <f>(I142/Population_Tables!V8)*Population_Tables!J8</f>
        <v>1833.5229234843941</v>
      </c>
      <c r="J90" s="253">
        <f>(J142/Population_Tables!W8)*Population_Tables!K8</f>
        <v>3483.5331251409943</v>
      </c>
      <c r="K90" s="253">
        <f>(K142/Population_Tables!X8)*Population_Tables!L8</f>
        <v>4254.5128290257981</v>
      </c>
      <c r="N90" s="195">
        <f t="shared" si="9"/>
        <v>5747.6466758995484</v>
      </c>
      <c r="O90" s="195">
        <f t="shared" si="11"/>
        <v>6676.2573322626322</v>
      </c>
      <c r="P90" s="195">
        <f t="shared" si="10"/>
        <v>13976.288276526268</v>
      </c>
      <c r="Q90" s="195">
        <f t="shared" si="12"/>
        <v>26400.192284688448</v>
      </c>
      <c r="R90" s="199">
        <f t="shared" si="13"/>
        <v>0.21771230352867776</v>
      </c>
      <c r="U90" s="200">
        <f t="shared" si="17"/>
        <v>-2.84103880640032E-2</v>
      </c>
      <c r="V90" s="195">
        <f t="shared" si="14"/>
        <v>0</v>
      </c>
      <c r="W90" s="200">
        <f t="shared" si="14"/>
        <v>0</v>
      </c>
      <c r="X90" s="195">
        <f t="shared" si="16"/>
        <v>-2.84103880640032E-2</v>
      </c>
      <c r="Y90" s="199">
        <f t="shared" si="15"/>
        <v>1</v>
      </c>
    </row>
    <row r="91" spans="1:25" ht="15.6" x14ac:dyDescent="0.3">
      <c r="A91" s="201">
        <v>2020</v>
      </c>
      <c r="B91" s="253">
        <f>(B143/Population_Tables!O9)*Population_Tables!C9</f>
        <v>27872.270522663304</v>
      </c>
      <c r="C91" s="253">
        <f>(C143/Population_Tables!P9)*Population_Tables!D9</f>
        <v>9924.9897194550758</v>
      </c>
      <c r="D91" s="253">
        <f>(D143/Population_Tables!Q9)*Population_Tables!E9</f>
        <v>2177.3716321292377</v>
      </c>
      <c r="E91" s="253">
        <f>(E143/Population_Tables!R9)*Population_Tables!F9</f>
        <v>10723.613777414739</v>
      </c>
      <c r="F91" s="253">
        <f>(F143/Population_Tables!S9)*Population_Tables!G9</f>
        <v>2218.0654688620698</v>
      </c>
      <c r="G91" s="253">
        <f>(G143/Population_Tables!T9)*Population_Tables!H9</f>
        <v>2019.8952445236364</v>
      </c>
      <c r="H91" s="253">
        <f>(H143/Population_Tables!U9)*Population_Tables!I9</f>
        <v>6925.0455165818166</v>
      </c>
      <c r="I91" s="253">
        <f>(I143/Population_Tables!V9)*Population_Tables!J9</f>
        <v>1949.2185681475471</v>
      </c>
      <c r="J91" s="253">
        <f>(J143/Population_Tables!W9)*Population_Tables!K9</f>
        <v>3503.90342710307</v>
      </c>
      <c r="K91" s="253">
        <f>(K143/Population_Tables!X9)*Population_Tables!L9</f>
        <v>4265.1502720993967</v>
      </c>
      <c r="L91" s="202"/>
      <c r="M91" s="202"/>
      <c r="N91" s="195">
        <f t="shared" si="9"/>
        <v>6016.6337296949932</v>
      </c>
      <c r="O91" s="195">
        <f t="shared" si="11"/>
        <v>6925.0455165818166</v>
      </c>
      <c r="P91" s="195">
        <f t="shared" si="10"/>
        <v>14122.256596107949</v>
      </c>
      <c r="Q91" s="195">
        <f t="shared" si="12"/>
        <v>27063.935842384759</v>
      </c>
      <c r="R91" s="203">
        <f t="shared" si="13"/>
        <v>0.22231185311459239</v>
      </c>
      <c r="S91" s="202"/>
      <c r="T91" s="202"/>
      <c r="U91" s="204">
        <f>N91-N143</f>
        <v>-2.8862223862233805E-2</v>
      </c>
      <c r="V91" s="195">
        <f t="shared" si="14"/>
        <v>0</v>
      </c>
      <c r="W91" s="204">
        <f t="shared" si="14"/>
        <v>0</v>
      </c>
      <c r="X91" s="195">
        <f t="shared" si="16"/>
        <v>-2.8862223862233805E-2</v>
      </c>
      <c r="Y91" s="205">
        <f>U91/X91</f>
        <v>1</v>
      </c>
    </row>
    <row r="92" spans="1:25" ht="15.6" x14ac:dyDescent="0.3">
      <c r="A92" s="206">
        <v>2021</v>
      </c>
      <c r="B92" s="253">
        <f>(B144/Population_Tables!O10)*Population_Tables!C10</f>
        <v>28654.897300792538</v>
      </c>
      <c r="C92" s="253">
        <f>(C144/Population_Tables!P10)*Population_Tables!D10</f>
        <v>9993.3729949399003</v>
      </c>
      <c r="D92" s="253">
        <f>(D144/Population_Tables!Q10)*Population_Tables!E10</f>
        <v>2208.8740328106874</v>
      </c>
      <c r="E92" s="253">
        <f>(E144/Population_Tables!R10)*Population_Tables!F10</f>
        <v>11161.714261027373</v>
      </c>
      <c r="F92" s="253">
        <f>(F144/Population_Tables!S10)*Population_Tables!G10</f>
        <v>2313.0605045895927</v>
      </c>
      <c r="G92" s="253">
        <f>(G144/Population_Tables!T10)*Population_Tables!H10</f>
        <v>2089.3761394067228</v>
      </c>
      <c r="H92" s="253">
        <f>(H144/Population_Tables!U10)*Population_Tables!I10</f>
        <v>7171.5499749609917</v>
      </c>
      <c r="I92" s="253">
        <f>(I144/Population_Tables!V10)*Population_Tables!J10</f>
        <v>2070.9103449559843</v>
      </c>
      <c r="J92" s="253">
        <f>(J144/Population_Tables!W10)*Population_Tables!K10</f>
        <v>3528.1132658910597</v>
      </c>
      <c r="K92" s="253">
        <f>(K144/Population_Tables!X10)*Population_Tables!L10</f>
        <v>4282.7366686007044</v>
      </c>
      <c r="L92" s="170"/>
      <c r="M92" s="170"/>
      <c r="N92" s="195">
        <f t="shared" si="9"/>
        <v>6303.2247906559751</v>
      </c>
      <c r="O92" s="195">
        <f t="shared" si="11"/>
        <v>7171.5499749609917</v>
      </c>
      <c r="P92" s="195">
        <f t="shared" si="10"/>
        <v>14291.62316715731</v>
      </c>
      <c r="Q92" s="195">
        <f t="shared" si="12"/>
        <v>27766.397932774275</v>
      </c>
      <c r="R92" s="196">
        <f t="shared" si="13"/>
        <v>0.22700909228185903</v>
      </c>
      <c r="S92" s="170"/>
      <c r="T92" s="170"/>
      <c r="U92" s="195">
        <f t="shared" si="17"/>
        <v>8.8901916817285382</v>
      </c>
      <c r="V92" s="195">
        <f t="shared" si="14"/>
        <v>7.5176091174434987</v>
      </c>
      <c r="W92" s="195">
        <f t="shared" si="14"/>
        <v>16.921443453522443</v>
      </c>
      <c r="X92" s="195">
        <f t="shared" si="16"/>
        <v>33.32924425269448</v>
      </c>
      <c r="Y92" s="207">
        <f>U92/X92</f>
        <v>0.26673847190548933</v>
      </c>
    </row>
    <row r="93" spans="1:25" ht="15.6" x14ac:dyDescent="0.3">
      <c r="A93" s="206">
        <v>2022</v>
      </c>
      <c r="B93" s="253">
        <f>(B145/Population_Tables!O11)*Population_Tables!C11</f>
        <v>29434.979513811835</v>
      </c>
      <c r="C93" s="253">
        <f>(C145/Population_Tables!P11)*Population_Tables!D11</f>
        <v>10067.880105888309</v>
      </c>
      <c r="D93" s="253">
        <f>(D145/Population_Tables!Q11)*Population_Tables!E11</f>
        <v>2241.66274959373</v>
      </c>
      <c r="E93" s="253">
        <f>(E145/Population_Tables!R11)*Population_Tables!F11</f>
        <v>11600.698381036305</v>
      </c>
      <c r="F93" s="253">
        <f>(F145/Population_Tables!S11)*Population_Tables!G11</f>
        <v>2412.7358481995561</v>
      </c>
      <c r="G93" s="253">
        <f>(G145/Population_Tables!T11)*Population_Tables!H11</f>
        <v>2161.6186296035189</v>
      </c>
      <c r="H93" s="253">
        <f>(H145/Population_Tables!U11)*Population_Tables!I11</f>
        <v>7410.8023117024068</v>
      </c>
      <c r="I93" s="253">
        <f>(I145/Population_Tables!V11)*Population_Tables!J11</f>
        <v>2197.474301031933</v>
      </c>
      <c r="J93" s="253">
        <f>(J145/Population_Tables!W11)*Population_Tables!K11</f>
        <v>3553.4790000451094</v>
      </c>
      <c r="K93" s="253">
        <f>(K145/Population_Tables!X11)*Population_Tables!L11</f>
        <v>4304.1159189272439</v>
      </c>
      <c r="L93" s="170"/>
      <c r="M93" s="170"/>
      <c r="N93" s="195">
        <f t="shared" si="9"/>
        <v>6602.6319175334547</v>
      </c>
      <c r="O93" s="195">
        <f t="shared" si="11"/>
        <v>7410.8023117024068</v>
      </c>
      <c r="P93" s="195">
        <f t="shared" si="10"/>
        <v>14471.161485085559</v>
      </c>
      <c r="Q93" s="195">
        <f t="shared" si="12"/>
        <v>28484.595714321418</v>
      </c>
      <c r="R93" s="196">
        <f t="shared" si="13"/>
        <v>0.23179658169463851</v>
      </c>
      <c r="S93" s="170"/>
      <c r="T93" s="170"/>
      <c r="U93" s="195">
        <f t="shared" si="17"/>
        <v>21.723196775515135</v>
      </c>
      <c r="V93" s="195">
        <f t="shared" si="14"/>
        <v>17.303191701304058</v>
      </c>
      <c r="W93" s="195">
        <f t="shared" si="14"/>
        <v>37.754780864297572</v>
      </c>
      <c r="X93" s="195">
        <f t="shared" si="16"/>
        <v>76.781169341116765</v>
      </c>
      <c r="Y93" s="207">
        <f t="shared" si="15"/>
        <v>0.28292349493930197</v>
      </c>
    </row>
    <row r="94" spans="1:25" ht="15.6" x14ac:dyDescent="0.3">
      <c r="A94" s="206">
        <v>2023</v>
      </c>
      <c r="B94" s="253">
        <f>(B146/Population_Tables!O12)*Population_Tables!C12</f>
        <v>30212.39532201146</v>
      </c>
      <c r="C94" s="253">
        <f>(C146/Population_Tables!P12)*Population_Tables!D12</f>
        <v>10147.957092250064</v>
      </c>
      <c r="D94" s="253">
        <f>(D146/Population_Tables!Q12)*Population_Tables!E12</f>
        <v>2275.6606264395014</v>
      </c>
      <c r="E94" s="253">
        <f>(E146/Population_Tables!R12)*Population_Tables!F12</f>
        <v>12040.475309139596</v>
      </c>
      <c r="F94" s="253">
        <f>(F146/Population_Tables!S12)*Population_Tables!G12</f>
        <v>2517.2253366495715</v>
      </c>
      <c r="G94" s="253">
        <f>(G146/Population_Tables!T12)*Population_Tables!H12</f>
        <v>2236.7138194886784</v>
      </c>
      <c r="H94" s="253">
        <f>(H146/Population_Tables!U12)*Population_Tables!I12</f>
        <v>7642.8945246868852</v>
      </c>
      <c r="I94" s="253">
        <f>(I146/Population_Tables!V12)*Population_Tables!J12</f>
        <v>2328.7933209952635</v>
      </c>
      <c r="J94" s="253">
        <f>(J146/Population_Tables!W12)*Population_Tables!K12</f>
        <v>3579.9335648565716</v>
      </c>
      <c r="K94" s="253">
        <f>(K146/Population_Tables!X12)*Population_Tables!L12</f>
        <v>4328.9622512363167</v>
      </c>
      <c r="L94" s="170"/>
      <c r="M94" s="170"/>
      <c r="N94" s="195">
        <f t="shared" si="9"/>
        <v>6914.8061211022823</v>
      </c>
      <c r="O94" s="195">
        <f t="shared" si="11"/>
        <v>7642.8945246868852</v>
      </c>
      <c r="P94" s="195">
        <f t="shared" si="10"/>
        <v>14660.331538178245</v>
      </c>
      <c r="Q94" s="195">
        <f t="shared" si="12"/>
        <v>29218.032183967414</v>
      </c>
      <c r="R94" s="196">
        <f t="shared" si="13"/>
        <v>0.23666228025091268</v>
      </c>
      <c r="S94" s="170"/>
      <c r="T94" s="170"/>
      <c r="U94" s="195">
        <f>N94-N146</f>
        <v>38.203550528204687</v>
      </c>
      <c r="V94" s="195">
        <f t="shared" si="14"/>
        <v>29.167505679125497</v>
      </c>
      <c r="W94" s="195">
        <f t="shared" si="14"/>
        <v>62.17695561038272</v>
      </c>
      <c r="X94" s="195">
        <f t="shared" si="16"/>
        <v>129.5480118177129</v>
      </c>
      <c r="Y94" s="207">
        <f t="shared" si="15"/>
        <v>0.29489877916429108</v>
      </c>
    </row>
    <row r="95" spans="1:25" ht="15.6" x14ac:dyDescent="0.3">
      <c r="A95" s="206">
        <v>2024</v>
      </c>
      <c r="B95" s="253">
        <f>(B147/Population_Tables!O13)*Population_Tables!C13</f>
        <v>30987.570766754572</v>
      </c>
      <c r="C95" s="253">
        <f>(C147/Population_Tables!P13)*Population_Tables!D13</f>
        <v>10233.136725656912</v>
      </c>
      <c r="D95" s="253">
        <f>(D147/Population_Tables!Q13)*Population_Tables!E13</f>
        <v>2310.7852193211966</v>
      </c>
      <c r="E95" s="253">
        <f>(E147/Population_Tables!R13)*Population_Tables!F13</f>
        <v>12481.048298519199</v>
      </c>
      <c r="F95" s="253">
        <f>(F147/Population_Tables!S13)*Population_Tables!G13</f>
        <v>2626.7322127574134</v>
      </c>
      <c r="G95" s="253">
        <f>(G147/Population_Tables!T13)*Population_Tables!H13</f>
        <v>2314.9228695841234</v>
      </c>
      <c r="H95" s="253">
        <f>(H147/Population_Tables!U13)*Population_Tables!I13</f>
        <v>7867.9392206595985</v>
      </c>
      <c r="I95" s="253">
        <f>(I147/Population_Tables!V13)*Population_Tables!J13</f>
        <v>2464.7758834044289</v>
      </c>
      <c r="J95" s="253">
        <f>(J147/Population_Tables!W13)*Population_Tables!K13</f>
        <v>3607.4341027076202</v>
      </c>
      <c r="K95" s="253">
        <f>(K147/Population_Tables!X13)*Population_Tables!L13</f>
        <v>4357.0010355289451</v>
      </c>
      <c r="L95" s="170"/>
      <c r="M95" s="170"/>
      <c r="N95" s="195">
        <f t="shared" si="9"/>
        <v>7239.8412906170142</v>
      </c>
      <c r="O95" s="195">
        <f t="shared" si="11"/>
        <v>7867.9392206595985</v>
      </c>
      <c r="P95" s="195">
        <f t="shared" si="10"/>
        <v>14858.844814562231</v>
      </c>
      <c r="Q95" s="195">
        <f t="shared" si="12"/>
        <v>29966.625325838842</v>
      </c>
      <c r="R95" s="196">
        <f t="shared" si="13"/>
        <v>0.24159681685526438</v>
      </c>
      <c r="S95" s="170"/>
      <c r="T95" s="170"/>
      <c r="U95" s="195">
        <f t="shared" si="17"/>
        <v>58.207528890206959</v>
      </c>
      <c r="V95" s="195">
        <f t="shared" si="14"/>
        <v>42.941917842805196</v>
      </c>
      <c r="W95" s="195">
        <f t="shared" si="14"/>
        <v>90.116410911155981</v>
      </c>
      <c r="X95" s="195">
        <f t="shared" si="16"/>
        <v>191.26585764416814</v>
      </c>
      <c r="Y95" s="207">
        <f t="shared" si="15"/>
        <v>0.30432785865262219</v>
      </c>
    </row>
    <row r="96" spans="1:25" ht="15.6" x14ac:dyDescent="0.3">
      <c r="A96" s="206">
        <v>2025</v>
      </c>
      <c r="B96" s="253">
        <f>(B148/Population_Tables!O14)*Population_Tables!C14</f>
        <v>31761.041342691515</v>
      </c>
      <c r="C96" s="253">
        <f>(C148/Population_Tables!P14)*Population_Tables!D14</f>
        <v>10323.036444810272</v>
      </c>
      <c r="D96" s="253">
        <f>(D148/Population_Tables!Q14)*Population_Tables!E14</f>
        <v>2346.9680001127126</v>
      </c>
      <c r="E96" s="253">
        <f>(E148/Population_Tables!R14)*Population_Tables!F14</f>
        <v>12922.511195236288</v>
      </c>
      <c r="F96" s="253">
        <f>(F148/Population_Tables!S14)*Population_Tables!G14</f>
        <v>2741.4608066446758</v>
      </c>
      <c r="G96" s="253">
        <f>(G148/Population_Tables!T14)*Population_Tables!H14</f>
        <v>2396.4566365502851</v>
      </c>
      <c r="H96" s="253">
        <f>(H148/Population_Tables!U14)*Population_Tables!I14</f>
        <v>8086.0805898922608</v>
      </c>
      <c r="I96" s="253">
        <f>(I148/Population_Tables!V14)*Population_Tables!J14</f>
        <v>2605.350116945835</v>
      </c>
      <c r="J96" s="253">
        <f>(J148/Population_Tables!W14)*Population_Tables!K14</f>
        <v>3635.9614550861734</v>
      </c>
      <c r="K96" s="253">
        <f>(K148/Population_Tables!X14)*Population_Tables!L14</f>
        <v>4388.0066385774362</v>
      </c>
      <c r="L96" s="170"/>
      <c r="M96" s="170"/>
      <c r="N96" s="195">
        <f t="shared" si="9"/>
        <v>7577.8914119887031</v>
      </c>
      <c r="O96" s="195">
        <f t="shared" si="11"/>
        <v>8086.0805898922608</v>
      </c>
      <c r="P96" s="195">
        <f t="shared" si="10"/>
        <v>15066.46108147327</v>
      </c>
      <c r="Q96" s="195">
        <f t="shared" si="12"/>
        <v>30730.433083354234</v>
      </c>
      <c r="R96" s="196">
        <f t="shared" si="13"/>
        <v>0.24659240536682911</v>
      </c>
      <c r="S96" s="170"/>
      <c r="T96" s="170"/>
      <c r="U96" s="195">
        <f t="shared" si="17"/>
        <v>81.671504468424246</v>
      </c>
      <c r="V96" s="195">
        <f t="shared" si="14"/>
        <v>58.489378510779716</v>
      </c>
      <c r="W96" s="195">
        <f t="shared" si="14"/>
        <v>121.54986909488434</v>
      </c>
      <c r="X96" s="195">
        <f t="shared" si="16"/>
        <v>261.7107520740883</v>
      </c>
      <c r="Y96" s="207">
        <f t="shared" si="15"/>
        <v>0.31206782228535901</v>
      </c>
    </row>
    <row r="97" spans="1:25" ht="15.6" x14ac:dyDescent="0.3">
      <c r="A97" s="206">
        <v>2026</v>
      </c>
      <c r="B97" s="253">
        <f>(B149/Population_Tables!O15)*Population_Tables!C15</f>
        <v>32533.278990094492</v>
      </c>
      <c r="C97" s="253">
        <f>(C149/Population_Tables!P15)*Population_Tables!D15</f>
        <v>10417.36496708087</v>
      </c>
      <c r="D97" s="253">
        <f>(D149/Population_Tables!Q15)*Population_Tables!E15</f>
        <v>2384.1814243115896</v>
      </c>
      <c r="E97" s="253">
        <f>(E149/Population_Tables!R15)*Population_Tables!F15</f>
        <v>13365.060398004614</v>
      </c>
      <c r="F97" s="253">
        <f>(F149/Population_Tables!S15)*Population_Tables!G15</f>
        <v>2861.5930153266677</v>
      </c>
      <c r="G97" s="253">
        <f>(G149/Population_Tables!T15)*Population_Tables!H15</f>
        <v>2481.3480385807152</v>
      </c>
      <c r="H97" s="253">
        <f>(H149/Population_Tables!U15)*Population_Tables!I15</f>
        <v>8297.5074094292995</v>
      </c>
      <c r="I97" s="253">
        <f>(I149/Population_Tables!V15)*Population_Tables!J15</f>
        <v>2750.4619392522841</v>
      </c>
      <c r="J97" s="253">
        <f>(J149/Population_Tables!W15)*Population_Tables!K15</f>
        <v>3665.5228071292904</v>
      </c>
      <c r="K97" s="253">
        <f>(K149/Population_Tables!X15)*Population_Tables!L15</f>
        <v>4421.8036423338344</v>
      </c>
      <c r="L97" s="170"/>
      <c r="M97" s="170"/>
      <c r="N97" s="195">
        <f t="shared" si="9"/>
        <v>7929.1460039019821</v>
      </c>
      <c r="O97" s="195">
        <f t="shared" si="11"/>
        <v>8297.5074094292995</v>
      </c>
      <c r="P97" s="195">
        <f t="shared" si="10"/>
        <v>15282.894429973174</v>
      </c>
      <c r="Q97" s="195">
        <f t="shared" si="12"/>
        <v>31509.547843304455</v>
      </c>
      <c r="R97" s="196">
        <f t="shared" si="13"/>
        <v>0.25164264632844824</v>
      </c>
      <c r="S97" s="170"/>
      <c r="T97" s="170"/>
      <c r="U97" s="195">
        <f>N97-N149</f>
        <v>108.56738264334308</v>
      </c>
      <c r="V97" s="195">
        <f t="shared" si="14"/>
        <v>75.717424774198662</v>
      </c>
      <c r="W97" s="195">
        <f t="shared" si="14"/>
        <v>156.40837631589602</v>
      </c>
      <c r="X97" s="195">
        <f t="shared" si="16"/>
        <v>340.69318373343776</v>
      </c>
      <c r="Y97" s="207">
        <f t="shared" si="15"/>
        <v>0.31866614252044279</v>
      </c>
    </row>
    <row r="98" spans="1:25" ht="15.6" x14ac:dyDescent="0.3">
      <c r="A98" s="206">
        <v>2027</v>
      </c>
      <c r="B98" s="253">
        <f>(B150/Population_Tables!O16)*Population_Tables!C16</f>
        <v>33304.754987442306</v>
      </c>
      <c r="C98" s="253">
        <f>(C150/Population_Tables!P16)*Population_Tables!D16</f>
        <v>10515.917014571189</v>
      </c>
      <c r="D98" s="253">
        <f>(D150/Population_Tables!Q16)*Population_Tables!E16</f>
        <v>2422.4075685749681</v>
      </c>
      <c r="E98" s="253">
        <f>(E150/Population_Tables!R16)*Population_Tables!F16</f>
        <v>13809.028785826829</v>
      </c>
      <c r="F98" s="253">
        <f>(F150/Population_Tables!S16)*Population_Tables!G16</f>
        <v>2987.2832191162111</v>
      </c>
      <c r="G98" s="253">
        <f>(G150/Population_Tables!T16)*Population_Tables!H16</f>
        <v>2569.4987495162627</v>
      </c>
      <c r="H98" s="253">
        <f>(H150/Population_Tables!U16)*Population_Tables!I16</f>
        <v>8502.4604536531024</v>
      </c>
      <c r="I98" s="253">
        <f>(I150/Population_Tables!V16)*Population_Tables!J16</f>
        <v>2900.0932439891808</v>
      </c>
      <c r="J98" s="253">
        <f>(J150/Population_Tables!W16)*Population_Tables!K16</f>
        <v>3696.1507279232733</v>
      </c>
      <c r="K98" s="253">
        <f>(K150/Population_Tables!X16)*Population_Tables!L16</f>
        <v>4458.2638053723003</v>
      </c>
      <c r="L98" s="170"/>
      <c r="M98" s="170"/>
      <c r="N98" s="195">
        <f t="shared" si="9"/>
        <v>8293.8515512899376</v>
      </c>
      <c r="O98" s="195">
        <f t="shared" si="11"/>
        <v>8502.4604536531024</v>
      </c>
      <c r="P98" s="195">
        <f t="shared" si="10"/>
        <v>15507.823332662419</v>
      </c>
      <c r="Q98" s="195">
        <f t="shared" si="12"/>
        <v>32304.135337605461</v>
      </c>
      <c r="R98" s="196">
        <f t="shared" si="13"/>
        <v>0.2567427193024111</v>
      </c>
      <c r="S98" s="170"/>
      <c r="T98" s="170"/>
      <c r="U98" s="195">
        <f t="shared" si="17"/>
        <v>138.92403504391223</v>
      </c>
      <c r="V98" s="195">
        <f t="shared" si="14"/>
        <v>94.585591062173989</v>
      </c>
      <c r="W98" s="195">
        <f t="shared" si="14"/>
        <v>194.58736026717634</v>
      </c>
      <c r="X98" s="195">
        <f t="shared" si="16"/>
        <v>428.09698637326255</v>
      </c>
      <c r="Y98" s="207">
        <f t="shared" si="15"/>
        <v>0.32451533055825532</v>
      </c>
    </row>
    <row r="99" spans="1:25" ht="15.6" x14ac:dyDescent="0.3">
      <c r="A99" s="206">
        <v>2028</v>
      </c>
      <c r="B99" s="253">
        <f>(B151/Population_Tables!O17)*Population_Tables!C17</f>
        <v>34076.269267214942</v>
      </c>
      <c r="C99" s="253">
        <f>(C151/Population_Tables!P17)*Population_Tables!D17</f>
        <v>10618.567169879974</v>
      </c>
      <c r="D99" s="253">
        <f>(D151/Population_Tables!Q17)*Population_Tables!E17</f>
        <v>2461.6023288328865</v>
      </c>
      <c r="E99" s="253">
        <f>(E151/Population_Tables!R17)*Population_Tables!F17</f>
        <v>14254.916407807019</v>
      </c>
      <c r="F99" s="253">
        <f>(F151/Population_Tables!S17)*Population_Tables!G17</f>
        <v>3118.7011857415209</v>
      </c>
      <c r="G99" s="253">
        <f>(G151/Population_Tables!T17)*Population_Tables!H17</f>
        <v>2660.8715087302498</v>
      </c>
      <c r="H99" s="253">
        <f>(H151/Population_Tables!U17)*Population_Tables!I17</f>
        <v>8701.2309601987563</v>
      </c>
      <c r="I99" s="253">
        <f>(I151/Population_Tables!V17)*Population_Tables!J17</f>
        <v>3054.2853041903118</v>
      </c>
      <c r="J99" s="253">
        <f>(J151/Population_Tables!W17)*Population_Tables!K17</f>
        <v>3727.9031129428745</v>
      </c>
      <c r="K99" s="253">
        <f>(K151/Population_Tables!X17)*Population_Tables!L17</f>
        <v>4497.2985922987546</v>
      </c>
      <c r="L99" s="170"/>
      <c r="M99" s="170"/>
      <c r="N99" s="195">
        <f t="shared" si="9"/>
        <v>8672.3866333497845</v>
      </c>
      <c r="O99" s="195">
        <f t="shared" si="11"/>
        <v>8701.2309601987563</v>
      </c>
      <c r="P99" s="195">
        <f t="shared" si="10"/>
        <v>15741.041007443111</v>
      </c>
      <c r="Q99" s="195">
        <f t="shared" si="12"/>
        <v>33114.65860099165</v>
      </c>
      <c r="R99" s="196">
        <f t="shared" si="13"/>
        <v>0.26188965852995633</v>
      </c>
      <c r="S99" s="170"/>
      <c r="T99" s="170"/>
      <c r="U99" s="195">
        <f t="shared" si="17"/>
        <v>172.90242756318548</v>
      </c>
      <c r="V99" s="195">
        <f t="shared" si="14"/>
        <v>115.1038750565167</v>
      </c>
      <c r="W99" s="195">
        <f t="shared" si="14"/>
        <v>236.09699394334893</v>
      </c>
      <c r="X99" s="195">
        <f t="shared" si="16"/>
        <v>524.10329656305112</v>
      </c>
      <c r="Y99" s="207">
        <f t="shared" si="15"/>
        <v>0.32990143106719577</v>
      </c>
    </row>
    <row r="100" spans="1:25" ht="15.6" x14ac:dyDescent="0.3">
      <c r="A100" s="206">
        <v>2029</v>
      </c>
      <c r="B100" s="253">
        <f>(B152/Population_Tables!O18)*Population_Tables!C18</f>
        <v>34848.727575982753</v>
      </c>
      <c r="C100" s="253">
        <f>(C152/Population_Tables!P18)*Population_Tables!D18</f>
        <v>10725.243755734798</v>
      </c>
      <c r="D100" s="253">
        <f>(D152/Population_Tables!Q18)*Population_Tables!E18</f>
        <v>2501.7147607425918</v>
      </c>
      <c r="E100" s="253">
        <f>(E152/Population_Tables!R18)*Population_Tables!F18</f>
        <v>14703.349958863217</v>
      </c>
      <c r="F100" s="253">
        <f>(F152/Population_Tables!S18)*Population_Tables!G18</f>
        <v>3256.0094519538152</v>
      </c>
      <c r="G100" s="253">
        <f>(G152/Population_Tables!T18)*Population_Tables!H18</f>
        <v>2755.3919322511074</v>
      </c>
      <c r="H100" s="253">
        <f>(H152/Population_Tables!U18)*Population_Tables!I18</f>
        <v>8894.1515330237708</v>
      </c>
      <c r="I100" s="253">
        <f>(I152/Population_Tables!V18)*Population_Tables!J18</f>
        <v>3213.1239080273285</v>
      </c>
      <c r="J100" s="253">
        <f>(J152/Population_Tables!W18)*Population_Tables!K18</f>
        <v>3760.8534253143785</v>
      </c>
      <c r="K100" s="253">
        <f>(K152/Population_Tables!X18)*Population_Tables!L18</f>
        <v>4538.8486731043831</v>
      </c>
      <c r="L100" s="170"/>
      <c r="M100" s="170"/>
      <c r="N100" s="195">
        <f t="shared" si="9"/>
        <v>9065.207877793262</v>
      </c>
      <c r="O100" s="195">
        <f t="shared" si="11"/>
        <v>8894.1515330237708</v>
      </c>
      <c r="P100" s="195">
        <f t="shared" si="10"/>
        <v>15982.350448728499</v>
      </c>
      <c r="Q100" s="195">
        <f t="shared" si="12"/>
        <v>33941.709859545532</v>
      </c>
      <c r="R100" s="196">
        <f t="shared" si="13"/>
        <v>0.26708165013801816</v>
      </c>
      <c r="S100" s="170"/>
      <c r="T100" s="170"/>
      <c r="U100" s="195">
        <f t="shared" si="17"/>
        <v>210.74157460876449</v>
      </c>
      <c r="V100" s="195">
        <f t="shared" si="14"/>
        <v>137.32364076145677</v>
      </c>
      <c r="W100" s="195">
        <f t="shared" si="14"/>
        <v>280.95722685017608</v>
      </c>
      <c r="X100" s="195">
        <f t="shared" si="16"/>
        <v>629.02244222039735</v>
      </c>
      <c r="Y100" s="207">
        <f t="shared" si="15"/>
        <v>0.33503029536571716</v>
      </c>
    </row>
    <row r="101" spans="1:25" ht="15.6" x14ac:dyDescent="0.3">
      <c r="A101" s="206">
        <v>2030</v>
      </c>
      <c r="B101" s="253">
        <f>(B153/Population_Tables!O19)*Population_Tables!C19</f>
        <v>35623.058952095576</v>
      </c>
      <c r="C101" s="253">
        <f>(C153/Population_Tables!P19)*Population_Tables!D19</f>
        <v>10835.868943545081</v>
      </c>
      <c r="D101" s="253">
        <f>(D153/Population_Tables!Q19)*Population_Tables!E19</f>
        <v>2542.7003082781366</v>
      </c>
      <c r="E101" s="253">
        <f>(E153/Population_Tables!R19)*Population_Tables!F19</f>
        <v>15154.952184852013</v>
      </c>
      <c r="F101" s="253">
        <f>(F153/Population_Tables!S19)*Population_Tables!G19</f>
        <v>3399.3803657281464</v>
      </c>
      <c r="G101" s="253">
        <f>(G153/Population_Tables!T19)*Population_Tables!H19</f>
        <v>2852.9985851814004</v>
      </c>
      <c r="H101" s="253">
        <f>(H153/Population_Tables!U19)*Population_Tables!I19</f>
        <v>9081.5483285491082</v>
      </c>
      <c r="I101" s="253">
        <f>(I153/Population_Tables!V19)*Population_Tables!J19</f>
        <v>3376.698524681181</v>
      </c>
      <c r="J101" s="253">
        <f>(J153/Population_Tables!W19)*Population_Tables!K19</f>
        <v>3795.0764617825034</v>
      </c>
      <c r="K101" s="253">
        <f>(K153/Population_Tables!X19)*Population_Tables!L19</f>
        <v>4582.8484536780488</v>
      </c>
      <c r="L101" s="170"/>
      <c r="M101" s="170"/>
      <c r="N101" s="195">
        <f t="shared" si="9"/>
        <v>9472.7842220310504</v>
      </c>
      <c r="O101" s="195">
        <f t="shared" si="11"/>
        <v>9081.5483285491082</v>
      </c>
      <c r="P101" s="195">
        <f t="shared" si="10"/>
        <v>16231.567837004617</v>
      </c>
      <c r="Q101" s="195">
        <f t="shared" si="12"/>
        <v>34785.900387584777</v>
      </c>
      <c r="R101" s="196">
        <f t="shared" si="13"/>
        <v>0.27231677537408011</v>
      </c>
      <c r="S101" s="170"/>
      <c r="T101" s="170"/>
      <c r="U101" s="195">
        <f t="shared" si="17"/>
        <v>252.69280028717731</v>
      </c>
      <c r="V101" s="195">
        <f t="shared" si="14"/>
        <v>161.28980464468441</v>
      </c>
      <c r="W101" s="195">
        <f t="shared" si="14"/>
        <v>329.20119456620159</v>
      </c>
      <c r="X101" s="195">
        <f t="shared" si="16"/>
        <v>743.18379949806331</v>
      </c>
      <c r="Y101" s="207">
        <f t="shared" si="15"/>
        <v>0.34001387067081218</v>
      </c>
    </row>
    <row r="102" spans="1:25" ht="15.6" x14ac:dyDescent="0.3">
      <c r="A102" s="206">
        <v>2031</v>
      </c>
      <c r="B102" s="253">
        <f>(B154/Population_Tables!O20)*Population_Tables!C20</f>
        <v>36400.030924632447</v>
      </c>
      <c r="C102" s="253">
        <f>(C154/Population_Tables!P20)*Population_Tables!D20</f>
        <v>10950.281617567129</v>
      </c>
      <c r="D102" s="253">
        <f>(D154/Population_Tables!Q20)*Population_Tables!E20</f>
        <v>2584.5219167965251</v>
      </c>
      <c r="E102" s="253">
        <f>(E154/Population_Tables!R20)*Population_Tables!F20</f>
        <v>15610.159491230948</v>
      </c>
      <c r="F102" s="253">
        <f>(F154/Population_Tables!S20)*Population_Tables!G20</f>
        <v>3549.0035765530051</v>
      </c>
      <c r="G102" s="253">
        <f>(G154/Population_Tables!T20)*Population_Tables!H20</f>
        <v>2953.6877158130555</v>
      </c>
      <c r="H102" s="253">
        <f>(H154/Population_Tables!U20)*Population_Tables!I20</f>
        <v>9263.6831543626449</v>
      </c>
      <c r="I102" s="253">
        <f>(I154/Population_Tables!V20)*Population_Tables!J20</f>
        <v>3545.0294444844831</v>
      </c>
      <c r="J102" s="253">
        <f>(J154/Population_Tables!W20)*Population_Tables!K20</f>
        <v>3830.6233655702431</v>
      </c>
      <c r="K102" s="253">
        <f>(K154/Population_Tables!X20)*Population_Tables!L20</f>
        <v>4629.1881577103622</v>
      </c>
      <c r="L102" s="170"/>
      <c r="M102" s="170"/>
      <c r="N102" s="195">
        <f t="shared" si="9"/>
        <v>9895.4799134213081</v>
      </c>
      <c r="O102" s="195">
        <f t="shared" si="11"/>
        <v>9263.6831543626449</v>
      </c>
      <c r="P102" s="195">
        <f t="shared" si="10"/>
        <v>16488.49125017671</v>
      </c>
      <c r="Q102" s="195">
        <f t="shared" si="12"/>
        <v>35647.654317960667</v>
      </c>
      <c r="R102" s="196">
        <f t="shared" si="13"/>
        <v>0.27759133392503704</v>
      </c>
      <c r="S102" s="170"/>
      <c r="T102" s="170"/>
      <c r="U102" s="195">
        <f t="shared" si="17"/>
        <v>298.90273865243944</v>
      </c>
      <c r="V102" s="195">
        <f t="shared" si="14"/>
        <v>186.9829343407946</v>
      </c>
      <c r="W102" s="195">
        <f t="shared" si="14"/>
        <v>380.84393008918778</v>
      </c>
      <c r="X102" s="195">
        <f t="shared" si="16"/>
        <v>866.72960308242182</v>
      </c>
      <c r="Y102" s="207">
        <f t="shared" si="15"/>
        <v>0.34486273180173727</v>
      </c>
    </row>
    <row r="103" spans="1:25" ht="15.6" x14ac:dyDescent="0.3">
      <c r="A103" s="206">
        <v>2032</v>
      </c>
      <c r="B103" s="253">
        <f>(B155/Population_Tables!O21)*Population_Tables!C21</f>
        <v>37179.844251088405</v>
      </c>
      <c r="C103" s="253">
        <f>(C155/Population_Tables!P21)*Population_Tables!D21</f>
        <v>11068.167915605338</v>
      </c>
      <c r="D103" s="253">
        <f>(D155/Population_Tables!Q21)*Population_Tables!E21</f>
        <v>2627.1217098153106</v>
      </c>
      <c r="E103" s="253">
        <f>(E155/Population_Tables!R21)*Population_Tables!F21</f>
        <v>16069.109279191365</v>
      </c>
      <c r="F103" s="253">
        <f>(F155/Population_Tables!S21)*Population_Tables!G21</f>
        <v>3705.0202066676484</v>
      </c>
      <c r="G103" s="253">
        <f>(G155/Population_Tables!T21)*Population_Tables!H21</f>
        <v>3057.4405984532318</v>
      </c>
      <c r="H103" s="253">
        <f>(H155/Population_Tables!U21)*Population_Tables!I21</f>
        <v>9440.6950957695153</v>
      </c>
      <c r="I103" s="253">
        <f>(I155/Population_Tables!V21)*Population_Tables!J21</f>
        <v>3718.0433711798582</v>
      </c>
      <c r="J103" s="253">
        <f>(J155/Population_Tables!W21)*Population_Tables!K21</f>
        <v>3867.5014563490304</v>
      </c>
      <c r="K103" s="253">
        <f>(K155/Population_Tables!X21)*Population_Tables!L21</f>
        <v>4677.6800409993157</v>
      </c>
      <c r="L103" s="170"/>
      <c r="M103" s="170"/>
      <c r="N103" s="195">
        <f t="shared" si="9"/>
        <v>10333.434390089496</v>
      </c>
      <c r="O103" s="195">
        <f t="shared" si="11"/>
        <v>9440.6950957695153</v>
      </c>
      <c r="P103" s="195">
        <f t="shared" si="10"/>
        <v>16752.730223873881</v>
      </c>
      <c r="Q103" s="195">
        <f t="shared" si="12"/>
        <v>36526.859709732889</v>
      </c>
      <c r="R103" s="196">
        <f t="shared" si="13"/>
        <v>0.28289961064832697</v>
      </c>
      <c r="S103" s="170"/>
      <c r="T103" s="170"/>
      <c r="U103" s="195">
        <f t="shared" si="17"/>
        <v>349.29321452586737</v>
      </c>
      <c r="V103" s="195">
        <f t="shared" si="14"/>
        <v>214.26087520164583</v>
      </c>
      <c r="W103" s="195">
        <f t="shared" si="14"/>
        <v>435.71192414075449</v>
      </c>
      <c r="X103" s="195">
        <f t="shared" si="16"/>
        <v>999.26601386826769</v>
      </c>
      <c r="Y103" s="207">
        <f t="shared" si="15"/>
        <v>0.34954977921616215</v>
      </c>
    </row>
    <row r="104" spans="1:25" ht="15.6" x14ac:dyDescent="0.3">
      <c r="A104" s="206">
        <v>2033</v>
      </c>
      <c r="B104" s="253">
        <f>(B156/Population_Tables!O22)*Population_Tables!C22</f>
        <v>37961.773486910388</v>
      </c>
      <c r="C104" s="253">
        <f>(C156/Population_Tables!P22)*Population_Tables!D22</f>
        <v>11189.028293273637</v>
      </c>
      <c r="D104" s="253">
        <f>(D156/Population_Tables!Q22)*Population_Tables!E22</f>
        <v>2670.3858337784709</v>
      </c>
      <c r="E104" s="253">
        <f>(E156/Population_Tables!R22)*Population_Tables!F22</f>
        <v>16531.577298799177</v>
      </c>
      <c r="F104" s="253">
        <f>(F156/Population_Tables!S22)*Population_Tables!G22</f>
        <v>3867.4476212684795</v>
      </c>
      <c r="G104" s="253">
        <f>(G156/Population_Tables!T22)*Population_Tables!H22</f>
        <v>3164.1270563834173</v>
      </c>
      <c r="H104" s="253">
        <f>(H156/Population_Tables!U22)*Population_Tables!I22</f>
        <v>9612.5660157181646</v>
      </c>
      <c r="I104" s="253">
        <f>(I156/Population_Tables!V22)*Population_Tables!J22</f>
        <v>3895.5602901716011</v>
      </c>
      <c r="J104" s="253">
        <f>(J156/Population_Tables!W22)*Population_Tables!K22</f>
        <v>3905.6641674743264</v>
      </c>
      <c r="K104" s="253">
        <f>(K156/Population_Tables!X22)*Population_Tables!L22</f>
        <v>4728.0413644766486</v>
      </c>
      <c r="L104" s="170"/>
      <c r="M104" s="170"/>
      <c r="N104" s="195">
        <f t="shared" si="9"/>
        <v>10786.458904349491</v>
      </c>
      <c r="O104" s="195">
        <f t="shared" si="11"/>
        <v>9612.5660157181646</v>
      </c>
      <c r="P104" s="195">
        <f t="shared" si="10"/>
        <v>17023.541183435525</v>
      </c>
      <c r="Q104" s="195">
        <f t="shared" si="12"/>
        <v>37422.566103503181</v>
      </c>
      <c r="R104" s="196">
        <f t="shared" si="13"/>
        <v>0.28823407979336174</v>
      </c>
      <c r="S104" s="170"/>
      <c r="T104" s="170"/>
      <c r="U104" s="195">
        <f t="shared" si="17"/>
        <v>403.4578669171824</v>
      </c>
      <c r="V104" s="195">
        <f t="shared" si="14"/>
        <v>242.82425022240932</v>
      </c>
      <c r="W104" s="195">
        <f t="shared" si="14"/>
        <v>493.27855715280748</v>
      </c>
      <c r="X104" s="195">
        <f t="shared" si="16"/>
        <v>1139.5606742923992</v>
      </c>
      <c r="Y104" s="207">
        <f t="shared" si="15"/>
        <v>0.35404684982456613</v>
      </c>
    </row>
    <row r="105" spans="1:25" ht="15.6" x14ac:dyDescent="0.3">
      <c r="A105" s="206">
        <v>2034</v>
      </c>
      <c r="B105" s="253">
        <f>(B157/Population_Tables!O23)*Population_Tables!C23</f>
        <v>38744.582190692148</v>
      </c>
      <c r="C105" s="253">
        <f>(C157/Population_Tables!P23)*Population_Tables!D23</f>
        <v>11312.243837667445</v>
      </c>
      <c r="D105" s="253">
        <f>(D157/Population_Tables!Q23)*Population_Tables!E23</f>
        <v>2714.1712692097499</v>
      </c>
      <c r="E105" s="253">
        <f>(E157/Population_Tables!R23)*Population_Tables!F23</f>
        <v>16997.081716135221</v>
      </c>
      <c r="F105" s="253">
        <f>(F157/Population_Tables!S23)*Population_Tables!G23</f>
        <v>4036.2399569575941</v>
      </c>
      <c r="G105" s="253">
        <f>(G157/Population_Tables!T23)*Population_Tables!H23</f>
        <v>3273.567366351192</v>
      </c>
      <c r="H105" s="253">
        <f>(H157/Population_Tables!U23)*Population_Tables!I23</f>
        <v>9779.1714676935517</v>
      </c>
      <c r="I105" s="253">
        <f>(I157/Population_Tables!V23)*Population_Tables!J23</f>
        <v>4077.3109072332909</v>
      </c>
      <c r="J105" s="253">
        <f>(J157/Population_Tables!W23)*Population_Tables!K23</f>
        <v>3945.0276057396804</v>
      </c>
      <c r="K105" s="253">
        <f>(K157/Population_Tables!X23)*Population_Tables!L23</f>
        <v>4779.9320609287897</v>
      </c>
      <c r="L105" s="170"/>
      <c r="M105" s="170"/>
      <c r="N105" s="195">
        <f t="shared" si="9"/>
        <v>11254.150205399263</v>
      </c>
      <c r="O105" s="195">
        <f t="shared" si="11"/>
        <v>9779.1714676935517</v>
      </c>
      <c r="P105" s="195">
        <f t="shared" si="10"/>
        <v>17299.982473228389</v>
      </c>
      <c r="Q105" s="195">
        <f t="shared" si="12"/>
        <v>38333.304146321199</v>
      </c>
      <c r="R105" s="196">
        <f t="shared" si="13"/>
        <v>0.29358675063441692</v>
      </c>
      <c r="S105" s="170"/>
      <c r="T105" s="170"/>
      <c r="U105" s="195">
        <f t="shared" si="17"/>
        <v>460.77583172021514</v>
      </c>
      <c r="V105" s="195">
        <f t="shared" si="14"/>
        <v>272.26737293476435</v>
      </c>
      <c r="W105" s="195">
        <f t="shared" si="14"/>
        <v>552.81912858460419</v>
      </c>
      <c r="X105" s="195">
        <f t="shared" si="16"/>
        <v>1285.8623332395837</v>
      </c>
      <c r="Y105" s="207">
        <f t="shared" si="15"/>
        <v>0.3583399402946526</v>
      </c>
    </row>
    <row r="106" spans="1:25" ht="15.6" x14ac:dyDescent="0.3">
      <c r="A106" s="206">
        <v>2035</v>
      </c>
      <c r="B106" s="253">
        <f>(B158/Population_Tables!O24)*Population_Tables!C24</f>
        <v>39527.549999698982</v>
      </c>
      <c r="C106" s="253">
        <f>(C158/Population_Tables!P24)*Population_Tables!D24</f>
        <v>11437.311220442323</v>
      </c>
      <c r="D106" s="253">
        <f>(D158/Population_Tables!Q24)*Population_Tables!E24</f>
        <v>2758.3568142226313</v>
      </c>
      <c r="E106" s="253">
        <f>(E158/Population_Tables!R24)*Population_Tables!F24</f>
        <v>17465.340128028511</v>
      </c>
      <c r="F106" s="253">
        <f>(F158/Population_Tables!S24)*Population_Tables!G24</f>
        <v>4211.4023329247802</v>
      </c>
      <c r="G106" s="253">
        <f>(G158/Population_Tables!T24)*Population_Tables!H24</f>
        <v>3385.613907924494</v>
      </c>
      <c r="H106" s="253">
        <f>(H158/Population_Tables!U24)*Population_Tables!I24</f>
        <v>9940.468922436874</v>
      </c>
      <c r="I106" s="253">
        <f>(I158/Population_Tables!V24)*Population_Tables!J24</f>
        <v>4263.0687175742069</v>
      </c>
      <c r="J106" s="253">
        <f>(J158/Population_Tables!W24)*Population_Tables!K24</f>
        <v>3985.543359413608</v>
      </c>
      <c r="K106" s="253">
        <f>(K158/Population_Tables!X24)*Population_Tables!L24</f>
        <v>4833.0728521322471</v>
      </c>
      <c r="L106" s="170"/>
      <c r="M106" s="170"/>
      <c r="N106" s="195">
        <f t="shared" si="9"/>
        <v>11736.273538516416</v>
      </c>
      <c r="O106" s="195">
        <f t="shared" si="11"/>
        <v>9940.468922436874</v>
      </c>
      <c r="P106" s="195">
        <f t="shared" si="10"/>
        <v>17581.281942589449</v>
      </c>
      <c r="Q106" s="195">
        <f t="shared" si="12"/>
        <v>39258.024403542739</v>
      </c>
      <c r="R106" s="196">
        <f t="shared" si="13"/>
        <v>0.29895221975197778</v>
      </c>
      <c r="S106" s="170"/>
      <c r="T106" s="170"/>
      <c r="U106" s="195">
        <f t="shared" si="17"/>
        <v>520.79474090841723</v>
      </c>
      <c r="V106" s="195">
        <f t="shared" si="14"/>
        <v>302.2664741266326</v>
      </c>
      <c r="W106" s="195">
        <f t="shared" si="14"/>
        <v>613.77844286563777</v>
      </c>
      <c r="X106" s="195">
        <f t="shared" si="16"/>
        <v>1436.8396579006876</v>
      </c>
      <c r="Y106" s="207">
        <f t="shared" si="15"/>
        <v>0.36245849566076904</v>
      </c>
    </row>
    <row r="107" spans="1:25" ht="15.6" x14ac:dyDescent="0.3">
      <c r="A107" s="206">
        <v>2036</v>
      </c>
      <c r="B107" s="253">
        <f>(B159/Population_Tables!O25)*Population_Tables!C25</f>
        <v>40310.806987297787</v>
      </c>
      <c r="C107" s="253">
        <f>(C159/Population_Tables!P25)*Population_Tables!D25</f>
        <v>11563.913707075557</v>
      </c>
      <c r="D107" s="253">
        <f>(D159/Population_Tables!Q25)*Population_Tables!E25</f>
        <v>2802.8566526818886</v>
      </c>
      <c r="E107" s="253">
        <f>(E159/Population_Tables!R25)*Population_Tables!F25</f>
        <v>17936.440826040271</v>
      </c>
      <c r="F107" s="253">
        <f>(F159/Population_Tables!S25)*Population_Tables!G25</f>
        <v>4393.0331174676448</v>
      </c>
      <c r="G107" s="253">
        <f>(G159/Population_Tables!T25)*Population_Tables!H25</f>
        <v>3500.1769901282532</v>
      </c>
      <c r="H107" s="253">
        <f>(H159/Population_Tables!U25)*Population_Tables!I25</f>
        <v>10096.564101750833</v>
      </c>
      <c r="I107" s="253">
        <f>(I159/Population_Tables!V25)*Population_Tables!J25</f>
        <v>4452.7171180968271</v>
      </c>
      <c r="J107" s="253">
        <f>(J159/Population_Tables!W25)*Population_Tables!K25</f>
        <v>4027.2150708162553</v>
      </c>
      <c r="K107" s="253">
        <f>(K159/Population_Tables!X25)*Population_Tables!L25</f>
        <v>4887.2846002540709</v>
      </c>
      <c r="L107" s="170"/>
      <c r="M107" s="170"/>
      <c r="N107" s="195">
        <f t="shared" si="9"/>
        <v>12232.909841757084</v>
      </c>
      <c r="O107" s="195">
        <f t="shared" si="11"/>
        <v>10096.564101750833</v>
      </c>
      <c r="P107" s="195">
        <f t="shared" si="10"/>
        <v>17866.947349885697</v>
      </c>
      <c r="Q107" s="195">
        <f t="shared" si="12"/>
        <v>40196.421293393614</v>
      </c>
      <c r="R107" s="196">
        <f t="shared" si="13"/>
        <v>0.30432833192957887</v>
      </c>
      <c r="S107" s="170"/>
      <c r="T107" s="170"/>
      <c r="U107" s="195">
        <f t="shared" si="17"/>
        <v>583.37791923378063</v>
      </c>
      <c r="V107" s="195">
        <f t="shared" si="14"/>
        <v>332.64603564743993</v>
      </c>
      <c r="W107" s="195">
        <f t="shared" si="14"/>
        <v>675.88121345541731</v>
      </c>
      <c r="X107" s="195">
        <f t="shared" si="16"/>
        <v>1591.9051683366379</v>
      </c>
      <c r="Y107" s="207">
        <f t="shared" si="15"/>
        <v>0.3664652460694911</v>
      </c>
    </row>
    <row r="108" spans="1:25" ht="15.6" x14ac:dyDescent="0.3">
      <c r="A108" s="206">
        <v>2037</v>
      </c>
      <c r="B108" s="253">
        <f>(B160/Population_Tables!O26)*Population_Tables!C26</f>
        <v>41095.459668809381</v>
      </c>
      <c r="C108" s="253">
        <f>(C160/Population_Tables!P26)*Population_Tables!D26</f>
        <v>11691.951892024334</v>
      </c>
      <c r="D108" s="253">
        <f>(D160/Population_Tables!Q26)*Population_Tables!E26</f>
        <v>2847.6371947898406</v>
      </c>
      <c r="E108" s="253">
        <f>(E160/Population_Tables!R26)*Population_Tables!F26</f>
        <v>18410.913084204429</v>
      </c>
      <c r="F108" s="253">
        <f>(F160/Population_Tables!S26)*Population_Tables!G26</f>
        <v>4581.3408875900022</v>
      </c>
      <c r="G108" s="253">
        <f>(G160/Population_Tables!T26)*Population_Tables!H26</f>
        <v>3617.2491260690122</v>
      </c>
      <c r="H108" s="253">
        <f>(H160/Population_Tables!U26)*Population_Tables!I26</f>
        <v>10247.745171857108</v>
      </c>
      <c r="I108" s="253">
        <f>(I160/Population_Tables!V26)*Population_Tables!J26</f>
        <v>4646.2603578986427</v>
      </c>
      <c r="J108" s="253">
        <f>(J160/Population_Tables!W26)*Population_Tables!K26</f>
        <v>4070.1174303629673</v>
      </c>
      <c r="K108" s="253">
        <f>(K160/Population_Tables!X26)*Population_Tables!L26</f>
        <v>4942.4927718329027</v>
      </c>
      <c r="L108" s="170"/>
      <c r="M108" s="170"/>
      <c r="N108" s="195">
        <f t="shared" si="9"/>
        <v>12744.508799937323</v>
      </c>
      <c r="O108" s="195">
        <f t="shared" si="11"/>
        <v>10247.745171857108</v>
      </c>
      <c r="P108" s="195">
        <f t="shared" si="10"/>
        <v>18156.838212883187</v>
      </c>
      <c r="Q108" s="195">
        <f t="shared" si="12"/>
        <v>41149.092184677618</v>
      </c>
      <c r="R108" s="196">
        <f t="shared" si="13"/>
        <v>0.30971543048239836</v>
      </c>
      <c r="S108" s="170"/>
      <c r="T108" s="170"/>
      <c r="U108" s="195">
        <f t="shared" si="17"/>
        <v>648.75743820820753</v>
      </c>
      <c r="V108" s="195">
        <f t="shared" si="14"/>
        <v>363.41298376558734</v>
      </c>
      <c r="W108" s="195">
        <f t="shared" si="14"/>
        <v>739.20391321250645</v>
      </c>
      <c r="X108" s="195">
        <f t="shared" si="16"/>
        <v>1751.3743351863013</v>
      </c>
      <c r="Y108" s="207">
        <f t="shared" si="15"/>
        <v>0.37042762656402428</v>
      </c>
    </row>
    <row r="109" spans="1:25" ht="15.6" x14ac:dyDescent="0.3">
      <c r="A109" s="206">
        <v>2038</v>
      </c>
      <c r="B109" s="253">
        <f>(B161/Population_Tables!O27)*Population_Tables!C27</f>
        <v>41883.011067225132</v>
      </c>
      <c r="C109" s="253">
        <f>(C161/Population_Tables!P27)*Population_Tables!D27</f>
        <v>11821.413413162307</v>
      </c>
      <c r="D109" s="253">
        <f>(D161/Population_Tables!Q27)*Population_Tables!E27</f>
        <v>2892.6907646590453</v>
      </c>
      <c r="E109" s="253">
        <f>(E161/Population_Tables!R27)*Population_Tables!F27</f>
        <v>18889.466950355119</v>
      </c>
      <c r="F109" s="253">
        <f>(F161/Population_Tables!S27)*Population_Tables!G27</f>
        <v>4776.5795528774961</v>
      </c>
      <c r="G109" s="253">
        <f>(G161/Population_Tables!T27)*Population_Tables!H27</f>
        <v>3736.8750982732186</v>
      </c>
      <c r="H109" s="253">
        <f>(H161/Population_Tables!U27)*Population_Tables!I27</f>
        <v>10394.3805876922</v>
      </c>
      <c r="I109" s="253">
        <f>(I161/Population_Tables!V27)*Population_Tables!J27</f>
        <v>4843.7374634540565</v>
      </c>
      <c r="J109" s="253">
        <f>(J161/Population_Tables!W27)*Population_Tables!K27</f>
        <v>4114.3578683593132</v>
      </c>
      <c r="K109" s="253">
        <f>(K161/Population_Tables!X27)*Population_Tables!L27</f>
        <v>4998.6551890470982</v>
      </c>
      <c r="L109" s="170"/>
      <c r="M109" s="170"/>
      <c r="N109" s="195">
        <f t="shared" si="9"/>
        <v>13271.665915540418</v>
      </c>
      <c r="O109" s="195">
        <f t="shared" si="11"/>
        <v>10394.3805876922</v>
      </c>
      <c r="P109" s="195">
        <f t="shared" si="10"/>
        <v>18450.979276094571</v>
      </c>
      <c r="Q109" s="195">
        <f t="shared" si="12"/>
        <v>42117.025779327189</v>
      </c>
      <c r="R109" s="196">
        <f t="shared" si="13"/>
        <v>0.3151140345255507</v>
      </c>
      <c r="S109" s="170"/>
      <c r="T109" s="170"/>
      <c r="U109" s="195">
        <f t="shared" si="17"/>
        <v>717.31118701084779</v>
      </c>
      <c r="V109" s="195">
        <f t="shared" si="14"/>
        <v>394.65453346429786</v>
      </c>
      <c r="W109" s="195">
        <f t="shared" si="14"/>
        <v>803.98824174207402</v>
      </c>
      <c r="X109" s="195">
        <f t="shared" si="16"/>
        <v>1915.9539622172197</v>
      </c>
      <c r="Y109" s="207">
        <f t="shared" si="15"/>
        <v>0.37438852976443454</v>
      </c>
    </row>
    <row r="110" spans="1:25" ht="15.6" x14ac:dyDescent="0.3">
      <c r="A110" s="206">
        <v>2039</v>
      </c>
      <c r="B110" s="253">
        <f>(B162/Population_Tables!O28)*Population_Tables!C28</f>
        <v>42675.502646399545</v>
      </c>
      <c r="C110" s="253">
        <f>(C162/Population_Tables!P28)*Population_Tables!D28</f>
        <v>11952.404471225478</v>
      </c>
      <c r="D110" s="253">
        <f>(D162/Population_Tables!Q28)*Population_Tables!E28</f>
        <v>2938.0434911887087</v>
      </c>
      <c r="E110" s="253">
        <f>(E162/Population_Tables!R28)*Population_Tables!F28</f>
        <v>19373.080391528409</v>
      </c>
      <c r="F110" s="253">
        <f>(F162/Population_Tables!S28)*Population_Tables!G28</f>
        <v>4979.0685008548526</v>
      </c>
      <c r="G110" s="253">
        <f>(G162/Population_Tables!T28)*Population_Tables!H28</f>
        <v>3859.1541999332912</v>
      </c>
      <c r="H110" s="253">
        <f>(H162/Population_Tables!U28)*Population_Tables!I28</f>
        <v>10536.94846209253</v>
      </c>
      <c r="I110" s="253">
        <f>(I162/Population_Tables!V28)*Population_Tables!J28</f>
        <v>5045.2628054947963</v>
      </c>
      <c r="J110" s="253">
        <f>(J162/Population_Tables!W28)*Population_Tables!K28</f>
        <v>4160.0865999745201</v>
      </c>
      <c r="K110" s="253">
        <f>(K162/Population_Tables!X28)*Population_Tables!L28</f>
        <v>5055.7823951038627</v>
      </c>
      <c r="L110" s="170"/>
      <c r="M110" s="170"/>
      <c r="N110" s="195">
        <f t="shared" si="9"/>
        <v>13815.200430290732</v>
      </c>
      <c r="O110" s="195">
        <f t="shared" si="11"/>
        <v>10536.94846209253</v>
      </c>
      <c r="P110" s="195">
        <f t="shared" si="10"/>
        <v>18749.602162347477</v>
      </c>
      <c r="Q110" s="195">
        <f t="shared" si="12"/>
        <v>43101.751054730739</v>
      </c>
      <c r="R110" s="196">
        <f t="shared" si="13"/>
        <v>0.32052527083524163</v>
      </c>
      <c r="S110" s="170"/>
      <c r="T110" s="170"/>
      <c r="U110" s="195">
        <f t="shared" si="17"/>
        <v>789.64079406190649</v>
      </c>
      <c r="V110" s="195">
        <f t="shared" si="14"/>
        <v>426.56755762672037</v>
      </c>
      <c r="W110" s="195">
        <f t="shared" si="14"/>
        <v>870.68277696425866</v>
      </c>
      <c r="X110" s="195">
        <f t="shared" si="16"/>
        <v>2086.8911286528855</v>
      </c>
      <c r="Y110" s="207">
        <f t="shared" si="15"/>
        <v>0.37838140342837606</v>
      </c>
    </row>
    <row r="111" spans="1:25" ht="15.6" x14ac:dyDescent="0.3">
      <c r="A111" s="206">
        <v>2040</v>
      </c>
      <c r="B111" s="253">
        <f>(B163/Population_Tables!O29)*Population_Tables!C29</f>
        <v>43474.82455555832</v>
      </c>
      <c r="C111" s="253">
        <f>(C163/Population_Tables!P29)*Population_Tables!D29</f>
        <v>12084.986398560901</v>
      </c>
      <c r="D111" s="253">
        <f>(D163/Population_Tables!Q29)*Population_Tables!E29</f>
        <v>2983.7090810719228</v>
      </c>
      <c r="E111" s="253">
        <f>(E163/Population_Tables!R29)*Population_Tables!F29</f>
        <v>19862.688878636858</v>
      </c>
      <c r="F111" s="253">
        <f>(F163/Population_Tables!S29)*Population_Tables!G29</f>
        <v>5189.1152304535499</v>
      </c>
      <c r="G111" s="253">
        <f>(G163/Population_Tables!T29)*Population_Tables!H29</f>
        <v>3984.1757656423633</v>
      </c>
      <c r="H111" s="253">
        <f>(H163/Population_Tables!U29)*Population_Tables!I29</f>
        <v>10675.900872589382</v>
      </c>
      <c r="I111" s="253">
        <f>(I163/Population_Tables!V29)*Population_Tables!J29</f>
        <v>5250.9510466899665</v>
      </c>
      <c r="J111" s="253">
        <f>(J163/Population_Tables!W29)*Population_Tables!K29</f>
        <v>4207.4385439993312</v>
      </c>
      <c r="K111" s="253">
        <f>(K163/Population_Tables!X29)*Population_Tables!L29</f>
        <v>5113.8657712311879</v>
      </c>
      <c r="L111" s="170"/>
      <c r="M111" s="170"/>
      <c r="N111" s="195">
        <f t="shared" si="9"/>
        <v>14375.903236501026</v>
      </c>
      <c r="O111" s="195">
        <f t="shared" si="11"/>
        <v>10675.900872589382</v>
      </c>
      <c r="P111" s="195">
        <f t="shared" si="10"/>
        <v>19052.871245275186</v>
      </c>
      <c r="Q111" s="195">
        <f t="shared" si="12"/>
        <v>44104.675354365594</v>
      </c>
      <c r="R111" s="196">
        <f>N111/Q111</f>
        <v>0.32594964413626643</v>
      </c>
      <c r="S111" s="170"/>
      <c r="T111" s="170"/>
      <c r="U111" s="195">
        <f t="shared" si="17"/>
        <v>866.31953837000219</v>
      </c>
      <c r="V111" s="195">
        <f t="shared" si="14"/>
        <v>459.32289383085481</v>
      </c>
      <c r="W111" s="195">
        <f t="shared" si="14"/>
        <v>939.66884760485846</v>
      </c>
      <c r="X111" s="195">
        <f t="shared" si="16"/>
        <v>2265.3112798057155</v>
      </c>
      <c r="Y111" s="207">
        <f t="shared" si="15"/>
        <v>0.38242847510312233</v>
      </c>
    </row>
    <row r="112" spans="1:25" ht="15.6" x14ac:dyDescent="0.3">
      <c r="A112" s="206">
        <v>2041</v>
      </c>
      <c r="B112" s="253">
        <f>(B164/Population_Tables!O30)*Population_Tables!C30</f>
        <v>44282.126487380476</v>
      </c>
      <c r="C112" s="253">
        <f>(C164/Population_Tables!P30)*Population_Tables!D30</f>
        <v>12219.075750446078</v>
      </c>
      <c r="D112" s="253">
        <f>(D164/Population_Tables!Q30)*Population_Tables!E30</f>
        <v>3029.6557922849343</v>
      </c>
      <c r="E112" s="253">
        <f>(E164/Population_Tables!R30)*Population_Tables!F30</f>
        <v>20358.889721486015</v>
      </c>
      <c r="F112" s="253">
        <f>(F164/Population_Tables!S30)*Population_Tables!G30</f>
        <v>5406.9441377737285</v>
      </c>
      <c r="G112" s="253">
        <f>(G164/Population_Tables!T30)*Population_Tables!H30</f>
        <v>4111.9546365910719</v>
      </c>
      <c r="H112" s="253">
        <f>(H164/Population_Tables!U30)*Population_Tables!I30</f>
        <v>10811.542540560973</v>
      </c>
      <c r="I112" s="253">
        <f>(I164/Population_Tables!V30)*Population_Tables!J30</f>
        <v>5460.8286043911321</v>
      </c>
      <c r="J112" s="253">
        <f>(J164/Population_Tables!W30)*Population_Tables!K30</f>
        <v>4256.499737016431</v>
      </c>
      <c r="K112" s="253">
        <f>(K164/Population_Tables!X30)*Population_Tables!L30</f>
        <v>5172.8278874371972</v>
      </c>
      <c r="L112" s="170"/>
      <c r="M112" s="170"/>
      <c r="N112" s="195">
        <f t="shared" si="9"/>
        <v>14954.29131869877</v>
      </c>
      <c r="O112" s="195">
        <f t="shared" si="11"/>
        <v>10811.542540560973</v>
      </c>
      <c r="P112" s="195">
        <f t="shared" si="10"/>
        <v>19360.686179322085</v>
      </c>
      <c r="Q112" s="195">
        <f t="shared" si="12"/>
        <v>45126.520038581824</v>
      </c>
      <c r="R112" s="196">
        <f t="shared" si="13"/>
        <v>0.33138587477858472</v>
      </c>
      <c r="S112" s="170"/>
      <c r="T112" s="170"/>
      <c r="U112" s="195">
        <f t="shared" si="17"/>
        <v>947.64679115845684</v>
      </c>
      <c r="V112" s="195">
        <f t="shared" si="14"/>
        <v>492.94402350165001</v>
      </c>
      <c r="W112" s="195">
        <f t="shared" si="14"/>
        <v>1011.0630632007742</v>
      </c>
      <c r="X112" s="195">
        <f t="shared" si="16"/>
        <v>2451.653877860881</v>
      </c>
      <c r="Y112" s="207">
        <f t="shared" si="15"/>
        <v>0.38653367823083506</v>
      </c>
    </row>
    <row r="113" spans="1:25" ht="15.6" x14ac:dyDescent="0.3">
      <c r="A113" s="206">
        <v>2042</v>
      </c>
      <c r="B113" s="253">
        <f>(B165/Population_Tables!O31)*Population_Tables!C31</f>
        <v>45098.375400340257</v>
      </c>
      <c r="C113" s="253">
        <f>(C165/Population_Tables!P31)*Population_Tables!D31</f>
        <v>12354.516781083217</v>
      </c>
      <c r="D113" s="253">
        <f>(D165/Population_Tables!Q31)*Population_Tables!E31</f>
        <v>3075.8327552730029</v>
      </c>
      <c r="E113" s="253">
        <f>(E165/Population_Tables!R31)*Population_Tables!F31</f>
        <v>20862.220981290822</v>
      </c>
      <c r="F113" s="253">
        <f>(F165/Population_Tables!S31)*Population_Tables!G31</f>
        <v>5632.7583428268599</v>
      </c>
      <c r="G113" s="253">
        <f>(G165/Population_Tables!T31)*Population_Tables!H31</f>
        <v>4242.4785144571251</v>
      </c>
      <c r="H113" s="253">
        <f>(H165/Population_Tables!U31)*Population_Tables!I31</f>
        <v>10944.141679542043</v>
      </c>
      <c r="I113" s="253">
        <f>(I165/Population_Tables!V31)*Population_Tables!J31</f>
        <v>5674.9235003735866</v>
      </c>
      <c r="J113" s="253">
        <f>(J165/Population_Tables!W31)*Population_Tables!K31</f>
        <v>4307.3308018692333</v>
      </c>
      <c r="K113" s="253">
        <f>(K165/Population_Tables!X31)*Population_Tables!L31</f>
        <v>5232.5638225373195</v>
      </c>
      <c r="L113" s="170"/>
      <c r="M113" s="170"/>
      <c r="N113" s="195">
        <f t="shared" si="9"/>
        <v>15550.837644575638</v>
      </c>
      <c r="O113" s="195">
        <f t="shared" si="11"/>
        <v>10944.141679542043</v>
      </c>
      <c r="P113" s="195">
        <f t="shared" si="10"/>
        <v>19672.828050813347</v>
      </c>
      <c r="Q113" s="195">
        <f t="shared" si="12"/>
        <v>46167.807374931028</v>
      </c>
      <c r="R113" s="196">
        <f t="shared" si="13"/>
        <v>0.33683292598859033</v>
      </c>
      <c r="S113" s="170"/>
      <c r="T113" s="170"/>
      <c r="U113" s="195">
        <f t="shared" si="17"/>
        <v>1033.8779068147978</v>
      </c>
      <c r="V113" s="195">
        <f t="shared" si="14"/>
        <v>527.41792022056507</v>
      </c>
      <c r="W113" s="195">
        <f t="shared" si="14"/>
        <v>1084.8634651696884</v>
      </c>
      <c r="X113" s="195">
        <f t="shared" si="16"/>
        <v>2646.1592922050513</v>
      </c>
      <c r="Y113" s="207">
        <f t="shared" si="15"/>
        <v>0.39070886996877074</v>
      </c>
    </row>
    <row r="114" spans="1:25" ht="15.6" x14ac:dyDescent="0.3">
      <c r="A114" s="206">
        <v>2043</v>
      </c>
      <c r="B114" s="253">
        <f>(B166/Population_Tables!O32)*Population_Tables!C32</f>
        <v>45925.181090628648</v>
      </c>
      <c r="C114" s="253">
        <f>(C166/Population_Tables!P32)*Population_Tables!D32</f>
        <v>12491.250696292369</v>
      </c>
      <c r="D114" s="253">
        <f>(D166/Population_Tables!Q32)*Population_Tables!E32</f>
        <v>3122.2166858482547</v>
      </c>
      <c r="E114" s="253">
        <f>(E166/Population_Tables!R32)*Population_Tables!F32</f>
        <v>21373.569056157718</v>
      </c>
      <c r="F114" s="253">
        <f>(F166/Population_Tables!S32)*Population_Tables!G32</f>
        <v>5866.8401563727903</v>
      </c>
      <c r="G114" s="253">
        <f>(G166/Population_Tables!T32)*Population_Tables!H32</f>
        <v>4375.790116857137</v>
      </c>
      <c r="H114" s="253">
        <f>(H166/Population_Tables!U32)*Population_Tables!I32</f>
        <v>11074.099168588404</v>
      </c>
      <c r="I114" s="253">
        <f>(I166/Population_Tables!V32)*Population_Tables!J32</f>
        <v>5893.3881012906768</v>
      </c>
      <c r="J114" s="253">
        <f>(J166/Population_Tables!W32)*Population_Tables!K32</f>
        <v>4360.0253463017425</v>
      </c>
      <c r="K114" s="253">
        <f>(K166/Population_Tables!X32)*Population_Tables!L32</f>
        <v>5293.0145332322427</v>
      </c>
      <c r="L114" s="170"/>
      <c r="M114" s="170"/>
      <c r="N114" s="195">
        <f t="shared" si="9"/>
        <v>16166.310043942103</v>
      </c>
      <c r="O114" s="195">
        <f t="shared" si="11"/>
        <v>11074.099168588404</v>
      </c>
      <c r="P114" s="195">
        <f t="shared" si="10"/>
        <v>19989.257498997758</v>
      </c>
      <c r="Q114" s="195">
        <f t="shared" si="12"/>
        <v>47229.666711528262</v>
      </c>
      <c r="R114" s="196">
        <f t="shared" si="13"/>
        <v>0.34229142760383013</v>
      </c>
      <c r="S114" s="170"/>
      <c r="T114" s="170"/>
      <c r="U114" s="195">
        <f t="shared" si="17"/>
        <v>1125.5631018453569</v>
      </c>
      <c r="V114" s="195">
        <f t="shared" si="14"/>
        <v>562.86422309013142</v>
      </c>
      <c r="W114" s="195">
        <f t="shared" si="14"/>
        <v>1161.2476478529061</v>
      </c>
      <c r="X114" s="195">
        <f t="shared" si="16"/>
        <v>2849.6749727883944</v>
      </c>
      <c r="Y114" s="207">
        <f t="shared" si="15"/>
        <v>0.39497946698952768</v>
      </c>
    </row>
    <row r="115" spans="1:25" ht="15.6" x14ac:dyDescent="0.3">
      <c r="A115" s="206">
        <v>2044</v>
      </c>
      <c r="B115" s="253">
        <f>(B167/Population_Tables!O33)*Population_Tables!C33</f>
        <v>46764.286588965559</v>
      </c>
      <c r="C115" s="253">
        <f>(C167/Population_Tables!P33)*Population_Tables!D33</f>
        <v>12629.220820269209</v>
      </c>
      <c r="D115" s="253">
        <f>(D167/Population_Tables!Q33)*Population_Tables!E33</f>
        <v>3168.7844257816287</v>
      </c>
      <c r="E115" s="253">
        <f>(E167/Population_Tables!R33)*Population_Tables!F33</f>
        <v>21893.92549752866</v>
      </c>
      <c r="F115" s="253">
        <f>(F167/Population_Tables!S33)*Population_Tables!G33</f>
        <v>6109.4906349813637</v>
      </c>
      <c r="G115" s="253">
        <f>(G167/Population_Tables!T33)*Population_Tables!H33</f>
        <v>4511.9408685107464</v>
      </c>
      <c r="H115" s="253">
        <f>(H167/Population_Tables!U33)*Population_Tables!I33</f>
        <v>11201.847404709095</v>
      </c>
      <c r="I115" s="253">
        <f>(I167/Population_Tables!V33)*Population_Tables!J33</f>
        <v>6116.4260787052217</v>
      </c>
      <c r="J115" s="253">
        <f>(J167/Population_Tables!W33)*Population_Tables!K33</f>
        <v>4414.6779725532951</v>
      </c>
      <c r="K115" s="253">
        <f>(K167/Population_Tables!X33)*Population_Tables!L33</f>
        <v>5354.1253945013596</v>
      </c>
      <c r="L115" s="170"/>
      <c r="M115" s="170"/>
      <c r="N115" s="195">
        <f t="shared" si="9"/>
        <v>16801.568727800928</v>
      </c>
      <c r="O115" s="195">
        <f t="shared" si="11"/>
        <v>11201.847404709095</v>
      </c>
      <c r="P115" s="195">
        <f t="shared" si="10"/>
        <v>20309.946114561586</v>
      </c>
      <c r="Q115" s="195">
        <f t="shared" si="12"/>
        <v>48313.362247071607</v>
      </c>
      <c r="R115" s="196">
        <f t="shared" si="13"/>
        <v>0.34776235696200825</v>
      </c>
      <c r="S115" s="170"/>
      <c r="T115" s="170"/>
      <c r="U115" s="195">
        <f t="shared" si="17"/>
        <v>1223.3449739487369</v>
      </c>
      <c r="V115" s="195">
        <f t="shared" si="14"/>
        <v>599.4340891661177</v>
      </c>
      <c r="W115" s="195">
        <f t="shared" si="14"/>
        <v>1240.4041570292029</v>
      </c>
      <c r="X115" s="195">
        <f t="shared" si="16"/>
        <v>3063.1832201440575</v>
      </c>
      <c r="Y115" s="207">
        <f t="shared" si="15"/>
        <v>0.39937048685295573</v>
      </c>
    </row>
    <row r="116" spans="1:25" ht="15.6" x14ac:dyDescent="0.3">
      <c r="A116" s="206">
        <v>2045</v>
      </c>
      <c r="B116" s="253">
        <f>(B168/Population_Tables!O34)*Population_Tables!C34</f>
        <v>47617.382270152637</v>
      </c>
      <c r="C116" s="253">
        <f>(C168/Population_Tables!P34)*Population_Tables!D34</f>
        <v>12768.384937646355</v>
      </c>
      <c r="D116" s="253">
        <f>(D168/Population_Tables!Q34)*Population_Tables!E34</f>
        <v>3215.5132359376098</v>
      </c>
      <c r="E116" s="253">
        <f>(E168/Population_Tables!R34)*Population_Tables!F34</f>
        <v>22424.259258070892</v>
      </c>
      <c r="F116" s="253">
        <f>(F168/Population_Tables!S34)*Population_Tables!G34</f>
        <v>6361.0091465728901</v>
      </c>
      <c r="G116" s="253">
        <f>(G168/Population_Tables!T34)*Population_Tables!H34</f>
        <v>4650.983163611485</v>
      </c>
      <c r="H116" s="253">
        <f>(H168/Population_Tables!U34)*Population_Tables!I34</f>
        <v>11327.807021298002</v>
      </c>
      <c r="I116" s="253">
        <f>(I168/Population_Tables!V34)*Population_Tables!J34</f>
        <v>6344.2359408751718</v>
      </c>
      <c r="J116" s="253">
        <f>(J168/Population_Tables!W34)*Population_Tables!K34</f>
        <v>4471.3893455067873</v>
      </c>
      <c r="K116" s="253">
        <f>(K168/Population_Tables!X34)*Population_Tables!L34</f>
        <v>5415.8450172122721</v>
      </c>
      <c r="L116" s="170"/>
      <c r="M116" s="170"/>
      <c r="N116" s="195">
        <f t="shared" si="9"/>
        <v>17457.461383345781</v>
      </c>
      <c r="O116" s="195">
        <f t="shared" si="11"/>
        <v>11327.807021298002</v>
      </c>
      <c r="P116" s="195">
        <f t="shared" si="10"/>
        <v>20634.881337195449</v>
      </c>
      <c r="Q116" s="195">
        <f t="shared" si="12"/>
        <v>49420.149741839232</v>
      </c>
      <c r="R116" s="196">
        <f t="shared" si="13"/>
        <v>0.35324582128018617</v>
      </c>
      <c r="S116" s="170"/>
      <c r="T116" s="170"/>
      <c r="U116" s="195">
        <f t="shared" si="17"/>
        <v>1327.8535970144731</v>
      </c>
      <c r="V116" s="195">
        <f t="shared" si="14"/>
        <v>637.2669118891281</v>
      </c>
      <c r="W116" s="195">
        <f t="shared" si="14"/>
        <v>1322.5373874817196</v>
      </c>
      <c r="X116" s="195">
        <f t="shared" si="16"/>
        <v>3287.6578963853208</v>
      </c>
      <c r="Y116" s="207">
        <f t="shared" si="15"/>
        <v>0.40389044081332409</v>
      </c>
    </row>
    <row r="117" spans="1:25" ht="15.6" x14ac:dyDescent="0.3">
      <c r="A117" s="206">
        <v>2046</v>
      </c>
      <c r="B117" s="253">
        <f>(B169/Population_Tables!O35)*Population_Tables!C35</f>
        <v>48485.909905092143</v>
      </c>
      <c r="C117" s="253">
        <f>(C169/Population_Tables!P35)*Population_Tables!D35</f>
        <v>12908.683144712557</v>
      </c>
      <c r="D117" s="253">
        <f>(D169/Population_Tables!Q35)*Population_Tables!E35</f>
        <v>3262.3759024387655</v>
      </c>
      <c r="E117" s="253">
        <f>(E169/Population_Tables!R35)*Population_Tables!F35</f>
        <v>22965.390481206097</v>
      </c>
      <c r="F117" s="253">
        <f>(F169/Population_Tables!S35)*Population_Tables!G35</f>
        <v>6621.6735888162866</v>
      </c>
      <c r="G117" s="253">
        <f>(G169/Population_Tables!T35)*Population_Tables!H35</f>
        <v>4792.9565138572889</v>
      </c>
      <c r="H117" s="253">
        <f>(H169/Population_Tables!U35)*Population_Tables!I35</f>
        <v>11452.358407337264</v>
      </c>
      <c r="I117" s="253">
        <f>(I169/Population_Tables!V35)*Population_Tables!J35</f>
        <v>6576.9415231720304</v>
      </c>
      <c r="J117" s="253">
        <f>(J169/Population_Tables!W35)*Population_Tables!K35</f>
        <v>4530.2594284214947</v>
      </c>
      <c r="K117" s="253">
        <f>(K169/Population_Tables!X35)*Population_Tables!L35</f>
        <v>5478.1057036510856</v>
      </c>
      <c r="L117" s="170"/>
      <c r="M117" s="170"/>
      <c r="N117" s="195">
        <f t="shared" si="9"/>
        <v>18134.705662685119</v>
      </c>
      <c r="O117" s="195">
        <f t="shared" si="11"/>
        <v>11452.358407337264</v>
      </c>
      <c r="P117" s="195">
        <f t="shared" si="10"/>
        <v>20964.015561008611</v>
      </c>
      <c r="Q117" s="195">
        <f t="shared" si="12"/>
        <v>50551.079631030996</v>
      </c>
      <c r="R117" s="196">
        <f t="shared" si="13"/>
        <v>0.35874022464107874</v>
      </c>
      <c r="S117" s="170"/>
      <c r="T117" s="170"/>
      <c r="U117" s="195">
        <f t="shared" si="17"/>
        <v>1439.5890098468662</v>
      </c>
      <c r="V117" s="195">
        <f t="shared" si="14"/>
        <v>676.46184028802963</v>
      </c>
      <c r="W117" s="195">
        <f t="shared" si="14"/>
        <v>1407.8166884122293</v>
      </c>
      <c r="X117" s="195">
        <f t="shared" si="16"/>
        <v>3523.8675385471252</v>
      </c>
      <c r="Y117" s="207">
        <f t="shared" si="15"/>
        <v>0.40852529049386527</v>
      </c>
    </row>
    <row r="118" spans="1:25" ht="15.6" x14ac:dyDescent="0.3">
      <c r="A118" s="206">
        <v>2047</v>
      </c>
      <c r="B118" s="253">
        <f>(B170/Population_Tables!O36)*Population_Tables!C36</f>
        <v>49371.272601671277</v>
      </c>
      <c r="C118" s="253">
        <f>(C170/Population_Tables!P36)*Population_Tables!D36</f>
        <v>13050.090066766752</v>
      </c>
      <c r="D118" s="253">
        <f>(D170/Population_Tables!Q36)*Population_Tables!E36</f>
        <v>3309.3445646298287</v>
      </c>
      <c r="E118" s="253">
        <f>(E170/Population_Tables!R36)*Population_Tables!F36</f>
        <v>23518.117766208816</v>
      </c>
      <c r="F118" s="253">
        <f>(F170/Population_Tables!S36)*Population_Tables!G36</f>
        <v>6891.7556009120754</v>
      </c>
      <c r="G118" s="253">
        <f>(G170/Population_Tables!T36)*Population_Tables!H36</f>
        <v>4937.9033029430511</v>
      </c>
      <c r="H118" s="253">
        <f>(H170/Population_Tables!U36)*Population_Tables!I36</f>
        <v>11575.857112261907</v>
      </c>
      <c r="I118" s="253">
        <f>(I170/Population_Tables!V36)*Population_Tables!J36</f>
        <v>6814.6628755497604</v>
      </c>
      <c r="J118" s="253">
        <f>(J170/Population_Tables!W36)*Population_Tables!K36</f>
        <v>4591.3986654028549</v>
      </c>
      <c r="K118" s="253">
        <f>(K170/Population_Tables!X36)*Population_Tables!L36</f>
        <v>5540.8558910834927</v>
      </c>
      <c r="L118" s="170"/>
      <c r="M118" s="170"/>
      <c r="N118" s="195">
        <f t="shared" si="9"/>
        <v>18834.016254858983</v>
      </c>
      <c r="O118" s="195">
        <f t="shared" si="11"/>
        <v>11575.857112261907</v>
      </c>
      <c r="P118" s="195">
        <f t="shared" si="10"/>
        <v>21297.33793433963</v>
      </c>
      <c r="Q118" s="195">
        <f t="shared" si="12"/>
        <v>51707.211301460513</v>
      </c>
      <c r="R118" s="196">
        <f t="shared" si="13"/>
        <v>0.36424351228407864</v>
      </c>
      <c r="S118" s="170"/>
      <c r="T118" s="170"/>
      <c r="U118" s="195">
        <f t="shared" si="17"/>
        <v>1559.0482881818098</v>
      </c>
      <c r="V118" s="195">
        <f t="shared" si="14"/>
        <v>717.09318384456856</v>
      </c>
      <c r="W118" s="195">
        <f t="shared" si="14"/>
        <v>1496.4481632518</v>
      </c>
      <c r="X118" s="195">
        <f t="shared" si="16"/>
        <v>3772.5896352781783</v>
      </c>
      <c r="Y118" s="207">
        <f t="shared" si="15"/>
        <v>0.41325679146304783</v>
      </c>
    </row>
    <row r="119" spans="1:25" ht="15.6" x14ac:dyDescent="0.3">
      <c r="A119" s="206">
        <v>2048</v>
      </c>
      <c r="B119" s="253">
        <f>(B171/Population_Tables!O37)*Population_Tables!C37</f>
        <v>50275.097379231454</v>
      </c>
      <c r="C119" s="253">
        <f>(C171/Population_Tables!P37)*Population_Tables!D37</f>
        <v>13192.649933795999</v>
      </c>
      <c r="D119" s="253">
        <f>(D171/Population_Tables!Q37)*Population_Tables!E37</f>
        <v>3356.3920744996185</v>
      </c>
      <c r="E119" s="253">
        <f>(E171/Population_Tables!R37)*Population_Tables!F37</f>
        <v>24083.395136267849</v>
      </c>
      <c r="F119" s="253">
        <f>(F171/Population_Tables!S37)*Population_Tables!G37</f>
        <v>7171.5470823965743</v>
      </c>
      <c r="G119" s="253">
        <f>(G171/Population_Tables!T37)*Population_Tables!H37</f>
        <v>5085.8813918814612</v>
      </c>
      <c r="H119" s="253">
        <f>(H171/Population_Tables!U37)*Population_Tables!I37</f>
        <v>11698.674974947269</v>
      </c>
      <c r="I119" s="253">
        <f>(I171/Population_Tables!V37)*Population_Tables!J37</f>
        <v>7057.6079965171057</v>
      </c>
      <c r="J119" s="253">
        <f>(J171/Population_Tables!W37)*Population_Tables!K37</f>
        <v>4654.9342422776162</v>
      </c>
      <c r="K119" s="253">
        <f>(K171/Population_Tables!X37)*Population_Tables!L37</f>
        <v>5604.0818198307088</v>
      </c>
      <c r="L119" s="170"/>
      <c r="M119" s="170"/>
      <c r="N119" s="195">
        <f t="shared" si="9"/>
        <v>19556.267243717153</v>
      </c>
      <c r="O119" s="195">
        <f t="shared" si="11"/>
        <v>11698.674974947269</v>
      </c>
      <c r="P119" s="195">
        <f t="shared" si="10"/>
        <v>21634.923400177082</v>
      </c>
      <c r="Q119" s="195">
        <f t="shared" si="12"/>
        <v>52889.865618841504</v>
      </c>
      <c r="R119" s="196">
        <f t="shared" si="13"/>
        <v>0.36975452697596611</v>
      </c>
      <c r="S119" s="170"/>
      <c r="T119" s="170"/>
      <c r="U119" s="195">
        <f t="shared" si="17"/>
        <v>1686.8879025649476</v>
      </c>
      <c r="V119" s="195">
        <f t="shared" si="14"/>
        <v>759.25154148080583</v>
      </c>
      <c r="W119" s="195">
        <f t="shared" si="14"/>
        <v>1588.7237100815255</v>
      </c>
      <c r="X119" s="195">
        <f t="shared" si="16"/>
        <v>4034.8631541272789</v>
      </c>
      <c r="Y119" s="207">
        <f t="shared" si="15"/>
        <v>0.41807809537218693</v>
      </c>
    </row>
    <row r="120" spans="1:25" ht="15.6" x14ac:dyDescent="0.3">
      <c r="A120" s="206">
        <v>2049</v>
      </c>
      <c r="B120" s="253">
        <f>(B172/Population_Tables!O38)*Population_Tables!C38</f>
        <v>51199.059273559447</v>
      </c>
      <c r="C120" s="253">
        <f>(C172/Population_Tables!P38)*Population_Tables!D38</f>
        <v>13336.444364799216</v>
      </c>
      <c r="D120" s="253">
        <f>(D172/Population_Tables!Q38)*Population_Tables!E38</f>
        <v>3403.4929331454609</v>
      </c>
      <c r="E120" s="253">
        <f>(E172/Population_Tables!R38)*Population_Tables!F38</f>
        <v>24662.216537406504</v>
      </c>
      <c r="F120" s="253">
        <f>(F172/Population_Tables!S38)*Population_Tables!G38</f>
        <v>7461.3440799255641</v>
      </c>
      <c r="G120" s="253">
        <f>(G172/Population_Tables!T38)*Population_Tables!H38</f>
        <v>5236.9568742421452</v>
      </c>
      <c r="H120" s="253">
        <f>(H172/Population_Tables!U38)*Population_Tables!I38</f>
        <v>11821.177966832895</v>
      </c>
      <c r="I120" s="253">
        <f>(I172/Population_Tables!V38)*Population_Tables!J38</f>
        <v>7306.013285654858</v>
      </c>
      <c r="J120" s="253">
        <f>(J172/Population_Tables!W38)*Population_Tables!K38</f>
        <v>4721.00622538057</v>
      </c>
      <c r="K120" s="253">
        <f>(K172/Population_Tables!X38)*Population_Tables!L38</f>
        <v>5667.7855644797364</v>
      </c>
      <c r="L120" s="170"/>
      <c r="M120" s="170"/>
      <c r="N120" s="195">
        <f t="shared" si="9"/>
        <v>20302.382650499174</v>
      </c>
      <c r="O120" s="195">
        <f t="shared" si="11"/>
        <v>11821.177966832895</v>
      </c>
      <c r="P120" s="195">
        <f t="shared" si="10"/>
        <v>21976.894172186825</v>
      </c>
      <c r="Q120" s="195">
        <f t="shared" si="12"/>
        <v>54100.454789518895</v>
      </c>
      <c r="R120" s="196">
        <f t="shared" si="13"/>
        <v>0.37527194049452683</v>
      </c>
      <c r="S120" s="170"/>
      <c r="T120" s="170"/>
      <c r="U120" s="195">
        <f t="shared" si="17"/>
        <v>1823.8142609316674</v>
      </c>
      <c r="V120" s="195">
        <f t="shared" si="14"/>
        <v>803.02164468300725</v>
      </c>
      <c r="W120" s="195">
        <f t="shared" si="14"/>
        <v>1684.9824976597811</v>
      </c>
      <c r="X120" s="195">
        <f t="shared" si="16"/>
        <v>4311.8184032744557</v>
      </c>
      <c r="Y120" s="207">
        <f t="shared" si="15"/>
        <v>0.42298030444571533</v>
      </c>
    </row>
    <row r="121" spans="1:25" ht="16.2" thickBot="1" x14ac:dyDescent="0.35">
      <c r="A121" s="208">
        <v>2050</v>
      </c>
      <c r="B121" s="253">
        <f>(B173/Population_Tables!O39)*Population_Tables!C39</f>
        <v>52144.764682490822</v>
      </c>
      <c r="C121" s="253">
        <f>(C173/Population_Tables!P39)*Population_Tables!D39</f>
        <v>13481.52741385497</v>
      </c>
      <c r="D121" s="253">
        <f>(D173/Population_Tables!Q39)*Population_Tables!E39</f>
        <v>3450.6186579778687</v>
      </c>
      <c r="E121" s="253">
        <f>(E173/Population_Tables!R39)*Population_Tables!F39</f>
        <v>25255.543313673163</v>
      </c>
      <c r="F121" s="253">
        <f>(F173/Population_Tables!S39)*Population_Tables!G39</f>
        <v>7761.4428535454181</v>
      </c>
      <c r="G121" s="253">
        <f>(G173/Population_Tables!T39)*Population_Tables!H39</f>
        <v>5391.1928907145611</v>
      </c>
      <c r="H121" s="253">
        <f>(H173/Population_Tables!U39)*Population_Tables!I39</f>
        <v>11943.734206615374</v>
      </c>
      <c r="I121" s="253">
        <f>(I173/Population_Tables!V39)*Population_Tables!J39</f>
        <v>7560.0918566932996</v>
      </c>
      <c r="J121" s="253">
        <f>(J173/Population_Tables!W39)*Population_Tables!K39</f>
        <v>4789.7511112390275</v>
      </c>
      <c r="K121" s="253">
        <f>(K173/Population_Tables!X39)*Population_Tables!L39</f>
        <v>5731.9532107033019</v>
      </c>
      <c r="L121" s="209"/>
      <c r="M121" s="209"/>
      <c r="N121" s="195">
        <f t="shared" si="9"/>
        <v>21073.251960603207</v>
      </c>
      <c r="O121" s="195">
        <f t="shared" si="11"/>
        <v>11943.734206615374</v>
      </c>
      <c r="P121" s="195">
        <f t="shared" si="10"/>
        <v>22323.338962547401</v>
      </c>
      <c r="Q121" s="195">
        <f t="shared" si="12"/>
        <v>55340.325129765981</v>
      </c>
      <c r="R121" s="210">
        <f t="shared" si="13"/>
        <v>0.38079378664995422</v>
      </c>
      <c r="S121" s="209"/>
      <c r="T121" s="209"/>
      <c r="U121" s="211">
        <f t="shared" si="17"/>
        <v>1970.4992353759808</v>
      </c>
      <c r="V121" s="195">
        <f t="shared" si="14"/>
        <v>848.49037219449565</v>
      </c>
      <c r="W121" s="211">
        <f t="shared" si="14"/>
        <v>1785.5301932576185</v>
      </c>
      <c r="X121" s="195">
        <f t="shared" si="16"/>
        <v>4604.519800828095</v>
      </c>
      <c r="Y121" s="212">
        <f t="shared" si="15"/>
        <v>0.42794891120277045</v>
      </c>
    </row>
    <row r="122" spans="1:25" ht="15.6" x14ac:dyDescent="0.3">
      <c r="A122" s="213">
        <v>2051</v>
      </c>
      <c r="B122" s="253">
        <f>(B174/Population_Tables!O40)*Population_Tables!C40</f>
        <v>53113.70655920235</v>
      </c>
      <c r="C122" s="253">
        <f>(C174/Population_Tables!P40)*Population_Tables!D40</f>
        <v>13627.87343594814</v>
      </c>
      <c r="D122" s="253">
        <f>(D174/Population_Tables!Q40)*Population_Tables!E40</f>
        <v>3497.7385760586321</v>
      </c>
      <c r="E122" s="253">
        <f>(E174/Population_Tables!R40)*Population_Tables!F40</f>
        <v>25864.284433222761</v>
      </c>
      <c r="F122" s="253">
        <f>(F174/Population_Tables!S40)*Population_Tables!G40</f>
        <v>8072.1381094710659</v>
      </c>
      <c r="G122" s="253">
        <f>(G174/Population_Tables!T40)*Population_Tables!H40</f>
        <v>5548.6409630673179</v>
      </c>
      <c r="H122" s="253">
        <f>(H174/Population_Tables!U40)*Population_Tables!I40</f>
        <v>12066.725879233294</v>
      </c>
      <c r="I122" s="253">
        <f>(I174/Population_Tables!V40)*Population_Tables!J40</f>
        <v>7820.0133298192559</v>
      </c>
      <c r="J122" s="253">
        <f>(J174/Population_Tables!W40)*Population_Tables!K40</f>
        <v>4861.2923711661797</v>
      </c>
      <c r="K122" s="253">
        <f>(K174/Population_Tables!X40)*Population_Tables!L40</f>
        <v>5796.5277279356142</v>
      </c>
      <c r="N122" s="195">
        <f t="shared" si="9"/>
        <v>21869.696663460534</v>
      </c>
      <c r="O122" s="195">
        <f t="shared" si="11"/>
        <v>12066.725879233294</v>
      </c>
      <c r="P122" s="195">
        <f t="shared" si="10"/>
        <v>22674.252975074091</v>
      </c>
      <c r="Q122" s="195">
        <f t="shared" si="12"/>
        <v>56610.675517767922</v>
      </c>
      <c r="R122" s="214">
        <f t="shared" si="13"/>
        <v>0.38631753575518585</v>
      </c>
      <c r="U122" s="215">
        <f t="shared" si="17"/>
        <v>2127.5467020250362</v>
      </c>
      <c r="V122" s="195">
        <f t="shared" si="14"/>
        <v>895.75866900057008</v>
      </c>
      <c r="W122" s="215">
        <f t="shared" si="14"/>
        <v>1890.5789557828321</v>
      </c>
      <c r="X122" s="195">
        <f t="shared" si="16"/>
        <v>4913.8843268084383</v>
      </c>
      <c r="Y122" s="214">
        <f t="shared" si="15"/>
        <v>0.43296637863815468</v>
      </c>
    </row>
    <row r="123" spans="1:25" ht="15.6" x14ac:dyDescent="0.3">
      <c r="A123" s="194">
        <v>2052</v>
      </c>
      <c r="B123" s="253">
        <f>(B175/Population_Tables!O41)*Population_Tables!C41</f>
        <v>54107.253473831923</v>
      </c>
      <c r="C123" s="253">
        <f>(C175/Population_Tables!P41)*Population_Tables!D41</f>
        <v>13775.430785062259</v>
      </c>
      <c r="D123" s="253">
        <f>(D175/Population_Tables!Q41)*Population_Tables!E41</f>
        <v>3544.8174877974407</v>
      </c>
      <c r="E123" s="253">
        <f>(E175/Population_Tables!R41)*Population_Tables!F41</f>
        <v>26489.265211775422</v>
      </c>
      <c r="F123" s="253">
        <f>(F175/Population_Tables!S41)*Population_Tables!G41</f>
        <v>8393.7191216424635</v>
      </c>
      <c r="G123" s="253">
        <f>(G175/Population_Tables!T41)*Population_Tables!H41</f>
        <v>5709.3452282721428</v>
      </c>
      <c r="H123" s="253">
        <f>(H175/Population_Tables!U41)*Population_Tables!I41</f>
        <v>12190.530331695243</v>
      </c>
      <c r="I123" s="253">
        <f>(I175/Population_Tables!V41)*Population_Tables!J41</f>
        <v>8085.8904657418288</v>
      </c>
      <c r="J123" s="253">
        <f>(J175/Population_Tables!W41)*Population_Tables!K41</f>
        <v>4935.7477611282029</v>
      </c>
      <c r="K123" s="253">
        <f>(K175/Population_Tables!X41)*Population_Tables!L41</f>
        <v>5861.4336568130402</v>
      </c>
      <c r="N123" s="195">
        <f t="shared" si="9"/>
        <v>22692.454001722646</v>
      </c>
      <c r="O123" s="195">
        <f t="shared" si="11"/>
        <v>12190.530331695243</v>
      </c>
      <c r="P123" s="195">
        <f t="shared" si="10"/>
        <v>23029.593501131843</v>
      </c>
      <c r="Q123" s="195">
        <f t="shared" si="12"/>
        <v>57912.577834549731</v>
      </c>
      <c r="R123" s="196">
        <f t="shared" si="13"/>
        <v>0.39183981874460244</v>
      </c>
      <c r="U123" s="195">
        <f t="shared" si="17"/>
        <v>2295.4762902261718</v>
      </c>
      <c r="V123" s="195">
        <f t="shared" si="14"/>
        <v>944.92264215654905</v>
      </c>
      <c r="W123" s="195">
        <f t="shared" si="14"/>
        <v>2000.3030316928889</v>
      </c>
      <c r="X123" s="195">
        <f t="shared" si="16"/>
        <v>5240.7019640756098</v>
      </c>
      <c r="Y123" s="196">
        <f t="shared" si="15"/>
        <v>0.43800931744666832</v>
      </c>
    </row>
    <row r="124" spans="1:25" ht="15.6" x14ac:dyDescent="0.3">
      <c r="A124" s="194">
        <v>2053</v>
      </c>
      <c r="B124" s="253">
        <f>(B176/Population_Tables!O42)*Population_Tables!C42</f>
        <v>55126.727917111028</v>
      </c>
      <c r="C124" s="253">
        <f>(C176/Population_Tables!P42)*Population_Tables!D42</f>
        <v>13924.208738347317</v>
      </c>
      <c r="D124" s="253">
        <f>(D176/Population_Tables!Q42)*Population_Tables!E42</f>
        <v>3591.819692475427</v>
      </c>
      <c r="E124" s="253">
        <f>(E176/Population_Tables!R42)*Population_Tables!F42</f>
        <v>27131.259531158787</v>
      </c>
      <c r="F124" s="253">
        <f>(F176/Population_Tables!S42)*Population_Tables!G42</f>
        <v>8726.4695774263782</v>
      </c>
      <c r="G124" s="253">
        <f>(G176/Population_Tables!T42)*Population_Tables!H42</f>
        <v>5873.35005679402</v>
      </c>
      <c r="H124" s="253">
        <f>(H176/Population_Tables!U42)*Population_Tables!I42</f>
        <v>12315.502168144385</v>
      </c>
      <c r="I124" s="253">
        <f>(I176/Population_Tables!V42)*Population_Tables!J42</f>
        <v>8357.8044854654454</v>
      </c>
      <c r="J124" s="253">
        <f>(J176/Population_Tables!W42)*Population_Tables!K42</f>
        <v>5013.25887766091</v>
      </c>
      <c r="K124" s="253">
        <f>(K176/Population_Tables!X42)*Population_Tables!L42</f>
        <v>5926.613389420977</v>
      </c>
      <c r="N124" s="195">
        <f t="shared" si="9"/>
        <v>23542.226940440778</v>
      </c>
      <c r="O124" s="195">
        <f t="shared" si="11"/>
        <v>12315.502168144385</v>
      </c>
      <c r="P124" s="195">
        <f t="shared" si="10"/>
        <v>23389.378487616767</v>
      </c>
      <c r="Q124" s="195">
        <f t="shared" si="12"/>
        <v>59247.107596201931</v>
      </c>
      <c r="R124" s="196">
        <f t="shared" si="13"/>
        <v>0.39735656128384511</v>
      </c>
      <c r="U124" s="195">
        <f t="shared" si="17"/>
        <v>2474.7733517264678</v>
      </c>
      <c r="V124" s="195">
        <f t="shared" si="14"/>
        <v>996.05565585231489</v>
      </c>
      <c r="W124" s="195">
        <f t="shared" si="14"/>
        <v>2114.9373229764024</v>
      </c>
      <c r="X124" s="195">
        <f t="shared" si="16"/>
        <v>5585.766330555185</v>
      </c>
      <c r="Y124" s="196">
        <f t="shared" si="15"/>
        <v>0.44304992462520232</v>
      </c>
    </row>
    <row r="125" spans="1:25" ht="15.6" x14ac:dyDescent="0.3">
      <c r="A125" s="194">
        <v>2054</v>
      </c>
      <c r="B125" s="253">
        <f>(B177/Population_Tables!O43)*Population_Tables!C43</f>
        <v>56173.374165941859</v>
      </c>
      <c r="C125" s="253">
        <f>(C177/Population_Tables!P43)*Population_Tables!D43</f>
        <v>14074.214410126877</v>
      </c>
      <c r="D125" s="253">
        <f>(D177/Population_Tables!Q43)*Population_Tables!E43</f>
        <v>3638.707521413874</v>
      </c>
      <c r="E125" s="253">
        <f>(E177/Population_Tables!R43)*Population_Tables!F43</f>
        <v>27790.981113298352</v>
      </c>
      <c r="F125" s="253">
        <f>(F177/Population_Tables!S43)*Population_Tables!G43</f>
        <v>9070.6687835425691</v>
      </c>
      <c r="G125" s="253">
        <f>(G177/Population_Tables!T43)*Population_Tables!H43</f>
        <v>6040.6913325890464</v>
      </c>
      <c r="H125" s="253">
        <f>(H177/Population_Tables!U43)*Population_Tables!I43</f>
        <v>12441.9854520842</v>
      </c>
      <c r="I125" s="253">
        <f>(I177/Population_Tables!V43)*Population_Tables!J43</f>
        <v>8635.7948214466287</v>
      </c>
      <c r="J125" s="253">
        <f>(J177/Population_Tables!W43)*Population_Tables!K43</f>
        <v>5093.9702808962029</v>
      </c>
      <c r="K125" s="253">
        <f>(K177/Population_Tables!X43)*Population_Tables!L43</f>
        <v>5992.0032650606372</v>
      </c>
      <c r="N125" s="195">
        <f t="shared" si="9"/>
        <v>24419.664444756723</v>
      </c>
      <c r="O125" s="195">
        <f t="shared" si="11"/>
        <v>12441.9854520842</v>
      </c>
      <c r="P125" s="195">
        <f t="shared" si="10"/>
        <v>23753.613264129795</v>
      </c>
      <c r="Q125" s="195">
        <f t="shared" si="12"/>
        <v>60615.263160970717</v>
      </c>
      <c r="R125" s="196">
        <f t="shared" si="13"/>
        <v>0.40286329170769303</v>
      </c>
      <c r="U125" s="195">
        <f t="shared" si="17"/>
        <v>2665.8692383635789</v>
      </c>
      <c r="V125" s="195">
        <f t="shared" si="14"/>
        <v>1049.2205336380739</v>
      </c>
      <c r="W125" s="195">
        <f t="shared" si="14"/>
        <v>2234.7041143268325</v>
      </c>
      <c r="X125" s="195">
        <f t="shared" si="16"/>
        <v>5949.7938863284853</v>
      </c>
      <c r="Y125" s="196">
        <f t="shared" si="15"/>
        <v>0.44806077139735012</v>
      </c>
    </row>
    <row r="126" spans="1:25" ht="15.6" x14ac:dyDescent="0.3">
      <c r="A126" s="194">
        <v>2055</v>
      </c>
      <c r="B126" s="253">
        <f>(B178/Population_Tables!O44)*Population_Tables!C44</f>
        <v>57248.437157555592</v>
      </c>
      <c r="C126" s="253">
        <f>(C178/Population_Tables!P44)*Population_Tables!D44</f>
        <v>14225.42976779234</v>
      </c>
      <c r="D126" s="253">
        <f>(D178/Population_Tables!Q44)*Population_Tables!E44</f>
        <v>3685.440739546651</v>
      </c>
      <c r="E126" s="253">
        <f>(E178/Population_Tables!R44)*Population_Tables!F44</f>
        <v>28469.151931187986</v>
      </c>
      <c r="F126" s="253">
        <f>(F178/Population_Tables!S44)*Population_Tables!G44</f>
        <v>9426.5979644089166</v>
      </c>
      <c r="G126" s="253">
        <f>(G178/Population_Tables!T44)*Population_Tables!H44</f>
        <v>6211.4041662927357</v>
      </c>
      <c r="H126" s="253">
        <f>(H178/Population_Tables!U44)*Population_Tables!I44</f>
        <v>12570.329729707031</v>
      </c>
      <c r="I126" s="253">
        <f>(I178/Population_Tables!V44)*Population_Tables!J44</f>
        <v>8919.8951193786288</v>
      </c>
      <c r="J126" s="253">
        <f>(J178/Population_Tables!W44)*Population_Tables!K44</f>
        <v>5178.0249131259998</v>
      </c>
      <c r="K126" s="253">
        <f>(K178/Population_Tables!X44)*Population_Tables!L44</f>
        <v>6057.5268516695069</v>
      </c>
      <c r="N126" s="195">
        <f t="shared" si="9"/>
        <v>25325.420165889875</v>
      </c>
      <c r="O126" s="195">
        <f t="shared" si="11"/>
        <v>12570.329729707031</v>
      </c>
      <c r="P126" s="195">
        <f t="shared" si="10"/>
        <v>24122.274673631728</v>
      </c>
      <c r="Q126" s="195">
        <f t="shared" si="12"/>
        <v>62018.024569228633</v>
      </c>
      <c r="R126" s="196">
        <f t="shared" si="13"/>
        <v>0.40835580207202443</v>
      </c>
      <c r="U126" s="195">
        <f t="shared" si="17"/>
        <v>2869.1999880527474</v>
      </c>
      <c r="V126" s="195">
        <f t="shared" si="14"/>
        <v>1104.4855817528914</v>
      </c>
      <c r="W126" s="195">
        <f t="shared" si="14"/>
        <v>2359.7972037974832</v>
      </c>
      <c r="X126" s="195">
        <f t="shared" si="16"/>
        <v>6333.482773603122</v>
      </c>
      <c r="Y126" s="196">
        <f t="shared" si="15"/>
        <v>0.45302088765616993</v>
      </c>
    </row>
    <row r="127" spans="1:25" ht="15.6" x14ac:dyDescent="0.3">
      <c r="A127" s="194">
        <v>2056</v>
      </c>
      <c r="B127" s="253">
        <f>(B179/Population_Tables!O45)*Population_Tables!C45</f>
        <v>58353.317280571689</v>
      </c>
      <c r="C127" s="253">
        <f>(C179/Population_Tables!P45)*Population_Tables!D45</f>
        <v>14377.801609298038</v>
      </c>
      <c r="D127" s="253">
        <f>(D179/Population_Tables!Q45)*Population_Tables!E45</f>
        <v>3731.9779114969779</v>
      </c>
      <c r="E127" s="253">
        <f>(E179/Population_Tables!R45)*Population_Tables!F45</f>
        <v>29166.626217004774</v>
      </c>
      <c r="F127" s="253">
        <f>(F179/Population_Tables!S45)*Population_Tables!G45</f>
        <v>9794.5572458501265</v>
      </c>
      <c r="G127" s="253">
        <f>(G179/Population_Tables!T45)*Population_Tables!H45</f>
        <v>6385.5334436111916</v>
      </c>
      <c r="H127" s="253">
        <f>(H179/Population_Tables!U45)*Population_Tables!I45</f>
        <v>12700.911422323896</v>
      </c>
      <c r="I127" s="253">
        <f>(I179/Population_Tables!V45)*Population_Tables!J45</f>
        <v>9210.202436936579</v>
      </c>
      <c r="J127" s="253">
        <f>(J179/Population_Tables!W45)*Population_Tables!K45</f>
        <v>5265.5590748487557</v>
      </c>
      <c r="K127" s="253">
        <f>(K179/Population_Tables!X45)*Population_Tables!L45</f>
        <v>6123.0996854115883</v>
      </c>
      <c r="N127" s="195">
        <f t="shared" si="9"/>
        <v>26260.272040531003</v>
      </c>
      <c r="O127" s="195">
        <f t="shared" si="11"/>
        <v>12700.911422323896</v>
      </c>
      <c r="P127" s="195">
        <f t="shared" si="10"/>
        <v>24495.312964406206</v>
      </c>
      <c r="Q127" s="195">
        <f t="shared" si="12"/>
        <v>63456.496427261103</v>
      </c>
      <c r="R127" s="196">
        <f t="shared" si="13"/>
        <v>0.41383110507263227</v>
      </c>
      <c r="U127" s="195">
        <f t="shared" si="17"/>
        <v>3085.3259241805972</v>
      </c>
      <c r="V127" s="195">
        <f t="shared" si="14"/>
        <v>1161.9459815545106</v>
      </c>
      <c r="W127" s="195">
        <f t="shared" si="14"/>
        <v>2490.3837947645115</v>
      </c>
      <c r="X127" s="195">
        <f t="shared" si="16"/>
        <v>6737.6557004996193</v>
      </c>
      <c r="Y127" s="196">
        <f t="shared" si="15"/>
        <v>0.4579227644344917</v>
      </c>
    </row>
    <row r="128" spans="1:25" ht="15.6" x14ac:dyDescent="0.3">
      <c r="A128" s="194">
        <v>2057</v>
      </c>
      <c r="B128" s="253">
        <f>(B180/Population_Tables!O46)*Population_Tables!C46</f>
        <v>59489.339128716143</v>
      </c>
      <c r="C128" s="253">
        <f>(C180/Population_Tables!P46)*Population_Tables!D46</f>
        <v>14531.226079519671</v>
      </c>
      <c r="D128" s="253">
        <f>(D180/Population_Tables!Q46)*Population_Tables!E46</f>
        <v>3778.2745157514419</v>
      </c>
      <c r="E128" s="253">
        <f>(E180/Population_Tables!R46)*Population_Tables!F46</f>
        <v>29884.219006643154</v>
      </c>
      <c r="F128" s="253">
        <f>(F180/Population_Tables!S46)*Population_Tables!G46</f>
        <v>10174.842278361366</v>
      </c>
      <c r="G128" s="253">
        <f>(G180/Population_Tables!T46)*Population_Tables!H46</f>
        <v>6563.1149857835962</v>
      </c>
      <c r="H128" s="253">
        <f>(H180/Population_Tables!U46)*Population_Tables!I46</f>
        <v>12834.110110977455</v>
      </c>
      <c r="I128" s="253">
        <f>(I180/Population_Tables!V46)*Population_Tables!J46</f>
        <v>9506.78409062842</v>
      </c>
      <c r="J128" s="253">
        <f>(J180/Population_Tables!W46)*Population_Tables!K46</f>
        <v>5356.7008997925095</v>
      </c>
      <c r="K128" s="253">
        <f>(K180/Population_Tables!X46)*Population_Tables!L46</f>
        <v>6188.6128078980873</v>
      </c>
      <c r="N128" s="195">
        <f t="shared" si="9"/>
        <v>27224.951174027068</v>
      </c>
      <c r="O128" s="195">
        <f t="shared" si="11"/>
        <v>12834.110110977455</v>
      </c>
      <c r="P128" s="195">
        <f t="shared" si="10"/>
        <v>24872.61558105471</v>
      </c>
      <c r="Q128" s="195">
        <f t="shared" si="12"/>
        <v>64931.676866059228</v>
      </c>
      <c r="R128" s="196">
        <f t="shared" si="13"/>
        <v>0.41928612486300909</v>
      </c>
      <c r="U128" s="195">
        <f t="shared" si="17"/>
        <v>3314.7605387899494</v>
      </c>
      <c r="V128" s="195">
        <f t="shared" si="14"/>
        <v>1221.7000741323118</v>
      </c>
      <c r="W128" s="195">
        <f t="shared" si="14"/>
        <v>2626.5682869219163</v>
      </c>
      <c r="X128" s="195">
        <f t="shared" si="16"/>
        <v>7163.0288998441774</v>
      </c>
      <c r="Y128" s="196">
        <f t="shared" si="15"/>
        <v>0.46275962098408646</v>
      </c>
    </row>
    <row r="129" spans="1:25" ht="15.6" x14ac:dyDescent="0.3">
      <c r="A129" s="194">
        <v>2058</v>
      </c>
      <c r="B129" s="253">
        <f>(B181/Population_Tables!O47)*Population_Tables!C47</f>
        <v>60657.540605730566</v>
      </c>
      <c r="C129" s="253">
        <f>(C181/Population_Tables!P47)*Population_Tables!D47</f>
        <v>14685.542213401088</v>
      </c>
      <c r="D129" s="253">
        <f>(D181/Population_Tables!Q47)*Population_Tables!E47</f>
        <v>3824.2711902244505</v>
      </c>
      <c r="E129" s="253">
        <f>(E181/Population_Tables!R47)*Population_Tables!F47</f>
        <v>30622.538688816392</v>
      </c>
      <c r="F129" s="253">
        <f>(F181/Population_Tables!S47)*Population_Tables!G47</f>
        <v>10567.722860135445</v>
      </c>
      <c r="G129" s="253">
        <f>(G181/Population_Tables!T47)*Population_Tables!H47</f>
        <v>6744.1601544523774</v>
      </c>
      <c r="H129" s="253">
        <f>(H181/Population_Tables!U47)*Population_Tables!I47</f>
        <v>12970.278477906246</v>
      </c>
      <c r="I129" s="253">
        <f>(I181/Population_Tables!V47)*Population_Tables!J47</f>
        <v>9809.5847453434963</v>
      </c>
      <c r="J129" s="253">
        <f>(J181/Population_Tables!W47)*Population_Tables!K47</f>
        <v>5451.5623456068161</v>
      </c>
      <c r="K129" s="253">
        <f>(K181/Population_Tables!X47)*Population_Tables!L47</f>
        <v>6253.9261146782119</v>
      </c>
      <c r="N129" s="195">
        <f t="shared" si="9"/>
        <v>28219.98307104559</v>
      </c>
      <c r="O129" s="195">
        <f t="shared" si="11"/>
        <v>12970.278477906246</v>
      </c>
      <c r="P129" s="195">
        <f t="shared" si="10"/>
        <v>25253.973558077916</v>
      </c>
      <c r="Q129" s="195">
        <f t="shared" si="12"/>
        <v>66444.235107029759</v>
      </c>
      <c r="R129" s="196">
        <f t="shared" si="13"/>
        <v>0.42471680237703469</v>
      </c>
      <c r="U129" s="195">
        <f t="shared" si="17"/>
        <v>3557.8117232441691</v>
      </c>
      <c r="V129" s="195">
        <f t="shared" si="14"/>
        <v>1283.8193017715566</v>
      </c>
      <c r="W129" s="195">
        <f t="shared" si="14"/>
        <v>2768.3586698628787</v>
      </c>
      <c r="X129" s="195">
        <f t="shared" si="16"/>
        <v>7609.9896948786045</v>
      </c>
      <c r="Y129" s="196">
        <f t="shared" si="15"/>
        <v>0.4675185993534941</v>
      </c>
    </row>
    <row r="130" spans="1:25" ht="15.6" x14ac:dyDescent="0.3">
      <c r="A130" s="194">
        <v>2059</v>
      </c>
      <c r="B130" s="253">
        <f>(B182/Population_Tables!O48)*Population_Tables!C48</f>
        <v>61858.837262210116</v>
      </c>
      <c r="C130" s="253">
        <f>(C182/Population_Tables!P48)*Population_Tables!D48</f>
        <v>14840.545422178438</v>
      </c>
      <c r="D130" s="253">
        <f>(D182/Population_Tables!Q48)*Population_Tables!E48</f>
        <v>3869.9027025292235</v>
      </c>
      <c r="E130" s="253">
        <f>(E182/Population_Tables!R48)*Population_Tables!F48</f>
        <v>31382.102129516879</v>
      </c>
      <c r="F130" s="253">
        <f>(F182/Population_Tables!S48)*Population_Tables!G48</f>
        <v>10973.45752943401</v>
      </c>
      <c r="G130" s="253">
        <f>(G182/Population_Tables!T48)*Population_Tables!H48</f>
        <v>6928.6675319133592</v>
      </c>
      <c r="H130" s="253">
        <f>(H182/Population_Tables!U48)*Population_Tables!I48</f>
        <v>13109.759927713973</v>
      </c>
      <c r="I130" s="253">
        <f>(I182/Population_Tables!V48)*Population_Tables!J48</f>
        <v>10118.489404284683</v>
      </c>
      <c r="J130" s="253">
        <f>(J182/Population_Tables!W48)*Population_Tables!K48</f>
        <v>5550.2474918372591</v>
      </c>
      <c r="K130" s="253">
        <f>(K182/Population_Tables!X48)*Population_Tables!L48</f>
        <v>6318.8772971030039</v>
      </c>
      <c r="N130" s="195">
        <f t="shared" si="9"/>
        <v>29245.799731236919</v>
      </c>
      <c r="O130" s="195">
        <f t="shared" si="11"/>
        <v>13109.759927713973</v>
      </c>
      <c r="P130" s="195">
        <f t="shared" si="10"/>
        <v>25639.115656621019</v>
      </c>
      <c r="Q130" s="195">
        <f t="shared" si="12"/>
        <v>67994.675315571905</v>
      </c>
      <c r="R130" s="196">
        <f t="shared" si="13"/>
        <v>0.43011897027970875</v>
      </c>
      <c r="U130" s="195">
        <f t="shared" si="17"/>
        <v>3814.6938638894535</v>
      </c>
      <c r="V130" s="195">
        <f t="shared" si="14"/>
        <v>1348.3658291226766</v>
      </c>
      <c r="W130" s="195">
        <f t="shared" si="14"/>
        <v>2915.7006598251173</v>
      </c>
      <c r="X130" s="195">
        <f t="shared" si="16"/>
        <v>8078.7603528372474</v>
      </c>
      <c r="Y130" s="196">
        <f t="shared" si="15"/>
        <v>0.47218802109283253</v>
      </c>
    </row>
    <row r="131" spans="1:25" ht="15.6" x14ac:dyDescent="0.3">
      <c r="A131" s="194">
        <v>2060</v>
      </c>
      <c r="B131" s="253">
        <f>(B183/Population_Tables!O49)*Population_Tables!C49</f>
        <v>63094.229887765978</v>
      </c>
      <c r="C131" s="253">
        <f>(C183/Population_Tables!P49)*Population_Tables!D49</f>
        <v>14996.026383256261</v>
      </c>
      <c r="D131" s="253">
        <f>(D183/Population_Tables!Q49)*Population_Tables!E49</f>
        <v>3915.1024987449709</v>
      </c>
      <c r="E131" s="253">
        <f>(E183/Population_Tables!R49)*Population_Tables!F49</f>
        <v>32163.481287538365</v>
      </c>
      <c r="F131" s="253">
        <f>(F183/Population_Tables!S49)*Population_Tables!G49</f>
        <v>11392.315236277154</v>
      </c>
      <c r="G131" s="253">
        <f>(G183/Population_Tables!T49)*Population_Tables!H49</f>
        <v>7116.6390604533226</v>
      </c>
      <c r="H131" s="253">
        <f>(H183/Population_Tables!U49)*Population_Tables!I49</f>
        <v>13252.907023455646</v>
      </c>
      <c r="I131" s="253">
        <f>(I183/Population_Tables!V49)*Population_Tables!J49</f>
        <v>10433.403260237907</v>
      </c>
      <c r="J131" s="253">
        <f>(J183/Population_Tables!W49)*Population_Tables!K49</f>
        <v>5652.8617410437973</v>
      </c>
      <c r="K131" s="253">
        <f>(K183/Population_Tables!X49)*Population_Tables!L49</f>
        <v>6383.3041591505716</v>
      </c>
      <c r="N131" s="195">
        <f t="shared" si="9"/>
        <v>30302.88950035987</v>
      </c>
      <c r="O131" s="195">
        <f t="shared" si="11"/>
        <v>13252.907023455646</v>
      </c>
      <c r="P131" s="195">
        <f t="shared" si="10"/>
        <v>26027.767942454557</v>
      </c>
      <c r="Q131" s="195">
        <f t="shared" si="12"/>
        <v>69583.564466270065</v>
      </c>
      <c r="R131" s="196">
        <f>N131/Q131</f>
        <v>0.43548918099832168</v>
      </c>
      <c r="U131" s="195">
        <f t="shared" si="17"/>
        <v>4085.6776931804889</v>
      </c>
      <c r="V131" s="195">
        <f t="shared" si="14"/>
        <v>1415.4109792873969</v>
      </c>
      <c r="W131" s="195">
        <f t="shared" si="14"/>
        <v>3068.5372776716758</v>
      </c>
      <c r="X131" s="195">
        <f t="shared" si="16"/>
        <v>8569.6259501395616</v>
      </c>
      <c r="Y131" s="196">
        <f t="shared" si="15"/>
        <v>0.47676266349921037</v>
      </c>
    </row>
    <row r="132" spans="1:25" x14ac:dyDescent="0.25">
      <c r="A132" s="13"/>
      <c r="B132" s="13"/>
      <c r="C132" s="13"/>
      <c r="D132" s="13"/>
      <c r="E132" s="13"/>
      <c r="F132" s="13"/>
      <c r="G132" s="13"/>
      <c r="H132" s="13"/>
      <c r="I132" s="13"/>
      <c r="J132" s="13"/>
      <c r="K132" s="13"/>
      <c r="U132" s="216"/>
      <c r="V132" s="216"/>
      <c r="W132" s="216"/>
      <c r="X132" s="216"/>
      <c r="Y132" s="217"/>
    </row>
    <row r="133" spans="1:25" x14ac:dyDescent="0.25">
      <c r="A133" s="13"/>
      <c r="B133" s="13"/>
      <c r="C133" s="13"/>
      <c r="D133" s="13"/>
      <c r="E133" s="13"/>
      <c r="F133" s="13"/>
      <c r="G133" s="13"/>
      <c r="H133" s="13"/>
      <c r="I133" s="13"/>
      <c r="J133" s="13"/>
      <c r="K133" s="13"/>
    </row>
    <row r="134" spans="1:25" ht="15.6" x14ac:dyDescent="0.3">
      <c r="A134" s="184" t="s">
        <v>237</v>
      </c>
      <c r="B134" s="185" t="s">
        <v>238</v>
      </c>
      <c r="C134" s="186"/>
      <c r="D134" s="186"/>
      <c r="E134" s="186"/>
      <c r="F134" s="186"/>
      <c r="G134" s="186"/>
      <c r="H134" s="186"/>
      <c r="I134" s="186"/>
      <c r="J134" s="186"/>
      <c r="K134" s="186"/>
    </row>
    <row r="135" spans="1:25" ht="13.8" thickBot="1" x14ac:dyDescent="0.3">
      <c r="A135" s="254" t="s">
        <v>240</v>
      </c>
      <c r="B135" s="255"/>
      <c r="C135" s="255"/>
      <c r="D135" s="255"/>
      <c r="E135" s="13"/>
      <c r="F135" s="13"/>
      <c r="G135" s="13"/>
      <c r="H135" s="13"/>
      <c r="I135" s="13"/>
      <c r="J135" s="13"/>
      <c r="K135" s="13"/>
      <c r="N135" s="232" t="s">
        <v>239</v>
      </c>
      <c r="O135" s="232"/>
      <c r="P135" s="232"/>
      <c r="Q135" s="232"/>
      <c r="R135" s="232"/>
    </row>
    <row r="136" spans="1:25"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row>
    <row r="137" spans="1:25" ht="15.6" x14ac:dyDescent="0.3">
      <c r="A137" s="194">
        <v>2014</v>
      </c>
      <c r="B137" s="229">
        <v>22548</v>
      </c>
      <c r="C137" s="229">
        <v>9630.9413150014097</v>
      </c>
      <c r="D137" s="229">
        <v>2021.8145594545779</v>
      </c>
      <c r="E137" s="229">
        <v>8068.0985042466264</v>
      </c>
      <c r="F137" s="229">
        <v>1750.2724017574917</v>
      </c>
      <c r="G137" s="229">
        <v>1681.573909140335</v>
      </c>
      <c r="H137" s="229">
        <v>5262.7731992619747</v>
      </c>
      <c r="I137" s="229">
        <v>1324.8796753128709</v>
      </c>
      <c r="J137" s="229">
        <v>3379.550707819023</v>
      </c>
      <c r="K137" s="229">
        <v>4226.0825845289046</v>
      </c>
      <c r="N137" s="195">
        <f t="shared" ref="N137:N183" si="18">SUMIF($C$83:$G$83,"Y",C137:G137)-H137</f>
        <v>4555.5977067421436</v>
      </c>
      <c r="O137" s="195">
        <f>H137</f>
        <v>5262.7731992619747</v>
      </c>
      <c r="P137" s="195">
        <f t="shared" ref="P137:P183" si="19">SUMIF($C$83:$G$83,"N",C137:G137)-(IF($E$83="N",H137))</f>
        <v>13334.329783596324</v>
      </c>
      <c r="Q137" s="195">
        <f>N137+P137+O137</f>
        <v>23152.700689600442</v>
      </c>
      <c r="R137" s="196">
        <f>N137/Q137</f>
        <v>0.19676312356892314</v>
      </c>
    </row>
    <row r="138" spans="1:25" ht="15.6" x14ac:dyDescent="0.3">
      <c r="A138" s="194">
        <v>2015</v>
      </c>
      <c r="B138" s="229">
        <v>23915.294741841339</v>
      </c>
      <c r="C138" s="229">
        <v>9686.0671189920522</v>
      </c>
      <c r="D138" s="229">
        <v>2046.0814937388261</v>
      </c>
      <c r="E138" s="229">
        <v>8518.2448031259701</v>
      </c>
      <c r="F138" s="229">
        <v>1813.4394541410952</v>
      </c>
      <c r="G138" s="229">
        <v>1729.3735674604757</v>
      </c>
      <c r="H138" s="229">
        <v>5577.4664453458345</v>
      </c>
      <c r="I138" s="229">
        <v>1407.7581128041975</v>
      </c>
      <c r="J138" s="229">
        <v>3402.879725573815</v>
      </c>
      <c r="K138" s="229">
        <v>4238.1594004195249</v>
      </c>
      <c r="N138" s="195">
        <f t="shared" si="18"/>
        <v>4754.2178119212303</v>
      </c>
      <c r="O138" s="195">
        <f t="shared" ref="O138:O183" si="20">H138</f>
        <v>5577.4664453458345</v>
      </c>
      <c r="P138" s="195">
        <f t="shared" si="19"/>
        <v>13461.522180191354</v>
      </c>
      <c r="Q138" s="195">
        <f t="shared" ref="Q138:Q183" si="21">N138+P138+O138</f>
        <v>23793.206437458419</v>
      </c>
      <c r="R138" s="196">
        <f t="shared" ref="R138:R182" si="22">N138/Q138</f>
        <v>0.19981408661408959</v>
      </c>
    </row>
    <row r="139" spans="1:25" ht="15.6" x14ac:dyDescent="0.3">
      <c r="A139" s="194">
        <v>2016</v>
      </c>
      <c r="B139" s="229">
        <v>24739.346397880796</v>
      </c>
      <c r="C139" s="229">
        <v>9726.5990525762081</v>
      </c>
      <c r="D139" s="229">
        <v>2070.428741086751</v>
      </c>
      <c r="E139" s="229">
        <v>8971.4818957495354</v>
      </c>
      <c r="F139" s="229">
        <v>1887.4339185753947</v>
      </c>
      <c r="G139" s="229">
        <v>1782.3859231283234</v>
      </c>
      <c r="H139" s="229">
        <v>5868.2723694275974</v>
      </c>
      <c r="I139" s="229">
        <v>1508.5612696673247</v>
      </c>
      <c r="J139" s="229">
        <v>3423.0292912990535</v>
      </c>
      <c r="K139" s="229">
        <v>4238.1277941679373</v>
      </c>
      <c r="N139" s="195">
        <f t="shared" si="18"/>
        <v>4990.6434448973323</v>
      </c>
      <c r="O139" s="195">
        <f t="shared" si="20"/>
        <v>5868.2723694275974</v>
      </c>
      <c r="P139" s="195">
        <f t="shared" si="19"/>
        <v>13579.413716791283</v>
      </c>
      <c r="Q139" s="195">
        <f t="shared" si="21"/>
        <v>24438.329531116215</v>
      </c>
      <c r="R139" s="196">
        <f t="shared" si="22"/>
        <v>0.20421377158954226</v>
      </c>
    </row>
    <row r="140" spans="1:25" ht="15.6" x14ac:dyDescent="0.3">
      <c r="A140" s="194">
        <v>2017</v>
      </c>
      <c r="B140" s="229">
        <v>25546.280670998443</v>
      </c>
      <c r="C140" s="229">
        <v>9770.8842395187457</v>
      </c>
      <c r="D140" s="229">
        <v>2095.7792224505938</v>
      </c>
      <c r="E140" s="229">
        <v>9418.2567059842804</v>
      </c>
      <c r="F140" s="229">
        <v>1964.7784187355189</v>
      </c>
      <c r="G140" s="229">
        <v>1837.9864198060814</v>
      </c>
      <c r="H140" s="229">
        <v>6148.1519986387993</v>
      </c>
      <c r="I140" s="229">
        <v>1613.1515839387532</v>
      </c>
      <c r="J140" s="229">
        <v>3443.151250776792</v>
      </c>
      <c r="K140" s="229">
        <v>4240.9063341350993</v>
      </c>
      <c r="N140" s="195">
        <f t="shared" si="18"/>
        <v>5234.8831260810002</v>
      </c>
      <c r="O140" s="195">
        <f t="shared" si="20"/>
        <v>6148.1519986387993</v>
      </c>
      <c r="P140" s="195">
        <f t="shared" si="19"/>
        <v>13704.649881775422</v>
      </c>
      <c r="Q140" s="195">
        <f t="shared" si="21"/>
        <v>25087.685006495223</v>
      </c>
      <c r="R140" s="196">
        <f t="shared" si="22"/>
        <v>0.20866345877372441</v>
      </c>
    </row>
    <row r="141" spans="1:25" ht="15.6" x14ac:dyDescent="0.3">
      <c r="A141" s="194">
        <v>2018</v>
      </c>
      <c r="B141" s="229">
        <v>26336.890715478676</v>
      </c>
      <c r="C141" s="229">
        <v>9818.7957197155065</v>
      </c>
      <c r="D141" s="229">
        <v>2122.0850939795155</v>
      </c>
      <c r="E141" s="229">
        <v>9858.9527535585057</v>
      </c>
      <c r="F141" s="229">
        <v>2045.5882881505904</v>
      </c>
      <c r="G141" s="229">
        <v>1896.1329063562314</v>
      </c>
      <c r="H141" s="229">
        <v>6417.386572932719</v>
      </c>
      <c r="I141" s="229">
        <v>1721.486365312953</v>
      </c>
      <c r="J141" s="229">
        <v>3463.3007975448368</v>
      </c>
      <c r="K141" s="229">
        <v>4246.3997643960429</v>
      </c>
      <c r="N141" s="195">
        <f t="shared" si="18"/>
        <v>5487.1544687763781</v>
      </c>
      <c r="O141" s="195">
        <f t="shared" si="20"/>
        <v>6417.386572932719</v>
      </c>
      <c r="P141" s="195">
        <f t="shared" si="19"/>
        <v>13837.013720051253</v>
      </c>
      <c r="Q141" s="195">
        <f t="shared" si="21"/>
        <v>25741.554761760348</v>
      </c>
      <c r="R141" s="196">
        <f t="shared" si="22"/>
        <v>0.21316328868090237</v>
      </c>
    </row>
    <row r="142" spans="1:25" ht="16.2" thickBot="1" x14ac:dyDescent="0.35">
      <c r="A142" s="198">
        <v>2019</v>
      </c>
      <c r="B142" s="230">
        <v>27111.969685605898</v>
      </c>
      <c r="C142" s="230">
        <v>9870.2065330623354</v>
      </c>
      <c r="D142" s="230">
        <v>2149.2985118226766</v>
      </c>
      <c r="E142" s="230">
        <v>10293.953558200512</v>
      </c>
      <c r="F142" s="230">
        <v>2129.9788603497332</v>
      </c>
      <c r="G142" s="230">
        <v>1956.7832316412555</v>
      </c>
      <c r="H142" s="230">
        <v>6676.2573322626322</v>
      </c>
      <c r="I142" s="230">
        <v>1833.5229234843941</v>
      </c>
      <c r="J142" s="230">
        <v>3483.5331251409943</v>
      </c>
      <c r="K142" s="230">
        <v>4254.5128290257981</v>
      </c>
      <c r="N142" s="195">
        <f t="shared" si="18"/>
        <v>5747.6750862876124</v>
      </c>
      <c r="O142" s="195">
        <f t="shared" si="20"/>
        <v>6676.2573322626322</v>
      </c>
      <c r="P142" s="195">
        <f t="shared" si="19"/>
        <v>13976.288276526268</v>
      </c>
      <c r="Q142" s="195">
        <f t="shared" si="21"/>
        <v>26400.22069507651</v>
      </c>
      <c r="R142" s="199">
        <f t="shared" si="22"/>
        <v>0.21771314538137634</v>
      </c>
    </row>
    <row r="143" spans="1:25" ht="15.6" x14ac:dyDescent="0.3">
      <c r="A143" s="201">
        <v>2020</v>
      </c>
      <c r="B143" s="228">
        <v>27872.310735664505</v>
      </c>
      <c r="C143" s="228">
        <v>9924.9897194550758</v>
      </c>
      <c r="D143" s="228">
        <v>2177.3716321292377</v>
      </c>
      <c r="E143" s="228">
        <v>10723.642639638601</v>
      </c>
      <c r="F143" s="228">
        <v>2218.0654688620698</v>
      </c>
      <c r="G143" s="228">
        <v>2019.8952445236364</v>
      </c>
      <c r="H143" s="228">
        <v>6925.0455165818166</v>
      </c>
      <c r="I143" s="228">
        <v>1949.2185681475471</v>
      </c>
      <c r="J143" s="228">
        <v>3503.9034271030696</v>
      </c>
      <c r="K143" s="228">
        <v>4265.1502720993967</v>
      </c>
      <c r="L143" s="202"/>
      <c r="M143" s="202"/>
      <c r="N143" s="195">
        <f t="shared" si="18"/>
        <v>6016.6625919188555</v>
      </c>
      <c r="O143" s="195">
        <f t="shared" si="20"/>
        <v>6925.0455165818166</v>
      </c>
      <c r="P143" s="195">
        <f t="shared" si="19"/>
        <v>14122.256596107949</v>
      </c>
      <c r="Q143" s="195">
        <f t="shared" si="21"/>
        <v>27063.964704608621</v>
      </c>
      <c r="R143" s="220">
        <f t="shared" si="22"/>
        <v>0.22231268247605646</v>
      </c>
    </row>
    <row r="144" spans="1:25" ht="15.6" x14ac:dyDescent="0.3">
      <c r="A144" s="206">
        <v>2021</v>
      </c>
      <c r="B144" s="229">
        <v>28618.707019938905</v>
      </c>
      <c r="C144" s="229">
        <v>9983.0183187895709</v>
      </c>
      <c r="D144" s="229">
        <v>2206.2566110483594</v>
      </c>
      <c r="E144" s="229">
        <v>11148.403517601071</v>
      </c>
      <c r="F144" s="229">
        <v>2309.9634472167236</v>
      </c>
      <c r="G144" s="229">
        <v>2085.4267938658559</v>
      </c>
      <c r="H144" s="229">
        <v>7164.0323658435482</v>
      </c>
      <c r="I144" s="229">
        <v>2068.5306089968817</v>
      </c>
      <c r="J144" s="229">
        <v>3524.4668969688692</v>
      </c>
      <c r="K144" s="229">
        <v>4278.2168376918698</v>
      </c>
      <c r="L144" s="170"/>
      <c r="M144" s="170"/>
      <c r="N144" s="195">
        <f t="shared" si="18"/>
        <v>6294.3345989742465</v>
      </c>
      <c r="O144" s="195">
        <f t="shared" si="20"/>
        <v>7164.0323658435482</v>
      </c>
      <c r="P144" s="195">
        <f t="shared" si="19"/>
        <v>14274.701723703787</v>
      </c>
      <c r="Q144" s="195">
        <f t="shared" si="21"/>
        <v>27733.06868852158</v>
      </c>
      <c r="R144" s="221">
        <f t="shared" si="22"/>
        <v>0.22696134602585122</v>
      </c>
    </row>
    <row r="145" spans="1:18" ht="15.6" x14ac:dyDescent="0.3">
      <c r="A145" s="206">
        <v>2022</v>
      </c>
      <c r="B145" s="229">
        <v>29351.951692713494</v>
      </c>
      <c r="C145" s="229">
        <v>10044.165370961662</v>
      </c>
      <c r="D145" s="229">
        <v>2235.9056047292024</v>
      </c>
      <c r="E145" s="229">
        <v>11568.619711816224</v>
      </c>
      <c r="F145" s="229">
        <v>2405.7881289428178</v>
      </c>
      <c r="G145" s="229">
        <v>2153.335728530396</v>
      </c>
      <c r="H145" s="229">
        <v>7393.4991200011027</v>
      </c>
      <c r="I145" s="229">
        <v>2191.4163557268685</v>
      </c>
      <c r="J145" s="229">
        <v>3545.2787282761992</v>
      </c>
      <c r="K145" s="229">
        <v>4293.6172698782493</v>
      </c>
      <c r="L145" s="170"/>
      <c r="M145" s="170"/>
      <c r="N145" s="195">
        <f t="shared" si="18"/>
        <v>6580.9087207579396</v>
      </c>
      <c r="O145" s="195">
        <f t="shared" si="20"/>
        <v>7393.4991200011027</v>
      </c>
      <c r="P145" s="195">
        <f t="shared" si="19"/>
        <v>14433.406704221261</v>
      </c>
      <c r="Q145" s="195">
        <f t="shared" si="21"/>
        <v>28407.814544980301</v>
      </c>
      <c r="R145" s="221">
        <f t="shared" si="22"/>
        <v>0.23165839492291374</v>
      </c>
    </row>
    <row r="146" spans="1:18" ht="15.6" x14ac:dyDescent="0.3">
      <c r="A146" s="206">
        <v>2023</v>
      </c>
      <c r="B146" s="229">
        <v>30072.837908272668</v>
      </c>
      <c r="C146" s="229">
        <v>10108.303915867195</v>
      </c>
      <c r="D146" s="229">
        <v>2266.2707693209277</v>
      </c>
      <c r="E146" s="229">
        <v>11984.674742012361</v>
      </c>
      <c r="F146" s="229">
        <v>2505.6548475694763</v>
      </c>
      <c r="G146" s="229">
        <v>2223.5798973797391</v>
      </c>
      <c r="H146" s="229">
        <v>7613.7270190077597</v>
      </c>
      <c r="I146" s="229">
        <v>2317.8331180319774</v>
      </c>
      <c r="J146" s="229">
        <v>3566.3941145628651</v>
      </c>
      <c r="K146" s="229">
        <v>4311.2563127335652</v>
      </c>
      <c r="L146" s="170"/>
      <c r="M146" s="170"/>
      <c r="N146" s="195">
        <f t="shared" si="18"/>
        <v>6876.6025705740776</v>
      </c>
      <c r="O146" s="195">
        <f t="shared" si="20"/>
        <v>7613.7270190077597</v>
      </c>
      <c r="P146" s="195">
        <f t="shared" si="19"/>
        <v>14598.154582567862</v>
      </c>
      <c r="Q146" s="195">
        <f>N146+P146+O146</f>
        <v>29088.4841721497</v>
      </c>
      <c r="R146" s="221">
        <f t="shared" si="22"/>
        <v>0.23640291910287886</v>
      </c>
    </row>
    <row r="147" spans="1:18" ht="15.6" x14ac:dyDescent="0.3">
      <c r="A147" s="206">
        <v>2024</v>
      </c>
      <c r="B147" s="229">
        <v>30782.158820900833</v>
      </c>
      <c r="C147" s="229">
        <v>10175.306993402011</v>
      </c>
      <c r="D147" s="229">
        <v>2297.3042609726954</v>
      </c>
      <c r="E147" s="229">
        <v>12396.952127917779</v>
      </c>
      <c r="F147" s="229">
        <v>2609.6789366258217</v>
      </c>
      <c r="G147" s="229">
        <v>2296.1171492763669</v>
      </c>
      <c r="H147" s="229">
        <v>7824.9973028167933</v>
      </c>
      <c r="I147" s="229">
        <v>2447.738205606679</v>
      </c>
      <c r="J147" s="229">
        <v>3587.8682493666734</v>
      </c>
      <c r="K147" s="229">
        <v>4331.0387103328494</v>
      </c>
      <c r="L147" s="170"/>
      <c r="M147" s="170"/>
      <c r="N147" s="195">
        <f t="shared" si="18"/>
        <v>7181.6337617268073</v>
      </c>
      <c r="O147" s="195">
        <f t="shared" si="20"/>
        <v>7824.9973028167933</v>
      </c>
      <c r="P147" s="195">
        <f t="shared" si="19"/>
        <v>14768.728403651075</v>
      </c>
      <c r="Q147" s="195">
        <f t="shared" si="21"/>
        <v>29775.359468194678</v>
      </c>
      <c r="R147" s="221">
        <f t="shared" si="22"/>
        <v>0.24119385592634257</v>
      </c>
    </row>
    <row r="148" spans="1:18" ht="15.6" x14ac:dyDescent="0.3">
      <c r="A148" s="206">
        <v>2025</v>
      </c>
      <c r="B148" s="229">
        <v>31480.707584882388</v>
      </c>
      <c r="C148" s="229">
        <v>10245.047643461956</v>
      </c>
      <c r="D148" s="229">
        <v>2328.9582358336665</v>
      </c>
      <c r="E148" s="229">
        <v>12805.835389260783</v>
      </c>
      <c r="F148" s="229">
        <v>2717.9757296409771</v>
      </c>
      <c r="G148" s="229">
        <v>2370.9053330827624</v>
      </c>
      <c r="H148" s="229">
        <v>8027.5912113814811</v>
      </c>
      <c r="I148" s="229">
        <v>2581.0889281454429</v>
      </c>
      <c r="J148" s="229">
        <v>3609.7563262254293</v>
      </c>
      <c r="K148" s="229">
        <v>4352.8692067511329</v>
      </c>
      <c r="L148" s="170"/>
      <c r="M148" s="170"/>
      <c r="N148" s="195">
        <f t="shared" si="18"/>
        <v>7496.2199075202789</v>
      </c>
      <c r="O148" s="195">
        <f t="shared" si="20"/>
        <v>8027.5912113814811</v>
      </c>
      <c r="P148" s="195">
        <f t="shared" si="19"/>
        <v>14944.911212378385</v>
      </c>
      <c r="Q148" s="195">
        <f t="shared" si="21"/>
        <v>30468.722331280147</v>
      </c>
      <c r="R148" s="221">
        <f t="shared" si="22"/>
        <v>0.24603000500038769</v>
      </c>
    </row>
    <row r="149" spans="1:18" ht="15.6" x14ac:dyDescent="0.3">
      <c r="A149" s="206">
        <v>2026</v>
      </c>
      <c r="B149" s="229">
        <v>32169.277354501733</v>
      </c>
      <c r="C149" s="229">
        <v>10317.39890594287</v>
      </c>
      <c r="D149" s="229">
        <v>2361.1848500530014</v>
      </c>
      <c r="E149" s="229">
        <v>13211.708045769672</v>
      </c>
      <c r="F149" s="229">
        <v>2830.6605601440669</v>
      </c>
      <c r="G149" s="229">
        <v>2447.9022976614069</v>
      </c>
      <c r="H149" s="229">
        <v>8221.7899846551009</v>
      </c>
      <c r="I149" s="229">
        <v>2717.8425953427395</v>
      </c>
      <c r="J149" s="229">
        <v>3632.1135386769392</v>
      </c>
      <c r="K149" s="229">
        <v>4376.6525460634475</v>
      </c>
      <c r="L149" s="170"/>
      <c r="M149" s="170"/>
      <c r="N149" s="195">
        <f t="shared" si="18"/>
        <v>7820.578621258639</v>
      </c>
      <c r="O149" s="195">
        <f t="shared" si="20"/>
        <v>8221.7899846551009</v>
      </c>
      <c r="P149" s="195">
        <f t="shared" si="19"/>
        <v>15126.486053657278</v>
      </c>
      <c r="Q149" s="195">
        <f t="shared" si="21"/>
        <v>31168.854659571018</v>
      </c>
      <c r="R149" s="221">
        <f t="shared" si="22"/>
        <v>0.25091004166420899</v>
      </c>
    </row>
    <row r="150" spans="1:18" ht="15.6" x14ac:dyDescent="0.3">
      <c r="A150" s="206">
        <v>2027</v>
      </c>
      <c r="B150" s="229">
        <v>32848.661284043264</v>
      </c>
      <c r="C150" s="229">
        <v>10392.233820740599</v>
      </c>
      <c r="D150" s="229">
        <v>2393.9362597798613</v>
      </c>
      <c r="E150" s="229">
        <v>13614.953617172743</v>
      </c>
      <c r="F150" s="229">
        <v>2947.8487616642124</v>
      </c>
      <c r="G150" s="229">
        <v>2527.0658918747827</v>
      </c>
      <c r="H150" s="229">
        <v>8407.8748625909284</v>
      </c>
      <c r="I150" s="229">
        <v>2857.9565168930394</v>
      </c>
      <c r="J150" s="229">
        <v>3654.9950802590097</v>
      </c>
      <c r="K150" s="229">
        <v>4402.2934723448243</v>
      </c>
      <c r="L150" s="170"/>
      <c r="M150" s="170"/>
      <c r="N150" s="195">
        <f t="shared" si="18"/>
        <v>8154.9275162460253</v>
      </c>
      <c r="O150" s="195">
        <f t="shared" si="20"/>
        <v>8407.8748625909284</v>
      </c>
      <c r="P150" s="195">
        <f t="shared" si="19"/>
        <v>15313.235972395243</v>
      </c>
      <c r="Q150" s="195">
        <f t="shared" si="21"/>
        <v>31876.038351232197</v>
      </c>
      <c r="R150" s="221">
        <f t="shared" si="22"/>
        <v>0.25583252932467343</v>
      </c>
    </row>
    <row r="151" spans="1:18" ht="15.6" x14ac:dyDescent="0.3">
      <c r="A151" s="206">
        <v>2028</v>
      </c>
      <c r="B151" s="229">
        <v>33519.65252779139</v>
      </c>
      <c r="C151" s="229">
        <v>10469.425427750984</v>
      </c>
      <c r="D151" s="229">
        <v>2427.1646211634061</v>
      </c>
      <c r="E151" s="229">
        <v>14015.955623198301</v>
      </c>
      <c r="F151" s="229">
        <v>3069.6556677305389</v>
      </c>
      <c r="G151" s="229">
        <v>2608.3539645853721</v>
      </c>
      <c r="H151" s="229">
        <v>8586.1270851422396</v>
      </c>
      <c r="I151" s="229">
        <v>3001.3880024908121</v>
      </c>
      <c r="J151" s="229">
        <v>3678.4561445094455</v>
      </c>
      <c r="K151" s="229">
        <v>4429.6967296702933</v>
      </c>
      <c r="L151" s="170"/>
      <c r="M151" s="170"/>
      <c r="N151" s="195">
        <f t="shared" si="18"/>
        <v>8499.484205786599</v>
      </c>
      <c r="O151" s="195">
        <f t="shared" si="20"/>
        <v>8586.1270851422396</v>
      </c>
      <c r="P151" s="195">
        <f t="shared" si="19"/>
        <v>15504.944013499762</v>
      </c>
      <c r="Q151" s="195">
        <f t="shared" si="21"/>
        <v>32590.555304428599</v>
      </c>
      <c r="R151" s="221">
        <f t="shared" si="22"/>
        <v>0.26079593079629543</v>
      </c>
    </row>
    <row r="152" spans="1:18" ht="15.6" x14ac:dyDescent="0.3">
      <c r="A152" s="206">
        <v>2029</v>
      </c>
      <c r="B152" s="229">
        <v>34183.044240030504</v>
      </c>
      <c r="C152" s="229">
        <v>10548.84676686987</v>
      </c>
      <c r="D152" s="229">
        <v>2460.8220903527972</v>
      </c>
      <c r="E152" s="229">
        <v>14415.097583574643</v>
      </c>
      <c r="F152" s="229">
        <v>3196.1966118721684</v>
      </c>
      <c r="G152" s="229">
        <v>2691.7243646556572</v>
      </c>
      <c r="H152" s="229">
        <v>8756.827892262314</v>
      </c>
      <c r="I152" s="229">
        <v>3148.0943618305282</v>
      </c>
      <c r="J152" s="229">
        <v>3702.5519249660533</v>
      </c>
      <c r="K152" s="229">
        <v>4458.7670621148873</v>
      </c>
      <c r="L152" s="170"/>
      <c r="M152" s="170"/>
      <c r="N152" s="195">
        <f t="shared" si="18"/>
        <v>8854.4663031844975</v>
      </c>
      <c r="O152" s="195">
        <f t="shared" si="20"/>
        <v>8756.827892262314</v>
      </c>
      <c r="P152" s="195">
        <f t="shared" si="19"/>
        <v>15701.393221878323</v>
      </c>
      <c r="Q152" s="195">
        <f t="shared" si="21"/>
        <v>33312.687417325134</v>
      </c>
      <c r="R152" s="221">
        <f t="shared" si="22"/>
        <v>0.26579861877428418</v>
      </c>
    </row>
    <row r="153" spans="1:18" ht="15.6" x14ac:dyDescent="0.3">
      <c r="A153" s="206">
        <v>2030</v>
      </c>
      <c r="B153" s="229">
        <v>34839.629575045008</v>
      </c>
      <c r="C153" s="229">
        <v>10630.3708779931</v>
      </c>
      <c r="D153" s="229">
        <v>2494.8608234971948</v>
      </c>
      <c r="E153" s="229">
        <v>14812.763018030073</v>
      </c>
      <c r="F153" s="229">
        <v>3327.5869276182239</v>
      </c>
      <c r="G153" s="229">
        <v>2777.1349409481204</v>
      </c>
      <c r="H153" s="229">
        <v>8920.2585239044238</v>
      </c>
      <c r="I153" s="229">
        <v>3298.0329046066581</v>
      </c>
      <c r="J153" s="229">
        <v>3727.3376151666389</v>
      </c>
      <c r="K153" s="229">
        <v>4489.4092137536363</v>
      </c>
      <c r="L153" s="170"/>
      <c r="M153" s="170"/>
      <c r="N153" s="195">
        <f t="shared" si="18"/>
        <v>9220.0914217438731</v>
      </c>
      <c r="O153" s="195">
        <f t="shared" si="20"/>
        <v>8920.2585239044238</v>
      </c>
      <c r="P153" s="195">
        <f t="shared" si="19"/>
        <v>15902.366642438416</v>
      </c>
      <c r="Q153" s="195">
        <f t="shared" si="21"/>
        <v>34042.716588086711</v>
      </c>
      <c r="R153" s="221">
        <f t="shared" si="22"/>
        <v>0.27083888554800162</v>
      </c>
    </row>
    <row r="154" spans="1:18" ht="15.6" x14ac:dyDescent="0.3">
      <c r="A154" s="206">
        <v>2031</v>
      </c>
      <c r="B154" s="229">
        <v>35490.201687119297</v>
      </c>
      <c r="C154" s="229">
        <v>10713.870801016519</v>
      </c>
      <c r="D154" s="229">
        <v>2529.2329767457595</v>
      </c>
      <c r="E154" s="229">
        <v>15209.335446292887</v>
      </c>
      <c r="F154" s="229">
        <v>3463.9419484978298</v>
      </c>
      <c r="G154" s="229">
        <v>2864.5435423252438</v>
      </c>
      <c r="H154" s="229">
        <v>9076.7002200218503</v>
      </c>
      <c r="I154" s="229">
        <v>3451.1609405136714</v>
      </c>
      <c r="J154" s="229">
        <v>3752.8684086490084</v>
      </c>
      <c r="K154" s="229">
        <v>4521.5279286615714</v>
      </c>
      <c r="L154" s="170"/>
      <c r="M154" s="170"/>
      <c r="N154" s="195">
        <f t="shared" si="18"/>
        <v>9596.5771747688686</v>
      </c>
      <c r="O154" s="195">
        <f t="shared" si="20"/>
        <v>9076.7002200218503</v>
      </c>
      <c r="P154" s="195">
        <f t="shared" si="19"/>
        <v>16107.647320087523</v>
      </c>
      <c r="Q154" s="195">
        <f t="shared" si="21"/>
        <v>34780.924714878238</v>
      </c>
      <c r="R154" s="221">
        <f t="shared" si="22"/>
        <v>0.2759149520444964</v>
      </c>
    </row>
    <row r="155" spans="1:18" ht="15.6" x14ac:dyDescent="0.3">
      <c r="A155" s="206">
        <v>2032</v>
      </c>
      <c r="B155" s="229">
        <v>36135.55373053778</v>
      </c>
      <c r="C155" s="229">
        <v>10799.219575835967</v>
      </c>
      <c r="D155" s="229">
        <v>2563.8907062476524</v>
      </c>
      <c r="E155" s="229">
        <v>15605.198388091392</v>
      </c>
      <c r="F155" s="229">
        <v>3605.3770080401082</v>
      </c>
      <c r="G155" s="229">
        <v>2953.9080176495086</v>
      </c>
      <c r="H155" s="229">
        <v>9226.4342205678695</v>
      </c>
      <c r="I155" s="229">
        <v>3607.4357792460387</v>
      </c>
      <c r="J155" s="229">
        <v>3779.1994989509676</v>
      </c>
      <c r="K155" s="229">
        <v>4555.0279509137254</v>
      </c>
      <c r="L155" s="170"/>
      <c r="M155" s="170"/>
      <c r="N155" s="195">
        <f t="shared" si="18"/>
        <v>9984.1411755636291</v>
      </c>
      <c r="O155" s="195">
        <f t="shared" si="20"/>
        <v>9226.4342205678695</v>
      </c>
      <c r="P155" s="195">
        <f t="shared" si="19"/>
        <v>16317.018299733127</v>
      </c>
      <c r="Q155" s="195">
        <f t="shared" si="21"/>
        <v>35527.593695864627</v>
      </c>
      <c r="R155" s="221">
        <f t="shared" si="22"/>
        <v>0.2810249762771232</v>
      </c>
    </row>
    <row r="156" spans="1:18" ht="15.6" x14ac:dyDescent="0.3">
      <c r="A156" s="206">
        <v>2033</v>
      </c>
      <c r="B156" s="229">
        <v>36776.478859584851</v>
      </c>
      <c r="C156" s="229">
        <v>10886.290242347288</v>
      </c>
      <c r="D156" s="229">
        <v>2598.7861681520335</v>
      </c>
      <c r="E156" s="229">
        <v>16000.735363153881</v>
      </c>
      <c r="F156" s="229">
        <v>3752.0074397741837</v>
      </c>
      <c r="G156" s="229">
        <v>3045.1862157833984</v>
      </c>
      <c r="H156" s="229">
        <v>9369.7417654957553</v>
      </c>
      <c r="I156" s="229">
        <v>3766.8147304982303</v>
      </c>
      <c r="J156" s="229">
        <v>3806.3860796103227</v>
      </c>
      <c r="K156" s="229">
        <v>4589.8140245851282</v>
      </c>
      <c r="L156" s="170"/>
      <c r="M156" s="170"/>
      <c r="N156" s="195">
        <f t="shared" si="18"/>
        <v>10383.001037432308</v>
      </c>
      <c r="O156" s="195">
        <f t="shared" si="20"/>
        <v>9369.7417654957553</v>
      </c>
      <c r="P156" s="195">
        <f t="shared" si="19"/>
        <v>16530.262626282718</v>
      </c>
      <c r="Q156" s="195">
        <f t="shared" si="21"/>
        <v>36283.005429210782</v>
      </c>
      <c r="R156" s="221">
        <f t="shared" si="22"/>
        <v>0.28616706126205149</v>
      </c>
    </row>
    <row r="157" spans="1:18" ht="15.6" x14ac:dyDescent="0.3">
      <c r="A157" s="206">
        <v>2034</v>
      </c>
      <c r="B157" s="229">
        <v>37413.77022854492</v>
      </c>
      <c r="C157" s="229">
        <v>10974.955840446328</v>
      </c>
      <c r="D157" s="229">
        <v>2633.8715186080644</v>
      </c>
      <c r="E157" s="229">
        <v>16396.329891208658</v>
      </c>
      <c r="F157" s="229">
        <v>3903.9485772291782</v>
      </c>
      <c r="G157" s="229">
        <v>3138.3359855893941</v>
      </c>
      <c r="H157" s="229">
        <v>9506.9040947587873</v>
      </c>
      <c r="I157" s="229">
        <v>3929.255103964716</v>
      </c>
      <c r="J157" s="229">
        <v>3834.4833441648793</v>
      </c>
      <c r="K157" s="229">
        <v>4625.7908937508109</v>
      </c>
      <c r="L157" s="170"/>
      <c r="M157" s="170"/>
      <c r="N157" s="195">
        <f t="shared" si="18"/>
        <v>10793.374373679047</v>
      </c>
      <c r="O157" s="195">
        <f t="shared" si="20"/>
        <v>9506.9040947587873</v>
      </c>
      <c r="P157" s="195">
        <f t="shared" si="19"/>
        <v>16747.163344643785</v>
      </c>
      <c r="Q157" s="195">
        <f t="shared" si="21"/>
        <v>37047.441813081619</v>
      </c>
      <c r="R157" s="221">
        <f t="shared" si="22"/>
        <v>0.29133926245530556</v>
      </c>
    </row>
    <row r="158" spans="1:18" ht="15.6" x14ac:dyDescent="0.3">
      <c r="A158" s="206">
        <v>2035</v>
      </c>
      <c r="B158" s="229">
        <v>38048.220991702372</v>
      </c>
      <c r="C158" s="229">
        <v>11065.089410028926</v>
      </c>
      <c r="D158" s="229">
        <v>2669.0989137649049</v>
      </c>
      <c r="E158" s="229">
        <v>16792.365491984026</v>
      </c>
      <c r="F158" s="229">
        <v>4061.3157539342146</v>
      </c>
      <c r="G158" s="229">
        <v>3233.315175929979</v>
      </c>
      <c r="H158" s="229">
        <v>9638.2024483102414</v>
      </c>
      <c r="I158" s="229">
        <v>4094.7142093399661</v>
      </c>
      <c r="J158" s="229">
        <v>3863.5464861524438</v>
      </c>
      <c r="K158" s="229">
        <v>4662.8633024858054</v>
      </c>
      <c r="L158" s="170"/>
      <c r="M158" s="170"/>
      <c r="N158" s="195">
        <f t="shared" si="18"/>
        <v>11215.478797607999</v>
      </c>
      <c r="O158" s="195">
        <f t="shared" si="20"/>
        <v>9638.2024483102414</v>
      </c>
      <c r="P158" s="195">
        <f t="shared" si="19"/>
        <v>16967.503499723811</v>
      </c>
      <c r="Q158" s="195">
        <f t="shared" si="21"/>
        <v>37821.184745642051</v>
      </c>
      <c r="R158" s="221">
        <f t="shared" si="22"/>
        <v>0.29653959475450603</v>
      </c>
    </row>
    <row r="159" spans="1:18" ht="15.6" x14ac:dyDescent="0.3">
      <c r="A159" s="206">
        <v>2036</v>
      </c>
      <c r="B159" s="229">
        <v>38680.624303341618</v>
      </c>
      <c r="C159" s="229">
        <v>11156.56399099093</v>
      </c>
      <c r="D159" s="229">
        <v>2704.4205097717158</v>
      </c>
      <c r="E159" s="229">
        <v>17189.225685208279</v>
      </c>
      <c r="F159" s="229">
        <v>4224.2243034184185</v>
      </c>
      <c r="G159" s="229">
        <v>3330.0816356676337</v>
      </c>
      <c r="H159" s="229">
        <v>9763.9180661033934</v>
      </c>
      <c r="I159" s="229">
        <v>4263.1493563184513</v>
      </c>
      <c r="J159" s="229">
        <v>3893.6306991108218</v>
      </c>
      <c r="K159" s="229">
        <v>4700.9359948651427</v>
      </c>
      <c r="L159" s="170"/>
      <c r="M159" s="170"/>
      <c r="N159" s="195">
        <f t="shared" si="18"/>
        <v>11649.531922523303</v>
      </c>
      <c r="O159" s="195">
        <f t="shared" si="20"/>
        <v>9763.9180661033934</v>
      </c>
      <c r="P159" s="195">
        <f t="shared" si="19"/>
        <v>17191.06613643028</v>
      </c>
      <c r="Q159" s="195">
        <f t="shared" si="21"/>
        <v>38604.51612505698</v>
      </c>
      <c r="R159" s="221">
        <f t="shared" si="22"/>
        <v>0.30176603910240329</v>
      </c>
    </row>
    <row r="160" spans="1:18" ht="15.6" x14ac:dyDescent="0.3">
      <c r="A160" s="206">
        <v>2037</v>
      </c>
      <c r="B160" s="229">
        <v>39311.773317747051</v>
      </c>
      <c r="C160" s="229">
        <v>11249.25262322818</v>
      </c>
      <c r="D160" s="229">
        <v>2739.788462777658</v>
      </c>
      <c r="E160" s="229">
        <v>17587.293990609724</v>
      </c>
      <c r="F160" s="229">
        <v>4392.7895592109107</v>
      </c>
      <c r="G160" s="229">
        <v>3428.5932136648416</v>
      </c>
      <c r="H160" s="229">
        <v>9884.3321880915209</v>
      </c>
      <c r="I160" s="229">
        <v>4434.517854594641</v>
      </c>
      <c r="J160" s="229">
        <v>3924.791176577819</v>
      </c>
      <c r="K160" s="229">
        <v>4739.9137149638536</v>
      </c>
      <c r="L160" s="170"/>
      <c r="M160" s="170"/>
      <c r="N160" s="195">
        <f t="shared" si="18"/>
        <v>12095.751361729115</v>
      </c>
      <c r="O160" s="195">
        <f t="shared" si="20"/>
        <v>9884.3321880915209</v>
      </c>
      <c r="P160" s="195">
        <f t="shared" si="19"/>
        <v>17417.634299670681</v>
      </c>
      <c r="Q160" s="195">
        <f t="shared" si="21"/>
        <v>39397.717849491317</v>
      </c>
      <c r="R160" s="221">
        <f t="shared" si="22"/>
        <v>0.30701654872339995</v>
      </c>
    </row>
    <row r="161" spans="1:18" ht="15.6" x14ac:dyDescent="0.3">
      <c r="A161" s="206">
        <v>2038</v>
      </c>
      <c r="B161" s="229">
        <v>39942.461189203081</v>
      </c>
      <c r="C161" s="229">
        <v>11343.02834663652</v>
      </c>
      <c r="D161" s="229">
        <v>2775.1549289318918</v>
      </c>
      <c r="E161" s="229">
        <v>17986.953927916657</v>
      </c>
      <c r="F161" s="229">
        <v>4567.1268548408152</v>
      </c>
      <c r="G161" s="229">
        <v>3528.8077587840849</v>
      </c>
      <c r="H161" s="229">
        <v>9999.7260542279018</v>
      </c>
      <c r="I161" s="229">
        <v>4608.7770138630049</v>
      </c>
      <c r="J161" s="229">
        <v>3957.0831120912421</v>
      </c>
      <c r="K161" s="229">
        <v>4779.7012068569693</v>
      </c>
      <c r="L161" s="170"/>
      <c r="M161" s="170"/>
      <c r="N161" s="195">
        <f t="shared" si="18"/>
        <v>12554.35472852957</v>
      </c>
      <c r="O161" s="195">
        <f t="shared" si="20"/>
        <v>9999.7260542279018</v>
      </c>
      <c r="P161" s="195">
        <f t="shared" si="19"/>
        <v>17646.991034352497</v>
      </c>
      <c r="Q161" s="195">
        <f t="shared" si="21"/>
        <v>40201.071817109972</v>
      </c>
      <c r="R161" s="221">
        <f t="shared" si="22"/>
        <v>0.31228905501933191</v>
      </c>
    </row>
    <row r="162" spans="1:18" ht="15.6" x14ac:dyDescent="0.3">
      <c r="A162" s="206">
        <v>2039</v>
      </c>
      <c r="B162" s="229">
        <v>40573.481071994102</v>
      </c>
      <c r="C162" s="229">
        <v>11437.764201111793</v>
      </c>
      <c r="D162" s="229">
        <v>2810.4720643835785</v>
      </c>
      <c r="E162" s="229">
        <v>18388.589016857379</v>
      </c>
      <c r="F162" s="229">
        <v>4747.3515238372556</v>
      </c>
      <c r="G162" s="229">
        <v>3630.6831198878449</v>
      </c>
      <c r="H162" s="229">
        <v>10110.38090446581</v>
      </c>
      <c r="I162" s="229">
        <v>4785.8841438180152</v>
      </c>
      <c r="J162" s="229">
        <v>3990.5616991888965</v>
      </c>
      <c r="K162" s="229">
        <v>4820.2032146195224</v>
      </c>
      <c r="L162" s="170"/>
      <c r="M162" s="170"/>
      <c r="N162" s="195">
        <f t="shared" si="18"/>
        <v>13025.559636228825</v>
      </c>
      <c r="O162" s="195">
        <f t="shared" si="20"/>
        <v>10110.38090446581</v>
      </c>
      <c r="P162" s="195">
        <f t="shared" si="19"/>
        <v>17878.919385383218</v>
      </c>
      <c r="Q162" s="195">
        <f t="shared" si="21"/>
        <v>41014.859926077857</v>
      </c>
      <c r="R162" s="221">
        <f t="shared" si="22"/>
        <v>0.31758147314668705</v>
      </c>
    </row>
    <row r="163" spans="1:18" ht="15.6" x14ac:dyDescent="0.3">
      <c r="A163" s="206">
        <v>2040</v>
      </c>
      <c r="B163" s="229">
        <v>41205.626120404515</v>
      </c>
      <c r="C163" s="229">
        <v>11533.333226549845</v>
      </c>
      <c r="D163" s="229">
        <v>2845.6920252818782</v>
      </c>
      <c r="E163" s="229">
        <v>18792.582777160194</v>
      </c>
      <c r="F163" s="229">
        <v>4933.5788997293557</v>
      </c>
      <c r="G163" s="229">
        <v>3734.1771458386042</v>
      </c>
      <c r="H163" s="229">
        <v>10216.577978758527</v>
      </c>
      <c r="I163" s="229">
        <v>4965.7965541541407</v>
      </c>
      <c r="J163" s="229">
        <v>4025.2821314085886</v>
      </c>
      <c r="K163" s="229">
        <v>4861.3244823265422</v>
      </c>
      <c r="L163" s="170"/>
      <c r="M163" s="170"/>
      <c r="N163" s="195">
        <f t="shared" si="18"/>
        <v>13509.583698131024</v>
      </c>
      <c r="O163" s="195">
        <f t="shared" si="20"/>
        <v>10216.577978758527</v>
      </c>
      <c r="P163" s="195">
        <f t="shared" si="19"/>
        <v>18113.202397670328</v>
      </c>
      <c r="Q163" s="195">
        <f t="shared" si="21"/>
        <v>41839.364074559882</v>
      </c>
      <c r="R163" s="221">
        <f t="shared" si="22"/>
        <v>0.32289170729402711</v>
      </c>
    </row>
    <row r="164" spans="1:18" ht="15.6" x14ac:dyDescent="0.3">
      <c r="A164" s="206">
        <v>2041</v>
      </c>
      <c r="B164" s="229">
        <v>41839.689488718715</v>
      </c>
      <c r="C164" s="229">
        <v>11629.608462846516</v>
      </c>
      <c r="D164" s="229">
        <v>2880.7669677759518</v>
      </c>
      <c r="E164" s="229">
        <v>19199.318728553397</v>
      </c>
      <c r="F164" s="229">
        <v>5125.9243160462374</v>
      </c>
      <c r="G164" s="229">
        <v>3839.2476854988449</v>
      </c>
      <c r="H164" s="229">
        <v>10318.598517059323</v>
      </c>
      <c r="I164" s="229">
        <v>5148.471554565851</v>
      </c>
      <c r="J164" s="229">
        <v>4061.2996022881239</v>
      </c>
      <c r="K164" s="229">
        <v>4902.9697540530606</v>
      </c>
      <c r="L164" s="170"/>
      <c r="M164" s="170"/>
      <c r="N164" s="195">
        <f t="shared" si="18"/>
        <v>14006.644527540313</v>
      </c>
      <c r="O164" s="195">
        <f t="shared" si="20"/>
        <v>10318.598517059323</v>
      </c>
      <c r="P164" s="195">
        <f t="shared" si="19"/>
        <v>18349.623116121311</v>
      </c>
      <c r="Q164" s="195">
        <f>N164+P164+O164</f>
        <v>42674.866160720951</v>
      </c>
      <c r="R164" s="221">
        <f>N164/Q164</f>
        <v>0.3282176556755646</v>
      </c>
    </row>
    <row r="165" spans="1:18" ht="15.6" x14ac:dyDescent="0.3">
      <c r="A165" s="206">
        <v>2042</v>
      </c>
      <c r="B165" s="229">
        <v>42476.464331221112</v>
      </c>
      <c r="C165" s="229">
        <v>11726.46294989765</v>
      </c>
      <c r="D165" s="229">
        <v>2915.6490480149596</v>
      </c>
      <c r="E165" s="229">
        <v>19609.180390765294</v>
      </c>
      <c r="F165" s="229">
        <v>5324.5031063170245</v>
      </c>
      <c r="G165" s="229">
        <v>3945.8525877310494</v>
      </c>
      <c r="H165" s="229">
        <v>10416.723759321478</v>
      </c>
      <c r="I165" s="229">
        <v>5333.8664547476174</v>
      </c>
      <c r="J165" s="229">
        <v>4098.6693053653089</v>
      </c>
      <c r="K165" s="229">
        <v>4945.0437738741093</v>
      </c>
      <c r="L165" s="170"/>
      <c r="M165" s="170"/>
      <c r="N165" s="195">
        <f t="shared" si="18"/>
        <v>14516.959737760841</v>
      </c>
      <c r="O165" s="195">
        <f t="shared" si="20"/>
        <v>10416.723759321478</v>
      </c>
      <c r="P165" s="195">
        <f t="shared" si="19"/>
        <v>18587.964585643658</v>
      </c>
      <c r="Q165" s="195">
        <f t="shared" si="21"/>
        <v>43521.64808272598</v>
      </c>
      <c r="R165" s="221">
        <f t="shared" si="22"/>
        <v>0.33355721525450949</v>
      </c>
    </row>
    <row r="166" spans="1:18" ht="15.6" x14ac:dyDescent="0.3">
      <c r="A166" s="206">
        <v>2043</v>
      </c>
      <c r="B166" s="229">
        <v>43116.743802196099</v>
      </c>
      <c r="C166" s="229">
        <v>11823.769727599092</v>
      </c>
      <c r="D166" s="229">
        <v>2950.290422148063</v>
      </c>
      <c r="E166" s="229">
        <v>20022.551283524179</v>
      </c>
      <c r="F166" s="229">
        <v>5529.4306040708398</v>
      </c>
      <c r="G166" s="229">
        <v>4053.9497013976998</v>
      </c>
      <c r="H166" s="229">
        <v>10511.234945498272</v>
      </c>
      <c r="I166" s="229">
        <v>5521.9385643939104</v>
      </c>
      <c r="J166" s="229">
        <v>4137.4464341779485</v>
      </c>
      <c r="K166" s="229">
        <v>4987.4512858647195</v>
      </c>
      <c r="L166" s="170"/>
      <c r="M166" s="170"/>
      <c r="N166" s="195">
        <f t="shared" si="18"/>
        <v>15040.746942096746</v>
      </c>
      <c r="O166" s="195">
        <f t="shared" si="20"/>
        <v>10511.234945498272</v>
      </c>
      <c r="P166" s="195">
        <f t="shared" si="19"/>
        <v>18828.009851144852</v>
      </c>
      <c r="Q166" s="195">
        <f t="shared" si="21"/>
        <v>44379.991738739875</v>
      </c>
      <c r="R166" s="221">
        <f t="shared" si="22"/>
        <v>0.33890828620789226</v>
      </c>
    </row>
    <row r="167" spans="1:18" ht="15.6" x14ac:dyDescent="0.3">
      <c r="A167" s="206">
        <v>2044</v>
      </c>
      <c r="B167" s="229">
        <v>43761.321055928071</v>
      </c>
      <c r="C167" s="229">
        <v>11921.401835846684</v>
      </c>
      <c r="D167" s="229">
        <v>2984.6432463244219</v>
      </c>
      <c r="E167" s="229">
        <v>20439.81492655836</v>
      </c>
      <c r="F167" s="229">
        <v>5740.8221428368079</v>
      </c>
      <c r="G167" s="229">
        <v>4163.4968753612775</v>
      </c>
      <c r="H167" s="229">
        <v>10602.413315542977</v>
      </c>
      <c r="I167" s="229">
        <v>5712.6451931991987</v>
      </c>
      <c r="J167" s="229">
        <v>4177.6861822638493</v>
      </c>
      <c r="K167" s="229">
        <v>5030.0970340999211</v>
      </c>
      <c r="L167" s="170"/>
      <c r="M167" s="170"/>
      <c r="N167" s="195">
        <f t="shared" si="18"/>
        <v>15578.223753852191</v>
      </c>
      <c r="O167" s="195">
        <f t="shared" si="20"/>
        <v>10602.413315542977</v>
      </c>
      <c r="P167" s="195">
        <f t="shared" si="19"/>
        <v>19069.541957532383</v>
      </c>
      <c r="Q167" s="195">
        <f t="shared" si="21"/>
        <v>45250.179026927552</v>
      </c>
      <c r="R167" s="221">
        <f t="shared" si="22"/>
        <v>0.34426877614300433</v>
      </c>
    </row>
    <row r="168" spans="1:18" ht="15.6" x14ac:dyDescent="0.3">
      <c r="A168" s="206">
        <v>2045</v>
      </c>
      <c r="B168" s="229">
        <v>44410.989246701443</v>
      </c>
      <c r="C168" s="229">
        <v>12019.232314536268</v>
      </c>
      <c r="D168" s="229">
        <v>3018.6596766931975</v>
      </c>
      <c r="E168" s="229">
        <v>20861.35483959613</v>
      </c>
      <c r="F168" s="229">
        <v>5958.7930561440508</v>
      </c>
      <c r="G168" s="229">
        <v>4274.4519584842656</v>
      </c>
      <c r="H168" s="229">
        <v>10690.540109408874</v>
      </c>
      <c r="I168" s="229">
        <v>5905.9436508579538</v>
      </c>
      <c r="J168" s="229">
        <v>4219.4437431608185</v>
      </c>
      <c r="K168" s="229">
        <v>5072.8857626547469</v>
      </c>
      <c r="L168" s="170"/>
      <c r="M168" s="170"/>
      <c r="N168" s="195">
        <f t="shared" si="18"/>
        <v>16129.607786331308</v>
      </c>
      <c r="O168" s="195">
        <f t="shared" si="20"/>
        <v>10690.540109408874</v>
      </c>
      <c r="P168" s="195">
        <f t="shared" si="19"/>
        <v>19312.34394971373</v>
      </c>
      <c r="Q168" s="195">
        <f t="shared" si="21"/>
        <v>46132.491845453915</v>
      </c>
      <c r="R168" s="221">
        <f t="shared" si="22"/>
        <v>0.34963660407433172</v>
      </c>
    </row>
    <row r="169" spans="1:18" ht="15.6" x14ac:dyDescent="0.3">
      <c r="A169" s="206">
        <v>2046</v>
      </c>
      <c r="B169" s="229">
        <v>45066.541528800604</v>
      </c>
      <c r="C169" s="229">
        <v>12117.13420356369</v>
      </c>
      <c r="D169" s="229">
        <v>3052.2918694035498</v>
      </c>
      <c r="E169" s="229">
        <v>21287.554542365797</v>
      </c>
      <c r="F169" s="229">
        <v>6183.4586775216922</v>
      </c>
      <c r="G169" s="229">
        <v>4386.7727996291451</v>
      </c>
      <c r="H169" s="229">
        <v>10775.896567049234</v>
      </c>
      <c r="I169" s="229">
        <v>6101.7912470646452</v>
      </c>
      <c r="J169" s="229">
        <v>4262.7743104066594</v>
      </c>
      <c r="K169" s="229">
        <v>5115.7222156042271</v>
      </c>
      <c r="L169" s="170"/>
      <c r="M169" s="170"/>
      <c r="N169" s="195">
        <f t="shared" si="18"/>
        <v>16695.116652838253</v>
      </c>
      <c r="O169" s="195">
        <f t="shared" si="20"/>
        <v>10775.896567049234</v>
      </c>
      <c r="P169" s="195">
        <f t="shared" si="19"/>
        <v>19556.198872596382</v>
      </c>
      <c r="Q169" s="195">
        <f t="shared" si="21"/>
        <v>47027.212092483867</v>
      </c>
      <c r="R169" s="221">
        <f t="shared" si="22"/>
        <v>0.35500970416884553</v>
      </c>
    </row>
    <row r="170" spans="1:18" ht="15.6" x14ac:dyDescent="0.3">
      <c r="A170" s="206">
        <v>2047</v>
      </c>
      <c r="B170" s="229">
        <v>45728.771056509955</v>
      </c>
      <c r="C170" s="229">
        <v>12214.980542824791</v>
      </c>
      <c r="D170" s="229">
        <v>3085.49198060464</v>
      </c>
      <c r="E170" s="229">
        <v>21718.797554595658</v>
      </c>
      <c r="F170" s="229">
        <v>6414.9343404988558</v>
      </c>
      <c r="G170" s="229">
        <v>4500.417247658399</v>
      </c>
      <c r="H170" s="229">
        <v>10858.763928417338</v>
      </c>
      <c r="I170" s="229">
        <v>6300.1452915137434</v>
      </c>
      <c r="J170" s="229">
        <v>4307.7330775391811</v>
      </c>
      <c r="K170" s="229">
        <v>5158.5111370233935</v>
      </c>
      <c r="L170" s="170"/>
      <c r="M170" s="170"/>
      <c r="N170" s="195">
        <f t="shared" si="18"/>
        <v>17274.967966677174</v>
      </c>
      <c r="O170" s="195">
        <f t="shared" si="20"/>
        <v>10858.763928417338</v>
      </c>
      <c r="P170" s="195">
        <f t="shared" si="19"/>
        <v>19800.88977108783</v>
      </c>
      <c r="Q170" s="195">
        <f t="shared" si="21"/>
        <v>47934.621666182342</v>
      </c>
      <c r="R170" s="221">
        <f t="shared" si="22"/>
        <v>0.36038602926670399</v>
      </c>
    </row>
    <row r="171" spans="1:18" ht="15.6" x14ac:dyDescent="0.3">
      <c r="A171" s="206">
        <v>2048</v>
      </c>
      <c r="B171" s="229">
        <v>46398.470984113905</v>
      </c>
      <c r="C171" s="229">
        <v>12312.644372215416</v>
      </c>
      <c r="D171" s="229">
        <v>3118.212166445629</v>
      </c>
      <c r="E171" s="229">
        <v>22155.467396014006</v>
      </c>
      <c r="F171" s="229">
        <v>6653.3353786046628</v>
      </c>
      <c r="G171" s="229">
        <v>4615.3431514345102</v>
      </c>
      <c r="H171" s="229">
        <v>10939.423433466463</v>
      </c>
      <c r="I171" s="229">
        <v>6500.9630938997179</v>
      </c>
      <c r="J171" s="229">
        <v>4354.3752380961869</v>
      </c>
      <c r="K171" s="229">
        <v>5201.1572709872771</v>
      </c>
      <c r="L171" s="170"/>
      <c r="M171" s="170"/>
      <c r="N171" s="195">
        <f t="shared" si="18"/>
        <v>17869.379341152206</v>
      </c>
      <c r="O171" s="195">
        <f t="shared" si="20"/>
        <v>10939.423433466463</v>
      </c>
      <c r="P171" s="195">
        <f t="shared" si="19"/>
        <v>20046.199690095556</v>
      </c>
      <c r="Q171" s="195">
        <f t="shared" si="21"/>
        <v>48855.002464714227</v>
      </c>
      <c r="R171" s="221">
        <f t="shared" si="22"/>
        <v>0.36576355418380041</v>
      </c>
    </row>
    <row r="172" spans="1:18" ht="15.6" x14ac:dyDescent="0.3">
      <c r="A172" s="206">
        <v>2049</v>
      </c>
      <c r="B172" s="229">
        <v>47076.434465896848</v>
      </c>
      <c r="C172" s="229">
        <v>12409.998731631407</v>
      </c>
      <c r="D172" s="229">
        <v>3150.4045830756772</v>
      </c>
      <c r="E172" s="229">
        <v>22597.947586349153</v>
      </c>
      <c r="F172" s="229">
        <v>6898.7771253682395</v>
      </c>
      <c r="G172" s="229">
        <v>4731.5083598199581</v>
      </c>
      <c r="H172" s="229">
        <v>11018.156322149887</v>
      </c>
      <c r="I172" s="229">
        <v>6704.2019639170403</v>
      </c>
      <c r="J172" s="229">
        <v>4402.755985615484</v>
      </c>
      <c r="K172" s="229">
        <v>5243.5653615709089</v>
      </c>
      <c r="L172" s="170"/>
      <c r="M172" s="170"/>
      <c r="N172" s="195">
        <f t="shared" si="18"/>
        <v>18478.568389567507</v>
      </c>
      <c r="O172" s="195">
        <f t="shared" si="20"/>
        <v>11018.156322149887</v>
      </c>
      <c r="P172" s="195">
        <f t="shared" si="19"/>
        <v>20291.911674527044</v>
      </c>
      <c r="Q172" s="195">
        <f t="shared" si="21"/>
        <v>49788.636386244434</v>
      </c>
      <c r="R172" s="221">
        <f t="shared" si="22"/>
        <v>0.37114027880210737</v>
      </c>
    </row>
    <row r="173" spans="1:18" ht="16.2" thickBot="1" x14ac:dyDescent="0.35">
      <c r="A173" s="208">
        <v>2050</v>
      </c>
      <c r="B173" s="231">
        <v>47763.454656143178</v>
      </c>
      <c r="C173" s="231">
        <v>12506.916660968609</v>
      </c>
      <c r="D173" s="231">
        <v>3182.0213866439444</v>
      </c>
      <c r="E173" s="231">
        <v>23046.621645329396</v>
      </c>
      <c r="F173" s="231">
        <v>7151.3749143187069</v>
      </c>
      <c r="G173" s="231">
        <v>4848.8707216772282</v>
      </c>
      <c r="H173" s="231">
        <v>11095.243834420879</v>
      </c>
      <c r="I173" s="231">
        <v>6909.8192112601791</v>
      </c>
      <c r="J173" s="231">
        <v>4452.9305136348776</v>
      </c>
      <c r="K173" s="231">
        <v>5285.6401528493207</v>
      </c>
      <c r="L173" s="209"/>
      <c r="M173" s="209"/>
      <c r="N173" s="195">
        <f t="shared" si="18"/>
        <v>19102.752725227227</v>
      </c>
      <c r="O173" s="195">
        <f t="shared" si="20"/>
        <v>11095.243834420879</v>
      </c>
      <c r="P173" s="195">
        <f t="shared" si="19"/>
        <v>20537.808769289783</v>
      </c>
      <c r="Q173" s="195">
        <f t="shared" si="21"/>
        <v>50735.805328937888</v>
      </c>
      <c r="R173" s="222">
        <f t="shared" si="22"/>
        <v>0.37651423095341507</v>
      </c>
    </row>
    <row r="174" spans="1:18" ht="15.6" x14ac:dyDescent="0.3">
      <c r="A174" s="213">
        <v>2051</v>
      </c>
      <c r="B174" s="227">
        <v>48460.324709137305</v>
      </c>
      <c r="C174" s="227">
        <v>12603.271200122865</v>
      </c>
      <c r="D174" s="227">
        <v>3213.0147332995925</v>
      </c>
      <c r="E174" s="227">
        <v>23501.873092683032</v>
      </c>
      <c r="F174" s="227">
        <v>7411.244078985188</v>
      </c>
      <c r="G174" s="227">
        <v>4967.3880858688008</v>
      </c>
      <c r="H174" s="227">
        <v>11170.967210232724</v>
      </c>
      <c r="I174" s="227">
        <v>7117.7721456236059</v>
      </c>
      <c r="J174" s="227">
        <v>4504.9540156921748</v>
      </c>
      <c r="K174" s="227">
        <v>5327.2863888975426</v>
      </c>
      <c r="N174" s="195">
        <f t="shared" si="18"/>
        <v>19742.149961435498</v>
      </c>
      <c r="O174" s="195">
        <f t="shared" si="20"/>
        <v>11170.967210232724</v>
      </c>
      <c r="P174" s="195">
        <f t="shared" si="19"/>
        <v>20783.674019291258</v>
      </c>
      <c r="Q174" s="195">
        <f t="shared" si="21"/>
        <v>51696.791190959477</v>
      </c>
      <c r="R174" s="214">
        <f t="shared" si="22"/>
        <v>0.38188346910181004</v>
      </c>
    </row>
    <row r="175" spans="1:18" ht="15.6" x14ac:dyDescent="0.3">
      <c r="A175" s="194">
        <v>2052</v>
      </c>
      <c r="B175" s="229">
        <v>49167.837779163623</v>
      </c>
      <c r="C175" s="229">
        <v>12698.935388990016</v>
      </c>
      <c r="D175" s="229">
        <v>3243.3367791917817</v>
      </c>
      <c r="E175" s="229">
        <v>23964.085448138361</v>
      </c>
      <c r="F175" s="229">
        <v>7678.4999528968092</v>
      </c>
      <c r="G175" s="229">
        <v>5087.0183012571579</v>
      </c>
      <c r="H175" s="229">
        <v>11245.607689538694</v>
      </c>
      <c r="I175" s="229">
        <v>7328.0180767017901</v>
      </c>
      <c r="J175" s="229">
        <v>4558.881685325181</v>
      </c>
      <c r="K175" s="229">
        <v>5368.4088137906074</v>
      </c>
      <c r="N175" s="195">
        <f t="shared" si="18"/>
        <v>20396.977711496475</v>
      </c>
      <c r="O175" s="195">
        <f t="shared" si="20"/>
        <v>11245.607689538694</v>
      </c>
      <c r="P175" s="195">
        <f t="shared" si="19"/>
        <v>21029.290469438954</v>
      </c>
      <c r="Q175" s="195">
        <f t="shared" si="21"/>
        <v>52671.875870474119</v>
      </c>
      <c r="R175" s="196">
        <f t="shared" si="22"/>
        <v>0.38724608483006878</v>
      </c>
    </row>
    <row r="176" spans="1:18" ht="15.6" x14ac:dyDescent="0.3">
      <c r="A176" s="194">
        <v>2053</v>
      </c>
      <c r="B176" s="229">
        <v>49886.787020506534</v>
      </c>
      <c r="C176" s="229">
        <v>12793.782267465907</v>
      </c>
      <c r="D176" s="229">
        <v>3272.9396804696726</v>
      </c>
      <c r="E176" s="229">
        <v>24433.642231423692</v>
      </c>
      <c r="F176" s="229">
        <v>7953.2578695826896</v>
      </c>
      <c r="G176" s="229">
        <v>5207.7192167047824</v>
      </c>
      <c r="H176" s="229">
        <v>11319.44651229207</v>
      </c>
      <c r="I176" s="229">
        <v>7540.5143141892022</v>
      </c>
      <c r="J176" s="229">
        <v>4614.7687160717014</v>
      </c>
      <c r="K176" s="229">
        <v>5408.9121716035443</v>
      </c>
      <c r="N176" s="195">
        <f t="shared" si="18"/>
        <v>21067.45358871431</v>
      </c>
      <c r="O176" s="195">
        <f t="shared" si="20"/>
        <v>11319.44651229207</v>
      </c>
      <c r="P176" s="195">
        <f t="shared" si="19"/>
        <v>21274.441164640364</v>
      </c>
      <c r="Q176" s="195">
        <f t="shared" si="21"/>
        <v>53661.341265646741</v>
      </c>
      <c r="R176" s="196">
        <f t="shared" si="22"/>
        <v>0.39260020513504024</v>
      </c>
    </row>
    <row r="177" spans="1:18" ht="15.6" x14ac:dyDescent="0.3">
      <c r="A177" s="194">
        <v>2054</v>
      </c>
      <c r="B177" s="229">
        <v>50617.965587450439</v>
      </c>
      <c r="C177" s="229">
        <v>12887.684875446381</v>
      </c>
      <c r="D177" s="229">
        <v>3301.7755932824257</v>
      </c>
      <c r="E177" s="229">
        <v>24910.926962267316</v>
      </c>
      <c r="F177" s="229">
        <v>8235.633162571954</v>
      </c>
      <c r="G177" s="229">
        <v>5329.4486810741564</v>
      </c>
      <c r="H177" s="229">
        <v>11392.764918446126</v>
      </c>
      <c r="I177" s="229">
        <v>7755.2181677803119</v>
      </c>
      <c r="J177" s="229">
        <v>4672.6703014695431</v>
      </c>
      <c r="K177" s="229">
        <v>5448.701206411386</v>
      </c>
      <c r="N177" s="195">
        <f t="shared" si="18"/>
        <v>21753.795206393144</v>
      </c>
      <c r="O177" s="195">
        <f t="shared" si="20"/>
        <v>11392.764918446126</v>
      </c>
      <c r="P177" s="195">
        <f t="shared" si="19"/>
        <v>21518.909149802963</v>
      </c>
      <c r="Q177" s="195">
        <f t="shared" si="21"/>
        <v>54665.46927464223</v>
      </c>
      <c r="R177" s="196">
        <f t="shared" si="22"/>
        <v>0.39794399453704343</v>
      </c>
    </row>
    <row r="178" spans="1:18" ht="15.6" x14ac:dyDescent="0.3">
      <c r="A178" s="194">
        <v>2055</v>
      </c>
      <c r="B178" s="229">
        <v>51362.16663427974</v>
      </c>
      <c r="C178" s="229">
        <v>12980.516252827281</v>
      </c>
      <c r="D178" s="229">
        <v>3329.7966737792021</v>
      </c>
      <c r="E178" s="229">
        <v>25396.323160397536</v>
      </c>
      <c r="F178" s="229">
        <v>8525.7411653937288</v>
      </c>
      <c r="G178" s="229">
        <v>5452.1645432277619</v>
      </c>
      <c r="H178" s="229">
        <v>11465.84414795414</v>
      </c>
      <c r="I178" s="229">
        <v>7972.0869471695905</v>
      </c>
      <c r="J178" s="229">
        <v>4732.6416350565123</v>
      </c>
      <c r="K178" s="229">
        <v>5487.6806622891636</v>
      </c>
      <c r="N178" s="195">
        <f t="shared" si="18"/>
        <v>22456.220177837127</v>
      </c>
      <c r="O178" s="195">
        <f t="shared" si="20"/>
        <v>11465.84414795414</v>
      </c>
      <c r="P178" s="195">
        <f t="shared" si="19"/>
        <v>21762.477469834244</v>
      </c>
      <c r="Q178" s="195">
        <f t="shared" si="21"/>
        <v>55684.541795625511</v>
      </c>
      <c r="R178" s="196">
        <f t="shared" si="22"/>
        <v>0.40327565700830192</v>
      </c>
    </row>
    <row r="179" spans="1:18" ht="15.6" x14ac:dyDescent="0.3">
      <c r="A179" s="194">
        <v>2056</v>
      </c>
      <c r="B179" s="229">
        <v>52120.183315278831</v>
      </c>
      <c r="C179" s="229">
        <v>13072.149439504452</v>
      </c>
      <c r="D179" s="229">
        <v>3356.9550781091621</v>
      </c>
      <c r="E179" s="229">
        <v>25890.214345542656</v>
      </c>
      <c r="F179" s="229">
        <v>8823.6972115771314</v>
      </c>
      <c r="G179" s="229">
        <v>5575.8246520280809</v>
      </c>
      <c r="H179" s="229">
        <v>11538.965440769385</v>
      </c>
      <c r="I179" s="229">
        <v>8191.0779620515077</v>
      </c>
      <c r="J179" s="229">
        <v>4794.7379103704134</v>
      </c>
      <c r="K179" s="229">
        <v>5525.755283311908</v>
      </c>
      <c r="N179" s="195">
        <f t="shared" si="18"/>
        <v>23174.946116350406</v>
      </c>
      <c r="O179" s="195">
        <f t="shared" si="20"/>
        <v>11538.965440769385</v>
      </c>
      <c r="P179" s="195">
        <f t="shared" si="19"/>
        <v>22004.929169641695</v>
      </c>
      <c r="Q179" s="195">
        <f t="shared" si="21"/>
        <v>56718.840726761482</v>
      </c>
      <c r="R179" s="196">
        <f t="shared" si="22"/>
        <v>0.40859343772546181</v>
      </c>
    </row>
    <row r="180" spans="1:18" ht="15.6" x14ac:dyDescent="0.3">
      <c r="A180" s="194">
        <v>2057</v>
      </c>
      <c r="B180" s="229">
        <v>52892.808784732122</v>
      </c>
      <c r="C180" s="229">
        <v>13162.457475373734</v>
      </c>
      <c r="D180" s="229">
        <v>3383.2029624214661</v>
      </c>
      <c r="E180" s="229">
        <v>26392.984037430972</v>
      </c>
      <c r="F180" s="229">
        <v>9129.616634651291</v>
      </c>
      <c r="G180" s="229">
        <v>5700.3868563375945</v>
      </c>
      <c r="H180" s="229">
        <v>11612.410036845144</v>
      </c>
      <c r="I180" s="229">
        <v>8412.148522120533</v>
      </c>
      <c r="J180" s="229">
        <v>4859.0143209490543</v>
      </c>
      <c r="K180" s="229">
        <v>5562.8298135546493</v>
      </c>
      <c r="N180" s="195">
        <f t="shared" si="18"/>
        <v>23910.190635237119</v>
      </c>
      <c r="O180" s="195">
        <f t="shared" si="20"/>
        <v>11612.410036845144</v>
      </c>
      <c r="P180" s="195">
        <f t="shared" si="19"/>
        <v>22246.047294132793</v>
      </c>
      <c r="Q180" s="195">
        <f t="shared" si="21"/>
        <v>57768.647966215052</v>
      </c>
      <c r="R180" s="196">
        <f t="shared" si="22"/>
        <v>0.41389562465129115</v>
      </c>
    </row>
    <row r="181" spans="1:18" ht="15.6" x14ac:dyDescent="0.3">
      <c r="A181" s="194">
        <v>2058</v>
      </c>
      <c r="B181" s="229">
        <v>53680.836196924007</v>
      </c>
      <c r="C181" s="229">
        <v>13251.313400330975</v>
      </c>
      <c r="D181" s="229">
        <v>3408.4924828652756</v>
      </c>
      <c r="E181" s="229">
        <v>26905.015755790784</v>
      </c>
      <c r="F181" s="229">
        <v>9443.614768145324</v>
      </c>
      <c r="G181" s="229">
        <v>5825.8090050187866</v>
      </c>
      <c r="H181" s="229">
        <v>11686.459176134689</v>
      </c>
      <c r="I181" s="229">
        <v>8635.2559370711351</v>
      </c>
      <c r="J181" s="229">
        <v>4925.5260603302386</v>
      </c>
      <c r="K181" s="229">
        <v>5598.8089970924211</v>
      </c>
      <c r="N181" s="195">
        <f t="shared" si="18"/>
        <v>24662.171347801421</v>
      </c>
      <c r="O181" s="195">
        <f t="shared" si="20"/>
        <v>11686.459176134689</v>
      </c>
      <c r="P181" s="195">
        <f t="shared" si="19"/>
        <v>22485.614888215037</v>
      </c>
      <c r="Q181" s="195">
        <f t="shared" si="21"/>
        <v>58834.245412151147</v>
      </c>
      <c r="R181" s="196">
        <f t="shared" si="22"/>
        <v>0.41918054995072473</v>
      </c>
    </row>
    <row r="182" spans="1:18" ht="15.6" x14ac:dyDescent="0.3">
      <c r="A182" s="194">
        <v>2059</v>
      </c>
      <c r="B182" s="229">
        <v>54485.05870613888</v>
      </c>
      <c r="C182" s="229">
        <v>13338.590254272014</v>
      </c>
      <c r="D182" s="229">
        <v>3432.7757955897505</v>
      </c>
      <c r="E182" s="229">
        <v>27426.693020350402</v>
      </c>
      <c r="F182" s="229">
        <v>9765.8069455883615</v>
      </c>
      <c r="G182" s="229">
        <v>5952.0489469341392</v>
      </c>
      <c r="H182" s="229">
        <v>11761.394098591296</v>
      </c>
      <c r="I182" s="229">
        <v>8860.3575165977891</v>
      </c>
      <c r="J182" s="229">
        <v>4994.3283220517742</v>
      </c>
      <c r="K182" s="229">
        <v>5633.5975780002527</v>
      </c>
      <c r="N182" s="195">
        <f t="shared" si="18"/>
        <v>25431.105867347465</v>
      </c>
      <c r="O182" s="195">
        <f t="shared" si="20"/>
        <v>11761.394098591296</v>
      </c>
      <c r="P182" s="195">
        <f t="shared" si="19"/>
        <v>22723.414996795902</v>
      </c>
      <c r="Q182" s="195">
        <f t="shared" si="21"/>
        <v>59915.914962734663</v>
      </c>
      <c r="R182" s="196">
        <f t="shared" si="22"/>
        <v>0.42444659124649287</v>
      </c>
    </row>
    <row r="183" spans="1:18" ht="15.6" x14ac:dyDescent="0.3">
      <c r="A183" s="194">
        <v>2060</v>
      </c>
      <c r="B183" s="229">
        <v>55306.26946666115</v>
      </c>
      <c r="C183" s="229">
        <v>13424.161077092696</v>
      </c>
      <c r="D183" s="229">
        <v>3456.0050567440512</v>
      </c>
      <c r="E183" s="229">
        <v>27958.399350838114</v>
      </c>
      <c r="F183" s="229">
        <v>10096.30850050952</v>
      </c>
      <c r="G183" s="229">
        <v>6079.0645309461324</v>
      </c>
      <c r="H183" s="229">
        <v>11837.496044168249</v>
      </c>
      <c r="I183" s="229">
        <v>9087.4105703949608</v>
      </c>
      <c r="J183" s="229">
        <v>5065.4762996514664</v>
      </c>
      <c r="K183" s="229">
        <v>5667.1003003531769</v>
      </c>
      <c r="N183" s="195">
        <f t="shared" si="18"/>
        <v>26217.211807179381</v>
      </c>
      <c r="O183" s="195">
        <f t="shared" si="20"/>
        <v>11837.496044168249</v>
      </c>
      <c r="P183" s="195">
        <f t="shared" si="19"/>
        <v>22959.230664782881</v>
      </c>
      <c r="Q183" s="195">
        <f t="shared" si="21"/>
        <v>61013.938516130511</v>
      </c>
      <c r="R183" s="196">
        <f>N183/Q183</f>
        <v>0.42969217271965204</v>
      </c>
    </row>
  </sheetData>
  <mergeCells count="14">
    <mergeCell ref="U23:V23"/>
    <mergeCell ref="Y23:Z23"/>
    <mergeCell ref="C1:G1"/>
    <mergeCell ref="I1:T1"/>
    <mergeCell ref="D2:E2"/>
    <mergeCell ref="I2:L3"/>
    <mergeCell ref="S3:W5"/>
    <mergeCell ref="I5:L6"/>
    <mergeCell ref="J24:M24"/>
    <mergeCell ref="O24:R24"/>
    <mergeCell ref="B23:D23"/>
    <mergeCell ref="E23:H23"/>
    <mergeCell ref="J23:M23"/>
    <mergeCell ref="O23:R23"/>
  </mergeCells>
  <dataValidations count="1">
    <dataValidation type="list" allowBlank="1" showInputMessage="1" showErrorMessage="1" sqref="C83:G83 F17 F3:G14">
      <formula1>"Y,N"</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2" tint="-0.249977111117893"/>
  </sheetPr>
  <dimension ref="A1:EX343"/>
  <sheetViews>
    <sheetView showGridLines="0" topLeftCell="A151" zoomScale="70" zoomScaleNormal="70" zoomScalePageLayoutView="80" workbookViewId="0">
      <selection activeCell="B79" sqref="B79"/>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8.796875"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SpaceHeating_cluster</v>
      </c>
      <c r="B1" s="156"/>
      <c r="C1" s="157" t="s">
        <v>524</v>
      </c>
      <c r="D1" s="157" t="s">
        <v>525</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SUM(OFFSET(AV136,J2-2015,0,J3-J2+1,1))/1000</f>
        <v>0</v>
      </c>
      <c r="O4" s="164">
        <f>SUM(AV136:AV181)/1000</f>
        <v>0</v>
      </c>
    </row>
    <row r="5" spans="1:154" ht="12.75" customHeight="1" x14ac:dyDescent="0.25">
      <c r="E5" s="498" t="s">
        <v>61</v>
      </c>
      <c r="F5" s="499">
        <v>7.0203526166084745E-2</v>
      </c>
      <c r="G5" s="167" t="s">
        <v>211</v>
      </c>
      <c r="H5" s="167" t="s">
        <v>213</v>
      </c>
      <c r="L5" s="617"/>
      <c r="M5" s="153" t="s">
        <v>375</v>
      </c>
      <c r="N5" s="164">
        <f ca="1">SUM(OFFSET(AU136,J2-2015,0,J3-J2+1,1))/1000</f>
        <v>1.7783911160241315</v>
      </c>
      <c r="O5" s="164">
        <f>SUM(AU136:AU181)/1000</f>
        <v>4.0973733368577943</v>
      </c>
    </row>
    <row r="6" spans="1:154" ht="13.8" x14ac:dyDescent="0.25">
      <c r="E6" s="498" t="s">
        <v>167</v>
      </c>
      <c r="F6" s="499">
        <v>0.12506188666733994</v>
      </c>
      <c r="G6" s="167" t="s">
        <v>211</v>
      </c>
      <c r="H6" s="167" t="s">
        <v>213</v>
      </c>
    </row>
    <row r="7" spans="1:154" ht="13.8" x14ac:dyDescent="0.25">
      <c r="A7" s="35" t="s">
        <v>491</v>
      </c>
      <c r="E7" s="498" t="s">
        <v>23</v>
      </c>
      <c r="F7" s="499">
        <v>0.36850010350773055</v>
      </c>
      <c r="G7" s="167" t="s">
        <v>211</v>
      </c>
      <c r="H7" s="167" t="s">
        <v>213</v>
      </c>
      <c r="I7" s="484"/>
      <c r="J7" s="484"/>
      <c r="K7" s="484"/>
      <c r="L7" s="618" t="s">
        <v>369</v>
      </c>
      <c r="M7" s="497" t="s">
        <v>377</v>
      </c>
      <c r="N7" s="164">
        <f ca="1">SUM(OFFSET(AA195,J2-2015,0,J3-J2+1,1))/1000</f>
        <v>0</v>
      </c>
      <c r="O7" s="164">
        <f>SUM(AA195:AA240)/1000</f>
        <v>0</v>
      </c>
      <c r="P7" s="165"/>
    </row>
    <row r="8" spans="1:154" ht="13.8" x14ac:dyDescent="0.25">
      <c r="A8" s="486" t="s">
        <v>368</v>
      </c>
      <c r="B8" s="487" t="s">
        <v>492</v>
      </c>
      <c r="C8" s="487"/>
      <c r="E8" s="498" t="s">
        <v>298</v>
      </c>
      <c r="F8" s="499">
        <v>0.13962505099647438</v>
      </c>
      <c r="G8" s="167" t="s">
        <v>211</v>
      </c>
      <c r="H8" s="167" t="s">
        <v>213</v>
      </c>
      <c r="L8" s="618"/>
      <c r="M8" s="153" t="s">
        <v>375</v>
      </c>
      <c r="N8" s="164">
        <f ca="1">SUM(OFFSET(Z195,J2-2015,0,J3-J2+1,1))/1000</f>
        <v>2.2040768538917934</v>
      </c>
      <c r="O8" s="164">
        <f>SUM(Z195:Z240)/1000</f>
        <v>4.4437351221879453</v>
      </c>
    </row>
    <row r="9" spans="1:154" ht="13.8" x14ac:dyDescent="0.25">
      <c r="A9" s="488" t="s">
        <v>369</v>
      </c>
      <c r="B9" s="489" t="s">
        <v>455</v>
      </c>
      <c r="C9" s="489"/>
      <c r="E9" s="498" t="s">
        <v>195</v>
      </c>
      <c r="F9" s="499">
        <v>0.13690815606061812</v>
      </c>
      <c r="G9" s="167" t="s">
        <v>211</v>
      </c>
      <c r="H9" s="167" t="s">
        <v>213</v>
      </c>
    </row>
    <row r="10" spans="1:154" ht="39.6" x14ac:dyDescent="0.25">
      <c r="A10" s="527" t="s">
        <v>592</v>
      </c>
      <c r="B10" s="490" t="s">
        <v>509</v>
      </c>
      <c r="C10" s="493" t="s">
        <v>512</v>
      </c>
      <c r="E10" s="498" t="s">
        <v>176</v>
      </c>
      <c r="F10" s="499">
        <v>0.15970127660175235</v>
      </c>
      <c r="G10" s="167" t="s">
        <v>211</v>
      </c>
      <c r="H10" s="167" t="s">
        <v>213</v>
      </c>
    </row>
    <row r="11" spans="1:154" ht="39.6" x14ac:dyDescent="0.25">
      <c r="A11" s="527" t="s">
        <v>593</v>
      </c>
      <c r="B11" s="490" t="s">
        <v>507</v>
      </c>
      <c r="C11" s="493" t="s">
        <v>512</v>
      </c>
      <c r="E11" s="498"/>
      <c r="F11" s="499"/>
      <c r="G11" s="167"/>
      <c r="H11" s="167"/>
      <c r="L11" s="617" t="s">
        <v>522</v>
      </c>
      <c r="M11" s="497" t="s">
        <v>377</v>
      </c>
      <c r="N11" s="164">
        <f ca="1">N4+N7</f>
        <v>0</v>
      </c>
      <c r="O11" s="164">
        <f>O4+O7</f>
        <v>0</v>
      </c>
    </row>
    <row r="12" spans="1:154" ht="13.8" x14ac:dyDescent="0.25">
      <c r="A12" s="488" t="s">
        <v>493</v>
      </c>
      <c r="B12" s="489" t="s">
        <v>506</v>
      </c>
      <c r="C12" s="489"/>
      <c r="E12" s="498"/>
      <c r="F12" s="499"/>
      <c r="G12" s="167"/>
      <c r="H12" s="167"/>
      <c r="L12" s="617"/>
      <c r="M12" s="153" t="s">
        <v>375</v>
      </c>
      <c r="N12" s="164">
        <f ca="1">N5+N8</f>
        <v>3.9824679699159251</v>
      </c>
      <c r="O12" s="164">
        <f>O5+O8</f>
        <v>8.5411084590457396</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ht="13.8" x14ac:dyDescent="0.25">
      <c r="E21" s="500" t="s">
        <v>326</v>
      </c>
      <c r="F21" s="501">
        <v>0.19850287660945262</v>
      </c>
    </row>
    <row r="22" spans="1:68" ht="13.8" x14ac:dyDescent="0.25">
      <c r="E22" s="500" t="s">
        <v>268</v>
      </c>
      <c r="F22" s="501">
        <v>2885.3896418976587</v>
      </c>
    </row>
    <row r="23" spans="1:68" x14ac:dyDescent="0.25">
      <c r="D23" s="443"/>
      <c r="E23" s="443"/>
    </row>
    <row r="24" spans="1:68" ht="13.8" thickBot="1" x14ac:dyDescent="0.3"/>
    <row r="25" spans="1:68" ht="15" customHeight="1" thickBot="1" x14ac:dyDescent="0.3">
      <c r="A25" s="646" t="str">
        <f>CONCATENATE("Table 2: REF2, ",C1," TAM ",D1)</f>
        <v>Table 2: REF2, Heating Demand TAM (TWh Therms)</v>
      </c>
      <c r="B25" s="647"/>
      <c r="C25" s="647"/>
      <c r="D25" s="647"/>
      <c r="E25" s="647"/>
      <c r="F25" s="647"/>
      <c r="G25" s="647"/>
      <c r="H25" s="647"/>
      <c r="I25" s="647"/>
      <c r="J25" s="647"/>
      <c r="K25" s="648"/>
      <c r="M25" s="638" t="str">
        <f>CONCATENATE("Table 3: REF1 ,",C1," TAM ",D1)</f>
        <v>Table 3: REF1 ,Heating Demand TAM (TWh Therms)</v>
      </c>
      <c r="N25" s="639"/>
      <c r="O25" s="639"/>
      <c r="P25" s="639"/>
      <c r="Q25" s="639"/>
      <c r="R25" s="639"/>
      <c r="S25" s="639"/>
      <c r="T25" s="639"/>
      <c r="U25" s="639"/>
      <c r="V25" s="639"/>
      <c r="W25" s="640"/>
      <c r="Y25" s="627" t="str">
        <f>CONCATENATE("Table 3: REF1 ",$C$1," TAM ",$D$1)</f>
        <v>Table 3: REF1 Heating Demand TAM (TWh Therms)</v>
      </c>
      <c r="Z25" s="627"/>
      <c r="AA25" s="627"/>
      <c r="AB25" s="627"/>
      <c r="AC25" s="627"/>
      <c r="AD25" s="627"/>
      <c r="AE25" s="627"/>
      <c r="AF25" s="627"/>
      <c r="AG25" s="627"/>
      <c r="AH25" s="627"/>
      <c r="AI25" s="627"/>
      <c r="AK25" s="628" t="str">
        <f>CONCATENATE("Table 3: REF1 ",$C$1," TAM ",$D$1)</f>
        <v>Table 3: REF1 Heating Demand TAM (TWh Therms)</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SpaceHeating_cluster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528" t="s">
        <v>604</v>
      </c>
      <c r="C27" s="460" t="s">
        <v>211</v>
      </c>
      <c r="D27" s="460" t="s">
        <v>211</v>
      </c>
      <c r="E27" s="460" t="s">
        <v>213</v>
      </c>
      <c r="F27" s="460" t="s">
        <v>213</v>
      </c>
      <c r="G27" s="460" t="s">
        <v>211</v>
      </c>
      <c r="H27" s="435"/>
      <c r="I27" s="435"/>
      <c r="J27" s="435"/>
      <c r="K27" s="435"/>
      <c r="M27" s="455"/>
      <c r="N27" s="461" t="str">
        <f>B27</f>
        <v>Regions included as LLDC:</v>
      </c>
      <c r="O27" s="462" t="str">
        <f>C27</f>
        <v>N</v>
      </c>
      <c r="P27" s="462" t="str">
        <f t="shared" ref="P27:S27" si="0">D27</f>
        <v>N</v>
      </c>
      <c r="Q27" s="462" t="str">
        <f t="shared" si="0"/>
        <v>Y</v>
      </c>
      <c r="R27" s="462" t="str">
        <f t="shared" si="0"/>
        <v>Y</v>
      </c>
      <c r="S27" s="462" t="str">
        <f t="shared" si="0"/>
        <v>N</v>
      </c>
      <c r="T27" s="435"/>
      <c r="U27" s="435"/>
      <c r="V27" s="435"/>
      <c r="W27" s="435"/>
      <c r="Y27" s="455"/>
      <c r="Z27" s="461" t="str">
        <f>B27</f>
        <v>Regions included as LLDC:</v>
      </c>
      <c r="AA27" s="462" t="str">
        <f>O27</f>
        <v>N</v>
      </c>
      <c r="AB27" s="462" t="str">
        <f t="shared" ref="AB27:AE27" si="1">P27</f>
        <v>N</v>
      </c>
      <c r="AC27" s="462" t="str">
        <f t="shared" si="1"/>
        <v>Y</v>
      </c>
      <c r="AD27" s="462" t="str">
        <f t="shared" si="1"/>
        <v>Y</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40.200000000000003" thickBot="1" x14ac:dyDescent="0.3">
      <c r="A28" s="213"/>
      <c r="B28" s="474" t="s">
        <v>4</v>
      </c>
      <c r="C28" s="475" t="s">
        <v>5</v>
      </c>
      <c r="D28" s="475" t="s">
        <v>6</v>
      </c>
      <c r="E28" s="475" t="s">
        <v>7</v>
      </c>
      <c r="F28" s="475" t="s">
        <v>8</v>
      </c>
      <c r="G28" s="475" t="s">
        <v>9</v>
      </c>
      <c r="H28" s="475" t="s">
        <v>10</v>
      </c>
      <c r="I28" s="475" t="s">
        <v>11</v>
      </c>
      <c r="J28" s="475" t="s">
        <v>12</v>
      </c>
      <c r="K28" s="476" t="s">
        <v>13</v>
      </c>
      <c r="M28" s="189"/>
      <c r="N28" s="190" t="s">
        <v>4</v>
      </c>
      <c r="O28" s="191" t="s">
        <v>5</v>
      </c>
      <c r="P28" s="191" t="s">
        <v>6</v>
      </c>
      <c r="Q28" s="191" t="s">
        <v>460</v>
      </c>
      <c r="R28" s="191" t="s">
        <v>8</v>
      </c>
      <c r="S28" s="191" t="s">
        <v>9</v>
      </c>
      <c r="T28" s="191" t="s">
        <v>10</v>
      </c>
      <c r="U28" s="191" t="s">
        <v>11</v>
      </c>
      <c r="V28" s="191" t="s">
        <v>12</v>
      </c>
      <c r="W28" s="192" t="s">
        <v>13</v>
      </c>
      <c r="Y28" s="456"/>
      <c r="Z28" s="457" t="s">
        <v>4</v>
      </c>
      <c r="AA28" s="458" t="s">
        <v>5</v>
      </c>
      <c r="AB28" s="458" t="s">
        <v>6</v>
      </c>
      <c r="AC28" s="458" t="s">
        <v>7</v>
      </c>
      <c r="AD28" s="458" t="s">
        <v>8</v>
      </c>
      <c r="AE28" s="458" t="s">
        <v>9</v>
      </c>
      <c r="AF28" s="458" t="s">
        <v>10</v>
      </c>
      <c r="AG28" s="458" t="s">
        <v>11</v>
      </c>
      <c r="AH28" s="458" t="s">
        <v>12</v>
      </c>
      <c r="AI28" s="458" t="s">
        <v>13</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10669.163628480179</v>
      </c>
      <c r="C29" s="229">
        <v>2962.2634881396102</v>
      </c>
      <c r="D29" s="229">
        <v>561.00796532589561</v>
      </c>
      <c r="E29" s="229">
        <v>4099.311152868112</v>
      </c>
      <c r="F29" s="229">
        <v>1033.9245823814495</v>
      </c>
      <c r="G29" s="229">
        <v>434.4641222560158</v>
      </c>
      <c r="H29" s="229">
        <v>2772.4656256795697</v>
      </c>
      <c r="I29" s="229">
        <v>797.27770738276263</v>
      </c>
      <c r="J29" s="229">
        <v>1198.7745876608387</v>
      </c>
      <c r="K29" s="229">
        <v>1260.2456881434907</v>
      </c>
      <c r="M29" s="194">
        <v>2014</v>
      </c>
      <c r="N29" s="419">
        <f t="shared" ref="N29:N75" si="2">SUM(O29:S29)</f>
        <v>1380.6113274273912</v>
      </c>
      <c r="O29" s="418">
        <f>(C29/Population_Tables!P3)*Population_Tables!D62</f>
        <v>0</v>
      </c>
      <c r="P29" s="418">
        <f>(D29/Population_Tables!Q3)*Population_Tables!E62</f>
        <v>0</v>
      </c>
      <c r="Q29" s="418">
        <f>((E29-H29)/Population_Tables!R3)*Population_Tables!F62</f>
        <v>673.65336875737955</v>
      </c>
      <c r="R29" s="418">
        <f>(F29/Population_Tables!S3)*Population_Tables!G62</f>
        <v>591.69602661596809</v>
      </c>
      <c r="S29" s="418">
        <f>(G29/Population_Tables!T3)*Population_Tables!H62</f>
        <v>115.26193205404336</v>
      </c>
      <c r="T29" s="418">
        <f>(H29/Population_Tables!U3)*Population_Tables!I62</f>
        <v>0</v>
      </c>
      <c r="U29" s="418">
        <f>(I29/Population_Tables!V3)*Population_Tables!J62</f>
        <v>0</v>
      </c>
      <c r="V29" s="418">
        <f>(J29/Population_Tables!W3)*Population_Tables!K62</f>
        <v>0</v>
      </c>
      <c r="W29" s="418">
        <f>(K29/Population_Tables!X3)*Population_Tables!L62</f>
        <v>0</v>
      </c>
      <c r="Y29" s="456">
        <v>2014</v>
      </c>
      <c r="Z29" s="459">
        <f>((B29/Population_Tables!O3)*Population_Tables!C3)-N29</f>
        <v>9288.5342555126263</v>
      </c>
      <c r="AA29" s="459">
        <f>((C29/Population_Tables!P3)*Population_Tables!D3)-O29</f>
        <v>2962.2634881396102</v>
      </c>
      <c r="AB29" s="459">
        <f>((D29/Population_Tables!Q3)*Population_Tables!E3)-P29</f>
        <v>561.00796532589561</v>
      </c>
      <c r="AC29" s="459">
        <f>((E29/Population_Tables!R3)*Population_Tables!F3)-Q29</f>
        <v>3425.6450012737946</v>
      </c>
      <c r="AD29" s="459">
        <f>((F29/Population_Tables!S3)*Population_Tables!G3)-R29</f>
        <v>442.22855576548136</v>
      </c>
      <c r="AE29" s="459">
        <f>((G29/Population_Tables!T3)*Population_Tables!H3)-S29</f>
        <v>319.20219020197243</v>
      </c>
      <c r="AF29" s="459">
        <f>(H29/Population_Tables!U3)*Population_Tables!I3</f>
        <v>2772.4656256795697</v>
      </c>
      <c r="AG29" s="459">
        <f>(I29/Population_Tables!V3)*Population_Tables!J3</f>
        <v>797.27770738276251</v>
      </c>
      <c r="AH29" s="459">
        <f>(J29/Population_Tables!W3)*Population_Tables!K3</f>
        <v>1198.7745876608387</v>
      </c>
      <c r="AI29" s="459">
        <f>(K29/Population_Tables!X3)*Population_Tables!L3</f>
        <v>1260.2456881434907</v>
      </c>
      <c r="AK29" s="456">
        <v>2014</v>
      </c>
      <c r="AL29" s="459">
        <f>Z29+N29</f>
        <v>10669.145582940018</v>
      </c>
      <c r="AM29" s="459">
        <f t="shared" ref="AM29:AU44" si="3">AA29+O29</f>
        <v>2962.2634881396102</v>
      </c>
      <c r="AN29" s="459">
        <f t="shared" si="3"/>
        <v>561.00796532589561</v>
      </c>
      <c r="AO29" s="459">
        <f t="shared" si="3"/>
        <v>4099.2983700311743</v>
      </c>
      <c r="AP29" s="459">
        <f t="shared" si="3"/>
        <v>1033.9245823814495</v>
      </c>
      <c r="AQ29" s="459">
        <f t="shared" si="3"/>
        <v>434.4641222560158</v>
      </c>
      <c r="AR29" s="459">
        <f t="shared" si="3"/>
        <v>2772.4656256795697</v>
      </c>
      <c r="AS29" s="459">
        <f t="shared" si="3"/>
        <v>797.27770738276251</v>
      </c>
      <c r="AT29" s="459">
        <f t="shared" si="3"/>
        <v>1198.7745876608387</v>
      </c>
      <c r="AU29" s="459">
        <f t="shared" si="3"/>
        <v>1260.2456881434907</v>
      </c>
      <c r="AW29" s="216">
        <f>(B29/Population_Tables!O3)*Population_Tables!C3</f>
        <v>10669.145582940017</v>
      </c>
      <c r="AX29" s="153" t="b">
        <f>IF(AW29-AL29=0,"OK")</f>
        <v>0</v>
      </c>
      <c r="AY29" s="421">
        <f t="shared" ref="AY29:AY75" si="4">SUM(BB29:BF29)</f>
        <v>9090.958528134146</v>
      </c>
      <c r="AZ29" s="153" t="str">
        <f t="shared" ref="AZ29:AZ75" si="5">IF(AY29-(SUM(AM29:AQ29))=0,"OK")</f>
        <v>OK</v>
      </c>
      <c r="BB29" s="216">
        <f>(C29/Population_Tables!P3)*Population_Tables!D3</f>
        <v>2962.2634881396102</v>
      </c>
      <c r="BC29" s="216">
        <f>(D29/Population_Tables!Q3)*Population_Tables!E3</f>
        <v>561.00796532589561</v>
      </c>
      <c r="BD29" s="216">
        <f>(E29/Population_Tables!R3)*Population_Tables!F3</f>
        <v>4099.2983700311743</v>
      </c>
      <c r="BE29" s="216">
        <f>(F29/Population_Tables!S3)*Population_Tables!G3</f>
        <v>1033.9245823814495</v>
      </c>
      <c r="BF29" s="216">
        <f>(G29/Population_Tables!T3)*Population_Tables!H3</f>
        <v>434.4641222560158</v>
      </c>
      <c r="BG29" s="216"/>
      <c r="BN29" s="216"/>
      <c r="BO29" s="216"/>
      <c r="BP29" s="216"/>
    </row>
    <row r="30" spans="1:68" ht="15.6" x14ac:dyDescent="0.3">
      <c r="A30" s="194">
        <v>2015</v>
      </c>
      <c r="B30" s="229">
        <v>10860.457643494979</v>
      </c>
      <c r="C30" s="229">
        <v>2984.7776194551593</v>
      </c>
      <c r="D30" s="229">
        <v>566.16297082614608</v>
      </c>
      <c r="E30" s="229">
        <v>4189.7588847120796</v>
      </c>
      <c r="F30" s="229">
        <v>1064.7080576803551</v>
      </c>
      <c r="G30" s="229">
        <v>442.18091606363572</v>
      </c>
      <c r="H30" s="229">
        <v>2824.5848925825117</v>
      </c>
      <c r="I30" s="229">
        <v>823.13304978916142</v>
      </c>
      <c r="J30" s="229">
        <v>1204.6046569365531</v>
      </c>
      <c r="K30" s="229">
        <v>1271.7141402766044</v>
      </c>
      <c r="M30" s="194">
        <v>2015</v>
      </c>
      <c r="N30" s="419">
        <f t="shared" si="2"/>
        <v>1424.1919677083376</v>
      </c>
      <c r="O30" s="418">
        <f>(C30/Population_Tables!P4)*Population_Tables!D63</f>
        <v>0</v>
      </c>
      <c r="P30" s="418">
        <f>(D30/Population_Tables!Q4)*Population_Tables!E63</f>
        <v>0</v>
      </c>
      <c r="Q30" s="418">
        <f>((E30-H30)/Population_Tables!R4)*Population_Tables!F63</f>
        <v>695.12359271831303</v>
      </c>
      <c r="R30" s="418">
        <f>(F30/Population_Tables!S4)*Population_Tables!G63</f>
        <v>611.42505609211287</v>
      </c>
      <c r="S30" s="418">
        <f>(G30/Population_Tables!T4)*Population_Tables!H63</f>
        <v>117.6433188979118</v>
      </c>
      <c r="T30" s="418">
        <f>(H30/Population_Tables!U4)*Population_Tables!I63</f>
        <v>0</v>
      </c>
      <c r="U30" s="418">
        <f>(I30/Population_Tables!V4)*Population_Tables!J63</f>
        <v>0</v>
      </c>
      <c r="V30" s="418">
        <f>(J30/Population_Tables!W4)*Population_Tables!K63</f>
        <v>0</v>
      </c>
      <c r="W30" s="418">
        <f>(K30/Population_Tables!X4)*Population_Tables!L63</f>
        <v>0</v>
      </c>
      <c r="Y30" s="456">
        <v>2015</v>
      </c>
      <c r="Z30" s="459">
        <f>((B30/Population_Tables!O4)*Population_Tables!C4)-N30</f>
        <v>9436.2476289131955</v>
      </c>
      <c r="AA30" s="459">
        <f>((C30/Population_Tables!P4)*Population_Tables!D4)-O30</f>
        <v>2984.7776194551593</v>
      </c>
      <c r="AB30" s="459">
        <f>((D30/Population_Tables!Q4)*Population_Tables!E4)-P30</f>
        <v>566.16297082614608</v>
      </c>
      <c r="AC30" s="459">
        <f>((E30/Population_Tables!R4)*Population_Tables!F4)-Q30</f>
        <v>3494.6224329528818</v>
      </c>
      <c r="AD30" s="459">
        <f>((F30/Population_Tables!S4)*Population_Tables!G4)-R30</f>
        <v>453.2830015882422</v>
      </c>
      <c r="AE30" s="459">
        <f>((G30/Population_Tables!T4)*Population_Tables!H4)-S30</f>
        <v>324.53759716572392</v>
      </c>
      <c r="AF30" s="459">
        <f>(H30/Population_Tables!U4)*Population_Tables!I4</f>
        <v>2824.5848925825117</v>
      </c>
      <c r="AG30" s="459">
        <f>(I30/Population_Tables!V4)*Population_Tables!J4</f>
        <v>823.13304978916142</v>
      </c>
      <c r="AH30" s="459">
        <f>(J30/Population_Tables!W4)*Population_Tables!K4</f>
        <v>1204.6046569365531</v>
      </c>
      <c r="AI30" s="459">
        <f>(K30/Population_Tables!X4)*Population_Tables!L4</f>
        <v>1271.7141402766044</v>
      </c>
      <c r="AK30" s="456">
        <v>2015</v>
      </c>
      <c r="AL30" s="459">
        <f t="shared" ref="AL30:AU68" si="6">Z30+N30</f>
        <v>10860.439596621532</v>
      </c>
      <c r="AM30" s="459">
        <f t="shared" si="3"/>
        <v>2984.7776194551593</v>
      </c>
      <c r="AN30" s="459">
        <f t="shared" si="3"/>
        <v>566.16297082614608</v>
      </c>
      <c r="AO30" s="459">
        <f t="shared" si="3"/>
        <v>4189.7460256711947</v>
      </c>
      <c r="AP30" s="459">
        <f t="shared" si="3"/>
        <v>1064.7080576803551</v>
      </c>
      <c r="AQ30" s="459">
        <f t="shared" si="3"/>
        <v>442.18091606363572</v>
      </c>
      <c r="AR30" s="459">
        <f t="shared" si="3"/>
        <v>2824.5848925825117</v>
      </c>
      <c r="AS30" s="459">
        <f t="shared" si="3"/>
        <v>823.13304978916142</v>
      </c>
      <c r="AT30" s="459">
        <f t="shared" si="3"/>
        <v>1204.6046569365531</v>
      </c>
      <c r="AU30" s="459">
        <f t="shared" si="3"/>
        <v>1271.7141402766044</v>
      </c>
      <c r="AW30" s="216">
        <f>(B30/Population_Tables!O4)*Population_Tables!C4</f>
        <v>10860.439596621532</v>
      </c>
      <c r="AX30" s="153" t="str">
        <f t="shared" ref="AX30:AX75" si="7">IF(AW30-AL30=0,"OK")</f>
        <v>OK</v>
      </c>
      <c r="AY30" s="421">
        <f t="shared" si="4"/>
        <v>9247.5755896964893</v>
      </c>
      <c r="AZ30" s="153" t="str">
        <f t="shared" si="5"/>
        <v>OK</v>
      </c>
      <c r="BB30" s="216">
        <f>(C30/Population_Tables!P4)*Population_Tables!D4</f>
        <v>2984.7776194551593</v>
      </c>
      <c r="BC30" s="216">
        <f>(D30/Population_Tables!Q4)*Population_Tables!E4</f>
        <v>566.16297082614608</v>
      </c>
      <c r="BD30" s="216">
        <f>(E30/Population_Tables!R4)*Population_Tables!F4</f>
        <v>4189.7460256711947</v>
      </c>
      <c r="BE30" s="216">
        <f>(F30/Population_Tables!S4)*Population_Tables!G4</f>
        <v>1064.7080576803551</v>
      </c>
      <c r="BF30" s="216">
        <f>(G30/Population_Tables!T4)*Population_Tables!H4</f>
        <v>442.18091606363572</v>
      </c>
      <c r="BG30" s="216"/>
      <c r="BN30" s="216"/>
      <c r="BO30" s="216"/>
      <c r="BP30" s="216"/>
    </row>
    <row r="31" spans="1:68" ht="15.6" x14ac:dyDescent="0.3">
      <c r="A31" s="194">
        <v>2016</v>
      </c>
      <c r="B31" s="229">
        <v>11054.075218176185</v>
      </c>
      <c r="C31" s="229">
        <v>3006.9946364122961</v>
      </c>
      <c r="D31" s="229">
        <v>571.2518041859604</v>
      </c>
      <c r="E31" s="229">
        <v>4281.9464461900689</v>
      </c>
      <c r="F31" s="229">
        <v>1095.8595126476475</v>
      </c>
      <c r="G31" s="229">
        <v>449.94159290558815</v>
      </c>
      <c r="H31" s="229">
        <v>2875.9835064689428</v>
      </c>
      <c r="I31" s="229">
        <v>850.73944588485097</v>
      </c>
      <c r="J31" s="229">
        <v>1210.5271675056538</v>
      </c>
      <c r="K31" s="229">
        <v>1283.2556960917091</v>
      </c>
      <c r="M31" s="194">
        <v>2016</v>
      </c>
      <c r="N31" s="419">
        <f t="shared" si="2"/>
        <v>1469.3949928478216</v>
      </c>
      <c r="O31" s="418">
        <f>(C31/Population_Tables!P5)*Population_Tables!D64</f>
        <v>0</v>
      </c>
      <c r="P31" s="418">
        <f>(D31/Population_Tables!Q5)*Population_Tables!E64</f>
        <v>0</v>
      </c>
      <c r="Q31" s="418">
        <f>((E31-H31)/Population_Tables!R5)*Population_Tables!F64</f>
        <v>717.90057747677804</v>
      </c>
      <c r="R31" s="418">
        <f>(F31/Population_Tables!S5)*Population_Tables!G64</f>
        <v>631.44737189795126</v>
      </c>
      <c r="S31" s="418">
        <f>(G31/Population_Tables!T5)*Population_Tables!H64</f>
        <v>120.04704347309229</v>
      </c>
      <c r="T31" s="418">
        <f>(H31/Population_Tables!U5)*Population_Tables!I64</f>
        <v>0</v>
      </c>
      <c r="U31" s="418">
        <f>(I31/Population_Tables!V5)*Population_Tables!J64</f>
        <v>0</v>
      </c>
      <c r="V31" s="418">
        <f>(J31/Population_Tables!W5)*Population_Tables!K64</f>
        <v>0</v>
      </c>
      <c r="W31" s="418">
        <f>(K31/Population_Tables!X5)*Population_Tables!L64</f>
        <v>0</v>
      </c>
      <c r="Y31" s="456">
        <v>2016</v>
      </c>
      <c r="Z31" s="459">
        <f>((B31/Population_Tables!O5)*Population_Tables!C5)-N31</f>
        <v>9584.6623069111829</v>
      </c>
      <c r="AA31" s="459">
        <f>((C31/Population_Tables!P5)*Population_Tables!D5)-O31</f>
        <v>3006.9946364122961</v>
      </c>
      <c r="AB31" s="459">
        <f>((D31/Population_Tables!Q5)*Population_Tables!E5)-P31</f>
        <v>571.2518041859604</v>
      </c>
      <c r="AC31" s="459">
        <f>((E31/Population_Tables!R5)*Population_Tables!F5)-Q31</f>
        <v>3564.0330249573167</v>
      </c>
      <c r="AD31" s="459">
        <f>((F31/Population_Tables!S5)*Population_Tables!G5)-R31</f>
        <v>464.41214074969628</v>
      </c>
      <c r="AE31" s="459">
        <f>((G31/Population_Tables!T5)*Population_Tables!H5)-S31</f>
        <v>329.89454943249586</v>
      </c>
      <c r="AF31" s="459">
        <f>(H31/Population_Tables!U5)*Population_Tables!I5</f>
        <v>2875.9835064689428</v>
      </c>
      <c r="AG31" s="459">
        <f>(I31/Population_Tables!V5)*Population_Tables!J5</f>
        <v>850.73944588485108</v>
      </c>
      <c r="AH31" s="459">
        <f>(J31/Population_Tables!W5)*Population_Tables!K5</f>
        <v>1210.5271675056538</v>
      </c>
      <c r="AI31" s="459">
        <f>(K31/Population_Tables!X5)*Population_Tables!L5</f>
        <v>1283.2556960917091</v>
      </c>
      <c r="AK31" s="456">
        <v>2016</v>
      </c>
      <c r="AL31" s="459">
        <f t="shared" si="6"/>
        <v>11054.057299759004</v>
      </c>
      <c r="AM31" s="459">
        <f t="shared" si="3"/>
        <v>3006.9946364122961</v>
      </c>
      <c r="AN31" s="459">
        <f t="shared" si="3"/>
        <v>571.2518041859604</v>
      </c>
      <c r="AO31" s="459">
        <f t="shared" si="3"/>
        <v>4281.9336024340946</v>
      </c>
      <c r="AP31" s="459">
        <f t="shared" si="3"/>
        <v>1095.8595126476475</v>
      </c>
      <c r="AQ31" s="459">
        <f t="shared" si="3"/>
        <v>449.94159290558815</v>
      </c>
      <c r="AR31" s="459">
        <f t="shared" si="3"/>
        <v>2875.9835064689428</v>
      </c>
      <c r="AS31" s="459">
        <f t="shared" si="3"/>
        <v>850.73944588485108</v>
      </c>
      <c r="AT31" s="459">
        <f t="shared" si="3"/>
        <v>1210.5271675056538</v>
      </c>
      <c r="AU31" s="459">
        <f t="shared" si="3"/>
        <v>1283.2556960917091</v>
      </c>
      <c r="AW31" s="216">
        <f>(B31/Population_Tables!O5)*Population_Tables!C5</f>
        <v>11054.057299759004</v>
      </c>
      <c r="AX31" s="153" t="str">
        <f t="shared" si="7"/>
        <v>OK</v>
      </c>
      <c r="AY31" s="421">
        <f t="shared" si="4"/>
        <v>9405.981148585588</v>
      </c>
      <c r="AZ31" s="153" t="str">
        <f t="shared" si="5"/>
        <v>OK</v>
      </c>
      <c r="BB31" s="216">
        <f>(C31/Population_Tables!P5)*Population_Tables!D5</f>
        <v>3006.9946364122961</v>
      </c>
      <c r="BC31" s="216">
        <f>(D31/Population_Tables!Q5)*Population_Tables!E5</f>
        <v>571.2518041859604</v>
      </c>
      <c r="BD31" s="216">
        <f>(E31/Population_Tables!R5)*Population_Tables!F5</f>
        <v>4281.9336024340946</v>
      </c>
      <c r="BE31" s="216">
        <f>(F31/Population_Tables!S5)*Population_Tables!G5</f>
        <v>1095.8595126476475</v>
      </c>
      <c r="BF31" s="216">
        <f>(G31/Population_Tables!T5)*Population_Tables!H5</f>
        <v>449.94159290558815</v>
      </c>
      <c r="BG31" s="216"/>
      <c r="BN31" s="216"/>
      <c r="BO31" s="216"/>
      <c r="BP31" s="216"/>
    </row>
    <row r="32" spans="1:68" ht="15.6" x14ac:dyDescent="0.3">
      <c r="A32" s="194">
        <v>2017</v>
      </c>
      <c r="B32" s="229">
        <v>11249.919304458719</v>
      </c>
      <c r="C32" s="229">
        <v>3028.9036455887704</v>
      </c>
      <c r="D32" s="229">
        <v>576.28086964978638</v>
      </c>
      <c r="E32" s="229">
        <v>4375.8198789893086</v>
      </c>
      <c r="F32" s="229">
        <v>1127.4088627010092</v>
      </c>
      <c r="G32" s="229">
        <v>457.74012685120726</v>
      </c>
      <c r="H32" s="229">
        <v>2926.6562715642958</v>
      </c>
      <c r="I32" s="229">
        <v>880.07661127494384</v>
      </c>
      <c r="J32" s="229">
        <v>1216.5030856255191</v>
      </c>
      <c r="K32" s="229">
        <v>1294.8511756329619</v>
      </c>
      <c r="M32" s="194">
        <v>2017</v>
      </c>
      <c r="N32" s="419">
        <f t="shared" si="2"/>
        <v>1516.2388624402693</v>
      </c>
      <c r="O32" s="418">
        <f>(C32/Population_Tables!P6)*Population_Tables!D65</f>
        <v>0</v>
      </c>
      <c r="P32" s="418">
        <f>(D32/Population_Tables!Q6)*Population_Tables!E65</f>
        <v>0</v>
      </c>
      <c r="Q32" s="418">
        <f>((E32-H32)/Population_Tables!R6)*Population_Tables!F65</f>
        <v>741.97805261228052</v>
      </c>
      <c r="R32" s="418">
        <f>(F32/Population_Tables!S6)*Population_Tables!G65</f>
        <v>651.79274000851944</v>
      </c>
      <c r="S32" s="418">
        <f>(G32/Population_Tables!T6)*Population_Tables!H65</f>
        <v>122.46806981946935</v>
      </c>
      <c r="T32" s="418">
        <f>(H32/Population_Tables!U6)*Population_Tables!I65</f>
        <v>0</v>
      </c>
      <c r="U32" s="418">
        <f>(I32/Population_Tables!V6)*Population_Tables!J65</f>
        <v>0</v>
      </c>
      <c r="V32" s="418">
        <f>(J32/Population_Tables!W6)*Population_Tables!K65</f>
        <v>0</v>
      </c>
      <c r="W32" s="418">
        <f>(K32/Population_Tables!X6)*Population_Tables!L65</f>
        <v>0</v>
      </c>
      <c r="Y32" s="456">
        <v>2017</v>
      </c>
      <c r="Z32" s="459">
        <f>((B32/Population_Tables!O6)*Population_Tables!C6)-N32</f>
        <v>9733.6627127940337</v>
      </c>
      <c r="AA32" s="459">
        <f>((C32/Population_Tables!P6)*Population_Tables!D6)-O32</f>
        <v>3028.9036455887704</v>
      </c>
      <c r="AB32" s="459">
        <f>((D32/Population_Tables!Q6)*Population_Tables!E6)-P32</f>
        <v>576.28086964978638</v>
      </c>
      <c r="AC32" s="459">
        <f>((E32/Population_Tables!R6)*Population_Tables!F6)-Q32</f>
        <v>3633.8290414124622</v>
      </c>
      <c r="AD32" s="459">
        <f>((F32/Population_Tables!S6)*Population_Tables!G6)-R32</f>
        <v>475.61612269248974</v>
      </c>
      <c r="AE32" s="459">
        <f>((G32/Population_Tables!T6)*Population_Tables!H6)-S32</f>
        <v>335.27205703173786</v>
      </c>
      <c r="AF32" s="459">
        <f>(H32/Population_Tables!U6)*Population_Tables!I6</f>
        <v>2926.6562715642963</v>
      </c>
      <c r="AG32" s="459">
        <f>(I32/Population_Tables!V6)*Population_Tables!J6</f>
        <v>880.07661127494384</v>
      </c>
      <c r="AH32" s="459">
        <f>(J32/Population_Tables!W6)*Population_Tables!K6</f>
        <v>1216.5030856255191</v>
      </c>
      <c r="AI32" s="459">
        <f>(K32/Population_Tables!X6)*Population_Tables!L6</f>
        <v>1294.8511756329619</v>
      </c>
      <c r="AK32" s="456">
        <v>2017</v>
      </c>
      <c r="AL32" s="459">
        <f t="shared" si="6"/>
        <v>11249.901575234304</v>
      </c>
      <c r="AM32" s="459">
        <f t="shared" si="3"/>
        <v>3028.9036455887704</v>
      </c>
      <c r="AN32" s="459">
        <f t="shared" si="3"/>
        <v>576.28086964978638</v>
      </c>
      <c r="AO32" s="459">
        <f t="shared" si="3"/>
        <v>4375.8070940247426</v>
      </c>
      <c r="AP32" s="459">
        <f t="shared" si="3"/>
        <v>1127.4088627010092</v>
      </c>
      <c r="AQ32" s="459">
        <f t="shared" si="3"/>
        <v>457.74012685120721</v>
      </c>
      <c r="AR32" s="459">
        <f t="shared" si="3"/>
        <v>2926.6562715642963</v>
      </c>
      <c r="AS32" s="459">
        <f t="shared" si="3"/>
        <v>880.07661127494384</v>
      </c>
      <c r="AT32" s="459">
        <f t="shared" si="3"/>
        <v>1216.5030856255191</v>
      </c>
      <c r="AU32" s="459">
        <f t="shared" si="3"/>
        <v>1294.8511756329619</v>
      </c>
      <c r="AW32" s="216">
        <f>(B32/Population_Tables!O6)*Population_Tables!C6</f>
        <v>11249.901575234304</v>
      </c>
      <c r="AX32" s="153" t="str">
        <f t="shared" si="7"/>
        <v>OK</v>
      </c>
      <c r="AY32" s="421">
        <f t="shared" si="4"/>
        <v>9566.1405988155166</v>
      </c>
      <c r="AZ32" s="153" t="str">
        <f t="shared" si="5"/>
        <v>OK</v>
      </c>
      <c r="BB32" s="216">
        <f>(C32/Population_Tables!P6)*Population_Tables!D6</f>
        <v>3028.9036455887704</v>
      </c>
      <c r="BC32" s="216">
        <f>(D32/Population_Tables!Q6)*Population_Tables!E6</f>
        <v>576.28086964978638</v>
      </c>
      <c r="BD32" s="216">
        <f>(E32/Population_Tables!R6)*Population_Tables!F6</f>
        <v>4375.8070940247426</v>
      </c>
      <c r="BE32" s="216">
        <f>(F32/Population_Tables!S6)*Population_Tables!G6</f>
        <v>1127.4088627010092</v>
      </c>
      <c r="BF32" s="216">
        <f>(G32/Population_Tables!T6)*Population_Tables!H6</f>
        <v>457.74012685120721</v>
      </c>
      <c r="BG32" s="216"/>
      <c r="BN32" s="216"/>
      <c r="BO32" s="216"/>
      <c r="BP32" s="216"/>
    </row>
    <row r="33" spans="1:68" ht="15.6" x14ac:dyDescent="0.3">
      <c r="A33" s="194">
        <v>2018</v>
      </c>
      <c r="B33" s="229">
        <v>11447.853293002468</v>
      </c>
      <c r="C33" s="229">
        <v>3050.518087988808</v>
      </c>
      <c r="D33" s="229">
        <v>581.25451522808532</v>
      </c>
      <c r="E33" s="229">
        <v>4471.2732810328016</v>
      </c>
      <c r="F33" s="229">
        <v>1159.4009509941495</v>
      </c>
      <c r="G33" s="229">
        <v>465.57199611251008</v>
      </c>
      <c r="H33" s="229">
        <v>2976.5428784934634</v>
      </c>
      <c r="I33" s="229">
        <v>911.11698008629878</v>
      </c>
      <c r="J33" s="229">
        <v>1222.4889134080465</v>
      </c>
      <c r="K33" s="229">
        <v>1306.4949307079983</v>
      </c>
      <c r="M33" s="194">
        <v>2018</v>
      </c>
      <c r="N33" s="419">
        <f t="shared" si="2"/>
        <v>1564.7512647709007</v>
      </c>
      <c r="O33" s="418">
        <f>(C33/Population_Tables!P7)*Population_Tables!D66</f>
        <v>0</v>
      </c>
      <c r="P33" s="418">
        <f>(D33/Population_Tables!Q7)*Population_Tables!E66</f>
        <v>0</v>
      </c>
      <c r="Q33" s="418">
        <f>((E33-H33)/Population_Tables!R7)*Population_Tables!F66</f>
        <v>767.38127726073537</v>
      </c>
      <c r="R33" s="418">
        <f>(F33/Population_Tables!S7)*Population_Tables!G66</f>
        <v>672.46745266601613</v>
      </c>
      <c r="S33" s="418">
        <f>(G33/Population_Tables!T7)*Population_Tables!H66</f>
        <v>124.90253484414906</v>
      </c>
      <c r="T33" s="418">
        <f>(H33/Population_Tables!U7)*Population_Tables!I66</f>
        <v>0</v>
      </c>
      <c r="U33" s="418">
        <f>(I33/Population_Tables!V7)*Population_Tables!J66</f>
        <v>0</v>
      </c>
      <c r="V33" s="418">
        <f>(J33/Population_Tables!W7)*Population_Tables!K66</f>
        <v>0</v>
      </c>
      <c r="W33" s="418">
        <f>(K33/Population_Tables!X7)*Population_Tables!L66</f>
        <v>0</v>
      </c>
      <c r="Y33" s="456">
        <v>2018</v>
      </c>
      <c r="Z33" s="459">
        <f>((B33/Population_Tables!O7)*Population_Tables!C7)-N33</f>
        <v>9883.0845454330574</v>
      </c>
      <c r="AA33" s="459">
        <f>((C33/Population_Tables!P7)*Population_Tables!D7)-O33</f>
        <v>3050.518087988808</v>
      </c>
      <c r="AB33" s="459">
        <f>((D33/Population_Tables!Q7)*Population_Tables!E7)-P33</f>
        <v>581.25451522808532</v>
      </c>
      <c r="AC33" s="459">
        <f>((E33/Population_Tables!R7)*Population_Tables!F7)-Q33</f>
        <v>3703.8793194059836</v>
      </c>
      <c r="AD33" s="459">
        <f>((F33/Population_Tables!S7)*Population_Tables!G7)-R33</f>
        <v>486.9334983281334</v>
      </c>
      <c r="AE33" s="459">
        <f>((G33/Population_Tables!T7)*Population_Tables!H7)-S33</f>
        <v>340.66946126836103</v>
      </c>
      <c r="AF33" s="459">
        <f>(H33/Population_Tables!U7)*Population_Tables!I7</f>
        <v>2976.5428784934634</v>
      </c>
      <c r="AG33" s="459">
        <f>(I33/Population_Tables!V7)*Population_Tables!J7</f>
        <v>911.11698008629878</v>
      </c>
      <c r="AH33" s="459">
        <f>(J33/Population_Tables!W7)*Population_Tables!K7</f>
        <v>1222.4889134080465</v>
      </c>
      <c r="AI33" s="459">
        <f>(K33/Population_Tables!X7)*Population_Tables!L7</f>
        <v>1306.4949307079983</v>
      </c>
      <c r="AK33" s="456">
        <v>2018</v>
      </c>
      <c r="AL33" s="459">
        <f t="shared" si="6"/>
        <v>11447.835810203958</v>
      </c>
      <c r="AM33" s="459">
        <f t="shared" si="3"/>
        <v>3050.518087988808</v>
      </c>
      <c r="AN33" s="459">
        <f t="shared" si="3"/>
        <v>581.25451522808532</v>
      </c>
      <c r="AO33" s="459">
        <f t="shared" si="3"/>
        <v>4471.2605966667188</v>
      </c>
      <c r="AP33" s="459">
        <f t="shared" si="3"/>
        <v>1159.4009509941495</v>
      </c>
      <c r="AQ33" s="459">
        <f t="shared" si="3"/>
        <v>465.57199611251008</v>
      </c>
      <c r="AR33" s="459">
        <f t="shared" si="3"/>
        <v>2976.5428784934634</v>
      </c>
      <c r="AS33" s="459">
        <f t="shared" si="3"/>
        <v>911.11698008629878</v>
      </c>
      <c r="AT33" s="459">
        <f t="shared" si="3"/>
        <v>1222.4889134080465</v>
      </c>
      <c r="AU33" s="459">
        <f t="shared" si="3"/>
        <v>1306.4949307079983</v>
      </c>
      <c r="AW33" s="216">
        <f>(B33/Population_Tables!O7)*Population_Tables!C7</f>
        <v>11447.835810203958</v>
      </c>
      <c r="AX33" s="153" t="str">
        <f t="shared" si="7"/>
        <v>OK</v>
      </c>
      <c r="AY33" s="421">
        <f t="shared" si="4"/>
        <v>9728.0061469902721</v>
      </c>
      <c r="AZ33" s="153" t="str">
        <f t="shared" si="5"/>
        <v>OK</v>
      </c>
      <c r="BB33" s="216">
        <f>(C33/Population_Tables!P7)*Population_Tables!D7</f>
        <v>3050.518087988808</v>
      </c>
      <c r="BC33" s="216">
        <f>(D33/Population_Tables!Q7)*Population_Tables!E7</f>
        <v>581.25451522808532</v>
      </c>
      <c r="BD33" s="216">
        <f>(E33/Population_Tables!R7)*Population_Tables!F7</f>
        <v>4471.2605966667188</v>
      </c>
      <c r="BE33" s="216">
        <f>(F33/Population_Tables!S7)*Population_Tables!G7</f>
        <v>1159.4009509941495</v>
      </c>
      <c r="BF33" s="216">
        <f>(G33/Population_Tables!T7)*Population_Tables!H7</f>
        <v>465.57199611251008</v>
      </c>
      <c r="BG33" s="216"/>
      <c r="BN33" s="216"/>
      <c r="BO33" s="216"/>
      <c r="BP33" s="216"/>
    </row>
    <row r="34" spans="1:68" ht="16.2" thickBot="1" x14ac:dyDescent="0.35">
      <c r="A34" s="198">
        <v>2019</v>
      </c>
      <c r="B34" s="230">
        <v>11647.694534698112</v>
      </c>
      <c r="C34" s="230">
        <v>3071.858541823382</v>
      </c>
      <c r="D34" s="230">
        <v>586.18739306907651</v>
      </c>
      <c r="E34" s="230">
        <v>4568.168642004488</v>
      </c>
      <c r="F34" s="230">
        <v>1191.884575411955</v>
      </c>
      <c r="G34" s="230">
        <v>473.43060538527675</v>
      </c>
      <c r="H34" s="230">
        <v>3025.556954519966</v>
      </c>
      <c r="I34" s="230">
        <v>943.81847222022338</v>
      </c>
      <c r="J34" s="230">
        <v>1228.4097258576392</v>
      </c>
      <c r="K34" s="230">
        <v>1318.1721103766361</v>
      </c>
      <c r="M34" s="198">
        <v>2019</v>
      </c>
      <c r="N34" s="419">
        <f t="shared" si="2"/>
        <v>1614.9717836357347</v>
      </c>
      <c r="O34" s="418">
        <f>(C34/Population_Tables!P8)*Population_Tables!D67</f>
        <v>0</v>
      </c>
      <c r="P34" s="418">
        <f>(D34/Population_Tables!Q8)*Population_Tables!E67</f>
        <v>0</v>
      </c>
      <c r="Q34" s="418">
        <f>((E34-H34)/Population_Tables!R8)*Population_Tables!F67</f>
        <v>794.14733745109936</v>
      </c>
      <c r="R34" s="418">
        <f>(F34/Population_Tables!S8)*Population_Tables!G67</f>
        <v>693.47952263865886</v>
      </c>
      <c r="S34" s="418">
        <f>(G34/Population_Tables!T8)*Population_Tables!H67</f>
        <v>127.34492354597627</v>
      </c>
      <c r="T34" s="418">
        <f>(H34/Population_Tables!U8)*Population_Tables!I67</f>
        <v>0</v>
      </c>
      <c r="U34" s="418">
        <f>(I34/Population_Tables!V8)*Population_Tables!J67</f>
        <v>0</v>
      </c>
      <c r="V34" s="418">
        <f>(J34/Population_Tables!W8)*Population_Tables!K67</f>
        <v>0</v>
      </c>
      <c r="W34" s="418">
        <f>(K34/Population_Tables!X8)*Population_Tables!L67</f>
        <v>0</v>
      </c>
      <c r="Y34" s="456">
        <v>2019</v>
      </c>
      <c r="Z34" s="459">
        <f>((B34/Population_Tables!O8)*Population_Tables!C8)-N34</f>
        <v>10032.705480763852</v>
      </c>
      <c r="AA34" s="459">
        <f>((C34/Population_Tables!P8)*Population_Tables!D8)-O34</f>
        <v>3071.858541823382</v>
      </c>
      <c r="AB34" s="459">
        <f>((D34/Population_Tables!Q8)*Population_Tables!E8)-P34</f>
        <v>586.18739306907651</v>
      </c>
      <c r="AC34" s="459">
        <f>((E34/Population_Tables!R8)*Population_Tables!F8)-Q34</f>
        <v>3774.0086968178744</v>
      </c>
      <c r="AD34" s="459">
        <f>((F34/Population_Tables!S8)*Population_Tables!G8)-R34</f>
        <v>498.40505277329612</v>
      </c>
      <c r="AE34" s="459">
        <f>((G34/Population_Tables!T8)*Population_Tables!H8)-S34</f>
        <v>346.08568183930049</v>
      </c>
      <c r="AF34" s="459">
        <f>(H34/Population_Tables!U8)*Population_Tables!I8</f>
        <v>3025.556954519966</v>
      </c>
      <c r="AG34" s="459">
        <f>(I34/Population_Tables!V8)*Population_Tables!J8</f>
        <v>943.81847222022338</v>
      </c>
      <c r="AH34" s="459">
        <f>(J34/Population_Tables!W8)*Population_Tables!K8</f>
        <v>1228.4097258576392</v>
      </c>
      <c r="AI34" s="459">
        <f>(K34/Population_Tables!X8)*Population_Tables!L8</f>
        <v>1318.1721103766361</v>
      </c>
      <c r="AK34" s="456">
        <v>2019</v>
      </c>
      <c r="AL34" s="459">
        <f t="shared" si="6"/>
        <v>11647.677264399586</v>
      </c>
      <c r="AM34" s="459">
        <f t="shared" si="3"/>
        <v>3071.858541823382</v>
      </c>
      <c r="AN34" s="459">
        <f t="shared" si="3"/>
        <v>586.18739306907651</v>
      </c>
      <c r="AO34" s="459">
        <f t="shared" si="3"/>
        <v>4568.1560342689736</v>
      </c>
      <c r="AP34" s="459">
        <f t="shared" si="3"/>
        <v>1191.884575411955</v>
      </c>
      <c r="AQ34" s="459">
        <f t="shared" si="3"/>
        <v>473.43060538527675</v>
      </c>
      <c r="AR34" s="459">
        <f t="shared" si="3"/>
        <v>3025.556954519966</v>
      </c>
      <c r="AS34" s="459">
        <f t="shared" si="3"/>
        <v>943.81847222022338</v>
      </c>
      <c r="AT34" s="459">
        <f t="shared" si="3"/>
        <v>1228.4097258576392</v>
      </c>
      <c r="AU34" s="459">
        <f t="shared" si="3"/>
        <v>1318.1721103766361</v>
      </c>
      <c r="AW34" s="216">
        <f>(B34/Population_Tables!O8)*Population_Tables!C8</f>
        <v>11647.677264399586</v>
      </c>
      <c r="AX34" s="153" t="str">
        <f t="shared" si="7"/>
        <v>OK</v>
      </c>
      <c r="AY34" s="421">
        <f t="shared" si="4"/>
        <v>9891.517149958665</v>
      </c>
      <c r="AZ34" s="153" t="str">
        <f t="shared" si="5"/>
        <v>OK</v>
      </c>
      <c r="BB34" s="216">
        <f>(C34/Population_Tables!P8)*Population_Tables!D8</f>
        <v>3071.858541823382</v>
      </c>
      <c r="BC34" s="216">
        <f>(D34/Population_Tables!Q8)*Population_Tables!E8</f>
        <v>586.18739306907651</v>
      </c>
      <c r="BD34" s="216">
        <f>(E34/Population_Tables!R8)*Population_Tables!F8</f>
        <v>4568.1560342689736</v>
      </c>
      <c r="BE34" s="216">
        <f>(F34/Population_Tables!S8)*Population_Tables!G8</f>
        <v>1191.884575411955</v>
      </c>
      <c r="BF34" s="216">
        <f>(G34/Population_Tables!T8)*Population_Tables!H8</f>
        <v>473.43060538527675</v>
      </c>
      <c r="BG34" s="216"/>
      <c r="BN34" s="216"/>
      <c r="BO34" s="216"/>
      <c r="BP34" s="216"/>
    </row>
    <row r="35" spans="1:68" ht="15.6" x14ac:dyDescent="0.3">
      <c r="A35" s="201">
        <v>2020</v>
      </c>
      <c r="B35" s="228">
        <v>11848.159937279808</v>
      </c>
      <c r="C35" s="228">
        <v>3092.9002848549044</v>
      </c>
      <c r="D35" s="228">
        <v>591.17910841278604</v>
      </c>
      <c r="E35" s="228">
        <v>4665.7068888088907</v>
      </c>
      <c r="F35" s="228">
        <v>1225.0536978455232</v>
      </c>
      <c r="G35" s="228">
        <v>481.31117568573507</v>
      </c>
      <c r="H35" s="228">
        <v>3073.0263648771311</v>
      </c>
      <c r="I35" s="228">
        <v>978.32220859366828</v>
      </c>
      <c r="J35" s="228">
        <v>1234.0135482317764</v>
      </c>
      <c r="K35" s="228">
        <v>1329.8951388151481</v>
      </c>
      <c r="M35" s="201">
        <v>2020</v>
      </c>
      <c r="N35" s="419">
        <f t="shared" si="2"/>
        <v>1666.9854458418035</v>
      </c>
      <c r="O35" s="418">
        <f>(C35/Population_Tables!P9)*Population_Tables!D68</f>
        <v>0</v>
      </c>
      <c r="P35" s="418">
        <f>(D35/Population_Tables!Q9)*Population_Tables!E68</f>
        <v>0</v>
      </c>
      <c r="Q35" s="418">
        <f>((E35-H35)/Population_Tables!R9)*Population_Tables!F68</f>
        <v>822.26400092993651</v>
      </c>
      <c r="R35" s="418">
        <f>(F35/Population_Tables!S9)*Population_Tables!G68</f>
        <v>714.93017532692102</v>
      </c>
      <c r="S35" s="418">
        <f>(G35/Population_Tables!T9)*Population_Tables!H68</f>
        <v>129.79126958494581</v>
      </c>
      <c r="T35" s="418">
        <f>(H35/Population_Tables!U9)*Population_Tables!I68</f>
        <v>0</v>
      </c>
      <c r="U35" s="418">
        <f>(I35/Population_Tables!V9)*Population_Tables!J68</f>
        <v>0</v>
      </c>
      <c r="V35" s="418">
        <f>(J35/Population_Tables!W9)*Population_Tables!K68</f>
        <v>0</v>
      </c>
      <c r="W35" s="418">
        <f>(K35/Population_Tables!X9)*Population_Tables!L68</f>
        <v>0</v>
      </c>
      <c r="Y35" s="456">
        <v>2020</v>
      </c>
      <c r="Z35" s="459">
        <f>((B35/Population_Tables!O9)*Population_Tables!C9)-N35</f>
        <v>10181.157397409661</v>
      </c>
      <c r="AA35" s="459">
        <f>((C35/Population_Tables!P9)*Population_Tables!D9)-O35</f>
        <v>3092.9002848549044</v>
      </c>
      <c r="AB35" s="459">
        <f>((D35/Population_Tables!Q9)*Population_Tables!E9)-P35</f>
        <v>591.17910841278604</v>
      </c>
      <c r="AC35" s="459">
        <f>((E35/Population_Tables!R9)*Population_Tables!F9)-Q35</f>
        <v>3843.4303303291335</v>
      </c>
      <c r="AD35" s="459">
        <f>((F35/Population_Tables!S9)*Population_Tables!G9)-R35</f>
        <v>510.12352251860216</v>
      </c>
      <c r="AE35" s="459">
        <f>((G35/Population_Tables!T9)*Population_Tables!H9)-S35</f>
        <v>351.51990610078929</v>
      </c>
      <c r="AF35" s="459">
        <f>(H35/Population_Tables!U9)*Population_Tables!I9</f>
        <v>3073.0263648771311</v>
      </c>
      <c r="AG35" s="459">
        <f>(I35/Population_Tables!V9)*Population_Tables!J9</f>
        <v>978.32220859366828</v>
      </c>
      <c r="AH35" s="459">
        <f>(J35/Population_Tables!W9)*Population_Tables!K9</f>
        <v>1234.0135482317764</v>
      </c>
      <c r="AI35" s="459">
        <f>(K35/Population_Tables!X9)*Population_Tables!L9</f>
        <v>1329.8951388151481</v>
      </c>
      <c r="AK35" s="456">
        <v>2020</v>
      </c>
      <c r="AL35" s="459">
        <f t="shared" si="6"/>
        <v>11848.142843251464</v>
      </c>
      <c r="AM35" s="459">
        <f t="shared" si="3"/>
        <v>3092.9002848549044</v>
      </c>
      <c r="AN35" s="459">
        <f t="shared" si="3"/>
        <v>591.17910841278604</v>
      </c>
      <c r="AO35" s="459">
        <f t="shared" si="3"/>
        <v>4665.6943312590702</v>
      </c>
      <c r="AP35" s="459">
        <f t="shared" si="3"/>
        <v>1225.0536978455232</v>
      </c>
      <c r="AQ35" s="459">
        <f t="shared" si="3"/>
        <v>481.31117568573507</v>
      </c>
      <c r="AR35" s="459">
        <f t="shared" si="3"/>
        <v>3073.0263648771311</v>
      </c>
      <c r="AS35" s="459">
        <f t="shared" si="3"/>
        <v>978.32220859366828</v>
      </c>
      <c r="AT35" s="459">
        <f t="shared" si="3"/>
        <v>1234.0135482317764</v>
      </c>
      <c r="AU35" s="459">
        <f t="shared" si="3"/>
        <v>1329.8951388151481</v>
      </c>
      <c r="AW35" s="216">
        <f>(B35/Population_Tables!O9)*Population_Tables!C9</f>
        <v>11848.142843251464</v>
      </c>
      <c r="AX35" s="153" t="str">
        <f t="shared" si="7"/>
        <v>OK</v>
      </c>
      <c r="AY35" s="421">
        <f t="shared" si="4"/>
        <v>10056.138598058018</v>
      </c>
      <c r="AZ35" s="153" t="str">
        <f t="shared" si="5"/>
        <v>OK</v>
      </c>
      <c r="BB35" s="216">
        <f>(C35/Population_Tables!P9)*Population_Tables!D9</f>
        <v>3092.9002848549044</v>
      </c>
      <c r="BC35" s="216">
        <f>(D35/Population_Tables!Q9)*Population_Tables!E9</f>
        <v>591.17910841278604</v>
      </c>
      <c r="BD35" s="216">
        <f>(E35/Population_Tables!R9)*Population_Tables!F9</f>
        <v>4665.6943312590702</v>
      </c>
      <c r="BE35" s="216">
        <f>(F35/Population_Tables!S9)*Population_Tables!G9</f>
        <v>1225.0536978455232</v>
      </c>
      <c r="BF35" s="216">
        <f>(G35/Population_Tables!T9)*Population_Tables!H9</f>
        <v>481.31117568573507</v>
      </c>
      <c r="BG35" s="216"/>
      <c r="BN35" s="216"/>
      <c r="BO35" s="216"/>
      <c r="BP35" s="216"/>
    </row>
    <row r="36" spans="1:68" ht="15.6" x14ac:dyDescent="0.3">
      <c r="A36" s="206">
        <v>2021</v>
      </c>
      <c r="B36" s="229">
        <v>12052.646448862241</v>
      </c>
      <c r="C36" s="229">
        <v>3113.7743830455843</v>
      </c>
      <c r="D36" s="229">
        <v>595.96268690959073</v>
      </c>
      <c r="E36" s="229">
        <v>4765.9002322972046</v>
      </c>
      <c r="F36" s="229">
        <v>1258.503962290712</v>
      </c>
      <c r="G36" s="229">
        <v>489.20946448371581</v>
      </c>
      <c r="H36" s="229">
        <v>3120.7597009464457</v>
      </c>
      <c r="I36" s="229">
        <v>1014.0848034797253</v>
      </c>
      <c r="J36" s="229">
        <v>1239.8830830032753</v>
      </c>
      <c r="K36" s="229">
        <v>1341.5898401105972</v>
      </c>
      <c r="M36" s="206">
        <v>2021</v>
      </c>
      <c r="N36" s="419">
        <f t="shared" si="2"/>
        <v>1723.2403682490526</v>
      </c>
      <c r="O36" s="418">
        <f>(C36/Population_Tables!P10)*Population_Tables!D69</f>
        <v>0</v>
      </c>
      <c r="P36" s="418">
        <f>(D36/Population_Tables!Q10)*Population_Tables!E69</f>
        <v>0</v>
      </c>
      <c r="Q36" s="418">
        <f>((E36-H36)/Population_Tables!R10)*Population_Tables!F69</f>
        <v>853.36902113528299</v>
      </c>
      <c r="R36" s="418">
        <f>(F36/Population_Tables!S10)*Population_Tables!G69</f>
        <v>737.33288995516682</v>
      </c>
      <c r="S36" s="418">
        <f>(G36/Population_Tables!T10)*Population_Tables!H69</f>
        <v>132.53845715860274</v>
      </c>
      <c r="T36" s="418">
        <f>(H36/Population_Tables!U10)*Population_Tables!I69</f>
        <v>0</v>
      </c>
      <c r="U36" s="418">
        <f>(I36/Population_Tables!V10)*Population_Tables!J69</f>
        <v>0</v>
      </c>
      <c r="V36" s="418">
        <f>(J36/Population_Tables!W10)*Population_Tables!K69</f>
        <v>0</v>
      </c>
      <c r="W36" s="418">
        <f>(K36/Population_Tables!X10)*Population_Tables!L69</f>
        <v>0</v>
      </c>
      <c r="Y36" s="456">
        <v>2021</v>
      </c>
      <c r="Z36" s="459">
        <f>((B36/Population_Tables!O10)*Population_Tables!C10)-N36</f>
        <v>10344.647463101572</v>
      </c>
      <c r="AA36" s="459">
        <f>((C36/Population_Tables!P10)*Population_Tables!D10)-O36</f>
        <v>3117.0040801484079</v>
      </c>
      <c r="AB36" s="459">
        <f>((D36/Population_Tables!Q10)*Population_Tables!E10)-P36</f>
        <v>596.66971513941724</v>
      </c>
      <c r="AC36" s="459">
        <f>((E36/Population_Tables!R10)*Population_Tables!F10)-Q36</f>
        <v>3918.2215035062291</v>
      </c>
      <c r="AD36" s="459">
        <f>((F36/Population_Tables!S10)*Population_Tables!G10)-R36</f>
        <v>522.85839729295685</v>
      </c>
      <c r="AE36" s="459">
        <f>((G36/Population_Tables!T10)*Population_Tables!H10)-S36</f>
        <v>357.59746382926448</v>
      </c>
      <c r="AF36" s="459">
        <f>(H36/Population_Tables!U10)*Population_Tables!I10</f>
        <v>3124.0344839713016</v>
      </c>
      <c r="AG36" s="459">
        <f>(I36/Population_Tables!V10)*Population_Tables!J10</f>
        <v>1015.2514548514401</v>
      </c>
      <c r="AH36" s="459">
        <f>(J36/Population_Tables!W10)*Population_Tables!K10</f>
        <v>1241.1658503758106</v>
      </c>
      <c r="AI36" s="459">
        <f>(K36/Population_Tables!X10)*Population_Tables!L10</f>
        <v>1343.0071967936171</v>
      </c>
      <c r="AK36" s="456">
        <v>2021</v>
      </c>
      <c r="AL36" s="459">
        <f t="shared" si="6"/>
        <v>12067.887831350625</v>
      </c>
      <c r="AM36" s="459">
        <f t="shared" si="3"/>
        <v>3117.0040801484079</v>
      </c>
      <c r="AN36" s="459">
        <f t="shared" si="3"/>
        <v>596.66971513941724</v>
      </c>
      <c r="AO36" s="459">
        <f t="shared" si="3"/>
        <v>4771.5905246415123</v>
      </c>
      <c r="AP36" s="459">
        <f t="shared" si="3"/>
        <v>1260.1912872481237</v>
      </c>
      <c r="AQ36" s="459">
        <f t="shared" si="3"/>
        <v>490.13592098786722</v>
      </c>
      <c r="AR36" s="459">
        <f t="shared" si="3"/>
        <v>3124.0344839713016</v>
      </c>
      <c r="AS36" s="459">
        <f t="shared" si="3"/>
        <v>1015.2514548514401</v>
      </c>
      <c r="AT36" s="459">
        <f t="shared" si="3"/>
        <v>1241.1658503758106</v>
      </c>
      <c r="AU36" s="459">
        <f t="shared" si="3"/>
        <v>1343.0071967936171</v>
      </c>
      <c r="AW36" s="216">
        <f>(B36/Population_Tables!O10)*Population_Tables!C10</f>
        <v>12067.887831350625</v>
      </c>
      <c r="AX36" s="153" t="str">
        <f t="shared" si="7"/>
        <v>OK</v>
      </c>
      <c r="AY36" s="421">
        <f t="shared" si="4"/>
        <v>10235.591528165329</v>
      </c>
      <c r="AZ36" s="153" t="str">
        <f t="shared" si="5"/>
        <v>OK</v>
      </c>
      <c r="BB36" s="216">
        <f>(C36/Population_Tables!P10)*Population_Tables!D10</f>
        <v>3117.0040801484079</v>
      </c>
      <c r="BC36" s="216">
        <f>(D36/Population_Tables!Q10)*Population_Tables!E10</f>
        <v>596.66971513941724</v>
      </c>
      <c r="BD36" s="216">
        <f>(E36/Population_Tables!R10)*Population_Tables!F10</f>
        <v>4771.5905246415123</v>
      </c>
      <c r="BE36" s="216">
        <f>(F36/Population_Tables!S10)*Population_Tables!G10</f>
        <v>1260.1912872481237</v>
      </c>
      <c r="BF36" s="216">
        <f>(G36/Population_Tables!T10)*Population_Tables!H10</f>
        <v>490.13592098786722</v>
      </c>
      <c r="BG36" s="216"/>
      <c r="BN36" s="216"/>
      <c r="BO36" s="216"/>
      <c r="BP36" s="216"/>
    </row>
    <row r="37" spans="1:68" ht="15.6" x14ac:dyDescent="0.3">
      <c r="A37" s="206">
        <v>2022</v>
      </c>
      <c r="B37" s="229">
        <v>12257.734814283951</v>
      </c>
      <c r="C37" s="229">
        <v>3134.3561488512978</v>
      </c>
      <c r="D37" s="229">
        <v>600.79636268955494</v>
      </c>
      <c r="E37" s="229">
        <v>4866.6724753115623</v>
      </c>
      <c r="F37" s="229">
        <v>1292.7146257571831</v>
      </c>
      <c r="G37" s="229">
        <v>497.12710891437678</v>
      </c>
      <c r="H37" s="229">
        <v>3166.9501364250241</v>
      </c>
      <c r="I37" s="229">
        <v>1051.6324787740957</v>
      </c>
      <c r="J37" s="229">
        <v>1245.4493216179308</v>
      </c>
      <c r="K37" s="229">
        <v>1353.3325212735874</v>
      </c>
      <c r="M37" s="206">
        <v>2022</v>
      </c>
      <c r="N37" s="419">
        <f t="shared" si="2"/>
        <v>1782.3243107002654</v>
      </c>
      <c r="O37" s="418">
        <f>(C37/Population_Tables!P11)*Population_Tables!D70</f>
        <v>0</v>
      </c>
      <c r="P37" s="418">
        <f>(D37/Population_Tables!Q11)*Population_Tables!E70</f>
        <v>0</v>
      </c>
      <c r="Q37" s="418">
        <f>((E37-H37)/Population_Tables!R11)*Population_Tables!F70</f>
        <v>886.38257892543561</v>
      </c>
      <c r="R37" s="418">
        <f>(F37/Population_Tables!S11)*Population_Tables!G70</f>
        <v>760.60745157294446</v>
      </c>
      <c r="S37" s="418">
        <f>(G37/Population_Tables!T11)*Population_Tables!H70</f>
        <v>135.33428020188524</v>
      </c>
      <c r="T37" s="418">
        <f>(H37/Population_Tables!U11)*Population_Tables!I70</f>
        <v>0</v>
      </c>
      <c r="U37" s="418">
        <f>(I37/Population_Tables!V11)*Population_Tables!J70</f>
        <v>0</v>
      </c>
      <c r="V37" s="418">
        <f>(J37/Population_Tables!W11)*Population_Tables!K70</f>
        <v>0</v>
      </c>
      <c r="W37" s="418">
        <f>(K37/Population_Tables!X11)*Population_Tables!L70</f>
        <v>0</v>
      </c>
      <c r="Y37" s="456">
        <v>2022</v>
      </c>
      <c r="Z37" s="459">
        <f>((B37/Population_Tables!O11)*Population_Tables!C11)-N37</f>
        <v>10510.083939404443</v>
      </c>
      <c r="AA37" s="459">
        <f>((C37/Population_Tables!P11)*Population_Tables!D11)-O37</f>
        <v>3141.7565074167401</v>
      </c>
      <c r="AB37" s="459">
        <f>((D37/Population_Tables!Q11)*Population_Tables!E11)-P37</f>
        <v>602.34332946971278</v>
      </c>
      <c r="AC37" s="459">
        <f>((E37/Population_Tables!R11)*Population_Tables!F11)-Q37</f>
        <v>3993.7847108434248</v>
      </c>
      <c r="AD37" s="459">
        <f>((F37/Population_Tables!S11)*Population_Tables!G11)-R37</f>
        <v>535.84042824380845</v>
      </c>
      <c r="AE37" s="459">
        <f>((G37/Population_Tables!T11)*Population_Tables!H11)-S37</f>
        <v>363.70505011361774</v>
      </c>
      <c r="AF37" s="459">
        <f>(H37/Population_Tables!U11)*Population_Tables!I11</f>
        <v>3174.3618293771192</v>
      </c>
      <c r="AG37" s="459">
        <f>(I37/Population_Tables!V11)*Population_Tables!J11</f>
        <v>1054.5396086861249</v>
      </c>
      <c r="AH37" s="459">
        <f>(J37/Population_Tables!W11)*Population_Tables!K11</f>
        <v>1248.3300606780829</v>
      </c>
      <c r="AI37" s="459">
        <f>(K37/Population_Tables!X11)*Population_Tables!L11</f>
        <v>1356.6416572059211</v>
      </c>
      <c r="AK37" s="456">
        <v>2022</v>
      </c>
      <c r="AL37" s="459">
        <f t="shared" si="6"/>
        <v>12292.408250104709</v>
      </c>
      <c r="AM37" s="459">
        <f t="shared" si="3"/>
        <v>3141.7565074167401</v>
      </c>
      <c r="AN37" s="459">
        <f t="shared" si="3"/>
        <v>602.34332946971278</v>
      </c>
      <c r="AO37" s="459">
        <f t="shared" si="3"/>
        <v>4880.1672897688604</v>
      </c>
      <c r="AP37" s="459">
        <f t="shared" si="3"/>
        <v>1296.4478798167529</v>
      </c>
      <c r="AQ37" s="459">
        <f t="shared" si="3"/>
        <v>499.03933031550298</v>
      </c>
      <c r="AR37" s="459">
        <f t="shared" si="3"/>
        <v>3174.3618293771192</v>
      </c>
      <c r="AS37" s="459">
        <f t="shared" si="3"/>
        <v>1054.5396086861249</v>
      </c>
      <c r="AT37" s="459">
        <f t="shared" si="3"/>
        <v>1248.3300606780829</v>
      </c>
      <c r="AU37" s="459">
        <f t="shared" si="3"/>
        <v>1356.6416572059211</v>
      </c>
      <c r="AW37" s="216">
        <f>(B37/Population_Tables!O11)*Population_Tables!C11</f>
        <v>12292.408250104709</v>
      </c>
      <c r="AX37" s="153" t="str">
        <f t="shared" si="7"/>
        <v>OK</v>
      </c>
      <c r="AY37" s="421">
        <f t="shared" si="4"/>
        <v>10419.75433678757</v>
      </c>
      <c r="AZ37" s="153" t="str">
        <f t="shared" si="5"/>
        <v>OK</v>
      </c>
      <c r="BB37" s="216">
        <f>(C37/Population_Tables!P11)*Population_Tables!D11</f>
        <v>3141.7565074167401</v>
      </c>
      <c r="BC37" s="216">
        <f>(D37/Population_Tables!Q11)*Population_Tables!E11</f>
        <v>602.34332946971278</v>
      </c>
      <c r="BD37" s="216">
        <f>(E37/Population_Tables!R11)*Population_Tables!F11</f>
        <v>4880.1672897688604</v>
      </c>
      <c r="BE37" s="216">
        <f>(F37/Population_Tables!S11)*Population_Tables!G11</f>
        <v>1296.4478798167529</v>
      </c>
      <c r="BF37" s="216">
        <f>(G37/Population_Tables!T11)*Population_Tables!H11</f>
        <v>499.03933031550298</v>
      </c>
      <c r="BG37" s="216"/>
      <c r="BN37" s="216"/>
      <c r="BO37" s="216"/>
      <c r="BP37" s="216"/>
    </row>
    <row r="38" spans="1:68" ht="15.6" x14ac:dyDescent="0.3">
      <c r="A38" s="206">
        <v>2023</v>
      </c>
      <c r="B38" s="229">
        <v>12464.622398692152</v>
      </c>
      <c r="C38" s="229">
        <v>3154.7145867797863</v>
      </c>
      <c r="D38" s="229">
        <v>605.59352753747294</v>
      </c>
      <c r="E38" s="229">
        <v>4968.7182311045763</v>
      </c>
      <c r="F38" s="229">
        <v>1327.5638262144921</v>
      </c>
      <c r="G38" s="229">
        <v>505.06193983929626</v>
      </c>
      <c r="H38" s="229">
        <v>3212.2333397100092</v>
      </c>
      <c r="I38" s="229">
        <v>1090.7841327665567</v>
      </c>
      <c r="J38" s="229">
        <v>1250.9108587180312</v>
      </c>
      <c r="K38" s="229">
        <v>1365.0796798916326</v>
      </c>
      <c r="M38" s="206">
        <v>2023</v>
      </c>
      <c r="N38" s="419">
        <f t="shared" si="2"/>
        <v>1844.1359388151918</v>
      </c>
      <c r="O38" s="418">
        <f>(C38/Population_Tables!P12)*Population_Tables!D71</f>
        <v>0</v>
      </c>
      <c r="P38" s="418">
        <f>(D38/Population_Tables!Q12)*Population_Tables!E71</f>
        <v>0</v>
      </c>
      <c r="Q38" s="418">
        <f>((E38-H38)/Population_Tables!R12)*Population_Tables!F71</f>
        <v>921.29378668890854</v>
      </c>
      <c r="R38" s="418">
        <f>(F38/Population_Tables!S12)*Population_Tables!G71</f>
        <v>784.66094912673486</v>
      </c>
      <c r="S38" s="418">
        <f>(G38/Population_Tables!T12)*Population_Tables!H71</f>
        <v>138.18120299954847</v>
      </c>
      <c r="T38" s="418">
        <f>(H38/Population_Tables!U12)*Population_Tables!I71</f>
        <v>0</v>
      </c>
      <c r="U38" s="418">
        <f>(I38/Population_Tables!V12)*Population_Tables!J71</f>
        <v>0</v>
      </c>
      <c r="V38" s="418">
        <f>(J38/Population_Tables!W12)*Population_Tables!K71</f>
        <v>0</v>
      </c>
      <c r="W38" s="418">
        <f>(K38/Population_Tables!X12)*Population_Tables!L71</f>
        <v>0</v>
      </c>
      <c r="Y38" s="456">
        <v>2023</v>
      </c>
      <c r="Z38" s="459">
        <f>((B38/Population_Tables!O12)*Population_Tables!C12)-N38</f>
        <v>10678.330367741524</v>
      </c>
      <c r="AA38" s="459">
        <f>((C38/Population_Tables!P12)*Population_Tables!D12)-O38</f>
        <v>3167.0900015861048</v>
      </c>
      <c r="AB38" s="459">
        <f>((D38/Population_Tables!Q12)*Population_Tables!E12)-P38</f>
        <v>608.10268786045322</v>
      </c>
      <c r="AC38" s="459">
        <f>((E38/Population_Tables!R12)*Population_Tables!F12)-Q38</f>
        <v>4070.5587639662126</v>
      </c>
      <c r="AD38" s="459">
        <f>((F38/Population_Tables!S12)*Population_Tables!G12)-R38</f>
        <v>549.03323569211341</v>
      </c>
      <c r="AE38" s="459">
        <f>((G38/Population_Tables!T12)*Population_Tables!H12)-S38</f>
        <v>369.86396410576867</v>
      </c>
      <c r="AF38" s="459">
        <f>(H38/Population_Tables!U12)*Population_Tables!I12</f>
        <v>3224.5391176745679</v>
      </c>
      <c r="AG38" s="459">
        <f>(I38/Population_Tables!V12)*Population_Tables!J12</f>
        <v>1095.9420603978626</v>
      </c>
      <c r="AH38" s="459">
        <f>(J38/Population_Tables!W12)*Population_Tables!K12</f>
        <v>1255.6598137828437</v>
      </c>
      <c r="AI38" s="459">
        <f>(K38/Population_Tables!X12)*Population_Tables!L12</f>
        <v>1370.6859382790381</v>
      </c>
      <c r="AK38" s="456">
        <v>2023</v>
      </c>
      <c r="AL38" s="459">
        <f t="shared" si="6"/>
        <v>12522.466306556717</v>
      </c>
      <c r="AM38" s="459">
        <f t="shared" si="3"/>
        <v>3167.0900015861048</v>
      </c>
      <c r="AN38" s="459">
        <f t="shared" si="3"/>
        <v>608.10268786045322</v>
      </c>
      <c r="AO38" s="459">
        <f t="shared" si="3"/>
        <v>4991.8525506551214</v>
      </c>
      <c r="AP38" s="459">
        <f t="shared" si="3"/>
        <v>1333.6941848188483</v>
      </c>
      <c r="AQ38" s="459">
        <f t="shared" si="3"/>
        <v>508.04516710531715</v>
      </c>
      <c r="AR38" s="459">
        <f t="shared" si="3"/>
        <v>3224.5391176745679</v>
      </c>
      <c r="AS38" s="459">
        <f t="shared" si="3"/>
        <v>1095.9420603978626</v>
      </c>
      <c r="AT38" s="459">
        <f t="shared" si="3"/>
        <v>1255.6598137828437</v>
      </c>
      <c r="AU38" s="459">
        <f t="shared" si="3"/>
        <v>1370.6859382790381</v>
      </c>
      <c r="AW38" s="216">
        <f>(B38/Population_Tables!O12)*Population_Tables!C12</f>
        <v>12522.466306556717</v>
      </c>
      <c r="AX38" s="153" t="str">
        <f t="shared" si="7"/>
        <v>OK</v>
      </c>
      <c r="AY38" s="421">
        <f t="shared" si="4"/>
        <v>10608.784592025846</v>
      </c>
      <c r="AZ38" s="153" t="str">
        <f t="shared" si="5"/>
        <v>OK</v>
      </c>
      <c r="BB38" s="216">
        <f>(C38/Population_Tables!P12)*Population_Tables!D12</f>
        <v>3167.0900015861048</v>
      </c>
      <c r="BC38" s="216">
        <f>(D38/Population_Tables!Q12)*Population_Tables!E12</f>
        <v>608.10268786045322</v>
      </c>
      <c r="BD38" s="216">
        <f>(E38/Population_Tables!R12)*Population_Tables!F12</f>
        <v>4991.8525506551214</v>
      </c>
      <c r="BE38" s="216">
        <f>(F38/Population_Tables!S12)*Population_Tables!G12</f>
        <v>1333.6941848188483</v>
      </c>
      <c r="BF38" s="216">
        <f>(G38/Population_Tables!T12)*Population_Tables!H12</f>
        <v>508.04516710531715</v>
      </c>
      <c r="BG38" s="216"/>
      <c r="BN38" s="216"/>
      <c r="BO38" s="216"/>
      <c r="BP38" s="216"/>
    </row>
    <row r="39" spans="1:68" ht="15.6" x14ac:dyDescent="0.3">
      <c r="A39" s="206">
        <v>2024</v>
      </c>
      <c r="B39" s="229">
        <v>12673.393730047939</v>
      </c>
      <c r="C39" s="229">
        <v>3174.8818289614219</v>
      </c>
      <c r="D39" s="229">
        <v>610.35679366372642</v>
      </c>
      <c r="E39" s="229">
        <v>5072.0655957041427</v>
      </c>
      <c r="F39" s="229">
        <v>1363.0735457734686</v>
      </c>
      <c r="G39" s="229">
        <v>513.01290796100182</v>
      </c>
      <c r="H39" s="229">
        <v>3256.6533140918768</v>
      </c>
      <c r="I39" s="229">
        <v>1131.5391293386178</v>
      </c>
      <c r="J39" s="229">
        <v>1256.2748072793991</v>
      </c>
      <c r="K39" s="229">
        <v>1376.8076143210972</v>
      </c>
      <c r="M39" s="206">
        <v>2024</v>
      </c>
      <c r="N39" s="419">
        <f t="shared" si="2"/>
        <v>1908.670139525467</v>
      </c>
      <c r="O39" s="418">
        <f>(C39/Population_Tables!P13)*Population_Tables!D72</f>
        <v>0</v>
      </c>
      <c r="P39" s="418">
        <f>(D39/Population_Tables!Q13)*Population_Tables!E72</f>
        <v>0</v>
      </c>
      <c r="Q39" s="418">
        <f>((E39-H39)/Population_Tables!R13)*Population_Tables!F72</f>
        <v>958.06735407693736</v>
      </c>
      <c r="R39" s="418">
        <f>(F39/Population_Tables!S13)*Population_Tables!G72</f>
        <v>809.50955705986439</v>
      </c>
      <c r="S39" s="418">
        <f>(G39/Population_Tables!T13)*Population_Tables!H72</f>
        <v>141.09322838866527</v>
      </c>
      <c r="T39" s="418">
        <f>(H39/Population_Tables!U13)*Population_Tables!I72</f>
        <v>0</v>
      </c>
      <c r="U39" s="418">
        <f>(I39/Population_Tables!V13)*Population_Tables!J72</f>
        <v>0</v>
      </c>
      <c r="V39" s="418">
        <f>(J39/Population_Tables!W13)*Population_Tables!K72</f>
        <v>0</v>
      </c>
      <c r="W39" s="418">
        <f>(K39/Population_Tables!X13)*Population_Tables!L72</f>
        <v>0</v>
      </c>
      <c r="Y39" s="456">
        <v>2024</v>
      </c>
      <c r="Z39" s="459">
        <f>((B39/Population_Tables!O13)*Population_Tables!C13)-N39</f>
        <v>10849.294217352326</v>
      </c>
      <c r="AA39" s="459">
        <f>((C39/Population_Tables!P13)*Population_Tables!D13)-O39</f>
        <v>3192.9257627934767</v>
      </c>
      <c r="AB39" s="459">
        <f>((D39/Population_Tables!Q13)*Population_Tables!E13)-P39</f>
        <v>613.9384674771992</v>
      </c>
      <c r="AC39" s="459">
        <f>((E39/Population_Tables!R13)*Population_Tables!F13)-Q39</f>
        <v>4148.4051901446037</v>
      </c>
      <c r="AD39" s="459">
        <f>((F39/Population_Tables!S13)*Population_Tables!G13)-R39</f>
        <v>562.4711647027691</v>
      </c>
      <c r="AE39" s="459">
        <f>((G39/Population_Tables!T13)*Population_Tables!H13)-S39</f>
        <v>376.12137166127195</v>
      </c>
      <c r="AF39" s="459">
        <f>(H39/Population_Tables!U13)*Population_Tables!I13</f>
        <v>3274.5251335499984</v>
      </c>
      <c r="AG39" s="459">
        <f>(I39/Population_Tables!V13)*Population_Tables!J13</f>
        <v>1139.4152980633037</v>
      </c>
      <c r="AH39" s="459">
        <f>(J39/Population_Tables!W13)*Population_Tables!K13</f>
        <v>1263.1256967008526</v>
      </c>
      <c r="AI39" s="459">
        <f>(K39/Population_Tables!X13)*Population_Tables!L13</f>
        <v>1385.060860114118</v>
      </c>
      <c r="AK39" s="456">
        <v>2024</v>
      </c>
      <c r="AL39" s="459">
        <f t="shared" si="6"/>
        <v>12757.964356877794</v>
      </c>
      <c r="AM39" s="459">
        <f t="shared" si="3"/>
        <v>3192.9257627934767</v>
      </c>
      <c r="AN39" s="459">
        <f t="shared" si="3"/>
        <v>613.9384674771992</v>
      </c>
      <c r="AO39" s="459">
        <f t="shared" si="3"/>
        <v>5106.4725442215413</v>
      </c>
      <c r="AP39" s="459">
        <f t="shared" si="3"/>
        <v>1371.9807217626335</v>
      </c>
      <c r="AQ39" s="459">
        <f t="shared" si="3"/>
        <v>517.21460004993719</v>
      </c>
      <c r="AR39" s="459">
        <f t="shared" si="3"/>
        <v>3274.5251335499984</v>
      </c>
      <c r="AS39" s="459">
        <f t="shared" si="3"/>
        <v>1139.4152980633037</v>
      </c>
      <c r="AT39" s="459">
        <f t="shared" si="3"/>
        <v>1263.1256967008526</v>
      </c>
      <c r="AU39" s="459">
        <f t="shared" si="3"/>
        <v>1385.060860114118</v>
      </c>
      <c r="AW39" s="216">
        <f>(B39/Population_Tables!O13)*Population_Tables!C13</f>
        <v>12757.964356877794</v>
      </c>
      <c r="AX39" s="153" t="str">
        <f t="shared" si="7"/>
        <v>OK</v>
      </c>
      <c r="AY39" s="421">
        <f t="shared" si="4"/>
        <v>10802.532096304789</v>
      </c>
      <c r="AZ39" s="153" t="str">
        <f t="shared" si="5"/>
        <v>OK</v>
      </c>
      <c r="BB39" s="216">
        <f>(C39/Population_Tables!P13)*Population_Tables!D13</f>
        <v>3192.9257627934767</v>
      </c>
      <c r="BC39" s="216">
        <f>(D39/Population_Tables!Q13)*Population_Tables!E13</f>
        <v>613.9384674771992</v>
      </c>
      <c r="BD39" s="216">
        <f>(E39/Population_Tables!R13)*Population_Tables!F13</f>
        <v>5106.4725442215413</v>
      </c>
      <c r="BE39" s="216">
        <f>(F39/Population_Tables!S13)*Population_Tables!G13</f>
        <v>1371.9807217626335</v>
      </c>
      <c r="BF39" s="216">
        <f>(G39/Population_Tables!T13)*Population_Tables!H13</f>
        <v>517.21460004993719</v>
      </c>
      <c r="BG39" s="216"/>
      <c r="BN39" s="216"/>
      <c r="BO39" s="216"/>
      <c r="BP39" s="216"/>
    </row>
    <row r="40" spans="1:68" ht="15.6" x14ac:dyDescent="0.3">
      <c r="A40" s="206">
        <v>2025</v>
      </c>
      <c r="B40" s="229">
        <v>12884.116676081132</v>
      </c>
      <c r="C40" s="229">
        <v>3194.8810536454739</v>
      </c>
      <c r="D40" s="229">
        <v>615.08905789635878</v>
      </c>
      <c r="E40" s="229">
        <v>5176.7317845530479</v>
      </c>
      <c r="F40" s="229">
        <v>1399.2702005599576</v>
      </c>
      <c r="G40" s="229">
        <v>520.97899737158787</v>
      </c>
      <c r="H40" s="229">
        <v>3300.2474308156402</v>
      </c>
      <c r="I40" s="229">
        <v>1173.8944685670513</v>
      </c>
      <c r="J40" s="229">
        <v>1261.546560702071</v>
      </c>
      <c r="K40" s="229">
        <v>1388.4977974726221</v>
      </c>
      <c r="M40" s="206">
        <v>2025</v>
      </c>
      <c r="N40" s="419">
        <f t="shared" si="2"/>
        <v>1975.9360205371315</v>
      </c>
      <c r="O40" s="418">
        <f>(C40/Population_Tables!P14)*Population_Tables!D73</f>
        <v>0</v>
      </c>
      <c r="P40" s="418">
        <f>(D40/Population_Tables!Q14)*Population_Tables!E73</f>
        <v>0</v>
      </c>
      <c r="Q40" s="418">
        <f>((E40-H40)/Population_Tables!R14)*Population_Tables!F73</f>
        <v>996.67893464894223</v>
      </c>
      <c r="R40" s="418">
        <f>(F40/Population_Tables!S14)*Population_Tables!G73</f>
        <v>835.17536363504973</v>
      </c>
      <c r="S40" s="418">
        <f>(G40/Population_Tables!T14)*Population_Tables!H73</f>
        <v>144.08172225313956</v>
      </c>
      <c r="T40" s="418">
        <f>(H40/Population_Tables!U14)*Population_Tables!I73</f>
        <v>0</v>
      </c>
      <c r="U40" s="418">
        <f>(I40/Population_Tables!V14)*Population_Tables!J73</f>
        <v>0</v>
      </c>
      <c r="V40" s="418">
        <f>(J40/Population_Tables!W14)*Population_Tables!K73</f>
        <v>0</v>
      </c>
      <c r="W40" s="418">
        <f>(K40/Population_Tables!X14)*Population_Tables!L73</f>
        <v>0</v>
      </c>
      <c r="Y40" s="456">
        <v>2025</v>
      </c>
      <c r="Z40" s="459">
        <f>((B40/Population_Tables!O14)*Population_Tables!C14)-N40</f>
        <v>11022.912919236558</v>
      </c>
      <c r="AA40" s="459">
        <f>((C40/Population_Tables!P14)*Population_Tables!D14)-O40</f>
        <v>3219.2015792784873</v>
      </c>
      <c r="AB40" s="459">
        <f>((D40/Population_Tables!Q14)*Population_Tables!E14)-P40</f>
        <v>619.84552315747521</v>
      </c>
      <c r="AC40" s="459">
        <f>((E40/Population_Tables!R14)*Population_Tables!F14)-Q40</f>
        <v>4227.2187969057568</v>
      </c>
      <c r="AD40" s="459">
        <f>((F40/Population_Tables!S14)*Population_Tables!G14)-R40</f>
        <v>576.18544099129235</v>
      </c>
      <c r="AE40" s="459">
        <f>((G40/Population_Tables!T14)*Population_Tables!H14)-S40</f>
        <v>382.51187823072814</v>
      </c>
      <c r="AF40" s="459">
        <f>(H40/Population_Tables!U14)*Population_Tables!I14</f>
        <v>3324.2931770522609</v>
      </c>
      <c r="AG40" s="459">
        <f>(I40/Population_Tables!V14)*Population_Tables!J14</f>
        <v>1184.9286003333305</v>
      </c>
      <c r="AH40" s="459">
        <f>(J40/Population_Tables!W14)*Population_Tables!K14</f>
        <v>1270.7047938899591</v>
      </c>
      <c r="AI40" s="459">
        <f>(K40/Population_Tables!X14)*Population_Tables!L14</f>
        <v>1399.7060935142301</v>
      </c>
      <c r="AK40" s="456">
        <v>2025</v>
      </c>
      <c r="AL40" s="459">
        <f t="shared" si="6"/>
        <v>12998.84893977369</v>
      </c>
      <c r="AM40" s="459">
        <f t="shared" si="3"/>
        <v>3219.2015792784873</v>
      </c>
      <c r="AN40" s="459">
        <f t="shared" si="3"/>
        <v>619.84552315747521</v>
      </c>
      <c r="AO40" s="459">
        <f t="shared" si="3"/>
        <v>5223.897731554699</v>
      </c>
      <c r="AP40" s="459">
        <f t="shared" si="3"/>
        <v>1411.3608046263421</v>
      </c>
      <c r="AQ40" s="459">
        <f t="shared" si="3"/>
        <v>526.5936004838677</v>
      </c>
      <c r="AR40" s="459">
        <f t="shared" si="3"/>
        <v>3324.2931770522609</v>
      </c>
      <c r="AS40" s="459">
        <f t="shared" si="3"/>
        <v>1184.9286003333305</v>
      </c>
      <c r="AT40" s="459">
        <f t="shared" si="3"/>
        <v>1270.7047938899591</v>
      </c>
      <c r="AU40" s="459">
        <f t="shared" si="3"/>
        <v>1399.7060935142301</v>
      </c>
      <c r="AW40" s="216">
        <f>(B40/Population_Tables!O14)*Population_Tables!C14</f>
        <v>12998.84893977369</v>
      </c>
      <c r="AX40" s="153" t="str">
        <f t="shared" si="7"/>
        <v>OK</v>
      </c>
      <c r="AY40" s="421">
        <f t="shared" si="4"/>
        <v>11000.899239100871</v>
      </c>
      <c r="AZ40" s="153" t="str">
        <f t="shared" si="5"/>
        <v>OK</v>
      </c>
      <c r="BB40" s="216">
        <f>(C40/Population_Tables!P14)*Population_Tables!D14</f>
        <v>3219.2015792784873</v>
      </c>
      <c r="BC40" s="216">
        <f>(D40/Population_Tables!Q14)*Population_Tables!E14</f>
        <v>619.84552315747521</v>
      </c>
      <c r="BD40" s="216">
        <f>(E40/Population_Tables!R14)*Population_Tables!F14</f>
        <v>5223.897731554699</v>
      </c>
      <c r="BE40" s="216">
        <f>(F40/Population_Tables!S14)*Population_Tables!G14</f>
        <v>1411.3608046263421</v>
      </c>
      <c r="BF40" s="216">
        <f>(G40/Population_Tables!T14)*Population_Tables!H14</f>
        <v>526.5936004838677</v>
      </c>
      <c r="BG40" s="216"/>
      <c r="BN40" s="216"/>
      <c r="BO40" s="216"/>
      <c r="BP40" s="216"/>
    </row>
    <row r="41" spans="1:68" ht="15.6" x14ac:dyDescent="0.3">
      <c r="A41" s="206">
        <v>2026</v>
      </c>
      <c r="B41" s="229">
        <v>13096.804683956288</v>
      </c>
      <c r="C41" s="229">
        <v>3214.7231499314425</v>
      </c>
      <c r="D41" s="229">
        <v>619.79322885066108</v>
      </c>
      <c r="E41" s="229">
        <v>5282.6988621264827</v>
      </c>
      <c r="F41" s="229">
        <v>1436.1880872259542</v>
      </c>
      <c r="G41" s="229">
        <v>528.95852589877586</v>
      </c>
      <c r="H41" s="229">
        <v>3343.0273815300352</v>
      </c>
      <c r="I41" s="229">
        <v>1217.8409996843106</v>
      </c>
      <c r="J41" s="229">
        <v>1266.7235569575073</v>
      </c>
      <c r="K41" s="229">
        <v>1400.1430121567628</v>
      </c>
      <c r="M41" s="206">
        <v>2026</v>
      </c>
      <c r="N41" s="419">
        <f t="shared" si="2"/>
        <v>2045.942728724855</v>
      </c>
      <c r="O41" s="418">
        <f>(C41/Population_Tables!P15)*Population_Tables!D74</f>
        <v>0</v>
      </c>
      <c r="P41" s="418">
        <f>(D41/Population_Tables!Q15)*Population_Tables!E74</f>
        <v>0</v>
      </c>
      <c r="Q41" s="418">
        <f>((E41-H41)/Population_Tables!R15)*Population_Tables!F74</f>
        <v>1037.1133032722785</v>
      </c>
      <c r="R41" s="418">
        <f>(F41/Population_Tables!S15)*Population_Tables!G74</f>
        <v>861.68154470589991</v>
      </c>
      <c r="S41" s="418">
        <f>(G41/Population_Tables!T15)*Population_Tables!H74</f>
        <v>147.14788074667646</v>
      </c>
      <c r="T41" s="418">
        <f>(H41/Population_Tables!U15)*Population_Tables!I74</f>
        <v>0</v>
      </c>
      <c r="U41" s="418">
        <f>(I41/Population_Tables!V15)*Population_Tables!J74</f>
        <v>0</v>
      </c>
      <c r="V41" s="418">
        <f>(J41/Population_Tables!W15)*Population_Tables!K74</f>
        <v>0</v>
      </c>
      <c r="W41" s="418">
        <f>(K41/Population_Tables!X15)*Population_Tables!L74</f>
        <v>0</v>
      </c>
      <c r="Y41" s="456">
        <v>2026</v>
      </c>
      <c r="Z41" s="459">
        <f>((B41/Population_Tables!O15)*Population_Tables!C15)-N41</f>
        <v>11199.054849758231</v>
      </c>
      <c r="AA41" s="459">
        <f>((C41/Population_Tables!P15)*Population_Tables!D15)-O41</f>
        <v>3245.8708465434911</v>
      </c>
      <c r="AB41" s="459">
        <f>((D41/Population_Tables!Q15)*Population_Tables!E15)-P41</f>
        <v>625.82965628746877</v>
      </c>
      <c r="AC41" s="459">
        <f>((E41/Population_Tables!R15)*Population_Tables!F15)-Q41</f>
        <v>4306.9034667166434</v>
      </c>
      <c r="AD41" s="459">
        <f>((F41/Population_Tables!S15)*Population_Tables!G15)-R41</f>
        <v>590.20069683421241</v>
      </c>
      <c r="AE41" s="459">
        <f>((G41/Population_Tables!T15)*Population_Tables!H15)-S41</f>
        <v>389.03781669042871</v>
      </c>
      <c r="AF41" s="459">
        <f>(H41/Population_Tables!U15)*Population_Tables!I15</f>
        <v>3373.8145245671976</v>
      </c>
      <c r="AG41" s="459">
        <f>(I41/Population_Tables!V15)*Population_Tables!J15</f>
        <v>1232.4574364359896</v>
      </c>
      <c r="AH41" s="459">
        <f>(J41/Population_Tables!W15)*Population_Tables!K15</f>
        <v>1278.3752597246864</v>
      </c>
      <c r="AI41" s="459">
        <f>(K41/Population_Tables!X15)*Population_Tables!L15</f>
        <v>1414.5873828873248</v>
      </c>
      <c r="AK41" s="456">
        <v>2026</v>
      </c>
      <c r="AL41" s="459">
        <f t="shared" si="6"/>
        <v>13244.997578483086</v>
      </c>
      <c r="AM41" s="459">
        <f t="shared" si="3"/>
        <v>3245.8708465434911</v>
      </c>
      <c r="AN41" s="459">
        <f t="shared" si="3"/>
        <v>625.82965628746877</v>
      </c>
      <c r="AO41" s="459">
        <f t="shared" si="3"/>
        <v>5344.0167699889216</v>
      </c>
      <c r="AP41" s="459">
        <f t="shared" si="3"/>
        <v>1451.8822415401123</v>
      </c>
      <c r="AQ41" s="459">
        <f t="shared" si="3"/>
        <v>536.1856974371052</v>
      </c>
      <c r="AR41" s="459">
        <f t="shared" si="3"/>
        <v>3373.8145245671976</v>
      </c>
      <c r="AS41" s="459">
        <f t="shared" si="3"/>
        <v>1232.4574364359896</v>
      </c>
      <c r="AT41" s="459">
        <f t="shared" si="3"/>
        <v>1278.3752597246864</v>
      </c>
      <c r="AU41" s="459">
        <f t="shared" si="3"/>
        <v>1414.5873828873248</v>
      </c>
      <c r="AW41" s="216">
        <f>(B41/Population_Tables!O15)*Population_Tables!C15</f>
        <v>13244.997578483086</v>
      </c>
      <c r="AX41" s="153" t="str">
        <f t="shared" si="7"/>
        <v>OK</v>
      </c>
      <c r="AY41" s="421">
        <f t="shared" si="4"/>
        <v>11203.7852117971</v>
      </c>
      <c r="AZ41" s="153" t="str">
        <f t="shared" si="5"/>
        <v>OK</v>
      </c>
      <c r="BB41" s="216">
        <f>(C41/Population_Tables!P15)*Population_Tables!D15</f>
        <v>3245.8708465434911</v>
      </c>
      <c r="BC41" s="216">
        <f>(D41/Population_Tables!Q15)*Population_Tables!E15</f>
        <v>625.82965628746877</v>
      </c>
      <c r="BD41" s="216">
        <f>(E41/Population_Tables!R15)*Population_Tables!F15</f>
        <v>5344.0167699889216</v>
      </c>
      <c r="BE41" s="216">
        <f>(F41/Population_Tables!S15)*Population_Tables!G15</f>
        <v>1451.8822415401123</v>
      </c>
      <c r="BF41" s="216">
        <f>(G41/Population_Tables!T15)*Population_Tables!H15</f>
        <v>536.1856974371052</v>
      </c>
      <c r="BG41" s="216"/>
      <c r="BN41" s="216"/>
      <c r="BO41" s="216"/>
      <c r="BP41" s="216"/>
    </row>
    <row r="42" spans="1:68" ht="15.6" x14ac:dyDescent="0.3">
      <c r="A42" s="206">
        <v>2027</v>
      </c>
      <c r="B42" s="229">
        <v>13311.452494378802</v>
      </c>
      <c r="C42" s="229">
        <v>3234.402997550068</v>
      </c>
      <c r="D42" s="229">
        <v>624.47263712527672</v>
      </c>
      <c r="E42" s="229">
        <v>5389.9351630512028</v>
      </c>
      <c r="F42" s="229">
        <v>1473.8693383144348</v>
      </c>
      <c r="G42" s="229">
        <v>536.95008465583578</v>
      </c>
      <c r="H42" s="229">
        <v>3384.9980751621629</v>
      </c>
      <c r="I42" s="229">
        <v>1263.3649883246628</v>
      </c>
      <c r="J42" s="229">
        <v>1271.8022886745662</v>
      </c>
      <c r="K42" s="229">
        <v>1411.7427217978031</v>
      </c>
      <c r="M42" s="206">
        <v>2027</v>
      </c>
      <c r="N42" s="419">
        <f t="shared" si="2"/>
        <v>2118.7059174497699</v>
      </c>
      <c r="O42" s="418">
        <f>(C42/Population_Tables!P16)*Population_Tables!D75</f>
        <v>0</v>
      </c>
      <c r="P42" s="418">
        <f>(D42/Population_Tables!Q16)*Population_Tables!E75</f>
        <v>0</v>
      </c>
      <c r="Q42" s="418">
        <f>((E42-H42)/Population_Tables!R16)*Population_Tables!F75</f>
        <v>1079.3680759751492</v>
      </c>
      <c r="R42" s="418">
        <f>(F42/Population_Tables!S16)*Population_Tables!G75</f>
        <v>889.05118733179256</v>
      </c>
      <c r="S42" s="418">
        <f>(G42/Population_Tables!T16)*Population_Tables!H75</f>
        <v>150.28665414282838</v>
      </c>
      <c r="T42" s="418">
        <f>(H42/Population_Tables!U16)*Population_Tables!I75</f>
        <v>0</v>
      </c>
      <c r="U42" s="418">
        <f>(I42/Population_Tables!V16)*Population_Tables!J75</f>
        <v>0</v>
      </c>
      <c r="V42" s="418">
        <f>(J42/Population_Tables!W16)*Population_Tables!K75</f>
        <v>0</v>
      </c>
      <c r="W42" s="418">
        <f>(K42/Population_Tables!X16)*Population_Tables!L75</f>
        <v>0</v>
      </c>
      <c r="Y42" s="456">
        <v>2027</v>
      </c>
      <c r="Z42" s="459">
        <f>((B42/Population_Tables!O16)*Population_Tables!C16)-N42</f>
        <v>11377.572059260965</v>
      </c>
      <c r="AA42" s="459">
        <f>((C42/Population_Tables!P16)*Population_Tables!D16)-O42</f>
        <v>3272.8972519878221</v>
      </c>
      <c r="AB42" s="459">
        <f>((D42/Population_Tables!Q16)*Population_Tables!E16)-P42</f>
        <v>631.89954885404745</v>
      </c>
      <c r="AC42" s="459">
        <f>((E42/Population_Tables!R16)*Population_Tables!F16)-Q42</f>
        <v>4387.3982394410796</v>
      </c>
      <c r="AD42" s="459">
        <f>((F42/Population_Tables!S16)*Population_Tables!G16)-R42</f>
        <v>604.53464338463141</v>
      </c>
      <c r="AE42" s="459">
        <f>((G42/Population_Tables!T16)*Population_Tables!H16)-S42</f>
        <v>395.67954939460822</v>
      </c>
      <c r="AF42" s="459">
        <f>(H42/Population_Tables!U16)*Population_Tables!I16</f>
        <v>3423.0780952523842</v>
      </c>
      <c r="AG42" s="459">
        <f>(I42/Population_Tables!V16)*Population_Tables!J16</f>
        <v>1281.9916068267974</v>
      </c>
      <c r="AH42" s="459">
        <f>(J42/Population_Tables!W16)*Population_Tables!K16</f>
        <v>1286.1229226951148</v>
      </c>
      <c r="AI42" s="459">
        <f>(K42/Population_Tables!X16)*Population_Tables!L16</f>
        <v>1429.6914820938885</v>
      </c>
      <c r="AK42" s="456">
        <v>2027</v>
      </c>
      <c r="AL42" s="459">
        <f t="shared" si="6"/>
        <v>13496.277976710735</v>
      </c>
      <c r="AM42" s="459">
        <f t="shared" si="3"/>
        <v>3272.8972519878221</v>
      </c>
      <c r="AN42" s="459">
        <f t="shared" si="3"/>
        <v>631.89954885404745</v>
      </c>
      <c r="AO42" s="459">
        <f t="shared" si="3"/>
        <v>5466.7663154162292</v>
      </c>
      <c r="AP42" s="459">
        <f t="shared" si="3"/>
        <v>1493.585830716424</v>
      </c>
      <c r="AQ42" s="459">
        <f t="shared" si="3"/>
        <v>545.96620353743663</v>
      </c>
      <c r="AR42" s="459">
        <f t="shared" si="3"/>
        <v>3423.0780952523842</v>
      </c>
      <c r="AS42" s="459">
        <f t="shared" si="3"/>
        <v>1281.9916068267974</v>
      </c>
      <c r="AT42" s="459">
        <f t="shared" si="3"/>
        <v>1286.1229226951148</v>
      </c>
      <c r="AU42" s="459">
        <f t="shared" si="3"/>
        <v>1429.6914820938885</v>
      </c>
      <c r="AW42" s="216">
        <f>(B42/Population_Tables!O16)*Population_Tables!C16</f>
        <v>13496.277976710735</v>
      </c>
      <c r="AX42" s="153" t="str">
        <f t="shared" si="7"/>
        <v>OK</v>
      </c>
      <c r="AY42" s="421">
        <f t="shared" si="4"/>
        <v>11411.115150511958</v>
      </c>
      <c r="AZ42" s="153" t="str">
        <f t="shared" si="5"/>
        <v>OK</v>
      </c>
      <c r="BB42" s="216">
        <f>(C42/Population_Tables!P16)*Population_Tables!D16</f>
        <v>3272.8972519878221</v>
      </c>
      <c r="BC42" s="216">
        <f>(D42/Population_Tables!Q16)*Population_Tables!E16</f>
        <v>631.89954885404745</v>
      </c>
      <c r="BD42" s="216">
        <f>(E42/Population_Tables!R16)*Population_Tables!F16</f>
        <v>5466.7663154162283</v>
      </c>
      <c r="BE42" s="216">
        <f>(F42/Population_Tables!S16)*Population_Tables!G16</f>
        <v>1493.585830716424</v>
      </c>
      <c r="BF42" s="216">
        <f>(G42/Population_Tables!T16)*Population_Tables!H16</f>
        <v>545.96620353743663</v>
      </c>
      <c r="BG42" s="216"/>
      <c r="BN42" s="216"/>
      <c r="BO42" s="216"/>
      <c r="BP42" s="216"/>
    </row>
    <row r="43" spans="1:68" ht="15.6" x14ac:dyDescent="0.3">
      <c r="A43" s="206">
        <v>2028</v>
      </c>
      <c r="B43" s="229">
        <v>13528.091169200494</v>
      </c>
      <c r="C43" s="229">
        <v>3253.9071989655163</v>
      </c>
      <c r="D43" s="229">
        <v>629.13147837210158</v>
      </c>
      <c r="E43" s="229">
        <v>5498.4304017878749</v>
      </c>
      <c r="F43" s="229">
        <v>1512.3578444129539</v>
      </c>
      <c r="G43" s="229">
        <v>544.95341030736972</v>
      </c>
      <c r="H43" s="229">
        <v>3426.1846668326734</v>
      </c>
      <c r="I43" s="229">
        <v>1310.4538059216361</v>
      </c>
      <c r="J43" s="229">
        <v>1276.7868732086799</v>
      </c>
      <c r="K43" s="229">
        <v>1423.2935632090928</v>
      </c>
      <c r="M43" s="206">
        <v>2028</v>
      </c>
      <c r="N43" s="419">
        <f t="shared" si="2"/>
        <v>2194.2744598532217</v>
      </c>
      <c r="O43" s="418">
        <f>(C43/Population_Tables!P17)*Population_Tables!D76</f>
        <v>0</v>
      </c>
      <c r="P43" s="418">
        <f>(D43/Population_Tables!Q17)*Population_Tables!E76</f>
        <v>0</v>
      </c>
      <c r="Q43" s="418">
        <f>((E43-H43)/Population_Tables!R17)*Population_Tables!F76</f>
        <v>1123.4601149205066</v>
      </c>
      <c r="R43" s="418">
        <f>(F43/Population_Tables!S17)*Population_Tables!G76</f>
        <v>917.31614483962596</v>
      </c>
      <c r="S43" s="418">
        <f>(G43/Population_Tables!T17)*Population_Tables!H76</f>
        <v>153.49820009308911</v>
      </c>
      <c r="T43" s="418">
        <f>(H43/Population_Tables!U17)*Population_Tables!I76</f>
        <v>0</v>
      </c>
      <c r="U43" s="418">
        <f>(I43/Population_Tables!V17)*Population_Tables!J76</f>
        <v>0</v>
      </c>
      <c r="V43" s="418">
        <f>(J43/Population_Tables!W17)*Population_Tables!K76</f>
        <v>0</v>
      </c>
      <c r="W43" s="418">
        <f>(K43/Population_Tables!X17)*Population_Tables!L76</f>
        <v>0</v>
      </c>
      <c r="Y43" s="456">
        <v>2028</v>
      </c>
      <c r="Z43" s="459">
        <f>((B43/Population_Tables!O17)*Population_Tables!C17)-N43</f>
        <v>11558.459909063673</v>
      </c>
      <c r="AA43" s="459">
        <f>((C43/Population_Tables!P17)*Population_Tables!D17)-O43</f>
        <v>3300.2605916830789</v>
      </c>
      <c r="AB43" s="459">
        <f>((D43/Population_Tables!Q17)*Population_Tables!E17)-P43</f>
        <v>638.05787988147324</v>
      </c>
      <c r="AC43" s="459">
        <f>((E43/Population_Tables!R17)*Population_Tables!F17)-Q43</f>
        <v>4468.7141084269178</v>
      </c>
      <c r="AD43" s="459">
        <f>((F43/Population_Tables!S17)*Population_Tables!G17)-R43</f>
        <v>619.20544363001716</v>
      </c>
      <c r="AE43" s="459">
        <f>((G43/Population_Tables!T17)*Population_Tables!H17)-S43</f>
        <v>402.42749970079143</v>
      </c>
      <c r="AF43" s="459">
        <f>(H43/Population_Tables!U17)*Population_Tables!I17</f>
        <v>3472.1154022971059</v>
      </c>
      <c r="AG43" s="459">
        <f>(I43/Population_Tables!V17)*Population_Tables!J17</f>
        <v>1333.5496103553071</v>
      </c>
      <c r="AH43" s="459">
        <f>(J43/Population_Tables!W17)*Population_Tables!K17</f>
        <v>1293.9498453185963</v>
      </c>
      <c r="AI43" s="459">
        <f>(K43/Population_Tables!X17)*Population_Tables!L17</f>
        <v>1445.0145300860274</v>
      </c>
      <c r="AK43" s="456">
        <v>2028</v>
      </c>
      <c r="AL43" s="459">
        <f t="shared" si="6"/>
        <v>13752.734368916896</v>
      </c>
      <c r="AM43" s="459">
        <f t="shared" si="3"/>
        <v>3300.2605916830789</v>
      </c>
      <c r="AN43" s="459">
        <f t="shared" si="3"/>
        <v>638.05787988147324</v>
      </c>
      <c r="AO43" s="459">
        <f t="shared" si="3"/>
        <v>5592.1742233474242</v>
      </c>
      <c r="AP43" s="459">
        <f t="shared" si="3"/>
        <v>1536.5215884696431</v>
      </c>
      <c r="AQ43" s="459">
        <f t="shared" si="3"/>
        <v>555.92569979388054</v>
      </c>
      <c r="AR43" s="459">
        <f t="shared" si="3"/>
        <v>3472.1154022971059</v>
      </c>
      <c r="AS43" s="459">
        <f t="shared" si="3"/>
        <v>1333.5496103553071</v>
      </c>
      <c r="AT43" s="459">
        <f t="shared" si="3"/>
        <v>1293.9498453185963</v>
      </c>
      <c r="AU43" s="459">
        <f t="shared" si="3"/>
        <v>1445.0145300860274</v>
      </c>
      <c r="AW43" s="216">
        <f>(B43/Population_Tables!O17)*Population_Tables!C17</f>
        <v>13752.734368916894</v>
      </c>
      <c r="AX43" s="153" t="b">
        <f t="shared" si="7"/>
        <v>0</v>
      </c>
      <c r="AY43" s="421">
        <f t="shared" si="4"/>
        <v>11622.9399831755</v>
      </c>
      <c r="AZ43" s="153" t="str">
        <f t="shared" si="5"/>
        <v>OK</v>
      </c>
      <c r="BB43" s="216">
        <f>(C43/Population_Tables!P17)*Population_Tables!D17</f>
        <v>3300.2605916830789</v>
      </c>
      <c r="BC43" s="216">
        <f>(D43/Population_Tables!Q17)*Population_Tables!E17</f>
        <v>638.05787988147324</v>
      </c>
      <c r="BD43" s="216">
        <f>(E43/Population_Tables!R17)*Population_Tables!F17</f>
        <v>5592.1742233474242</v>
      </c>
      <c r="BE43" s="216">
        <f>(F43/Population_Tables!S17)*Population_Tables!G17</f>
        <v>1536.5215884696431</v>
      </c>
      <c r="BF43" s="216">
        <f>(G43/Population_Tables!T17)*Population_Tables!H17</f>
        <v>555.92569979388054</v>
      </c>
      <c r="BG43" s="216"/>
      <c r="BN43" s="216"/>
      <c r="BO43" s="216"/>
      <c r="BP43" s="216"/>
    </row>
    <row r="44" spans="1:68" ht="15.6" x14ac:dyDescent="0.3">
      <c r="A44" s="206">
        <v>2029</v>
      </c>
      <c r="B44" s="229">
        <v>13746.755205343132</v>
      </c>
      <c r="C44" s="229">
        <v>3273.2135030756754</v>
      </c>
      <c r="D44" s="229">
        <v>633.77447386459085</v>
      </c>
      <c r="E44" s="229">
        <v>5608.1752181966358</v>
      </c>
      <c r="F44" s="229">
        <v>1551.7010415337211</v>
      </c>
      <c r="G44" s="229">
        <v>552.96867193761591</v>
      </c>
      <c r="H44" s="229">
        <v>3466.6158114410896</v>
      </c>
      <c r="I44" s="229">
        <v>1359.0933192308232</v>
      </c>
      <c r="J44" s="229">
        <v>1281.6831671399368</v>
      </c>
      <c r="K44" s="229">
        <v>1434.7942400817919</v>
      </c>
      <c r="M44" s="206">
        <v>2029</v>
      </c>
      <c r="N44" s="419">
        <f t="shared" si="2"/>
        <v>2272.7118253097838</v>
      </c>
      <c r="O44" s="418">
        <f>(C44/Population_Tables!P18)*Population_Tables!D77</f>
        <v>0</v>
      </c>
      <c r="P44" s="418">
        <f>(D44/Population_Tables!Q18)*Population_Tables!E77</f>
        <v>0</v>
      </c>
      <c r="Q44" s="418">
        <f>((E44-H44)/Population_Tables!R18)*Population_Tables!F77</f>
        <v>1169.4194577175531</v>
      </c>
      <c r="R44" s="418">
        <f>(F44/Population_Tables!S18)*Population_Tables!G77</f>
        <v>946.51063072956867</v>
      </c>
      <c r="S44" s="418">
        <f>(G44/Population_Tables!T18)*Population_Tables!H77</f>
        <v>156.78173686266211</v>
      </c>
      <c r="T44" s="418">
        <f>(H44/Population_Tables!U18)*Population_Tables!I77</f>
        <v>0</v>
      </c>
      <c r="U44" s="418">
        <f>(I44/Population_Tables!V18)*Population_Tables!J77</f>
        <v>0</v>
      </c>
      <c r="V44" s="418">
        <f>(J44/Population_Tables!W18)*Population_Tables!K77</f>
        <v>0</v>
      </c>
      <c r="W44" s="418">
        <f>(K44/Population_Tables!X18)*Population_Tables!L77</f>
        <v>0</v>
      </c>
      <c r="Y44" s="456">
        <v>2029</v>
      </c>
      <c r="Z44" s="459">
        <f>((B44/Population_Tables!O18)*Population_Tables!C18)-N44</f>
        <v>11741.748789749179</v>
      </c>
      <c r="AA44" s="459">
        <f>((C44/Population_Tables!P18)*Population_Tables!D18)-O44</f>
        <v>3327.9479227345078</v>
      </c>
      <c r="AB44" s="459">
        <f>((D44/Population_Tables!Q18)*Population_Tables!E18)-P44</f>
        <v>644.30621070278482</v>
      </c>
      <c r="AC44" s="459">
        <f>((E44/Population_Tables!R18)*Population_Tables!F18)-Q44</f>
        <v>4550.8999772148545</v>
      </c>
      <c r="AD44" s="459">
        <f>((F44/Population_Tables!S18)*Population_Tables!G18)-R44</f>
        <v>634.22856380983262</v>
      </c>
      <c r="AE44" s="459">
        <f>((G44/Population_Tables!T18)*Population_Tables!H18)-S44</f>
        <v>409.26634645935769</v>
      </c>
      <c r="AF44" s="459">
        <f>(H44/Population_Tables!U18)*Population_Tables!I18</f>
        <v>3520.9789107511683</v>
      </c>
      <c r="AG44" s="459">
        <f>(I44/Population_Tables!V18)*Population_Tables!J18</f>
        <v>1387.1678340421556</v>
      </c>
      <c r="AH44" s="459">
        <f>(J44/Population_Tables!W18)*Population_Tables!K18</f>
        <v>1301.864937208195</v>
      </c>
      <c r="AI44" s="459">
        <f>(K44/Population_Tables!X18)*Population_Tables!L18</f>
        <v>1460.5638379512307</v>
      </c>
      <c r="AK44" s="456">
        <v>2029</v>
      </c>
      <c r="AL44" s="459">
        <f t="shared" si="6"/>
        <v>14014.460615058963</v>
      </c>
      <c r="AM44" s="459">
        <f t="shared" si="3"/>
        <v>3327.9479227345078</v>
      </c>
      <c r="AN44" s="459">
        <f t="shared" si="3"/>
        <v>644.30621070278482</v>
      </c>
      <c r="AO44" s="459">
        <f t="shared" si="3"/>
        <v>5720.3194349324076</v>
      </c>
      <c r="AP44" s="459">
        <f t="shared" si="3"/>
        <v>1580.7391945394013</v>
      </c>
      <c r="AQ44" s="459">
        <f t="shared" si="3"/>
        <v>566.04808332201981</v>
      </c>
      <c r="AR44" s="459">
        <f t="shared" si="3"/>
        <v>3520.9789107511683</v>
      </c>
      <c r="AS44" s="459">
        <f t="shared" si="3"/>
        <v>1387.1678340421556</v>
      </c>
      <c r="AT44" s="459">
        <f t="shared" si="3"/>
        <v>1301.864937208195</v>
      </c>
      <c r="AU44" s="459">
        <f t="shared" si="3"/>
        <v>1460.5638379512307</v>
      </c>
      <c r="AW44" s="216">
        <f>(B44/Population_Tables!O18)*Population_Tables!C18</f>
        <v>14014.460615058963</v>
      </c>
      <c r="AX44" s="153" t="str">
        <f t="shared" si="7"/>
        <v>OK</v>
      </c>
      <c r="AY44" s="421">
        <f t="shared" si="4"/>
        <v>11839.36084623112</v>
      </c>
      <c r="AZ44" s="153" t="str">
        <f t="shared" si="5"/>
        <v>OK</v>
      </c>
      <c r="BB44" s="216">
        <f>(C44/Population_Tables!P18)*Population_Tables!D18</f>
        <v>3327.9479227345078</v>
      </c>
      <c r="BC44" s="216">
        <f>(D44/Population_Tables!Q18)*Population_Tables!E18</f>
        <v>644.30621070278482</v>
      </c>
      <c r="BD44" s="216">
        <f>(E44/Population_Tables!R18)*Population_Tables!F18</f>
        <v>5720.3194349324076</v>
      </c>
      <c r="BE44" s="216">
        <f>(F44/Population_Tables!S18)*Population_Tables!G18</f>
        <v>1580.7391945394013</v>
      </c>
      <c r="BF44" s="216">
        <f>(G44/Population_Tables!T18)*Population_Tables!H18</f>
        <v>566.04808332201981</v>
      </c>
      <c r="BG44" s="216"/>
      <c r="BN44" s="216"/>
      <c r="BO44" s="216"/>
      <c r="BP44" s="216"/>
    </row>
    <row r="45" spans="1:68" ht="15.6" x14ac:dyDescent="0.3">
      <c r="A45" s="206">
        <v>2030</v>
      </c>
      <c r="B45" s="229">
        <v>13971.949103856216</v>
      </c>
      <c r="C45" s="229">
        <v>3292.3902655823763</v>
      </c>
      <c r="D45" s="229">
        <v>638.05323800544897</v>
      </c>
      <c r="E45" s="229">
        <v>5721.9181438101732</v>
      </c>
      <c r="F45" s="229">
        <v>1591.3499870353874</v>
      </c>
      <c r="G45" s="229">
        <v>560.9930395911058</v>
      </c>
      <c r="H45" s="229">
        <v>3508.7549098873151</v>
      </c>
      <c r="I45" s="229">
        <v>1408.5664075933269</v>
      </c>
      <c r="J45" s="229">
        <v>1286.8945763955126</v>
      </c>
      <c r="K45" s="229">
        <v>1446.142711985804</v>
      </c>
      <c r="M45" s="206">
        <v>2030</v>
      </c>
      <c r="N45" s="419">
        <f t="shared" si="2"/>
        <v>2353.8954077788062</v>
      </c>
      <c r="O45" s="418">
        <f>(C45/Population_Tables!P19)*Population_Tables!D78</f>
        <v>0</v>
      </c>
      <c r="P45" s="418">
        <f>(D45/Population_Tables!Q19)*Population_Tables!E78</f>
        <v>0</v>
      </c>
      <c r="Q45" s="418">
        <f>((E45-H45)/Population_Tables!R19)*Population_Tables!F78</f>
        <v>1217.4540289858526</v>
      </c>
      <c r="R45" s="418">
        <f>(F45/Population_Tables!S19)*Population_Tables!G78</f>
        <v>976.30519919588448</v>
      </c>
      <c r="S45" s="418">
        <f>(G45/Population_Tables!T19)*Population_Tables!H78</f>
        <v>160.13617959706934</v>
      </c>
      <c r="T45" s="418">
        <f>(H45/Population_Tables!U19)*Population_Tables!I78</f>
        <v>0</v>
      </c>
      <c r="U45" s="418">
        <f>(I45/Population_Tables!V19)*Population_Tables!J78</f>
        <v>0</v>
      </c>
      <c r="V45" s="418">
        <f>(J45/Population_Tables!W19)*Population_Tables!K78</f>
        <v>0</v>
      </c>
      <c r="W45" s="418">
        <f>(K45/Population_Tables!X19)*Population_Tables!L78</f>
        <v>0</v>
      </c>
      <c r="Y45" s="456">
        <v>2030</v>
      </c>
      <c r="Z45" s="459">
        <f>((B45/Population_Tables!O19)*Population_Tables!C19)-N45</f>
        <v>11932.237156582878</v>
      </c>
      <c r="AA45" s="459">
        <f>((C45/Population_Tables!P19)*Population_Tables!D19)-O45</f>
        <v>3356.0361946270536</v>
      </c>
      <c r="AB45" s="459">
        <f>((D45/Population_Tables!Q19)*Population_Tables!E19)-P45</f>
        <v>650.28804400404761</v>
      </c>
      <c r="AC45" s="459">
        <f>((E45/Population_Tables!R19)*Population_Tables!F19)-Q45</f>
        <v>4636.6459636711897</v>
      </c>
      <c r="AD45" s="459">
        <f>((F45/Population_Tables!S19)*Population_Tables!G19)-R45</f>
        <v>649.37852255194991</v>
      </c>
      <c r="AE45" s="459">
        <f>((G45/Population_Tables!T19)*Population_Tables!H19)-S45</f>
        <v>416.18163796768295</v>
      </c>
      <c r="AF45" s="459">
        <f>(H45/Population_Tables!U19)*Population_Tables!I19</f>
        <v>3572.1977341558309</v>
      </c>
      <c r="AG45" s="459">
        <f>(I45/Population_Tables!V19)*Population_Tables!J19</f>
        <v>1442.163934687341</v>
      </c>
      <c r="AH45" s="459">
        <f>(J45/Population_Tables!W19)*Population_Tables!K19</f>
        <v>1310.2819813803831</v>
      </c>
      <c r="AI45" s="459">
        <f>(K45/Population_Tables!X19)*Population_Tables!L19</f>
        <v>1476.2416558326274</v>
      </c>
      <c r="AK45" s="456">
        <v>2030</v>
      </c>
      <c r="AL45" s="459">
        <f t="shared" si="6"/>
        <v>14286.132564361684</v>
      </c>
      <c r="AM45" s="459">
        <f t="shared" si="6"/>
        <v>3356.0361946270536</v>
      </c>
      <c r="AN45" s="459">
        <f t="shared" si="6"/>
        <v>650.28804400404761</v>
      </c>
      <c r="AO45" s="459">
        <f t="shared" si="6"/>
        <v>5854.0999926570421</v>
      </c>
      <c r="AP45" s="459">
        <f t="shared" si="6"/>
        <v>1625.6837217478344</v>
      </c>
      <c r="AQ45" s="459">
        <f t="shared" si="6"/>
        <v>576.31781756475232</v>
      </c>
      <c r="AR45" s="459">
        <f t="shared" si="6"/>
        <v>3572.1977341558309</v>
      </c>
      <c r="AS45" s="459">
        <f t="shared" si="6"/>
        <v>1442.163934687341</v>
      </c>
      <c r="AT45" s="459">
        <f t="shared" si="6"/>
        <v>1310.2819813803831</v>
      </c>
      <c r="AU45" s="459">
        <f t="shared" si="6"/>
        <v>1476.2416558326274</v>
      </c>
      <c r="AW45" s="216">
        <f>(B45/Population_Tables!O19)*Population_Tables!C19</f>
        <v>14286.132564361684</v>
      </c>
      <c r="AX45" s="153" t="str">
        <f t="shared" si="7"/>
        <v>OK</v>
      </c>
      <c r="AY45" s="421">
        <f t="shared" si="4"/>
        <v>12062.42577060073</v>
      </c>
      <c r="AZ45" s="153" t="str">
        <f t="shared" si="5"/>
        <v>OK</v>
      </c>
      <c r="BB45" s="216">
        <f>(C45/Population_Tables!P19)*Population_Tables!D19</f>
        <v>3356.0361946270536</v>
      </c>
      <c r="BC45" s="216">
        <f>(D45/Population_Tables!Q19)*Population_Tables!E19</f>
        <v>650.28804400404761</v>
      </c>
      <c r="BD45" s="216">
        <f>(E45/Population_Tables!R19)*Population_Tables!F19</f>
        <v>5854.0999926570421</v>
      </c>
      <c r="BE45" s="216">
        <f>(F45/Population_Tables!S19)*Population_Tables!G19</f>
        <v>1625.6837217478344</v>
      </c>
      <c r="BF45" s="216">
        <f>(G45/Population_Tables!T19)*Population_Tables!H19</f>
        <v>576.31781756475232</v>
      </c>
      <c r="BG45" s="216"/>
      <c r="BN45" s="216"/>
      <c r="BO45" s="216"/>
      <c r="BP45" s="216"/>
    </row>
    <row r="46" spans="1:68" ht="15.6" x14ac:dyDescent="0.3">
      <c r="A46" s="206">
        <v>2031</v>
      </c>
      <c r="B46" s="229">
        <v>14190.276015771631</v>
      </c>
      <c r="C46" s="229">
        <v>3311.1741946264387</v>
      </c>
      <c r="D46" s="229">
        <v>643.03207417988017</v>
      </c>
      <c r="E46" s="229">
        <v>5831.3671595207034</v>
      </c>
      <c r="F46" s="229">
        <v>1633.1267138243049</v>
      </c>
      <c r="G46" s="229">
        <v>569.03385707599352</v>
      </c>
      <c r="H46" s="229">
        <v>3545.3074055942816</v>
      </c>
      <c r="I46" s="229">
        <v>1460.9742499585159</v>
      </c>
      <c r="J46" s="229">
        <v>1291.2250137081189</v>
      </c>
      <c r="K46" s="229">
        <v>1457.6393635556342</v>
      </c>
      <c r="M46" s="206">
        <v>2031</v>
      </c>
      <c r="N46" s="419">
        <f t="shared" si="2"/>
        <v>2438.437346086344</v>
      </c>
      <c r="O46" s="418">
        <f>(C46/Population_Tables!P20)*Population_Tables!D79</f>
        <v>0</v>
      </c>
      <c r="P46" s="418">
        <f>(D46/Population_Tables!Q20)*Population_Tables!E79</f>
        <v>0</v>
      </c>
      <c r="Q46" s="418">
        <f>((E46-H46)/Population_Tables!R20)*Population_Tables!F79</f>
        <v>1267.0460585598826</v>
      </c>
      <c r="R46" s="418">
        <f>(F46/Population_Tables!S20)*Population_Tables!G79</f>
        <v>1007.8262302348292</v>
      </c>
      <c r="S46" s="418">
        <f>(G46/Population_Tables!T20)*Population_Tables!H79</f>
        <v>163.56505729163251</v>
      </c>
      <c r="T46" s="418">
        <f>(H46/Population_Tables!U20)*Population_Tables!I79</f>
        <v>0</v>
      </c>
      <c r="U46" s="418">
        <f>(I46/Population_Tables!V20)*Population_Tables!J79</f>
        <v>0</v>
      </c>
      <c r="V46" s="418">
        <f>(J46/Population_Tables!W20)*Population_Tables!K79</f>
        <v>0</v>
      </c>
      <c r="W46" s="418">
        <f>(K46/Population_Tables!X20)*Population_Tables!L79</f>
        <v>0</v>
      </c>
      <c r="Y46" s="456">
        <v>2031</v>
      </c>
      <c r="Z46" s="459">
        <f>((B46/Population_Tables!O20)*Population_Tables!C20)-N46</f>
        <v>12115.621556053511</v>
      </c>
      <c r="AA46" s="459">
        <f>((C46/Population_Tables!P20)*Population_Tables!D20)-O46</f>
        <v>3384.2381142528238</v>
      </c>
      <c r="AB46" s="459">
        <f>((D46/Population_Tables!Q20)*Population_Tables!E20)-P46</f>
        <v>657.08873172267192</v>
      </c>
      <c r="AC46" s="459">
        <f>((E46/Population_Tables!R20)*Population_Tables!F20)-Q46</f>
        <v>4717.999884669136</v>
      </c>
      <c r="AD46" s="459">
        <f>((F46/Population_Tables!S20)*Population_Tables!G20)-R46</f>
        <v>665.40404743774866</v>
      </c>
      <c r="AE46" s="459">
        <f>((G46/Population_Tables!T20)*Population_Tables!H20)-S46</f>
        <v>423.17704967692322</v>
      </c>
      <c r="AF46" s="459">
        <f>(H46/Population_Tables!U20)*Population_Tables!I20</f>
        <v>3618.3418747040887</v>
      </c>
      <c r="AG46" s="459">
        <f>(I46/Population_Tables!V20)*Population_Tables!J20</f>
        <v>1500.7114484106612</v>
      </c>
      <c r="AH46" s="459">
        <f>(J46/Population_Tables!W20)*Population_Tables!K20</f>
        <v>1317.9776557898695</v>
      </c>
      <c r="AI46" s="459">
        <f>(K46/Population_Tables!X20)*Population_Tables!L20</f>
        <v>1492.3466108018956</v>
      </c>
      <c r="AK46" s="456">
        <v>2031</v>
      </c>
      <c r="AL46" s="459">
        <f t="shared" si="6"/>
        <v>14554.058902139855</v>
      </c>
      <c r="AM46" s="459">
        <f t="shared" si="6"/>
        <v>3384.2381142528238</v>
      </c>
      <c r="AN46" s="459">
        <f t="shared" si="6"/>
        <v>657.08873172267192</v>
      </c>
      <c r="AO46" s="459">
        <f t="shared" si="6"/>
        <v>5985.045943229019</v>
      </c>
      <c r="AP46" s="459">
        <f t="shared" si="6"/>
        <v>1673.2302776725778</v>
      </c>
      <c r="AQ46" s="459">
        <f t="shared" si="6"/>
        <v>586.74210696855573</v>
      </c>
      <c r="AR46" s="459">
        <f t="shared" si="6"/>
        <v>3618.3418747040887</v>
      </c>
      <c r="AS46" s="459">
        <f t="shared" si="6"/>
        <v>1500.7114484106612</v>
      </c>
      <c r="AT46" s="459">
        <f t="shared" si="6"/>
        <v>1317.9776557898695</v>
      </c>
      <c r="AU46" s="459">
        <f t="shared" si="6"/>
        <v>1492.3466108018956</v>
      </c>
      <c r="AW46" s="216">
        <f>(B46/Population_Tables!O20)*Population_Tables!C20</f>
        <v>14554.058902139855</v>
      </c>
      <c r="AX46" s="153" t="str">
        <f t="shared" si="7"/>
        <v>OK</v>
      </c>
      <c r="AY46" s="421">
        <f t="shared" si="4"/>
        <v>12286.345173845646</v>
      </c>
      <c r="AZ46" s="153" t="b">
        <f t="shared" si="5"/>
        <v>0</v>
      </c>
      <c r="BB46" s="216">
        <f>(C46/Population_Tables!P20)*Population_Tables!D20</f>
        <v>3384.2381142528238</v>
      </c>
      <c r="BC46" s="216">
        <f>(D46/Population_Tables!Q20)*Population_Tables!E20</f>
        <v>657.08873172267192</v>
      </c>
      <c r="BD46" s="216">
        <f>(E46/Population_Tables!R20)*Population_Tables!F20</f>
        <v>5985.0459432290181</v>
      </c>
      <c r="BE46" s="216">
        <f>(F46/Population_Tables!S20)*Population_Tables!G20</f>
        <v>1673.2302776725778</v>
      </c>
      <c r="BF46" s="216">
        <f>(G46/Population_Tables!T20)*Population_Tables!H20</f>
        <v>586.74210696855573</v>
      </c>
      <c r="BG46" s="216"/>
      <c r="BN46" s="216"/>
      <c r="BO46" s="216"/>
      <c r="BP46" s="216"/>
    </row>
    <row r="47" spans="1:68" ht="15.6" x14ac:dyDescent="0.3">
      <c r="A47" s="206">
        <v>2032</v>
      </c>
      <c r="B47" s="229">
        <v>14415.175138867564</v>
      </c>
      <c r="C47" s="229">
        <v>3329.824826350592</v>
      </c>
      <c r="D47" s="229">
        <v>647.65604195498531</v>
      </c>
      <c r="E47" s="229">
        <v>5944.7851535228356</v>
      </c>
      <c r="F47" s="229">
        <v>1675.2851059770687</v>
      </c>
      <c r="G47" s="229">
        <v>577.08173274048363</v>
      </c>
      <c r="H47" s="229">
        <v>3583.6007939342385</v>
      </c>
      <c r="I47" s="229">
        <v>1514.1960342712223</v>
      </c>
      <c r="J47" s="229">
        <v>1295.8705218309299</v>
      </c>
      <c r="K47" s="229">
        <v>1468.9789297958969</v>
      </c>
      <c r="M47" s="206">
        <v>2032</v>
      </c>
      <c r="N47" s="419">
        <f t="shared" si="2"/>
        <v>2525.7597626754091</v>
      </c>
      <c r="O47" s="418">
        <f>(C47/Population_Tables!P21)*Population_Tables!D80</f>
        <v>0</v>
      </c>
      <c r="P47" s="418">
        <f>(D47/Population_Tables!Q21)*Population_Tables!E80</f>
        <v>0</v>
      </c>
      <c r="Q47" s="418">
        <f>((E47-H47)/Population_Tables!R21)*Population_Tables!F80</f>
        <v>1318.7054725528601</v>
      </c>
      <c r="R47" s="418">
        <f>(F47/Population_Tables!S21)*Population_Tables!G80</f>
        <v>1039.9908512729776</v>
      </c>
      <c r="S47" s="418">
        <f>(G47/Population_Tables!T21)*Population_Tables!H80</f>
        <v>167.0634388495713</v>
      </c>
      <c r="T47" s="418">
        <f>(H47/Population_Tables!U21)*Population_Tables!I80</f>
        <v>0</v>
      </c>
      <c r="U47" s="418">
        <f>(I47/Population_Tables!V21)*Population_Tables!J80</f>
        <v>0</v>
      </c>
      <c r="V47" s="418">
        <f>(J47/Population_Tables!W21)*Population_Tables!K80</f>
        <v>0</v>
      </c>
      <c r="W47" s="418">
        <f>(K47/Population_Tables!X21)*Population_Tables!L80</f>
        <v>0</v>
      </c>
      <c r="Y47" s="456">
        <v>2032</v>
      </c>
      <c r="Z47" s="459">
        <f>((B47/Population_Tables!O21)*Population_Tables!C21)-N47</f>
        <v>12306.003173956406</v>
      </c>
      <c r="AA47" s="459">
        <f>((C47/Population_Tables!P21)*Population_Tables!D21)-O47</f>
        <v>3412.7521946183592</v>
      </c>
      <c r="AB47" s="459">
        <f>((D47/Population_Tables!Q21)*Population_Tables!E21)-P47</f>
        <v>663.62861886697306</v>
      </c>
      <c r="AC47" s="459">
        <f>((E47/Population_Tables!R21)*Population_Tables!F21)-Q47</f>
        <v>4802.8060838892252</v>
      </c>
      <c r="AD47" s="459">
        <f>((F47/Population_Tables!S21)*Population_Tables!G21)-R47</f>
        <v>681.59475703723751</v>
      </c>
      <c r="AE47" s="459">
        <f>((G47/Population_Tables!T21)*Population_Tables!H21)-S47</f>
        <v>430.24463837026701</v>
      </c>
      <c r="AF47" s="459">
        <f>(H47/Population_Tables!U21)*Population_Tables!I21</f>
        <v>3666.8209659016493</v>
      </c>
      <c r="AG47" s="459">
        <f>(I47/Population_Tables!V21)*Population_Tables!J21</f>
        <v>1560.6228003497811</v>
      </c>
      <c r="AH47" s="459">
        <f>(J47/Population_Tables!W21)*Population_Tables!K21</f>
        <v>1326.1488661321193</v>
      </c>
      <c r="AI47" s="459">
        <f>(K47/Population_Tables!X21)*Population_Tables!L21</f>
        <v>1508.533755358497</v>
      </c>
      <c r="AK47" s="456">
        <v>2032</v>
      </c>
      <c r="AL47" s="459">
        <f t="shared" si="6"/>
        <v>14831.762936631814</v>
      </c>
      <c r="AM47" s="459">
        <f t="shared" si="6"/>
        <v>3412.7521946183592</v>
      </c>
      <c r="AN47" s="459">
        <f t="shared" si="6"/>
        <v>663.62861886697306</v>
      </c>
      <c r="AO47" s="459">
        <f t="shared" si="6"/>
        <v>6121.5115564420848</v>
      </c>
      <c r="AP47" s="459">
        <f t="shared" si="6"/>
        <v>1721.5856083102151</v>
      </c>
      <c r="AQ47" s="459">
        <f t="shared" si="6"/>
        <v>597.30807721983831</v>
      </c>
      <c r="AR47" s="459">
        <f t="shared" si="6"/>
        <v>3666.8209659016493</v>
      </c>
      <c r="AS47" s="459">
        <f t="shared" si="6"/>
        <v>1560.6228003497811</v>
      </c>
      <c r="AT47" s="459">
        <f t="shared" si="6"/>
        <v>1326.1488661321193</v>
      </c>
      <c r="AU47" s="459">
        <f t="shared" si="6"/>
        <v>1508.533755358497</v>
      </c>
      <c r="AW47" s="216">
        <f>(B47/Population_Tables!O21)*Population_Tables!C21</f>
        <v>14831.762936631814</v>
      </c>
      <c r="AX47" s="153" t="str">
        <f t="shared" si="7"/>
        <v>OK</v>
      </c>
      <c r="AY47" s="421">
        <f t="shared" si="4"/>
        <v>12516.786055457471</v>
      </c>
      <c r="AZ47" s="153" t="str">
        <f t="shared" si="5"/>
        <v>OK</v>
      </c>
      <c r="BB47" s="216">
        <f>(C47/Population_Tables!P21)*Population_Tables!D21</f>
        <v>3412.7521946183592</v>
      </c>
      <c r="BC47" s="216">
        <f>(D47/Population_Tables!Q21)*Population_Tables!E21</f>
        <v>663.62861886697306</v>
      </c>
      <c r="BD47" s="216">
        <f>(E47/Population_Tables!R21)*Population_Tables!F21</f>
        <v>6121.5115564420848</v>
      </c>
      <c r="BE47" s="216">
        <f>(F47/Population_Tables!S21)*Population_Tables!G21</f>
        <v>1721.5856083102151</v>
      </c>
      <c r="BF47" s="216">
        <f>(G47/Population_Tables!T21)*Population_Tables!H21</f>
        <v>597.30807721983831</v>
      </c>
      <c r="BG47" s="216"/>
      <c r="BN47" s="216"/>
      <c r="BO47" s="216"/>
      <c r="BP47" s="216"/>
    </row>
    <row r="48" spans="1:68" ht="15.6" x14ac:dyDescent="0.3">
      <c r="A48" s="206">
        <v>2033</v>
      </c>
      <c r="B48" s="229">
        <v>14642.201606136683</v>
      </c>
      <c r="C48" s="229">
        <v>3348.2428546481869</v>
      </c>
      <c r="D48" s="229">
        <v>652.28884312375646</v>
      </c>
      <c r="E48" s="229">
        <v>6059.3932557044291</v>
      </c>
      <c r="F48" s="229">
        <v>1718.4652083100966</v>
      </c>
      <c r="G48" s="229">
        <v>585.13767282734159</v>
      </c>
      <c r="H48" s="229">
        <v>3621.2246176543267</v>
      </c>
      <c r="I48" s="229">
        <v>1568.9216086969516</v>
      </c>
      <c r="J48" s="229">
        <v>1300.4293594688843</v>
      </c>
      <c r="K48" s="229">
        <v>1480.2691946853183</v>
      </c>
      <c r="M48" s="206">
        <v>2033</v>
      </c>
      <c r="N48" s="419">
        <f t="shared" si="2"/>
        <v>2615.9380048789003</v>
      </c>
      <c r="O48" s="418">
        <f>(C48/Population_Tables!P22)*Population_Tables!D81</f>
        <v>0</v>
      </c>
      <c r="P48" s="418">
        <f>(D48/Population_Tables!Q22)*Population_Tables!E81</f>
        <v>0</v>
      </c>
      <c r="Q48" s="418">
        <f>((E48-H48)/Population_Tables!R22)*Population_Tables!F81</f>
        <v>1372.1792604124032</v>
      </c>
      <c r="R48" s="418">
        <f>(F48/Population_Tables!S22)*Population_Tables!G81</f>
        <v>1073.1388884582736</v>
      </c>
      <c r="S48" s="418">
        <f>(G48/Population_Tables!T22)*Population_Tables!H81</f>
        <v>170.61985600822331</v>
      </c>
      <c r="T48" s="418">
        <f>(H48/Population_Tables!U22)*Population_Tables!I81</f>
        <v>0</v>
      </c>
      <c r="U48" s="418">
        <f>(I48/Population_Tables!V22)*Population_Tables!J81</f>
        <v>0</v>
      </c>
      <c r="V48" s="418">
        <f>(J48/Population_Tables!W22)*Population_Tables!K81</f>
        <v>0</v>
      </c>
      <c r="W48" s="418">
        <f>(K48/Population_Tables!X22)*Population_Tables!L81</f>
        <v>0</v>
      </c>
      <c r="Y48" s="456">
        <v>2033</v>
      </c>
      <c r="Z48" s="459">
        <f>((B48/Population_Tables!O22)*Population_Tables!C22)-N48</f>
        <v>12498.177265484173</v>
      </c>
      <c r="AA48" s="459">
        <f>((C48/Population_Tables!P22)*Population_Tables!D22)-O48</f>
        <v>3441.3545109864722</v>
      </c>
      <c r="AB48" s="459">
        <f>((D48/Population_Tables!Q22)*Population_Tables!E22)-P48</f>
        <v>670.26018052421955</v>
      </c>
      <c r="AC48" s="459">
        <f>((E48/Population_Tables!R22)*Population_Tables!F22)-Q48</f>
        <v>4888.2410088442457</v>
      </c>
      <c r="AD48" s="459">
        <f>((F48/Population_Tables!S22)*Population_Tables!G22)-R48</f>
        <v>698.19933215877336</v>
      </c>
      <c r="AE48" s="459">
        <f>((G48/Population_Tables!T22)*Population_Tables!H22)-S48</f>
        <v>437.37250015903953</v>
      </c>
      <c r="AF48" s="459">
        <f>(H48/Population_Tables!U22)*Population_Tables!I22</f>
        <v>3715.0715106292173</v>
      </c>
      <c r="AG48" s="459">
        <f>(I48/Population_Tables!V22)*Population_Tables!J22</f>
        <v>1622.5456133393611</v>
      </c>
      <c r="AH48" s="459">
        <f>(J48/Population_Tables!W22)*Population_Tables!K22</f>
        <v>1334.3471327872176</v>
      </c>
      <c r="AI48" s="459">
        <f>(K48/Population_Tables!X22)*Population_Tables!L22</f>
        <v>1524.8491432428657</v>
      </c>
      <c r="AK48" s="456">
        <v>2033</v>
      </c>
      <c r="AL48" s="459">
        <f t="shared" si="6"/>
        <v>15114.115270363074</v>
      </c>
      <c r="AM48" s="459">
        <f t="shared" si="6"/>
        <v>3441.3545109864722</v>
      </c>
      <c r="AN48" s="459">
        <f t="shared" si="6"/>
        <v>670.26018052421955</v>
      </c>
      <c r="AO48" s="459">
        <f t="shared" si="6"/>
        <v>6260.4202692566487</v>
      </c>
      <c r="AP48" s="459">
        <f t="shared" si="6"/>
        <v>1771.338220617047</v>
      </c>
      <c r="AQ48" s="459">
        <f t="shared" si="6"/>
        <v>607.99235616726287</v>
      </c>
      <c r="AR48" s="459">
        <f t="shared" si="6"/>
        <v>3715.0715106292173</v>
      </c>
      <c r="AS48" s="459">
        <f t="shared" si="6"/>
        <v>1622.5456133393611</v>
      </c>
      <c r="AT48" s="459">
        <f t="shared" si="6"/>
        <v>1334.3471327872176</v>
      </c>
      <c r="AU48" s="459">
        <f t="shared" si="6"/>
        <v>1524.8491432428657</v>
      </c>
      <c r="AW48" s="216">
        <f>(B48/Population_Tables!O22)*Population_Tables!C22</f>
        <v>15114.115270363074</v>
      </c>
      <c r="AX48" s="153" t="str">
        <f t="shared" si="7"/>
        <v>OK</v>
      </c>
      <c r="AY48" s="421">
        <f t="shared" si="4"/>
        <v>12751.36553755165</v>
      </c>
      <c r="AZ48" s="153" t="str">
        <f t="shared" si="5"/>
        <v>OK</v>
      </c>
      <c r="BB48" s="216">
        <f>(C48/Population_Tables!P22)*Population_Tables!D22</f>
        <v>3441.3545109864722</v>
      </c>
      <c r="BC48" s="216">
        <f>(D48/Population_Tables!Q22)*Population_Tables!E22</f>
        <v>670.26018052421955</v>
      </c>
      <c r="BD48" s="216">
        <f>(E48/Population_Tables!R22)*Population_Tables!F22</f>
        <v>6260.4202692566487</v>
      </c>
      <c r="BE48" s="216">
        <f>(F48/Population_Tables!S22)*Population_Tables!G22</f>
        <v>1771.338220617047</v>
      </c>
      <c r="BF48" s="216">
        <f>(G48/Population_Tables!T22)*Population_Tables!H22</f>
        <v>607.99235616726287</v>
      </c>
      <c r="BG48" s="216"/>
      <c r="BN48" s="216"/>
      <c r="BO48" s="216"/>
      <c r="BP48" s="216"/>
    </row>
    <row r="49" spans="1:68" ht="15.6" x14ac:dyDescent="0.3">
      <c r="A49" s="206">
        <v>2034</v>
      </c>
      <c r="B49" s="229">
        <v>14871.384547301004</v>
      </c>
      <c r="C49" s="229">
        <v>3366.4134567711903</v>
      </c>
      <c r="D49" s="229">
        <v>656.9426803093645</v>
      </c>
      <c r="E49" s="229">
        <v>6175.1701415813604</v>
      </c>
      <c r="F49" s="229">
        <v>1762.7141210948505</v>
      </c>
      <c r="G49" s="229">
        <v>593.19966544223735</v>
      </c>
      <c r="H49" s="229">
        <v>3658.2077766897974</v>
      </c>
      <c r="I49" s="229">
        <v>1625.1361107900443</v>
      </c>
      <c r="J49" s="229">
        <v>1304.8975740764297</v>
      </c>
      <c r="K49" s="229">
        <v>1491.5196078866352</v>
      </c>
      <c r="M49" s="206">
        <v>2034</v>
      </c>
      <c r="N49" s="419">
        <f t="shared" si="2"/>
        <v>2708.7996859065315</v>
      </c>
      <c r="O49" s="418">
        <f>(C49/Population_Tables!P23)*Population_Tables!D82</f>
        <v>0</v>
      </c>
      <c r="P49" s="418">
        <f>(D49/Population_Tables!Q23)*Population_Tables!E82</f>
        <v>0</v>
      </c>
      <c r="Q49" s="418">
        <f>((E49-H49)/Population_Tables!R23)*Population_Tables!F82</f>
        <v>1427.3549385885842</v>
      </c>
      <c r="R49" s="418">
        <f>(F49/Population_Tables!S23)*Population_Tables!G82</f>
        <v>1107.2272854082987</v>
      </c>
      <c r="S49" s="418">
        <f>(G49/Population_Tables!T23)*Population_Tables!H82</f>
        <v>174.21746190964882</v>
      </c>
      <c r="T49" s="418">
        <f>(H49/Population_Tables!U23)*Population_Tables!I82</f>
        <v>0</v>
      </c>
      <c r="U49" s="418">
        <f>(I49/Population_Tables!V23)*Population_Tables!J82</f>
        <v>0</v>
      </c>
      <c r="V49" s="418">
        <f>(J49/Population_Tables!W23)*Population_Tables!K82</f>
        <v>0</v>
      </c>
      <c r="W49" s="418">
        <f>(K49/Population_Tables!X23)*Population_Tables!L82</f>
        <v>0</v>
      </c>
      <c r="Y49" s="456">
        <v>2034</v>
      </c>
      <c r="Z49" s="459">
        <f>((B49/Population_Tables!O23)*Population_Tables!C23)-N49</f>
        <v>12691.561661335903</v>
      </c>
      <c r="AA49" s="459">
        <f>((C49/Population_Tables!P23)*Population_Tables!D23)-O49</f>
        <v>3469.8718095117147</v>
      </c>
      <c r="AB49" s="459">
        <f>((D49/Population_Tables!Q23)*Population_Tables!E23)-P49</f>
        <v>676.97111868069521</v>
      </c>
      <c r="AC49" s="459">
        <f>((E49/Population_Tables!R23)*Population_Tables!F23)-Q49</f>
        <v>4974.06978291411</v>
      </c>
      <c r="AD49" s="459">
        <f>((F49/Population_Tables!S23)*Population_Tables!G23)-R49</f>
        <v>715.21914991490848</v>
      </c>
      <c r="AE49" s="459">
        <f>((G49/Population_Tables!T23)*Population_Tables!H23)-S49</f>
        <v>444.54326843881302</v>
      </c>
      <c r="AF49" s="459">
        <f>(H49/Population_Tables!U23)*Population_Tables!I23</f>
        <v>3762.9748608090072</v>
      </c>
      <c r="AG49" s="459">
        <f>(I49/Population_Tables!V23)*Population_Tables!J23</f>
        <v>1686.3718478286007</v>
      </c>
      <c r="AH49" s="459">
        <f>(J49/Population_Tables!W23)*Population_Tables!K23</f>
        <v>1342.5164462450985</v>
      </c>
      <c r="AI49" s="459">
        <f>(K49/Population_Tables!X23)*Population_Tables!L23</f>
        <v>1541.2202057971622</v>
      </c>
      <c r="AK49" s="456">
        <v>2034</v>
      </c>
      <c r="AL49" s="459">
        <f t="shared" si="6"/>
        <v>15400.361347242435</v>
      </c>
      <c r="AM49" s="459">
        <f t="shared" si="6"/>
        <v>3469.8718095117147</v>
      </c>
      <c r="AN49" s="459">
        <f t="shared" si="6"/>
        <v>676.97111868069521</v>
      </c>
      <c r="AO49" s="459">
        <f t="shared" si="6"/>
        <v>6401.4247215026944</v>
      </c>
      <c r="AP49" s="459">
        <f t="shared" si="6"/>
        <v>1822.4464353232072</v>
      </c>
      <c r="AQ49" s="459">
        <f t="shared" si="6"/>
        <v>618.76073034846183</v>
      </c>
      <c r="AR49" s="459">
        <f t="shared" si="6"/>
        <v>3762.9748608090072</v>
      </c>
      <c r="AS49" s="459">
        <f t="shared" si="6"/>
        <v>1686.3718478286007</v>
      </c>
      <c r="AT49" s="459">
        <f t="shared" si="6"/>
        <v>1342.5164462450985</v>
      </c>
      <c r="AU49" s="459">
        <f t="shared" si="6"/>
        <v>1541.2202057971622</v>
      </c>
      <c r="AW49" s="216">
        <f>(B49/Population_Tables!O23)*Population_Tables!C23</f>
        <v>15400.361347242435</v>
      </c>
      <c r="AX49" s="153" t="str">
        <f t="shared" si="7"/>
        <v>OK</v>
      </c>
      <c r="AY49" s="421">
        <f t="shared" si="4"/>
        <v>12989.474815366773</v>
      </c>
      <c r="AZ49" s="153" t="str">
        <f t="shared" si="5"/>
        <v>OK</v>
      </c>
      <c r="BB49" s="216">
        <f>(C49/Population_Tables!P23)*Population_Tables!D23</f>
        <v>3469.8718095117147</v>
      </c>
      <c r="BC49" s="216">
        <f>(D49/Population_Tables!Q23)*Population_Tables!E23</f>
        <v>676.97111868069521</v>
      </c>
      <c r="BD49" s="216">
        <f>(E49/Population_Tables!R23)*Population_Tables!F23</f>
        <v>6401.4247215026944</v>
      </c>
      <c r="BE49" s="216">
        <f>(F49/Population_Tables!S23)*Population_Tables!G23</f>
        <v>1822.4464353232072</v>
      </c>
      <c r="BF49" s="216">
        <f>(G49/Population_Tables!T23)*Population_Tables!H23</f>
        <v>618.76073034846183</v>
      </c>
      <c r="BG49" s="216"/>
      <c r="BN49" s="216"/>
      <c r="BO49" s="216"/>
      <c r="BP49" s="216"/>
    </row>
    <row r="50" spans="1:68" ht="15.6" x14ac:dyDescent="0.3">
      <c r="A50" s="206">
        <v>2035</v>
      </c>
      <c r="B50" s="229">
        <v>15102.749029819483</v>
      </c>
      <c r="C50" s="229">
        <v>3384.32471331139</v>
      </c>
      <c r="D50" s="229">
        <v>661.62795276212796</v>
      </c>
      <c r="E50" s="229">
        <v>6292.0958140206021</v>
      </c>
      <c r="F50" s="229">
        <v>1808.0758957219432</v>
      </c>
      <c r="G50" s="229">
        <v>601.26595342198596</v>
      </c>
      <c r="H50" s="229">
        <v>3694.5740874761059</v>
      </c>
      <c r="I50" s="229">
        <v>1682.8264706538375</v>
      </c>
      <c r="J50" s="229">
        <v>1309.2720863388854</v>
      </c>
      <c r="K50" s="229">
        <v>1502.7371119854874</v>
      </c>
      <c r="M50" s="206">
        <v>2035</v>
      </c>
      <c r="N50" s="419">
        <f t="shared" si="2"/>
        <v>2804.2198704212537</v>
      </c>
      <c r="O50" s="418">
        <f>(C50/Population_Tables!P24)*Population_Tables!D83</f>
        <v>0</v>
      </c>
      <c r="P50" s="418">
        <f>(D50/Population_Tables!Q24)*Population_Tables!E83</f>
        <v>0</v>
      </c>
      <c r="Q50" s="418">
        <f>((E50-H50)/Population_Tables!R24)*Population_Tables!F83</f>
        <v>1484.1435653600092</v>
      </c>
      <c r="R50" s="418">
        <f>(F50/Population_Tables!S24)*Population_Tables!G83</f>
        <v>1142.2328374900246</v>
      </c>
      <c r="S50" s="418">
        <f>(G50/Population_Tables!T24)*Population_Tables!H83</f>
        <v>177.84346757122</v>
      </c>
      <c r="T50" s="418">
        <f>(H50/Population_Tables!U24)*Population_Tables!I83</f>
        <v>0</v>
      </c>
      <c r="U50" s="418">
        <f>(I50/Population_Tables!V24)*Population_Tables!J83</f>
        <v>0</v>
      </c>
      <c r="V50" s="418">
        <f>(J50/Population_Tables!W24)*Population_Tables!K83</f>
        <v>0</v>
      </c>
      <c r="W50" s="418">
        <f>(K50/Population_Tables!X24)*Population_Tables!L83</f>
        <v>0</v>
      </c>
      <c r="Y50" s="456">
        <v>2035</v>
      </c>
      <c r="Z50" s="459">
        <f>((B50/Population_Tables!O24)*Population_Tables!C24)-N50</f>
        <v>12885.729668593574</v>
      </c>
      <c r="AA50" s="459">
        <f>((C50/Population_Tables!P24)*Population_Tables!D24)-O50</f>
        <v>3498.1710118034575</v>
      </c>
      <c r="AB50" s="459">
        <f>((D50/Population_Tables!Q24)*Population_Tables!E24)-P50</f>
        <v>683.75359285854177</v>
      </c>
      <c r="AC50" s="459">
        <f>((E50/Population_Tables!R24)*Population_Tables!F24)-Q50</f>
        <v>5060.1157030839058</v>
      </c>
      <c r="AD50" s="459">
        <f>((F50/Population_Tables!S24)*Population_Tables!G24)-R50</f>
        <v>732.66079469610099</v>
      </c>
      <c r="AE50" s="459">
        <f>((G50/Population_Tables!T24)*Population_Tables!H24)-S50</f>
        <v>451.74389509021728</v>
      </c>
      <c r="AF50" s="459">
        <f>(H50/Population_Tables!U24)*Population_Tables!I24</f>
        <v>3810.4407014853205</v>
      </c>
      <c r="AG50" s="459">
        <f>(I50/Population_Tables!V24)*Population_Tables!J24</f>
        <v>1752.0160180621187</v>
      </c>
      <c r="AH50" s="459">
        <f>(J50/Population_Tables!W24)*Population_Tables!K24</f>
        <v>1350.6141800224873</v>
      </c>
      <c r="AI50" s="459">
        <f>(K50/Population_Tables!X24)*Population_Tables!L24</f>
        <v>1557.5918633421668</v>
      </c>
      <c r="AK50" s="456">
        <v>2035</v>
      </c>
      <c r="AL50" s="459">
        <f t="shared" si="6"/>
        <v>15689.949539014828</v>
      </c>
      <c r="AM50" s="459">
        <f t="shared" si="6"/>
        <v>3498.1710118034575</v>
      </c>
      <c r="AN50" s="459">
        <f t="shared" si="6"/>
        <v>683.75359285854177</v>
      </c>
      <c r="AO50" s="459">
        <f t="shared" si="6"/>
        <v>6544.2592684439151</v>
      </c>
      <c r="AP50" s="459">
        <f t="shared" si="6"/>
        <v>1874.8936321861256</v>
      </c>
      <c r="AQ50" s="459">
        <f t="shared" si="6"/>
        <v>629.58736266143728</v>
      </c>
      <c r="AR50" s="459">
        <f t="shared" si="6"/>
        <v>3810.4407014853205</v>
      </c>
      <c r="AS50" s="459">
        <f t="shared" si="6"/>
        <v>1752.0160180621187</v>
      </c>
      <c r="AT50" s="459">
        <f t="shared" si="6"/>
        <v>1350.6141800224873</v>
      </c>
      <c r="AU50" s="459">
        <f t="shared" si="6"/>
        <v>1557.5918633421668</v>
      </c>
      <c r="AW50" s="216">
        <f>(B50/Population_Tables!O24)*Population_Tables!C24</f>
        <v>15689.949539014828</v>
      </c>
      <c r="AX50" s="153" t="str">
        <f t="shared" si="7"/>
        <v>OK</v>
      </c>
      <c r="AY50" s="421">
        <f t="shared" si="4"/>
        <v>13230.664867953477</v>
      </c>
      <c r="AZ50" s="153" t="str">
        <f t="shared" si="5"/>
        <v>OK</v>
      </c>
      <c r="BB50" s="216">
        <f>(C50/Population_Tables!P24)*Population_Tables!D24</f>
        <v>3498.1710118034575</v>
      </c>
      <c r="BC50" s="216">
        <f>(D50/Population_Tables!Q24)*Population_Tables!E24</f>
        <v>683.75359285854177</v>
      </c>
      <c r="BD50" s="216">
        <f>(E50/Population_Tables!R24)*Population_Tables!F24</f>
        <v>6544.2592684439151</v>
      </c>
      <c r="BE50" s="216">
        <f>(F50/Population_Tables!S24)*Population_Tables!G24</f>
        <v>1874.8936321861256</v>
      </c>
      <c r="BF50" s="216">
        <f>(G50/Population_Tables!T24)*Population_Tables!H24</f>
        <v>629.58736266143728</v>
      </c>
      <c r="BG50" s="216"/>
      <c r="BN50" s="216"/>
      <c r="BO50" s="216"/>
      <c r="BP50" s="216"/>
    </row>
    <row r="51" spans="1:68" ht="15.6" x14ac:dyDescent="0.3">
      <c r="A51" s="206">
        <v>2036</v>
      </c>
      <c r="B51" s="229">
        <v>15336.312137177225</v>
      </c>
      <c r="C51" s="229">
        <v>3401.9690544857372</v>
      </c>
      <c r="D51" s="229">
        <v>666.35030685687218</v>
      </c>
      <c r="E51" s="229">
        <v>6410.1501939327354</v>
      </c>
      <c r="F51" s="229">
        <v>1854.591021614043</v>
      </c>
      <c r="G51" s="229">
        <v>609.33532681133374</v>
      </c>
      <c r="H51" s="229">
        <v>3730.3404627702657</v>
      </c>
      <c r="I51" s="229">
        <v>1741.9806195866427</v>
      </c>
      <c r="J51" s="229">
        <v>1313.5517239288433</v>
      </c>
      <c r="K51" s="229">
        <v>1513.9251908991339</v>
      </c>
      <c r="M51" s="206">
        <v>2036</v>
      </c>
      <c r="N51" s="419">
        <f t="shared" si="2"/>
        <v>2902.1614810597966</v>
      </c>
      <c r="O51" s="418">
        <f>(C51/Population_Tables!P25)*Population_Tables!D84</f>
        <v>0</v>
      </c>
      <c r="P51" s="418">
        <f>(D51/Population_Tables!Q25)*Population_Tables!E84</f>
        <v>0</v>
      </c>
      <c r="Q51" s="418">
        <f>((E51-H51)/Population_Tables!R25)*Population_Tables!F84</f>
        <v>1542.5032133917232</v>
      </c>
      <c r="R51" s="418">
        <f>(F51/Population_Tables!S25)*Population_Tables!G84</f>
        <v>1178.166007741816</v>
      </c>
      <c r="S51" s="418">
        <f>(G51/Population_Tables!T25)*Population_Tables!H84</f>
        <v>181.49225992625722</v>
      </c>
      <c r="T51" s="418">
        <f>(H51/Population_Tables!U25)*Population_Tables!I84</f>
        <v>0</v>
      </c>
      <c r="U51" s="418">
        <f>(I51/Population_Tables!V25)*Population_Tables!J84</f>
        <v>0</v>
      </c>
      <c r="V51" s="418">
        <f>(J51/Population_Tables!W25)*Population_Tables!K84</f>
        <v>0</v>
      </c>
      <c r="W51" s="418">
        <f>(K51/Population_Tables!X25)*Population_Tables!L84</f>
        <v>0</v>
      </c>
      <c r="Y51" s="456">
        <v>2036</v>
      </c>
      <c r="Z51" s="459">
        <f>((B51/Population_Tables!O25)*Population_Tables!C25)-N51</f>
        <v>13080.494683186642</v>
      </c>
      <c r="AA51" s="459">
        <f>((C51/Population_Tables!P25)*Population_Tables!D25)-O51</f>
        <v>3526.1821302671783</v>
      </c>
      <c r="AB51" s="459">
        <f>((D51/Population_Tables!Q25)*Population_Tables!E25)-P51</f>
        <v>690.60428429750959</v>
      </c>
      <c r="AC51" s="459">
        <f>((E51/Population_Tables!R25)*Population_Tables!F25)-Q51</f>
        <v>5146.2960231232728</v>
      </c>
      <c r="AD51" s="459">
        <f>((F51/Population_Tables!S25)*Population_Tables!G25)-R51</f>
        <v>750.53833940081199</v>
      </c>
      <c r="AE51" s="459">
        <f>((G51/Population_Tables!T25)*Population_Tables!H25)-S51</f>
        <v>458.96696105308604</v>
      </c>
      <c r="AF51" s="459">
        <f>(H51/Population_Tables!U25)*Population_Tables!I25</f>
        <v>3857.4290923710851</v>
      </c>
      <c r="AG51" s="459">
        <f>(I51/Population_Tables!V25)*Population_Tables!J25</f>
        <v>1819.440576889551</v>
      </c>
      <c r="AH51" s="459">
        <f>(J51/Population_Tables!W25)*Population_Tables!K25</f>
        <v>1358.6176265024221</v>
      </c>
      <c r="AI51" s="459">
        <f>(K51/Population_Tables!X25)*Population_Tables!L25</f>
        <v>1573.9383134550203</v>
      </c>
      <c r="AK51" s="456">
        <v>2036</v>
      </c>
      <c r="AL51" s="459">
        <f t="shared" si="6"/>
        <v>15982.656164246438</v>
      </c>
      <c r="AM51" s="459">
        <f t="shared" si="6"/>
        <v>3526.1821302671783</v>
      </c>
      <c r="AN51" s="459">
        <f t="shared" si="6"/>
        <v>690.60428429750959</v>
      </c>
      <c r="AO51" s="459">
        <f t="shared" si="6"/>
        <v>6688.7992365149958</v>
      </c>
      <c r="AP51" s="459">
        <f t="shared" si="6"/>
        <v>1928.704347142628</v>
      </c>
      <c r="AQ51" s="459">
        <f t="shared" si="6"/>
        <v>640.45922097934329</v>
      </c>
      <c r="AR51" s="459">
        <f t="shared" si="6"/>
        <v>3857.4290923710851</v>
      </c>
      <c r="AS51" s="459">
        <f t="shared" si="6"/>
        <v>1819.440576889551</v>
      </c>
      <c r="AT51" s="459">
        <f t="shared" si="6"/>
        <v>1358.6176265024221</v>
      </c>
      <c r="AU51" s="459">
        <f t="shared" si="6"/>
        <v>1573.9383134550203</v>
      </c>
      <c r="AW51" s="216">
        <f>(B51/Population_Tables!O25)*Population_Tables!C25</f>
        <v>15982.656164246438</v>
      </c>
      <c r="AX51" s="153" t="str">
        <f t="shared" si="7"/>
        <v>OK</v>
      </c>
      <c r="AY51" s="421">
        <f t="shared" si="4"/>
        <v>13474.749219201654</v>
      </c>
      <c r="AZ51" s="153" t="str">
        <f t="shared" si="5"/>
        <v>OK</v>
      </c>
      <c r="BB51" s="216">
        <f>(C51/Population_Tables!P25)*Population_Tables!D25</f>
        <v>3526.1821302671783</v>
      </c>
      <c r="BC51" s="216">
        <f>(D51/Population_Tables!Q25)*Population_Tables!E25</f>
        <v>690.60428429750959</v>
      </c>
      <c r="BD51" s="216">
        <f>(E51/Population_Tables!R25)*Population_Tables!F25</f>
        <v>6688.7992365149958</v>
      </c>
      <c r="BE51" s="216">
        <f>(F51/Population_Tables!S25)*Population_Tables!G25</f>
        <v>1928.704347142628</v>
      </c>
      <c r="BF51" s="216">
        <f>(G51/Population_Tables!T25)*Population_Tables!H25</f>
        <v>640.45922097934329</v>
      </c>
      <c r="BG51" s="216"/>
      <c r="BN51" s="216"/>
      <c r="BO51" s="216"/>
      <c r="BP51" s="216"/>
    </row>
    <row r="52" spans="1:68" ht="15.6" x14ac:dyDescent="0.3">
      <c r="A52" s="206">
        <v>2037</v>
      </c>
      <c r="B52" s="229">
        <v>15572.086887736801</v>
      </c>
      <c r="C52" s="229">
        <v>3419.3440835606998</v>
      </c>
      <c r="D52" s="229">
        <v>671.11349048866464</v>
      </c>
      <c r="E52" s="229">
        <v>6529.3175867817272</v>
      </c>
      <c r="F52" s="229">
        <v>1902.2945068606014</v>
      </c>
      <c r="G52" s="229">
        <v>617.40703246945714</v>
      </c>
      <c r="H52" s="229">
        <v>3765.5151567707167</v>
      </c>
      <c r="I52" s="229">
        <v>1802.5908673054209</v>
      </c>
      <c r="J52" s="229">
        <v>1317.7369309301287</v>
      </c>
      <c r="K52" s="229">
        <v>1525.0823114633051</v>
      </c>
      <c r="M52" s="206">
        <v>2037</v>
      </c>
      <c r="N52" s="419">
        <f t="shared" si="2"/>
        <v>3002.689132109007</v>
      </c>
      <c r="O52" s="418">
        <f>(C52/Population_Tables!P26)*Population_Tables!D85</f>
        <v>0</v>
      </c>
      <c r="P52" s="418">
        <f>(D52/Population_Tables!Q26)*Population_Tables!E85</f>
        <v>0</v>
      </c>
      <c r="Q52" s="418">
        <f>((E52-H52)/Population_Tables!R26)*Population_Tables!F85</f>
        <v>1602.4513616151078</v>
      </c>
      <c r="R52" s="418">
        <f>(F52/Population_Tables!S26)*Population_Tables!G85</f>
        <v>1215.0718324129869</v>
      </c>
      <c r="S52" s="418">
        <f>(G52/Population_Tables!T26)*Population_Tables!H85</f>
        <v>185.16593808091218</v>
      </c>
      <c r="T52" s="418">
        <f>(H52/Population_Tables!U26)*Population_Tables!I85</f>
        <v>0</v>
      </c>
      <c r="U52" s="418">
        <f>(I52/Population_Tables!V26)*Population_Tables!J85</f>
        <v>0</v>
      </c>
      <c r="V52" s="418">
        <f>(J52/Population_Tables!W26)*Population_Tables!K85</f>
        <v>0</v>
      </c>
      <c r="W52" s="418">
        <f>(K52/Population_Tables!X26)*Population_Tables!L85</f>
        <v>0</v>
      </c>
      <c r="Y52" s="456">
        <v>2037</v>
      </c>
      <c r="Z52" s="459">
        <f>((B52/Population_Tables!O26)*Population_Tables!C26)-N52</f>
        <v>13275.947384277428</v>
      </c>
      <c r="AA52" s="459">
        <f>((C52/Population_Tables!P26)*Population_Tables!D26)-O52</f>
        <v>3553.9077898134251</v>
      </c>
      <c r="AB52" s="459">
        <f>((D52/Population_Tables!Q26)*Population_Tables!E26)-P52</f>
        <v>697.53112818909244</v>
      </c>
      <c r="AC52" s="459">
        <f>((E52/Population_Tables!R26)*Population_Tables!F26)-Q52</f>
        <v>5232.6364383380378</v>
      </c>
      <c r="AD52" s="459">
        <f>((F52/Population_Tables!S26)*Population_Tables!G26)-R52</f>
        <v>768.87469792885008</v>
      </c>
      <c r="AE52" s="459">
        <f>((G52/Population_Tables!T26)*Population_Tables!H26)-S52</f>
        <v>466.21347891379276</v>
      </c>
      <c r="AF52" s="459">
        <f>(H52/Population_Tables!U26)*Population_Tables!I26</f>
        <v>3903.9602304991436</v>
      </c>
      <c r="AG52" s="459">
        <f>(I52/Population_Tables!V26)*Population_Tables!J26</f>
        <v>1888.6622543629146</v>
      </c>
      <c r="AH52" s="459">
        <f>(J52/Population_Tables!W26)*Population_Tables!K26</f>
        <v>1366.5297871690159</v>
      </c>
      <c r="AI52" s="459">
        <f>(K52/Population_Tables!X26)*Population_Tables!L26</f>
        <v>1590.2627672442945</v>
      </c>
      <c r="AK52" s="456">
        <v>2037</v>
      </c>
      <c r="AL52" s="459">
        <f t="shared" si="6"/>
        <v>16278.636516386436</v>
      </c>
      <c r="AM52" s="459">
        <f t="shared" si="6"/>
        <v>3553.9077898134251</v>
      </c>
      <c r="AN52" s="459">
        <f t="shared" si="6"/>
        <v>697.53112818909244</v>
      </c>
      <c r="AO52" s="459">
        <f t="shared" si="6"/>
        <v>6835.0877999531458</v>
      </c>
      <c r="AP52" s="459">
        <f t="shared" si="6"/>
        <v>1983.9465303418369</v>
      </c>
      <c r="AQ52" s="459">
        <f t="shared" si="6"/>
        <v>651.37941699470491</v>
      </c>
      <c r="AR52" s="459">
        <f t="shared" si="6"/>
        <v>3903.9602304991436</v>
      </c>
      <c r="AS52" s="459">
        <f t="shared" si="6"/>
        <v>1888.6622543629146</v>
      </c>
      <c r="AT52" s="459">
        <f t="shared" si="6"/>
        <v>1366.5297871690159</v>
      </c>
      <c r="AU52" s="459">
        <f t="shared" si="6"/>
        <v>1590.2627672442945</v>
      </c>
      <c r="AW52" s="216">
        <f>(B52/Population_Tables!O26)*Population_Tables!C26</f>
        <v>16278.636516386436</v>
      </c>
      <c r="AX52" s="153" t="str">
        <f t="shared" si="7"/>
        <v>OK</v>
      </c>
      <c r="AY52" s="421">
        <f t="shared" si="4"/>
        <v>13721.852665292205</v>
      </c>
      <c r="AZ52" s="153" t="str">
        <f t="shared" si="5"/>
        <v>OK</v>
      </c>
      <c r="BB52" s="216">
        <f>(C52/Population_Tables!P26)*Population_Tables!D26</f>
        <v>3553.9077898134251</v>
      </c>
      <c r="BC52" s="216">
        <f>(D52/Population_Tables!Q26)*Population_Tables!E26</f>
        <v>697.53112818909244</v>
      </c>
      <c r="BD52" s="216">
        <f>(E52/Population_Tables!R26)*Population_Tables!F26</f>
        <v>6835.0877999531458</v>
      </c>
      <c r="BE52" s="216">
        <f>(F52/Population_Tables!S26)*Population_Tables!G26</f>
        <v>1983.9465303418369</v>
      </c>
      <c r="BF52" s="216">
        <f>(G52/Population_Tables!T26)*Population_Tables!H26</f>
        <v>651.37941699470491</v>
      </c>
      <c r="BG52" s="216"/>
      <c r="BN52" s="216"/>
      <c r="BO52" s="216"/>
      <c r="BP52" s="216"/>
    </row>
    <row r="53" spans="1:68" ht="15.6" x14ac:dyDescent="0.3">
      <c r="A53" s="206">
        <v>2038</v>
      </c>
      <c r="B53" s="229">
        <v>15810.087960544573</v>
      </c>
      <c r="C53" s="229">
        <v>3436.4498556340841</v>
      </c>
      <c r="D53" s="229">
        <v>675.92356566433727</v>
      </c>
      <c r="E53" s="229">
        <v>6649.5873146595623</v>
      </c>
      <c r="F53" s="229">
        <v>1951.217749423229</v>
      </c>
      <c r="G53" s="229">
        <v>625.48035446852475</v>
      </c>
      <c r="H53" s="229">
        <v>3800.1015787362439</v>
      </c>
      <c r="I53" s="229">
        <v>1864.6541863667289</v>
      </c>
      <c r="J53" s="229">
        <v>1321.8279977745669</v>
      </c>
      <c r="K53" s="229">
        <v>1536.2045549602567</v>
      </c>
      <c r="M53" s="206">
        <v>2038</v>
      </c>
      <c r="N53" s="419">
        <f t="shared" si="2"/>
        <v>3105.9074127621057</v>
      </c>
      <c r="O53" s="418">
        <f>(C53/Population_Tables!P27)*Population_Tables!D86</f>
        <v>0</v>
      </c>
      <c r="P53" s="418">
        <f>(D53/Population_Tables!Q27)*Population_Tables!E86</f>
        <v>0</v>
      </c>
      <c r="Q53" s="418">
        <f>((E53-H53)/Population_Tables!R27)*Population_Tables!F86</f>
        <v>1664.0316179235845</v>
      </c>
      <c r="R53" s="418">
        <f>(F53/Population_Tables!S27)*Population_Tables!G86</f>
        <v>1253.0061834723601</v>
      </c>
      <c r="S53" s="418">
        <f>(G53/Population_Tables!T27)*Population_Tables!H86</f>
        <v>188.86961136616131</v>
      </c>
      <c r="T53" s="418">
        <f>(H53/Population_Tables!U27)*Population_Tables!I86</f>
        <v>0</v>
      </c>
      <c r="U53" s="418">
        <f>(I53/Population_Tables!V27)*Population_Tables!J86</f>
        <v>0</v>
      </c>
      <c r="V53" s="418">
        <f>(J53/Population_Tables!W27)*Population_Tables!K86</f>
        <v>0</v>
      </c>
      <c r="W53" s="418">
        <f>(K53/Population_Tables!X27)*Population_Tables!L86</f>
        <v>0</v>
      </c>
      <c r="Y53" s="456">
        <v>2038</v>
      </c>
      <c r="Z53" s="459">
        <f>((B53/Population_Tables!O27)*Population_Tables!C27)-N53</f>
        <v>13472.292059940508</v>
      </c>
      <c r="AA53" s="459">
        <f>((C53/Population_Tables!P27)*Population_Tables!D27)-O53</f>
        <v>3581.3799609429998</v>
      </c>
      <c r="AB53" s="459">
        <f>((D53/Population_Tables!Q27)*Population_Tables!E27)-P53</f>
        <v>704.55088313400097</v>
      </c>
      <c r="AC53" s="459">
        <f>((E53/Population_Tables!R27)*Population_Tables!F27)-Q53</f>
        <v>5319.2052501496592</v>
      </c>
      <c r="AD53" s="459">
        <f>((F53/Population_Tables!S27)*Population_Tables!G27)-R53</f>
        <v>787.69623214545391</v>
      </c>
      <c r="AE53" s="459">
        <f>((G53/Population_Tables!T27)*Population_Tables!H27)-S53</f>
        <v>473.49063063180745</v>
      </c>
      <c r="AF53" s="459">
        <f>(H53/Population_Tables!U27)*Population_Tables!I27</f>
        <v>3950.0784188556795</v>
      </c>
      <c r="AG53" s="459">
        <f>(I53/Population_Tables!V27)*Population_Tables!J27</f>
        <v>1959.7162786837832</v>
      </c>
      <c r="AH53" s="459">
        <f>(J53/Population_Tables!W27)*Population_Tables!K27</f>
        <v>1374.3642145507774</v>
      </c>
      <c r="AI53" s="459">
        <f>(K53/Population_Tables!X27)*Population_Tables!L27</f>
        <v>1606.5767582027152</v>
      </c>
      <c r="AK53" s="456">
        <v>2038</v>
      </c>
      <c r="AL53" s="459">
        <f t="shared" si="6"/>
        <v>16578.199472702614</v>
      </c>
      <c r="AM53" s="459">
        <f t="shared" si="6"/>
        <v>3581.3799609429998</v>
      </c>
      <c r="AN53" s="459">
        <f t="shared" si="6"/>
        <v>704.55088313400097</v>
      </c>
      <c r="AO53" s="459">
        <f t="shared" si="6"/>
        <v>6983.2368680732434</v>
      </c>
      <c r="AP53" s="459">
        <f t="shared" si="6"/>
        <v>2040.702415617814</v>
      </c>
      <c r="AQ53" s="459">
        <f t="shared" si="6"/>
        <v>662.36024199796873</v>
      </c>
      <c r="AR53" s="459">
        <f t="shared" si="6"/>
        <v>3950.0784188556795</v>
      </c>
      <c r="AS53" s="459">
        <f t="shared" si="6"/>
        <v>1959.7162786837832</v>
      </c>
      <c r="AT53" s="459">
        <f t="shared" si="6"/>
        <v>1374.3642145507774</v>
      </c>
      <c r="AU53" s="459">
        <f t="shared" si="6"/>
        <v>1606.5767582027152</v>
      </c>
      <c r="AW53" s="216">
        <f>(B53/Population_Tables!O27)*Population_Tables!C27</f>
        <v>16578.199472702614</v>
      </c>
      <c r="AX53" s="153" t="str">
        <f t="shared" si="7"/>
        <v>OK</v>
      </c>
      <c r="AY53" s="421">
        <f t="shared" si="4"/>
        <v>13972.230369766026</v>
      </c>
      <c r="AZ53" s="153" t="str">
        <f t="shared" si="5"/>
        <v>OK</v>
      </c>
      <c r="BB53" s="216">
        <f>(C53/Population_Tables!P27)*Population_Tables!D27</f>
        <v>3581.3799609429998</v>
      </c>
      <c r="BC53" s="216">
        <f>(D53/Population_Tables!Q27)*Population_Tables!E27</f>
        <v>704.55088313400097</v>
      </c>
      <c r="BD53" s="216">
        <f>(E53/Population_Tables!R27)*Population_Tables!F27</f>
        <v>6983.2368680732434</v>
      </c>
      <c r="BE53" s="216">
        <f>(F53/Population_Tables!S27)*Population_Tables!G27</f>
        <v>2040.702415617814</v>
      </c>
      <c r="BF53" s="216">
        <f>(G53/Population_Tables!T27)*Population_Tables!H27</f>
        <v>662.36024199796873</v>
      </c>
      <c r="BG53" s="216"/>
      <c r="BN53" s="216"/>
      <c r="BO53" s="216"/>
      <c r="BP53" s="216"/>
    </row>
    <row r="54" spans="1:68" ht="15.6" x14ac:dyDescent="0.3">
      <c r="A54" s="206">
        <v>2039</v>
      </c>
      <c r="B54" s="229">
        <v>16050.32815840179</v>
      </c>
      <c r="C54" s="229">
        <v>3453.2891925476511</v>
      </c>
      <c r="D54" s="229">
        <v>680.78638065749419</v>
      </c>
      <c r="E54" s="229">
        <v>6770.9514388401258</v>
      </c>
      <c r="F54" s="229">
        <v>2001.3890212500787</v>
      </c>
      <c r="G54" s="229">
        <v>633.55475115558409</v>
      </c>
      <c r="H54" s="229">
        <v>3834.0979002124523</v>
      </c>
      <c r="I54" s="229">
        <v>1928.1706955810851</v>
      </c>
      <c r="J54" s="229">
        <v>1325.8257840477695</v>
      </c>
      <c r="K54" s="229">
        <v>1547.2856650835415</v>
      </c>
      <c r="M54" s="206">
        <v>2039</v>
      </c>
      <c r="N54" s="419">
        <f t="shared" si="2"/>
        <v>3211.9811100583979</v>
      </c>
      <c r="O54" s="418">
        <f>(C54/Population_Tables!P28)*Population_Tables!D87</f>
        <v>0</v>
      </c>
      <c r="P54" s="418">
        <f>(D54/Population_Tables!Q28)*Population_Tables!E87</f>
        <v>0</v>
      </c>
      <c r="Q54" s="418">
        <f>((E54-H54)/Population_Tables!R28)*Population_Tables!F87</f>
        <v>1727.3259997986536</v>
      </c>
      <c r="R54" s="418">
        <f>(F54/Population_Tables!S28)*Population_Tables!G87</f>
        <v>1292.0427191046722</v>
      </c>
      <c r="S54" s="418">
        <f>(G54/Population_Tables!T28)*Population_Tables!H87</f>
        <v>192.61239115507234</v>
      </c>
      <c r="T54" s="418">
        <f>(H54/Population_Tables!U28)*Population_Tables!I87</f>
        <v>0</v>
      </c>
      <c r="U54" s="418">
        <f>(I54/Population_Tables!V28)*Population_Tables!J87</f>
        <v>0</v>
      </c>
      <c r="V54" s="418">
        <f>(J54/Population_Tables!W28)*Population_Tables!K87</f>
        <v>0</v>
      </c>
      <c r="W54" s="418">
        <f>(K54/Population_Tables!X28)*Population_Tables!L87</f>
        <v>0</v>
      </c>
      <c r="Y54" s="456">
        <v>2039</v>
      </c>
      <c r="Z54" s="459">
        <f>((B54/Population_Tables!O28)*Population_Tables!C28)-N54</f>
        <v>13669.878757574414</v>
      </c>
      <c r="AA54" s="459">
        <f>((C54/Population_Tables!P28)*Population_Tables!D28)-O54</f>
        <v>3608.6693570260059</v>
      </c>
      <c r="AB54" s="459">
        <f>((D54/Population_Tables!Q28)*Population_Tables!E28)-P54</f>
        <v>711.68826757912268</v>
      </c>
      <c r="AC54" s="459">
        <f>((E54/Population_Tables!R28)*Population_Tables!F28)-Q54</f>
        <v>5406.1297771254685</v>
      </c>
      <c r="AD54" s="459">
        <f>((F54/Population_Tables!S28)*Population_Tables!G28)-R54</f>
        <v>807.03357293453541</v>
      </c>
      <c r="AE54" s="459">
        <f>((G54/Population_Tables!T28)*Population_Tables!H28)-S54</f>
        <v>480.81059787330946</v>
      </c>
      <c r="AF54" s="459">
        <f>(H54/Population_Tables!U28)*Population_Tables!I28</f>
        <v>3995.8625055670291</v>
      </c>
      <c r="AG54" s="459">
        <f>(I54/Population_Tables!V28)*Population_Tables!J28</f>
        <v>2032.670996774174</v>
      </c>
      <c r="AH54" s="459">
        <f>(J54/Population_Tables!W28)*Population_Tables!K28</f>
        <v>1382.1488035729167</v>
      </c>
      <c r="AI54" s="459">
        <f>(K54/Population_Tables!X28)*Population_Tables!L28</f>
        <v>1622.9066031904674</v>
      </c>
      <c r="AK54" s="456">
        <v>2039</v>
      </c>
      <c r="AL54" s="459">
        <f t="shared" si="6"/>
        <v>16881.859867632811</v>
      </c>
      <c r="AM54" s="459">
        <f t="shared" si="6"/>
        <v>3608.6693570260059</v>
      </c>
      <c r="AN54" s="459">
        <f t="shared" si="6"/>
        <v>711.68826757912268</v>
      </c>
      <c r="AO54" s="459">
        <f t="shared" si="6"/>
        <v>7133.4557769241219</v>
      </c>
      <c r="AP54" s="459">
        <f t="shared" si="6"/>
        <v>2099.0762920392076</v>
      </c>
      <c r="AQ54" s="459">
        <f t="shared" si="6"/>
        <v>673.42298902838183</v>
      </c>
      <c r="AR54" s="459">
        <f t="shared" si="6"/>
        <v>3995.8625055670291</v>
      </c>
      <c r="AS54" s="459">
        <f t="shared" si="6"/>
        <v>2032.670996774174</v>
      </c>
      <c r="AT54" s="459">
        <f t="shared" si="6"/>
        <v>1382.1488035729167</v>
      </c>
      <c r="AU54" s="459">
        <f t="shared" si="6"/>
        <v>1622.9066031904674</v>
      </c>
      <c r="AW54" s="216">
        <f>(B54/Population_Tables!O28)*Population_Tables!C28</f>
        <v>16881.859867632811</v>
      </c>
      <c r="AX54" s="153" t="str">
        <f t="shared" si="7"/>
        <v>OK</v>
      </c>
      <c r="AY54" s="421">
        <f t="shared" si="4"/>
        <v>14226.312682596841</v>
      </c>
      <c r="AZ54" s="153" t="str">
        <f t="shared" si="5"/>
        <v>OK</v>
      </c>
      <c r="BB54" s="216">
        <f>(C54/Population_Tables!P28)*Population_Tables!D28</f>
        <v>3608.6693570260059</v>
      </c>
      <c r="BC54" s="216">
        <f>(D54/Population_Tables!Q28)*Population_Tables!E28</f>
        <v>711.68826757912268</v>
      </c>
      <c r="BD54" s="216">
        <f>(E54/Population_Tables!R28)*Population_Tables!F28</f>
        <v>7133.4557769241219</v>
      </c>
      <c r="BE54" s="216">
        <f>(F54/Population_Tables!S28)*Population_Tables!G28</f>
        <v>2099.0762920392076</v>
      </c>
      <c r="BF54" s="216">
        <f>(G54/Population_Tables!T28)*Population_Tables!H28</f>
        <v>673.42298902838183</v>
      </c>
      <c r="BG54" s="216"/>
      <c r="BN54" s="216"/>
      <c r="BO54" s="216"/>
      <c r="BP54" s="216"/>
    </row>
    <row r="55" spans="1:68" ht="15.6" x14ac:dyDescent="0.3">
      <c r="A55" s="206">
        <v>2040</v>
      </c>
      <c r="B55" s="229">
        <v>16286.295058841253</v>
      </c>
      <c r="C55" s="229">
        <v>3469.8626585698557</v>
      </c>
      <c r="D55" s="229">
        <v>686.23699906113927</v>
      </c>
      <c r="E55" s="229">
        <v>6889.2583016495464</v>
      </c>
      <c r="F55" s="229">
        <v>2053.730236895829</v>
      </c>
      <c r="G55" s="229">
        <v>641.63360827958763</v>
      </c>
      <c r="H55" s="229">
        <v>3863.8475036532441</v>
      </c>
      <c r="I55" s="229">
        <v>1994.1939398847849</v>
      </c>
      <c r="J55" s="229">
        <v>1329.7119059009494</v>
      </c>
      <c r="K55" s="229">
        <v>1558.4740097507215</v>
      </c>
      <c r="M55" s="206">
        <v>2040</v>
      </c>
      <c r="N55" s="419">
        <f t="shared" si="2"/>
        <v>3321.3565965677685</v>
      </c>
      <c r="O55" s="418">
        <f>(C55/Population_Tables!P29)*Population_Tables!D88</f>
        <v>0</v>
      </c>
      <c r="P55" s="418">
        <f>(D55/Population_Tables!Q29)*Population_Tables!E88</f>
        <v>0</v>
      </c>
      <c r="Q55" s="418">
        <f>((E55-H55)/Population_Tables!R29)*Population_Tables!F88</f>
        <v>1792.1247769354543</v>
      </c>
      <c r="R55" s="418">
        <f>(F55/Population_Tables!S29)*Population_Tables!G88</f>
        <v>1332.8285612299924</v>
      </c>
      <c r="S55" s="418">
        <f>(G55/Population_Tables!T29)*Population_Tables!H88</f>
        <v>196.40325840232214</v>
      </c>
      <c r="T55" s="418">
        <f>(H55/Population_Tables!U29)*Population_Tables!I88</f>
        <v>0</v>
      </c>
      <c r="U55" s="418">
        <f>(I55/Population_Tables!V29)*Population_Tables!J88</f>
        <v>0</v>
      </c>
      <c r="V55" s="418">
        <f>(J55/Population_Tables!W29)*Population_Tables!K88</f>
        <v>0</v>
      </c>
      <c r="W55" s="418">
        <f>(K55/Population_Tables!X29)*Population_Tables!L88</f>
        <v>0</v>
      </c>
      <c r="Y55" s="456">
        <v>2040</v>
      </c>
      <c r="Z55" s="459">
        <f>((B55/Population_Tables!O29)*Population_Tables!C29)-N55</f>
        <v>13861.826551147229</v>
      </c>
      <c r="AA55" s="459">
        <f>((C55/Population_Tables!P29)*Population_Tables!D29)-O55</f>
        <v>3635.8303545032709</v>
      </c>
      <c r="AB55" s="459">
        <f>((D55/Population_Tables!Q29)*Population_Tables!E29)-P55</f>
        <v>719.51973287181306</v>
      </c>
      <c r="AC55" s="459">
        <f>((E55/Population_Tables!R29)*Population_Tables!F29)-Q55</f>
        <v>5489.4285823260716</v>
      </c>
      <c r="AD55" s="459">
        <f>((F55/Population_Tables!S29)*Population_Tables!G29)-R55</f>
        <v>827.27530416146692</v>
      </c>
      <c r="AE55" s="459">
        <f>((G55/Population_Tables!T29)*Population_Tables!H29)-S55</f>
        <v>488.18693983667919</v>
      </c>
      <c r="AF55" s="459">
        <f>(H55/Population_Tables!U29)*Population_Tables!I29</f>
        <v>4037.5606217236054</v>
      </c>
      <c r="AG55" s="459">
        <f>(I55/Population_Tables!V29)*Population_Tables!J29</f>
        <v>2108.707966938543</v>
      </c>
      <c r="AH55" s="459">
        <f>(J55/Population_Tables!W29)*Population_Tables!K29</f>
        <v>1389.885464585979</v>
      </c>
      <c r="AI55" s="459">
        <f>(K55/Population_Tables!X29)*Population_Tables!L29</f>
        <v>1639.4352861637039</v>
      </c>
      <c r="AK55" s="456">
        <v>2040</v>
      </c>
      <c r="AL55" s="459">
        <f t="shared" si="6"/>
        <v>17183.183147714997</v>
      </c>
      <c r="AM55" s="459">
        <f t="shared" si="6"/>
        <v>3635.8303545032709</v>
      </c>
      <c r="AN55" s="459">
        <f t="shared" si="6"/>
        <v>719.51973287181306</v>
      </c>
      <c r="AO55" s="459">
        <f t="shared" si="6"/>
        <v>7281.5533592615257</v>
      </c>
      <c r="AP55" s="459">
        <f t="shared" si="6"/>
        <v>2160.1038653914593</v>
      </c>
      <c r="AQ55" s="459">
        <f t="shared" si="6"/>
        <v>684.59019823900132</v>
      </c>
      <c r="AR55" s="459">
        <f t="shared" si="6"/>
        <v>4037.5606217236054</v>
      </c>
      <c r="AS55" s="459">
        <f t="shared" si="6"/>
        <v>2108.707966938543</v>
      </c>
      <c r="AT55" s="459">
        <f t="shared" si="6"/>
        <v>1389.885464585979</v>
      </c>
      <c r="AU55" s="459">
        <f t="shared" si="6"/>
        <v>1639.4352861637039</v>
      </c>
      <c r="AW55" s="216">
        <f>(B55/Population_Tables!O29)*Population_Tables!C29</f>
        <v>17183.183147714997</v>
      </c>
      <c r="AX55" s="153" t="str">
        <f t="shared" si="7"/>
        <v>OK</v>
      </c>
      <c r="AY55" s="421">
        <f t="shared" si="4"/>
        <v>14481.597510267069</v>
      </c>
      <c r="AZ55" s="153" t="str">
        <f t="shared" si="5"/>
        <v>OK</v>
      </c>
      <c r="BB55" s="216">
        <f>(C55/Population_Tables!P29)*Population_Tables!D29</f>
        <v>3635.8303545032709</v>
      </c>
      <c r="BC55" s="216">
        <f>(D55/Population_Tables!Q29)*Population_Tables!E29</f>
        <v>719.51973287181306</v>
      </c>
      <c r="BD55" s="216">
        <f>(E55/Population_Tables!R29)*Population_Tables!F29</f>
        <v>7281.5533592615257</v>
      </c>
      <c r="BE55" s="216">
        <f>(F55/Population_Tables!S29)*Population_Tables!G29</f>
        <v>2160.1038653914593</v>
      </c>
      <c r="BF55" s="216">
        <f>(G55/Population_Tables!T29)*Population_Tables!H29</f>
        <v>684.59019823900132</v>
      </c>
      <c r="BG55" s="216"/>
      <c r="BN55" s="216"/>
      <c r="BO55" s="216"/>
      <c r="BP55" s="216"/>
    </row>
    <row r="56" spans="1:68" ht="15.6" x14ac:dyDescent="0.3">
      <c r="A56" s="206">
        <v>2041</v>
      </c>
      <c r="B56" s="229">
        <v>16537.563956506514</v>
      </c>
      <c r="C56" s="229">
        <v>3486.1734847954349</v>
      </c>
      <c r="D56" s="229">
        <v>690.68833202153235</v>
      </c>
      <c r="E56" s="229">
        <v>7016.9088614534667</v>
      </c>
      <c r="F56" s="229">
        <v>2105.6006410481805</v>
      </c>
      <c r="G56" s="229">
        <v>649.70382736860643</v>
      </c>
      <c r="H56" s="229">
        <v>3900.3177647315424</v>
      </c>
      <c r="I56" s="229">
        <v>2059.5513187594211</v>
      </c>
      <c r="J56" s="229">
        <v>1333.5432010100542</v>
      </c>
      <c r="K56" s="229">
        <v>1569.3133653333136</v>
      </c>
      <c r="M56" s="206">
        <v>2041</v>
      </c>
      <c r="N56" s="419">
        <f t="shared" si="2"/>
        <v>3433.2288196975078</v>
      </c>
      <c r="O56" s="418">
        <f>(C56/Population_Tables!P30)*Population_Tables!D89</f>
        <v>0</v>
      </c>
      <c r="P56" s="418">
        <f>(D56/Population_Tables!Q30)*Population_Tables!E89</f>
        <v>0</v>
      </c>
      <c r="Q56" s="418">
        <f>((E56-H56)/Population_Tables!R30)*Population_Tables!F89</f>
        <v>1859.3183559983038</v>
      </c>
      <c r="R56" s="418">
        <f>(F56/Population_Tables!S30)*Population_Tables!G89</f>
        <v>1373.6703937318944</v>
      </c>
      <c r="S56" s="418">
        <f>(G56/Population_Tables!T30)*Population_Tables!H89</f>
        <v>200.24006996730981</v>
      </c>
      <c r="T56" s="418">
        <f>(H56/Population_Tables!U30)*Population_Tables!I89</f>
        <v>0</v>
      </c>
      <c r="U56" s="418">
        <f>(I56/Population_Tables!V30)*Population_Tables!J89</f>
        <v>0</v>
      </c>
      <c r="V56" s="418">
        <f>(J56/Population_Tables!W30)*Population_Tables!K89</f>
        <v>0</v>
      </c>
      <c r="W56" s="418">
        <f>(K56/Population_Tables!X30)*Population_Tables!L89</f>
        <v>0</v>
      </c>
      <c r="Y56" s="456">
        <v>2041</v>
      </c>
      <c r="Z56" s="459">
        <f>((B56/Population_Tables!O30)*Population_Tables!C30)-N56</f>
        <v>14069.733268790782</v>
      </c>
      <c r="AA56" s="459">
        <f>((C56/Population_Tables!P30)*Population_Tables!D30)-O56</f>
        <v>3662.8763578757284</v>
      </c>
      <c r="AB56" s="459">
        <f>((D56/Population_Tables!Q30)*Population_Tables!E30)-P56</f>
        <v>726.38569144250221</v>
      </c>
      <c r="AC56" s="459">
        <f>((E56/Population_Tables!R30)*Population_Tables!F30)-Q56</f>
        <v>5581.3870000512161</v>
      </c>
      <c r="AD56" s="459">
        <f>((F56/Population_Tables!S30)*Population_Tables!G30)-R56</f>
        <v>847.36611415582138</v>
      </c>
      <c r="AE56" s="459">
        <f>((G56/Population_Tables!T30)*Population_Tables!H30)-S56</f>
        <v>495.61309820675245</v>
      </c>
      <c r="AF56" s="459">
        <f>(H56/Population_Tables!U30)*Population_Tables!I30</f>
        <v>4086.6452324300976</v>
      </c>
      <c r="AG56" s="459">
        <f>(I56/Population_Tables!V30)*Population_Tables!J30</f>
        <v>2184.5040094897299</v>
      </c>
      <c r="AH56" s="459">
        <f>(J56/Population_Tables!W30)*Population_Tables!K30</f>
        <v>1397.6379091070694</v>
      </c>
      <c r="AI56" s="459">
        <f>(K56/Population_Tables!X30)*Population_Tables!L30</f>
        <v>1655.6879498621176</v>
      </c>
      <c r="AK56" s="456">
        <v>2041</v>
      </c>
      <c r="AL56" s="459">
        <f t="shared" si="6"/>
        <v>17502.96208848829</v>
      </c>
      <c r="AM56" s="459">
        <f t="shared" si="6"/>
        <v>3662.8763578757284</v>
      </c>
      <c r="AN56" s="459">
        <f t="shared" si="6"/>
        <v>726.38569144250221</v>
      </c>
      <c r="AO56" s="459">
        <f t="shared" si="6"/>
        <v>7440.7053560495197</v>
      </c>
      <c r="AP56" s="459">
        <f t="shared" si="6"/>
        <v>2221.0365078877157</v>
      </c>
      <c r="AQ56" s="459">
        <f t="shared" si="6"/>
        <v>695.85316817406226</v>
      </c>
      <c r="AR56" s="459">
        <f t="shared" si="6"/>
        <v>4086.6452324300976</v>
      </c>
      <c r="AS56" s="459">
        <f t="shared" si="6"/>
        <v>2184.5040094897299</v>
      </c>
      <c r="AT56" s="459">
        <f t="shared" si="6"/>
        <v>1397.6379091070694</v>
      </c>
      <c r="AU56" s="459">
        <f t="shared" si="6"/>
        <v>1655.6879498621176</v>
      </c>
      <c r="AW56" s="216">
        <f>(B56/Population_Tables!O30)*Population_Tables!C30</f>
        <v>17502.96208848829</v>
      </c>
      <c r="AX56" s="153" t="str">
        <f t="shared" si="7"/>
        <v>OK</v>
      </c>
      <c r="AY56" s="421">
        <f t="shared" si="4"/>
        <v>14746.857081429529</v>
      </c>
      <c r="AZ56" s="153" t="str">
        <f t="shared" si="5"/>
        <v>OK</v>
      </c>
      <c r="BB56" s="216">
        <f>(C56/Population_Tables!P30)*Population_Tables!D30</f>
        <v>3662.8763578757284</v>
      </c>
      <c r="BC56" s="216">
        <f>(D56/Population_Tables!Q30)*Population_Tables!E30</f>
        <v>726.38569144250221</v>
      </c>
      <c r="BD56" s="216">
        <f>(E56/Population_Tables!R30)*Population_Tables!F30</f>
        <v>7440.7053560495197</v>
      </c>
      <c r="BE56" s="216">
        <f>(F56/Population_Tables!S30)*Population_Tables!G30</f>
        <v>2221.0365078877157</v>
      </c>
      <c r="BF56" s="216">
        <f>(G56/Population_Tables!T30)*Population_Tables!H30</f>
        <v>695.85316817406226</v>
      </c>
      <c r="BG56" s="216"/>
      <c r="BN56" s="216"/>
      <c r="BO56" s="216"/>
      <c r="BP56" s="216"/>
    </row>
    <row r="57" spans="1:68" ht="15.6" x14ac:dyDescent="0.3">
      <c r="A57" s="206">
        <v>2042</v>
      </c>
      <c r="B57" s="229">
        <v>16784.571630574461</v>
      </c>
      <c r="C57" s="229">
        <v>3502.215212343368</v>
      </c>
      <c r="D57" s="229">
        <v>695.7334016258709</v>
      </c>
      <c r="E57" s="229">
        <v>7141.4589945789521</v>
      </c>
      <c r="F57" s="229">
        <v>2159.7129926494817</v>
      </c>
      <c r="G57" s="229">
        <v>657.77636065947274</v>
      </c>
      <c r="H57" s="229">
        <v>3932.5463489670519</v>
      </c>
      <c r="I57" s="229">
        <v>2127.3991687501648</v>
      </c>
      <c r="J57" s="229">
        <v>1337.262435549145</v>
      </c>
      <c r="K57" s="229">
        <v>1580.2645720177329</v>
      </c>
      <c r="M57" s="206">
        <v>2042</v>
      </c>
      <c r="N57" s="419">
        <f t="shared" si="2"/>
        <v>3548.5353500347301</v>
      </c>
      <c r="O57" s="418">
        <f>(C57/Population_Tables!P31)*Population_Tables!D90</f>
        <v>0</v>
      </c>
      <c r="P57" s="418">
        <f>(D57/Population_Tables!Q31)*Population_Tables!E90</f>
        <v>0</v>
      </c>
      <c r="Q57" s="418">
        <f>((E57-H57)/Population_Tables!R31)*Population_Tables!F90</f>
        <v>1928.066822747561</v>
      </c>
      <c r="R57" s="418">
        <f>(F57/Population_Tables!S31)*Population_Tables!G90</f>
        <v>1416.3423733234893</v>
      </c>
      <c r="S57" s="418">
        <f>(G57/Population_Tables!T31)*Population_Tables!H90</f>
        <v>204.12615396367963</v>
      </c>
      <c r="T57" s="418">
        <f>(H57/Population_Tables!U31)*Population_Tables!I90</f>
        <v>0</v>
      </c>
      <c r="U57" s="418">
        <f>(I57/Population_Tables!V31)*Population_Tables!J90</f>
        <v>0</v>
      </c>
      <c r="V57" s="418">
        <f>(J57/Population_Tables!W31)*Population_Tables!K90</f>
        <v>0</v>
      </c>
      <c r="W57" s="418">
        <f>(K57/Population_Tables!X31)*Population_Tables!L90</f>
        <v>0</v>
      </c>
      <c r="Y57" s="456">
        <v>2042</v>
      </c>
      <c r="Z57" s="459">
        <f>((B57/Population_Tables!O31)*Population_Tables!C31)-N57</f>
        <v>14272.084238897693</v>
      </c>
      <c r="AA57" s="459">
        <f>((C57/Population_Tables!P31)*Population_Tables!D31)-O57</f>
        <v>3689.7892226094241</v>
      </c>
      <c r="AB57" s="459">
        <f>((D57/Population_Tables!Q31)*Population_Tables!E31)-P57</f>
        <v>733.95650519574519</v>
      </c>
      <c r="AC57" s="459">
        <f>((E57/Population_Tables!R31)*Population_Tables!F31)-Q57</f>
        <v>5669.7364869663197</v>
      </c>
      <c r="AD57" s="459">
        <f>((F57/Population_Tables!S31)*Population_Tables!G31)-R57</f>
        <v>868.404416104642</v>
      </c>
      <c r="AE57" s="459">
        <f>((G57/Population_Tables!T31)*Population_Tables!H31)-S57</f>
        <v>503.09795422842853</v>
      </c>
      <c r="AF57" s="459">
        <f>(H57/Population_Tables!U31)*Population_Tables!I31</f>
        <v>4131.6584176428833</v>
      </c>
      <c r="AG57" s="459">
        <f>(I57/Population_Tables!V31)*Population_Tables!J31</f>
        <v>2263.4289103113279</v>
      </c>
      <c r="AH57" s="459">
        <f>(J57/Population_Tables!W31)*Population_Tables!K31</f>
        <v>1405.3418926194925</v>
      </c>
      <c r="AI57" s="459">
        <f>(K57/Population_Tables!X31)*Population_Tables!L31</f>
        <v>1672.146012794409</v>
      </c>
      <c r="AK57" s="456">
        <v>2042</v>
      </c>
      <c r="AL57" s="459">
        <f t="shared" si="6"/>
        <v>17820.619588932423</v>
      </c>
      <c r="AM57" s="459">
        <f t="shared" si="6"/>
        <v>3689.7892226094241</v>
      </c>
      <c r="AN57" s="459">
        <f t="shared" si="6"/>
        <v>733.95650519574519</v>
      </c>
      <c r="AO57" s="459">
        <f t="shared" si="6"/>
        <v>7597.8033097138805</v>
      </c>
      <c r="AP57" s="459">
        <f t="shared" si="6"/>
        <v>2284.7467894281313</v>
      </c>
      <c r="AQ57" s="459">
        <f t="shared" si="6"/>
        <v>707.22410819210813</v>
      </c>
      <c r="AR57" s="459">
        <f t="shared" si="6"/>
        <v>4131.6584176428833</v>
      </c>
      <c r="AS57" s="459">
        <f t="shared" si="6"/>
        <v>2263.4289103113279</v>
      </c>
      <c r="AT57" s="459">
        <f t="shared" si="6"/>
        <v>1405.3418926194925</v>
      </c>
      <c r="AU57" s="459">
        <f t="shared" si="6"/>
        <v>1672.146012794409</v>
      </c>
      <c r="AW57" s="216">
        <f>(B57/Population_Tables!O31)*Population_Tables!C31</f>
        <v>17820.619588932423</v>
      </c>
      <c r="AX57" s="153" t="str">
        <f t="shared" si="7"/>
        <v>OK</v>
      </c>
      <c r="AY57" s="421">
        <f t="shared" si="4"/>
        <v>15013.519935139288</v>
      </c>
      <c r="AZ57" s="153" t="str">
        <f t="shared" si="5"/>
        <v>OK</v>
      </c>
      <c r="BB57" s="216">
        <f>(C57/Population_Tables!P31)*Population_Tables!D31</f>
        <v>3689.7892226094241</v>
      </c>
      <c r="BC57" s="216">
        <f>(D57/Population_Tables!Q31)*Population_Tables!E31</f>
        <v>733.95650519574519</v>
      </c>
      <c r="BD57" s="216">
        <f>(E57/Population_Tables!R31)*Population_Tables!F31</f>
        <v>7597.8033097138805</v>
      </c>
      <c r="BE57" s="216">
        <f>(F57/Population_Tables!S31)*Population_Tables!G31</f>
        <v>2284.7467894281313</v>
      </c>
      <c r="BF57" s="216">
        <f>(G57/Population_Tables!T31)*Population_Tables!H31</f>
        <v>707.22410819210813</v>
      </c>
      <c r="BG57" s="216"/>
      <c r="BN57" s="216"/>
      <c r="BO57" s="216"/>
      <c r="BP57" s="216"/>
    </row>
    <row r="58" spans="1:68" ht="15.6" x14ac:dyDescent="0.3">
      <c r="A58" s="206">
        <v>2043</v>
      </c>
      <c r="B58" s="229">
        <v>17033.832131797768</v>
      </c>
      <c r="C58" s="229">
        <v>3517.98485782631</v>
      </c>
      <c r="D58" s="229">
        <v>700.84168508846506</v>
      </c>
      <c r="E58" s="229">
        <v>7267.0188106202886</v>
      </c>
      <c r="F58" s="229">
        <v>2215.2084297727633</v>
      </c>
      <c r="G58" s="229">
        <v>665.84655139807239</v>
      </c>
      <c r="H58" s="229">
        <v>3964.1929939905194</v>
      </c>
      <c r="I58" s="229">
        <v>2196.6715744658463</v>
      </c>
      <c r="J58" s="229">
        <v>1340.8856363958328</v>
      </c>
      <c r="K58" s="229">
        <v>1591.181322142033</v>
      </c>
      <c r="M58" s="206">
        <v>2043</v>
      </c>
      <c r="N58" s="419">
        <f t="shared" si="2"/>
        <v>3667.1160063215634</v>
      </c>
      <c r="O58" s="418">
        <f>(C58/Population_Tables!P32)*Population_Tables!D91</f>
        <v>0</v>
      </c>
      <c r="P58" s="418">
        <f>(D58/Population_Tables!Q32)*Population_Tables!E91</f>
        <v>0</v>
      </c>
      <c r="Q58" s="418">
        <f>((E58-H58)/Population_Tables!R32)*Population_Tables!F91</f>
        <v>1998.7262101838685</v>
      </c>
      <c r="R58" s="418">
        <f>(F58/Population_Tables!S32)*Population_Tables!G91</f>
        <v>1460.3254849920631</v>
      </c>
      <c r="S58" s="418">
        <f>(G58/Population_Tables!T32)*Population_Tables!H91</f>
        <v>208.06431114563142</v>
      </c>
      <c r="T58" s="418">
        <f>(H58/Population_Tables!U32)*Population_Tables!I91</f>
        <v>0</v>
      </c>
      <c r="U58" s="418">
        <f>(I58/Population_Tables!V32)*Population_Tables!J91</f>
        <v>0</v>
      </c>
      <c r="V58" s="418">
        <f>(J58/Population_Tables!W32)*Population_Tables!K91</f>
        <v>0</v>
      </c>
      <c r="W58" s="418">
        <f>(K58/Population_Tables!X32)*Population_Tables!L91</f>
        <v>0</v>
      </c>
      <c r="Y58" s="456">
        <v>2043</v>
      </c>
      <c r="Z58" s="459">
        <f>((B58/Population_Tables!O32)*Population_Tables!C32)-N58</f>
        <v>14476.22591460376</v>
      </c>
      <c r="AA58" s="459">
        <f>((C58/Population_Tables!P32)*Population_Tables!D32)-O58</f>
        <v>3716.5837814224824</v>
      </c>
      <c r="AB58" s="459">
        <f>((D58/Population_Tables!Q32)*Population_Tables!E32)-P58</f>
        <v>741.68278041184578</v>
      </c>
      <c r="AC58" s="459">
        <f>((E58/Population_Tables!R32)*Population_Tables!F32)-Q58</f>
        <v>5758.6332882032693</v>
      </c>
      <c r="AD58" s="459">
        <f>((F58/Population_Tables!S32)*Population_Tables!G32)-R58</f>
        <v>890.05644419940427</v>
      </c>
      <c r="AE58" s="459">
        <f>((G58/Population_Tables!T32)*Population_Tables!H32)-S58</f>
        <v>510.64336249584358</v>
      </c>
      <c r="AF58" s="459">
        <f>(H58/Population_Tables!U32)*Population_Tables!I32</f>
        <v>4176.4708491912952</v>
      </c>
      <c r="AG58" s="459">
        <f>(I58/Population_Tables!V32)*Population_Tables!J32</f>
        <v>2344.4371878522365</v>
      </c>
      <c r="AH58" s="459">
        <f>(J58/Population_Tables!W32)*Population_Tables!K32</f>
        <v>1413.0201935386142</v>
      </c>
      <c r="AI58" s="459">
        <f>(K58/Population_Tables!X32)*Population_Tables!L32</f>
        <v>1688.6672932476076</v>
      </c>
      <c r="AK58" s="456">
        <v>2043</v>
      </c>
      <c r="AL58" s="459">
        <f t="shared" si="6"/>
        <v>18143.341920925322</v>
      </c>
      <c r="AM58" s="459">
        <f t="shared" si="6"/>
        <v>3716.5837814224824</v>
      </c>
      <c r="AN58" s="459">
        <f t="shared" si="6"/>
        <v>741.68278041184578</v>
      </c>
      <c r="AO58" s="459">
        <f t="shared" si="6"/>
        <v>7757.359498387138</v>
      </c>
      <c r="AP58" s="459">
        <f t="shared" si="6"/>
        <v>2350.3819291914674</v>
      </c>
      <c r="AQ58" s="459">
        <f t="shared" si="6"/>
        <v>718.70767364147503</v>
      </c>
      <c r="AR58" s="459">
        <f t="shared" si="6"/>
        <v>4176.4708491912952</v>
      </c>
      <c r="AS58" s="459">
        <f t="shared" si="6"/>
        <v>2344.4371878522365</v>
      </c>
      <c r="AT58" s="459">
        <f t="shared" si="6"/>
        <v>1413.0201935386142</v>
      </c>
      <c r="AU58" s="459">
        <f t="shared" si="6"/>
        <v>1688.6672932476076</v>
      </c>
      <c r="AW58" s="216">
        <f>(B58/Population_Tables!O32)*Population_Tables!C32</f>
        <v>18143.341920925322</v>
      </c>
      <c r="AX58" s="153" t="str">
        <f t="shared" si="7"/>
        <v>OK</v>
      </c>
      <c r="AY58" s="421">
        <f t="shared" si="4"/>
        <v>15284.715663054409</v>
      </c>
      <c r="AZ58" s="153" t="str">
        <f t="shared" si="5"/>
        <v>OK</v>
      </c>
      <c r="BB58" s="216">
        <f>(C58/Population_Tables!P32)*Population_Tables!D32</f>
        <v>3716.5837814224824</v>
      </c>
      <c r="BC58" s="216">
        <f>(D58/Population_Tables!Q32)*Population_Tables!E32</f>
        <v>741.68278041184578</v>
      </c>
      <c r="BD58" s="216">
        <f>(E58/Population_Tables!R32)*Population_Tables!F32</f>
        <v>7757.359498387138</v>
      </c>
      <c r="BE58" s="216">
        <f>(F58/Population_Tables!S32)*Population_Tables!G32</f>
        <v>2350.3819291914674</v>
      </c>
      <c r="BF58" s="216">
        <f>(G58/Population_Tables!T32)*Population_Tables!H32</f>
        <v>718.70767364147503</v>
      </c>
      <c r="BG58" s="216"/>
      <c r="BN58" s="216"/>
      <c r="BO58" s="216"/>
      <c r="BP58" s="216"/>
    </row>
    <row r="59" spans="1:68" ht="15.6" x14ac:dyDescent="0.3">
      <c r="A59" s="206">
        <v>2044</v>
      </c>
      <c r="B59" s="229">
        <v>17285.331641122102</v>
      </c>
      <c r="C59" s="229">
        <v>3533.4772510364774</v>
      </c>
      <c r="D59" s="229">
        <v>706.01148442904639</v>
      </c>
      <c r="E59" s="229">
        <v>7393.5543594889314</v>
      </c>
      <c r="F59" s="229">
        <v>2272.1197629139888</v>
      </c>
      <c r="G59" s="229">
        <v>673.91388756924391</v>
      </c>
      <c r="H59" s="229">
        <v>3995.2623647991109</v>
      </c>
      <c r="I59" s="229">
        <v>2267.3564249932724</v>
      </c>
      <c r="J59" s="229">
        <v>1344.4091197296821</v>
      </c>
      <c r="K59" s="229">
        <v>1602.0714145394768</v>
      </c>
      <c r="M59" s="206">
        <v>2044</v>
      </c>
      <c r="N59" s="419">
        <f t="shared" si="2"/>
        <v>3789.1249461811231</v>
      </c>
      <c r="O59" s="418">
        <f>(C59/Population_Tables!P33)*Population_Tables!D92</f>
        <v>0</v>
      </c>
      <c r="P59" s="418">
        <f>(D59/Population_Tables!Q33)*Population_Tables!E92</f>
        <v>0</v>
      </c>
      <c r="Q59" s="418">
        <f>((E59-H59)/Population_Tables!R33)*Population_Tables!F92</f>
        <v>2071.3817480497064</v>
      </c>
      <c r="R59" s="418">
        <f>(F59/Population_Tables!S33)*Population_Tables!G92</f>
        <v>1505.6840412796553</v>
      </c>
      <c r="S59" s="418">
        <f>(G59/Population_Tables!T33)*Population_Tables!H92</f>
        <v>212.05915685176112</v>
      </c>
      <c r="T59" s="418">
        <f>(H59/Population_Tables!U33)*Population_Tables!I92</f>
        <v>0</v>
      </c>
      <c r="U59" s="418">
        <f>(I59/Population_Tables!V33)*Population_Tables!J92</f>
        <v>0</v>
      </c>
      <c r="V59" s="418">
        <f>(J59/Population_Tables!W33)*Population_Tables!K92</f>
        <v>0</v>
      </c>
      <c r="W59" s="418">
        <f>(K59/Population_Tables!X33)*Population_Tables!L92</f>
        <v>0</v>
      </c>
      <c r="Y59" s="456">
        <v>2044</v>
      </c>
      <c r="Z59" s="459">
        <f>((B59/Population_Tables!O33)*Population_Tables!C33)-N59</f>
        <v>14682.351306047967</v>
      </c>
      <c r="AA59" s="459">
        <f>((C59/Population_Tables!P33)*Population_Tables!D33)-O59</f>
        <v>3743.2732392723779</v>
      </c>
      <c r="AB59" s="459">
        <f>((D59/Population_Tables!Q33)*Population_Tables!E33)-P59</f>
        <v>749.56971793423986</v>
      </c>
      <c r="AC59" s="459">
        <f>((E59/Population_Tables!R33)*Population_Tables!F33)-Q59</f>
        <v>5848.1580760731085</v>
      </c>
      <c r="AD59" s="459">
        <f>((F59/Population_Tables!S33)*Population_Tables!G33)-R59</f>
        <v>912.34844042680584</v>
      </c>
      <c r="AE59" s="459">
        <f>((G59/Population_Tables!T33)*Population_Tables!H33)-S59</f>
        <v>518.25473606230094</v>
      </c>
      <c r="AF59" s="459">
        <f>(H59/Population_Tables!U33)*Population_Tables!I33</f>
        <v>4221.1445658930961</v>
      </c>
      <c r="AG59" s="459">
        <f>(I59/Population_Tables!V33)*Population_Tables!J33</f>
        <v>2427.6175919446978</v>
      </c>
      <c r="AH59" s="459">
        <f>(J59/Population_Tables!W33)*Population_Tables!K33</f>
        <v>1420.674763022578</v>
      </c>
      <c r="AI59" s="459">
        <f>(K59/Population_Tables!X33)*Population_Tables!L33</f>
        <v>1705.273513858845</v>
      </c>
      <c r="AK59" s="456">
        <v>2044</v>
      </c>
      <c r="AL59" s="459">
        <f t="shared" si="6"/>
        <v>18471.476252229091</v>
      </c>
      <c r="AM59" s="459">
        <f t="shared" si="6"/>
        <v>3743.2732392723779</v>
      </c>
      <c r="AN59" s="459">
        <f t="shared" si="6"/>
        <v>749.56971793423986</v>
      </c>
      <c r="AO59" s="459">
        <f t="shared" si="6"/>
        <v>7919.5398241228149</v>
      </c>
      <c r="AP59" s="459">
        <f t="shared" si="6"/>
        <v>2418.0324817064611</v>
      </c>
      <c r="AQ59" s="459">
        <f t="shared" si="6"/>
        <v>730.31389291406208</v>
      </c>
      <c r="AR59" s="459">
        <f t="shared" si="6"/>
        <v>4221.1445658930961</v>
      </c>
      <c r="AS59" s="459">
        <f t="shared" si="6"/>
        <v>2427.6175919446978</v>
      </c>
      <c r="AT59" s="459">
        <f t="shared" si="6"/>
        <v>1420.674763022578</v>
      </c>
      <c r="AU59" s="459">
        <f t="shared" si="6"/>
        <v>1705.273513858845</v>
      </c>
      <c r="AW59" s="216">
        <f>(B59/Population_Tables!O33)*Population_Tables!C33</f>
        <v>18471.476252229091</v>
      </c>
      <c r="AX59" s="153" t="str">
        <f t="shared" si="7"/>
        <v>OK</v>
      </c>
      <c r="AY59" s="421">
        <f t="shared" si="4"/>
        <v>15560.729155949957</v>
      </c>
      <c r="AZ59" s="153" t="str">
        <f t="shared" si="5"/>
        <v>OK</v>
      </c>
      <c r="BB59" s="216">
        <f>(C59/Population_Tables!P33)*Population_Tables!D33</f>
        <v>3743.2732392723779</v>
      </c>
      <c r="BC59" s="216">
        <f>(D59/Population_Tables!Q33)*Population_Tables!E33</f>
        <v>749.56971793423986</v>
      </c>
      <c r="BD59" s="216">
        <f>(E59/Population_Tables!R33)*Population_Tables!F33</f>
        <v>7919.5398241228149</v>
      </c>
      <c r="BE59" s="216">
        <f>(F59/Population_Tables!S33)*Population_Tables!G33</f>
        <v>2418.0324817064611</v>
      </c>
      <c r="BF59" s="216">
        <f>(G59/Population_Tables!T33)*Population_Tables!H33</f>
        <v>730.31389291406208</v>
      </c>
      <c r="BG59" s="216"/>
      <c r="BN59" s="216"/>
      <c r="BO59" s="216"/>
      <c r="BP59" s="216"/>
    </row>
    <row r="60" spans="1:68" ht="15.6" x14ac:dyDescent="0.3">
      <c r="A60" s="206">
        <v>2045</v>
      </c>
      <c r="B60" s="229">
        <v>17539.058347858976</v>
      </c>
      <c r="C60" s="229">
        <v>3548.6895573249481</v>
      </c>
      <c r="D60" s="229">
        <v>711.24130166583086</v>
      </c>
      <c r="E60" s="229">
        <v>7521.0328049955569</v>
      </c>
      <c r="F60" s="229">
        <v>2330.4805599426577</v>
      </c>
      <c r="G60" s="229">
        <v>681.97763991706563</v>
      </c>
      <c r="H60" s="229">
        <v>4025.7546547582124</v>
      </c>
      <c r="I60" s="229">
        <v>2339.442569355775</v>
      </c>
      <c r="J60" s="229">
        <v>1347.8306213931451</v>
      </c>
      <c r="K60" s="229">
        <v>1612.9414618030355</v>
      </c>
      <c r="M60" s="206">
        <v>2045</v>
      </c>
      <c r="N60" s="419">
        <f t="shared" si="2"/>
        <v>3914.7144574542117</v>
      </c>
      <c r="O60" s="418">
        <f>(C60/Population_Tables!P34)*Population_Tables!D93</f>
        <v>0</v>
      </c>
      <c r="P60" s="418">
        <f>(D60/Population_Tables!Q34)*Population_Tables!E93</f>
        <v>0</v>
      </c>
      <c r="Q60" s="418">
        <f>((E60-H60)/Population_Tables!R34)*Population_Tables!F93</f>
        <v>2146.1188918751377</v>
      </c>
      <c r="R60" s="418">
        <f>(F60/Population_Tables!S34)*Population_Tables!G93</f>
        <v>1552.4806215728624</v>
      </c>
      <c r="S60" s="418">
        <f>(G60/Population_Tables!T34)*Population_Tables!H93</f>
        <v>216.11494400621177</v>
      </c>
      <c r="T60" s="418">
        <f>(H60/Population_Tables!U34)*Population_Tables!I93</f>
        <v>0</v>
      </c>
      <c r="U60" s="418">
        <f>(I60/Population_Tables!V34)*Population_Tables!J93</f>
        <v>0</v>
      </c>
      <c r="V60" s="418">
        <f>(J60/Population_Tables!W34)*Population_Tables!K93</f>
        <v>0</v>
      </c>
      <c r="W60" s="418">
        <f>(K60/Population_Tables!X34)*Population_Tables!L93</f>
        <v>0</v>
      </c>
      <c r="Y60" s="456">
        <v>2045</v>
      </c>
      <c r="Z60" s="459">
        <f>((B60/Population_Tables!O34)*Population_Tables!C34)-N60</f>
        <v>14890.632150999078</v>
      </c>
      <c r="AA60" s="459">
        <f>((C60/Population_Tables!P34)*Population_Tables!D34)-O60</f>
        <v>3769.8775684143175</v>
      </c>
      <c r="AB60" s="459">
        <f>((D60/Population_Tables!Q34)*Population_Tables!E34)-P60</f>
        <v>757.62294011138181</v>
      </c>
      <c r="AC60" s="459">
        <f>((E60/Population_Tables!R34)*Population_Tables!F34)-Q60</f>
        <v>5938.3794930313716</v>
      </c>
      <c r="AD60" s="459">
        <f>((F60/Population_Tables!S34)*Population_Tables!G34)-R60</f>
        <v>935.30642154662723</v>
      </c>
      <c r="AE60" s="459">
        <f>((G60/Population_Tables!T34)*Population_Tables!H34)-S60</f>
        <v>525.93726573216179</v>
      </c>
      <c r="AF60" s="459">
        <f>(H60/Population_Tables!U34)*Population_Tables!I34</f>
        <v>4265.731326713556</v>
      </c>
      <c r="AG60" s="459">
        <f>(I60/Population_Tables!V34)*Population_Tables!J34</f>
        <v>2513.0574396801394</v>
      </c>
      <c r="AH60" s="459">
        <f>(J60/Population_Tables!W34)*Population_Tables!K34</f>
        <v>1428.310423575045</v>
      </c>
      <c r="AI60" s="459">
        <f>(K60/Population_Tables!X34)*Population_Tables!L34</f>
        <v>1721.9865354093072</v>
      </c>
      <c r="AK60" s="456">
        <v>2045</v>
      </c>
      <c r="AL60" s="459">
        <f t="shared" si="6"/>
        <v>18805.346608453288</v>
      </c>
      <c r="AM60" s="459">
        <f t="shared" si="6"/>
        <v>3769.8775684143175</v>
      </c>
      <c r="AN60" s="459">
        <f t="shared" si="6"/>
        <v>757.62294011138181</v>
      </c>
      <c r="AO60" s="459">
        <f t="shared" si="6"/>
        <v>8084.4983849065093</v>
      </c>
      <c r="AP60" s="459">
        <f t="shared" si="6"/>
        <v>2487.7870431194897</v>
      </c>
      <c r="AQ60" s="459">
        <f t="shared" si="6"/>
        <v>742.05220973837356</v>
      </c>
      <c r="AR60" s="459">
        <f t="shared" si="6"/>
        <v>4265.731326713556</v>
      </c>
      <c r="AS60" s="459">
        <f t="shared" si="6"/>
        <v>2513.0574396801394</v>
      </c>
      <c r="AT60" s="459">
        <f t="shared" si="6"/>
        <v>1428.310423575045</v>
      </c>
      <c r="AU60" s="459">
        <f t="shared" si="6"/>
        <v>1721.9865354093072</v>
      </c>
      <c r="AW60" s="216">
        <f>(B60/Population_Tables!O34)*Population_Tables!C34</f>
        <v>18805.346608453288</v>
      </c>
      <c r="AX60" s="153" t="str">
        <f t="shared" si="7"/>
        <v>OK</v>
      </c>
      <c r="AY60" s="421">
        <f t="shared" si="4"/>
        <v>15841.838146290071</v>
      </c>
      <c r="AZ60" s="153" t="str">
        <f t="shared" si="5"/>
        <v>OK</v>
      </c>
      <c r="BB60" s="216">
        <f>(C60/Population_Tables!P34)*Population_Tables!D34</f>
        <v>3769.8775684143175</v>
      </c>
      <c r="BC60" s="216">
        <f>(D60/Population_Tables!Q34)*Population_Tables!E34</f>
        <v>757.62294011138181</v>
      </c>
      <c r="BD60" s="216">
        <f>(E60/Population_Tables!R34)*Population_Tables!F34</f>
        <v>8084.4983849065093</v>
      </c>
      <c r="BE60" s="216">
        <f>(F60/Population_Tables!S34)*Population_Tables!G34</f>
        <v>2487.7870431194897</v>
      </c>
      <c r="BF60" s="216">
        <f>(G60/Population_Tables!T34)*Population_Tables!H34</f>
        <v>742.05220973837356</v>
      </c>
      <c r="BG60" s="216"/>
      <c r="BN60" s="216"/>
      <c r="BO60" s="216"/>
      <c r="BP60" s="216"/>
    </row>
    <row r="61" spans="1:68" ht="15.6" x14ac:dyDescent="0.3">
      <c r="A61" s="206">
        <v>2046</v>
      </c>
      <c r="B61" s="229">
        <v>17795.010287235702</v>
      </c>
      <c r="C61" s="229">
        <v>3563.6197408812218</v>
      </c>
      <c r="D61" s="229">
        <v>716.53212193694617</v>
      </c>
      <c r="E61" s="229">
        <v>7649.4271838729892</v>
      </c>
      <c r="F61" s="229">
        <v>2390.3254636310203</v>
      </c>
      <c r="G61" s="229">
        <v>690.0368662671624</v>
      </c>
      <c r="H61" s="229">
        <v>4055.6679626013029</v>
      </c>
      <c r="I61" s="229">
        <v>2412.9200403122718</v>
      </c>
      <c r="J61" s="229">
        <v>1351.1498963043268</v>
      </c>
      <c r="K61" s="229">
        <v>1623.7950947346098</v>
      </c>
      <c r="M61" s="206">
        <v>2046</v>
      </c>
      <c r="N61" s="419">
        <f t="shared" si="2"/>
        <v>4044.0055183510663</v>
      </c>
      <c r="O61" s="418">
        <f>(C61/Population_Tables!P35)*Population_Tables!D94</f>
        <v>0</v>
      </c>
      <c r="P61" s="418">
        <f>(D61/Population_Tables!Q35)*Population_Tables!E94</f>
        <v>0</v>
      </c>
      <c r="Q61" s="418">
        <f>((E61-H61)/Population_Tables!R35)*Population_Tables!F94</f>
        <v>2222.9999933221047</v>
      </c>
      <c r="R61" s="418">
        <f>(F61/Population_Tables!S35)*Population_Tables!G94</f>
        <v>1600.7709376876217</v>
      </c>
      <c r="S61" s="418">
        <f>(G61/Population_Tables!T35)*Population_Tables!H94</f>
        <v>220.23458734134022</v>
      </c>
      <c r="T61" s="418">
        <f>(H61/Population_Tables!U35)*Population_Tables!I94</f>
        <v>0</v>
      </c>
      <c r="U61" s="418">
        <f>(I61/Population_Tables!V35)*Population_Tables!J94</f>
        <v>0</v>
      </c>
      <c r="V61" s="418">
        <f>(J61/Population_Tables!W35)*Population_Tables!K94</f>
        <v>0</v>
      </c>
      <c r="W61" s="418">
        <f>(K61/Population_Tables!X35)*Population_Tables!L94</f>
        <v>0</v>
      </c>
      <c r="Y61" s="456">
        <v>2046</v>
      </c>
      <c r="Z61" s="459">
        <f>((B61/Population_Tables!O35)*Population_Tables!C35)-N61</f>
        <v>15101.179274577964</v>
      </c>
      <c r="AA61" s="459">
        <f>((C61/Population_Tables!P35)*Population_Tables!D35)-O61</f>
        <v>3796.4123620706555</v>
      </c>
      <c r="AB61" s="459">
        <f>((D61/Population_Tables!Q35)*Population_Tables!E35)-P61</f>
        <v>765.84980334374097</v>
      </c>
      <c r="AC61" s="459">
        <f>((E61/Population_Tables!R35)*Population_Tables!F35)-Q61</f>
        <v>6029.3373940268775</v>
      </c>
      <c r="AD61" s="459">
        <f>((F61/Population_Tables!S35)*Population_Tables!G35)-R61</f>
        <v>958.95426088754834</v>
      </c>
      <c r="AE61" s="459">
        <f>((G61/Population_Tables!T35)*Population_Tables!H35)-S61</f>
        <v>533.69474614419278</v>
      </c>
      <c r="AF61" s="459">
        <f>(H61/Population_Tables!U35)*Population_Tables!I35</f>
        <v>4310.2643756707848</v>
      </c>
      <c r="AG61" s="459">
        <f>(I61/Population_Tables!V35)*Population_Tables!J35</f>
        <v>2600.8156232578467</v>
      </c>
      <c r="AH61" s="459">
        <f>(J61/Population_Tables!W35)*Population_Tables!K35</f>
        <v>1435.933293958381</v>
      </c>
      <c r="AI61" s="459">
        <f>(K61/Population_Tables!X35)*Population_Tables!L35</f>
        <v>1738.8202085901726</v>
      </c>
      <c r="AK61" s="456">
        <v>2046</v>
      </c>
      <c r="AL61" s="459">
        <f t="shared" si="6"/>
        <v>19145.184792929031</v>
      </c>
      <c r="AM61" s="459">
        <f t="shared" si="6"/>
        <v>3796.4123620706555</v>
      </c>
      <c r="AN61" s="459">
        <f t="shared" si="6"/>
        <v>765.84980334374097</v>
      </c>
      <c r="AO61" s="459">
        <f t="shared" si="6"/>
        <v>8252.3373873489818</v>
      </c>
      <c r="AP61" s="459">
        <f t="shared" si="6"/>
        <v>2559.72519857517</v>
      </c>
      <c r="AQ61" s="459">
        <f t="shared" si="6"/>
        <v>753.92933348553299</v>
      </c>
      <c r="AR61" s="459">
        <f t="shared" si="6"/>
        <v>4310.2643756707848</v>
      </c>
      <c r="AS61" s="459">
        <f t="shared" si="6"/>
        <v>2600.8156232578467</v>
      </c>
      <c r="AT61" s="459">
        <f t="shared" si="6"/>
        <v>1435.933293958381</v>
      </c>
      <c r="AU61" s="459">
        <f t="shared" si="6"/>
        <v>1738.8202085901726</v>
      </c>
      <c r="AW61" s="216">
        <f>(B61/Population_Tables!O35)*Population_Tables!C35</f>
        <v>19145.184792929031</v>
      </c>
      <c r="AX61" s="153" t="str">
        <f t="shared" si="7"/>
        <v>OK</v>
      </c>
      <c r="AY61" s="421">
        <f t="shared" si="4"/>
        <v>16128.254084824082</v>
      </c>
      <c r="AZ61" s="153" t="str">
        <f t="shared" si="5"/>
        <v>OK</v>
      </c>
      <c r="BB61" s="216">
        <f>(C61/Population_Tables!P35)*Population_Tables!D35</f>
        <v>3796.4123620706555</v>
      </c>
      <c r="BC61" s="216">
        <f>(D61/Population_Tables!Q35)*Population_Tables!E35</f>
        <v>765.84980334374097</v>
      </c>
      <c r="BD61" s="216">
        <f>(E61/Population_Tables!R35)*Population_Tables!F35</f>
        <v>8252.3373873489818</v>
      </c>
      <c r="BE61" s="216">
        <f>(F61/Population_Tables!S35)*Population_Tables!G35</f>
        <v>2559.72519857517</v>
      </c>
      <c r="BF61" s="216">
        <f>(G61/Population_Tables!T35)*Population_Tables!H35</f>
        <v>753.92933348553299</v>
      </c>
      <c r="BG61" s="216"/>
      <c r="BN61" s="216"/>
      <c r="BO61" s="216"/>
      <c r="BP61" s="216"/>
    </row>
    <row r="62" spans="1:68" ht="15.6" x14ac:dyDescent="0.3">
      <c r="A62" s="206">
        <v>2047</v>
      </c>
      <c r="B62" s="229">
        <v>18053.186480389701</v>
      </c>
      <c r="C62" s="229">
        <v>3578.271571971668</v>
      </c>
      <c r="D62" s="229">
        <v>721.88421565017006</v>
      </c>
      <c r="E62" s="229">
        <v>7778.7114446075011</v>
      </c>
      <c r="F62" s="229">
        <v>2451.6903365331168</v>
      </c>
      <c r="G62" s="229">
        <v>698.09024078018592</v>
      </c>
      <c r="H62" s="229">
        <v>4084.9906951052549</v>
      </c>
      <c r="I62" s="229">
        <v>2487.7814698747698</v>
      </c>
      <c r="J62" s="229">
        <v>1354.3689610647805</v>
      </c>
      <c r="K62" s="229">
        <v>1634.6343487792406</v>
      </c>
      <c r="M62" s="206">
        <v>2047</v>
      </c>
      <c r="N62" s="419">
        <f t="shared" si="2"/>
        <v>4177.1183008057415</v>
      </c>
      <c r="O62" s="418">
        <f>(C62/Population_Tables!P36)*Population_Tables!D95</f>
        <v>0</v>
      </c>
      <c r="P62" s="418">
        <f>(D62/Population_Tables!Q36)*Population_Tables!E95</f>
        <v>0</v>
      </c>
      <c r="Q62" s="418">
        <f>((E62-H62)/Population_Tables!R36)*Population_Tables!F95</f>
        <v>2302.0899716218983</v>
      </c>
      <c r="R62" s="418">
        <f>(F62/Population_Tables!S36)*Population_Tables!G95</f>
        <v>1650.607776527856</v>
      </c>
      <c r="S62" s="418">
        <f>(G62/Population_Tables!T36)*Population_Tables!H95</f>
        <v>224.42055265598745</v>
      </c>
      <c r="T62" s="418">
        <f>(H62/Population_Tables!U36)*Population_Tables!I95</f>
        <v>0</v>
      </c>
      <c r="U62" s="418">
        <f>(I62/Population_Tables!V36)*Population_Tables!J95</f>
        <v>0</v>
      </c>
      <c r="V62" s="418">
        <f>(J62/Population_Tables!W36)*Population_Tables!K95</f>
        <v>0</v>
      </c>
      <c r="W62" s="418">
        <f>(K62/Population_Tables!X36)*Population_Tables!L95</f>
        <v>0</v>
      </c>
      <c r="Y62" s="456">
        <v>2047</v>
      </c>
      <c r="Z62" s="459">
        <f>((B62/Population_Tables!O36)*Population_Tables!C36)-N62</f>
        <v>15314.085386926854</v>
      </c>
      <c r="AA62" s="459">
        <f>((C62/Population_Tables!P36)*Population_Tables!D36)-O62</f>
        <v>3822.9095931725815</v>
      </c>
      <c r="AB62" s="459">
        <f>((D62/Population_Tables!Q36)*Population_Tables!E36)-P62</f>
        <v>774.25694844483462</v>
      </c>
      <c r="AC62" s="459">
        <f>((E62/Population_Tables!R36)*Population_Tables!F36)-Q62</f>
        <v>6121.0582880259108</v>
      </c>
      <c r="AD62" s="459">
        <f>((F62/Population_Tables!S36)*Population_Tables!G36)-R62</f>
        <v>983.31639348791532</v>
      </c>
      <c r="AE62" s="459">
        <f>((G62/Population_Tables!T36)*Population_Tables!H36)-S62</f>
        <v>541.53111715737111</v>
      </c>
      <c r="AF62" s="459">
        <f>(H62/Population_Tables!U36)*Population_Tables!I36</f>
        <v>4354.7561124988906</v>
      </c>
      <c r="AG62" s="459">
        <f>(I62/Population_Tables!V36)*Population_Tables!J36</f>
        <v>2690.9525480423958</v>
      </c>
      <c r="AH62" s="459">
        <f>(J62/Population_Tables!W36)*Population_Tables!K36</f>
        <v>1443.5545862206047</v>
      </c>
      <c r="AI62" s="459">
        <f>(K62/Population_Tables!X36)*Population_Tables!L36</f>
        <v>1755.7921502185968</v>
      </c>
      <c r="AK62" s="456">
        <v>2047</v>
      </c>
      <c r="AL62" s="459">
        <f t="shared" si="6"/>
        <v>19491.203687732595</v>
      </c>
      <c r="AM62" s="459">
        <f t="shared" si="6"/>
        <v>3822.9095931725815</v>
      </c>
      <c r="AN62" s="459">
        <f t="shared" si="6"/>
        <v>774.25694844483462</v>
      </c>
      <c r="AO62" s="459">
        <f t="shared" si="6"/>
        <v>8423.148259647809</v>
      </c>
      <c r="AP62" s="459">
        <f t="shared" si="6"/>
        <v>2633.9241700157713</v>
      </c>
      <c r="AQ62" s="459">
        <f t="shared" si="6"/>
        <v>765.95166981335854</v>
      </c>
      <c r="AR62" s="459">
        <f t="shared" si="6"/>
        <v>4354.7561124988906</v>
      </c>
      <c r="AS62" s="459">
        <f t="shared" si="6"/>
        <v>2690.9525480423958</v>
      </c>
      <c r="AT62" s="459">
        <f t="shared" si="6"/>
        <v>1443.5545862206047</v>
      </c>
      <c r="AU62" s="459">
        <f t="shared" si="6"/>
        <v>1755.7921502185968</v>
      </c>
      <c r="AW62" s="216">
        <f>(B62/Population_Tables!O36)*Population_Tables!C36</f>
        <v>19491.203687732595</v>
      </c>
      <c r="AX62" s="153" t="str">
        <f t="shared" si="7"/>
        <v>OK</v>
      </c>
      <c r="AY62" s="421">
        <f t="shared" si="4"/>
        <v>16420.190641094356</v>
      </c>
      <c r="AZ62" s="153" t="str">
        <f t="shared" si="5"/>
        <v>OK</v>
      </c>
      <c r="BB62" s="216">
        <f>(C62/Population_Tables!P36)*Population_Tables!D36</f>
        <v>3822.9095931725815</v>
      </c>
      <c r="BC62" s="216">
        <f>(D62/Population_Tables!Q36)*Population_Tables!E36</f>
        <v>774.25694844483462</v>
      </c>
      <c r="BD62" s="216">
        <f>(E62/Population_Tables!R36)*Population_Tables!F36</f>
        <v>8423.148259647809</v>
      </c>
      <c r="BE62" s="216">
        <f>(F62/Population_Tables!S36)*Population_Tables!G36</f>
        <v>2633.9241700157713</v>
      </c>
      <c r="BF62" s="216">
        <f>(G62/Population_Tables!T36)*Population_Tables!H36</f>
        <v>765.95166981335854</v>
      </c>
      <c r="BG62" s="216"/>
      <c r="BN62" s="216"/>
      <c r="BO62" s="216"/>
      <c r="BP62" s="216"/>
    </row>
    <row r="63" spans="1:68" ht="15.6" x14ac:dyDescent="0.3">
      <c r="A63" s="206">
        <v>2048</v>
      </c>
      <c r="B63" s="229">
        <v>18313.576325443002</v>
      </c>
      <c r="C63" s="229">
        <v>3592.6553460603618</v>
      </c>
      <c r="D63" s="229">
        <v>727.29404745928343</v>
      </c>
      <c r="E63" s="229">
        <v>7908.8535864744645</v>
      </c>
      <c r="F63" s="229">
        <v>2514.611646938783</v>
      </c>
      <c r="G63" s="229">
        <v>706.13614891588725</v>
      </c>
      <c r="H63" s="229">
        <v>4113.6999846775579</v>
      </c>
      <c r="I63" s="229">
        <v>2564.0212235039394</v>
      </c>
      <c r="J63" s="229">
        <v>1357.4906848676628</v>
      </c>
      <c r="K63" s="229">
        <v>1645.4625272497351</v>
      </c>
      <c r="M63" s="206">
        <v>2048</v>
      </c>
      <c r="N63" s="419">
        <f t="shared" si="2"/>
        <v>4314.2104572693552</v>
      </c>
      <c r="O63" s="418">
        <f>(C63/Population_Tables!P37)*Population_Tables!D96</f>
        <v>0</v>
      </c>
      <c r="P63" s="418">
        <f>(D63/Population_Tables!Q37)*Population_Tables!E96</f>
        <v>0</v>
      </c>
      <c r="Q63" s="418">
        <f>((E63-H63)/Population_Tables!R37)*Population_Tables!F96</f>
        <v>2383.4868027772409</v>
      </c>
      <c r="R63" s="418">
        <f>(F63/Population_Tables!S37)*Population_Tables!G96</f>
        <v>1702.0479034152197</v>
      </c>
      <c r="S63" s="418">
        <f>(G63/Population_Tables!T37)*Population_Tables!H96</f>
        <v>228.67575107689478</v>
      </c>
      <c r="T63" s="418">
        <f>(H63/Population_Tables!U37)*Population_Tables!I96</f>
        <v>0</v>
      </c>
      <c r="U63" s="418">
        <f>(I63/Population_Tables!V37)*Population_Tables!J96</f>
        <v>0</v>
      </c>
      <c r="V63" s="418">
        <f>(J63/Population_Tables!W37)*Population_Tables!K96</f>
        <v>0</v>
      </c>
      <c r="W63" s="418">
        <f>(K63/Population_Tables!X37)*Population_Tables!L96</f>
        <v>0</v>
      </c>
      <c r="Y63" s="456">
        <v>2048</v>
      </c>
      <c r="Z63" s="459">
        <f>((B63/Population_Tables!O37)*Population_Tables!C37)-N63</f>
        <v>15529.478647030517</v>
      </c>
      <c r="AA63" s="459">
        <f>((C63/Population_Tables!P37)*Population_Tables!D37)-O63</f>
        <v>3849.4285127173689</v>
      </c>
      <c r="AB63" s="459">
        <f>((D63/Population_Tables!Q37)*Population_Tables!E37)-P63</f>
        <v>782.84730044704361</v>
      </c>
      <c r="AC63" s="459">
        <f>((E63/Population_Tables!R37)*Population_Tables!F37)-Q63</f>
        <v>6213.5805753734694</v>
      </c>
      <c r="AD63" s="459">
        <f>((F63/Population_Tables!S37)*Population_Tables!G37)-R63</f>
        <v>1008.4205749897112</v>
      </c>
      <c r="AE63" s="459">
        <f>((G63/Population_Tables!T37)*Population_Tables!H37)-S63</f>
        <v>549.45159115331739</v>
      </c>
      <c r="AF63" s="459">
        <f>(H63/Population_Tables!U37)*Population_Tables!I37</f>
        <v>4399.2116547899823</v>
      </c>
      <c r="AG63" s="459">
        <f>(I63/Population_Tables!V37)*Population_Tables!J37</f>
        <v>2783.5655161958248</v>
      </c>
      <c r="AH63" s="459">
        <f>(J63/Population_Tables!W37)*Population_Tables!K37</f>
        <v>1451.1909348736265</v>
      </c>
      <c r="AI63" s="459">
        <f>(K63/Population_Tables!X37)*Population_Tables!L37</f>
        <v>1772.9336287542324</v>
      </c>
      <c r="AK63" s="456">
        <v>2048</v>
      </c>
      <c r="AL63" s="459">
        <f t="shared" si="6"/>
        <v>19843.689104299872</v>
      </c>
      <c r="AM63" s="459">
        <f t="shared" si="6"/>
        <v>3849.4285127173689</v>
      </c>
      <c r="AN63" s="459">
        <f t="shared" si="6"/>
        <v>782.84730044704361</v>
      </c>
      <c r="AO63" s="459">
        <f t="shared" si="6"/>
        <v>8597.0673781507103</v>
      </c>
      <c r="AP63" s="459">
        <f t="shared" si="6"/>
        <v>2710.4684784049309</v>
      </c>
      <c r="AQ63" s="459">
        <f t="shared" si="6"/>
        <v>778.12734223021221</v>
      </c>
      <c r="AR63" s="459">
        <f t="shared" si="6"/>
        <v>4399.2116547899823</v>
      </c>
      <c r="AS63" s="459">
        <f t="shared" si="6"/>
        <v>2783.5655161958248</v>
      </c>
      <c r="AT63" s="459">
        <f t="shared" si="6"/>
        <v>1451.1909348736265</v>
      </c>
      <c r="AU63" s="459">
        <f t="shared" si="6"/>
        <v>1772.9336287542324</v>
      </c>
      <c r="AW63" s="216">
        <f>(B63/Population_Tables!O37)*Population_Tables!C37</f>
        <v>19843.689104299872</v>
      </c>
      <c r="AX63" s="153" t="str">
        <f t="shared" si="7"/>
        <v>OK</v>
      </c>
      <c r="AY63" s="421">
        <f t="shared" si="4"/>
        <v>16717.939011950264</v>
      </c>
      <c r="AZ63" s="153" t="str">
        <f t="shared" si="5"/>
        <v>OK</v>
      </c>
      <c r="BB63" s="216">
        <f>(C63/Population_Tables!P37)*Population_Tables!D37</f>
        <v>3849.4285127173689</v>
      </c>
      <c r="BC63" s="216">
        <f>(D63/Population_Tables!Q37)*Population_Tables!E37</f>
        <v>782.84730044704361</v>
      </c>
      <c r="BD63" s="216">
        <f>(E63/Population_Tables!R37)*Population_Tables!F37</f>
        <v>8597.0673781507103</v>
      </c>
      <c r="BE63" s="216">
        <f>(F63/Population_Tables!S37)*Population_Tables!G37</f>
        <v>2710.4684784049309</v>
      </c>
      <c r="BF63" s="216">
        <f>(G63/Population_Tables!T37)*Population_Tables!H37</f>
        <v>778.12734223021221</v>
      </c>
      <c r="BG63" s="216"/>
      <c r="BN63" s="216"/>
      <c r="BO63" s="216"/>
      <c r="BP63" s="216"/>
    </row>
    <row r="64" spans="1:68" ht="15.6" x14ac:dyDescent="0.3">
      <c r="A64" s="206">
        <v>2049</v>
      </c>
      <c r="B64" s="229">
        <v>18576.16701763056</v>
      </c>
      <c r="C64" s="229">
        <v>3606.7854724921699</v>
      </c>
      <c r="D64" s="229">
        <v>732.75664872457821</v>
      </c>
      <c r="E64" s="229">
        <v>8039.8198448558023</v>
      </c>
      <c r="F64" s="229">
        <v>2579.1265431173006</v>
      </c>
      <c r="G64" s="229">
        <v>714.17271201281596</v>
      </c>
      <c r="H64" s="229">
        <v>4141.7654585680202</v>
      </c>
      <c r="I64" s="229">
        <v>2641.6350631433779</v>
      </c>
      <c r="J64" s="229">
        <v>1360.519194625874</v>
      </c>
      <c r="K64" s="229">
        <v>1656.2827381164159</v>
      </c>
      <c r="M64" s="206">
        <v>2049</v>
      </c>
      <c r="N64" s="419">
        <f t="shared" si="2"/>
        <v>4455.4512219106782</v>
      </c>
      <c r="O64" s="418">
        <f>(C64/Population_Tables!P38)*Population_Tables!D97</f>
        <v>0</v>
      </c>
      <c r="P64" s="418">
        <f>(D64/Population_Tables!Q38)*Population_Tables!E97</f>
        <v>0</v>
      </c>
      <c r="Q64" s="418">
        <f>((E64-H64)/Population_Tables!R38)*Population_Tables!F97</f>
        <v>2467.3002471497139</v>
      </c>
      <c r="R64" s="418">
        <f>(F64/Population_Tables!S38)*Population_Tables!G97</f>
        <v>1755.1480930247287</v>
      </c>
      <c r="S64" s="418">
        <f>(G64/Population_Tables!T38)*Population_Tables!H97</f>
        <v>233.00288173623511</v>
      </c>
      <c r="T64" s="418">
        <f>(H64/Population_Tables!U38)*Population_Tables!I97</f>
        <v>0</v>
      </c>
      <c r="U64" s="418">
        <f>(I64/Population_Tables!V38)*Population_Tables!J97</f>
        <v>0</v>
      </c>
      <c r="V64" s="418">
        <f>(J64/Population_Tables!W38)*Population_Tables!K97</f>
        <v>0</v>
      </c>
      <c r="W64" s="418">
        <f>(K64/Population_Tables!X38)*Population_Tables!L97</f>
        <v>0</v>
      </c>
      <c r="Y64" s="456">
        <v>2049</v>
      </c>
      <c r="Z64" s="459">
        <f>((B64/Population_Tables!O38)*Population_Tables!C38)-N64</f>
        <v>15747.486553680437</v>
      </c>
      <c r="AA64" s="459">
        <f>((C64/Population_Tables!P38)*Population_Tables!D38)-O64</f>
        <v>3876.0434090176955</v>
      </c>
      <c r="AB64" s="459">
        <f>((D64/Population_Tables!Q38)*Population_Tables!E38)-P64</f>
        <v>791.62279316349793</v>
      </c>
      <c r="AC64" s="459">
        <f>((E64/Population_Tables!R38)*Population_Tables!F38)-Q64</f>
        <v>6306.9380848016162</v>
      </c>
      <c r="AD64" s="459">
        <f>((F64/Population_Tables!S38)*Population_Tables!G38)-R64</f>
        <v>1034.29563216881</v>
      </c>
      <c r="AE64" s="459">
        <f>((G64/Population_Tables!T38)*Population_Tables!H38)-S64</f>
        <v>557.46210514460586</v>
      </c>
      <c r="AF64" s="459">
        <f>(H64/Population_Tables!U38)*Population_Tables!I38</f>
        <v>4443.6242462986347</v>
      </c>
      <c r="AG64" s="459">
        <f>(I64/Population_Tables!V38)*Population_Tables!J38</f>
        <v>2878.7648360015983</v>
      </c>
      <c r="AH64" s="459">
        <f>(J64/Population_Tables!W38)*Population_Tables!K38</f>
        <v>1458.86340477727</v>
      </c>
      <c r="AI64" s="459">
        <f>(K64/Population_Tables!X38)*Population_Tables!L38</f>
        <v>1790.2809913636372</v>
      </c>
      <c r="AK64" s="456">
        <v>2049</v>
      </c>
      <c r="AL64" s="459">
        <f t="shared" si="6"/>
        <v>20202.937775591115</v>
      </c>
      <c r="AM64" s="459">
        <f t="shared" si="6"/>
        <v>3876.0434090176955</v>
      </c>
      <c r="AN64" s="459">
        <f t="shared" si="6"/>
        <v>791.62279316349793</v>
      </c>
      <c r="AO64" s="459">
        <f t="shared" si="6"/>
        <v>8774.2383319513301</v>
      </c>
      <c r="AP64" s="459">
        <f t="shared" si="6"/>
        <v>2789.4437251935387</v>
      </c>
      <c r="AQ64" s="459">
        <f t="shared" si="6"/>
        <v>790.46498688084102</v>
      </c>
      <c r="AR64" s="459">
        <f t="shared" si="6"/>
        <v>4443.6242462986347</v>
      </c>
      <c r="AS64" s="459">
        <f t="shared" si="6"/>
        <v>2878.7648360015983</v>
      </c>
      <c r="AT64" s="459">
        <f t="shared" si="6"/>
        <v>1458.86340477727</v>
      </c>
      <c r="AU64" s="459">
        <f t="shared" si="6"/>
        <v>1790.2809913636372</v>
      </c>
      <c r="AW64" s="216">
        <f>(B64/Population_Tables!O38)*Population_Tables!C38</f>
        <v>20202.937775591115</v>
      </c>
      <c r="AX64" s="153" t="str">
        <f t="shared" si="7"/>
        <v>OK</v>
      </c>
      <c r="AY64" s="421">
        <f t="shared" si="4"/>
        <v>17021.813246206904</v>
      </c>
      <c r="AZ64" s="153" t="str">
        <f t="shared" si="5"/>
        <v>OK</v>
      </c>
      <c r="BB64" s="216">
        <f>(C64/Population_Tables!P38)*Population_Tables!D38</f>
        <v>3876.0434090176955</v>
      </c>
      <c r="BC64" s="216">
        <f>(D64/Population_Tables!Q38)*Population_Tables!E38</f>
        <v>791.62279316349793</v>
      </c>
      <c r="BD64" s="216">
        <f>(E64/Population_Tables!R38)*Population_Tables!F38</f>
        <v>8774.2383319513301</v>
      </c>
      <c r="BE64" s="216">
        <f>(F64/Population_Tables!S38)*Population_Tables!G38</f>
        <v>2789.4437251935387</v>
      </c>
      <c r="BF64" s="216">
        <f>(G64/Population_Tables!T38)*Population_Tables!H38</f>
        <v>790.46498688084091</v>
      </c>
      <c r="BG64" s="216"/>
      <c r="BN64" s="216"/>
      <c r="BO64" s="216"/>
      <c r="BP64" s="216"/>
    </row>
    <row r="65" spans="1:68" ht="16.2" thickBot="1" x14ac:dyDescent="0.35">
      <c r="A65" s="208">
        <v>2050</v>
      </c>
      <c r="B65" s="231">
        <v>18845.171043193688</v>
      </c>
      <c r="C65" s="231">
        <v>3620.5880267991215</v>
      </c>
      <c r="D65" s="231">
        <v>737.91448727042882</v>
      </c>
      <c r="E65" s="231">
        <v>8174.3363645415175</v>
      </c>
      <c r="F65" s="231">
        <v>2644.6773605070512</v>
      </c>
      <c r="G65" s="231">
        <v>722.1954336385146</v>
      </c>
      <c r="H65" s="231">
        <v>4171.5969046050905</v>
      </c>
      <c r="I65" s="231">
        <v>2719.9134562579338</v>
      </c>
      <c r="J65" s="231">
        <v>1363.0841768187715</v>
      </c>
      <c r="K65" s="231">
        <v>1666.9968811511571</v>
      </c>
      <c r="M65" s="208">
        <v>2050</v>
      </c>
      <c r="N65" s="419">
        <f t="shared" si="2"/>
        <v>4600.7993166713222</v>
      </c>
      <c r="O65" s="418">
        <f>(C65/Population_Tables!P39)*Population_Tables!D98</f>
        <v>0</v>
      </c>
      <c r="P65" s="418">
        <f>(D65/Population_Tables!Q39)*Population_Tables!E98</f>
        <v>0</v>
      </c>
      <c r="Q65" s="418">
        <f>((E65-H65)/Population_Tables!R39)*Population_Tables!F98</f>
        <v>2553.8371055526763</v>
      </c>
      <c r="R65" s="418">
        <f>(F65/Population_Tables!S39)*Population_Tables!G98</f>
        <v>1809.55844144151</v>
      </c>
      <c r="S65" s="418">
        <f>(G65/Population_Tables!T39)*Population_Tables!H98</f>
        <v>237.40376967713601</v>
      </c>
      <c r="T65" s="418">
        <f>(H65/Population_Tables!U39)*Population_Tables!I98</f>
        <v>0</v>
      </c>
      <c r="U65" s="418">
        <f>(I65/Population_Tables!V39)*Population_Tables!J98</f>
        <v>0</v>
      </c>
      <c r="V65" s="418">
        <f>(J65/Population_Tables!W39)*Population_Tables!K98</f>
        <v>0</v>
      </c>
      <c r="W65" s="418">
        <f>(K65/Population_Tables!X39)*Population_Tables!L98</f>
        <v>0</v>
      </c>
      <c r="Y65" s="456">
        <v>2050</v>
      </c>
      <c r="Z65" s="459">
        <f>((B65/Population_Tables!O39)*Population_Tables!C39)-N65</f>
        <v>15973.026771141534</v>
      </c>
      <c r="AA65" s="459">
        <f>((C65/Population_Tables!P39)*Population_Tables!D39)-O65</f>
        <v>3902.7250329328745</v>
      </c>
      <c r="AB65" s="459">
        <f>((D65/Population_Tables!Q39)*Population_Tables!E39)-P65</f>
        <v>800.20250915190695</v>
      </c>
      <c r="AC65" s="459">
        <f>((E65/Population_Tables!R39)*Population_Tables!F39)-Q65</f>
        <v>6403.9749890911517</v>
      </c>
      <c r="AD65" s="459">
        <f>((F65/Population_Tables!S39)*Population_Tables!G39)-R65</f>
        <v>1060.730481397927</v>
      </c>
      <c r="AE65" s="459">
        <f>((G65/Population_Tables!T39)*Population_Tables!H39)-S65</f>
        <v>565.56564547603125</v>
      </c>
      <c r="AF65" s="459">
        <f>(H65/Population_Tables!U39)*Population_Tables!I39</f>
        <v>4490.612859824837</v>
      </c>
      <c r="AG65" s="459">
        <f>(I65/Population_Tables!V39)*Population_Tables!J39</f>
        <v>2975.8804019151739</v>
      </c>
      <c r="AH65" s="459">
        <f>(J65/Population_Tables!W39)*Population_Tables!K39</f>
        <v>1466.1881497226939</v>
      </c>
      <c r="AI65" s="459">
        <f>(K65/Population_Tables!X39)*Population_Tables!L39</f>
        <v>1807.7560804051122</v>
      </c>
      <c r="AK65" s="456">
        <v>2050</v>
      </c>
      <c r="AL65" s="459">
        <f t="shared" si="6"/>
        <v>20573.826087812857</v>
      </c>
      <c r="AM65" s="459">
        <f t="shared" si="6"/>
        <v>3902.7250329328745</v>
      </c>
      <c r="AN65" s="459">
        <f t="shared" si="6"/>
        <v>800.20250915190695</v>
      </c>
      <c r="AO65" s="459">
        <f t="shared" si="6"/>
        <v>8957.8120946438285</v>
      </c>
      <c r="AP65" s="459">
        <f t="shared" si="6"/>
        <v>2870.288922839437</v>
      </c>
      <c r="AQ65" s="459">
        <f t="shared" si="6"/>
        <v>802.96941515316723</v>
      </c>
      <c r="AR65" s="459">
        <f t="shared" si="6"/>
        <v>4490.612859824837</v>
      </c>
      <c r="AS65" s="459">
        <f t="shared" si="6"/>
        <v>2975.8804019151739</v>
      </c>
      <c r="AT65" s="459">
        <f t="shared" si="6"/>
        <v>1466.1881497226939</v>
      </c>
      <c r="AU65" s="459">
        <f t="shared" si="6"/>
        <v>1807.7560804051122</v>
      </c>
      <c r="AW65" s="216">
        <f>(B65/Population_Tables!O39)*Population_Tables!C39</f>
        <v>20573.826087812857</v>
      </c>
      <c r="AX65" s="153" t="str">
        <f t="shared" si="7"/>
        <v>OK</v>
      </c>
      <c r="AY65" s="421">
        <f t="shared" si="4"/>
        <v>17333.997974721213</v>
      </c>
      <c r="AZ65" s="153" t="str">
        <f t="shared" si="5"/>
        <v>OK</v>
      </c>
      <c r="BB65" s="216">
        <f>(C65/Population_Tables!P39)*Population_Tables!D39</f>
        <v>3902.7250329328745</v>
      </c>
      <c r="BC65" s="216">
        <f>(D65/Population_Tables!Q39)*Population_Tables!E39</f>
        <v>800.20250915190695</v>
      </c>
      <c r="BD65" s="216">
        <f>(E65/Population_Tables!R39)*Population_Tables!F39</f>
        <v>8957.8120946438285</v>
      </c>
      <c r="BE65" s="216">
        <f>(F65/Population_Tables!S39)*Population_Tables!G39</f>
        <v>2870.288922839437</v>
      </c>
      <c r="BF65" s="216">
        <f>(G65/Population_Tables!T39)*Population_Tables!H39</f>
        <v>802.96941515316723</v>
      </c>
      <c r="BG65" s="216"/>
      <c r="BN65" s="216"/>
      <c r="BO65" s="216"/>
      <c r="BP65" s="216"/>
    </row>
    <row r="66" spans="1:68" ht="15.6" x14ac:dyDescent="0.3">
      <c r="A66" s="213">
        <v>2051</v>
      </c>
      <c r="B66" s="227">
        <v>19107.925107193845</v>
      </c>
      <c r="C66" s="227">
        <v>3634.3227628957184</v>
      </c>
      <c r="D66" s="227">
        <v>743.82730911910801</v>
      </c>
      <c r="E66" s="227">
        <v>8304.0993656387182</v>
      </c>
      <c r="F66" s="227">
        <v>2713.0847234972152</v>
      </c>
      <c r="G66" s="227">
        <v>730.21087194023153</v>
      </c>
      <c r="H66" s="227">
        <v>4195.8798413794093</v>
      </c>
      <c r="I66" s="227">
        <v>2800.9596602196229</v>
      </c>
      <c r="J66" s="227">
        <v>1366.3107336746339</v>
      </c>
      <c r="K66" s="227">
        <v>1677.9109459529291</v>
      </c>
      <c r="M66" s="213">
        <v>2051</v>
      </c>
      <c r="N66" s="419">
        <f t="shared" si="2"/>
        <v>4750.9991162727729</v>
      </c>
      <c r="O66" s="418">
        <f>(C66/Population_Tables!P40)*Population_Tables!D99</f>
        <v>0</v>
      </c>
      <c r="P66" s="418">
        <f>(D66/Population_Tables!Q40)*Population_Tables!E99</f>
        <v>0</v>
      </c>
      <c r="Q66" s="418">
        <f>((E66-H66)/Population_Tables!R40)*Population_Tables!F99</f>
        <v>2642.5599460691528</v>
      </c>
      <c r="R66" s="418">
        <f>(F66/Population_Tables!S40)*Population_Tables!G99</f>
        <v>1866.5557887010873</v>
      </c>
      <c r="S66" s="418">
        <f>(G66/Population_Tables!T40)*Population_Tables!H99</f>
        <v>241.88338150253307</v>
      </c>
      <c r="T66" s="418">
        <f>(H66/Population_Tables!U40)*Population_Tables!I99</f>
        <v>0</v>
      </c>
      <c r="U66" s="418">
        <f>(I66/Population_Tables!V40)*Population_Tables!J99</f>
        <v>0</v>
      </c>
      <c r="V66" s="418">
        <f>(J66/Population_Tables!W40)*Population_Tables!K99</f>
        <v>0</v>
      </c>
      <c r="W66" s="418">
        <f>(K66/Population_Tables!X40)*Population_Tables!L99</f>
        <v>0</v>
      </c>
      <c r="Y66" s="456">
        <v>2051</v>
      </c>
      <c r="Z66" s="459">
        <f>((B66/Population_Tables!O40)*Population_Tables!C40)-N66</f>
        <v>16191.756286010959</v>
      </c>
      <c r="AA66" s="459">
        <f>((C66/Population_Tables!P40)*Population_Tables!D40)-O66</f>
        <v>3929.7805983612716</v>
      </c>
      <c r="AB66" s="459">
        <f>((D66/Population_Tables!Q40)*Population_Tables!E40)-P66</f>
        <v>809.74215463991163</v>
      </c>
      <c r="AC66" s="459">
        <f>((E66/Population_Tables!R40)*Population_Tables!F40)-Q66</f>
        <v>6496.2685680501318</v>
      </c>
      <c r="AD66" s="459">
        <f>((F66/Population_Tables!S40)*Population_Tables!G40)-R66</f>
        <v>1088.4669250784909</v>
      </c>
      <c r="AE66" s="459">
        <f>((G66/Population_Tables!T40)*Population_Tables!H40)-S66</f>
        <v>573.77222778051521</v>
      </c>
      <c r="AF66" s="459">
        <f>(H66/Population_Tables!U40)*Population_Tables!I40</f>
        <v>4532.3319740611278</v>
      </c>
      <c r="AG66" s="459">
        <f>(I66/Population_Tables!V40)*Population_Tables!J40</f>
        <v>3077.3030424514159</v>
      </c>
      <c r="AH66" s="459">
        <f>(J66/Population_Tables!W40)*Population_Tables!K40</f>
        <v>1474.3848490170285</v>
      </c>
      <c r="AI66" s="459">
        <f>(K66/Population_Tables!X40)*Population_Tables!L40</f>
        <v>1825.7057370695613</v>
      </c>
      <c r="AK66" s="456">
        <v>2051</v>
      </c>
      <c r="AL66" s="459">
        <f t="shared" si="6"/>
        <v>20942.755402283732</v>
      </c>
      <c r="AM66" s="459">
        <f t="shared" si="6"/>
        <v>3929.7805983612716</v>
      </c>
      <c r="AN66" s="459">
        <f t="shared" si="6"/>
        <v>809.74215463991163</v>
      </c>
      <c r="AO66" s="459">
        <f t="shared" si="6"/>
        <v>9138.8285141192846</v>
      </c>
      <c r="AP66" s="459">
        <f t="shared" si="6"/>
        <v>2955.0227137795782</v>
      </c>
      <c r="AQ66" s="459">
        <f t="shared" si="6"/>
        <v>815.65560928304831</v>
      </c>
      <c r="AR66" s="459">
        <f t="shared" si="6"/>
        <v>4532.3319740611278</v>
      </c>
      <c r="AS66" s="459">
        <f t="shared" si="6"/>
        <v>3077.3030424514159</v>
      </c>
      <c r="AT66" s="459">
        <f t="shared" si="6"/>
        <v>1474.3848490170285</v>
      </c>
      <c r="AU66" s="459">
        <f t="shared" si="6"/>
        <v>1825.7057370695613</v>
      </c>
      <c r="AW66" s="216">
        <f>(B66/Population_Tables!O40)*Population_Tables!C40</f>
        <v>20942.755402283732</v>
      </c>
      <c r="AX66" s="153" t="str">
        <f t="shared" si="7"/>
        <v>OK</v>
      </c>
      <c r="AY66" s="421">
        <f t="shared" si="4"/>
        <v>17649.029590183094</v>
      </c>
      <c r="AZ66" s="153" t="str">
        <f t="shared" si="5"/>
        <v>OK</v>
      </c>
      <c r="BB66" s="216">
        <f>(C66/Population_Tables!P40)*Population_Tables!D40</f>
        <v>3929.7805983612716</v>
      </c>
      <c r="BC66" s="216">
        <f>(D66/Population_Tables!Q40)*Population_Tables!E40</f>
        <v>809.74215463991163</v>
      </c>
      <c r="BD66" s="216">
        <f>(E66/Population_Tables!R40)*Population_Tables!F40</f>
        <v>9138.8285141192846</v>
      </c>
      <c r="BE66" s="216">
        <f>(F66/Population_Tables!S40)*Population_Tables!G40</f>
        <v>2955.0227137795782</v>
      </c>
      <c r="BF66" s="216">
        <f>(G66/Population_Tables!T40)*Population_Tables!H40</f>
        <v>815.65560928304831</v>
      </c>
      <c r="BG66" s="216"/>
      <c r="BN66" s="216"/>
      <c r="BO66" s="216"/>
      <c r="BP66" s="216"/>
    </row>
    <row r="67" spans="1:68" ht="15.6" x14ac:dyDescent="0.3">
      <c r="A67" s="194">
        <v>2052</v>
      </c>
      <c r="B67" s="229">
        <v>19377.098090773063</v>
      </c>
      <c r="C67" s="229">
        <v>3647.7338413065622</v>
      </c>
      <c r="D67" s="229">
        <v>749.43452003275229</v>
      </c>
      <c r="E67" s="229">
        <v>8437.3583638727887</v>
      </c>
      <c r="F67" s="229">
        <v>2782.6007932415596</v>
      </c>
      <c r="G67" s="229">
        <v>738.2096128184952</v>
      </c>
      <c r="H67" s="229">
        <v>4221.9161698135413</v>
      </c>
      <c r="I67" s="229">
        <v>2882.6514143984027</v>
      </c>
      <c r="J67" s="229">
        <v>1369.0784668116057</v>
      </c>
      <c r="K67" s="229">
        <v>1688.7241613187853</v>
      </c>
      <c r="M67" s="194">
        <v>2052</v>
      </c>
      <c r="N67" s="419">
        <f t="shared" si="2"/>
        <v>4905.5646997307649</v>
      </c>
      <c r="O67" s="418">
        <f>(C67/Population_Tables!P41)*Population_Tables!D100</f>
        <v>0</v>
      </c>
      <c r="P67" s="418">
        <f>(D67/Population_Tables!Q41)*Population_Tables!E100</f>
        <v>0</v>
      </c>
      <c r="Q67" s="418">
        <f>((E67-H67)/Population_Tables!R41)*Population_Tables!F100</f>
        <v>2734.1475737172423</v>
      </c>
      <c r="R67" s="418">
        <f>(F67/Population_Tables!S41)*Population_Tables!G100</f>
        <v>1924.9759102404214</v>
      </c>
      <c r="S67" s="418">
        <f>(G67/Population_Tables!T41)*Population_Tables!H100</f>
        <v>246.44121577310111</v>
      </c>
      <c r="T67" s="418">
        <f>(H67/Population_Tables!U41)*Population_Tables!I100</f>
        <v>0</v>
      </c>
      <c r="U67" s="418">
        <f>(I67/Population_Tables!V41)*Population_Tables!J100</f>
        <v>0</v>
      </c>
      <c r="V67" s="418">
        <f>(J67/Population_Tables!W41)*Population_Tables!K100</f>
        <v>0</v>
      </c>
      <c r="W67" s="418">
        <f>(K67/Population_Tables!X41)*Population_Tables!L100</f>
        <v>0</v>
      </c>
      <c r="Y67" s="456">
        <v>2052</v>
      </c>
      <c r="Z67" s="459">
        <f>((B67/Population_Tables!O41)*Population_Tables!C41)-N67</f>
        <v>16418.16246300959</v>
      </c>
      <c r="AA67" s="459">
        <f>((C67/Population_Tables!P41)*Population_Tables!D41)-O67</f>
        <v>3956.9541472597639</v>
      </c>
      <c r="AB67" s="459">
        <f>((D67/Population_Tables!Q41)*Population_Tables!E41)-P67</f>
        <v>819.09735973616375</v>
      </c>
      <c r="AC67" s="459">
        <f>((E67/Population_Tables!R41)*Population_Tables!F41)-Q67</f>
        <v>6592.2848441232763</v>
      </c>
      <c r="AD67" s="459">
        <f>((F67/Population_Tables!S41)*Population_Tables!G41)-R67</f>
        <v>1116.8121511527011</v>
      </c>
      <c r="AE67" s="459">
        <f>((G67/Population_Tables!T41)*Population_Tables!H41)-S67</f>
        <v>582.0782195448968</v>
      </c>
      <c r="AF67" s="459">
        <f>(H67/Population_Tables!U41)*Population_Tables!I41</f>
        <v>4576.666601473612</v>
      </c>
      <c r="AG67" s="459">
        <f>(I67/Population_Tables!V41)*Population_Tables!J41</f>
        <v>3180.7786694532988</v>
      </c>
      <c r="AH67" s="459">
        <f>(J67/Population_Tables!W41)*Population_Tables!K41</f>
        <v>1482.2551765548208</v>
      </c>
      <c r="AI67" s="459">
        <f>(K67/Population_Tables!X41)*Population_Tables!L41</f>
        <v>1843.8134984802189</v>
      </c>
      <c r="AK67" s="456">
        <v>2052</v>
      </c>
      <c r="AL67" s="459">
        <f t="shared" si="6"/>
        <v>21323.727162740353</v>
      </c>
      <c r="AM67" s="459">
        <f t="shared" si="6"/>
        <v>3956.9541472597639</v>
      </c>
      <c r="AN67" s="459">
        <f t="shared" si="6"/>
        <v>819.09735973616375</v>
      </c>
      <c r="AO67" s="459">
        <f t="shared" si="6"/>
        <v>9326.4324178405186</v>
      </c>
      <c r="AP67" s="459">
        <f t="shared" si="6"/>
        <v>3041.7880613931225</v>
      </c>
      <c r="AQ67" s="459">
        <f t="shared" si="6"/>
        <v>828.51943531799793</v>
      </c>
      <c r="AR67" s="459">
        <f t="shared" si="6"/>
        <v>4576.666601473612</v>
      </c>
      <c r="AS67" s="459">
        <f t="shared" si="6"/>
        <v>3180.7786694532988</v>
      </c>
      <c r="AT67" s="459">
        <f t="shared" si="6"/>
        <v>1482.2551765548208</v>
      </c>
      <c r="AU67" s="459">
        <f t="shared" si="6"/>
        <v>1843.8134984802189</v>
      </c>
      <c r="AW67" s="216">
        <f>(B67/Population_Tables!O41)*Population_Tables!C41</f>
        <v>21323.727162740357</v>
      </c>
      <c r="AX67" s="153" t="b">
        <f t="shared" si="7"/>
        <v>0</v>
      </c>
      <c r="AY67" s="421">
        <f t="shared" si="4"/>
        <v>17972.791421547565</v>
      </c>
      <c r="AZ67" s="153" t="str">
        <f t="shared" si="5"/>
        <v>OK</v>
      </c>
      <c r="BB67" s="216">
        <f>(C67/Population_Tables!P41)*Population_Tables!D41</f>
        <v>3956.9541472597639</v>
      </c>
      <c r="BC67" s="216">
        <f>(D67/Population_Tables!Q41)*Population_Tables!E41</f>
        <v>819.09735973616375</v>
      </c>
      <c r="BD67" s="216">
        <f>(E67/Population_Tables!R41)*Population_Tables!F41</f>
        <v>9326.4324178405186</v>
      </c>
      <c r="BE67" s="216">
        <f>(F67/Population_Tables!S41)*Population_Tables!G41</f>
        <v>3041.7880613931225</v>
      </c>
      <c r="BF67" s="216">
        <f>(G67/Population_Tables!T41)*Population_Tables!H41</f>
        <v>828.51943531799793</v>
      </c>
      <c r="BG67" s="216"/>
      <c r="BN67" s="216"/>
      <c r="BO67" s="216"/>
      <c r="BP67" s="216"/>
    </row>
    <row r="68" spans="1:68" ht="15.6" x14ac:dyDescent="0.3">
      <c r="A68" s="194">
        <v>2053</v>
      </c>
      <c r="B68" s="229">
        <v>19648.445236051204</v>
      </c>
      <c r="C68" s="229">
        <v>3660.9068997338418</v>
      </c>
      <c r="D68" s="229">
        <v>755.08806962539734</v>
      </c>
      <c r="E68" s="229">
        <v>8571.3087888530099</v>
      </c>
      <c r="F68" s="229">
        <v>2853.8563400250032</v>
      </c>
      <c r="G68" s="229">
        <v>746.19265027467941</v>
      </c>
      <c r="H68" s="229">
        <v>4247.2292877852415</v>
      </c>
      <c r="I68" s="229">
        <v>2965.6783119097508</v>
      </c>
      <c r="J68" s="229">
        <v>1371.7645446404545</v>
      </c>
      <c r="K68" s="229">
        <v>1699.5449070255122</v>
      </c>
      <c r="M68" s="194">
        <v>2053</v>
      </c>
      <c r="N68" s="419">
        <f t="shared" si="2"/>
        <v>5064.8124218303474</v>
      </c>
      <c r="O68" s="418">
        <f>(C68/Population_Tables!P42)*Population_Tables!D101</f>
        <v>0</v>
      </c>
      <c r="P68" s="418">
        <f>(D68/Population_Tables!Q42)*Population_Tables!E101</f>
        <v>0</v>
      </c>
      <c r="Q68" s="418">
        <f>((E68-H68)/Population_Tables!R42)*Population_Tables!F101</f>
        <v>2828.4505090601865</v>
      </c>
      <c r="R68" s="418">
        <f>(F68/Population_Tables!S42)*Population_Tables!G101</f>
        <v>1985.2821316091984</v>
      </c>
      <c r="S68" s="418">
        <f>(G68/Population_Tables!T42)*Population_Tables!H101</f>
        <v>251.07978116096319</v>
      </c>
      <c r="T68" s="418">
        <f>(H68/Population_Tables!U42)*Population_Tables!I101</f>
        <v>0</v>
      </c>
      <c r="U68" s="418">
        <f>(I68/Population_Tables!V42)*Population_Tables!J101</f>
        <v>0</v>
      </c>
      <c r="V68" s="418">
        <f>(J68/Population_Tables!W42)*Population_Tables!K101</f>
        <v>0</v>
      </c>
      <c r="W68" s="418">
        <f>(K68/Population_Tables!X42)*Population_Tables!L101</f>
        <v>0</v>
      </c>
      <c r="Y68" s="456">
        <v>2053</v>
      </c>
      <c r="Z68" s="459">
        <f>((B68/Population_Tables!O42)*Population_Tables!C42)-N68</f>
        <v>16647.439643567413</v>
      </c>
      <c r="AA68" s="459">
        <f>((C68/Population_Tables!P42)*Population_Tables!D42)-O68</f>
        <v>3984.375439402153</v>
      </c>
      <c r="AB68" s="459">
        <f>((D68/Population_Tables!Q42)*Population_Tables!E42)-P68</f>
        <v>828.65572323794299</v>
      </c>
      <c r="AC68" s="459">
        <f>((E68/Population_Tables!R42)*Population_Tables!F42)-Q68</f>
        <v>6689.181003649539</v>
      </c>
      <c r="AD68" s="459">
        <f>((F68/Population_Tables!S42)*Population_Tables!G42)-R68</f>
        <v>1146.0246784993376</v>
      </c>
      <c r="AE68" s="459">
        <f>((G68/Population_Tables!T42)*Population_Tables!H42)-S68</f>
        <v>590.48837228553134</v>
      </c>
      <c r="AF68" s="459">
        <f>(H68/Population_Tables!U42)*Population_Tables!I42</f>
        <v>4620.9645891717637</v>
      </c>
      <c r="AG68" s="459">
        <f>(I68/Population_Tables!V42)*Population_Tables!J42</f>
        <v>3287.1178894369746</v>
      </c>
      <c r="AH68" s="459">
        <f>(J68/Population_Tables!W42)*Population_Tables!K42</f>
        <v>1490.2178645549229</v>
      </c>
      <c r="AI68" s="459">
        <f>(K68/Population_Tables!X42)*Population_Tables!L42</f>
        <v>1862.2128225301706</v>
      </c>
      <c r="AK68" s="456">
        <v>2053</v>
      </c>
      <c r="AL68" s="459">
        <f t="shared" si="6"/>
        <v>21712.252065397763</v>
      </c>
      <c r="AM68" s="459">
        <f t="shared" si="6"/>
        <v>3984.375439402153</v>
      </c>
      <c r="AN68" s="459">
        <f t="shared" si="6"/>
        <v>828.65572323794299</v>
      </c>
      <c r="AO68" s="459">
        <f t="shared" si="6"/>
        <v>9517.6315127097259</v>
      </c>
      <c r="AP68" s="459">
        <f t="shared" si="6"/>
        <v>3131.306810108536</v>
      </c>
      <c r="AQ68" s="459">
        <f t="shared" si="6"/>
        <v>841.56815344649453</v>
      </c>
      <c r="AR68" s="459">
        <f t="shared" si="6"/>
        <v>4620.9645891717637</v>
      </c>
      <c r="AS68" s="459">
        <f t="shared" si="6"/>
        <v>3287.1178894369746</v>
      </c>
      <c r="AT68" s="459">
        <f t="shared" si="6"/>
        <v>1490.2178645549229</v>
      </c>
      <c r="AU68" s="459">
        <f t="shared" si="6"/>
        <v>1862.2128225301706</v>
      </c>
      <c r="AW68" s="216">
        <f>(B68/Population_Tables!O42)*Population_Tables!C42</f>
        <v>21712.252065397759</v>
      </c>
      <c r="AX68" s="153" t="b">
        <f t="shared" si="7"/>
        <v>0</v>
      </c>
      <c r="AY68" s="421">
        <f t="shared" si="4"/>
        <v>18303.537638904851</v>
      </c>
      <c r="AZ68" s="153" t="str">
        <f t="shared" si="5"/>
        <v>OK</v>
      </c>
      <c r="BB68" s="216">
        <f>(C68/Population_Tables!P42)*Population_Tables!D42</f>
        <v>3984.375439402153</v>
      </c>
      <c r="BC68" s="216">
        <f>(D68/Population_Tables!Q42)*Population_Tables!E42</f>
        <v>828.65572323794299</v>
      </c>
      <c r="BD68" s="216">
        <f>(E68/Population_Tables!R42)*Population_Tables!F42</f>
        <v>9517.6315127097259</v>
      </c>
      <c r="BE68" s="216">
        <f>(F68/Population_Tables!S42)*Population_Tables!G42</f>
        <v>3131.306810108536</v>
      </c>
      <c r="BF68" s="216">
        <f>(G68/Population_Tables!T42)*Population_Tables!H42</f>
        <v>841.56815344649453</v>
      </c>
      <c r="BG68" s="216"/>
      <c r="BN68" s="216"/>
      <c r="BO68" s="216"/>
      <c r="BP68" s="216"/>
    </row>
    <row r="69" spans="1:68" ht="15.6" x14ac:dyDescent="0.3">
      <c r="A69" s="194">
        <v>2054</v>
      </c>
      <c r="B69" s="229">
        <v>19921.938210866912</v>
      </c>
      <c r="C69" s="229">
        <v>3673.840762049063</v>
      </c>
      <c r="D69" s="229">
        <v>760.7863521383199</v>
      </c>
      <c r="E69" s="229">
        <v>8705.9002270767123</v>
      </c>
      <c r="F69" s="229">
        <v>2926.8873734076806</v>
      </c>
      <c r="G69" s="229">
        <v>754.15822780953761</v>
      </c>
      <c r="H69" s="229">
        <v>4271.7702349238562</v>
      </c>
      <c r="I69" s="229">
        <v>3050.0240090914285</v>
      </c>
      <c r="J69" s="229">
        <v>1374.3721096013367</v>
      </c>
      <c r="K69" s="229">
        <v>1710.3814804508143</v>
      </c>
      <c r="M69" s="194">
        <v>2054</v>
      </c>
      <c r="N69" s="419">
        <f t="shared" si="2"/>
        <v>5228.8433192004677</v>
      </c>
      <c r="O69" s="418">
        <f>(C69/Population_Tables!P43)*Population_Tables!D102</f>
        <v>0</v>
      </c>
      <c r="P69" s="418">
        <f>(D69/Population_Tables!Q43)*Population_Tables!E102</f>
        <v>0</v>
      </c>
      <c r="Q69" s="418">
        <f>((E69-H69)/Population_Tables!R43)*Population_Tables!F102</f>
        <v>2925.5119001368193</v>
      </c>
      <c r="R69" s="418">
        <f>(F69/Population_Tables!S43)*Population_Tables!G102</f>
        <v>2047.5311835958448</v>
      </c>
      <c r="S69" s="418">
        <f>(G69/Population_Tables!T43)*Population_Tables!H102</f>
        <v>255.80023546780387</v>
      </c>
      <c r="T69" s="418">
        <f>(H69/Population_Tables!U43)*Population_Tables!I102</f>
        <v>0</v>
      </c>
      <c r="U69" s="418">
        <f>(I69/Population_Tables!V43)*Population_Tables!J102</f>
        <v>0</v>
      </c>
      <c r="V69" s="418">
        <f>(J69/Population_Tables!W43)*Population_Tables!K102</f>
        <v>0</v>
      </c>
      <c r="W69" s="418">
        <f>(K69/Population_Tables!X43)*Population_Tables!L102</f>
        <v>0</v>
      </c>
      <c r="Y69" s="456">
        <v>2054</v>
      </c>
      <c r="Z69" s="459">
        <f>((B69/Population_Tables!O43)*Population_Tables!C43)-N69</f>
        <v>16879.56179432413</v>
      </c>
      <c r="AA69" s="459">
        <f>((C69/Population_Tables!P43)*Population_Tables!D43)-O69</f>
        <v>4012.0799890330586</v>
      </c>
      <c r="AB69" s="459">
        <f>((D69/Population_Tables!Q43)*Population_Tables!E43)-P69</f>
        <v>838.42131105060139</v>
      </c>
      <c r="AC69" s="459">
        <f>((E69/Population_Tables!R43)*Population_Tables!F43)-Q69</f>
        <v>6786.9130590557716</v>
      </c>
      <c r="AD69" s="459">
        <f>((F69/Population_Tables!S43)*Population_Tables!G43)-R69</f>
        <v>1176.1221053302572</v>
      </c>
      <c r="AE69" s="459">
        <f>((G69/Population_Tables!T43)*Population_Tables!H43)-S69</f>
        <v>599.0043311485681</v>
      </c>
      <c r="AF69" s="459">
        <f>(H69/Population_Tables!U43)*Population_Tables!I43</f>
        <v>4665.1803577123246</v>
      </c>
      <c r="AG69" s="459">
        <f>(I69/Population_Tables!V43)*Population_Tables!J43</f>
        <v>3396.3430780617832</v>
      </c>
      <c r="AH69" s="459">
        <f>(J69/Population_Tables!W43)*Population_Tables!K43</f>
        <v>1498.2890359287767</v>
      </c>
      <c r="AI69" s="459">
        <f>(K69/Population_Tables!X43)*Population_Tables!L43</f>
        <v>1880.9274040024759</v>
      </c>
      <c r="AK69" s="456">
        <v>2054</v>
      </c>
      <c r="AL69" s="459">
        <f t="shared" ref="AL69:AU75" si="8">Z69+N69</f>
        <v>22108.405113524597</v>
      </c>
      <c r="AM69" s="459">
        <f t="shared" si="8"/>
        <v>4012.0799890330586</v>
      </c>
      <c r="AN69" s="459">
        <f t="shared" si="8"/>
        <v>838.42131105060139</v>
      </c>
      <c r="AO69" s="459">
        <f t="shared" si="8"/>
        <v>9712.4249591925909</v>
      </c>
      <c r="AP69" s="459">
        <f t="shared" si="8"/>
        <v>3223.6532889261021</v>
      </c>
      <c r="AQ69" s="459">
        <f t="shared" si="8"/>
        <v>854.80456661637197</v>
      </c>
      <c r="AR69" s="459">
        <f t="shared" si="8"/>
        <v>4665.1803577123246</v>
      </c>
      <c r="AS69" s="459">
        <f t="shared" si="8"/>
        <v>3396.3430780617832</v>
      </c>
      <c r="AT69" s="459">
        <f t="shared" si="8"/>
        <v>1498.2890359287767</v>
      </c>
      <c r="AU69" s="459">
        <f t="shared" si="8"/>
        <v>1880.9274040024759</v>
      </c>
      <c r="AW69" s="216">
        <f>(B69/Population_Tables!O43)*Population_Tables!C43</f>
        <v>22108.405113524597</v>
      </c>
      <c r="AX69" s="153" t="str">
        <f t="shared" si="7"/>
        <v>OK</v>
      </c>
      <c r="AY69" s="421">
        <f t="shared" si="4"/>
        <v>18641.384114818724</v>
      </c>
      <c r="AZ69" s="153" t="str">
        <f t="shared" si="5"/>
        <v>OK</v>
      </c>
      <c r="BB69" s="216">
        <f>(C69/Population_Tables!P43)*Population_Tables!D43</f>
        <v>4012.0799890330586</v>
      </c>
      <c r="BC69" s="216">
        <f>(D69/Population_Tables!Q43)*Population_Tables!E43</f>
        <v>838.42131105060139</v>
      </c>
      <c r="BD69" s="216">
        <f>(E69/Population_Tables!R43)*Population_Tables!F43</f>
        <v>9712.4249591925909</v>
      </c>
      <c r="BE69" s="216">
        <f>(F69/Population_Tables!S43)*Population_Tables!G43</f>
        <v>3223.6532889261021</v>
      </c>
      <c r="BF69" s="216">
        <f>(G69/Population_Tables!T43)*Population_Tables!H43</f>
        <v>854.80456661637197</v>
      </c>
      <c r="BG69" s="216"/>
      <c r="BN69" s="216"/>
      <c r="BO69" s="216"/>
      <c r="BP69" s="216"/>
    </row>
    <row r="70" spans="1:68" ht="15.6" x14ac:dyDescent="0.3">
      <c r="A70" s="194">
        <v>2055</v>
      </c>
      <c r="B70" s="229">
        <v>20197.562485094975</v>
      </c>
      <c r="C70" s="229">
        <v>3686.534507048988</v>
      </c>
      <c r="D70" s="229">
        <v>766.52844282405363</v>
      </c>
      <c r="E70" s="229">
        <v>8841.0906461803097</v>
      </c>
      <c r="F70" s="229">
        <v>3001.7304363903977</v>
      </c>
      <c r="G70" s="229">
        <v>762.10462688039161</v>
      </c>
      <c r="H70" s="229">
        <v>4295.5057750260403</v>
      </c>
      <c r="I70" s="229">
        <v>3135.6734849752193</v>
      </c>
      <c r="J70" s="229">
        <v>1376.9044827105918</v>
      </c>
      <c r="K70" s="229">
        <v>1721.2397733450041</v>
      </c>
      <c r="M70" s="194">
        <v>2055</v>
      </c>
      <c r="N70" s="419">
        <f t="shared" si="2"/>
        <v>5397.7527213772319</v>
      </c>
      <c r="O70" s="418">
        <f>(C70/Population_Tables!P44)*Population_Tables!D103</f>
        <v>0</v>
      </c>
      <c r="P70" s="418">
        <f>(D70/Population_Tables!Q44)*Population_Tables!E103</f>
        <v>0</v>
      </c>
      <c r="Q70" s="418">
        <f>((E70-H70)/Population_Tables!R44)*Population_Tables!F103</f>
        <v>3025.3696264221999</v>
      </c>
      <c r="R70" s="418">
        <f>(F70/Population_Tables!S44)*Population_Tables!G103</f>
        <v>2111.779362947459</v>
      </c>
      <c r="S70" s="418">
        <f>(G70/Population_Tables!T44)*Population_Tables!H103</f>
        <v>260.60373200757272</v>
      </c>
      <c r="T70" s="418">
        <f>(H70/Population_Tables!U44)*Population_Tables!I103</f>
        <v>0</v>
      </c>
      <c r="U70" s="418">
        <f>(I70/Population_Tables!V44)*Population_Tables!J103</f>
        <v>0</v>
      </c>
      <c r="V70" s="418">
        <f>(J70/Population_Tables!W44)*Population_Tables!K103</f>
        <v>0</v>
      </c>
      <c r="W70" s="418">
        <f>(K70/Population_Tables!X44)*Population_Tables!L103</f>
        <v>0</v>
      </c>
      <c r="Y70" s="456">
        <v>2055</v>
      </c>
      <c r="Z70" s="459">
        <f>((B70/Population_Tables!O44)*Population_Tables!C44)-N70</f>
        <v>17114.515791299717</v>
      </c>
      <c r="AA70" s="459">
        <f>((C70/Population_Tables!P44)*Population_Tables!D44)-O70</f>
        <v>4040.0964564984729</v>
      </c>
      <c r="AB70" s="459">
        <f>((D70/Population_Tables!Q44)*Population_Tables!E44)-P70</f>
        <v>848.39869456616191</v>
      </c>
      <c r="AC70" s="459">
        <f>((E70/Population_Tables!R44)*Population_Tables!F44)-Q70</f>
        <v>6885.4490087731901</v>
      </c>
      <c r="AD70" s="459">
        <f>((F70/Population_Tables!S44)*Population_Tables!G44)-R70</f>
        <v>1207.1234130641869</v>
      </c>
      <c r="AE70" s="459">
        <f>((G70/Population_Tables!T44)*Population_Tables!H44)-S70</f>
        <v>607.62755797352384</v>
      </c>
      <c r="AF70" s="459">
        <f>(H70/Population_Tables!U44)*Population_Tables!I44</f>
        <v>4709.2846589557566</v>
      </c>
      <c r="AG70" s="459">
        <f>(I70/Population_Tables!V44)*Population_Tables!J44</f>
        <v>3508.4763625823039</v>
      </c>
      <c r="AH70" s="459">
        <f>(J70/Population_Tables!W44)*Population_Tables!K44</f>
        <v>1506.4833267024194</v>
      </c>
      <c r="AI70" s="459">
        <f>(K70/Population_Tables!X44)*Population_Tables!L44</f>
        <v>1899.9750143714716</v>
      </c>
      <c r="AK70" s="456">
        <v>2055</v>
      </c>
      <c r="AL70" s="459">
        <f t="shared" si="8"/>
        <v>22512.26851267695</v>
      </c>
      <c r="AM70" s="459">
        <f t="shared" si="8"/>
        <v>4040.0964564984729</v>
      </c>
      <c r="AN70" s="459">
        <f t="shared" si="8"/>
        <v>848.39869456616191</v>
      </c>
      <c r="AO70" s="459">
        <f t="shared" si="8"/>
        <v>9910.81863519539</v>
      </c>
      <c r="AP70" s="459">
        <f t="shared" si="8"/>
        <v>3318.902776011646</v>
      </c>
      <c r="AQ70" s="459">
        <f t="shared" si="8"/>
        <v>868.23128998109655</v>
      </c>
      <c r="AR70" s="459">
        <f t="shared" si="8"/>
        <v>4709.2846589557566</v>
      </c>
      <c r="AS70" s="459">
        <f t="shared" si="8"/>
        <v>3508.4763625823039</v>
      </c>
      <c r="AT70" s="459">
        <f t="shared" si="8"/>
        <v>1506.4833267024194</v>
      </c>
      <c r="AU70" s="459">
        <f t="shared" si="8"/>
        <v>1899.9750143714716</v>
      </c>
      <c r="AW70" s="216">
        <f>(B70/Population_Tables!O44)*Population_Tables!C44</f>
        <v>22512.268512676947</v>
      </c>
      <c r="AX70" s="153" t="b">
        <f t="shared" si="7"/>
        <v>0</v>
      </c>
      <c r="AY70" s="421">
        <f t="shared" si="4"/>
        <v>18986.447852252768</v>
      </c>
      <c r="AZ70" s="153" t="str">
        <f t="shared" si="5"/>
        <v>OK</v>
      </c>
      <c r="BB70" s="216">
        <f>(C70/Population_Tables!P44)*Population_Tables!D44</f>
        <v>4040.0964564984729</v>
      </c>
      <c r="BC70" s="216">
        <f>(D70/Population_Tables!Q44)*Population_Tables!E44</f>
        <v>848.39869456616191</v>
      </c>
      <c r="BD70" s="216">
        <f>(E70/Population_Tables!R44)*Population_Tables!F44</f>
        <v>9910.81863519539</v>
      </c>
      <c r="BE70" s="216">
        <f>(F70/Population_Tables!S44)*Population_Tables!G44</f>
        <v>3318.902776011646</v>
      </c>
      <c r="BF70" s="216">
        <f>(G70/Population_Tables!T44)*Population_Tables!H44</f>
        <v>868.23128998109655</v>
      </c>
      <c r="BG70" s="216"/>
      <c r="BN70" s="216"/>
      <c r="BO70" s="216"/>
      <c r="BP70" s="216"/>
    </row>
    <row r="71" spans="1:68" ht="15.6" x14ac:dyDescent="0.3">
      <c r="A71" s="194">
        <v>2056</v>
      </c>
      <c r="B71" s="229">
        <v>20475.321099463305</v>
      </c>
      <c r="C71" s="229">
        <v>3698.9901611117648</v>
      </c>
      <c r="D71" s="229">
        <v>772.31471680839115</v>
      </c>
      <c r="E71" s="229">
        <v>8976.8500865281712</v>
      </c>
      <c r="F71" s="229">
        <v>3078.4227977570822</v>
      </c>
      <c r="G71" s="229">
        <v>770.03029779079475</v>
      </c>
      <c r="H71" s="229">
        <v>4318.4221433297134</v>
      </c>
      <c r="I71" s="229">
        <v>3222.6160374287101</v>
      </c>
      <c r="J71" s="229">
        <v>1379.3653413249217</v>
      </c>
      <c r="K71" s="229">
        <v>1732.1221651901219</v>
      </c>
      <c r="M71" s="194">
        <v>2056</v>
      </c>
      <c r="N71" s="419">
        <f t="shared" si="2"/>
        <v>5571.658660227873</v>
      </c>
      <c r="O71" s="418">
        <f>(C71/Population_Tables!P45)*Population_Tables!D104</f>
        <v>0</v>
      </c>
      <c r="P71" s="418">
        <f>(D71/Population_Tables!Q45)*Population_Tables!E104</f>
        <v>0</v>
      </c>
      <c r="Q71" s="418">
        <f>((E71-H71)/Population_Tables!R45)*Population_Tables!F104</f>
        <v>3128.0818137532656</v>
      </c>
      <c r="R71" s="418">
        <f>(F71/Population_Tables!S45)*Population_Tables!G104</f>
        <v>2178.0850571092919</v>
      </c>
      <c r="S71" s="418">
        <f>(G71/Population_Tables!T45)*Population_Tables!H104</f>
        <v>265.4917893653153</v>
      </c>
      <c r="T71" s="418">
        <f>(H71/Population_Tables!U45)*Population_Tables!I104</f>
        <v>0</v>
      </c>
      <c r="U71" s="418">
        <f>(I71/Population_Tables!V45)*Population_Tables!J104</f>
        <v>0</v>
      </c>
      <c r="V71" s="418">
        <f>(J71/Population_Tables!W45)*Population_Tables!K104</f>
        <v>0</v>
      </c>
      <c r="W71" s="418">
        <f>(K71/Population_Tables!X45)*Population_Tables!L104</f>
        <v>0</v>
      </c>
      <c r="Y71" s="456">
        <v>2056</v>
      </c>
      <c r="Z71" s="459">
        <f>((B71/Population_Tables!O45)*Population_Tables!C45)-N71</f>
        <v>17352.338005538153</v>
      </c>
      <c r="AA71" s="459">
        <f>((C71/Population_Tables!P45)*Population_Tables!D45)-O71</f>
        <v>4068.4469633194808</v>
      </c>
      <c r="AB71" s="459">
        <f>((D71/Population_Tables!Q45)*Population_Tables!E45)-P71</f>
        <v>858.59399270735014</v>
      </c>
      <c r="AC71" s="459">
        <f>((E71/Population_Tables!R45)*Population_Tables!F45)-Q71</f>
        <v>6984.7904701693533</v>
      </c>
      <c r="AD71" s="459">
        <f>((F71/Population_Tables!S45)*Population_Tables!G45)-R71</f>
        <v>1239.0526343338365</v>
      </c>
      <c r="AE71" s="459">
        <f>((G71/Population_Tables!T45)*Population_Tables!H45)-S71</f>
        <v>616.36058691924688</v>
      </c>
      <c r="AF71" s="459">
        <f>(H71/Population_Tables!U45)*Population_Tables!I45</f>
        <v>4753.276834753714</v>
      </c>
      <c r="AG71" s="459">
        <f>(I71/Population_Tables!V45)*Population_Tables!J45</f>
        <v>3623.570208798626</v>
      </c>
      <c r="AH71" s="459">
        <f>(J71/Population_Tables!W45)*Population_Tables!K45</f>
        <v>1514.8126605285472</v>
      </c>
      <c r="AI71" s="459">
        <f>(K71/Population_Tables!X45)*Population_Tables!L45</f>
        <v>1919.3677861197839</v>
      </c>
      <c r="AK71" s="456">
        <v>2056</v>
      </c>
      <c r="AL71" s="459">
        <f t="shared" si="8"/>
        <v>22923.996665766026</v>
      </c>
      <c r="AM71" s="459">
        <f t="shared" si="8"/>
        <v>4068.4469633194808</v>
      </c>
      <c r="AN71" s="459">
        <f t="shared" si="8"/>
        <v>858.59399270735014</v>
      </c>
      <c r="AO71" s="459">
        <f t="shared" si="8"/>
        <v>10112.872283922619</v>
      </c>
      <c r="AP71" s="459">
        <f t="shared" si="8"/>
        <v>3417.1376914431285</v>
      </c>
      <c r="AQ71" s="459">
        <f t="shared" si="8"/>
        <v>881.85237628456218</v>
      </c>
      <c r="AR71" s="459">
        <f t="shared" si="8"/>
        <v>4753.276834753714</v>
      </c>
      <c r="AS71" s="459">
        <f t="shared" si="8"/>
        <v>3623.570208798626</v>
      </c>
      <c r="AT71" s="459">
        <f t="shared" si="8"/>
        <v>1514.8126605285472</v>
      </c>
      <c r="AU71" s="459">
        <f t="shared" si="8"/>
        <v>1919.3677861197839</v>
      </c>
      <c r="AW71" s="216">
        <f>(B71/Population_Tables!O45)*Population_Tables!C45</f>
        <v>22923.996665766026</v>
      </c>
      <c r="AX71" s="153" t="str">
        <f t="shared" si="7"/>
        <v>OK</v>
      </c>
      <c r="AY71" s="421">
        <f t="shared" si="4"/>
        <v>19338.903307677141</v>
      </c>
      <c r="AZ71" s="153" t="str">
        <f t="shared" si="5"/>
        <v>OK</v>
      </c>
      <c r="BB71" s="216">
        <f>(C71/Population_Tables!P45)*Population_Tables!D45</f>
        <v>4068.4469633194808</v>
      </c>
      <c r="BC71" s="216">
        <f>(D71/Population_Tables!Q45)*Population_Tables!E45</f>
        <v>858.59399270735014</v>
      </c>
      <c r="BD71" s="216">
        <f>(E71/Population_Tables!R45)*Population_Tables!F45</f>
        <v>10112.872283922619</v>
      </c>
      <c r="BE71" s="216">
        <f>(F71/Population_Tables!S45)*Population_Tables!G45</f>
        <v>3417.1376914431285</v>
      </c>
      <c r="BF71" s="216">
        <f>(G71/Population_Tables!T45)*Population_Tables!H45</f>
        <v>881.85237628456218</v>
      </c>
      <c r="BG71" s="216"/>
      <c r="BN71" s="216"/>
      <c r="BO71" s="216"/>
      <c r="BP71" s="216"/>
    </row>
    <row r="72" spans="1:68" ht="15.6" x14ac:dyDescent="0.3">
      <c r="A72" s="194">
        <v>2057</v>
      </c>
      <c r="B72" s="229">
        <v>20755.240683388936</v>
      </c>
      <c r="C72" s="229">
        <v>3711.2091600725803</v>
      </c>
      <c r="D72" s="229">
        <v>778.1462425021507</v>
      </c>
      <c r="E72" s="229">
        <v>9113.1635074254009</v>
      </c>
      <c r="F72" s="229">
        <v>3157.0024690101736</v>
      </c>
      <c r="G72" s="229">
        <v>777.93366923230235</v>
      </c>
      <c r="H72" s="229">
        <v>4340.5349317735636</v>
      </c>
      <c r="I72" s="229">
        <v>3310.8424535074791</v>
      </c>
      <c r="J72" s="229">
        <v>1381.7584633526096</v>
      </c>
      <c r="K72" s="229">
        <v>1743.027312100633</v>
      </c>
      <c r="M72" s="194">
        <v>2057</v>
      </c>
      <c r="N72" s="419">
        <f t="shared" si="2"/>
        <v>5750.6584378782827</v>
      </c>
      <c r="O72" s="418">
        <f>(C72/Population_Tables!P46)*Population_Tables!D105</f>
        <v>0</v>
      </c>
      <c r="P72" s="418">
        <f>(D72/Population_Tables!Q46)*Population_Tables!E105</f>
        <v>0</v>
      </c>
      <c r="Q72" s="418">
        <f>((E72-H72)/Population_Tables!R46)*Population_Tables!F105</f>
        <v>3233.6885787178135</v>
      </c>
      <c r="R72" s="418">
        <f>(F72/Population_Tables!S46)*Population_Tables!G105</f>
        <v>2246.5042017581491</v>
      </c>
      <c r="S72" s="418">
        <f>(G72/Population_Tables!T46)*Population_Tables!H105</f>
        <v>270.46565740232029</v>
      </c>
      <c r="T72" s="418">
        <f>(H72/Population_Tables!U46)*Population_Tables!I105</f>
        <v>0</v>
      </c>
      <c r="U72" s="418">
        <f>(I72/Population_Tables!V46)*Population_Tables!J105</f>
        <v>0</v>
      </c>
      <c r="V72" s="418">
        <f>(J72/Population_Tables!W46)*Population_Tables!K105</f>
        <v>0</v>
      </c>
      <c r="W72" s="418">
        <f>(K72/Population_Tables!X46)*Population_Tables!L105</f>
        <v>0</v>
      </c>
      <c r="Y72" s="456">
        <v>2057</v>
      </c>
      <c r="Z72" s="459">
        <f>((B72/Population_Tables!O46)*Population_Tables!C46)-N72</f>
        <v>17593.073537812521</v>
      </c>
      <c r="AA72" s="459">
        <f>((C72/Population_Tables!P46)*Population_Tables!D46)-O72</f>
        <v>4097.1391120766175</v>
      </c>
      <c r="AB72" s="459">
        <f>((D72/Population_Tables!Q46)*Population_Tables!E46)-P72</f>
        <v>869.01381626520265</v>
      </c>
      <c r="AC72" s="459">
        <f>((E72/Population_Tables!R46)*Population_Tables!F46)-Q72</f>
        <v>7084.9541982039691</v>
      </c>
      <c r="AD72" s="459">
        <f>((F72/Population_Tables!S46)*Population_Tables!G46)-R72</f>
        <v>1271.9351237944115</v>
      </c>
      <c r="AE72" s="459">
        <f>((G72/Population_Tables!T46)*Population_Tables!H46)-S72</f>
        <v>625.20480342048279</v>
      </c>
      <c r="AF72" s="459">
        <f>(H72/Population_Tables!U46)*Population_Tables!I46</f>
        <v>4797.1870678156292</v>
      </c>
      <c r="AG72" s="459">
        <f>(I72/Population_Tables!V46)*Population_Tables!J46</f>
        <v>3741.6676941466721</v>
      </c>
      <c r="AH72" s="459">
        <f>(J72/Population_Tables!W46)*Population_Tables!K46</f>
        <v>1523.2856532291839</v>
      </c>
      <c r="AI72" s="459">
        <f>(K72/Population_Tables!X46)*Population_Tables!L46</f>
        <v>1939.1068052986702</v>
      </c>
      <c r="AK72" s="456">
        <v>2057</v>
      </c>
      <c r="AL72" s="459">
        <f t="shared" si="8"/>
        <v>23343.731975690804</v>
      </c>
      <c r="AM72" s="459">
        <f t="shared" si="8"/>
        <v>4097.1391120766175</v>
      </c>
      <c r="AN72" s="459">
        <f t="shared" si="8"/>
        <v>869.01381626520265</v>
      </c>
      <c r="AO72" s="459">
        <f t="shared" si="8"/>
        <v>10318.642776921783</v>
      </c>
      <c r="AP72" s="459">
        <f t="shared" si="8"/>
        <v>3518.4393255525606</v>
      </c>
      <c r="AQ72" s="459">
        <f t="shared" si="8"/>
        <v>895.67046082280308</v>
      </c>
      <c r="AR72" s="459">
        <f t="shared" si="8"/>
        <v>4797.1870678156292</v>
      </c>
      <c r="AS72" s="459">
        <f t="shared" si="8"/>
        <v>3741.6676941466721</v>
      </c>
      <c r="AT72" s="459">
        <f t="shared" si="8"/>
        <v>1523.2856532291839</v>
      </c>
      <c r="AU72" s="459">
        <f t="shared" si="8"/>
        <v>1939.1068052986702</v>
      </c>
      <c r="AW72" s="216">
        <f>(B72/Population_Tables!O46)*Population_Tables!C46</f>
        <v>23343.731975690804</v>
      </c>
      <c r="AX72" s="153" t="str">
        <f t="shared" si="7"/>
        <v>OK</v>
      </c>
      <c r="AY72" s="421">
        <f t="shared" si="4"/>
        <v>19698.905491638965</v>
      </c>
      <c r="AZ72" s="153" t="str">
        <f t="shared" si="5"/>
        <v>OK</v>
      </c>
      <c r="BB72" s="216">
        <f>(C72/Population_Tables!P46)*Population_Tables!D46</f>
        <v>4097.1391120766175</v>
      </c>
      <c r="BC72" s="216">
        <f>(D72/Population_Tables!Q46)*Population_Tables!E46</f>
        <v>869.01381626520265</v>
      </c>
      <c r="BD72" s="216">
        <f>(E72/Population_Tables!R46)*Population_Tables!F46</f>
        <v>10318.642776921783</v>
      </c>
      <c r="BE72" s="216">
        <f>(F72/Population_Tables!S46)*Population_Tables!G46</f>
        <v>3518.4393255525606</v>
      </c>
      <c r="BF72" s="216">
        <f>(G72/Population_Tables!T46)*Population_Tables!H46</f>
        <v>895.67046082280308</v>
      </c>
      <c r="BG72" s="216"/>
      <c r="BN72" s="216"/>
      <c r="BO72" s="216"/>
      <c r="BP72" s="216"/>
    </row>
    <row r="73" spans="1:68" ht="15.6" x14ac:dyDescent="0.3">
      <c r="A73" s="194">
        <v>2058</v>
      </c>
      <c r="B73" s="229">
        <v>21037.361965287157</v>
      </c>
      <c r="C73" s="229">
        <v>3723.1889705469075</v>
      </c>
      <c r="D73" s="229">
        <v>784.02400307166317</v>
      </c>
      <c r="E73" s="229">
        <v>9250.023480920885</v>
      </c>
      <c r="F73" s="229">
        <v>3237.5078325611548</v>
      </c>
      <c r="G73" s="229">
        <v>785.81297914091544</v>
      </c>
      <c r="H73" s="229">
        <v>4361.8790193293717</v>
      </c>
      <c r="I73" s="229">
        <v>3400.3408651530444</v>
      </c>
      <c r="J73" s="229">
        <v>1384.0875543495281</v>
      </c>
      <c r="K73" s="229">
        <v>1753.9523813004394</v>
      </c>
      <c r="M73" s="194">
        <v>2058</v>
      </c>
      <c r="N73" s="419">
        <f t="shared" si="2"/>
        <v>5934.7902126516474</v>
      </c>
      <c r="O73" s="418">
        <f>(C73/Population_Tables!P47)*Population_Tables!D106</f>
        <v>0</v>
      </c>
      <c r="P73" s="418">
        <f>(D73/Population_Tables!Q47)*Population_Tables!E106</f>
        <v>0</v>
      </c>
      <c r="Q73" s="418">
        <f>((E73-H73)/Population_Tables!R47)*Population_Tables!F106</f>
        <v>3342.1777916813189</v>
      </c>
      <c r="R73" s="418">
        <f>(F73/Population_Tables!S47)*Population_Tables!G106</f>
        <v>2317.0869544540142</v>
      </c>
      <c r="S73" s="418">
        <f>(G73/Population_Tables!T47)*Population_Tables!H106</f>
        <v>275.52546651631394</v>
      </c>
      <c r="T73" s="418">
        <f>(H73/Population_Tables!U47)*Population_Tables!I106</f>
        <v>0</v>
      </c>
      <c r="U73" s="418">
        <f>(I73/Population_Tables!V47)*Population_Tables!J106</f>
        <v>0</v>
      </c>
      <c r="V73" s="418">
        <f>(J73/Population_Tables!W47)*Population_Tables!K106</f>
        <v>0</v>
      </c>
      <c r="W73" s="418">
        <f>(K73/Population_Tables!X47)*Population_Tables!L106</f>
        <v>0</v>
      </c>
      <c r="Y73" s="456">
        <v>2058</v>
      </c>
      <c r="Z73" s="459">
        <f>((B73/Population_Tables!O47)*Population_Tables!C47)-N73</f>
        <v>17836.721709511345</v>
      </c>
      <c r="AA73" s="459">
        <f>((C73/Population_Tables!P47)*Population_Tables!D47)-O73</f>
        <v>4126.1607165724645</v>
      </c>
      <c r="AB73" s="459">
        <f>((D73/Population_Tables!Q47)*Population_Tables!E47)-P73</f>
        <v>879.6617338791765</v>
      </c>
      <c r="AC73" s="459">
        <f>((E73/Population_Tables!R47)*Population_Tables!F47)-Q73</f>
        <v>7185.9409980649325</v>
      </c>
      <c r="AD73" s="459">
        <f>((F73/Population_Tables!S47)*Population_Tables!G47)-R73</f>
        <v>1305.7933061247795</v>
      </c>
      <c r="AE73" s="459">
        <f>((G73/Population_Tables!T47)*Population_Tables!H47)-S73</f>
        <v>634.15910745584449</v>
      </c>
      <c r="AF73" s="459">
        <f>(H73/Population_Tables!U47)*Population_Tables!I47</f>
        <v>4841.0544815124003</v>
      </c>
      <c r="AG73" s="459">
        <f>(I73/Population_Tables!V47)*Population_Tables!J47</f>
        <v>3862.7612340447808</v>
      </c>
      <c r="AH73" s="459">
        <f>(J73/Population_Tables!W47)*Population_Tables!K47</f>
        <v>1531.9053237958142</v>
      </c>
      <c r="AI73" s="459">
        <f>(K73/Population_Tables!X47)*Population_Tables!L47</f>
        <v>1959.1824988159681</v>
      </c>
      <c r="AK73" s="456">
        <v>2058</v>
      </c>
      <c r="AL73" s="459">
        <f t="shared" si="8"/>
        <v>23771.511922162994</v>
      </c>
      <c r="AM73" s="459">
        <f t="shared" si="8"/>
        <v>4126.1607165724645</v>
      </c>
      <c r="AN73" s="459">
        <f t="shared" si="8"/>
        <v>879.6617338791765</v>
      </c>
      <c r="AO73" s="459">
        <f t="shared" si="8"/>
        <v>10528.118789746251</v>
      </c>
      <c r="AP73" s="459">
        <f t="shared" si="8"/>
        <v>3622.8802605787937</v>
      </c>
      <c r="AQ73" s="459">
        <f t="shared" si="8"/>
        <v>909.68457397215843</v>
      </c>
      <c r="AR73" s="459">
        <f t="shared" si="8"/>
        <v>4841.0544815124003</v>
      </c>
      <c r="AS73" s="459">
        <f t="shared" si="8"/>
        <v>3862.7612340447808</v>
      </c>
      <c r="AT73" s="459">
        <f t="shared" si="8"/>
        <v>1531.9053237958142</v>
      </c>
      <c r="AU73" s="459">
        <f t="shared" si="8"/>
        <v>1959.1824988159681</v>
      </c>
      <c r="AW73" s="216">
        <f>(B73/Population_Tables!O47)*Population_Tables!C47</f>
        <v>23771.51192216299</v>
      </c>
      <c r="AX73" s="153" t="b">
        <f t="shared" si="7"/>
        <v>0</v>
      </c>
      <c r="AY73" s="421">
        <f t="shared" si="4"/>
        <v>20066.506074748842</v>
      </c>
      <c r="AZ73" s="153" t="str">
        <f t="shared" si="5"/>
        <v>OK</v>
      </c>
      <c r="BB73" s="216">
        <f>(C73/Population_Tables!P47)*Population_Tables!D47</f>
        <v>4126.1607165724645</v>
      </c>
      <c r="BC73" s="216">
        <f>(D73/Population_Tables!Q47)*Population_Tables!E47</f>
        <v>879.6617338791765</v>
      </c>
      <c r="BD73" s="216">
        <f>(E73/Population_Tables!R47)*Population_Tables!F47</f>
        <v>10528.118789746251</v>
      </c>
      <c r="BE73" s="216">
        <f>(F73/Population_Tables!S47)*Population_Tables!G47</f>
        <v>3622.8802605787937</v>
      </c>
      <c r="BF73" s="216">
        <f>(G73/Population_Tables!T47)*Population_Tables!H47</f>
        <v>909.68457397215843</v>
      </c>
      <c r="BG73" s="216"/>
      <c r="BN73" s="216"/>
      <c r="BO73" s="216"/>
      <c r="BP73" s="216"/>
    </row>
    <row r="74" spans="1:68" ht="15.6" x14ac:dyDescent="0.3">
      <c r="A74" s="194">
        <v>2059</v>
      </c>
      <c r="B74" s="229">
        <v>21321.739454099348</v>
      </c>
      <c r="C74" s="229">
        <v>3734.9257290492537</v>
      </c>
      <c r="D74" s="229">
        <v>789.94936254966456</v>
      </c>
      <c r="E74" s="229">
        <v>9387.4313186523614</v>
      </c>
      <c r="F74" s="229">
        <v>3319.9777133310481</v>
      </c>
      <c r="G74" s="229">
        <v>793.66641505843313</v>
      </c>
      <c r="H74" s="229">
        <v>4382.5073332975853</v>
      </c>
      <c r="I74" s="229">
        <v>3491.0993473658227</v>
      </c>
      <c r="J74" s="229">
        <v>1386.3563105177191</v>
      </c>
      <c r="K74" s="229">
        <v>1764.8925362313576</v>
      </c>
      <c r="M74" s="194">
        <v>2059</v>
      </c>
      <c r="N74" s="419">
        <f t="shared" si="2"/>
        <v>6124.060284732187</v>
      </c>
      <c r="O74" s="418">
        <f>(C74/Population_Tables!P48)*Population_Tables!D107</f>
        <v>0</v>
      </c>
      <c r="P74" s="418">
        <f>(D74/Population_Tables!Q48)*Population_Tables!E107</f>
        <v>0</v>
      </c>
      <c r="Q74" s="418">
        <f>((E74-H74)/Population_Tables!R48)*Population_Tables!F107</f>
        <v>3453.5091859110989</v>
      </c>
      <c r="R74" s="418">
        <f>(F74/Population_Tables!S48)*Population_Tables!G107</f>
        <v>2389.880417312474</v>
      </c>
      <c r="S74" s="418">
        <f>(G74/Population_Tables!T48)*Population_Tables!H107</f>
        <v>280.67068150861337</v>
      </c>
      <c r="T74" s="418">
        <f>(H74/Population_Tables!U48)*Population_Tables!I107</f>
        <v>0</v>
      </c>
      <c r="U74" s="418">
        <f>(I74/Population_Tables!V48)*Population_Tables!J107</f>
        <v>0</v>
      </c>
      <c r="V74" s="418">
        <f>(J74/Population_Tables!W48)*Population_Tables!K107</f>
        <v>0</v>
      </c>
      <c r="W74" s="418">
        <f>(K74/Population_Tables!X48)*Population_Tables!L107</f>
        <v>0</v>
      </c>
      <c r="Y74" s="456">
        <v>2059</v>
      </c>
      <c r="Z74" s="459">
        <f>((B74/Population_Tables!O48)*Population_Tables!C48)-N74</f>
        <v>18083.273658908591</v>
      </c>
      <c r="AA74" s="459">
        <f>((C74/Population_Tables!P48)*Population_Tables!D48)-O74</f>
        <v>4155.4867398873785</v>
      </c>
      <c r="AB74" s="459">
        <f>((D74/Population_Tables!Q48)*Population_Tables!E48)-P74</f>
        <v>890.54087858568903</v>
      </c>
      <c r="AC74" s="459">
        <f>((E74/Population_Tables!R48)*Population_Tables!F48)-Q74</f>
        <v>7287.7540118497373</v>
      </c>
      <c r="AD74" s="459">
        <f>((F74/Population_Tables!S48)*Population_Tables!G48)-R74</f>
        <v>1340.6494445709259</v>
      </c>
      <c r="AE74" s="459">
        <f>((G74/Population_Tables!T48)*Population_Tables!H48)-S74</f>
        <v>643.22137149910975</v>
      </c>
      <c r="AF74" s="459">
        <f>(H74/Population_Tables!U48)*Population_Tables!I48</f>
        <v>4884.9327332598041</v>
      </c>
      <c r="AG74" s="459">
        <f>(I74/Population_Tables!V48)*Population_Tables!J48</f>
        <v>3986.820135581871</v>
      </c>
      <c r="AH74" s="459">
        <f>(J74/Population_Tables!W48)*Population_Tables!K48</f>
        <v>1540.6717658647271</v>
      </c>
      <c r="AI74" s="459">
        <f>(K74/Population_Tables!X48)*Population_Tables!L48</f>
        <v>1979.5768555725483</v>
      </c>
      <c r="AK74" s="456">
        <v>2059</v>
      </c>
      <c r="AL74" s="459">
        <f t="shared" si="8"/>
        <v>24207.333943640777</v>
      </c>
      <c r="AM74" s="459">
        <f t="shared" si="8"/>
        <v>4155.4867398873785</v>
      </c>
      <c r="AN74" s="459">
        <f t="shared" si="8"/>
        <v>890.54087858568903</v>
      </c>
      <c r="AO74" s="459">
        <f t="shared" si="8"/>
        <v>10741.263197760836</v>
      </c>
      <c r="AP74" s="459">
        <f t="shared" si="8"/>
        <v>3730.5298618833999</v>
      </c>
      <c r="AQ74" s="459">
        <f t="shared" si="8"/>
        <v>923.89205300772312</v>
      </c>
      <c r="AR74" s="459">
        <f t="shared" si="8"/>
        <v>4884.9327332598041</v>
      </c>
      <c r="AS74" s="459">
        <f t="shared" si="8"/>
        <v>3986.820135581871</v>
      </c>
      <c r="AT74" s="459">
        <f t="shared" si="8"/>
        <v>1540.6717658647271</v>
      </c>
      <c r="AU74" s="459">
        <f t="shared" si="8"/>
        <v>1979.5768555725483</v>
      </c>
      <c r="AW74" s="216">
        <f>(B74/Population_Tables!O48)*Population_Tables!C48</f>
        <v>24207.333943640777</v>
      </c>
      <c r="AX74" s="153" t="str">
        <f t="shared" si="7"/>
        <v>OK</v>
      </c>
      <c r="AY74" s="421">
        <f t="shared" si="4"/>
        <v>20441.712731125026</v>
      </c>
      <c r="AZ74" s="153" t="str">
        <f t="shared" si="5"/>
        <v>OK</v>
      </c>
      <c r="BB74" s="216">
        <f>(C74/Population_Tables!P48)*Population_Tables!D48</f>
        <v>4155.4867398873785</v>
      </c>
      <c r="BC74" s="216">
        <f>(D74/Population_Tables!Q48)*Population_Tables!E48</f>
        <v>890.54087858568903</v>
      </c>
      <c r="BD74" s="216">
        <f>(E74/Population_Tables!R48)*Population_Tables!F48</f>
        <v>10741.263197760836</v>
      </c>
      <c r="BE74" s="216">
        <f>(F74/Population_Tables!S48)*Population_Tables!G48</f>
        <v>3730.5298618833999</v>
      </c>
      <c r="BF74" s="216">
        <f>(G74/Population_Tables!T48)*Population_Tables!H48</f>
        <v>923.89205300772312</v>
      </c>
      <c r="BG74" s="216"/>
      <c r="BN74" s="216"/>
      <c r="BO74" s="216"/>
      <c r="BP74" s="216"/>
    </row>
    <row r="75" spans="1:68" ht="15.6" x14ac:dyDescent="0.3">
      <c r="A75" s="194">
        <v>2060</v>
      </c>
      <c r="B75" s="229">
        <v>21607.399162372749</v>
      </c>
      <c r="C75" s="229">
        <v>3746.4595693426004</v>
      </c>
      <c r="D75" s="229">
        <v>796.0128216032798</v>
      </c>
      <c r="E75" s="229">
        <v>9524.6964071183556</v>
      </c>
      <c r="F75" s="229">
        <v>3404.5996659212847</v>
      </c>
      <c r="G75" s="229">
        <v>801.49291558119785</v>
      </c>
      <c r="H75" s="229">
        <v>4401.8571766696587</v>
      </c>
      <c r="I75" s="229">
        <v>3583.2828172470854</v>
      </c>
      <c r="J75" s="229">
        <v>1388.7589750599511</v>
      </c>
      <c r="K75" s="229">
        <v>1775.868678363599</v>
      </c>
      <c r="M75" s="194">
        <v>2060</v>
      </c>
      <c r="N75" s="419">
        <f t="shared" si="2"/>
        <v>6318.5378927610163</v>
      </c>
      <c r="O75" s="418">
        <f>(C75/Population_Tables!P49)*Population_Tables!D108</f>
        <v>0</v>
      </c>
      <c r="P75" s="418">
        <f>(D75/Population_Tables!Q49)*Population_Tables!E108</f>
        <v>0</v>
      </c>
      <c r="Q75" s="418">
        <f>((E75-H75)/Population_Tables!R49)*Population_Tables!F108</f>
        <v>3567.5945125860781</v>
      </c>
      <c r="R75" s="418">
        <f>(F75/Population_Tables!S49)*Population_Tables!G108</f>
        <v>2465.04197147885</v>
      </c>
      <c r="S75" s="418">
        <f>(G75/Population_Tables!T49)*Population_Tables!H108</f>
        <v>285.90140869608842</v>
      </c>
      <c r="T75" s="418">
        <f>(H75/Population_Tables!U49)*Population_Tables!I108</f>
        <v>0</v>
      </c>
      <c r="U75" s="418">
        <f>(I75/Population_Tables!V49)*Population_Tables!J108</f>
        <v>0</v>
      </c>
      <c r="V75" s="418">
        <f>(J75/Population_Tables!W49)*Population_Tables!K108</f>
        <v>0</v>
      </c>
      <c r="W75" s="418">
        <f>(K75/Population_Tables!X49)*Population_Tables!L108</f>
        <v>0</v>
      </c>
      <c r="Y75" s="456">
        <v>2060</v>
      </c>
      <c r="Z75" s="459">
        <f>((B75/Population_Tables!O49)*Population_Tables!C49)-N75</f>
        <v>18331.510341811598</v>
      </c>
      <c r="AA75" s="459">
        <f>((C75/Population_Tables!P49)*Population_Tables!D49)-O75</f>
        <v>4185.1409725360663</v>
      </c>
      <c r="AB75" s="459">
        <f>((D75/Population_Tables!Q49)*Population_Tables!E49)-P75</f>
        <v>901.75556335212809</v>
      </c>
      <c r="AC75" s="459">
        <f>((E75/Population_Tables!R49)*Population_Tables!F49)-Q75</f>
        <v>7389.6634768864733</v>
      </c>
      <c r="AD75" s="459">
        <f>((F75/Population_Tables!S49)*Population_Tables!G49)-R75</f>
        <v>1376.5871393532702</v>
      </c>
      <c r="AE75" s="459">
        <f>((G75/Population_Tables!T49)*Population_Tables!H49)-S75</f>
        <v>652.39029073649215</v>
      </c>
      <c r="AF75" s="459">
        <f>(H75/Population_Tables!U49)*Population_Tables!I49</f>
        <v>4928.1878258091519</v>
      </c>
      <c r="AG75" s="459">
        <f>(I75/Population_Tables!V49)*Population_Tables!J49</f>
        <v>4114.0250391696927</v>
      </c>
      <c r="AH75" s="459">
        <f>(J75/Population_Tables!W49)*Population_Tables!K49</f>
        <v>1549.7974944997279</v>
      </c>
      <c r="AI75" s="459">
        <f>(K75/Population_Tables!X49)*Population_Tables!L49</f>
        <v>2000.3016216242247</v>
      </c>
      <c r="AK75" s="456">
        <v>2060</v>
      </c>
      <c r="AL75" s="459">
        <f t="shared" si="8"/>
        <v>24650.048234572612</v>
      </c>
      <c r="AM75" s="459">
        <f t="shared" si="8"/>
        <v>4185.1409725360663</v>
      </c>
      <c r="AN75" s="459">
        <f t="shared" si="8"/>
        <v>901.75556335212809</v>
      </c>
      <c r="AO75" s="459">
        <f t="shared" si="8"/>
        <v>10957.257989472551</v>
      </c>
      <c r="AP75" s="459">
        <f t="shared" si="8"/>
        <v>3841.6291108321202</v>
      </c>
      <c r="AQ75" s="459">
        <f t="shared" si="8"/>
        <v>938.29169943258057</v>
      </c>
      <c r="AR75" s="459">
        <f t="shared" si="8"/>
        <v>4928.1878258091519</v>
      </c>
      <c r="AS75" s="459">
        <f t="shared" si="8"/>
        <v>4114.0250391696927</v>
      </c>
      <c r="AT75" s="459">
        <f t="shared" si="8"/>
        <v>1549.7974944997279</v>
      </c>
      <c r="AU75" s="459">
        <f t="shared" si="8"/>
        <v>2000.3016216242247</v>
      </c>
      <c r="AW75" s="216">
        <f>(B75/Population_Tables!O49)*Population_Tables!C49</f>
        <v>24650.048234572616</v>
      </c>
      <c r="AX75" s="153" t="b">
        <f t="shared" si="7"/>
        <v>0</v>
      </c>
      <c r="AY75" s="421">
        <f t="shared" si="4"/>
        <v>20824.075335625443</v>
      </c>
      <c r="AZ75" s="153" t="str">
        <f t="shared" si="5"/>
        <v>OK</v>
      </c>
      <c r="BB75" s="216">
        <f>(C75/Population_Tables!P49)*Population_Tables!D49</f>
        <v>4185.1409725360663</v>
      </c>
      <c r="BC75" s="216">
        <f>(D75/Population_Tables!Q49)*Population_Tables!E49</f>
        <v>901.75556335212809</v>
      </c>
      <c r="BD75" s="216">
        <f>(E75/Population_Tables!R49)*Population_Tables!F49</f>
        <v>10957.257989472551</v>
      </c>
      <c r="BE75" s="216">
        <f>(F75/Population_Tables!S49)*Population_Tables!G49</f>
        <v>3841.6291108321202</v>
      </c>
      <c r="BF75" s="216">
        <f>(G75/Population_Tables!T49)*Population_Tables!H49</f>
        <v>938.29169943258057</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Heating Demand by Economic Development Status (TWh Therms)</v>
      </c>
      <c r="B78" s="644"/>
      <c r="C78" s="644"/>
      <c r="D78" s="644"/>
      <c r="E78" s="644"/>
      <c r="F78" s="645"/>
      <c r="H78" s="650" t="str">
        <f>CONCATENATE("Table 5: Total REF1 ",C1," by Economic Development Status ",D1)</f>
        <v>Table 5: Total REF1 Heating Demand by Economic Development Status (TWh Therms)</v>
      </c>
      <c r="I78" s="651"/>
      <c r="J78" s="651"/>
      <c r="K78" s="651"/>
      <c r="L78" s="651"/>
      <c r="M78" s="651"/>
      <c r="N78" s="651"/>
      <c r="O78" s="651"/>
      <c r="P78" s="651"/>
      <c r="Q78" s="651"/>
      <c r="R78" s="651"/>
      <c r="S78" s="651"/>
      <c r="T78" s="652"/>
      <c r="W78" s="653" t="str">
        <f>CONCATENATE("Table 6: Change in ",C1," by MDC vs. LLDC Regions, REF1-REF2 ",D1)</f>
        <v>Table 6: Change in Heating Demand by MDC vs. LLDC Regions, REF1-REF2 (TWh Therms)</v>
      </c>
      <c r="X78" s="654"/>
      <c r="Y78" s="654"/>
      <c r="Z78" s="654"/>
      <c r="AA78" s="654"/>
      <c r="AB78" s="654"/>
      <c r="AC78" s="654"/>
      <c r="AD78" s="655"/>
    </row>
    <row r="79" spans="1:68" ht="105" customHeight="1" x14ac:dyDescent="0.25">
      <c r="A79" s="213"/>
      <c r="B79" s="529" t="s">
        <v>368</v>
      </c>
      <c r="C79" s="463" t="s">
        <v>10</v>
      </c>
      <c r="D79" s="463" t="s">
        <v>514</v>
      </c>
      <c r="E79" s="463" t="str">
        <f>Q79</f>
        <v>Total Heating Demand in Countries with Higher Educational Attainment (TWh)</v>
      </c>
      <c r="F79" s="463" t="str">
        <f>R79</f>
        <v xml:space="preserve"> --&gt; % LLDC</v>
      </c>
      <c r="H79" s="472"/>
      <c r="I79" s="473" t="s">
        <v>488</v>
      </c>
      <c r="J79" s="473" t="s">
        <v>490</v>
      </c>
      <c r="K79" s="473" t="s">
        <v>10</v>
      </c>
      <c r="L79" s="473" t="s">
        <v>489</v>
      </c>
      <c r="M79" s="473" t="s">
        <v>475</v>
      </c>
      <c r="O79" s="473" t="s">
        <v>601</v>
      </c>
      <c r="P79" s="473" t="s">
        <v>502</v>
      </c>
      <c r="Q79" s="473" t="s">
        <v>600</v>
      </c>
      <c r="R79" s="473" t="s">
        <v>502</v>
      </c>
      <c r="S79" s="473" t="s">
        <v>599</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2360.7701095699922</v>
      </c>
      <c r="C80" s="195">
        <f t="shared" ref="C80:C126" si="9">H29</f>
        <v>2772.4656256795697</v>
      </c>
      <c r="D80" s="195">
        <f t="shared" ref="D80:D126" si="10">SUMIF($AA$27:$AE$27,"N",C29:G29)-(IF($AC$27="N",H29))</f>
        <v>3957.7355757215219</v>
      </c>
      <c r="E80" s="195">
        <f t="shared" ref="E80:E126" si="11">B80+D80+C80</f>
        <v>9090.9713109710829</v>
      </c>
      <c r="F80" s="196">
        <f t="shared" ref="F80:F126" si="12">B80/E80</f>
        <v>0.25968293472898646</v>
      </c>
      <c r="H80" s="194">
        <v>2014</v>
      </c>
      <c r="I80" s="195">
        <f t="shared" ref="I80:I126" si="13">SUMIF($O$27:$S$27,"Y",O29:S29)-T29</f>
        <v>1265.3493953733478</v>
      </c>
      <c r="J80" s="195">
        <f t="shared" ref="J80:J126" si="14">SUMIF($O$27:$S$27,"N",O29:S29)-(IF($Q$27="N",T29))</f>
        <v>115.26193205404336</v>
      </c>
      <c r="K80" s="195">
        <f t="shared" ref="K80:K126" si="15">AF29</f>
        <v>2772.4656256795697</v>
      </c>
      <c r="L80" s="195">
        <f t="shared" ref="L80:L126" si="16">SUMIF($AA$27:$AE$27,"Y",AA29:AE29)-AF29</f>
        <v>1095.4079313597063</v>
      </c>
      <c r="M80" s="195">
        <f t="shared" ref="M80:M126" si="17">SUMIF($AA$27:$AE$27,"N",AA29:AE29)-(IF($AC$27="N",AF29))</f>
        <v>3842.4736436674784</v>
      </c>
      <c r="O80" s="195">
        <f t="shared" ref="O80:O126" si="18">I80+J80</f>
        <v>1380.6113274273912</v>
      </c>
      <c r="P80" s="196">
        <f t="shared" ref="P80:P126" si="19">I80/O80</f>
        <v>0.91651384443671002</v>
      </c>
      <c r="Q80" s="195">
        <f t="shared" ref="Q80:Q126" si="20">L80+M80+K80</f>
        <v>7710.3472007067539</v>
      </c>
      <c r="R80" s="196">
        <f t="shared" ref="R80:R126" si="21">L80/Q80</f>
        <v>0.14206985792537305</v>
      </c>
      <c r="S80" s="464">
        <f t="shared" ref="S80:S126" si="22">Q80+O80</f>
        <v>9090.958528134146</v>
      </c>
      <c r="T80" s="196">
        <f>O80/S80</f>
        <v>0.15186642015302998</v>
      </c>
      <c r="W80" s="197">
        <v>0</v>
      </c>
      <c r="X80" s="195">
        <f t="shared" ref="X80:X126" si="23">K80-C80</f>
        <v>0</v>
      </c>
      <c r="Y80" s="197">
        <v>0</v>
      </c>
      <c r="Z80" s="195">
        <f>(Q80+O80)-E80</f>
        <v>-1.2782836936821695E-2</v>
      </c>
      <c r="AA80" s="196">
        <v>0</v>
      </c>
      <c r="AB80" s="196">
        <f t="shared" ref="AB80:AB126" si="24">(W80/Z80)*(I80/(L80+I80))</f>
        <v>0</v>
      </c>
      <c r="AC80" s="196">
        <f>W80/Z80</f>
        <v>0</v>
      </c>
      <c r="AD80" s="247">
        <f>(X80+Y80)/Z80</f>
        <v>0</v>
      </c>
      <c r="AF80" s="251">
        <f t="shared" ref="AF80:AF126" si="25">I80/(I80+L80)</f>
        <v>0.53599299726601202</v>
      </c>
      <c r="AG80" s="251">
        <f t="shared" ref="AG80:AG126" si="26">L80/(L80+I80)</f>
        <v>0.46400700273398793</v>
      </c>
    </row>
    <row r="81" spans="1:33" x14ac:dyDescent="0.25">
      <c r="A81" s="194">
        <v>2015</v>
      </c>
      <c r="B81" s="195">
        <f t="shared" ref="B81:B126" si="27">SUMIF($AA$27:$AE$27,"Y",C30:G30)-H30</f>
        <v>2429.8820498099235</v>
      </c>
      <c r="C81" s="195">
        <f t="shared" si="9"/>
        <v>2824.5848925825117</v>
      </c>
      <c r="D81" s="195">
        <f t="shared" si="10"/>
        <v>3993.1215063449413</v>
      </c>
      <c r="E81" s="195">
        <f t="shared" si="11"/>
        <v>9247.5884487373769</v>
      </c>
      <c r="F81" s="196">
        <f t="shared" si="12"/>
        <v>0.26275845462626402</v>
      </c>
      <c r="H81" s="194">
        <v>2015</v>
      </c>
      <c r="I81" s="195">
        <f t="shared" si="13"/>
        <v>1306.5486488104259</v>
      </c>
      <c r="J81" s="195">
        <f t="shared" si="14"/>
        <v>117.6433188979118</v>
      </c>
      <c r="K81" s="195">
        <f t="shared" si="15"/>
        <v>2824.5848925825117</v>
      </c>
      <c r="L81" s="195">
        <f t="shared" si="16"/>
        <v>1123.3205419586125</v>
      </c>
      <c r="M81" s="195">
        <f t="shared" si="17"/>
        <v>3875.4781874470295</v>
      </c>
      <c r="O81" s="195">
        <f t="shared" si="18"/>
        <v>1424.1919677083376</v>
      </c>
      <c r="P81" s="196">
        <f t="shared" si="19"/>
        <v>0.91739644544744114</v>
      </c>
      <c r="Q81" s="195">
        <f t="shared" si="20"/>
        <v>7823.3836219881541</v>
      </c>
      <c r="R81" s="196">
        <f t="shared" si="21"/>
        <v>0.14358500058739845</v>
      </c>
      <c r="S81" s="464">
        <f t="shared" si="22"/>
        <v>9247.5755896964911</v>
      </c>
      <c r="T81" s="196">
        <f t="shared" ref="T81:T126" si="28">O81/S81</f>
        <v>0.15400706421855592</v>
      </c>
      <c r="W81" s="197">
        <v>0</v>
      </c>
      <c r="X81" s="195">
        <f t="shared" si="23"/>
        <v>0</v>
      </c>
      <c r="Y81" s="197">
        <v>0</v>
      </c>
      <c r="Z81" s="195">
        <f>W81+X81+Y81</f>
        <v>0</v>
      </c>
      <c r="AA81" s="196">
        <v>0</v>
      </c>
      <c r="AB81" s="196" t="e">
        <f t="shared" si="24"/>
        <v>#DIV/0!</v>
      </c>
      <c r="AC81" s="196" t="e">
        <f>W81/Z81</f>
        <v>#DIV/0!</v>
      </c>
      <c r="AD81" s="247" t="e">
        <f t="shared" ref="AD81:AD126" si="29">(X81+Y81)/Z81</f>
        <v>#DIV/0!</v>
      </c>
      <c r="AF81" s="251">
        <f t="shared" si="25"/>
        <v>0.53770328615793161</v>
      </c>
      <c r="AG81" s="251">
        <f t="shared" si="26"/>
        <v>0.46229671384206844</v>
      </c>
    </row>
    <row r="82" spans="1:33" x14ac:dyDescent="0.25">
      <c r="A82" s="194">
        <v>2016</v>
      </c>
      <c r="B82" s="195">
        <f t="shared" si="27"/>
        <v>2501.8224523687736</v>
      </c>
      <c r="C82" s="195">
        <f t="shared" si="9"/>
        <v>2875.9835064689428</v>
      </c>
      <c r="D82" s="195">
        <f t="shared" si="10"/>
        <v>4028.1880335038445</v>
      </c>
      <c r="E82" s="195">
        <f t="shared" si="11"/>
        <v>9405.9939923415604</v>
      </c>
      <c r="F82" s="196">
        <f t="shared" si="12"/>
        <v>0.26598171914693741</v>
      </c>
      <c r="H82" s="194">
        <v>2016</v>
      </c>
      <c r="I82" s="195">
        <f t="shared" si="13"/>
        <v>1349.3479493747293</v>
      </c>
      <c r="J82" s="195">
        <f t="shared" si="14"/>
        <v>120.04704347309229</v>
      </c>
      <c r="K82" s="195">
        <f t="shared" si="15"/>
        <v>2875.9835064689428</v>
      </c>
      <c r="L82" s="195">
        <f t="shared" si="16"/>
        <v>1152.4616592380703</v>
      </c>
      <c r="M82" s="195">
        <f t="shared" si="17"/>
        <v>3908.1409900307522</v>
      </c>
      <c r="O82" s="195">
        <f t="shared" si="18"/>
        <v>1469.3949928478216</v>
      </c>
      <c r="P82" s="196">
        <f t="shared" si="19"/>
        <v>0.91830172005661304</v>
      </c>
      <c r="Q82" s="195">
        <f t="shared" si="20"/>
        <v>7936.5861557377648</v>
      </c>
      <c r="R82" s="196">
        <f t="shared" si="21"/>
        <v>0.14520873794142544</v>
      </c>
      <c r="S82" s="464">
        <f t="shared" si="22"/>
        <v>9405.9811485855862</v>
      </c>
      <c r="T82" s="196">
        <f t="shared" si="28"/>
        <v>0.15621921516064066</v>
      </c>
      <c r="W82" s="195">
        <f t="shared" ref="W82:W126" si="30">(L82+I82)-B82</f>
        <v>-1.2843755973790394E-2</v>
      </c>
      <c r="X82" s="195">
        <f t="shared" si="23"/>
        <v>0</v>
      </c>
      <c r="Y82" s="195">
        <f t="shared" ref="Y82:Y126" si="31">(M82+J82)-D82</f>
        <v>0</v>
      </c>
      <c r="Z82" s="195">
        <f>W82+X82+Y82</f>
        <v>-1.2843755973790394E-2</v>
      </c>
      <c r="AA82" s="196">
        <f>(W82/Z82)*(L82/(L82+I82))</f>
        <v>0.46065122432601324</v>
      </c>
      <c r="AB82" s="196">
        <f t="shared" si="24"/>
        <v>0.53934877567398665</v>
      </c>
      <c r="AC82" s="196">
        <f t="shared" ref="AC82:AC126" si="32">W82/Z82</f>
        <v>1</v>
      </c>
      <c r="AD82" s="247">
        <f t="shared" si="29"/>
        <v>0</v>
      </c>
      <c r="AF82" s="251">
        <f t="shared" si="25"/>
        <v>0.53934877567398665</v>
      </c>
      <c r="AG82" s="251">
        <f t="shared" si="26"/>
        <v>0.46065122432601324</v>
      </c>
    </row>
    <row r="83" spans="1:33" x14ac:dyDescent="0.25">
      <c r="A83" s="194">
        <v>2017</v>
      </c>
      <c r="B83" s="195">
        <f t="shared" si="27"/>
        <v>2576.5724701260224</v>
      </c>
      <c r="C83" s="195">
        <f t="shared" si="9"/>
        <v>2926.6562715642958</v>
      </c>
      <c r="D83" s="195">
        <f t="shared" si="10"/>
        <v>4062.9246420897639</v>
      </c>
      <c r="E83" s="195">
        <f t="shared" si="11"/>
        <v>9566.1533837800816</v>
      </c>
      <c r="F83" s="196">
        <f t="shared" si="12"/>
        <v>0.26934258387438542</v>
      </c>
      <c r="H83" s="194">
        <v>2017</v>
      </c>
      <c r="I83" s="195">
        <f t="shared" si="13"/>
        <v>1393.7707926208</v>
      </c>
      <c r="J83" s="195">
        <f t="shared" si="14"/>
        <v>122.46806981946935</v>
      </c>
      <c r="K83" s="195">
        <f t="shared" si="15"/>
        <v>2926.6562715642963</v>
      </c>
      <c r="L83" s="195">
        <f t="shared" si="16"/>
        <v>1182.7888925406555</v>
      </c>
      <c r="M83" s="195">
        <f t="shared" si="17"/>
        <v>3940.4565722702946</v>
      </c>
      <c r="O83" s="195">
        <f t="shared" si="18"/>
        <v>1516.2388624402693</v>
      </c>
      <c r="P83" s="196">
        <f t="shared" si="19"/>
        <v>0.91922903913545229</v>
      </c>
      <c r="Q83" s="195">
        <f t="shared" si="20"/>
        <v>8049.9017363752464</v>
      </c>
      <c r="R83" s="196">
        <f t="shared" si="21"/>
        <v>0.14693209076030886</v>
      </c>
      <c r="S83" s="464">
        <f t="shared" si="22"/>
        <v>9566.1405988155166</v>
      </c>
      <c r="T83" s="196">
        <f t="shared" si="28"/>
        <v>0.15850058304892681</v>
      </c>
      <c r="W83" s="195">
        <f t="shared" si="30"/>
        <v>-1.2784964566890267E-2</v>
      </c>
      <c r="X83" s="195">
        <f t="shared" si="23"/>
        <v>0</v>
      </c>
      <c r="Y83" s="195">
        <f t="shared" si="31"/>
        <v>0</v>
      </c>
      <c r="Z83" s="195">
        <f t="shared" ref="Z83:Z126" si="33">W83+X83+Y83</f>
        <v>-1.2784964566890267E-2</v>
      </c>
      <c r="AA83" s="196">
        <f t="shared" ref="AA83:AA126" si="34">(W83*(L83/(L83+I83)))/Z83</f>
        <v>0.45905743979167252</v>
      </c>
      <c r="AB83" s="196">
        <f t="shared" si="24"/>
        <v>0.54094256020832754</v>
      </c>
      <c r="AC83" s="196">
        <f t="shared" si="32"/>
        <v>1</v>
      </c>
      <c r="AD83" s="247">
        <f>(X83+Y83)/Z83</f>
        <v>0</v>
      </c>
      <c r="AF83" s="251">
        <f t="shared" si="25"/>
        <v>0.54094256020832754</v>
      </c>
      <c r="AG83" s="251">
        <f t="shared" si="26"/>
        <v>0.45905743979167252</v>
      </c>
    </row>
    <row r="84" spans="1:33" x14ac:dyDescent="0.25">
      <c r="A84" s="194">
        <v>2018</v>
      </c>
      <c r="B84" s="195">
        <f t="shared" si="27"/>
        <v>2654.131353533488</v>
      </c>
      <c r="C84" s="195">
        <f t="shared" si="9"/>
        <v>2976.5428784934634</v>
      </c>
      <c r="D84" s="195">
        <f t="shared" si="10"/>
        <v>4097.3445993294035</v>
      </c>
      <c r="E84" s="195">
        <f t="shared" si="11"/>
        <v>9728.018831356354</v>
      </c>
      <c r="F84" s="196">
        <f t="shared" si="12"/>
        <v>0.27283369816045361</v>
      </c>
      <c r="H84" s="194">
        <v>2018</v>
      </c>
      <c r="I84" s="195">
        <f t="shared" si="13"/>
        <v>1439.8487299267515</v>
      </c>
      <c r="J84" s="195">
        <f t="shared" si="14"/>
        <v>124.90253484414906</v>
      </c>
      <c r="K84" s="195">
        <f t="shared" si="15"/>
        <v>2976.5428784934634</v>
      </c>
      <c r="L84" s="195">
        <f t="shared" si="16"/>
        <v>1214.2699392406535</v>
      </c>
      <c r="M84" s="195">
        <f t="shared" si="17"/>
        <v>3972.4420644852544</v>
      </c>
      <c r="O84" s="195">
        <f t="shared" si="18"/>
        <v>1564.7512647709007</v>
      </c>
      <c r="P84" s="196">
        <f t="shared" si="19"/>
        <v>0.9201773868753278</v>
      </c>
      <c r="Q84" s="195">
        <f t="shared" si="20"/>
        <v>8163.2548822193712</v>
      </c>
      <c r="R84" s="196">
        <f t="shared" si="21"/>
        <v>0.1487482574978139</v>
      </c>
      <c r="S84" s="464">
        <f t="shared" si="22"/>
        <v>9728.0061469902721</v>
      </c>
      <c r="T84" s="196">
        <f t="shared" si="28"/>
        <v>0.16085015172970629</v>
      </c>
      <c r="W84" s="195">
        <f t="shared" si="30"/>
        <v>-1.2684366083249188E-2</v>
      </c>
      <c r="X84" s="195">
        <f t="shared" si="23"/>
        <v>0</v>
      </c>
      <c r="Y84" s="195">
        <f t="shared" si="31"/>
        <v>0</v>
      </c>
      <c r="Z84" s="195">
        <f t="shared" si="33"/>
        <v>-1.2684366083249188E-2</v>
      </c>
      <c r="AA84" s="196">
        <f t="shared" si="34"/>
        <v>0.45750401191427104</v>
      </c>
      <c r="AB84" s="196">
        <f t="shared" si="24"/>
        <v>0.54249598808572908</v>
      </c>
      <c r="AC84" s="196">
        <f>W84/Z84</f>
        <v>1</v>
      </c>
      <c r="AD84" s="247">
        <f t="shared" si="29"/>
        <v>0</v>
      </c>
      <c r="AF84" s="251">
        <f t="shared" si="25"/>
        <v>0.54249598808572908</v>
      </c>
      <c r="AG84" s="251">
        <f t="shared" si="26"/>
        <v>0.45750401191427104</v>
      </c>
    </row>
    <row r="85" spans="1:33" ht="13.8" thickBot="1" x14ac:dyDescent="0.3">
      <c r="A85" s="198">
        <v>2019</v>
      </c>
      <c r="B85" s="195">
        <f t="shared" si="27"/>
        <v>2734.4962628964768</v>
      </c>
      <c r="C85" s="195">
        <f t="shared" si="9"/>
        <v>3025.556954519966</v>
      </c>
      <c r="D85" s="195">
        <f t="shared" si="10"/>
        <v>4131.4765402777357</v>
      </c>
      <c r="E85" s="195">
        <f t="shared" si="11"/>
        <v>9891.5297576941775</v>
      </c>
      <c r="F85" s="199">
        <f t="shared" si="12"/>
        <v>0.27644826734403088</v>
      </c>
      <c r="H85" s="198">
        <v>2019</v>
      </c>
      <c r="I85" s="195">
        <f t="shared" si="13"/>
        <v>1487.6268600897583</v>
      </c>
      <c r="J85" s="195">
        <f t="shared" si="14"/>
        <v>127.34492354597627</v>
      </c>
      <c r="K85" s="195">
        <f t="shared" si="15"/>
        <v>3025.556954519966</v>
      </c>
      <c r="L85" s="195">
        <f t="shared" si="16"/>
        <v>1246.8567950712049</v>
      </c>
      <c r="M85" s="195">
        <f t="shared" si="17"/>
        <v>4004.1316167317591</v>
      </c>
      <c r="O85" s="195">
        <f t="shared" si="18"/>
        <v>1614.9717836357347</v>
      </c>
      <c r="P85" s="199">
        <f t="shared" si="19"/>
        <v>0.92114727648102379</v>
      </c>
      <c r="Q85" s="195">
        <f t="shared" si="20"/>
        <v>8276.5453663229309</v>
      </c>
      <c r="R85" s="199">
        <f t="shared" si="21"/>
        <v>0.15064942435338252</v>
      </c>
      <c r="S85" s="464">
        <f t="shared" si="22"/>
        <v>9891.517149958665</v>
      </c>
      <c r="T85" s="196">
        <f t="shared" si="28"/>
        <v>0.16326836006572393</v>
      </c>
      <c r="W85" s="195">
        <f t="shared" si="30"/>
        <v>-1.2607735513483931E-2</v>
      </c>
      <c r="X85" s="195">
        <f t="shared" si="23"/>
        <v>0</v>
      </c>
      <c r="Y85" s="195">
        <f t="shared" si="31"/>
        <v>0</v>
      </c>
      <c r="Z85" s="195">
        <f t="shared" si="33"/>
        <v>-1.2607735513483931E-2</v>
      </c>
      <c r="AA85" s="196">
        <f t="shared" si="34"/>
        <v>0.4559752232264887</v>
      </c>
      <c r="AB85" s="196">
        <f t="shared" si="24"/>
        <v>0.54402477677351135</v>
      </c>
      <c r="AC85" s="196">
        <f t="shared" si="32"/>
        <v>1</v>
      </c>
      <c r="AD85" s="247">
        <f t="shared" si="29"/>
        <v>0</v>
      </c>
      <c r="AF85" s="251">
        <f t="shared" si="25"/>
        <v>0.54402477677351135</v>
      </c>
      <c r="AG85" s="251">
        <f t="shared" si="26"/>
        <v>0.4559752232264887</v>
      </c>
    </row>
    <row r="86" spans="1:33" x14ac:dyDescent="0.25">
      <c r="A86" s="201">
        <v>2020</v>
      </c>
      <c r="B86" s="195">
        <f t="shared" si="27"/>
        <v>2817.7342217772825</v>
      </c>
      <c r="C86" s="195">
        <f t="shared" si="9"/>
        <v>3073.0263648771311</v>
      </c>
      <c r="D86" s="195">
        <f t="shared" si="10"/>
        <v>4165.3905689534258</v>
      </c>
      <c r="E86" s="195">
        <f t="shared" si="11"/>
        <v>10056.151155607839</v>
      </c>
      <c r="F86" s="220">
        <f t="shared" si="12"/>
        <v>0.2802000664246147</v>
      </c>
      <c r="H86" s="201">
        <v>2020</v>
      </c>
      <c r="I86" s="195">
        <f t="shared" si="13"/>
        <v>1537.1941762568576</v>
      </c>
      <c r="J86" s="195">
        <f t="shared" si="14"/>
        <v>129.79126958494581</v>
      </c>
      <c r="K86" s="195">
        <f t="shared" si="15"/>
        <v>3073.0263648771311</v>
      </c>
      <c r="L86" s="195">
        <f t="shared" si="16"/>
        <v>1280.5274879706044</v>
      </c>
      <c r="M86" s="195">
        <f t="shared" si="17"/>
        <v>4035.5992993684799</v>
      </c>
      <c r="O86" s="195">
        <f t="shared" si="18"/>
        <v>1666.9854458418035</v>
      </c>
      <c r="P86" s="203">
        <f t="shared" si="19"/>
        <v>0.92214013031205366</v>
      </c>
      <c r="Q86" s="195">
        <f t="shared" si="20"/>
        <v>8389.1531522162149</v>
      </c>
      <c r="R86" s="203">
        <f t="shared" si="21"/>
        <v>0.15264085238833905</v>
      </c>
      <c r="S86" s="464">
        <f t="shared" si="22"/>
        <v>10056.138598058018</v>
      </c>
      <c r="T86" s="196">
        <f t="shared" si="28"/>
        <v>0.16576794657183044</v>
      </c>
      <c r="W86" s="195">
        <f t="shared" si="30"/>
        <v>-1.2557549820485292E-2</v>
      </c>
      <c r="X86" s="195">
        <f t="shared" si="23"/>
        <v>0</v>
      </c>
      <c r="Y86" s="195">
        <f t="shared" si="31"/>
        <v>0</v>
      </c>
      <c r="Z86" s="195">
        <f t="shared" si="33"/>
        <v>-1.2557549820485292E-2</v>
      </c>
      <c r="AA86" s="196">
        <f t="shared" si="34"/>
        <v>0.45445492513600988</v>
      </c>
      <c r="AB86" s="196">
        <f t="shared" si="24"/>
        <v>0.54554507486399018</v>
      </c>
      <c r="AC86" s="196">
        <f t="shared" si="32"/>
        <v>1</v>
      </c>
      <c r="AD86" s="247">
        <f t="shared" si="29"/>
        <v>0</v>
      </c>
      <c r="AF86" s="251">
        <f t="shared" si="25"/>
        <v>0.54554507486399018</v>
      </c>
      <c r="AG86" s="251">
        <f t="shared" si="26"/>
        <v>0.45445492513600988</v>
      </c>
    </row>
    <row r="87" spans="1:33" x14ac:dyDescent="0.25">
      <c r="A87" s="206">
        <v>2021</v>
      </c>
      <c r="B87" s="195">
        <f t="shared" si="27"/>
        <v>2903.6444936414705</v>
      </c>
      <c r="C87" s="195">
        <f t="shared" si="9"/>
        <v>3120.7597009464457</v>
      </c>
      <c r="D87" s="195">
        <f t="shared" si="10"/>
        <v>4198.9465344388909</v>
      </c>
      <c r="E87" s="195">
        <f t="shared" si="11"/>
        <v>10223.350729026808</v>
      </c>
      <c r="F87" s="221">
        <f t="shared" si="12"/>
        <v>0.28402082356396641</v>
      </c>
      <c r="H87" s="206">
        <v>2021</v>
      </c>
      <c r="I87" s="195">
        <f t="shared" si="13"/>
        <v>1590.7019110904498</v>
      </c>
      <c r="J87" s="195">
        <f t="shared" si="14"/>
        <v>132.53845715860274</v>
      </c>
      <c r="K87" s="195">
        <f t="shared" si="15"/>
        <v>3124.0344839713016</v>
      </c>
      <c r="L87" s="195">
        <f t="shared" si="16"/>
        <v>1317.0454168278848</v>
      </c>
      <c r="M87" s="195">
        <f t="shared" si="17"/>
        <v>4071.2712591170898</v>
      </c>
      <c r="O87" s="195">
        <f t="shared" si="18"/>
        <v>1723.2403682490526</v>
      </c>
      <c r="P87" s="196">
        <f t="shared" si="19"/>
        <v>0.92308765532618509</v>
      </c>
      <c r="Q87" s="195">
        <f t="shared" si="20"/>
        <v>8512.3511599162757</v>
      </c>
      <c r="R87" s="196">
        <f t="shared" si="21"/>
        <v>0.15472169698892435</v>
      </c>
      <c r="S87" s="464">
        <f t="shared" si="22"/>
        <v>10235.591528165329</v>
      </c>
      <c r="T87" s="196">
        <f t="shared" si="28"/>
        <v>0.16835767268625398</v>
      </c>
      <c r="W87" s="195">
        <f t="shared" si="30"/>
        <v>4.1028342768640869</v>
      </c>
      <c r="X87" s="195">
        <f t="shared" si="23"/>
        <v>3.2747830248558785</v>
      </c>
      <c r="Y87" s="195">
        <f t="shared" si="31"/>
        <v>4.8631818368012318</v>
      </c>
      <c r="Z87" s="195">
        <f t="shared" si="33"/>
        <v>12.240799138521197</v>
      </c>
      <c r="AA87" s="196">
        <f t="shared" si="34"/>
        <v>0.15181626044795771</v>
      </c>
      <c r="AB87" s="196">
        <f t="shared" si="24"/>
        <v>0.18336073497815525</v>
      </c>
      <c r="AC87" s="196">
        <f t="shared" si="32"/>
        <v>0.33517699542611296</v>
      </c>
      <c r="AD87" s="247">
        <f t="shared" si="29"/>
        <v>0.66482300457388699</v>
      </c>
      <c r="AF87" s="251">
        <f t="shared" si="25"/>
        <v>0.54705644325335456</v>
      </c>
      <c r="AG87" s="251">
        <f t="shared" si="26"/>
        <v>0.45294355674664544</v>
      </c>
    </row>
    <row r="88" spans="1:33" x14ac:dyDescent="0.25">
      <c r="A88" s="206">
        <v>2022</v>
      </c>
      <c r="B88" s="195">
        <f t="shared" si="27"/>
        <v>2992.4369646437212</v>
      </c>
      <c r="C88" s="195">
        <f t="shared" si="9"/>
        <v>3166.9501364250241</v>
      </c>
      <c r="D88" s="195">
        <f t="shared" si="10"/>
        <v>4232.2796204552296</v>
      </c>
      <c r="E88" s="195">
        <f t="shared" si="11"/>
        <v>10391.666721523976</v>
      </c>
      <c r="F88" s="221">
        <f t="shared" si="12"/>
        <v>0.28796506324106491</v>
      </c>
      <c r="H88" s="206">
        <v>2022</v>
      </c>
      <c r="I88" s="195">
        <f t="shared" si="13"/>
        <v>1646.9900304983801</v>
      </c>
      <c r="J88" s="195">
        <f t="shared" si="14"/>
        <v>135.33428020188524</v>
      </c>
      <c r="K88" s="195">
        <f t="shared" si="15"/>
        <v>3174.3618293771192</v>
      </c>
      <c r="L88" s="195">
        <f t="shared" si="16"/>
        <v>1355.2633097101138</v>
      </c>
      <c r="M88" s="195">
        <f t="shared" si="17"/>
        <v>4107.8048870000712</v>
      </c>
      <c r="O88" s="195">
        <f t="shared" si="18"/>
        <v>1782.3243107002654</v>
      </c>
      <c r="P88" s="196">
        <f t="shared" si="19"/>
        <v>0.92406865608610067</v>
      </c>
      <c r="Q88" s="195">
        <f t="shared" si="20"/>
        <v>8637.4300260873042</v>
      </c>
      <c r="R88" s="196">
        <f t="shared" si="21"/>
        <v>0.15690585111738831</v>
      </c>
      <c r="S88" s="464">
        <f t="shared" si="22"/>
        <v>10419.75433678757</v>
      </c>
      <c r="T88" s="196">
        <f t="shared" si="28"/>
        <v>0.17105243109308846</v>
      </c>
      <c r="W88" s="195">
        <f t="shared" si="30"/>
        <v>9.8163755647724429</v>
      </c>
      <c r="X88" s="195">
        <f t="shared" si="23"/>
        <v>7.4116929520951089</v>
      </c>
      <c r="Y88" s="195">
        <f t="shared" si="31"/>
        <v>10.859546746726664</v>
      </c>
      <c r="Z88" s="195">
        <f t="shared" si="33"/>
        <v>28.087615263594216</v>
      </c>
      <c r="AA88" s="196">
        <f t="shared" si="34"/>
        <v>0.1577657195149289</v>
      </c>
      <c r="AB88" s="196">
        <f t="shared" si="24"/>
        <v>0.19172552324984743</v>
      </c>
      <c r="AC88" s="196">
        <f t="shared" si="32"/>
        <v>0.34949124276477633</v>
      </c>
      <c r="AD88" s="247">
        <f t="shared" si="29"/>
        <v>0.65050875723522372</v>
      </c>
      <c r="AF88" s="251">
        <f t="shared" si="25"/>
        <v>0.548584627566441</v>
      </c>
      <c r="AG88" s="251">
        <f t="shared" si="26"/>
        <v>0.45141537243355906</v>
      </c>
    </row>
    <row r="89" spans="1:33" x14ac:dyDescent="0.25">
      <c r="A89" s="206">
        <v>2023</v>
      </c>
      <c r="B89" s="195">
        <f t="shared" si="27"/>
        <v>3084.0487176090592</v>
      </c>
      <c r="C89" s="195">
        <f t="shared" si="9"/>
        <v>3212.2333397100092</v>
      </c>
      <c r="D89" s="195">
        <f t="shared" si="10"/>
        <v>4265.3700541565559</v>
      </c>
      <c r="E89" s="195">
        <f t="shared" si="11"/>
        <v>10561.652111475625</v>
      </c>
      <c r="F89" s="221">
        <f t="shared" si="12"/>
        <v>0.29200438388404465</v>
      </c>
      <c r="H89" s="206">
        <v>2023</v>
      </c>
      <c r="I89" s="195">
        <f t="shared" si="13"/>
        <v>1705.9547358156433</v>
      </c>
      <c r="J89" s="195">
        <f t="shared" si="14"/>
        <v>138.18120299954847</v>
      </c>
      <c r="K89" s="195">
        <f t="shared" si="15"/>
        <v>3224.5391176745679</v>
      </c>
      <c r="L89" s="195">
        <f t="shared" si="16"/>
        <v>1395.0528819837582</v>
      </c>
      <c r="M89" s="195">
        <f t="shared" si="17"/>
        <v>4145.0566535523267</v>
      </c>
      <c r="O89" s="195">
        <f t="shared" si="18"/>
        <v>1844.1359388151918</v>
      </c>
      <c r="P89" s="196">
        <f t="shared" si="19"/>
        <v>0.92506994734437731</v>
      </c>
      <c r="Q89" s="195">
        <f t="shared" si="20"/>
        <v>8764.6486532106537</v>
      </c>
      <c r="R89" s="196">
        <f t="shared" si="21"/>
        <v>0.15916814662875556</v>
      </c>
      <c r="S89" s="464">
        <f t="shared" si="22"/>
        <v>10608.784592025846</v>
      </c>
      <c r="T89" s="196">
        <f t="shared" si="28"/>
        <v>0.17383102869308395</v>
      </c>
      <c r="W89" s="195">
        <f t="shared" si="30"/>
        <v>16.95890019034232</v>
      </c>
      <c r="X89" s="195">
        <f t="shared" si="23"/>
        <v>12.305777964558729</v>
      </c>
      <c r="Y89" s="195">
        <f t="shared" si="31"/>
        <v>17.867802395318904</v>
      </c>
      <c r="Z89" s="195">
        <f t="shared" si="33"/>
        <v>47.132480550219952</v>
      </c>
      <c r="AA89" s="196">
        <f t="shared" si="34"/>
        <v>0.16186957436379096</v>
      </c>
      <c r="AB89" s="196">
        <f t="shared" si="24"/>
        <v>0.19794387047012788</v>
      </c>
      <c r="AC89" s="196">
        <f t="shared" si="32"/>
        <v>0.35981344483391886</v>
      </c>
      <c r="AD89" s="247">
        <f t="shared" si="29"/>
        <v>0.64018655516608114</v>
      </c>
      <c r="AF89" s="251">
        <f t="shared" si="25"/>
        <v>0.55012916641148291</v>
      </c>
      <c r="AG89" s="251">
        <f t="shared" si="26"/>
        <v>0.44987083358851704</v>
      </c>
    </row>
    <row r="90" spans="1:33" x14ac:dyDescent="0.25">
      <c r="A90" s="206">
        <v>2024</v>
      </c>
      <c r="B90" s="195">
        <f t="shared" si="27"/>
        <v>3178.4858273857349</v>
      </c>
      <c r="C90" s="195">
        <f t="shared" si="9"/>
        <v>3256.6533140918768</v>
      </c>
      <c r="D90" s="195">
        <f t="shared" si="10"/>
        <v>4298.2515305861498</v>
      </c>
      <c r="E90" s="195">
        <f t="shared" si="11"/>
        <v>10733.390672063761</v>
      </c>
      <c r="F90" s="221">
        <f t="shared" si="12"/>
        <v>0.29613063797803535</v>
      </c>
      <c r="H90" s="206">
        <v>2024</v>
      </c>
      <c r="I90" s="195">
        <f t="shared" si="13"/>
        <v>1767.5769111368018</v>
      </c>
      <c r="J90" s="195">
        <f t="shared" si="14"/>
        <v>141.09322838866527</v>
      </c>
      <c r="K90" s="195">
        <f t="shared" si="15"/>
        <v>3274.5251335499984</v>
      </c>
      <c r="L90" s="195">
        <f t="shared" si="16"/>
        <v>1436.3512212973742</v>
      </c>
      <c r="M90" s="195">
        <f t="shared" si="17"/>
        <v>4182.9856019319477</v>
      </c>
      <c r="O90" s="195">
        <f t="shared" si="18"/>
        <v>1908.670139525467</v>
      </c>
      <c r="P90" s="196">
        <f t="shared" si="19"/>
        <v>0.9260777305272121</v>
      </c>
      <c r="Q90" s="195">
        <f t="shared" si="20"/>
        <v>8893.8619567793194</v>
      </c>
      <c r="R90" s="196">
        <f t="shared" si="21"/>
        <v>0.16149915843954829</v>
      </c>
      <c r="S90" s="464">
        <f t="shared" si="22"/>
        <v>10802.532096304787</v>
      </c>
      <c r="T90" s="196">
        <f t="shared" si="28"/>
        <v>0.17668729169324701</v>
      </c>
      <c r="W90" s="195">
        <f t="shared" si="30"/>
        <v>25.442305048441085</v>
      </c>
      <c r="X90" s="195">
        <f t="shared" si="23"/>
        <v>17.871819458121536</v>
      </c>
      <c r="Y90" s="195">
        <f t="shared" si="31"/>
        <v>25.82729973446294</v>
      </c>
      <c r="Z90" s="195">
        <f t="shared" si="33"/>
        <v>69.141424241025561</v>
      </c>
      <c r="AA90" s="196">
        <f t="shared" si="34"/>
        <v>0.16496659722696771</v>
      </c>
      <c r="AB90" s="196">
        <f t="shared" si="24"/>
        <v>0.20300825038030376</v>
      </c>
      <c r="AC90" s="196">
        <f t="shared" si="32"/>
        <v>0.36797484760727145</v>
      </c>
      <c r="AD90" s="247">
        <f t="shared" si="29"/>
        <v>0.6320251523927285</v>
      </c>
      <c r="AF90" s="251">
        <f t="shared" si="25"/>
        <v>0.55169056173363351</v>
      </c>
      <c r="AG90" s="251">
        <f t="shared" si="26"/>
        <v>0.44830943826636654</v>
      </c>
    </row>
    <row r="91" spans="1:33" x14ac:dyDescent="0.25">
      <c r="A91" s="206">
        <v>2025</v>
      </c>
      <c r="B91" s="195">
        <f t="shared" si="27"/>
        <v>3275.7545542973653</v>
      </c>
      <c r="C91" s="195">
        <f t="shared" si="9"/>
        <v>3300.2474308156402</v>
      </c>
      <c r="D91" s="195">
        <f t="shared" si="10"/>
        <v>4330.9491089134208</v>
      </c>
      <c r="E91" s="195">
        <f t="shared" si="11"/>
        <v>10906.951094026426</v>
      </c>
      <c r="F91" s="221">
        <f t="shared" si="12"/>
        <v>0.30033641171192627</v>
      </c>
      <c r="H91" s="206">
        <v>2025</v>
      </c>
      <c r="I91" s="195">
        <f t="shared" si="13"/>
        <v>1831.854298283992</v>
      </c>
      <c r="J91" s="195">
        <f t="shared" si="14"/>
        <v>144.08172225313956</v>
      </c>
      <c r="K91" s="195">
        <f t="shared" si="15"/>
        <v>3324.2931770522609</v>
      </c>
      <c r="L91" s="195">
        <f t="shared" si="16"/>
        <v>1479.111060844788</v>
      </c>
      <c r="M91" s="195">
        <f t="shared" si="17"/>
        <v>4221.5589806666903</v>
      </c>
      <c r="O91" s="195">
        <f t="shared" si="18"/>
        <v>1975.9360205371315</v>
      </c>
      <c r="P91" s="196">
        <f t="shared" si="19"/>
        <v>0.92708178769170224</v>
      </c>
      <c r="Q91" s="195">
        <f t="shared" si="20"/>
        <v>9024.9632185637383</v>
      </c>
      <c r="R91" s="196">
        <f t="shared" si="21"/>
        <v>0.1638910901932937</v>
      </c>
      <c r="S91" s="464">
        <f t="shared" si="22"/>
        <v>11000.899239100871</v>
      </c>
      <c r="T91" s="196">
        <f t="shared" si="28"/>
        <v>0.17961586390265213</v>
      </c>
      <c r="W91" s="195">
        <f t="shared" si="30"/>
        <v>35.210804831414407</v>
      </c>
      <c r="X91" s="195">
        <f t="shared" si="23"/>
        <v>24.045746236620744</v>
      </c>
      <c r="Y91" s="195">
        <f t="shared" si="31"/>
        <v>34.691594006409105</v>
      </c>
      <c r="Z91" s="195">
        <f t="shared" si="33"/>
        <v>93.948145074444255</v>
      </c>
      <c r="AA91" s="196">
        <f t="shared" si="34"/>
        <v>0.16743023626897324</v>
      </c>
      <c r="AB91" s="196">
        <f t="shared" si="24"/>
        <v>0.20735954594028125</v>
      </c>
      <c r="AC91" s="196">
        <f t="shared" si="32"/>
        <v>0.37478978220925446</v>
      </c>
      <c r="AD91" s="247">
        <f t="shared" si="29"/>
        <v>0.62521021779074548</v>
      </c>
      <c r="AF91" s="251">
        <f t="shared" si="25"/>
        <v>0.55326894110604985</v>
      </c>
      <c r="AG91" s="251">
        <f t="shared" si="26"/>
        <v>0.44673105889395021</v>
      </c>
    </row>
    <row r="92" spans="1:33" x14ac:dyDescent="0.25">
      <c r="A92" s="206">
        <v>2026</v>
      </c>
      <c r="B92" s="195">
        <f t="shared" si="27"/>
        <v>3375.8595678224019</v>
      </c>
      <c r="C92" s="195">
        <f t="shared" si="9"/>
        <v>3343.0273815300352</v>
      </c>
      <c r="D92" s="195">
        <f t="shared" si="10"/>
        <v>4363.4749046808793</v>
      </c>
      <c r="E92" s="195">
        <f t="shared" si="11"/>
        <v>11082.361854033315</v>
      </c>
      <c r="F92" s="221">
        <f t="shared" si="12"/>
        <v>0.30461553342925646</v>
      </c>
      <c r="H92" s="206">
        <v>2026</v>
      </c>
      <c r="I92" s="195">
        <f t="shared" si="13"/>
        <v>1898.7948479781785</v>
      </c>
      <c r="J92" s="195">
        <f t="shared" si="14"/>
        <v>147.14788074667646</v>
      </c>
      <c r="K92" s="195">
        <f t="shared" si="15"/>
        <v>3373.8145245671976</v>
      </c>
      <c r="L92" s="195">
        <f t="shared" si="16"/>
        <v>1523.2896389836578</v>
      </c>
      <c r="M92" s="195">
        <f t="shared" si="17"/>
        <v>4260.7383195213888</v>
      </c>
      <c r="O92" s="195">
        <f t="shared" si="18"/>
        <v>2045.942728724855</v>
      </c>
      <c r="P92" s="196">
        <f t="shared" si="19"/>
        <v>0.92807820146637865</v>
      </c>
      <c r="Q92" s="195">
        <f t="shared" si="20"/>
        <v>9157.8424830722433</v>
      </c>
      <c r="R92" s="196">
        <f t="shared" si="21"/>
        <v>0.16633717404501913</v>
      </c>
      <c r="S92" s="464">
        <f t="shared" si="22"/>
        <v>11203.785211797098</v>
      </c>
      <c r="T92" s="196">
        <f t="shared" si="28"/>
        <v>0.18261174148274159</v>
      </c>
      <c r="W92" s="195">
        <f t="shared" si="30"/>
        <v>46.224919139434405</v>
      </c>
      <c r="X92" s="195">
        <f t="shared" si="23"/>
        <v>30.787143037162423</v>
      </c>
      <c r="Y92" s="195">
        <f t="shared" si="31"/>
        <v>44.411295587186032</v>
      </c>
      <c r="Z92" s="195">
        <f t="shared" si="33"/>
        <v>121.42335776378286</v>
      </c>
      <c r="AA92" s="196">
        <f t="shared" si="34"/>
        <v>0.1694594070073108</v>
      </c>
      <c r="AB92" s="196">
        <f t="shared" si="24"/>
        <v>0.21123274309251114</v>
      </c>
      <c r="AC92" s="196">
        <f t="shared" si="32"/>
        <v>0.38069215009982194</v>
      </c>
      <c r="AD92" s="247">
        <f t="shared" si="29"/>
        <v>0.61930784990017806</v>
      </c>
      <c r="AF92" s="251">
        <f t="shared" si="25"/>
        <v>0.5548649822097026</v>
      </c>
      <c r="AG92" s="251">
        <f t="shared" si="26"/>
        <v>0.4451350177902974</v>
      </c>
    </row>
    <row r="93" spans="1:33" x14ac:dyDescent="0.25">
      <c r="A93" s="206">
        <v>2027</v>
      </c>
      <c r="B93" s="195">
        <f t="shared" si="27"/>
        <v>3478.8064262034745</v>
      </c>
      <c r="C93" s="195">
        <f t="shared" si="9"/>
        <v>3384.9980751621629</v>
      </c>
      <c r="D93" s="195">
        <f t="shared" si="10"/>
        <v>4395.8257193311802</v>
      </c>
      <c r="E93" s="195">
        <f t="shared" si="11"/>
        <v>11259.630220696818</v>
      </c>
      <c r="F93" s="221">
        <f t="shared" si="12"/>
        <v>0.30896275970137355</v>
      </c>
      <c r="H93" s="206">
        <v>2027</v>
      </c>
      <c r="I93" s="195">
        <f t="shared" si="13"/>
        <v>1968.4192633069417</v>
      </c>
      <c r="J93" s="195">
        <f t="shared" si="14"/>
        <v>150.28665414282838</v>
      </c>
      <c r="K93" s="195">
        <f t="shared" si="15"/>
        <v>3423.0780952523842</v>
      </c>
      <c r="L93" s="195">
        <f t="shared" si="16"/>
        <v>1568.854787573327</v>
      </c>
      <c r="M93" s="195">
        <f t="shared" si="17"/>
        <v>4300.4763502364776</v>
      </c>
      <c r="O93" s="195">
        <f t="shared" si="18"/>
        <v>2118.7059174497699</v>
      </c>
      <c r="P93" s="196">
        <f t="shared" si="19"/>
        <v>0.92906677000094273</v>
      </c>
      <c r="Q93" s="195">
        <f t="shared" si="20"/>
        <v>9292.4092330621879</v>
      </c>
      <c r="R93" s="196">
        <f t="shared" si="21"/>
        <v>0.16883186569004904</v>
      </c>
      <c r="S93" s="464">
        <f t="shared" si="22"/>
        <v>11411.115150511958</v>
      </c>
      <c r="T93" s="196">
        <f t="shared" si="28"/>
        <v>0.18567036521007454</v>
      </c>
      <c r="W93" s="195">
        <f t="shared" si="30"/>
        <v>58.467624676794458</v>
      </c>
      <c r="X93" s="195">
        <f t="shared" si="23"/>
        <v>38.080020090221296</v>
      </c>
      <c r="Y93" s="195">
        <f t="shared" si="31"/>
        <v>54.937285048125887</v>
      </c>
      <c r="Z93" s="195">
        <f t="shared" si="33"/>
        <v>151.48492981514164</v>
      </c>
      <c r="AA93" s="196">
        <f t="shared" si="34"/>
        <v>0.17118277391701148</v>
      </c>
      <c r="AB93" s="196">
        <f t="shared" si="24"/>
        <v>0.21478053443414266</v>
      </c>
      <c r="AC93" s="196">
        <f t="shared" si="32"/>
        <v>0.38596330835115417</v>
      </c>
      <c r="AD93" s="247">
        <f t="shared" si="29"/>
        <v>0.61403669164884589</v>
      </c>
      <c r="AF93" s="251">
        <f t="shared" si="25"/>
        <v>0.55647915174033247</v>
      </c>
      <c r="AG93" s="251">
        <f t="shared" si="26"/>
        <v>0.44352084825966748</v>
      </c>
    </row>
    <row r="94" spans="1:33" x14ac:dyDescent="0.25">
      <c r="A94" s="206">
        <v>2028</v>
      </c>
      <c r="B94" s="195">
        <f t="shared" si="27"/>
        <v>3584.6035793681558</v>
      </c>
      <c r="C94" s="195">
        <f t="shared" si="9"/>
        <v>3426.1846668326734</v>
      </c>
      <c r="D94" s="195">
        <f t="shared" si="10"/>
        <v>4427.9920876449869</v>
      </c>
      <c r="E94" s="195">
        <f t="shared" si="11"/>
        <v>11438.780333845816</v>
      </c>
      <c r="F94" s="221">
        <f t="shared" si="12"/>
        <v>0.31337288371224287</v>
      </c>
      <c r="H94" s="206">
        <v>2028</v>
      </c>
      <c r="I94" s="195">
        <f t="shared" si="13"/>
        <v>2040.7762597601327</v>
      </c>
      <c r="J94" s="195">
        <f t="shared" si="14"/>
        <v>153.49820009308911</v>
      </c>
      <c r="K94" s="195">
        <f t="shared" si="15"/>
        <v>3472.1154022971059</v>
      </c>
      <c r="L94" s="195">
        <f t="shared" si="16"/>
        <v>1615.8041497598288</v>
      </c>
      <c r="M94" s="195">
        <f t="shared" si="17"/>
        <v>4340.7459712653435</v>
      </c>
      <c r="O94" s="195">
        <f t="shared" si="18"/>
        <v>2194.2744598532217</v>
      </c>
      <c r="P94" s="196">
        <f t="shared" si="19"/>
        <v>0.93004603439473255</v>
      </c>
      <c r="Q94" s="195">
        <f t="shared" si="20"/>
        <v>9428.6655233222773</v>
      </c>
      <c r="R94" s="196">
        <f t="shared" si="21"/>
        <v>0.17137145715510388</v>
      </c>
      <c r="S94" s="464">
        <f t="shared" si="22"/>
        <v>11622.9399831755</v>
      </c>
      <c r="T94" s="196">
        <f t="shared" si="28"/>
        <v>0.18878824660795715</v>
      </c>
      <c r="W94" s="195">
        <f t="shared" si="30"/>
        <v>71.976830151805643</v>
      </c>
      <c r="X94" s="195">
        <f t="shared" si="23"/>
        <v>45.930735464432473</v>
      </c>
      <c r="Y94" s="195">
        <f t="shared" si="31"/>
        <v>66.252083713446154</v>
      </c>
      <c r="Z94" s="195">
        <f t="shared" si="33"/>
        <v>184.15964932968427</v>
      </c>
      <c r="AA94" s="196">
        <f t="shared" si="34"/>
        <v>0.17270775073679157</v>
      </c>
      <c r="AB94" s="196">
        <f t="shared" si="24"/>
        <v>0.21813155860046762</v>
      </c>
      <c r="AC94" s="196">
        <f t="shared" si="32"/>
        <v>0.39083930933725919</v>
      </c>
      <c r="AD94" s="247">
        <f t="shared" si="29"/>
        <v>0.60916069066274081</v>
      </c>
      <c r="AF94" s="251">
        <f t="shared" si="25"/>
        <v>0.55811059274040342</v>
      </c>
      <c r="AG94" s="251">
        <f t="shared" si="26"/>
        <v>0.44188940725959658</v>
      </c>
    </row>
    <row r="95" spans="1:33" x14ac:dyDescent="0.25">
      <c r="A95" s="206">
        <v>2029</v>
      </c>
      <c r="B95" s="195">
        <f t="shared" si="27"/>
        <v>3693.2604482892671</v>
      </c>
      <c r="C95" s="195">
        <f t="shared" si="9"/>
        <v>3466.6158114410896</v>
      </c>
      <c r="D95" s="195">
        <f t="shared" si="10"/>
        <v>4459.9566488778819</v>
      </c>
      <c r="E95" s="195">
        <f t="shared" si="11"/>
        <v>11619.832908608239</v>
      </c>
      <c r="F95" s="221">
        <f t="shared" si="12"/>
        <v>0.31784109783138231</v>
      </c>
      <c r="H95" s="206">
        <v>2029</v>
      </c>
      <c r="I95" s="195">
        <f t="shared" si="13"/>
        <v>2115.9300884471218</v>
      </c>
      <c r="J95" s="195">
        <f t="shared" si="14"/>
        <v>156.78173686266211</v>
      </c>
      <c r="K95" s="195">
        <f t="shared" si="15"/>
        <v>3520.9789107511683</v>
      </c>
      <c r="L95" s="195">
        <f t="shared" si="16"/>
        <v>1664.1496302735191</v>
      </c>
      <c r="M95" s="195">
        <f t="shared" si="17"/>
        <v>4381.5204798966506</v>
      </c>
      <c r="O95" s="195">
        <f t="shared" si="18"/>
        <v>2272.7118253097838</v>
      </c>
      <c r="P95" s="196">
        <f t="shared" si="19"/>
        <v>0.93101556690263987</v>
      </c>
      <c r="Q95" s="195">
        <f t="shared" si="20"/>
        <v>9566.6490209213371</v>
      </c>
      <c r="R95" s="196">
        <f t="shared" si="21"/>
        <v>0.17395324388238606</v>
      </c>
      <c r="S95" s="464">
        <f t="shared" si="22"/>
        <v>11839.36084623112</v>
      </c>
      <c r="T95" s="196">
        <f t="shared" si="28"/>
        <v>0.19196237489739718</v>
      </c>
      <c r="W95" s="195">
        <f t="shared" si="30"/>
        <v>86.819270431373752</v>
      </c>
      <c r="X95" s="195">
        <f t="shared" si="23"/>
        <v>54.363099310078724</v>
      </c>
      <c r="Y95" s="195">
        <f t="shared" si="31"/>
        <v>78.345567881430725</v>
      </c>
      <c r="Z95" s="195">
        <f t="shared" si="33"/>
        <v>219.5279376228832</v>
      </c>
      <c r="AA95" s="196">
        <f t="shared" si="34"/>
        <v>0.17410760786781931</v>
      </c>
      <c r="AB95" s="196">
        <f t="shared" si="24"/>
        <v>0.22137403957751187</v>
      </c>
      <c r="AC95" s="196">
        <f t="shared" si="32"/>
        <v>0.39548164744533121</v>
      </c>
      <c r="AD95" s="247">
        <f t="shared" si="29"/>
        <v>0.60451835255466879</v>
      </c>
      <c r="AF95" s="251">
        <f t="shared" si="25"/>
        <v>0.55975805959014358</v>
      </c>
      <c r="AG95" s="251">
        <f t="shared" si="26"/>
        <v>0.44024194040985637</v>
      </c>
    </row>
    <row r="96" spans="1:33" x14ac:dyDescent="0.25">
      <c r="A96" s="206">
        <v>2030</v>
      </c>
      <c r="B96" s="195">
        <f t="shared" si="27"/>
        <v>3804.5132209582453</v>
      </c>
      <c r="C96" s="195">
        <f t="shared" si="9"/>
        <v>3508.7549098873151</v>
      </c>
      <c r="D96" s="195">
        <f t="shared" si="10"/>
        <v>4491.4365431789311</v>
      </c>
      <c r="E96" s="195">
        <f t="shared" si="11"/>
        <v>11804.704674024491</v>
      </c>
      <c r="F96" s="221">
        <f t="shared" si="12"/>
        <v>0.32228787809743659</v>
      </c>
      <c r="H96" s="206">
        <v>2030</v>
      </c>
      <c r="I96" s="195">
        <f t="shared" si="13"/>
        <v>2193.7592281817369</v>
      </c>
      <c r="J96" s="195">
        <f t="shared" si="14"/>
        <v>160.13617959706934</v>
      </c>
      <c r="K96" s="195">
        <f t="shared" si="15"/>
        <v>3572.1977341558309</v>
      </c>
      <c r="L96" s="195">
        <f t="shared" si="16"/>
        <v>1713.8267520673085</v>
      </c>
      <c r="M96" s="195">
        <f t="shared" si="17"/>
        <v>4422.5058765987842</v>
      </c>
      <c r="O96" s="195">
        <f t="shared" si="18"/>
        <v>2353.8954077788062</v>
      </c>
      <c r="P96" s="196">
        <f t="shared" si="19"/>
        <v>0.93196971323879774</v>
      </c>
      <c r="Q96" s="195">
        <f t="shared" si="20"/>
        <v>9708.5303628219226</v>
      </c>
      <c r="R96" s="196">
        <f t="shared" si="21"/>
        <v>0.17652792832891345</v>
      </c>
      <c r="S96" s="464">
        <f t="shared" si="22"/>
        <v>12062.425770600728</v>
      </c>
      <c r="T96" s="196">
        <f t="shared" si="28"/>
        <v>0.19514278906618121</v>
      </c>
      <c r="W96" s="195">
        <f t="shared" si="30"/>
        <v>103.07275929080015</v>
      </c>
      <c r="X96" s="195">
        <f t="shared" si="23"/>
        <v>63.442824268515778</v>
      </c>
      <c r="Y96" s="195">
        <f t="shared" si="31"/>
        <v>91.205513016922851</v>
      </c>
      <c r="Z96" s="195">
        <f t="shared" si="33"/>
        <v>257.72109657623878</v>
      </c>
      <c r="AA96" s="196">
        <f t="shared" si="34"/>
        <v>0.17540917533495154</v>
      </c>
      <c r="AB96" s="196">
        <f t="shared" si="24"/>
        <v>0.22452998626297874</v>
      </c>
      <c r="AC96" s="196">
        <f t="shared" si="32"/>
        <v>0.39993916159793025</v>
      </c>
      <c r="AD96" s="247">
        <f t="shared" si="29"/>
        <v>0.6000608384020697</v>
      </c>
      <c r="AF96" s="251">
        <f t="shared" si="25"/>
        <v>0.56141035392954308</v>
      </c>
      <c r="AG96" s="251">
        <f t="shared" si="26"/>
        <v>0.43858964607045697</v>
      </c>
    </row>
    <row r="97" spans="1:33" x14ac:dyDescent="0.25">
      <c r="A97" s="206">
        <v>2031</v>
      </c>
      <c r="B97" s="195">
        <f t="shared" si="27"/>
        <v>3919.1864677507265</v>
      </c>
      <c r="C97" s="195">
        <f t="shared" si="9"/>
        <v>3545.3074055942816</v>
      </c>
      <c r="D97" s="195">
        <f t="shared" si="10"/>
        <v>4523.240125882312</v>
      </c>
      <c r="E97" s="195">
        <f t="shared" si="11"/>
        <v>11987.733999227319</v>
      </c>
      <c r="F97" s="221">
        <f t="shared" si="12"/>
        <v>0.32693305240200871</v>
      </c>
      <c r="H97" s="206">
        <v>2031</v>
      </c>
      <c r="I97" s="195">
        <f t="shared" si="13"/>
        <v>2274.8722887947115</v>
      </c>
      <c r="J97" s="195">
        <f t="shared" si="14"/>
        <v>163.56505729163251</v>
      </c>
      <c r="K97" s="195">
        <f t="shared" si="15"/>
        <v>3618.3418747040887</v>
      </c>
      <c r="L97" s="195">
        <f t="shared" si="16"/>
        <v>1765.0620574027962</v>
      </c>
      <c r="M97" s="195">
        <f t="shared" si="17"/>
        <v>4464.5038956524195</v>
      </c>
      <c r="O97" s="195">
        <f t="shared" si="18"/>
        <v>2438.437346086344</v>
      </c>
      <c r="P97" s="196">
        <f t="shared" si="19"/>
        <v>0.93292218167747798</v>
      </c>
      <c r="Q97" s="195">
        <f t="shared" si="20"/>
        <v>9847.9078277593035</v>
      </c>
      <c r="R97" s="196">
        <f t="shared" si="21"/>
        <v>0.17923218700599894</v>
      </c>
      <c r="S97" s="464">
        <f t="shared" si="22"/>
        <v>12286.345173845648</v>
      </c>
      <c r="T97" s="196">
        <f t="shared" si="28"/>
        <v>0.19846726683840257</v>
      </c>
      <c r="W97" s="195">
        <f t="shared" si="30"/>
        <v>120.74787844678121</v>
      </c>
      <c r="X97" s="195">
        <f t="shared" si="23"/>
        <v>73.034469109807105</v>
      </c>
      <c r="Y97" s="195">
        <f t="shared" si="31"/>
        <v>104.82882706174041</v>
      </c>
      <c r="Z97" s="195">
        <f t="shared" si="33"/>
        <v>298.61117461832873</v>
      </c>
      <c r="AA97" s="196">
        <f t="shared" si="34"/>
        <v>0.17666850132020617</v>
      </c>
      <c r="AB97" s="196">
        <f t="shared" si="24"/>
        <v>0.22769640096824859</v>
      </c>
      <c r="AC97" s="196">
        <f t="shared" si="32"/>
        <v>0.40436490228845479</v>
      </c>
      <c r="AD97" s="247">
        <f t="shared" si="29"/>
        <v>0.59563509771154521</v>
      </c>
      <c r="AF97" s="251">
        <f t="shared" si="25"/>
        <v>0.56309635104240763</v>
      </c>
      <c r="AG97" s="251">
        <f t="shared" si="26"/>
        <v>0.43690364895759232</v>
      </c>
    </row>
    <row r="98" spans="1:33" x14ac:dyDescent="0.25">
      <c r="A98" s="206">
        <v>2032</v>
      </c>
      <c r="B98" s="195">
        <f t="shared" si="27"/>
        <v>4036.4694655656654</v>
      </c>
      <c r="C98" s="195">
        <f t="shared" si="9"/>
        <v>3583.6007939342385</v>
      </c>
      <c r="D98" s="195">
        <f t="shared" si="10"/>
        <v>4554.562601046061</v>
      </c>
      <c r="E98" s="195">
        <f t="shared" si="11"/>
        <v>12174.632860545964</v>
      </c>
      <c r="F98" s="221">
        <f t="shared" si="12"/>
        <v>0.33154753098523027</v>
      </c>
      <c r="H98" s="206">
        <v>2032</v>
      </c>
      <c r="I98" s="195">
        <f t="shared" si="13"/>
        <v>2358.6963238258377</v>
      </c>
      <c r="J98" s="195">
        <f t="shared" si="14"/>
        <v>167.0634388495713</v>
      </c>
      <c r="K98" s="195">
        <f t="shared" si="15"/>
        <v>3666.8209659016493</v>
      </c>
      <c r="L98" s="195">
        <f t="shared" si="16"/>
        <v>1817.5798750248132</v>
      </c>
      <c r="M98" s="195">
        <f t="shared" si="17"/>
        <v>4506.6254518555997</v>
      </c>
      <c r="O98" s="195">
        <f t="shared" si="18"/>
        <v>2525.7597626754091</v>
      </c>
      <c r="P98" s="196">
        <f t="shared" si="19"/>
        <v>0.93385616426456586</v>
      </c>
      <c r="Q98" s="195">
        <f t="shared" si="20"/>
        <v>9991.0262927820622</v>
      </c>
      <c r="R98" s="196">
        <f t="shared" si="21"/>
        <v>0.18192123829540008</v>
      </c>
      <c r="S98" s="464">
        <f t="shared" si="22"/>
        <v>12516.786055457471</v>
      </c>
      <c r="T98" s="196">
        <f t="shared" si="28"/>
        <v>0.20178980063130081</v>
      </c>
      <c r="W98" s="195">
        <f t="shared" si="30"/>
        <v>139.80673328498551</v>
      </c>
      <c r="X98" s="195">
        <f t="shared" si="23"/>
        <v>83.220171967410806</v>
      </c>
      <c r="Y98" s="195">
        <f t="shared" si="31"/>
        <v>119.12628965910972</v>
      </c>
      <c r="Z98" s="195">
        <f t="shared" si="33"/>
        <v>342.15319491150603</v>
      </c>
      <c r="AA98" s="196">
        <f t="shared" si="34"/>
        <v>0.17783276486858496</v>
      </c>
      <c r="AB98" s="196">
        <f t="shared" si="24"/>
        <v>0.23077582147281955</v>
      </c>
      <c r="AC98" s="196">
        <f t="shared" si="32"/>
        <v>0.40860858634140451</v>
      </c>
      <c r="AD98" s="247">
        <f t="shared" si="29"/>
        <v>0.59139141365859549</v>
      </c>
      <c r="AF98" s="251">
        <f t="shared" si="25"/>
        <v>0.56478456201603056</v>
      </c>
      <c r="AG98" s="251">
        <f t="shared" si="26"/>
        <v>0.43521543798396944</v>
      </c>
    </row>
    <row r="99" spans="1:33" x14ac:dyDescent="0.25">
      <c r="A99" s="206">
        <v>2033</v>
      </c>
      <c r="B99" s="195">
        <f t="shared" si="27"/>
        <v>4156.6338463601987</v>
      </c>
      <c r="C99" s="195">
        <f t="shared" si="9"/>
        <v>3621.2246176543267</v>
      </c>
      <c r="D99" s="195">
        <f t="shared" si="10"/>
        <v>4585.6693705992848</v>
      </c>
      <c r="E99" s="195">
        <f t="shared" si="11"/>
        <v>12363.527834613811</v>
      </c>
      <c r="F99" s="221">
        <f t="shared" si="12"/>
        <v>0.33620127701116109</v>
      </c>
      <c r="H99" s="206">
        <v>2033</v>
      </c>
      <c r="I99" s="195">
        <f t="shared" si="13"/>
        <v>2445.3181488706769</v>
      </c>
      <c r="J99" s="195">
        <f t="shared" si="14"/>
        <v>170.61985600822331</v>
      </c>
      <c r="K99" s="195">
        <f t="shared" si="15"/>
        <v>3715.0715106292173</v>
      </c>
      <c r="L99" s="195">
        <f t="shared" si="16"/>
        <v>1871.3688303738018</v>
      </c>
      <c r="M99" s="195">
        <f t="shared" si="17"/>
        <v>4548.9871916697311</v>
      </c>
      <c r="O99" s="195">
        <f t="shared" si="18"/>
        <v>2615.9380048789003</v>
      </c>
      <c r="P99" s="196">
        <f t="shared" si="19"/>
        <v>0.93477679681628312</v>
      </c>
      <c r="Q99" s="195">
        <f t="shared" si="20"/>
        <v>10135.427532672751</v>
      </c>
      <c r="R99" s="196">
        <f t="shared" si="21"/>
        <v>0.18463639785704378</v>
      </c>
      <c r="S99" s="464">
        <f t="shared" si="22"/>
        <v>12751.365537551652</v>
      </c>
      <c r="T99" s="196">
        <f t="shared" si="28"/>
        <v>0.20514963649776902</v>
      </c>
      <c r="W99" s="195">
        <f t="shared" si="30"/>
        <v>160.05313288427988</v>
      </c>
      <c r="X99" s="195">
        <f t="shared" si="23"/>
        <v>93.846892974890579</v>
      </c>
      <c r="Y99" s="195">
        <f t="shared" si="31"/>
        <v>133.93767707866937</v>
      </c>
      <c r="Z99" s="195">
        <f t="shared" si="33"/>
        <v>387.83770293783982</v>
      </c>
      <c r="AA99" s="196">
        <f t="shared" si="34"/>
        <v>0.17890520986608549</v>
      </c>
      <c r="AB99" s="196">
        <f t="shared" si="24"/>
        <v>0.23377548536258905</v>
      </c>
      <c r="AC99" s="196">
        <f t="shared" si="32"/>
        <v>0.41268069522867451</v>
      </c>
      <c r="AD99" s="247">
        <f t="shared" si="29"/>
        <v>0.58731930477132555</v>
      </c>
      <c r="AF99" s="251">
        <f t="shared" si="25"/>
        <v>0.56648030321129861</v>
      </c>
      <c r="AG99" s="251">
        <f t="shared" si="26"/>
        <v>0.43351969678870139</v>
      </c>
    </row>
    <row r="100" spans="1:33" x14ac:dyDescent="0.25">
      <c r="A100" s="206">
        <v>2034</v>
      </c>
      <c r="B100" s="195">
        <f t="shared" si="27"/>
        <v>4279.6764859864134</v>
      </c>
      <c r="C100" s="195">
        <f t="shared" si="9"/>
        <v>3658.2077766897974</v>
      </c>
      <c r="D100" s="195">
        <f t="shared" si="10"/>
        <v>4616.555802522792</v>
      </c>
      <c r="E100" s="195">
        <f t="shared" si="11"/>
        <v>12554.440065199004</v>
      </c>
      <c r="F100" s="221">
        <f t="shared" si="12"/>
        <v>0.34088947525821617</v>
      </c>
      <c r="H100" s="206">
        <v>2034</v>
      </c>
      <c r="I100" s="195">
        <f t="shared" si="13"/>
        <v>2534.5822239968829</v>
      </c>
      <c r="J100" s="195">
        <f t="shared" si="14"/>
        <v>174.21746190964882</v>
      </c>
      <c r="K100" s="195">
        <f t="shared" si="15"/>
        <v>3762.9748608090072</v>
      </c>
      <c r="L100" s="195">
        <f t="shared" si="16"/>
        <v>1926.3140720200113</v>
      </c>
      <c r="M100" s="195">
        <f t="shared" si="17"/>
        <v>4591.3861966312234</v>
      </c>
      <c r="O100" s="195">
        <f t="shared" si="18"/>
        <v>2708.7996859065315</v>
      </c>
      <c r="P100" s="196">
        <f t="shared" si="19"/>
        <v>0.93568462710030742</v>
      </c>
      <c r="Q100" s="195">
        <f t="shared" si="20"/>
        <v>10280.675129460242</v>
      </c>
      <c r="R100" s="196">
        <f t="shared" si="21"/>
        <v>0.18737233185201788</v>
      </c>
      <c r="S100" s="464">
        <f t="shared" si="22"/>
        <v>12989.474815366773</v>
      </c>
      <c r="T100" s="196">
        <f t="shared" si="28"/>
        <v>0.20853804517962302</v>
      </c>
      <c r="W100" s="195">
        <f t="shared" si="30"/>
        <v>181.2198100304804</v>
      </c>
      <c r="X100" s="195">
        <f t="shared" si="23"/>
        <v>104.76708411920981</v>
      </c>
      <c r="Y100" s="195">
        <f t="shared" si="31"/>
        <v>149.04785601807998</v>
      </c>
      <c r="Z100" s="195">
        <f t="shared" si="33"/>
        <v>435.0347501677702</v>
      </c>
      <c r="AA100" s="196">
        <f t="shared" si="34"/>
        <v>0.17988157914516498</v>
      </c>
      <c r="AB100" s="196">
        <f t="shared" si="24"/>
        <v>0.23668240789401618</v>
      </c>
      <c r="AC100" s="196">
        <f t="shared" si="32"/>
        <v>0.41656398703918107</v>
      </c>
      <c r="AD100" s="247">
        <f t="shared" si="29"/>
        <v>0.58343601296081893</v>
      </c>
      <c r="AF100" s="251">
        <f t="shared" si="25"/>
        <v>0.56817779562820048</v>
      </c>
      <c r="AG100" s="251">
        <f t="shared" si="26"/>
        <v>0.43182220437179969</v>
      </c>
    </row>
    <row r="101" spans="1:33" x14ac:dyDescent="0.25">
      <c r="A101" s="206">
        <v>2035</v>
      </c>
      <c r="B101" s="195">
        <f t="shared" si="27"/>
        <v>4405.5976222664394</v>
      </c>
      <c r="C101" s="195">
        <f t="shared" si="9"/>
        <v>3694.5740874761059</v>
      </c>
      <c r="D101" s="195">
        <f t="shared" si="10"/>
        <v>4647.2186194955038</v>
      </c>
      <c r="E101" s="195">
        <f t="shared" si="11"/>
        <v>12747.390329238049</v>
      </c>
      <c r="F101" s="221">
        <f t="shared" si="12"/>
        <v>0.34560780743973463</v>
      </c>
      <c r="H101" s="206">
        <v>2035</v>
      </c>
      <c r="I101" s="195">
        <f t="shared" si="13"/>
        <v>2626.3764028500336</v>
      </c>
      <c r="J101" s="195">
        <f t="shared" si="14"/>
        <v>177.84346757122</v>
      </c>
      <c r="K101" s="195">
        <f t="shared" si="15"/>
        <v>3810.4407014853205</v>
      </c>
      <c r="L101" s="195">
        <f t="shared" si="16"/>
        <v>1982.3357962946866</v>
      </c>
      <c r="M101" s="195">
        <f t="shared" si="17"/>
        <v>4633.6684997522161</v>
      </c>
      <c r="O101" s="195">
        <f t="shared" si="18"/>
        <v>2804.2198704212537</v>
      </c>
      <c r="P101" s="196">
        <f t="shared" si="19"/>
        <v>0.93658005584829396</v>
      </c>
      <c r="Q101" s="195">
        <f t="shared" si="20"/>
        <v>10426.444997532224</v>
      </c>
      <c r="R101" s="196">
        <f t="shared" si="21"/>
        <v>0.19012576163437053</v>
      </c>
      <c r="S101" s="464">
        <f t="shared" si="22"/>
        <v>13230.664867953477</v>
      </c>
      <c r="T101" s="196">
        <f t="shared" si="28"/>
        <v>0.21194852249741938</v>
      </c>
      <c r="W101" s="195">
        <f t="shared" si="30"/>
        <v>203.11457687828079</v>
      </c>
      <c r="X101" s="195">
        <f t="shared" si="23"/>
        <v>115.86661400921457</v>
      </c>
      <c r="Y101" s="195">
        <f t="shared" si="31"/>
        <v>164.29334782793194</v>
      </c>
      <c r="Z101" s="195">
        <f t="shared" si="33"/>
        <v>483.2745387154273</v>
      </c>
      <c r="AA101" s="196">
        <f t="shared" si="34"/>
        <v>0.18077768154632823</v>
      </c>
      <c r="AB101" s="196">
        <f t="shared" si="24"/>
        <v>0.23951049961498747</v>
      </c>
      <c r="AC101" s="196">
        <f t="shared" si="32"/>
        <v>0.42028818116131572</v>
      </c>
      <c r="AD101" s="247">
        <f t="shared" si="29"/>
        <v>0.57971181883868428</v>
      </c>
      <c r="AF101" s="251">
        <f t="shared" si="25"/>
        <v>0.56987207908912896</v>
      </c>
      <c r="AG101" s="251">
        <f t="shared" si="26"/>
        <v>0.43012792091087099</v>
      </c>
    </row>
    <row r="102" spans="1:33" x14ac:dyDescent="0.25">
      <c r="A102" s="206">
        <v>2036</v>
      </c>
      <c r="B102" s="195">
        <f t="shared" si="27"/>
        <v>4534.4007527765134</v>
      </c>
      <c r="C102" s="195">
        <f t="shared" si="9"/>
        <v>3730.3404627702657</v>
      </c>
      <c r="D102" s="195">
        <f t="shared" si="10"/>
        <v>4677.6546881539434</v>
      </c>
      <c r="E102" s="195">
        <f t="shared" si="11"/>
        <v>12942.395903700723</v>
      </c>
      <c r="F102" s="221">
        <f t="shared" si="12"/>
        <v>0.35035249937609741</v>
      </c>
      <c r="H102" s="206">
        <v>2036</v>
      </c>
      <c r="I102" s="195">
        <f t="shared" si="13"/>
        <v>2720.6692211335394</v>
      </c>
      <c r="J102" s="195">
        <f t="shared" si="14"/>
        <v>181.49225992625722</v>
      </c>
      <c r="K102" s="195">
        <f t="shared" si="15"/>
        <v>3857.4290923710851</v>
      </c>
      <c r="L102" s="195">
        <f t="shared" si="16"/>
        <v>2039.4052701529999</v>
      </c>
      <c r="M102" s="195">
        <f t="shared" si="17"/>
        <v>4675.7533756177745</v>
      </c>
      <c r="O102" s="195">
        <f t="shared" si="18"/>
        <v>2902.1614810597966</v>
      </c>
      <c r="P102" s="196">
        <f t="shared" si="19"/>
        <v>0.937463073260837</v>
      </c>
      <c r="Q102" s="195">
        <f t="shared" si="20"/>
        <v>10572.58773814186</v>
      </c>
      <c r="R102" s="196">
        <f t="shared" si="21"/>
        <v>0.19289556357102666</v>
      </c>
      <c r="S102" s="464">
        <f t="shared" si="22"/>
        <v>13474.749219201656</v>
      </c>
      <c r="T102" s="196">
        <f t="shared" si="28"/>
        <v>0.21537777318513554</v>
      </c>
      <c r="W102" s="195">
        <f t="shared" si="30"/>
        <v>225.67373851002594</v>
      </c>
      <c r="X102" s="195">
        <f t="shared" si="23"/>
        <v>127.08862960081933</v>
      </c>
      <c r="Y102" s="195">
        <f t="shared" si="31"/>
        <v>179.59094739008833</v>
      </c>
      <c r="Z102" s="195">
        <f t="shared" si="33"/>
        <v>532.3533155009336</v>
      </c>
      <c r="AA102" s="196">
        <f t="shared" si="34"/>
        <v>0.18162300144246299</v>
      </c>
      <c r="AB102" s="196">
        <f t="shared" si="24"/>
        <v>0.24229422033283779</v>
      </c>
      <c r="AC102" s="196">
        <f t="shared" si="32"/>
        <v>0.42391722177530078</v>
      </c>
      <c r="AD102" s="247">
        <f t="shared" si="29"/>
        <v>0.57608277822469922</v>
      </c>
      <c r="AF102" s="251">
        <f t="shared" si="25"/>
        <v>0.57156021951207003</v>
      </c>
      <c r="AG102" s="251">
        <f t="shared" si="26"/>
        <v>0.42843978048792997</v>
      </c>
    </row>
    <row r="103" spans="1:33" x14ac:dyDescent="0.25">
      <c r="A103" s="206">
        <v>2037</v>
      </c>
      <c r="B103" s="195">
        <f t="shared" si="27"/>
        <v>4666.0969368716123</v>
      </c>
      <c r="C103" s="195">
        <f t="shared" si="9"/>
        <v>3765.5151567707167</v>
      </c>
      <c r="D103" s="195">
        <f t="shared" si="10"/>
        <v>4707.8646065188223</v>
      </c>
      <c r="E103" s="195">
        <f t="shared" si="11"/>
        <v>13139.476700161151</v>
      </c>
      <c r="F103" s="221">
        <f t="shared" si="12"/>
        <v>0.35512045444050178</v>
      </c>
      <c r="H103" s="206">
        <v>2037</v>
      </c>
      <c r="I103" s="195">
        <f t="shared" si="13"/>
        <v>2817.5231940280946</v>
      </c>
      <c r="J103" s="195">
        <f t="shared" si="14"/>
        <v>185.16593808091218</v>
      </c>
      <c r="K103" s="195">
        <f t="shared" si="15"/>
        <v>3903.9602304991436</v>
      </c>
      <c r="L103" s="195">
        <f t="shared" si="16"/>
        <v>2097.5509057677441</v>
      </c>
      <c r="M103" s="195">
        <f t="shared" si="17"/>
        <v>4717.65239691631</v>
      </c>
      <c r="O103" s="195">
        <f t="shared" si="18"/>
        <v>3002.689132109007</v>
      </c>
      <c r="P103" s="196">
        <f t="shared" si="19"/>
        <v>0.93833329727647929</v>
      </c>
      <c r="Q103" s="195">
        <f t="shared" si="20"/>
        <v>10719.163533183199</v>
      </c>
      <c r="R103" s="196">
        <f t="shared" si="21"/>
        <v>0.19568233092763054</v>
      </c>
      <c r="S103" s="464">
        <f t="shared" si="22"/>
        <v>13721.852665292205</v>
      </c>
      <c r="T103" s="196">
        <f t="shared" si="28"/>
        <v>0.21882534416828073</v>
      </c>
      <c r="W103" s="195">
        <f t="shared" si="30"/>
        <v>248.97716292422592</v>
      </c>
      <c r="X103" s="195">
        <f t="shared" si="23"/>
        <v>138.44507372842691</v>
      </c>
      <c r="Y103" s="195">
        <f t="shared" si="31"/>
        <v>194.95372847840008</v>
      </c>
      <c r="Z103" s="195">
        <f t="shared" si="33"/>
        <v>582.37596513105291</v>
      </c>
      <c r="AA103" s="196">
        <f t="shared" si="34"/>
        <v>0.18244774947197157</v>
      </c>
      <c r="AB103" s="196">
        <f t="shared" si="24"/>
        <v>0.24507189047092728</v>
      </c>
      <c r="AC103" s="196">
        <f t="shared" si="32"/>
        <v>0.42751963994289882</v>
      </c>
      <c r="AD103" s="247">
        <f t="shared" si="29"/>
        <v>0.57248036005710123</v>
      </c>
      <c r="AF103" s="251">
        <f t="shared" si="25"/>
        <v>0.573241244551151</v>
      </c>
      <c r="AG103" s="251">
        <f t="shared" si="26"/>
        <v>0.42675875544884906</v>
      </c>
    </row>
    <row r="104" spans="1:33" x14ac:dyDescent="0.25">
      <c r="A104" s="206">
        <v>2038</v>
      </c>
      <c r="B104" s="195">
        <f t="shared" si="27"/>
        <v>4800.7034853465475</v>
      </c>
      <c r="C104" s="195">
        <f t="shared" si="9"/>
        <v>3800.1015787362439</v>
      </c>
      <c r="D104" s="195">
        <f t="shared" si="10"/>
        <v>4737.8537757669465</v>
      </c>
      <c r="E104" s="195">
        <f t="shared" si="11"/>
        <v>13338.658839849737</v>
      </c>
      <c r="F104" s="221">
        <f t="shared" si="12"/>
        <v>0.35990900906800827</v>
      </c>
      <c r="H104" s="206">
        <v>2038</v>
      </c>
      <c r="I104" s="195">
        <f t="shared" si="13"/>
        <v>2917.0378013959444</v>
      </c>
      <c r="J104" s="195">
        <f t="shared" si="14"/>
        <v>188.86961136616131</v>
      </c>
      <c r="K104" s="195">
        <f t="shared" si="15"/>
        <v>3950.0784188556795</v>
      </c>
      <c r="L104" s="195">
        <f t="shared" si="16"/>
        <v>2156.8230634394336</v>
      </c>
      <c r="M104" s="195">
        <f t="shared" si="17"/>
        <v>4759.4214747088081</v>
      </c>
      <c r="O104" s="195">
        <f t="shared" si="18"/>
        <v>3105.9074127621057</v>
      </c>
      <c r="P104" s="196">
        <f t="shared" si="19"/>
        <v>0.93919019910571055</v>
      </c>
      <c r="Q104" s="195">
        <f t="shared" si="20"/>
        <v>10866.32295700392</v>
      </c>
      <c r="R104" s="196">
        <f t="shared" si="21"/>
        <v>0.1984869280964309</v>
      </c>
      <c r="S104" s="464">
        <f t="shared" si="22"/>
        <v>13972.230369766026</v>
      </c>
      <c r="T104" s="196">
        <f t="shared" si="28"/>
        <v>0.22229145459001734</v>
      </c>
      <c r="W104" s="195">
        <f t="shared" si="30"/>
        <v>273.15737948883088</v>
      </c>
      <c r="X104" s="195">
        <f t="shared" si="23"/>
        <v>149.97684011943556</v>
      </c>
      <c r="Y104" s="195">
        <f t="shared" si="31"/>
        <v>210.43731030802337</v>
      </c>
      <c r="Z104" s="195">
        <f t="shared" si="33"/>
        <v>633.57152991628982</v>
      </c>
      <c r="AA104" s="196">
        <f t="shared" si="34"/>
        <v>0.18327078882697989</v>
      </c>
      <c r="AB104" s="196">
        <f t="shared" si="24"/>
        <v>0.2478681853704901</v>
      </c>
      <c r="AC104" s="196">
        <f t="shared" si="32"/>
        <v>0.43113897419747005</v>
      </c>
      <c r="AD104" s="247">
        <f t="shared" si="29"/>
        <v>0.56886102580252995</v>
      </c>
      <c r="AF104" s="251">
        <f t="shared" si="25"/>
        <v>0.57491481912967035</v>
      </c>
      <c r="AG104" s="251">
        <f t="shared" si="26"/>
        <v>0.42508518087032954</v>
      </c>
    </row>
    <row r="105" spans="1:33" x14ac:dyDescent="0.25">
      <c r="A105" s="206">
        <v>2039</v>
      </c>
      <c r="B105" s="195">
        <f t="shared" si="27"/>
        <v>4938.2425598777527</v>
      </c>
      <c r="C105" s="195">
        <f t="shared" si="9"/>
        <v>3834.0979002124523</v>
      </c>
      <c r="D105" s="195">
        <f t="shared" si="10"/>
        <v>4767.6303243607299</v>
      </c>
      <c r="E105" s="195">
        <f t="shared" si="11"/>
        <v>13539.970784450936</v>
      </c>
      <c r="F105" s="221">
        <f t="shared" si="12"/>
        <v>0.36471589477495353</v>
      </c>
      <c r="H105" s="206">
        <v>2039</v>
      </c>
      <c r="I105" s="195">
        <f t="shared" si="13"/>
        <v>3019.3687189033258</v>
      </c>
      <c r="J105" s="195">
        <f t="shared" si="14"/>
        <v>192.61239115507234</v>
      </c>
      <c r="K105" s="195">
        <f t="shared" si="15"/>
        <v>3995.8625055670291</v>
      </c>
      <c r="L105" s="195">
        <f t="shared" si="16"/>
        <v>2217.3008444929746</v>
      </c>
      <c r="M105" s="195">
        <f t="shared" si="17"/>
        <v>4801.1682224784381</v>
      </c>
      <c r="O105" s="195">
        <f t="shared" si="18"/>
        <v>3211.9811100583979</v>
      </c>
      <c r="P105" s="196">
        <f t="shared" si="19"/>
        <v>0.94003314946283412</v>
      </c>
      <c r="Q105" s="195">
        <f t="shared" si="20"/>
        <v>11014.331572538442</v>
      </c>
      <c r="R105" s="196">
        <f t="shared" si="21"/>
        <v>0.20131052255783505</v>
      </c>
      <c r="S105" s="464">
        <f t="shared" si="22"/>
        <v>14226.312682596839</v>
      </c>
      <c r="T105" s="196">
        <f t="shared" si="28"/>
        <v>0.22577748582650231</v>
      </c>
      <c r="W105" s="195">
        <f t="shared" si="30"/>
        <v>298.42700351854819</v>
      </c>
      <c r="X105" s="195">
        <f t="shared" si="23"/>
        <v>161.76460535457682</v>
      </c>
      <c r="Y105" s="195">
        <f t="shared" si="31"/>
        <v>226.15028927278036</v>
      </c>
      <c r="Z105" s="195">
        <f t="shared" si="33"/>
        <v>686.34189814590536</v>
      </c>
      <c r="AA105" s="196">
        <f t="shared" si="34"/>
        <v>0.18410562536377528</v>
      </c>
      <c r="AB105" s="196">
        <f t="shared" si="24"/>
        <v>0.25070245545530845</v>
      </c>
      <c r="AC105" s="196">
        <f t="shared" si="32"/>
        <v>0.43480808081908379</v>
      </c>
      <c r="AD105" s="247">
        <f t="shared" si="29"/>
        <v>0.56519191918091627</v>
      </c>
      <c r="AF105" s="251">
        <f t="shared" si="25"/>
        <v>0.57658186798883682</v>
      </c>
      <c r="AG105" s="251">
        <f t="shared" si="26"/>
        <v>0.42341813201116307</v>
      </c>
    </row>
    <row r="106" spans="1:33" x14ac:dyDescent="0.25">
      <c r="A106" s="206">
        <v>2040</v>
      </c>
      <c r="B106" s="195">
        <f t="shared" si="27"/>
        <v>5079.1410348921308</v>
      </c>
      <c r="C106" s="195">
        <f t="shared" si="9"/>
        <v>3863.8475036532441</v>
      </c>
      <c r="D106" s="195">
        <f t="shared" si="10"/>
        <v>4797.7332659105832</v>
      </c>
      <c r="E106" s="195">
        <f t="shared" si="11"/>
        <v>13740.721804455958</v>
      </c>
      <c r="F106" s="221">
        <f t="shared" si="12"/>
        <v>0.36964150116517341</v>
      </c>
      <c r="H106" s="206">
        <v>2040</v>
      </c>
      <c r="I106" s="195">
        <f t="shared" si="13"/>
        <v>3124.9533381654464</v>
      </c>
      <c r="J106" s="195">
        <f t="shared" si="14"/>
        <v>196.40325840232214</v>
      </c>
      <c r="K106" s="195">
        <f t="shared" si="15"/>
        <v>4037.5606217236054</v>
      </c>
      <c r="L106" s="195">
        <f t="shared" si="16"/>
        <v>2279.1432647639331</v>
      </c>
      <c r="M106" s="195">
        <f t="shared" si="17"/>
        <v>4843.5370272117625</v>
      </c>
      <c r="O106" s="195">
        <f t="shared" si="18"/>
        <v>3321.3565965677685</v>
      </c>
      <c r="P106" s="196">
        <f t="shared" si="19"/>
        <v>0.94086655476702452</v>
      </c>
      <c r="Q106" s="195">
        <f t="shared" si="20"/>
        <v>11160.240913699301</v>
      </c>
      <c r="R106" s="196">
        <f t="shared" si="21"/>
        <v>0.20421989833268414</v>
      </c>
      <c r="S106" s="464">
        <f t="shared" si="22"/>
        <v>14481.597510267069</v>
      </c>
      <c r="T106" s="196">
        <f t="shared" si="28"/>
        <v>0.22935015244091783</v>
      </c>
      <c r="W106" s="195">
        <f t="shared" si="30"/>
        <v>324.95556803724867</v>
      </c>
      <c r="X106" s="195">
        <f t="shared" si="23"/>
        <v>173.71311807036136</v>
      </c>
      <c r="Y106" s="195">
        <f t="shared" si="31"/>
        <v>242.20701970350183</v>
      </c>
      <c r="Z106" s="195">
        <f t="shared" si="33"/>
        <v>740.87570581111186</v>
      </c>
      <c r="AA106" s="196">
        <f t="shared" si="34"/>
        <v>0.18498101174759621</v>
      </c>
      <c r="AB106" s="196">
        <f t="shared" si="24"/>
        <v>0.25362908909446985</v>
      </c>
      <c r="AC106" s="196">
        <f t="shared" si="32"/>
        <v>0.43861010084206609</v>
      </c>
      <c r="AD106" s="247">
        <f t="shared" si="29"/>
        <v>0.56138989915793391</v>
      </c>
      <c r="AF106" s="251">
        <f t="shared" si="25"/>
        <v>0.57825637988623557</v>
      </c>
      <c r="AG106" s="251">
        <f t="shared" si="26"/>
        <v>0.42174362011376443</v>
      </c>
    </row>
    <row r="107" spans="1:33" x14ac:dyDescent="0.25">
      <c r="A107" s="206">
        <v>2041</v>
      </c>
      <c r="B107" s="195">
        <f t="shared" si="27"/>
        <v>5222.1917377701047</v>
      </c>
      <c r="C107" s="195">
        <f t="shared" si="9"/>
        <v>3900.3177647315424</v>
      </c>
      <c r="D107" s="195">
        <f t="shared" si="10"/>
        <v>4826.5656441855735</v>
      </c>
      <c r="E107" s="195">
        <f t="shared" si="11"/>
        <v>13949.075146687221</v>
      </c>
      <c r="F107" s="221">
        <f t="shared" si="12"/>
        <v>0.37437548244984026</v>
      </c>
      <c r="H107" s="206">
        <v>2041</v>
      </c>
      <c r="I107" s="195">
        <f t="shared" si="13"/>
        <v>3232.9887497301979</v>
      </c>
      <c r="J107" s="195">
        <f t="shared" si="14"/>
        <v>200.24006996730981</v>
      </c>
      <c r="K107" s="195">
        <f t="shared" si="15"/>
        <v>4086.6452324300976</v>
      </c>
      <c r="L107" s="195">
        <f t="shared" si="16"/>
        <v>2342.1078817769398</v>
      </c>
      <c r="M107" s="195">
        <f t="shared" si="17"/>
        <v>4884.8751475249828</v>
      </c>
      <c r="O107" s="195">
        <f t="shared" si="18"/>
        <v>3433.2288196975078</v>
      </c>
      <c r="P107" s="196">
        <f t="shared" si="19"/>
        <v>0.94167587408725284</v>
      </c>
      <c r="Q107" s="195">
        <f t="shared" si="20"/>
        <v>11313.628261732019</v>
      </c>
      <c r="R107" s="196">
        <f t="shared" si="21"/>
        <v>0.20701651385338898</v>
      </c>
      <c r="S107" s="464">
        <f t="shared" si="22"/>
        <v>14746.857081429527</v>
      </c>
      <c r="T107" s="196">
        <f t="shared" si="28"/>
        <v>0.23281088307425968</v>
      </c>
      <c r="W107" s="195">
        <f t="shared" si="30"/>
        <v>352.90489373703349</v>
      </c>
      <c r="X107" s="195">
        <f t="shared" si="23"/>
        <v>186.32746769855521</v>
      </c>
      <c r="Y107" s="195">
        <f t="shared" si="31"/>
        <v>258.54957330671914</v>
      </c>
      <c r="Z107" s="195">
        <f t="shared" si="33"/>
        <v>797.78193474230784</v>
      </c>
      <c r="AA107" s="196">
        <f t="shared" si="34"/>
        <v>0.18583519996427569</v>
      </c>
      <c r="AB107" s="196">
        <f t="shared" si="24"/>
        <v>0.256522389708428</v>
      </c>
      <c r="AC107" s="196">
        <f t="shared" si="32"/>
        <v>0.44235758967270372</v>
      </c>
      <c r="AD107" s="247">
        <f t="shared" si="29"/>
        <v>0.55764241032729633</v>
      </c>
      <c r="AF107" s="251">
        <f t="shared" si="25"/>
        <v>0.57989824453611505</v>
      </c>
      <c r="AG107" s="251">
        <f t="shared" si="26"/>
        <v>0.42010175546388484</v>
      </c>
    </row>
    <row r="108" spans="1:33" x14ac:dyDescent="0.25">
      <c r="A108" s="206">
        <v>2042</v>
      </c>
      <c r="B108" s="195">
        <f t="shared" si="27"/>
        <v>5368.6256382613819</v>
      </c>
      <c r="C108" s="195">
        <f t="shared" si="9"/>
        <v>3932.5463489670519</v>
      </c>
      <c r="D108" s="195">
        <f t="shared" si="10"/>
        <v>4855.7249746287116</v>
      </c>
      <c r="E108" s="195">
        <f t="shared" si="11"/>
        <v>14156.896961857146</v>
      </c>
      <c r="F108" s="221">
        <f t="shared" si="12"/>
        <v>0.3792233321133891</v>
      </c>
      <c r="H108" s="206">
        <v>2042</v>
      </c>
      <c r="I108" s="195">
        <f t="shared" si="13"/>
        <v>3344.4091960710502</v>
      </c>
      <c r="J108" s="195">
        <f t="shared" si="14"/>
        <v>204.12615396367963</v>
      </c>
      <c r="K108" s="195">
        <f t="shared" si="15"/>
        <v>4131.6584176428833</v>
      </c>
      <c r="L108" s="195">
        <f t="shared" si="16"/>
        <v>2406.4824854280787</v>
      </c>
      <c r="M108" s="195">
        <f t="shared" si="17"/>
        <v>4926.8436820335983</v>
      </c>
      <c r="O108" s="195">
        <f t="shared" si="18"/>
        <v>3548.5353500347301</v>
      </c>
      <c r="P108" s="196">
        <f t="shared" si="19"/>
        <v>0.94247594181027894</v>
      </c>
      <c r="Q108" s="195">
        <f t="shared" si="20"/>
        <v>11464.984585104561</v>
      </c>
      <c r="R108" s="196">
        <f t="shared" si="21"/>
        <v>0.20989844927960988</v>
      </c>
      <c r="S108" s="464">
        <f t="shared" si="22"/>
        <v>15013.519935139291</v>
      </c>
      <c r="T108" s="196">
        <f t="shared" si="28"/>
        <v>0.23635598882640094</v>
      </c>
      <c r="W108" s="195">
        <f t="shared" si="30"/>
        <v>382.266043237747</v>
      </c>
      <c r="X108" s="195">
        <f t="shared" si="23"/>
        <v>199.11206867583132</v>
      </c>
      <c r="Y108" s="195">
        <f t="shared" si="31"/>
        <v>275.24486136856649</v>
      </c>
      <c r="Z108" s="195">
        <f t="shared" si="33"/>
        <v>856.62297328214481</v>
      </c>
      <c r="AA108" s="196">
        <f t="shared" si="34"/>
        <v>0.18673405210826755</v>
      </c>
      <c r="AB108" s="196">
        <f t="shared" si="24"/>
        <v>0.25951366148397642</v>
      </c>
      <c r="AC108" s="196">
        <f t="shared" si="32"/>
        <v>0.44624771359224397</v>
      </c>
      <c r="AD108" s="247">
        <f t="shared" si="29"/>
        <v>0.55375228640775609</v>
      </c>
      <c r="AF108" s="251">
        <f t="shared" si="25"/>
        <v>0.58154619862345203</v>
      </c>
      <c r="AG108" s="251">
        <f t="shared" si="26"/>
        <v>0.41845380137654803</v>
      </c>
    </row>
    <row r="109" spans="1:33" x14ac:dyDescent="0.25">
      <c r="A109" s="206">
        <v>2043</v>
      </c>
      <c r="B109" s="195">
        <f t="shared" si="27"/>
        <v>5518.0342464025316</v>
      </c>
      <c r="C109" s="195">
        <f t="shared" si="9"/>
        <v>3964.1929939905194</v>
      </c>
      <c r="D109" s="195">
        <f t="shared" si="10"/>
        <v>4884.6730943128478</v>
      </c>
      <c r="E109" s="195">
        <f t="shared" si="11"/>
        <v>14366.900334705901</v>
      </c>
      <c r="F109" s="221">
        <f t="shared" si="12"/>
        <v>0.38407966352162276</v>
      </c>
      <c r="H109" s="206">
        <v>2043</v>
      </c>
      <c r="I109" s="195">
        <f t="shared" si="13"/>
        <v>3459.0516951759319</v>
      </c>
      <c r="J109" s="195">
        <f t="shared" si="14"/>
        <v>208.06431114563142</v>
      </c>
      <c r="K109" s="195">
        <f t="shared" si="15"/>
        <v>4176.4708491912952</v>
      </c>
      <c r="L109" s="195">
        <f t="shared" si="16"/>
        <v>2472.2188832113789</v>
      </c>
      <c r="M109" s="195">
        <f t="shared" si="17"/>
        <v>4968.9099243301716</v>
      </c>
      <c r="O109" s="195">
        <f t="shared" si="18"/>
        <v>3667.1160063215634</v>
      </c>
      <c r="P109" s="196">
        <f t="shared" si="19"/>
        <v>0.94326214093392202</v>
      </c>
      <c r="Q109" s="195">
        <f t="shared" si="20"/>
        <v>11617.599656732846</v>
      </c>
      <c r="R109" s="196">
        <f t="shared" si="21"/>
        <v>0.21279945567573702</v>
      </c>
      <c r="S109" s="464">
        <f t="shared" si="22"/>
        <v>15284.715663054409</v>
      </c>
      <c r="T109" s="196">
        <f t="shared" si="28"/>
        <v>0.23992045957292923</v>
      </c>
      <c r="W109" s="195">
        <f t="shared" si="30"/>
        <v>413.2363319847791</v>
      </c>
      <c r="X109" s="195">
        <f t="shared" si="23"/>
        <v>212.27785520077578</v>
      </c>
      <c r="Y109" s="195">
        <f t="shared" si="31"/>
        <v>292.30114116295499</v>
      </c>
      <c r="Z109" s="195">
        <f t="shared" si="33"/>
        <v>917.81532834850987</v>
      </c>
      <c r="AA109" s="196">
        <f t="shared" si="34"/>
        <v>0.18766460722746101</v>
      </c>
      <c r="AB109" s="196">
        <f t="shared" si="24"/>
        <v>0.26257447597497852</v>
      </c>
      <c r="AC109" s="196">
        <f t="shared" si="32"/>
        <v>0.45023908320243955</v>
      </c>
      <c r="AD109" s="247">
        <f t="shared" si="29"/>
        <v>0.54976091679756045</v>
      </c>
      <c r="AF109" s="251">
        <f t="shared" si="25"/>
        <v>0.583188989519415</v>
      </c>
      <c r="AG109" s="251">
        <f t="shared" si="26"/>
        <v>0.416811010480585</v>
      </c>
    </row>
    <row r="110" spans="1:33" x14ac:dyDescent="0.25">
      <c r="A110" s="206">
        <v>2044</v>
      </c>
      <c r="B110" s="195">
        <f t="shared" si="27"/>
        <v>5670.4117576038097</v>
      </c>
      <c r="C110" s="195">
        <f t="shared" si="9"/>
        <v>3995.2623647991109</v>
      </c>
      <c r="D110" s="195">
        <f t="shared" si="10"/>
        <v>4913.4026230347681</v>
      </c>
      <c r="E110" s="195">
        <f t="shared" si="11"/>
        <v>14579.076745437689</v>
      </c>
      <c r="F110" s="221">
        <f t="shared" si="12"/>
        <v>0.38894175924948626</v>
      </c>
      <c r="H110" s="206">
        <v>2044</v>
      </c>
      <c r="I110" s="195">
        <f t="shared" si="13"/>
        <v>3577.0657893293619</v>
      </c>
      <c r="J110" s="195">
        <f t="shared" si="14"/>
        <v>212.05915685176112</v>
      </c>
      <c r="K110" s="195">
        <f t="shared" si="15"/>
        <v>4221.1445658930961</v>
      </c>
      <c r="L110" s="195">
        <f t="shared" si="16"/>
        <v>2539.361950606818</v>
      </c>
      <c r="M110" s="195">
        <f t="shared" si="17"/>
        <v>5011.0976932689191</v>
      </c>
      <c r="O110" s="195">
        <f t="shared" si="18"/>
        <v>3789.1249461811231</v>
      </c>
      <c r="P110" s="196">
        <f t="shared" si="19"/>
        <v>0.94403479434863047</v>
      </c>
      <c r="Q110" s="195">
        <f t="shared" si="20"/>
        <v>11771.604209768833</v>
      </c>
      <c r="R110" s="196">
        <f t="shared" si="21"/>
        <v>0.21571927711428596</v>
      </c>
      <c r="S110" s="464">
        <f t="shared" si="22"/>
        <v>15560.729155949957</v>
      </c>
      <c r="T110" s="196">
        <f t="shared" si="28"/>
        <v>0.24350561649177443</v>
      </c>
      <c r="W110" s="195">
        <f t="shared" si="30"/>
        <v>446.01598233237019</v>
      </c>
      <c r="X110" s="195">
        <f t="shared" si="23"/>
        <v>225.88220109398526</v>
      </c>
      <c r="Y110" s="195">
        <f t="shared" si="31"/>
        <v>309.75422708591213</v>
      </c>
      <c r="Z110" s="195">
        <f t="shared" si="33"/>
        <v>981.65241051226758</v>
      </c>
      <c r="AA110" s="196">
        <f t="shared" si="34"/>
        <v>0.18863376912192781</v>
      </c>
      <c r="AB110" s="196">
        <f t="shared" si="24"/>
        <v>0.26571848179305774</v>
      </c>
      <c r="AC110" s="196">
        <f t="shared" si="32"/>
        <v>0.45435225091498554</v>
      </c>
      <c r="AD110" s="247">
        <f t="shared" si="29"/>
        <v>0.54564774908501446</v>
      </c>
      <c r="AF110" s="251">
        <f t="shared" si="25"/>
        <v>0.58482924043613171</v>
      </c>
      <c r="AG110" s="251">
        <f t="shared" si="26"/>
        <v>0.41517075956386829</v>
      </c>
    </row>
    <row r="111" spans="1:33" x14ac:dyDescent="0.25">
      <c r="A111" s="206">
        <v>2045</v>
      </c>
      <c r="B111" s="195">
        <f t="shared" si="27"/>
        <v>5825.7587101800027</v>
      </c>
      <c r="C111" s="195">
        <f t="shared" si="9"/>
        <v>4025.7546547582124</v>
      </c>
      <c r="D111" s="195">
        <f t="shared" si="10"/>
        <v>4941.9084989078447</v>
      </c>
      <c r="E111" s="195">
        <f t="shared" si="11"/>
        <v>14793.421863846059</v>
      </c>
      <c r="F111" s="221">
        <f t="shared" si="12"/>
        <v>0.39380738032068779</v>
      </c>
      <c r="H111" s="206">
        <v>2045</v>
      </c>
      <c r="I111" s="195">
        <f t="shared" si="13"/>
        <v>3698.5995134479999</v>
      </c>
      <c r="J111" s="195">
        <f t="shared" si="14"/>
        <v>216.11494400621177</v>
      </c>
      <c r="K111" s="195">
        <f t="shared" si="15"/>
        <v>4265.731326713556</v>
      </c>
      <c r="L111" s="195">
        <f t="shared" si="16"/>
        <v>2607.9545878644431</v>
      </c>
      <c r="M111" s="195">
        <f t="shared" si="17"/>
        <v>5053.4377742578608</v>
      </c>
      <c r="O111" s="195">
        <f t="shared" si="18"/>
        <v>3914.7144574542117</v>
      </c>
      <c r="P111" s="196">
        <f t="shared" si="19"/>
        <v>0.9447941998439513</v>
      </c>
      <c r="Q111" s="195">
        <f t="shared" si="20"/>
        <v>11927.12368883586</v>
      </c>
      <c r="R111" s="196">
        <f t="shared" si="21"/>
        <v>0.21865746142178147</v>
      </c>
      <c r="S111" s="464">
        <f t="shared" si="22"/>
        <v>15841.838146290072</v>
      </c>
      <c r="T111" s="196">
        <f t="shared" si="28"/>
        <v>0.24711238817769268</v>
      </c>
      <c r="W111" s="195">
        <f t="shared" si="30"/>
        <v>480.79539113244027</v>
      </c>
      <c r="X111" s="195">
        <f t="shared" si="23"/>
        <v>239.97667195534359</v>
      </c>
      <c r="Y111" s="195">
        <f t="shared" si="31"/>
        <v>327.64421935622795</v>
      </c>
      <c r="Z111" s="195">
        <f t="shared" si="33"/>
        <v>1048.4162824440118</v>
      </c>
      <c r="AA111" s="196">
        <f t="shared" si="34"/>
        <v>0.18964196113902385</v>
      </c>
      <c r="AB111" s="196">
        <f t="shared" si="24"/>
        <v>0.26895010690062526</v>
      </c>
      <c r="AC111" s="196">
        <f t="shared" si="32"/>
        <v>0.45859206803964914</v>
      </c>
      <c r="AD111" s="247">
        <f t="shared" si="29"/>
        <v>0.54140793196035086</v>
      </c>
      <c r="AF111" s="251">
        <f t="shared" si="25"/>
        <v>0.58646916430611329</v>
      </c>
      <c r="AG111" s="251">
        <f t="shared" si="26"/>
        <v>0.41353083569388671</v>
      </c>
    </row>
    <row r="112" spans="1:33" x14ac:dyDescent="0.25">
      <c r="A112" s="206">
        <v>2046</v>
      </c>
      <c r="B112" s="195">
        <f t="shared" si="27"/>
        <v>5984.0846849027075</v>
      </c>
      <c r="C112" s="195">
        <f t="shared" si="9"/>
        <v>4055.6679626013029</v>
      </c>
      <c r="D112" s="195">
        <f t="shared" si="10"/>
        <v>4970.1887290853301</v>
      </c>
      <c r="E112" s="195">
        <f t="shared" si="11"/>
        <v>15009.941376589341</v>
      </c>
      <c r="F112" s="221">
        <f t="shared" si="12"/>
        <v>0.39867475393581125</v>
      </c>
      <c r="H112" s="206">
        <v>2046</v>
      </c>
      <c r="I112" s="195">
        <f t="shared" si="13"/>
        <v>3823.7709310097262</v>
      </c>
      <c r="J112" s="195">
        <f t="shared" si="14"/>
        <v>220.23458734134022</v>
      </c>
      <c r="K112" s="195">
        <f t="shared" si="15"/>
        <v>4310.2643756707848</v>
      </c>
      <c r="L112" s="195">
        <f t="shared" si="16"/>
        <v>2678.0272792436408</v>
      </c>
      <c r="M112" s="195">
        <f t="shared" si="17"/>
        <v>5095.9569115585891</v>
      </c>
      <c r="O112" s="195">
        <f t="shared" si="18"/>
        <v>4044.0055183510663</v>
      </c>
      <c r="P112" s="196">
        <f t="shared" si="19"/>
        <v>0.94554048298352955</v>
      </c>
      <c r="Q112" s="195">
        <f t="shared" si="20"/>
        <v>12084.248566473016</v>
      </c>
      <c r="R112" s="196">
        <f t="shared" si="21"/>
        <v>0.22161305806582449</v>
      </c>
      <c r="S112" s="464">
        <f t="shared" si="22"/>
        <v>16128.254084824082</v>
      </c>
      <c r="T112" s="196">
        <f t="shared" si="28"/>
        <v>0.25074043954678782</v>
      </c>
      <c r="W112" s="195">
        <f t="shared" si="30"/>
        <v>517.71352535065944</v>
      </c>
      <c r="X112" s="195">
        <f t="shared" si="23"/>
        <v>254.59641306948197</v>
      </c>
      <c r="Y112" s="195">
        <f t="shared" si="31"/>
        <v>346.00276981459956</v>
      </c>
      <c r="Z112" s="195">
        <f t="shared" si="33"/>
        <v>1118.312708234741</v>
      </c>
      <c r="AA112" s="196">
        <f t="shared" si="34"/>
        <v>0.19068114932147581</v>
      </c>
      <c r="AB112" s="196">
        <f t="shared" si="24"/>
        <v>0.27226049619364251</v>
      </c>
      <c r="AC112" s="196">
        <f t="shared" si="32"/>
        <v>0.46294164551511835</v>
      </c>
      <c r="AD112" s="247">
        <f t="shared" si="29"/>
        <v>0.53705835448488159</v>
      </c>
      <c r="AF112" s="251">
        <f t="shared" si="25"/>
        <v>0.58810975169601865</v>
      </c>
      <c r="AG112" s="251">
        <f t="shared" si="26"/>
        <v>0.41189024830398135</v>
      </c>
    </row>
    <row r="113" spans="1:53" x14ac:dyDescent="0.25">
      <c r="A113" s="206">
        <v>2047</v>
      </c>
      <c r="B113" s="195">
        <f t="shared" si="27"/>
        <v>6145.411086035363</v>
      </c>
      <c r="C113" s="195">
        <f t="shared" si="9"/>
        <v>4084.9906951052549</v>
      </c>
      <c r="D113" s="195">
        <f t="shared" si="10"/>
        <v>4998.2460284020235</v>
      </c>
      <c r="E113" s="195">
        <f t="shared" si="11"/>
        <v>15228.647809542641</v>
      </c>
      <c r="F113" s="221">
        <f t="shared" si="12"/>
        <v>0.4035427940085724</v>
      </c>
      <c r="H113" s="206">
        <v>2047</v>
      </c>
      <c r="I113" s="195">
        <f t="shared" si="13"/>
        <v>3952.6977481497543</v>
      </c>
      <c r="J113" s="195">
        <f t="shared" si="14"/>
        <v>224.42055265598745</v>
      </c>
      <c r="K113" s="195">
        <f t="shared" si="15"/>
        <v>4354.7561124988906</v>
      </c>
      <c r="L113" s="195">
        <f t="shared" si="16"/>
        <v>2749.618569014935</v>
      </c>
      <c r="M113" s="195">
        <f t="shared" si="17"/>
        <v>5138.6976587747877</v>
      </c>
      <c r="O113" s="195">
        <f t="shared" si="18"/>
        <v>4177.1183008057415</v>
      </c>
      <c r="P113" s="196">
        <f t="shared" si="19"/>
        <v>0.94627383365879347</v>
      </c>
      <c r="Q113" s="195">
        <f t="shared" si="20"/>
        <v>12243.072340288614</v>
      </c>
      <c r="R113" s="196">
        <f t="shared" si="21"/>
        <v>0.2245856671096102</v>
      </c>
      <c r="S113" s="464">
        <f t="shared" si="22"/>
        <v>16420.190641094356</v>
      </c>
      <c r="T113" s="196">
        <f t="shared" si="28"/>
        <v>0.25438914761146458</v>
      </c>
      <c r="W113" s="195">
        <f t="shared" si="30"/>
        <v>556.90523112932624</v>
      </c>
      <c r="X113" s="195">
        <f t="shared" si="23"/>
        <v>269.76541739363574</v>
      </c>
      <c r="Y113" s="195">
        <f t="shared" si="31"/>
        <v>364.87218302875135</v>
      </c>
      <c r="Z113" s="195">
        <f t="shared" si="33"/>
        <v>1191.5428315517133</v>
      </c>
      <c r="AA113" s="196">
        <f t="shared" si="34"/>
        <v>0.19174284658491542</v>
      </c>
      <c r="AB113" s="196">
        <f t="shared" si="24"/>
        <v>0.27563878367010775</v>
      </c>
      <c r="AC113" s="196">
        <f t="shared" si="32"/>
        <v>0.46738163025502316</v>
      </c>
      <c r="AD113" s="247">
        <f t="shared" si="29"/>
        <v>0.53261836974497678</v>
      </c>
      <c r="AF113" s="251">
        <f t="shared" si="25"/>
        <v>0.58975099966960098</v>
      </c>
      <c r="AG113" s="251">
        <f t="shared" si="26"/>
        <v>0.41024900033039896</v>
      </c>
    </row>
    <row r="114" spans="1:53" x14ac:dyDescent="0.25">
      <c r="A114" s="206">
        <v>2048</v>
      </c>
      <c r="B114" s="195">
        <f t="shared" si="27"/>
        <v>6309.76524873569</v>
      </c>
      <c r="C114" s="195">
        <f t="shared" si="9"/>
        <v>4113.6999846775579</v>
      </c>
      <c r="D114" s="195">
        <f t="shared" si="10"/>
        <v>5026.0855424355323</v>
      </c>
      <c r="E114" s="195">
        <f t="shared" si="11"/>
        <v>15449.55077584878</v>
      </c>
      <c r="F114" s="221">
        <f t="shared" si="12"/>
        <v>0.40841092018023667</v>
      </c>
      <c r="H114" s="206">
        <v>2048</v>
      </c>
      <c r="I114" s="195">
        <f t="shared" si="13"/>
        <v>4085.5347061924604</v>
      </c>
      <c r="J114" s="195">
        <f t="shared" si="14"/>
        <v>228.67575107689478</v>
      </c>
      <c r="K114" s="195">
        <f t="shared" si="15"/>
        <v>4399.2116547899823</v>
      </c>
      <c r="L114" s="195">
        <f t="shared" si="16"/>
        <v>2822.7894955731981</v>
      </c>
      <c r="M114" s="195">
        <f t="shared" si="17"/>
        <v>5181.7274043177295</v>
      </c>
      <c r="O114" s="195">
        <f t="shared" si="18"/>
        <v>4314.2104572693552</v>
      </c>
      <c r="P114" s="196">
        <f t="shared" si="19"/>
        <v>0.94699476223011303</v>
      </c>
      <c r="Q114" s="195">
        <f t="shared" si="20"/>
        <v>12403.728554680911</v>
      </c>
      <c r="R114" s="196">
        <f t="shared" si="21"/>
        <v>0.22757588439066057</v>
      </c>
      <c r="S114" s="464">
        <f t="shared" si="22"/>
        <v>16717.939011950264</v>
      </c>
      <c r="T114" s="196">
        <f t="shared" si="28"/>
        <v>0.25805875079371238</v>
      </c>
      <c r="W114" s="195">
        <f t="shared" si="30"/>
        <v>598.55895302996851</v>
      </c>
      <c r="X114" s="195">
        <f t="shared" si="23"/>
        <v>285.51167011242433</v>
      </c>
      <c r="Y114" s="195">
        <f t="shared" si="31"/>
        <v>384.317612959092</v>
      </c>
      <c r="Z114" s="195">
        <f t="shared" si="33"/>
        <v>1268.3882361014848</v>
      </c>
      <c r="AA114" s="196">
        <f t="shared" si="34"/>
        <v>0.19282374257554261</v>
      </c>
      <c r="AB114" s="196">
        <f t="shared" si="24"/>
        <v>0.27908141705420764</v>
      </c>
      <c r="AC114" s="196">
        <f t="shared" si="32"/>
        <v>0.47190515962975021</v>
      </c>
      <c r="AD114" s="247">
        <f t="shared" si="29"/>
        <v>0.52809484037024979</v>
      </c>
      <c r="AF114" s="251">
        <f t="shared" si="25"/>
        <v>0.59139301904045882</v>
      </c>
      <c r="AG114" s="251">
        <f t="shared" si="26"/>
        <v>0.40860698095954123</v>
      </c>
    </row>
    <row r="115" spans="1:53" x14ac:dyDescent="0.25">
      <c r="A115" s="206">
        <v>2049</v>
      </c>
      <c r="B115" s="195">
        <f t="shared" si="27"/>
        <v>6477.1809294050827</v>
      </c>
      <c r="C115" s="195">
        <f t="shared" si="9"/>
        <v>4141.7654585680202</v>
      </c>
      <c r="D115" s="195">
        <f t="shared" si="10"/>
        <v>5053.7148332295646</v>
      </c>
      <c r="E115" s="195">
        <f t="shared" si="11"/>
        <v>15672.661221202667</v>
      </c>
      <c r="F115" s="221">
        <f t="shared" si="12"/>
        <v>0.41327894720537101</v>
      </c>
      <c r="H115" s="206">
        <v>2049</v>
      </c>
      <c r="I115" s="195">
        <f t="shared" si="13"/>
        <v>4222.4483401744428</v>
      </c>
      <c r="J115" s="195">
        <f t="shared" si="14"/>
        <v>233.00288173623511</v>
      </c>
      <c r="K115" s="195">
        <f t="shared" si="15"/>
        <v>4443.6242462986347</v>
      </c>
      <c r="L115" s="195">
        <f t="shared" si="16"/>
        <v>2897.6094706717913</v>
      </c>
      <c r="M115" s="195">
        <f t="shared" si="17"/>
        <v>5225.1283073257991</v>
      </c>
      <c r="O115" s="195">
        <f t="shared" si="18"/>
        <v>4455.4512219106782</v>
      </c>
      <c r="P115" s="196">
        <f t="shared" si="19"/>
        <v>0.94770386429316256</v>
      </c>
      <c r="Q115" s="195">
        <f t="shared" si="20"/>
        <v>12566.362024296224</v>
      </c>
      <c r="R115" s="196">
        <f t="shared" si="21"/>
        <v>0.23058459282562896</v>
      </c>
      <c r="S115" s="464">
        <f t="shared" si="22"/>
        <v>17021.813246206904</v>
      </c>
      <c r="T115" s="196">
        <f t="shared" si="28"/>
        <v>0.26174950679261616</v>
      </c>
      <c r="W115" s="195">
        <f t="shared" si="30"/>
        <v>642.87688144115145</v>
      </c>
      <c r="X115" s="195">
        <f t="shared" si="23"/>
        <v>301.85878773061449</v>
      </c>
      <c r="Y115" s="195">
        <f t="shared" si="31"/>
        <v>404.41635583246989</v>
      </c>
      <c r="Z115" s="195">
        <f t="shared" si="33"/>
        <v>1349.1520250042358</v>
      </c>
      <c r="AA115" s="196">
        <f t="shared" si="34"/>
        <v>0.19392028972652797</v>
      </c>
      <c r="AB115" s="196">
        <f t="shared" si="24"/>
        <v>0.28258411417052953</v>
      </c>
      <c r="AC115" s="196">
        <f t="shared" si="32"/>
        <v>0.4765044038970575</v>
      </c>
      <c r="AD115" s="247">
        <f t="shared" si="29"/>
        <v>0.5234955961029425</v>
      </c>
      <c r="AF115" s="251">
        <f t="shared" si="25"/>
        <v>0.59303568206177193</v>
      </c>
      <c r="AG115" s="251">
        <f t="shared" si="26"/>
        <v>0.40696431793822813</v>
      </c>
    </row>
    <row r="116" spans="1:53" ht="13.8" thickBot="1" x14ac:dyDescent="0.3">
      <c r="A116" s="208">
        <v>2050</v>
      </c>
      <c r="B116" s="195">
        <f t="shared" si="27"/>
        <v>6647.4168204434773</v>
      </c>
      <c r="C116" s="195">
        <f t="shared" si="9"/>
        <v>4171.5969046050905</v>
      </c>
      <c r="D116" s="195">
        <f t="shared" si="10"/>
        <v>5080.6979477080649</v>
      </c>
      <c r="E116" s="195">
        <f t="shared" si="11"/>
        <v>15899.711672756634</v>
      </c>
      <c r="F116" s="222">
        <f t="shared" si="12"/>
        <v>0.41808411103664828</v>
      </c>
      <c r="H116" s="208">
        <v>2050</v>
      </c>
      <c r="I116" s="195">
        <f t="shared" si="13"/>
        <v>4363.3955469941866</v>
      </c>
      <c r="J116" s="195">
        <f t="shared" si="14"/>
        <v>237.40376967713601</v>
      </c>
      <c r="K116" s="195">
        <f t="shared" si="15"/>
        <v>4490.612859824837</v>
      </c>
      <c r="L116" s="195">
        <f t="shared" si="16"/>
        <v>2974.0926106642419</v>
      </c>
      <c r="M116" s="195">
        <f t="shared" si="17"/>
        <v>5268.4931875608127</v>
      </c>
      <c r="O116" s="195">
        <f t="shared" si="18"/>
        <v>4600.7993166713222</v>
      </c>
      <c r="P116" s="210">
        <f t="shared" si="19"/>
        <v>0.94839945119603752</v>
      </c>
      <c r="Q116" s="195">
        <f t="shared" si="20"/>
        <v>12733.198658049892</v>
      </c>
      <c r="R116" s="210">
        <f t="shared" si="21"/>
        <v>0.23356995288721338</v>
      </c>
      <c r="S116" s="464">
        <f t="shared" si="22"/>
        <v>17333.997974721213</v>
      </c>
      <c r="T116" s="196">
        <f t="shared" si="28"/>
        <v>0.26542055233771411</v>
      </c>
      <c r="W116" s="195">
        <f t="shared" si="30"/>
        <v>690.0713372149512</v>
      </c>
      <c r="X116" s="195">
        <f t="shared" si="23"/>
        <v>319.0159552197465</v>
      </c>
      <c r="Y116" s="195">
        <f t="shared" si="31"/>
        <v>425.19900952988337</v>
      </c>
      <c r="Z116" s="195">
        <f t="shared" si="33"/>
        <v>1434.2863019645811</v>
      </c>
      <c r="AA116" s="196">
        <f t="shared" si="34"/>
        <v>0.19501374066327082</v>
      </c>
      <c r="AB116" s="196">
        <f t="shared" si="24"/>
        <v>0.28611149651548606</v>
      </c>
      <c r="AC116" s="196">
        <f t="shared" si="32"/>
        <v>0.48112523717875688</v>
      </c>
      <c r="AD116" s="247">
        <f t="shared" si="29"/>
        <v>0.51887476282124312</v>
      </c>
      <c r="AF116" s="251">
        <f t="shared" si="25"/>
        <v>0.59467156242561525</v>
      </c>
      <c r="AG116" s="251">
        <f t="shared" si="26"/>
        <v>0.40532843757438475</v>
      </c>
    </row>
    <row r="117" spans="1:53" x14ac:dyDescent="0.25">
      <c r="A117" s="213">
        <v>2051</v>
      </c>
      <c r="B117" s="195">
        <f t="shared" si="27"/>
        <v>6821.3042477565241</v>
      </c>
      <c r="C117" s="195">
        <f t="shared" si="9"/>
        <v>4195.8798413794093</v>
      </c>
      <c r="D117" s="195">
        <f t="shared" si="10"/>
        <v>5108.3609439550573</v>
      </c>
      <c r="E117" s="195">
        <f t="shared" si="11"/>
        <v>16125.545033090992</v>
      </c>
      <c r="F117" s="214">
        <f t="shared" si="12"/>
        <v>0.4230123219871717</v>
      </c>
      <c r="H117" s="213">
        <v>2051</v>
      </c>
      <c r="I117" s="195">
        <f t="shared" si="13"/>
        <v>4509.1157347702401</v>
      </c>
      <c r="J117" s="195">
        <f t="shared" si="14"/>
        <v>241.88338150253307</v>
      </c>
      <c r="K117" s="195">
        <f t="shared" si="15"/>
        <v>4532.3319740611278</v>
      </c>
      <c r="L117" s="195">
        <f t="shared" si="16"/>
        <v>3052.4035190674949</v>
      </c>
      <c r="M117" s="195">
        <f t="shared" si="17"/>
        <v>5313.2949807816985</v>
      </c>
      <c r="O117" s="195">
        <f t="shared" si="18"/>
        <v>4750.9991162727729</v>
      </c>
      <c r="P117" s="214">
        <f t="shared" si="19"/>
        <v>0.94908789170807217</v>
      </c>
      <c r="Q117" s="195">
        <f t="shared" si="20"/>
        <v>12898.030473910321</v>
      </c>
      <c r="R117" s="214">
        <f t="shared" si="21"/>
        <v>0.23665655971598057</v>
      </c>
      <c r="S117" s="464">
        <f t="shared" si="22"/>
        <v>17649.029590183094</v>
      </c>
      <c r="T117" s="196">
        <f t="shared" si="28"/>
        <v>0.26919322062417628</v>
      </c>
      <c r="W117" s="195">
        <f t="shared" si="30"/>
        <v>740.21500608121096</v>
      </c>
      <c r="X117" s="195">
        <f t="shared" si="23"/>
        <v>336.45213268171847</v>
      </c>
      <c r="Y117" s="195">
        <f t="shared" si="31"/>
        <v>446.81741832917396</v>
      </c>
      <c r="Z117" s="195">
        <f t="shared" si="33"/>
        <v>1523.4845570921034</v>
      </c>
      <c r="AA117" s="196">
        <f t="shared" si="34"/>
        <v>0.19613392165288349</v>
      </c>
      <c r="AB117" s="196">
        <f t="shared" si="24"/>
        <v>0.28973579237563929</v>
      </c>
      <c r="AC117" s="196">
        <f t="shared" si="32"/>
        <v>0.4858697140285228</v>
      </c>
      <c r="AD117" s="247">
        <f t="shared" si="29"/>
        <v>0.51413028597147725</v>
      </c>
      <c r="AF117" s="251">
        <f t="shared" si="25"/>
        <v>0.59632404327763977</v>
      </c>
      <c r="AG117" s="251">
        <f t="shared" si="26"/>
        <v>0.40367595672236017</v>
      </c>
    </row>
    <row r="118" spans="1:53" x14ac:dyDescent="0.25">
      <c r="A118" s="194">
        <v>2052</v>
      </c>
      <c r="B118" s="195">
        <f t="shared" si="27"/>
        <v>6998.042987300807</v>
      </c>
      <c r="C118" s="195">
        <f t="shared" si="9"/>
        <v>4221.9161698135413</v>
      </c>
      <c r="D118" s="195">
        <f t="shared" si="10"/>
        <v>5135.3779741578091</v>
      </c>
      <c r="E118" s="195">
        <f t="shared" si="11"/>
        <v>16355.337131272157</v>
      </c>
      <c r="F118" s="196">
        <f t="shared" si="12"/>
        <v>0.42787519029003851</v>
      </c>
      <c r="H118" s="194">
        <v>2052</v>
      </c>
      <c r="I118" s="195">
        <f t="shared" si="13"/>
        <v>4659.1234839576637</v>
      </c>
      <c r="J118" s="195">
        <f t="shared" si="14"/>
        <v>246.44121577310111</v>
      </c>
      <c r="K118" s="195">
        <f t="shared" si="15"/>
        <v>4576.666601473612</v>
      </c>
      <c r="L118" s="195">
        <f t="shared" si="16"/>
        <v>3132.430393802365</v>
      </c>
      <c r="M118" s="195">
        <f t="shared" si="17"/>
        <v>5358.1297265408239</v>
      </c>
      <c r="O118" s="195">
        <f t="shared" si="18"/>
        <v>4905.5646997307649</v>
      </c>
      <c r="P118" s="196">
        <f t="shared" si="19"/>
        <v>0.94976292621588976</v>
      </c>
      <c r="Q118" s="195">
        <f t="shared" si="20"/>
        <v>13067.226721816802</v>
      </c>
      <c r="R118" s="196">
        <f t="shared" si="21"/>
        <v>0.23971654127440192</v>
      </c>
      <c r="S118" s="464">
        <f t="shared" si="22"/>
        <v>17972.791421547568</v>
      </c>
      <c r="T118" s="196">
        <f t="shared" si="28"/>
        <v>0.27294395092403323</v>
      </c>
      <c r="W118" s="195">
        <f t="shared" si="30"/>
        <v>793.51089045922163</v>
      </c>
      <c r="X118" s="195">
        <f t="shared" si="23"/>
        <v>354.75043166007072</v>
      </c>
      <c r="Y118" s="195">
        <f t="shared" si="31"/>
        <v>469.19296815611597</v>
      </c>
      <c r="Z118" s="195">
        <f t="shared" si="33"/>
        <v>1617.4542902754083</v>
      </c>
      <c r="AA118" s="196">
        <f t="shared" si="34"/>
        <v>0.19723238503920301</v>
      </c>
      <c r="AB118" s="196">
        <f t="shared" si="24"/>
        <v>0.29336008191954382</v>
      </c>
      <c r="AC118" s="196">
        <f t="shared" si="32"/>
        <v>0.49059246695874686</v>
      </c>
      <c r="AD118" s="247">
        <f t="shared" si="29"/>
        <v>0.50940753304125308</v>
      </c>
      <c r="AF118" s="251">
        <f t="shared" si="25"/>
        <v>0.59797102825105553</v>
      </c>
      <c r="AG118" s="251">
        <f t="shared" si="26"/>
        <v>0.40202897174894442</v>
      </c>
    </row>
    <row r="119" spans="1:53" x14ac:dyDescent="0.25">
      <c r="A119" s="194">
        <v>2053</v>
      </c>
      <c r="B119" s="195">
        <f t="shared" si="27"/>
        <v>7177.9358410927707</v>
      </c>
      <c r="C119" s="195">
        <f t="shared" si="9"/>
        <v>4247.2292877852415</v>
      </c>
      <c r="D119" s="195">
        <f t="shared" si="10"/>
        <v>5162.1876196339181</v>
      </c>
      <c r="E119" s="195">
        <f t="shared" si="11"/>
        <v>16587.35274851193</v>
      </c>
      <c r="F119" s="196">
        <f t="shared" si="12"/>
        <v>0.43273546719121359</v>
      </c>
      <c r="H119" s="194">
        <v>2053</v>
      </c>
      <c r="I119" s="195">
        <f t="shared" si="13"/>
        <v>4813.7326406693846</v>
      </c>
      <c r="J119" s="195">
        <f t="shared" si="14"/>
        <v>251.07978116096319</v>
      </c>
      <c r="K119" s="195">
        <f t="shared" si="15"/>
        <v>4620.9645891717637</v>
      </c>
      <c r="L119" s="195">
        <f t="shared" si="16"/>
        <v>3214.2410929771131</v>
      </c>
      <c r="M119" s="195">
        <f t="shared" si="17"/>
        <v>5403.5195349256273</v>
      </c>
      <c r="O119" s="195">
        <f t="shared" si="18"/>
        <v>5064.8124218303474</v>
      </c>
      <c r="P119" s="196">
        <f t="shared" si="19"/>
        <v>0.95042663770157432</v>
      </c>
      <c r="Q119" s="195">
        <f t="shared" si="20"/>
        <v>13238.725217074505</v>
      </c>
      <c r="R119" s="196">
        <f t="shared" si="21"/>
        <v>0.24279083070865312</v>
      </c>
      <c r="S119" s="464">
        <f t="shared" si="22"/>
        <v>18303.537638904854</v>
      </c>
      <c r="T119" s="196">
        <f t="shared" si="28"/>
        <v>0.2767122138763437</v>
      </c>
      <c r="W119" s="195">
        <f t="shared" si="30"/>
        <v>850.03789255372703</v>
      </c>
      <c r="X119" s="195">
        <f t="shared" si="23"/>
        <v>373.73530138652222</v>
      </c>
      <c r="Y119" s="195">
        <f t="shared" si="31"/>
        <v>492.41169645267291</v>
      </c>
      <c r="Z119" s="195">
        <f t="shared" si="33"/>
        <v>1716.1848903929222</v>
      </c>
      <c r="AA119" s="196">
        <f t="shared" si="34"/>
        <v>0.1983109605385952</v>
      </c>
      <c r="AB119" s="196">
        <f t="shared" si="24"/>
        <v>0.29699574989346678</v>
      </c>
      <c r="AC119" s="196">
        <f t="shared" si="32"/>
        <v>0.49530671043206193</v>
      </c>
      <c r="AD119" s="247">
        <f t="shared" si="29"/>
        <v>0.50469328956793813</v>
      </c>
      <c r="AF119" s="251">
        <f t="shared" si="25"/>
        <v>0.59961987923481563</v>
      </c>
      <c r="AG119" s="251">
        <f t="shared" si="26"/>
        <v>0.40038012076518442</v>
      </c>
    </row>
    <row r="120" spans="1:53" x14ac:dyDescent="0.25">
      <c r="A120" s="194">
        <v>2054</v>
      </c>
      <c r="B120" s="195">
        <f t="shared" si="27"/>
        <v>7361.0173655605367</v>
      </c>
      <c r="C120" s="195">
        <f t="shared" si="9"/>
        <v>4271.7702349238562</v>
      </c>
      <c r="D120" s="195">
        <f t="shared" si="10"/>
        <v>5188.7853419969206</v>
      </c>
      <c r="E120" s="195">
        <f t="shared" si="11"/>
        <v>16821.572942481314</v>
      </c>
      <c r="F120" s="196">
        <f t="shared" si="12"/>
        <v>0.43759387964076613</v>
      </c>
      <c r="H120" s="194">
        <v>2054</v>
      </c>
      <c r="I120" s="195">
        <f t="shared" si="13"/>
        <v>4973.0430837326639</v>
      </c>
      <c r="J120" s="195">
        <f t="shared" si="14"/>
        <v>255.80023546780387</v>
      </c>
      <c r="K120" s="195">
        <f t="shared" si="15"/>
        <v>4665.1803577123246</v>
      </c>
      <c r="L120" s="195">
        <f t="shared" si="16"/>
        <v>3297.8548066737039</v>
      </c>
      <c r="M120" s="195">
        <f t="shared" si="17"/>
        <v>5449.5056312322276</v>
      </c>
      <c r="O120" s="195">
        <f t="shared" si="18"/>
        <v>5228.8433192004677</v>
      </c>
      <c r="P120" s="196">
        <f t="shared" si="19"/>
        <v>0.95107900163531434</v>
      </c>
      <c r="Q120" s="195">
        <f t="shared" si="20"/>
        <v>13412.540795618257</v>
      </c>
      <c r="R120" s="196">
        <f t="shared" si="21"/>
        <v>0.24587845486748344</v>
      </c>
      <c r="S120" s="464">
        <f t="shared" si="22"/>
        <v>18641.384114818724</v>
      </c>
      <c r="T120" s="196">
        <f t="shared" si="28"/>
        <v>0.28049651715742863</v>
      </c>
      <c r="W120" s="195">
        <f t="shared" si="30"/>
        <v>909.88052484583113</v>
      </c>
      <c r="X120" s="195">
        <f t="shared" si="23"/>
        <v>393.41012278846847</v>
      </c>
      <c r="Y120" s="195">
        <f t="shared" si="31"/>
        <v>516.52052470311082</v>
      </c>
      <c r="Z120" s="195">
        <f t="shared" si="33"/>
        <v>1819.8111723374104</v>
      </c>
      <c r="AA120" s="196">
        <f t="shared" si="34"/>
        <v>0.19935949024549299</v>
      </c>
      <c r="AB120" s="196">
        <f t="shared" si="24"/>
        <v>0.30062673836808235</v>
      </c>
      <c r="AC120" s="196">
        <f t="shared" si="32"/>
        <v>0.49998622861357539</v>
      </c>
      <c r="AD120" s="247">
        <f t="shared" si="29"/>
        <v>0.50001377138642455</v>
      </c>
      <c r="AF120" s="251">
        <f t="shared" si="25"/>
        <v>0.60127003738022533</v>
      </c>
      <c r="AG120" s="251">
        <f t="shared" si="26"/>
        <v>0.39872996261977461</v>
      </c>
    </row>
    <row r="121" spans="1:53" x14ac:dyDescent="0.25">
      <c r="A121" s="194">
        <v>2055</v>
      </c>
      <c r="B121" s="195">
        <f t="shared" si="27"/>
        <v>7547.3153075446662</v>
      </c>
      <c r="C121" s="195">
        <f t="shared" si="9"/>
        <v>4295.5057750260403</v>
      </c>
      <c r="D121" s="195">
        <f t="shared" si="10"/>
        <v>5215.1675767534325</v>
      </c>
      <c r="E121" s="195">
        <f t="shared" si="11"/>
        <v>17057.988659324139</v>
      </c>
      <c r="F121" s="196">
        <f t="shared" si="12"/>
        <v>0.44245048219206057</v>
      </c>
      <c r="H121" s="194">
        <v>2055</v>
      </c>
      <c r="I121" s="195">
        <f t="shared" si="13"/>
        <v>5137.1489893696589</v>
      </c>
      <c r="J121" s="195">
        <f t="shared" si="14"/>
        <v>260.60373200757272</v>
      </c>
      <c r="K121" s="195">
        <f t="shared" si="15"/>
        <v>4709.2846589557566</v>
      </c>
      <c r="L121" s="195">
        <f t="shared" si="16"/>
        <v>3383.2877628816204</v>
      </c>
      <c r="M121" s="195">
        <f t="shared" si="17"/>
        <v>5496.122709038159</v>
      </c>
      <c r="O121" s="195">
        <f t="shared" si="18"/>
        <v>5397.7527213772319</v>
      </c>
      <c r="P121" s="196">
        <f t="shared" si="19"/>
        <v>0.95171995727490821</v>
      </c>
      <c r="Q121" s="195">
        <f t="shared" si="20"/>
        <v>13588.695130875534</v>
      </c>
      <c r="R121" s="196">
        <f t="shared" si="21"/>
        <v>0.24897811970144859</v>
      </c>
      <c r="S121" s="464">
        <f t="shared" si="22"/>
        <v>18986.447852252764</v>
      </c>
      <c r="T121" s="196">
        <f t="shared" si="28"/>
        <v>0.28429502787361999</v>
      </c>
      <c r="W121" s="195">
        <f t="shared" si="30"/>
        <v>973.12144470661406</v>
      </c>
      <c r="X121" s="195">
        <f t="shared" si="23"/>
        <v>413.77888392971636</v>
      </c>
      <c r="Y121" s="195">
        <f t="shared" si="31"/>
        <v>541.5588642922994</v>
      </c>
      <c r="Z121" s="195">
        <f t="shared" si="33"/>
        <v>1928.4591929286298</v>
      </c>
      <c r="AA121" s="196">
        <f t="shared" si="34"/>
        <v>0.20037044870109247</v>
      </c>
      <c r="AB121" s="196">
        <f t="shared" si="24"/>
        <v>0.3042404076109852</v>
      </c>
      <c r="AC121" s="196">
        <f t="shared" si="32"/>
        <v>0.50461085631207769</v>
      </c>
      <c r="AD121" s="247">
        <f t="shared" si="29"/>
        <v>0.49538914368792236</v>
      </c>
      <c r="AF121" s="251">
        <f t="shared" si="25"/>
        <v>0.60292085238615445</v>
      </c>
      <c r="AG121" s="251">
        <f t="shared" si="26"/>
        <v>0.3970791476138455</v>
      </c>
    </row>
    <row r="122" spans="1:53" x14ac:dyDescent="0.25">
      <c r="A122" s="194">
        <v>2056</v>
      </c>
      <c r="B122" s="195">
        <f t="shared" si="27"/>
        <v>7736.8507409555405</v>
      </c>
      <c r="C122" s="195">
        <f t="shared" si="9"/>
        <v>4318.4221433297134</v>
      </c>
      <c r="D122" s="195">
        <f t="shared" si="10"/>
        <v>5241.3351757109513</v>
      </c>
      <c r="E122" s="195">
        <f t="shared" si="11"/>
        <v>17296.608059996204</v>
      </c>
      <c r="F122" s="196">
        <f t="shared" si="12"/>
        <v>0.44730450699460655</v>
      </c>
      <c r="H122" s="194">
        <v>2056</v>
      </c>
      <c r="I122" s="195">
        <f t="shared" si="13"/>
        <v>5306.1668708625575</v>
      </c>
      <c r="J122" s="195">
        <f t="shared" si="14"/>
        <v>265.4917893653153</v>
      </c>
      <c r="K122" s="195">
        <f t="shared" si="15"/>
        <v>4753.276834753714</v>
      </c>
      <c r="L122" s="195">
        <f t="shared" si="16"/>
        <v>3470.5662697494763</v>
      </c>
      <c r="M122" s="195">
        <f t="shared" si="17"/>
        <v>5543.4015429460778</v>
      </c>
      <c r="O122" s="195">
        <f t="shared" si="18"/>
        <v>5571.658660227873</v>
      </c>
      <c r="P122" s="196">
        <f t="shared" si="19"/>
        <v>0.95234959541572894</v>
      </c>
      <c r="Q122" s="195">
        <f t="shared" si="20"/>
        <v>13767.244647449268</v>
      </c>
      <c r="R122" s="196">
        <f t="shared" si="21"/>
        <v>0.25208866106643113</v>
      </c>
      <c r="S122" s="464">
        <f t="shared" si="22"/>
        <v>19338.903307677141</v>
      </c>
      <c r="T122" s="196">
        <f t="shared" si="28"/>
        <v>0.28810623702824145</v>
      </c>
      <c r="W122" s="195">
        <f t="shared" si="30"/>
        <v>1039.8823996564934</v>
      </c>
      <c r="X122" s="195">
        <f t="shared" si="23"/>
        <v>434.85469142400052</v>
      </c>
      <c r="Y122" s="195">
        <f t="shared" si="31"/>
        <v>567.55815660044209</v>
      </c>
      <c r="Z122" s="195">
        <f t="shared" si="33"/>
        <v>2042.295247680936</v>
      </c>
      <c r="AA122" s="196">
        <f t="shared" si="34"/>
        <v>0.20134143000559787</v>
      </c>
      <c r="AB122" s="196">
        <f t="shared" si="24"/>
        <v>0.30783196244943484</v>
      </c>
      <c r="AC122" s="196">
        <f t="shared" si="32"/>
        <v>0.50917339245503268</v>
      </c>
      <c r="AD122" s="247">
        <f t="shared" si="29"/>
        <v>0.49082660754496732</v>
      </c>
      <c r="AF122" s="251">
        <f t="shared" si="25"/>
        <v>0.60457197294852916</v>
      </c>
      <c r="AG122" s="251">
        <f t="shared" si="26"/>
        <v>0.3954280270514709</v>
      </c>
    </row>
    <row r="123" spans="1:53" x14ac:dyDescent="0.25">
      <c r="A123" s="194">
        <v>2057</v>
      </c>
      <c r="B123" s="195">
        <f t="shared" si="27"/>
        <v>7929.6310446620118</v>
      </c>
      <c r="C123" s="195">
        <f t="shared" si="9"/>
        <v>4340.5349317735636</v>
      </c>
      <c r="D123" s="195">
        <f t="shared" si="10"/>
        <v>5267.289071807033</v>
      </c>
      <c r="E123" s="195">
        <f t="shared" si="11"/>
        <v>17537.455048242609</v>
      </c>
      <c r="F123" s="196">
        <f t="shared" si="12"/>
        <v>0.4521540339147796</v>
      </c>
      <c r="H123" s="194">
        <v>2057</v>
      </c>
      <c r="I123" s="195">
        <f t="shared" si="13"/>
        <v>5480.1927804759625</v>
      </c>
      <c r="J123" s="195">
        <f t="shared" si="14"/>
        <v>270.46565740232029</v>
      </c>
      <c r="K123" s="195">
        <f t="shared" si="15"/>
        <v>4797.1870678156292</v>
      </c>
      <c r="L123" s="195">
        <f t="shared" si="16"/>
        <v>3559.7022541827509</v>
      </c>
      <c r="M123" s="195">
        <f t="shared" si="17"/>
        <v>5591.357731762303</v>
      </c>
      <c r="O123" s="195">
        <f t="shared" si="18"/>
        <v>5750.6584378782827</v>
      </c>
      <c r="P123" s="196">
        <f t="shared" si="19"/>
        <v>0.95296788005686028</v>
      </c>
      <c r="Q123" s="195">
        <f t="shared" si="20"/>
        <v>13948.247053760682</v>
      </c>
      <c r="R123" s="196">
        <f t="shared" si="21"/>
        <v>0.25520785805288665</v>
      </c>
      <c r="S123" s="464">
        <f t="shared" si="22"/>
        <v>19698.905491638965</v>
      </c>
      <c r="T123" s="196">
        <f t="shared" si="28"/>
        <v>0.29192781499048776</v>
      </c>
      <c r="W123" s="195">
        <f t="shared" si="30"/>
        <v>1110.2639899967016</v>
      </c>
      <c r="X123" s="195">
        <f t="shared" si="23"/>
        <v>456.65213604206565</v>
      </c>
      <c r="Y123" s="195">
        <f t="shared" si="31"/>
        <v>594.53431735759023</v>
      </c>
      <c r="Z123" s="195">
        <f t="shared" si="33"/>
        <v>2161.4504433963575</v>
      </c>
      <c r="AA123" s="196">
        <f t="shared" si="34"/>
        <v>0.20226989889589606</v>
      </c>
      <c r="AB123" s="196">
        <f t="shared" si="24"/>
        <v>0.31139627993728947</v>
      </c>
      <c r="AC123" s="196">
        <f t="shared" si="32"/>
        <v>0.51366617883318555</v>
      </c>
      <c r="AD123" s="247">
        <f t="shared" si="29"/>
        <v>0.4863338211668144</v>
      </c>
      <c r="AF123" s="251">
        <f t="shared" si="25"/>
        <v>0.60622305452276282</v>
      </c>
      <c r="AG123" s="251">
        <f t="shared" si="26"/>
        <v>0.39377694547723713</v>
      </c>
    </row>
    <row r="124" spans="1:53" x14ac:dyDescent="0.25">
      <c r="A124" s="194">
        <v>2058</v>
      </c>
      <c r="B124" s="195">
        <f t="shared" si="27"/>
        <v>8125.6522941526673</v>
      </c>
      <c r="C124" s="195">
        <f t="shared" si="9"/>
        <v>4361.8790193293717</v>
      </c>
      <c r="D124" s="195">
        <f t="shared" si="10"/>
        <v>5293.0259527594862</v>
      </c>
      <c r="E124" s="195">
        <f t="shared" si="11"/>
        <v>17780.557266241525</v>
      </c>
      <c r="F124" s="196">
        <f t="shared" si="12"/>
        <v>0.45699649186924934</v>
      </c>
      <c r="H124" s="194">
        <v>2058</v>
      </c>
      <c r="I124" s="195">
        <f t="shared" si="13"/>
        <v>5659.2647461353336</v>
      </c>
      <c r="J124" s="195">
        <f t="shared" si="14"/>
        <v>275.52546651631394</v>
      </c>
      <c r="K124" s="195">
        <f t="shared" si="15"/>
        <v>4841.0544815124003</v>
      </c>
      <c r="L124" s="195">
        <f t="shared" si="16"/>
        <v>3650.6798226773108</v>
      </c>
      <c r="M124" s="195">
        <f t="shared" si="17"/>
        <v>5639.9815579074857</v>
      </c>
      <c r="O124" s="195">
        <f t="shared" si="18"/>
        <v>5934.7902126516474</v>
      </c>
      <c r="P124" s="196">
        <f t="shared" si="19"/>
        <v>0.95357452300016354</v>
      </c>
      <c r="Q124" s="195">
        <f t="shared" si="20"/>
        <v>14131.715862097197</v>
      </c>
      <c r="R124" s="196">
        <f t="shared" si="21"/>
        <v>0.25833238216095417</v>
      </c>
      <c r="S124" s="464">
        <f t="shared" si="22"/>
        <v>20066.506074748846</v>
      </c>
      <c r="T124" s="196">
        <f t="shared" si="28"/>
        <v>0.29575603199402156</v>
      </c>
      <c r="W124" s="195">
        <f t="shared" si="30"/>
        <v>1184.2922746599761</v>
      </c>
      <c r="X124" s="195">
        <f t="shared" si="23"/>
        <v>479.17546218302869</v>
      </c>
      <c r="Y124" s="195">
        <f t="shared" si="31"/>
        <v>622.48107166431328</v>
      </c>
      <c r="Z124" s="195">
        <f t="shared" si="33"/>
        <v>2285.9488085073181</v>
      </c>
      <c r="AA124" s="196">
        <f t="shared" si="34"/>
        <v>0.20315103814201929</v>
      </c>
      <c r="AB124" s="196">
        <f t="shared" si="24"/>
        <v>0.31492367562783846</v>
      </c>
      <c r="AC124" s="196">
        <f t="shared" si="32"/>
        <v>0.5180747137698577</v>
      </c>
      <c r="AD124" s="247">
        <f t="shared" si="29"/>
        <v>0.4819252862301423</v>
      </c>
      <c r="AF124" s="251">
        <f t="shared" si="25"/>
        <v>0.60787308713880939</v>
      </c>
      <c r="AG124" s="251">
        <f t="shared" si="26"/>
        <v>0.39212691286119067</v>
      </c>
    </row>
    <row r="125" spans="1:53" x14ac:dyDescent="0.25">
      <c r="A125" s="194">
        <v>2059</v>
      </c>
      <c r="B125" s="195">
        <f t="shared" si="27"/>
        <v>8324.901698685826</v>
      </c>
      <c r="C125" s="195">
        <f t="shared" si="9"/>
        <v>4382.5073332975853</v>
      </c>
      <c r="D125" s="195">
        <f t="shared" si="10"/>
        <v>5318.5415066573514</v>
      </c>
      <c r="E125" s="195">
        <f t="shared" si="11"/>
        <v>18025.950538640762</v>
      </c>
      <c r="F125" s="196">
        <f t="shared" si="12"/>
        <v>0.46182872192178781</v>
      </c>
      <c r="H125" s="194">
        <v>2059</v>
      </c>
      <c r="I125" s="195">
        <f t="shared" si="13"/>
        <v>5843.3896032235734</v>
      </c>
      <c r="J125" s="195">
        <f t="shared" si="14"/>
        <v>280.67068150861337</v>
      </c>
      <c r="K125" s="195">
        <f t="shared" si="15"/>
        <v>4884.9327332598041</v>
      </c>
      <c r="L125" s="195">
        <f t="shared" si="16"/>
        <v>3743.4707231608591</v>
      </c>
      <c r="M125" s="195">
        <f t="shared" si="17"/>
        <v>5689.2489899721768</v>
      </c>
      <c r="O125" s="195">
        <f t="shared" si="18"/>
        <v>6124.060284732187</v>
      </c>
      <c r="P125" s="196">
        <f t="shared" si="19"/>
        <v>0.95416918376712423</v>
      </c>
      <c r="Q125" s="195">
        <f t="shared" si="20"/>
        <v>14317.65244639284</v>
      </c>
      <c r="R125" s="196">
        <f t="shared" si="21"/>
        <v>0.26145841555917787</v>
      </c>
      <c r="S125" s="464">
        <f t="shared" si="22"/>
        <v>20441.712731125026</v>
      </c>
      <c r="T125" s="196">
        <f t="shared" si="28"/>
        <v>0.29958645663812461</v>
      </c>
      <c r="W125" s="195">
        <f t="shared" si="30"/>
        <v>1261.9586276986065</v>
      </c>
      <c r="X125" s="195">
        <f t="shared" si="23"/>
        <v>502.42539996221876</v>
      </c>
      <c r="Y125" s="195">
        <f t="shared" si="31"/>
        <v>651.37816482343896</v>
      </c>
      <c r="Z125" s="195">
        <f t="shared" si="33"/>
        <v>2415.7621924842642</v>
      </c>
      <c r="AA125" s="196">
        <f t="shared" si="34"/>
        <v>0.20398065307842617</v>
      </c>
      <c r="AB125" s="196">
        <f t="shared" si="24"/>
        <v>0.3184046345234397</v>
      </c>
      <c r="AC125" s="196">
        <f t="shared" si="32"/>
        <v>0.52238528760186587</v>
      </c>
      <c r="AD125" s="247">
        <f t="shared" si="29"/>
        <v>0.47761471239813408</v>
      </c>
      <c r="AF125" s="251">
        <f t="shared" si="25"/>
        <v>0.60952067770735285</v>
      </c>
      <c r="AG125" s="251">
        <f t="shared" si="26"/>
        <v>0.39047932229264715</v>
      </c>
    </row>
    <row r="126" spans="1:53" x14ac:dyDescent="0.25">
      <c r="A126" s="194">
        <v>2060</v>
      </c>
      <c r="B126" s="195">
        <f t="shared" si="27"/>
        <v>8527.4388963699821</v>
      </c>
      <c r="C126" s="195">
        <f t="shared" si="9"/>
        <v>4401.8571766696587</v>
      </c>
      <c r="D126" s="195">
        <f t="shared" si="10"/>
        <v>5343.9653065270777</v>
      </c>
      <c r="E126" s="195">
        <f t="shared" si="11"/>
        <v>18273.26137956672</v>
      </c>
      <c r="F126" s="196">
        <f t="shared" si="12"/>
        <v>0.46666212009123997</v>
      </c>
      <c r="H126" s="194">
        <v>2060</v>
      </c>
      <c r="I126" s="195">
        <f t="shared" si="13"/>
        <v>6032.6364840649276</v>
      </c>
      <c r="J126" s="195">
        <f t="shared" si="14"/>
        <v>285.90140869608842</v>
      </c>
      <c r="K126" s="195">
        <f t="shared" si="15"/>
        <v>4928.1878258091519</v>
      </c>
      <c r="L126" s="195">
        <f t="shared" si="16"/>
        <v>3838.062790430592</v>
      </c>
      <c r="M126" s="195">
        <f t="shared" si="17"/>
        <v>5739.286826624686</v>
      </c>
      <c r="O126" s="195">
        <f t="shared" si="18"/>
        <v>6318.5378927610163</v>
      </c>
      <c r="P126" s="196">
        <f t="shared" si="19"/>
        <v>0.95475196737782664</v>
      </c>
      <c r="Q126" s="195">
        <f t="shared" si="20"/>
        <v>14505.537442864432</v>
      </c>
      <c r="R126" s="196">
        <f t="shared" si="21"/>
        <v>0.2645929394583455</v>
      </c>
      <c r="S126" s="464">
        <f t="shared" si="22"/>
        <v>20824.07533562545</v>
      </c>
      <c r="T126" s="196">
        <f t="shared" si="28"/>
        <v>0.30342465588142475</v>
      </c>
      <c r="W126" s="195">
        <f t="shared" si="30"/>
        <v>1343.2603781255384</v>
      </c>
      <c r="X126" s="195">
        <f t="shared" si="23"/>
        <v>526.33064913949329</v>
      </c>
      <c r="Y126" s="195">
        <f t="shared" si="31"/>
        <v>681.22292879369706</v>
      </c>
      <c r="Z126" s="195">
        <f t="shared" si="33"/>
        <v>2550.8139560587288</v>
      </c>
      <c r="AA126" s="196">
        <f t="shared" si="34"/>
        <v>0.2047602141095993</v>
      </c>
      <c r="AB126" s="196">
        <f t="shared" si="24"/>
        <v>0.32184047150097123</v>
      </c>
      <c r="AC126" s="196">
        <f t="shared" si="32"/>
        <v>0.52660068561057061</v>
      </c>
      <c r="AD126" s="247">
        <f t="shared" si="29"/>
        <v>0.47339931438942945</v>
      </c>
      <c r="AF126" s="251">
        <f t="shared" si="25"/>
        <v>0.61116607003238366</v>
      </c>
      <c r="AG126" s="251">
        <f t="shared" si="26"/>
        <v>0.38883392996761629</v>
      </c>
      <c r="BA126" s="484"/>
    </row>
    <row r="127" spans="1:53" x14ac:dyDescent="0.25">
      <c r="BA127" s="484"/>
    </row>
    <row r="128" spans="1:53" x14ac:dyDescent="0.25">
      <c r="BA128" s="484"/>
    </row>
    <row r="129" spans="1:58" ht="92.25" customHeight="1" x14ac:dyDescent="0.25">
      <c r="BA129" s="484"/>
    </row>
    <row r="130" spans="1:58" ht="13.5" customHeight="1" thickBot="1" x14ac:dyDescent="0.3">
      <c r="BA130" s="484"/>
    </row>
    <row r="131" spans="1:58" s="485" customFormat="1" ht="44.25" customHeight="1" thickBot="1" x14ac:dyDescent="0.35">
      <c r="A131" s="491"/>
      <c r="B131" s="660" t="s">
        <v>602</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598</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484"/>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SpaceHeating_cluster</v>
      </c>
      <c r="AU132" s="607"/>
      <c r="AV132" s="608"/>
      <c r="AW132" s="445"/>
      <c r="AX132" s="606" t="str">
        <f ca="1">CONCATENATE("Table 11(b): EMISSIONS ALLOCATION TO Education in LLDC, ",A1)</f>
        <v>Table 11(b): EMISSIONS ALLOCATION TO Education in LLDC, SpaceHeating_cluster</v>
      </c>
      <c r="AY132" s="608"/>
      <c r="AZ132" s="446"/>
      <c r="BA132" s="606" t="str">
        <f ca="1">CONCATENATE("Table 11(c): EMISSIONS ALLOCATION TO Family Planning in LLDC, ",A1)</f>
        <v>Table 11(c): EMISSIONS ALLOCATION TO Family Planning in LLDC, SpaceHeating_cluster</v>
      </c>
      <c r="BB132" s="608"/>
      <c r="BC132" s="484"/>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482" t="s">
        <v>219</v>
      </c>
      <c r="K133" s="482" t="s">
        <v>220</v>
      </c>
      <c r="L133" s="482" t="s">
        <v>221</v>
      </c>
      <c r="M133" s="483" t="s">
        <v>222</v>
      </c>
      <c r="N133" s="483" t="s">
        <v>220</v>
      </c>
      <c r="O133" s="483" t="s">
        <v>248</v>
      </c>
      <c r="P133" s="483"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484"/>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482" t="s">
        <v>500</v>
      </c>
      <c r="K134" s="482" t="s">
        <v>500</v>
      </c>
      <c r="L134" s="482" t="s">
        <v>513</v>
      </c>
      <c r="M134" s="483" t="s">
        <v>500</v>
      </c>
      <c r="N134" s="483" t="s">
        <v>500</v>
      </c>
      <c r="O134" s="483" t="s">
        <v>249</v>
      </c>
      <c r="P134" s="483"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484"/>
      <c r="BE134" s="481" t="s">
        <v>227</v>
      </c>
      <c r="BF134" s="481" t="s">
        <v>228</v>
      </c>
    </row>
    <row r="135" spans="1:58" ht="15.6" x14ac:dyDescent="0.3">
      <c r="A135" s="152">
        <v>2014</v>
      </c>
      <c r="B135" s="178"/>
      <c r="C135" s="182"/>
      <c r="D135" s="183"/>
      <c r="E135" s="179">
        <f>IFERROR(IF($G$19="Y",$F$19,$AA80)*(SUMIF($H$5:$H$16,"Y",$F$5:$F$16)*(Z29-B29)),0)</f>
        <v>0</v>
      </c>
      <c r="F135" s="183" t="str">
        <f>IFERROR(E135-E134,"")</f>
        <v/>
      </c>
      <c r="G135" s="247">
        <f t="shared" ref="G135:G181" si="35">IFERROR(E135/((Z29+N29)-B29),"")</f>
        <v>0</v>
      </c>
      <c r="H135" s="245" t="s">
        <v>264</v>
      </c>
      <c r="I135" s="416"/>
      <c r="J135" s="178"/>
      <c r="K135" s="182"/>
      <c r="L135" s="183"/>
      <c r="M135" s="179">
        <f t="shared" ref="M135:M181" si="36">IFERROR(IF($G$19="Y",$F$19,$AB80)*(SUMIF($H$5:$H$16,"Y",$F$5:$F$16)*((Z29+N29)-B29)),0)</f>
        <v>0</v>
      </c>
      <c r="N135" s="183" t="str">
        <f>IFERROR(M135-M134,"")</f>
        <v/>
      </c>
      <c r="O135" s="247">
        <f t="shared" ref="O135:O181" si="37">IFERROR(M135/((Z29+N29)-B29),"")</f>
        <v>0</v>
      </c>
      <c r="P135" s="245" t="s">
        <v>264</v>
      </c>
      <c r="Q135" s="416"/>
      <c r="R135" s="167"/>
      <c r="S135" s="167"/>
      <c r="T135" s="167"/>
      <c r="U135" s="167"/>
      <c r="V135" s="506"/>
      <c r="W135" s="167" t="s">
        <v>213</v>
      </c>
      <c r="X135" s="167" t="s">
        <v>213</v>
      </c>
      <c r="Y135" s="167" t="s">
        <v>211</v>
      </c>
      <c r="Z135" s="167" t="s">
        <v>211</v>
      </c>
      <c r="AA135" s="509"/>
      <c r="AB135" s="496"/>
      <c r="AC135" s="496"/>
      <c r="AE135" s="167" t="s">
        <v>211</v>
      </c>
      <c r="AF135" s="167" t="s">
        <v>211</v>
      </c>
      <c r="AG135" s="167" t="s">
        <v>211</v>
      </c>
      <c r="AH135" s="167" t="s">
        <v>211</v>
      </c>
      <c r="AI135" s="165"/>
      <c r="AJ135" s="167" t="s">
        <v>213</v>
      </c>
      <c r="AK135" s="167" t="s">
        <v>213</v>
      </c>
      <c r="AL135" s="167" t="s">
        <v>211</v>
      </c>
      <c r="AM135" s="167" t="s">
        <v>211</v>
      </c>
      <c r="AN135" s="165"/>
      <c r="AO135" s="257"/>
      <c r="AP135" s="257"/>
      <c r="AT135" s="478">
        <v>2014</v>
      </c>
      <c r="AU135" s="479">
        <f>IFERROR(AB135+AO135,"")</f>
        <v>0</v>
      </c>
      <c r="AV135" s="479">
        <f>IFERROR(AC135+AP135,"")</f>
        <v>0</v>
      </c>
      <c r="AW135" s="430"/>
      <c r="AX135" s="479">
        <f t="shared" ref="AX135:AY181" si="38">IFERROR(AO135*$F$20,"")</f>
        <v>0</v>
      </c>
      <c r="AY135" s="479">
        <f t="shared" si="38"/>
        <v>0</v>
      </c>
      <c r="AZ135" s="430"/>
      <c r="BA135" s="479">
        <f t="shared" ref="BA135:BB181" si="39">AU135-AX135</f>
        <v>0</v>
      </c>
      <c r="BB135" s="479">
        <f t="shared" si="39"/>
        <v>0</v>
      </c>
      <c r="BC135" s="484"/>
      <c r="BE135" s="480" t="str">
        <f t="shared" ref="BE135:BE181" si="40">IFERROR(AX135/AU135,"")</f>
        <v/>
      </c>
      <c r="BF135" s="480" t="str">
        <f t="shared" ref="BF135:BF181" si="41">IFERROR(BB135/(AY135+BB135),"")</f>
        <v/>
      </c>
    </row>
    <row r="136" spans="1:58" ht="15.6" x14ac:dyDescent="0.3">
      <c r="A136" s="152">
        <v>2015</v>
      </c>
      <c r="B136" s="178"/>
      <c r="C136" s="182"/>
      <c r="D136" s="183"/>
      <c r="E136" s="179">
        <f>IFERROR(IF($G$19="Y",$F$19,$AA81)*(SUMIF($H$5:$H$16,"Y",$F$5:$F$16)*(Z30-B30)),0)</f>
        <v>0</v>
      </c>
      <c r="F136" s="183">
        <f>IFERROR(E136-E135,"")</f>
        <v>0</v>
      </c>
      <c r="G136" s="247">
        <f t="shared" si="35"/>
        <v>0</v>
      </c>
      <c r="H136" s="246"/>
      <c r="I136" s="417"/>
      <c r="J136" s="178"/>
      <c r="K136" s="182"/>
      <c r="L136" s="183"/>
      <c r="M136" s="179">
        <f t="shared" si="36"/>
        <v>0</v>
      </c>
      <c r="N136" s="183">
        <f>IFERROR(M136-M135,"")</f>
        <v>0</v>
      </c>
      <c r="O136" s="247">
        <f t="shared" si="37"/>
        <v>0</v>
      </c>
      <c r="P136" s="246"/>
      <c r="Q136" s="417"/>
      <c r="R136" s="439"/>
      <c r="S136" s="440"/>
      <c r="T136" s="439"/>
      <c r="U136" s="440"/>
      <c r="V136" s="506"/>
      <c r="W136" s="439">
        <f>IF(W$135="Y",IFERROR(E136*($F$8/SUMIF($H$5:$H$16,"Y",$F$5:$F$16))*$F$21*'Emissions Factors'!B12,""),"")</f>
        <v>0</v>
      </c>
      <c r="X136" s="441">
        <f>IF(X$135="Y",IFERROR($E136*(SUM($F$5,$F$6,$F$7,$F$9)/SUMIF($H$5:$H$16,"Y",$F$5:$F$16))*('Emissions Factors'!$T$143*$F$22)/10^6,""),"")</f>
        <v>0</v>
      </c>
      <c r="Y136" s="441"/>
      <c r="Z136" s="441"/>
      <c r="AA136" s="509"/>
      <c r="AB136" s="441">
        <f t="shared" ref="AB136:AB181" si="42">SUM(W136:Z136)</f>
        <v>0</v>
      </c>
      <c r="AC136" s="441">
        <f t="shared" ref="AC136:AC181" si="43">SUM(R136:U136)</f>
        <v>0</v>
      </c>
      <c r="AE136" s="182"/>
      <c r="AF136" s="178"/>
      <c r="AG136" s="182"/>
      <c r="AH136" s="178"/>
      <c r="AJ136" s="182">
        <f>IF(AJ$135="Y",IFERROR(M136*($F$8/SUMIF($H$5:$H$16,"Y",$F$5:$F$16))*$F$21*'Emissions Factors'!B12,""),"")</f>
        <v>0</v>
      </c>
      <c r="AK136" s="180">
        <f>IF(AK$135="Y",IFERROR($M136*(SUM($F$5,$F$6,$F$7,$F$9)/SUMIF($H$5:$H$16,"Y",$F$5:$F$16))*('Emissions Factors'!$T$143*$F$22)/10^6,""),"")</f>
        <v>0</v>
      </c>
      <c r="AL136" s="180"/>
      <c r="AM136" s="180"/>
      <c r="AO136" s="180">
        <f t="shared" ref="AO136:AO181" si="44">SUM(AJ136:AM136)</f>
        <v>0</v>
      </c>
      <c r="AP136" s="180">
        <f t="shared" ref="AP136:AP181" si="45">SUM(AE136:AH136)</f>
        <v>0</v>
      </c>
      <c r="AT136" s="478">
        <v>2015</v>
      </c>
      <c r="AU136" s="479">
        <f t="shared" ref="AU136:AV181" si="46">IFERROR(AB136+AO136,"")</f>
        <v>0</v>
      </c>
      <c r="AV136" s="479">
        <f t="shared" si="46"/>
        <v>0</v>
      </c>
      <c r="AW136" s="430"/>
      <c r="AX136" s="479">
        <f t="shared" si="38"/>
        <v>0</v>
      </c>
      <c r="AY136" s="479">
        <f t="shared" si="38"/>
        <v>0</v>
      </c>
      <c r="AZ136" s="430"/>
      <c r="BA136" s="479">
        <f t="shared" si="39"/>
        <v>0</v>
      </c>
      <c r="BB136" s="479">
        <f t="shared" si="39"/>
        <v>0</v>
      </c>
      <c r="BC136" s="484"/>
      <c r="BE136" s="480" t="str">
        <f t="shared" si="40"/>
        <v/>
      </c>
      <c r="BF136" s="480" t="str">
        <f t="shared" si="41"/>
        <v/>
      </c>
    </row>
    <row r="137" spans="1:58" ht="15.6" x14ac:dyDescent="0.3">
      <c r="A137" s="152">
        <v>2016</v>
      </c>
      <c r="B137" s="178"/>
      <c r="C137" s="182"/>
      <c r="D137" s="183"/>
      <c r="E137" s="179">
        <f t="shared" ref="E137:E181" si="47">IFERROR(IF($G$19="Y",$F$19,$AA82)*(SUMIF($H$5:$H$16,"Y",$F$5:$F$16)*((Z31+N31)-B31)),0)</f>
        <v>-8.2541408124744489E-3</v>
      </c>
      <c r="F137" s="183">
        <f t="shared" ref="F137:F181" si="48">IFERROR(E137-E136,"")</f>
        <v>-8.2541408124744489E-3</v>
      </c>
      <c r="G137" s="247">
        <f t="shared" si="35"/>
        <v>0.4606512243260133</v>
      </c>
      <c r="H137" s="246"/>
      <c r="I137" s="417"/>
      <c r="J137" s="178"/>
      <c r="K137" s="182"/>
      <c r="L137" s="183"/>
      <c r="M137" s="179">
        <f t="shared" si="36"/>
        <v>-9.6642763686612867E-3</v>
      </c>
      <c r="N137" s="183">
        <f>IFERROR(M137-M136,"")</f>
        <v>-9.6642763686612867E-3</v>
      </c>
      <c r="O137" s="247">
        <f t="shared" si="37"/>
        <v>0.53934877567398665</v>
      </c>
      <c r="P137" s="246"/>
      <c r="Q137" s="417"/>
      <c r="R137" s="439"/>
      <c r="S137" s="440"/>
      <c r="T137" s="439"/>
      <c r="U137" s="440"/>
      <c r="V137" s="506"/>
      <c r="W137" s="439">
        <f>IF(W$135="Y",IFERROR(E137*($F$8/SUMIF($H$5:$H$16,"Y",$F$5:$F$16))*$F$21*'Emissions Factors'!B13,""),"")</f>
        <v>-1.4024925059120846E-4</v>
      </c>
      <c r="X137" s="441">
        <f>IF(X$135="Y",IFERROR($E137*(SUM($F$5,$F$6,$F$7,$F$9)/SUMIF($H$5:$H$16,"Y",$F$5:$F$16))*('Emissions Factors'!$T$143*$F$22)/10^6,""),"")</f>
        <v>-1.4524177443235862E-3</v>
      </c>
      <c r="Y137" s="441"/>
      <c r="Z137" s="441"/>
      <c r="AA137" s="509"/>
      <c r="AB137" s="441">
        <f t="shared" si="42"/>
        <v>-1.5926669949147946E-3</v>
      </c>
      <c r="AC137" s="441">
        <f t="shared" si="43"/>
        <v>0</v>
      </c>
      <c r="AE137" s="182"/>
      <c r="AF137" s="178"/>
      <c r="AG137" s="182"/>
      <c r="AH137" s="178"/>
      <c r="AJ137" s="182">
        <f>IF(AJ$135="Y",IFERROR(M137*($F$8/SUMIF($H$5:$H$16,"Y",$F$5:$F$16))*$F$21*'Emissions Factors'!B13,""),"")</f>
        <v>-1.6420940095456682E-4</v>
      </c>
      <c r="AK137" s="180">
        <f>IF(AK$135="Y",IFERROR($M137*(SUM($F$5,$F$6,$F$7,$F$9)/SUMIF($H$5:$H$16,"Y",$F$5:$F$16))*('Emissions Factors'!$T$143*$F$22)/10^6,""),"")</f>
        <v>-1.7005484644358575E-3</v>
      </c>
      <c r="AL137" s="180"/>
      <c r="AM137" s="180"/>
      <c r="AO137" s="180">
        <f t="shared" si="44"/>
        <v>-1.8647578653904243E-3</v>
      </c>
      <c r="AP137" s="180">
        <f t="shared" si="45"/>
        <v>0</v>
      </c>
      <c r="AT137" s="478">
        <v>2016</v>
      </c>
      <c r="AU137" s="479">
        <f t="shared" si="46"/>
        <v>-3.4574248603052192E-3</v>
      </c>
      <c r="AV137" s="479">
        <f t="shared" si="46"/>
        <v>0</v>
      </c>
      <c r="AW137" s="430"/>
      <c r="AX137" s="479">
        <f t="shared" si="38"/>
        <v>-9.3237893269521217E-4</v>
      </c>
      <c r="AY137" s="479">
        <f t="shared" si="38"/>
        <v>0</v>
      </c>
      <c r="AZ137" s="430"/>
      <c r="BA137" s="479">
        <f t="shared" si="39"/>
        <v>-2.5250459276100071E-3</v>
      </c>
      <c r="BB137" s="479">
        <f t="shared" si="39"/>
        <v>0</v>
      </c>
      <c r="BC137" s="484"/>
      <c r="BE137" s="480">
        <f t="shared" si="40"/>
        <v>0.26967438783699332</v>
      </c>
      <c r="BF137" s="480" t="str">
        <f t="shared" si="41"/>
        <v/>
      </c>
    </row>
    <row r="138" spans="1:58" ht="15.6" x14ac:dyDescent="0.3">
      <c r="A138" s="152">
        <v>2017</v>
      </c>
      <c r="B138" s="178"/>
      <c r="C138" s="182"/>
      <c r="D138" s="183"/>
      <c r="E138" s="179">
        <f t="shared" si="47"/>
        <v>-8.1387323695493591E-3</v>
      </c>
      <c r="F138" s="183">
        <f>IFERROR(E138-E137,"")</f>
        <v>1.1540844292508984E-4</v>
      </c>
      <c r="G138" s="247">
        <f t="shared" si="35"/>
        <v>0.45905743979167252</v>
      </c>
      <c r="H138" s="246"/>
      <c r="I138" s="417"/>
      <c r="J138" s="178"/>
      <c r="K138" s="182"/>
      <c r="L138" s="183"/>
      <c r="M138" s="179">
        <f t="shared" si="36"/>
        <v>-9.5904920456846999E-3</v>
      </c>
      <c r="N138" s="183">
        <f>IFERROR(M138-M137,"")</f>
        <v>7.3784322976586797E-5</v>
      </c>
      <c r="O138" s="247">
        <f t="shared" si="37"/>
        <v>0.54094256020832754</v>
      </c>
      <c r="P138" s="246"/>
      <c r="Q138" s="417"/>
      <c r="R138" s="439"/>
      <c r="S138" s="440"/>
      <c r="T138" s="439"/>
      <c r="U138" s="440"/>
      <c r="V138" s="506"/>
      <c r="W138" s="439">
        <f>IF(W$135="Y",IFERROR(E138*($F$8/SUMIF($H$5:$H$16,"Y",$F$5:$F$16))*$F$21*'Emissions Factors'!B14,""),"")</f>
        <v>-1.3659770266146503E-4</v>
      </c>
      <c r="X138" s="441">
        <f>IF(X$135="Y",IFERROR($E138*(SUM($F$5,$F$6,$F$7,$F$9)/SUMIF($H$5:$H$16,"Y",$F$5:$F$16))*('Emissions Factors'!$T$143*$F$22)/10^6,""),"")</f>
        <v>-1.432110207275535E-3</v>
      </c>
      <c r="Y138" s="441"/>
      <c r="Z138" s="441"/>
      <c r="AA138" s="509"/>
      <c r="AB138" s="441">
        <f t="shared" si="42"/>
        <v>-1.568707909937E-3</v>
      </c>
      <c r="AC138" s="441">
        <f t="shared" si="43"/>
        <v>0</v>
      </c>
      <c r="AE138" s="182"/>
      <c r="AF138" s="178"/>
      <c r="AG138" s="182"/>
      <c r="AH138" s="178"/>
      <c r="AJ138" s="182">
        <f>IF(AJ$135="Y",IFERROR(M138*($F$8/SUMIF($H$5:$H$16,"Y",$F$5:$F$16))*$F$21*'Emissions Factors'!B14,""),"")</f>
        <v>-1.6096354092377173E-4</v>
      </c>
      <c r="AK138" s="180">
        <f>IF(AK$135="Y",IFERROR($M138*(SUM($F$5,$F$6,$F$7,$F$9)/SUMIF($H$5:$H$16,"Y",$F$5:$F$16))*('Emissions Factors'!$T$143*$F$22)/10^6,""),"")</f>
        <v>-1.6875652039877033E-3</v>
      </c>
      <c r="AL138" s="180"/>
      <c r="AM138" s="180"/>
      <c r="AO138" s="180">
        <f t="shared" si="44"/>
        <v>-1.8485287449114751E-3</v>
      </c>
      <c r="AP138" s="180">
        <f t="shared" si="45"/>
        <v>0</v>
      </c>
      <c r="AT138" s="478">
        <v>2017</v>
      </c>
      <c r="AU138" s="479">
        <f t="shared" si="46"/>
        <v>-3.4172366548484751E-3</v>
      </c>
      <c r="AV138" s="479">
        <f t="shared" si="46"/>
        <v>0</v>
      </c>
      <c r="AW138" s="430"/>
      <c r="AX138" s="479">
        <f t="shared" si="38"/>
        <v>-9.2426437245573753E-4</v>
      </c>
      <c r="AY138" s="479">
        <f t="shared" si="38"/>
        <v>0</v>
      </c>
      <c r="AZ138" s="430"/>
      <c r="BA138" s="479">
        <f t="shared" si="39"/>
        <v>-2.4929722823927376E-3</v>
      </c>
      <c r="BB138" s="479">
        <f t="shared" si="39"/>
        <v>0</v>
      </c>
      <c r="BC138" s="484"/>
      <c r="BE138" s="480">
        <f t="shared" si="40"/>
        <v>0.27047128010416377</v>
      </c>
      <c r="BF138" s="480" t="str">
        <f t="shared" si="41"/>
        <v/>
      </c>
    </row>
    <row r="139" spans="1:58" ht="15.6" x14ac:dyDescent="0.3">
      <c r="A139" s="152">
        <v>2018</v>
      </c>
      <c r="B139" s="178"/>
      <c r="C139" s="182"/>
      <c r="D139" s="183"/>
      <c r="E139" s="179">
        <f t="shared" si="47"/>
        <v>-7.9984504578929291E-3</v>
      </c>
      <c r="F139" s="183">
        <f t="shared" si="48"/>
        <v>1.4028191165642995E-4</v>
      </c>
      <c r="G139" s="247">
        <f t="shared" si="35"/>
        <v>0.45750401191427109</v>
      </c>
      <c r="H139" s="246"/>
      <c r="I139" s="417"/>
      <c r="J139" s="178"/>
      <c r="K139" s="182"/>
      <c r="L139" s="183"/>
      <c r="M139" s="179">
        <f t="shared" si="36"/>
        <v>-9.4843480522799426E-3</v>
      </c>
      <c r="N139" s="183">
        <f t="shared" ref="N139:N181" si="49">IFERROR(M139-M138,"")</f>
        <v>1.0614399340475728E-4</v>
      </c>
      <c r="O139" s="247">
        <f t="shared" si="37"/>
        <v>0.54249598808572908</v>
      </c>
      <c r="P139" s="246"/>
      <c r="Q139" s="417"/>
      <c r="R139" s="439"/>
      <c r="S139" s="440"/>
      <c r="T139" s="439"/>
      <c r="U139" s="440"/>
      <c r="V139" s="506"/>
      <c r="W139" s="439">
        <f>IF(W$135="Y",IFERROR(E139*($F$8/SUMIF($H$5:$H$16,"Y",$F$5:$F$16))*$F$21*'Emissions Factors'!B15,""),"")</f>
        <v>-1.3297183940990547E-4</v>
      </c>
      <c r="X139" s="441">
        <f>IF(X$135="Y",IFERROR($E139*(SUM($F$5,$F$6,$F$7,$F$9)/SUMIF($H$5:$H$16,"Y",$F$5:$F$16))*('Emissions Factors'!$T$143*$F$22)/10^6,""),"")</f>
        <v>-1.4074258770313129E-3</v>
      </c>
      <c r="Y139" s="441"/>
      <c r="Z139" s="441"/>
      <c r="AA139" s="509"/>
      <c r="AB139" s="441">
        <f t="shared" si="42"/>
        <v>-1.5403977164412184E-3</v>
      </c>
      <c r="AC139" s="441">
        <f t="shared" si="43"/>
        <v>0</v>
      </c>
      <c r="AE139" s="182"/>
      <c r="AF139" s="178"/>
      <c r="AG139" s="182"/>
      <c r="AH139" s="178"/>
      <c r="AJ139" s="182">
        <f>IF(AJ$135="Y",IFERROR(M139*($F$8/SUMIF($H$5:$H$16,"Y",$F$5:$F$16))*$F$21*'Emissions Factors'!B15,""),"")</f>
        <v>-1.5767444116265107E-4</v>
      </c>
      <c r="AK139" s="180">
        <f>IF(AK$135="Y",IFERROR($M139*(SUM($F$5,$F$6,$F$7,$F$9)/SUMIF($H$5:$H$16,"Y",$F$5:$F$16))*('Emissions Factors'!$T$143*$F$22)/10^6,""),"")</f>
        <v>-1.6688878609453545E-3</v>
      </c>
      <c r="AL139" s="180"/>
      <c r="AM139" s="180"/>
      <c r="AO139" s="180">
        <f t="shared" si="44"/>
        <v>-1.8265623021080056E-3</v>
      </c>
      <c r="AP139" s="180">
        <f t="shared" si="45"/>
        <v>0</v>
      </c>
      <c r="AT139" s="478">
        <v>2018</v>
      </c>
      <c r="AU139" s="479">
        <f t="shared" si="46"/>
        <v>-3.3669600185492242E-3</v>
      </c>
      <c r="AV139" s="479">
        <f t="shared" si="46"/>
        <v>0</v>
      </c>
      <c r="AW139" s="430"/>
      <c r="AX139" s="479">
        <f t="shared" si="38"/>
        <v>-9.132811510540028E-4</v>
      </c>
      <c r="AY139" s="479">
        <f t="shared" si="38"/>
        <v>0</v>
      </c>
      <c r="AZ139" s="430"/>
      <c r="BA139" s="479">
        <f t="shared" si="39"/>
        <v>-2.4536788674952214E-3</v>
      </c>
      <c r="BB139" s="479">
        <f t="shared" si="39"/>
        <v>0</v>
      </c>
      <c r="BC139" s="484"/>
      <c r="BE139" s="480">
        <f t="shared" si="40"/>
        <v>0.27124799404286448</v>
      </c>
      <c r="BF139" s="480" t="str">
        <f t="shared" si="41"/>
        <v/>
      </c>
    </row>
    <row r="140" spans="1:58" ht="15.6" x14ac:dyDescent="0.3">
      <c r="A140" s="152">
        <v>2019</v>
      </c>
      <c r="B140" s="178"/>
      <c r="C140" s="182"/>
      <c r="D140" s="183"/>
      <c r="E140" s="179">
        <f t="shared" si="47"/>
        <v>-7.8748282253737149E-3</v>
      </c>
      <c r="F140" s="183">
        <f t="shared" si="48"/>
        <v>1.2362223251921427E-4</v>
      </c>
      <c r="G140" s="247">
        <f t="shared" si="35"/>
        <v>0.45597522322648876</v>
      </c>
      <c r="H140" s="246"/>
      <c r="I140" s="417"/>
      <c r="J140" s="178"/>
      <c r="K140" s="182"/>
      <c r="L140" s="183"/>
      <c r="M140" s="179">
        <f t="shared" si="36"/>
        <v>-9.3954703001718001E-3</v>
      </c>
      <c r="N140" s="183">
        <f t="shared" si="49"/>
        <v>8.8877752108142485E-5</v>
      </c>
      <c r="O140" s="247">
        <f t="shared" si="37"/>
        <v>0.54402477677351135</v>
      </c>
      <c r="P140" s="246"/>
      <c r="Q140" s="417"/>
      <c r="R140" s="439"/>
      <c r="S140" s="440"/>
      <c r="T140" s="439"/>
      <c r="U140" s="440"/>
      <c r="V140" s="506"/>
      <c r="W140" s="439">
        <f>IF(W$135="Y",IFERROR(E140*($F$8/SUMIF($H$5:$H$16,"Y",$F$5:$F$16))*$F$21*'Emissions Factors'!B16,""),"")</f>
        <v>-1.3023314646470611E-4</v>
      </c>
      <c r="X140" s="441">
        <f>IF(X$135="Y",IFERROR($E140*(SUM($F$5,$F$6,$F$7,$F$9)/SUMIF($H$5:$H$16,"Y",$F$5:$F$16))*('Emissions Factors'!$T$143*$F$22)/10^6,""),"")</f>
        <v>-1.3856730225328231E-3</v>
      </c>
      <c r="Y140" s="441"/>
      <c r="Z140" s="441"/>
      <c r="AA140" s="509"/>
      <c r="AB140" s="441">
        <f t="shared" si="42"/>
        <v>-1.5159061689975291E-3</v>
      </c>
      <c r="AC140" s="441">
        <f t="shared" si="43"/>
        <v>0</v>
      </c>
      <c r="AE140" s="182"/>
      <c r="AF140" s="178"/>
      <c r="AG140" s="182"/>
      <c r="AH140" s="178"/>
      <c r="AJ140" s="182">
        <f>IF(AJ$135="Y",IFERROR(M140*($F$8/SUMIF($H$5:$H$16,"Y",$F$5:$F$16))*$F$21*'Emissions Factors'!B16,""),"")</f>
        <v>-1.5538137781399061E-4</v>
      </c>
      <c r="AK140" s="180">
        <f>IF(AK$135="Y",IFERROR($M140*(SUM($F$5,$F$6,$F$7,$F$9)/SUMIF($H$5:$H$16,"Y",$F$5:$F$16))*('Emissions Factors'!$T$143*$F$22)/10^6,""),"")</f>
        <v>-1.6532487257318665E-3</v>
      </c>
      <c r="AL140" s="180"/>
      <c r="AM140" s="180"/>
      <c r="AO140" s="180">
        <f t="shared" si="44"/>
        <v>-1.8086301035458571E-3</v>
      </c>
      <c r="AP140" s="180">
        <f t="shared" si="45"/>
        <v>0</v>
      </c>
      <c r="AT140" s="478">
        <v>2019</v>
      </c>
      <c r="AU140" s="479">
        <f t="shared" si="46"/>
        <v>-3.3245362725433862E-3</v>
      </c>
      <c r="AV140" s="479">
        <f t="shared" si="46"/>
        <v>0</v>
      </c>
      <c r="AW140" s="430"/>
      <c r="AX140" s="479">
        <f t="shared" si="38"/>
        <v>-9.0431505177292855E-4</v>
      </c>
      <c r="AY140" s="479">
        <f t="shared" si="38"/>
        <v>0</v>
      </c>
      <c r="AZ140" s="430"/>
      <c r="BA140" s="479">
        <f t="shared" si="39"/>
        <v>-2.4202212207704576E-3</v>
      </c>
      <c r="BB140" s="479">
        <f t="shared" si="39"/>
        <v>0</v>
      </c>
      <c r="BC140" s="484"/>
      <c r="BE140" s="480">
        <f t="shared" si="40"/>
        <v>0.27201238838675568</v>
      </c>
      <c r="BF140" s="480" t="str">
        <f t="shared" si="41"/>
        <v/>
      </c>
    </row>
    <row r="141" spans="1:58" ht="15.6" x14ac:dyDescent="0.3">
      <c r="A141" s="152">
        <v>2020</v>
      </c>
      <c r="B141" s="178"/>
      <c r="C141" s="182"/>
      <c r="D141" s="183"/>
      <c r="E141" s="179">
        <f t="shared" si="47"/>
        <v>-7.7684653714443332E-3</v>
      </c>
      <c r="F141" s="183">
        <f t="shared" si="48"/>
        <v>1.0636285392938167E-4</v>
      </c>
      <c r="G141" s="247">
        <f t="shared" si="35"/>
        <v>0.45445492513600988</v>
      </c>
      <c r="H141" s="246"/>
      <c r="I141" s="417"/>
      <c r="J141" s="178"/>
      <c r="K141" s="182"/>
      <c r="L141" s="183"/>
      <c r="M141" s="179">
        <f t="shared" si="36"/>
        <v>-9.3255629727734719E-3</v>
      </c>
      <c r="N141" s="183">
        <f t="shared" si="49"/>
        <v>6.9907327398328195E-5</v>
      </c>
      <c r="O141" s="247">
        <f t="shared" si="37"/>
        <v>0.54554507486399018</v>
      </c>
      <c r="P141" s="246"/>
      <c r="Q141" s="417"/>
      <c r="R141" s="439"/>
      <c r="S141" s="440"/>
      <c r="T141" s="439"/>
      <c r="U141" s="440"/>
      <c r="V141" s="506"/>
      <c r="W141" s="439">
        <f>IF(W$135="Y",IFERROR(E141*($F$8/SUMIF($H$5:$H$16,"Y",$F$5:$F$16))*$F$21*'Emissions Factors'!B17,""),"")</f>
        <v>-1.2766980419600117E-4</v>
      </c>
      <c r="X141" s="441">
        <f>IF(X$135="Y",IFERROR($E141*(SUM($F$5,$F$6,$F$7,$F$9)/SUMIF($H$5:$H$16,"Y",$F$5:$F$16))*('Emissions Factors'!$T$143*$F$22)/10^6,""),"")</f>
        <v>-1.3669571682854058E-3</v>
      </c>
      <c r="Y141" s="441"/>
      <c r="Z141" s="441"/>
      <c r="AA141" s="509"/>
      <c r="AB141" s="441">
        <f t="shared" si="42"/>
        <v>-1.494626972481407E-3</v>
      </c>
      <c r="AC141" s="441">
        <f t="shared" si="43"/>
        <v>0</v>
      </c>
      <c r="AE141" s="182"/>
      <c r="AF141" s="178"/>
      <c r="AG141" s="182"/>
      <c r="AH141" s="178"/>
      <c r="AJ141" s="182">
        <f>IF(AJ$135="Y",IFERROR(M141*($F$8/SUMIF($H$5:$H$16,"Y",$F$5:$F$16))*$F$21*'Emissions Factors'!B17,""),"")</f>
        <v>-1.5325971627908663E-4</v>
      </c>
      <c r="AK141" s="180">
        <f>IF(AK$135="Y",IFERROR($M141*(SUM($F$5,$F$6,$F$7,$F$9)/SUMIF($H$5:$H$16,"Y",$F$5:$F$16))*('Emissions Factors'!$T$143*$F$22)/10^6,""),"")</f>
        <v>-1.6409476704096551E-3</v>
      </c>
      <c r="AL141" s="180"/>
      <c r="AM141" s="180"/>
      <c r="AO141" s="180">
        <f t="shared" si="44"/>
        <v>-1.7942073866887417E-3</v>
      </c>
      <c r="AP141" s="180">
        <f t="shared" si="45"/>
        <v>0</v>
      </c>
      <c r="AS141" s="430"/>
      <c r="AT141" s="478">
        <v>2020</v>
      </c>
      <c r="AU141" s="479">
        <f t="shared" si="46"/>
        <v>-3.2888343591701485E-3</v>
      </c>
      <c r="AV141" s="479">
        <f t="shared" si="46"/>
        <v>0</v>
      </c>
      <c r="AW141" s="430"/>
      <c r="AX141" s="479">
        <f t="shared" si="38"/>
        <v>-8.9710369334437086E-4</v>
      </c>
      <c r="AY141" s="479">
        <f t="shared" si="38"/>
        <v>0</v>
      </c>
      <c r="AZ141" s="430"/>
      <c r="BA141" s="479">
        <f t="shared" si="39"/>
        <v>-2.3917306658257777E-3</v>
      </c>
      <c r="BB141" s="479">
        <f t="shared" si="39"/>
        <v>0</v>
      </c>
      <c r="BC141" s="484"/>
      <c r="BE141" s="480">
        <f t="shared" si="40"/>
        <v>0.27277253743199509</v>
      </c>
      <c r="BF141" s="480" t="str">
        <f t="shared" si="41"/>
        <v/>
      </c>
    </row>
    <row r="142" spans="1:58" ht="15.6" x14ac:dyDescent="0.3">
      <c r="A142" s="152">
        <v>2021</v>
      </c>
      <c r="B142" s="178"/>
      <c r="C142" s="182"/>
      <c r="D142" s="183"/>
      <c r="E142" s="179">
        <f t="shared" si="47"/>
        <v>2.3138896934434867</v>
      </c>
      <c r="F142" s="183">
        <f t="shared" si="48"/>
        <v>2.3216581588149312</v>
      </c>
      <c r="G142" s="247">
        <f t="shared" si="35"/>
        <v>0.15181626044795771</v>
      </c>
      <c r="H142" s="246"/>
      <c r="I142" s="417"/>
      <c r="J142" s="178"/>
      <c r="K142" s="182"/>
      <c r="L142" s="183"/>
      <c r="M142" s="179">
        <f t="shared" si="36"/>
        <v>2.7946710951533227</v>
      </c>
      <c r="N142" s="183">
        <f t="shared" si="49"/>
        <v>2.803996658126096</v>
      </c>
      <c r="O142" s="247">
        <f t="shared" si="37"/>
        <v>0.18336073497815525</v>
      </c>
      <c r="P142" s="246"/>
      <c r="Q142" s="417"/>
      <c r="R142" s="439"/>
      <c r="S142" s="440"/>
      <c r="T142" s="439"/>
      <c r="U142" s="440"/>
      <c r="V142" s="506"/>
      <c r="W142" s="439">
        <f>IF(W$135="Y",IFERROR(E142*($F$8/SUMIF($H$5:$H$16,"Y",$F$5:$F$16))*$F$21*'Emissions Factors'!B18,""),"")</f>
        <v>3.7798856936612439E-2</v>
      </c>
      <c r="X142" s="441">
        <f>IF(X$135="Y",IFERROR($E142*(SUM($F$5,$F$6,$F$7,$F$9)/SUMIF($H$5:$H$16,"Y",$F$5:$F$16))*('Emissions Factors'!$T$143*$F$22)/10^6,""),"")</f>
        <v>0.40715739233400522</v>
      </c>
      <c r="Y142" s="441"/>
      <c r="Z142" s="441"/>
      <c r="AA142" s="509"/>
      <c r="AB142" s="441">
        <f t="shared" si="42"/>
        <v>0.44495624927061767</v>
      </c>
      <c r="AC142" s="441">
        <f t="shared" si="43"/>
        <v>0</v>
      </c>
      <c r="AE142" s="182"/>
      <c r="AF142" s="178"/>
      <c r="AG142" s="182"/>
      <c r="AH142" s="178"/>
      <c r="AJ142" s="182">
        <f>IF(AJ$135="Y",IFERROR(M142*($F$8/SUMIF($H$5:$H$16,"Y",$F$5:$F$16))*$F$21*'Emissions Factors'!B18,""),"")</f>
        <v>4.565272632049365E-2</v>
      </c>
      <c r="AK142" s="180">
        <f>IF(AK$135="Y",IFERROR($M142*(SUM($F$5,$F$6,$F$7,$F$9)/SUMIF($H$5:$H$16,"Y",$F$5:$F$16))*('Emissions Factors'!$T$143*$F$22)/10^6,""),"")</f>
        <v>0.49175680187264564</v>
      </c>
      <c r="AL142" s="180"/>
      <c r="AM142" s="180"/>
      <c r="AO142" s="180">
        <f t="shared" si="44"/>
        <v>0.53740952819313925</v>
      </c>
      <c r="AP142" s="180">
        <f t="shared" si="45"/>
        <v>0</v>
      </c>
      <c r="AS142" s="430"/>
      <c r="AT142" s="478">
        <v>2021</v>
      </c>
      <c r="AU142" s="479">
        <f t="shared" si="46"/>
        <v>0.98236577746375686</v>
      </c>
      <c r="AV142" s="479">
        <f t="shared" si="46"/>
        <v>0</v>
      </c>
      <c r="AW142" s="430"/>
      <c r="AX142" s="479">
        <f t="shared" si="38"/>
        <v>0.26870476409656963</v>
      </c>
      <c r="AY142" s="479">
        <f t="shared" si="38"/>
        <v>0</v>
      </c>
      <c r="AZ142" s="430"/>
      <c r="BA142" s="479">
        <f t="shared" si="39"/>
        <v>0.71366101336718724</v>
      </c>
      <c r="BB142" s="479">
        <f t="shared" si="39"/>
        <v>0</v>
      </c>
      <c r="BC142" s="484"/>
      <c r="BE142" s="480">
        <f t="shared" si="40"/>
        <v>0.27352822162667728</v>
      </c>
      <c r="BF142" s="480" t="str">
        <f t="shared" si="41"/>
        <v/>
      </c>
    </row>
    <row r="143" spans="1:58" ht="15.6" x14ac:dyDescent="0.3">
      <c r="A143" s="152">
        <v>2022</v>
      </c>
      <c r="B143" s="178"/>
      <c r="C143" s="182"/>
      <c r="D143" s="183"/>
      <c r="E143" s="179">
        <f t="shared" si="47"/>
        <v>5.4702795503165529</v>
      </c>
      <c r="F143" s="183">
        <f t="shared" si="48"/>
        <v>3.1563898568730662</v>
      </c>
      <c r="G143" s="247">
        <f t="shared" si="35"/>
        <v>0.1577657195149289</v>
      </c>
      <c r="H143" s="246"/>
      <c r="I143" s="417"/>
      <c r="J143" s="178"/>
      <c r="K143" s="182"/>
      <c r="L143" s="183"/>
      <c r="M143" s="179">
        <f t="shared" si="36"/>
        <v>6.6477826256047789</v>
      </c>
      <c r="N143" s="183">
        <f t="shared" si="49"/>
        <v>3.8531115304514563</v>
      </c>
      <c r="O143" s="247">
        <f t="shared" si="37"/>
        <v>0.19172552324984743</v>
      </c>
      <c r="P143" s="246"/>
      <c r="Q143" s="417"/>
      <c r="R143" s="182"/>
      <c r="S143" s="178"/>
      <c r="T143" s="182"/>
      <c r="U143" s="178"/>
      <c r="V143" s="506"/>
      <c r="W143" s="439">
        <f>IF(W$135="Y",IFERROR(E143*($F$8/SUMIF($H$5:$H$16,"Y",$F$5:$F$16))*$F$21*'Emissions Factors'!B19,""),"")</f>
        <v>8.8829192047669703E-2</v>
      </c>
      <c r="X143" s="441">
        <f>IF(X$135="Y",IFERROR($E143*(SUM($F$5,$F$6,$F$7,$F$9)/SUMIF($H$5:$H$16,"Y",$F$5:$F$16))*('Emissions Factors'!$T$143*$F$22)/10^6,""),"")</f>
        <v>0.96256306571397054</v>
      </c>
      <c r="Y143" s="180"/>
      <c r="Z143" s="180"/>
      <c r="AA143" s="509"/>
      <c r="AB143" s="180">
        <f t="shared" si="42"/>
        <v>1.0513922577616404</v>
      </c>
      <c r="AC143" s="180">
        <f t="shared" si="43"/>
        <v>0</v>
      </c>
      <c r="AE143" s="182"/>
      <c r="AF143" s="178"/>
      <c r="AG143" s="182"/>
      <c r="AH143" s="178"/>
      <c r="AJ143" s="182">
        <f>IF(AJ$135="Y",IFERROR(M143*($F$8/SUMIF($H$5:$H$16,"Y",$F$5:$F$16))*$F$21*'Emissions Factors'!B19,""),"")</f>
        <v>0.10795008812791605</v>
      </c>
      <c r="AK143" s="180">
        <f>IF(AK$135="Y",IFERROR($M143*(SUM($F$5,$F$6,$F$7,$F$9)/SUMIF($H$5:$H$16,"Y",$F$5:$F$16))*('Emissions Factors'!$T$143*$F$22)/10^6,""),"")</f>
        <v>1.1697592354182182</v>
      </c>
      <c r="AL143" s="180"/>
      <c r="AM143" s="180"/>
      <c r="AO143" s="180">
        <f t="shared" si="44"/>
        <v>1.2777093235461343</v>
      </c>
      <c r="AP143" s="180">
        <f t="shared" si="45"/>
        <v>0</v>
      </c>
      <c r="AS143" s="430"/>
      <c r="AT143" s="478">
        <v>2022</v>
      </c>
      <c r="AU143" s="479">
        <f t="shared" si="46"/>
        <v>2.3291015813077749</v>
      </c>
      <c r="AV143" s="479">
        <f t="shared" si="46"/>
        <v>0</v>
      </c>
      <c r="AW143" s="430"/>
      <c r="AX143" s="479">
        <f t="shared" si="38"/>
        <v>0.63885466177306716</v>
      </c>
      <c r="AY143" s="479">
        <f t="shared" si="38"/>
        <v>0</v>
      </c>
      <c r="AZ143" s="430"/>
      <c r="BA143" s="479">
        <f t="shared" si="39"/>
        <v>1.6902469195347076</v>
      </c>
      <c r="BB143" s="479">
        <f t="shared" si="39"/>
        <v>0</v>
      </c>
      <c r="BC143" s="484"/>
      <c r="BE143" s="480">
        <f t="shared" si="40"/>
        <v>0.27429231378322044</v>
      </c>
      <c r="BF143" s="480" t="str">
        <f t="shared" si="41"/>
        <v/>
      </c>
    </row>
    <row r="144" spans="1:58" ht="15.6" x14ac:dyDescent="0.3">
      <c r="A144" s="152">
        <v>2023</v>
      </c>
      <c r="B144" s="178"/>
      <c r="C144" s="182"/>
      <c r="D144" s="183"/>
      <c r="E144" s="179">
        <f t="shared" si="47"/>
        <v>9.3631687455753543</v>
      </c>
      <c r="F144" s="183">
        <f t="shared" si="48"/>
        <v>3.8928891952588014</v>
      </c>
      <c r="G144" s="247">
        <f t="shared" si="35"/>
        <v>0.16186957436379096</v>
      </c>
      <c r="H144" s="246"/>
      <c r="I144" s="417"/>
      <c r="J144" s="178"/>
      <c r="K144" s="182"/>
      <c r="L144" s="183"/>
      <c r="M144" s="179">
        <f t="shared" si="36"/>
        <v>11.449847005829316</v>
      </c>
      <c r="N144" s="183">
        <f t="shared" si="49"/>
        <v>4.8020643802245369</v>
      </c>
      <c r="O144" s="247">
        <f t="shared" si="37"/>
        <v>0.19794387047012788</v>
      </c>
      <c r="P144" s="246"/>
      <c r="Q144" s="417"/>
      <c r="R144" s="182"/>
      <c r="S144" s="178"/>
      <c r="T144" s="182"/>
      <c r="U144" s="178"/>
      <c r="V144" s="506"/>
      <c r="W144" s="439">
        <f>IF(W$135="Y",IFERROR(E144*($F$8/SUMIF($H$5:$H$16,"Y",$F$5:$F$16))*$F$21*'Emissions Factors'!B20,""),"")</f>
        <v>0.15115639892280561</v>
      </c>
      <c r="X144" s="441">
        <f>IF(X$135="Y",IFERROR($E144*(SUM($F$5,$F$6,$F$7,$F$9)/SUMIF($H$5:$H$16,"Y",$F$5:$F$16))*('Emissions Factors'!$T$143*$F$22)/10^6,""),"")</f>
        <v>1.6475648693340919</v>
      </c>
      <c r="Y144" s="180"/>
      <c r="Z144" s="180"/>
      <c r="AA144" s="509"/>
      <c r="AB144" s="180">
        <f t="shared" si="42"/>
        <v>1.7987212682568974</v>
      </c>
      <c r="AC144" s="180">
        <f t="shared" si="43"/>
        <v>0</v>
      </c>
      <c r="AE144" s="182"/>
      <c r="AF144" s="178"/>
      <c r="AG144" s="182"/>
      <c r="AH144" s="178"/>
      <c r="AJ144" s="182">
        <f>IF(AJ$135="Y",IFERROR(M144*($F$8/SUMIF($H$5:$H$16,"Y",$F$5:$F$16))*$F$21*'Emissions Factors'!B20,""),"")</f>
        <v>0.18484315392009704</v>
      </c>
      <c r="AK144" s="180">
        <f>IF(AK$135="Y",IFERROR($M144*(SUM($F$5,$F$6,$F$7,$F$9)/SUMIF($H$5:$H$16,"Y",$F$5:$F$16))*('Emissions Factors'!$T$143*$F$22)/10^6,""),"")</f>
        <v>2.0147416113769214</v>
      </c>
      <c r="AL144" s="180"/>
      <c r="AM144" s="180"/>
      <c r="AO144" s="180">
        <f t="shared" si="44"/>
        <v>2.1995847652970184</v>
      </c>
      <c r="AP144" s="180">
        <f t="shared" si="45"/>
        <v>0</v>
      </c>
      <c r="AS144" s="430"/>
      <c r="AT144" s="478">
        <v>2023</v>
      </c>
      <c r="AU144" s="479">
        <f t="shared" si="46"/>
        <v>3.9983060335539156</v>
      </c>
      <c r="AV144" s="479">
        <f t="shared" si="46"/>
        <v>0</v>
      </c>
      <c r="AW144" s="430"/>
      <c r="AX144" s="479">
        <f t="shared" si="38"/>
        <v>1.0997923826485092</v>
      </c>
      <c r="AY144" s="479">
        <f t="shared" si="38"/>
        <v>0</v>
      </c>
      <c r="AZ144" s="430"/>
      <c r="BA144" s="479">
        <f t="shared" si="39"/>
        <v>2.8985136509054064</v>
      </c>
      <c r="BB144" s="479">
        <f t="shared" si="39"/>
        <v>0</v>
      </c>
      <c r="BC144" s="484"/>
      <c r="BE144" s="480">
        <f t="shared" si="40"/>
        <v>0.27506458320574151</v>
      </c>
      <c r="BF144" s="480" t="str">
        <f t="shared" si="41"/>
        <v/>
      </c>
    </row>
    <row r="145" spans="1:58" ht="15.6" x14ac:dyDescent="0.3">
      <c r="A145" s="152">
        <v>2024</v>
      </c>
      <c r="B145" s="178"/>
      <c r="C145" s="182"/>
      <c r="D145" s="183"/>
      <c r="E145" s="179">
        <f t="shared" si="47"/>
        <v>13.9513285334728</v>
      </c>
      <c r="F145" s="183">
        <f t="shared" si="48"/>
        <v>4.5881597878974461</v>
      </c>
      <c r="G145" s="247">
        <f t="shared" si="35"/>
        <v>0.16496659722696771</v>
      </c>
      <c r="H145" s="246"/>
      <c r="I145" s="417"/>
      <c r="J145" s="178"/>
      <c r="K145" s="182"/>
      <c r="L145" s="183"/>
      <c r="M145" s="179">
        <f t="shared" si="36"/>
        <v>17.16853498629434</v>
      </c>
      <c r="N145" s="183">
        <f t="shared" si="49"/>
        <v>5.7186879804650239</v>
      </c>
      <c r="O145" s="247">
        <f t="shared" si="37"/>
        <v>0.20300825038030373</v>
      </c>
      <c r="P145" s="246"/>
      <c r="Q145" s="417"/>
      <c r="R145" s="182"/>
      <c r="S145" s="178"/>
      <c r="T145" s="182"/>
      <c r="U145" s="178"/>
      <c r="V145" s="506"/>
      <c r="W145" s="439">
        <f>IF(W$135="Y",IFERROR(E145*($F$8/SUMIF($H$5:$H$16,"Y",$F$5:$F$16))*$F$21*'Emissions Factors'!B21,""),"")</f>
        <v>0.22393354724826911</v>
      </c>
      <c r="X145" s="441">
        <f>IF(X$135="Y",IFERROR($E145*(SUM($F$5,$F$6,$F$7,$F$9)/SUMIF($H$5:$H$16,"Y",$F$5:$F$16))*('Emissions Factors'!$T$143*$F$22)/10^6,""),"")</f>
        <v>2.4549080975551361</v>
      </c>
      <c r="Y145" s="180"/>
      <c r="Z145" s="180"/>
      <c r="AA145" s="509"/>
      <c r="AB145" s="180">
        <f t="shared" si="42"/>
        <v>2.6788416448034051</v>
      </c>
      <c r="AC145" s="180">
        <f t="shared" si="43"/>
        <v>0</v>
      </c>
      <c r="AE145" s="182"/>
      <c r="AF145" s="178"/>
      <c r="AG145" s="182"/>
      <c r="AH145" s="178"/>
      <c r="AJ145" s="182">
        <f>IF(AJ$135="Y",IFERROR(M145*($F$8/SUMIF($H$5:$H$16,"Y",$F$5:$F$16))*$F$21*'Emissions Factors'!B21,""),"")</f>
        <v>0.27557310626817377</v>
      </c>
      <c r="AK145" s="180">
        <f>IF(AK$135="Y",IFERROR($M145*(SUM($F$5,$F$6,$F$7,$F$9)/SUMIF($H$5:$H$16,"Y",$F$5:$F$16))*('Emissions Factors'!$T$143*$F$22)/10^6,""),"")</f>
        <v>3.0210152000858406</v>
      </c>
      <c r="AL145" s="180"/>
      <c r="AM145" s="180"/>
      <c r="AO145" s="180">
        <f t="shared" si="44"/>
        <v>3.2965883063540145</v>
      </c>
      <c r="AP145" s="180">
        <f t="shared" si="45"/>
        <v>0</v>
      </c>
      <c r="AS145" s="430"/>
      <c r="AT145" s="478">
        <v>2024</v>
      </c>
      <c r="AU145" s="479">
        <f t="shared" si="46"/>
        <v>5.9754299511574196</v>
      </c>
      <c r="AV145" s="479">
        <f t="shared" si="46"/>
        <v>0</v>
      </c>
      <c r="AW145" s="430"/>
      <c r="AX145" s="479">
        <f t="shared" si="38"/>
        <v>1.6482941531770072</v>
      </c>
      <c r="AY145" s="479">
        <f t="shared" si="38"/>
        <v>0</v>
      </c>
      <c r="AZ145" s="430"/>
      <c r="BA145" s="479">
        <f t="shared" si="39"/>
        <v>4.3271357979804126</v>
      </c>
      <c r="BB145" s="479">
        <f t="shared" si="39"/>
        <v>0</v>
      </c>
      <c r="BC145" s="484"/>
      <c r="BE145" s="480">
        <f t="shared" si="40"/>
        <v>0.2758452808668167</v>
      </c>
      <c r="BF145" s="480" t="str">
        <f t="shared" si="41"/>
        <v/>
      </c>
    </row>
    <row r="146" spans="1:58" ht="15.6" x14ac:dyDescent="0.3">
      <c r="A146" s="152">
        <v>2025</v>
      </c>
      <c r="B146" s="178"/>
      <c r="C146" s="182"/>
      <c r="D146" s="183"/>
      <c r="E146" s="179">
        <f t="shared" si="47"/>
        <v>19.20965001771917</v>
      </c>
      <c r="F146" s="183">
        <f t="shared" si="48"/>
        <v>5.2583214842463697</v>
      </c>
      <c r="G146" s="247">
        <f t="shared" si="35"/>
        <v>0.16743023626897324</v>
      </c>
      <c r="H146" s="246"/>
      <c r="I146" s="417"/>
      <c r="J146" s="178"/>
      <c r="K146" s="182"/>
      <c r="L146" s="183"/>
      <c r="M146" s="179">
        <f t="shared" si="36"/>
        <v>23.790830103989496</v>
      </c>
      <c r="N146" s="183">
        <f t="shared" si="49"/>
        <v>6.6222951176951561</v>
      </c>
      <c r="O146" s="247">
        <f t="shared" si="37"/>
        <v>0.20735954594028125</v>
      </c>
      <c r="P146" s="246"/>
      <c r="Q146" s="417"/>
      <c r="R146" s="182"/>
      <c r="S146" s="178"/>
      <c r="T146" s="182"/>
      <c r="U146" s="178"/>
      <c r="V146" s="506"/>
      <c r="W146" s="439">
        <f>IF(W$135="Y",IFERROR(E146*($F$8/SUMIF($H$5:$H$16,"Y",$F$5:$F$16))*$F$21*'Emissions Factors'!B22,""),"")</f>
        <v>0.30676677930383905</v>
      </c>
      <c r="X146" s="441">
        <f>IF(X$135="Y",IFERROR($E146*(SUM($F$5,$F$6,$F$7,$F$9)/SUMIF($H$5:$H$16,"Y",$F$5:$F$16))*('Emissions Factors'!$T$143*$F$22)/10^6,""),"")</f>
        <v>3.3801745308022131</v>
      </c>
      <c r="Y146" s="180"/>
      <c r="Z146" s="180"/>
      <c r="AA146" s="509"/>
      <c r="AB146" s="180">
        <f t="shared" si="42"/>
        <v>3.686941310106052</v>
      </c>
      <c r="AC146" s="180">
        <f t="shared" si="43"/>
        <v>0</v>
      </c>
      <c r="AE146" s="182"/>
      <c r="AF146" s="178"/>
      <c r="AG146" s="182"/>
      <c r="AH146" s="178"/>
      <c r="AJ146" s="182">
        <f>IF(AJ$135="Y",IFERROR(M146*($F$8/SUMIF($H$5:$H$16,"Y",$F$5:$F$16))*$F$21*'Emissions Factors'!B22,""),"")</f>
        <v>0.37992552291341641</v>
      </c>
      <c r="AK146" s="180">
        <f>IF(AK$135="Y",IFERROR($M146*(SUM($F$5,$F$6,$F$7,$F$9)/SUMIF($H$5:$H$16,"Y",$F$5:$F$16))*('Emissions Factors'!$T$143*$F$22)/10^6,""),"")</f>
        <v>4.1862895945511909</v>
      </c>
      <c r="AL146" s="180"/>
      <c r="AM146" s="180"/>
      <c r="AO146" s="180">
        <f t="shared" si="44"/>
        <v>4.5662151174646075</v>
      </c>
      <c r="AP146" s="180">
        <f t="shared" si="45"/>
        <v>0</v>
      </c>
      <c r="AS146" s="430"/>
      <c r="AT146" s="478">
        <v>2025</v>
      </c>
      <c r="AU146" s="479">
        <f t="shared" si="46"/>
        <v>8.2531564275706586</v>
      </c>
      <c r="AV146" s="479">
        <f t="shared" si="46"/>
        <v>0</v>
      </c>
      <c r="AW146" s="430"/>
      <c r="AX146" s="479">
        <f t="shared" si="38"/>
        <v>2.2831075587323038</v>
      </c>
      <c r="AY146" s="479">
        <f t="shared" si="38"/>
        <v>0</v>
      </c>
      <c r="AZ146" s="430"/>
      <c r="BA146" s="479">
        <f t="shared" si="39"/>
        <v>5.9700488688383544</v>
      </c>
      <c r="BB146" s="479">
        <f t="shared" si="39"/>
        <v>0</v>
      </c>
      <c r="BC146" s="484"/>
      <c r="BE146" s="480">
        <f t="shared" si="40"/>
        <v>0.27663447055302492</v>
      </c>
      <c r="BF146" s="480" t="str">
        <f t="shared" si="41"/>
        <v/>
      </c>
    </row>
    <row r="147" spans="1:58" ht="15.6" x14ac:dyDescent="0.3">
      <c r="A147" s="152">
        <v>2026</v>
      </c>
      <c r="B147" s="178"/>
      <c r="C147" s="182"/>
      <c r="D147" s="183"/>
      <c r="E147" s="179">
        <f t="shared" si="47"/>
        <v>25.112680029208029</v>
      </c>
      <c r="F147" s="183">
        <f t="shared" si="48"/>
        <v>5.903030011488859</v>
      </c>
      <c r="G147" s="247">
        <f t="shared" si="35"/>
        <v>0.1694594070073108</v>
      </c>
      <c r="H147" s="246"/>
      <c r="I147" s="417"/>
      <c r="J147" s="178"/>
      <c r="K147" s="182"/>
      <c r="L147" s="183"/>
      <c r="M147" s="179">
        <f t="shared" si="36"/>
        <v>31.303191617714578</v>
      </c>
      <c r="N147" s="183">
        <f t="shared" si="49"/>
        <v>7.5123615137250823</v>
      </c>
      <c r="O147" s="247">
        <f t="shared" si="37"/>
        <v>0.21123274309251114</v>
      </c>
      <c r="P147" s="246"/>
      <c r="Q147" s="417"/>
      <c r="R147" s="182"/>
      <c r="S147" s="178"/>
      <c r="T147" s="182"/>
      <c r="U147" s="178"/>
      <c r="V147" s="506"/>
      <c r="W147" s="439">
        <f>IF(W$135="Y",IFERROR(E147*($F$8/SUMIF($H$5:$H$16,"Y",$F$5:$F$16))*$F$21*'Emissions Factors'!B23,""),"")</f>
        <v>0.39857059273713052</v>
      </c>
      <c r="X147" s="441">
        <f>IF(X$135="Y",IFERROR($E147*(SUM($F$5,$F$6,$F$7,$F$9)/SUMIF($H$5:$H$16,"Y",$F$5:$F$16))*('Emissions Factors'!$T$143*$F$22)/10^6,""),"")</f>
        <v>4.4188853704578364</v>
      </c>
      <c r="Y147" s="180"/>
      <c r="Z147" s="180"/>
      <c r="AA147" s="509"/>
      <c r="AB147" s="180">
        <f t="shared" si="42"/>
        <v>4.8174559631949672</v>
      </c>
      <c r="AC147" s="180">
        <f t="shared" si="43"/>
        <v>0</v>
      </c>
      <c r="AE147" s="182"/>
      <c r="AF147" s="178"/>
      <c r="AG147" s="182"/>
      <c r="AH147" s="178"/>
      <c r="AJ147" s="182">
        <f>IF(AJ$135="Y",IFERROR(M147*($F$8/SUMIF($H$5:$H$16,"Y",$F$5:$F$16))*$F$21*'Emissions Factors'!B23,""),"")</f>
        <v>0.49682198885683576</v>
      </c>
      <c r="AK147" s="180">
        <f>IF(AK$135="Y",IFERROR($M147*(SUM($F$5,$F$6,$F$7,$F$9)/SUMIF($H$5:$H$16,"Y",$F$5:$F$16))*('Emissions Factors'!$T$143*$F$22)/10^6,""),"")</f>
        <v>5.5081821345740147</v>
      </c>
      <c r="AL147" s="180"/>
      <c r="AM147" s="180"/>
      <c r="AO147" s="180">
        <f t="shared" si="44"/>
        <v>6.0050041234308509</v>
      </c>
      <c r="AP147" s="180">
        <f t="shared" si="45"/>
        <v>0</v>
      </c>
      <c r="AS147" s="430"/>
      <c r="AT147" s="478">
        <v>2026</v>
      </c>
      <c r="AU147" s="479">
        <f t="shared" si="46"/>
        <v>10.822460086625817</v>
      </c>
      <c r="AV147" s="479">
        <f t="shared" si="46"/>
        <v>0</v>
      </c>
      <c r="AW147" s="430"/>
      <c r="AX147" s="479">
        <f t="shared" si="38"/>
        <v>3.0025020617154254</v>
      </c>
      <c r="AY147" s="479">
        <f t="shared" si="38"/>
        <v>0</v>
      </c>
      <c r="AZ147" s="430"/>
      <c r="BA147" s="479">
        <f t="shared" si="39"/>
        <v>7.8199580249103917</v>
      </c>
      <c r="BB147" s="479">
        <f t="shared" si="39"/>
        <v>0</v>
      </c>
      <c r="BC147" s="484"/>
      <c r="BE147" s="480">
        <f t="shared" si="40"/>
        <v>0.2774324911048513</v>
      </c>
      <c r="BF147" s="480" t="str">
        <f t="shared" si="41"/>
        <v/>
      </c>
    </row>
    <row r="148" spans="1:58" ht="15.6" x14ac:dyDescent="0.3">
      <c r="A148" s="152">
        <v>2027</v>
      </c>
      <c r="B148" s="178"/>
      <c r="C148" s="182"/>
      <c r="D148" s="183"/>
      <c r="E148" s="179">
        <f t="shared" si="47"/>
        <v>31.638938756129889</v>
      </c>
      <c r="F148" s="183">
        <f t="shared" si="48"/>
        <v>6.5262587269218599</v>
      </c>
      <c r="G148" s="247">
        <f t="shared" si="35"/>
        <v>0.17118277391701148</v>
      </c>
      <c r="H148" s="246"/>
      <c r="I148" s="417"/>
      <c r="J148" s="178"/>
      <c r="K148" s="182"/>
      <c r="L148" s="183"/>
      <c r="M148" s="179">
        <f t="shared" si="36"/>
        <v>39.696915872300764</v>
      </c>
      <c r="N148" s="183">
        <f t="shared" si="49"/>
        <v>8.3937242545861857</v>
      </c>
      <c r="O148" s="247">
        <f t="shared" si="37"/>
        <v>0.21478053443414266</v>
      </c>
      <c r="P148" s="246"/>
      <c r="Q148" s="417"/>
      <c r="R148" s="182"/>
      <c r="S148" s="178"/>
      <c r="T148" s="182"/>
      <c r="U148" s="178"/>
      <c r="V148" s="506"/>
      <c r="W148" s="439">
        <f>IF(W$135="Y",IFERROR(E148*($F$8/SUMIF($H$5:$H$16,"Y",$F$5:$F$16))*$F$21*'Emissions Factors'!B24,""),"")</f>
        <v>0.49938337797869931</v>
      </c>
      <c r="X148" s="441">
        <f>IF(X$135="Y",IFERROR($E148*(SUM($F$5,$F$6,$F$7,$F$9)/SUMIF($H$5:$H$16,"Y",$F$5:$F$16))*('Emissions Factors'!$T$143*$F$22)/10^6,""),"")</f>
        <v>5.5672609790617766</v>
      </c>
      <c r="Y148" s="180"/>
      <c r="Z148" s="180"/>
      <c r="AA148" s="509"/>
      <c r="AB148" s="180">
        <f t="shared" si="42"/>
        <v>6.0666443570404756</v>
      </c>
      <c r="AC148" s="180">
        <f t="shared" si="43"/>
        <v>0</v>
      </c>
      <c r="AE148" s="182"/>
      <c r="AF148" s="178"/>
      <c r="AG148" s="182"/>
      <c r="AH148" s="178"/>
      <c r="AJ148" s="182">
        <f>IF(AJ$135="Y",IFERROR(M148*($F$8/SUMIF($H$5:$H$16,"Y",$F$5:$F$16))*$F$21*'Emissions Factors'!B24,""),"")</f>
        <v>0.62656905455796952</v>
      </c>
      <c r="AK148" s="180">
        <f>IF(AK$135="Y",IFERROR($M148*(SUM($F$5,$F$6,$F$7,$F$9)/SUMIF($H$5:$H$16,"Y",$F$5:$F$16))*('Emissions Factors'!$T$143*$F$22)/10^6,""),"")</f>
        <v>6.9851613048222054</v>
      </c>
      <c r="AL148" s="180"/>
      <c r="AM148" s="180"/>
      <c r="AO148" s="180">
        <f t="shared" si="44"/>
        <v>7.6117303593801751</v>
      </c>
      <c r="AP148" s="180">
        <f t="shared" si="45"/>
        <v>0</v>
      </c>
      <c r="AS148" s="430"/>
      <c r="AT148" s="478">
        <v>2027</v>
      </c>
      <c r="AU148" s="479">
        <f t="shared" si="46"/>
        <v>13.678374716420651</v>
      </c>
      <c r="AV148" s="479">
        <f t="shared" si="46"/>
        <v>0</v>
      </c>
      <c r="AW148" s="430"/>
      <c r="AX148" s="479">
        <f t="shared" si="38"/>
        <v>3.8058651796900875</v>
      </c>
      <c r="AY148" s="479">
        <f t="shared" si="38"/>
        <v>0</v>
      </c>
      <c r="AZ148" s="430"/>
      <c r="BA148" s="479">
        <f t="shared" si="39"/>
        <v>9.8725095367305631</v>
      </c>
      <c r="BB148" s="479">
        <f t="shared" si="39"/>
        <v>0</v>
      </c>
      <c r="BC148" s="484"/>
      <c r="BE148" s="480">
        <f t="shared" si="40"/>
        <v>0.27823957587016623</v>
      </c>
      <c r="BF148" s="480" t="str">
        <f t="shared" si="41"/>
        <v/>
      </c>
    </row>
    <row r="149" spans="1:58" ht="15.6" x14ac:dyDescent="0.3">
      <c r="A149" s="152">
        <v>2028</v>
      </c>
      <c r="B149" s="178"/>
      <c r="C149" s="182"/>
      <c r="D149" s="183"/>
      <c r="E149" s="179">
        <f t="shared" si="47"/>
        <v>38.797621741335604</v>
      </c>
      <c r="F149" s="183">
        <f t="shared" si="48"/>
        <v>7.158682985205715</v>
      </c>
      <c r="G149" s="247">
        <f t="shared" si="35"/>
        <v>0.17270775073679157</v>
      </c>
      <c r="H149" s="246"/>
      <c r="I149" s="417"/>
      <c r="J149" s="178"/>
      <c r="K149" s="182"/>
      <c r="L149" s="183"/>
      <c r="M149" s="179">
        <f t="shared" si="36"/>
        <v>49.00177128313485</v>
      </c>
      <c r="N149" s="183">
        <f t="shared" si="49"/>
        <v>9.3048554108340866</v>
      </c>
      <c r="O149" s="247">
        <f t="shared" si="37"/>
        <v>0.21813155860046762</v>
      </c>
      <c r="P149" s="246"/>
      <c r="Q149" s="417"/>
      <c r="R149" s="182"/>
      <c r="S149" s="178"/>
      <c r="T149" s="182"/>
      <c r="U149" s="178"/>
      <c r="V149" s="506"/>
      <c r="W149" s="439">
        <f>IF(W$135="Y",IFERROR(E149*($F$8/SUMIF($H$5:$H$16,"Y",$F$5:$F$16))*$F$21*'Emissions Factors'!B25,""),"")</f>
        <v>0.60903497509194393</v>
      </c>
      <c r="X149" s="441">
        <f>IF(X$135="Y",IFERROR($E149*(SUM($F$5,$F$6,$F$7,$F$9)/SUMIF($H$5:$H$16,"Y",$F$5:$F$16))*('Emissions Factors'!$T$143*$F$22)/10^6,""),"")</f>
        <v>6.826919425642501</v>
      </c>
      <c r="Y149" s="180"/>
      <c r="Z149" s="180"/>
      <c r="AA149" s="509"/>
      <c r="AB149" s="180">
        <f t="shared" si="42"/>
        <v>7.4359544007344454</v>
      </c>
      <c r="AC149" s="180">
        <f t="shared" si="43"/>
        <v>0</v>
      </c>
      <c r="AE149" s="182"/>
      <c r="AF149" s="178"/>
      <c r="AG149" s="182"/>
      <c r="AH149" s="178"/>
      <c r="AJ149" s="182">
        <f>IF(AJ$135="Y",IFERROR(M149*($F$8/SUMIF($H$5:$H$16,"Y",$F$5:$F$16))*$F$21*'Emissions Factors'!B25,""),"")</f>
        <v>0.76921706056763572</v>
      </c>
      <c r="AK149" s="180">
        <f>IF(AK$135="Y",IFERROR($M149*(SUM($F$5,$F$6,$F$7,$F$9)/SUMIF($H$5:$H$16,"Y",$F$5:$F$16))*('Emissions Factors'!$T$143*$F$22)/10^6,""),"")</f>
        <v>8.6224652246482769</v>
      </c>
      <c r="AL149" s="180"/>
      <c r="AM149" s="180"/>
      <c r="AO149" s="180">
        <f t="shared" si="44"/>
        <v>9.3916822852159125</v>
      </c>
      <c r="AP149" s="180">
        <f t="shared" si="45"/>
        <v>0</v>
      </c>
      <c r="AS149" s="430"/>
      <c r="AT149" s="478">
        <v>2028</v>
      </c>
      <c r="AU149" s="479">
        <f t="shared" si="46"/>
        <v>16.82763668595036</v>
      </c>
      <c r="AV149" s="479">
        <f t="shared" si="46"/>
        <v>0</v>
      </c>
      <c r="AW149" s="430"/>
      <c r="AX149" s="479">
        <f t="shared" si="38"/>
        <v>4.6958411426079563</v>
      </c>
      <c r="AY149" s="479">
        <f t="shared" si="38"/>
        <v>0</v>
      </c>
      <c r="AZ149" s="430"/>
      <c r="BA149" s="479">
        <f t="shared" si="39"/>
        <v>12.131795543342403</v>
      </c>
      <c r="BB149" s="479">
        <f t="shared" si="39"/>
        <v>0</v>
      </c>
      <c r="BC149" s="484"/>
      <c r="BE149" s="480">
        <f t="shared" si="40"/>
        <v>0.27905529637020171</v>
      </c>
      <c r="BF149" s="480" t="str">
        <f t="shared" si="41"/>
        <v/>
      </c>
    </row>
    <row r="150" spans="1:58" ht="15.6" x14ac:dyDescent="0.3">
      <c r="A150" s="152">
        <v>2029</v>
      </c>
      <c r="B150" s="178"/>
      <c r="C150" s="182"/>
      <c r="D150" s="183"/>
      <c r="E150" s="179">
        <f t="shared" si="47"/>
        <v>46.609548498897752</v>
      </c>
      <c r="F150" s="183">
        <f t="shared" si="48"/>
        <v>7.8119267575621478</v>
      </c>
      <c r="G150" s="247">
        <f t="shared" si="35"/>
        <v>0.17410760786781931</v>
      </c>
      <c r="H150" s="246"/>
      <c r="I150" s="417"/>
      <c r="J150" s="178"/>
      <c r="K150" s="182"/>
      <c r="L150" s="183"/>
      <c r="M150" s="179">
        <f t="shared" si="36"/>
        <v>59.263027965546328</v>
      </c>
      <c r="N150" s="183">
        <f t="shared" si="49"/>
        <v>10.261256682411478</v>
      </c>
      <c r="O150" s="247">
        <f t="shared" si="37"/>
        <v>0.22137403957751187</v>
      </c>
      <c r="P150" s="246"/>
      <c r="Q150" s="417"/>
      <c r="R150" s="182"/>
      <c r="S150" s="178"/>
      <c r="T150" s="182"/>
      <c r="U150" s="178"/>
      <c r="V150" s="506"/>
      <c r="W150" s="439">
        <f>IF(W$135="Y",IFERROR(E150*($F$8/SUMIF($H$5:$H$16,"Y",$F$5:$F$16))*$F$21*'Emissions Factors'!B26,""),"")</f>
        <v>0.72770948964020854</v>
      </c>
      <c r="X150" s="441">
        <f>IF(X$135="Y",IFERROR($E150*(SUM($F$5,$F$6,$F$7,$F$9)/SUMIF($H$5:$H$16,"Y",$F$5:$F$16))*('Emissions Factors'!$T$143*$F$22)/10^6,""),"")</f>
        <v>8.2015241601403712</v>
      </c>
      <c r="Y150" s="180"/>
      <c r="Z150" s="180"/>
      <c r="AA150" s="509"/>
      <c r="AB150" s="180">
        <f t="shared" si="42"/>
        <v>8.9292336497805795</v>
      </c>
      <c r="AC150" s="180">
        <f t="shared" si="43"/>
        <v>0</v>
      </c>
      <c r="AE150" s="182"/>
      <c r="AF150" s="178"/>
      <c r="AG150" s="182"/>
      <c r="AH150" s="178"/>
      <c r="AJ150" s="182">
        <f>IF(AJ$135="Y",IFERROR(M150*($F$8/SUMIF($H$5:$H$16,"Y",$F$5:$F$16))*$F$21*'Emissions Factors'!B26,""),"")</f>
        <v>0.92526680099381353</v>
      </c>
      <c r="AK150" s="180">
        <f>IF(AK$135="Y",IFERROR($M150*(SUM($F$5,$F$6,$F$7,$F$9)/SUMIF($H$5:$H$16,"Y",$F$5:$F$16))*('Emissions Factors'!$T$143*$F$22)/10^6,""),"")</f>
        <v>10.428059728448069</v>
      </c>
      <c r="AL150" s="180"/>
      <c r="AM150" s="180"/>
      <c r="AO150" s="180">
        <f t="shared" si="44"/>
        <v>11.353326529441883</v>
      </c>
      <c r="AP150" s="180">
        <f t="shared" si="45"/>
        <v>0</v>
      </c>
      <c r="AS150" s="430"/>
      <c r="AT150" s="478">
        <v>2029</v>
      </c>
      <c r="AU150" s="479">
        <f t="shared" si="46"/>
        <v>20.282560179222465</v>
      </c>
      <c r="AV150" s="479">
        <f t="shared" si="46"/>
        <v>0</v>
      </c>
      <c r="AW150" s="430"/>
      <c r="AX150" s="479">
        <f t="shared" si="38"/>
        <v>5.6766632647209416</v>
      </c>
      <c r="AY150" s="479">
        <f t="shared" si="38"/>
        <v>0</v>
      </c>
      <c r="AZ150" s="430"/>
      <c r="BA150" s="479">
        <f t="shared" si="39"/>
        <v>14.605896914501523</v>
      </c>
      <c r="BB150" s="479">
        <f t="shared" si="39"/>
        <v>0</v>
      </c>
      <c r="BC150" s="484"/>
      <c r="BE150" s="480">
        <f t="shared" si="40"/>
        <v>0.27987902979507184</v>
      </c>
      <c r="BF150" s="480" t="str">
        <f t="shared" si="41"/>
        <v/>
      </c>
    </row>
    <row r="151" spans="1:58" ht="15.6" x14ac:dyDescent="0.3">
      <c r="A151" s="152">
        <v>2030</v>
      </c>
      <c r="B151" s="178"/>
      <c r="C151" s="182"/>
      <c r="D151" s="183"/>
      <c r="E151" s="179">
        <f t="shared" si="47"/>
        <v>55.110661711145504</v>
      </c>
      <c r="F151" s="183">
        <f t="shared" si="48"/>
        <v>8.501113212247752</v>
      </c>
      <c r="G151" s="247">
        <f t="shared" si="35"/>
        <v>0.17540917533495154</v>
      </c>
      <c r="H151" s="246"/>
      <c r="I151" s="417"/>
      <c r="J151" s="178"/>
      <c r="K151" s="182"/>
      <c r="L151" s="183"/>
      <c r="M151" s="179">
        <f t="shared" si="36"/>
        <v>70.543608071347904</v>
      </c>
      <c r="N151" s="183">
        <f t="shared" si="49"/>
        <v>11.280580105801576</v>
      </c>
      <c r="O151" s="247">
        <f t="shared" si="37"/>
        <v>0.22452998626297874</v>
      </c>
      <c r="P151" s="246"/>
      <c r="Q151" s="417"/>
      <c r="R151" s="182"/>
      <c r="S151" s="178"/>
      <c r="T151" s="182"/>
      <c r="U151" s="178"/>
      <c r="V151" s="506"/>
      <c r="W151" s="439">
        <f>IF(W$135="Y",IFERROR(E151*($F$8/SUMIF($H$5:$H$16,"Y",$F$5:$F$16))*$F$21*'Emissions Factors'!B27,""),"")</f>
        <v>0.85601889365169515</v>
      </c>
      <c r="X151" s="441">
        <f>IF(X$135="Y",IFERROR($E151*(SUM($F$5,$F$6,$F$7,$F$9)/SUMIF($H$5:$H$16,"Y",$F$5:$F$16))*('Emissions Factors'!$T$143*$F$22)/10^6,""),"")</f>
        <v>9.6973997402264409</v>
      </c>
      <c r="Y151" s="180"/>
      <c r="Z151" s="180"/>
      <c r="AA151" s="509"/>
      <c r="AB151" s="180">
        <f t="shared" si="42"/>
        <v>10.553418633878136</v>
      </c>
      <c r="AC151" s="180">
        <f t="shared" si="43"/>
        <v>0</v>
      </c>
      <c r="AE151" s="182"/>
      <c r="AF151" s="178"/>
      <c r="AG151" s="182"/>
      <c r="AH151" s="178"/>
      <c r="AJ151" s="182">
        <f>IF(AJ$135="Y",IFERROR(M151*($F$8/SUMIF($H$5:$H$16,"Y",$F$5:$F$16))*$F$21*'Emissions Factors'!B27,""),"")</f>
        <v>1.0957346448123215</v>
      </c>
      <c r="AK151" s="180">
        <f>IF(AK$135="Y",IFERROR($M151*(SUM($F$5,$F$6,$F$7,$F$9)/SUMIF($H$5:$H$16,"Y",$F$5:$F$16))*('Emissions Factors'!$T$143*$F$22)/10^6,""),"")</f>
        <v>12.4130167438613</v>
      </c>
      <c r="AL151" s="180"/>
      <c r="AM151" s="180"/>
      <c r="AO151" s="180">
        <f t="shared" si="44"/>
        <v>13.508751388673621</v>
      </c>
      <c r="AP151" s="180">
        <f t="shared" si="45"/>
        <v>0</v>
      </c>
      <c r="AS151" s="430"/>
      <c r="AT151" s="478">
        <v>2030</v>
      </c>
      <c r="AU151" s="479">
        <f t="shared" si="46"/>
        <v>24.062170022551758</v>
      </c>
      <c r="AV151" s="479">
        <f t="shared" si="46"/>
        <v>0</v>
      </c>
      <c r="AW151" s="430"/>
      <c r="AX151" s="479">
        <f t="shared" si="38"/>
        <v>6.7543756943368107</v>
      </c>
      <c r="AY151" s="479">
        <f t="shared" si="38"/>
        <v>0</v>
      </c>
      <c r="AZ151" s="430"/>
      <c r="BA151" s="479">
        <f t="shared" si="39"/>
        <v>17.307794328214946</v>
      </c>
      <c r="BB151" s="479">
        <f t="shared" si="39"/>
        <v>0</v>
      </c>
      <c r="BC151" s="484"/>
      <c r="BE151" s="480">
        <f t="shared" si="40"/>
        <v>0.28070517696477149</v>
      </c>
      <c r="BF151" s="480" t="str">
        <f t="shared" si="41"/>
        <v/>
      </c>
    </row>
    <row r="152" spans="1:58" ht="15.6" x14ac:dyDescent="0.3">
      <c r="A152" s="152">
        <v>2031</v>
      </c>
      <c r="B152" s="178"/>
      <c r="C152" s="182"/>
      <c r="D152" s="183"/>
      <c r="E152" s="179">
        <f t="shared" si="47"/>
        <v>64.268977340613063</v>
      </c>
      <c r="F152" s="183">
        <f t="shared" si="48"/>
        <v>9.1583156294675589</v>
      </c>
      <c r="G152" s="247">
        <f t="shared" si="35"/>
        <v>0.1766685013202062</v>
      </c>
      <c r="H152" s="246"/>
      <c r="I152" s="417"/>
      <c r="J152" s="178"/>
      <c r="K152" s="182"/>
      <c r="L152" s="183"/>
      <c r="M152" s="179">
        <f t="shared" si="36"/>
        <v>82.832053959886025</v>
      </c>
      <c r="N152" s="183">
        <f t="shared" si="49"/>
        <v>12.288445888538121</v>
      </c>
      <c r="O152" s="247">
        <f t="shared" si="37"/>
        <v>0.22769640096824859</v>
      </c>
      <c r="P152" s="246"/>
      <c r="Q152" s="417"/>
      <c r="R152" s="182"/>
      <c r="S152" s="178"/>
      <c r="T152" s="182"/>
      <c r="U152" s="178"/>
      <c r="V152" s="506"/>
      <c r="W152" s="439">
        <f>IF(W$135="Y",IFERROR(E152*($F$8/SUMIF($H$5:$H$16,"Y",$F$5:$F$16))*$F$21*'Emissions Factors'!B28,""),"")</f>
        <v>0.99271554203357104</v>
      </c>
      <c r="X152" s="441">
        <f>IF(X$135="Y",IFERROR($E152*(SUM($F$5,$F$6,$F$7,$F$9)/SUMIF($H$5:$H$16,"Y",$F$5:$F$16))*('Emissions Factors'!$T$143*$F$22)/10^6,""),"")</f>
        <v>11.308918180553011</v>
      </c>
      <c r="Y152" s="180"/>
      <c r="Z152" s="180"/>
      <c r="AA152" s="509"/>
      <c r="AB152" s="180">
        <f t="shared" si="42"/>
        <v>12.301633722586581</v>
      </c>
      <c r="AC152" s="180">
        <f t="shared" si="43"/>
        <v>0</v>
      </c>
      <c r="AE152" s="182"/>
      <c r="AF152" s="178"/>
      <c r="AG152" s="182"/>
      <c r="AH152" s="178"/>
      <c r="AJ152" s="182">
        <f>IF(AJ$135="Y",IFERROR(M152*($F$8/SUMIF($H$5:$H$16,"Y",$F$5:$F$16))*$F$21*'Emissions Factors'!B28,""),"")</f>
        <v>1.2794457100001193</v>
      </c>
      <c r="AK152" s="180">
        <f>IF(AK$135="Y",IFERROR($M152*(SUM($F$5,$F$6,$F$7,$F$9)/SUMIF($H$5:$H$16,"Y",$F$5:$F$16))*('Emissions Factors'!$T$143*$F$22)/10^6,""),"")</f>
        <v>14.575320157888289</v>
      </c>
      <c r="AL152" s="180"/>
      <c r="AM152" s="180"/>
      <c r="AO152" s="180">
        <f t="shared" si="44"/>
        <v>15.854765867888409</v>
      </c>
      <c r="AP152" s="180">
        <f t="shared" si="45"/>
        <v>0</v>
      </c>
      <c r="AS152" s="430"/>
      <c r="AT152" s="478">
        <v>2031</v>
      </c>
      <c r="AU152" s="479">
        <f t="shared" si="46"/>
        <v>28.15639959047499</v>
      </c>
      <c r="AV152" s="479">
        <f t="shared" si="46"/>
        <v>0</v>
      </c>
      <c r="AW152" s="430"/>
      <c r="AX152" s="479">
        <f t="shared" si="38"/>
        <v>7.9273829339442043</v>
      </c>
      <c r="AY152" s="479">
        <f t="shared" si="38"/>
        <v>0</v>
      </c>
      <c r="AZ152" s="430"/>
      <c r="BA152" s="479">
        <f t="shared" si="39"/>
        <v>20.229016656530785</v>
      </c>
      <c r="BB152" s="479">
        <f t="shared" si="39"/>
        <v>0</v>
      </c>
      <c r="BC152" s="484"/>
      <c r="BE152" s="480">
        <f t="shared" si="40"/>
        <v>0.28154817552120381</v>
      </c>
      <c r="BF152" s="480" t="str">
        <f t="shared" si="41"/>
        <v/>
      </c>
    </row>
    <row r="153" spans="1:58" ht="15.6" x14ac:dyDescent="0.3">
      <c r="A153" s="152">
        <v>2032</v>
      </c>
      <c r="B153" s="178"/>
      <c r="C153" s="182"/>
      <c r="D153" s="183"/>
      <c r="E153" s="179">
        <f t="shared" si="47"/>
        <v>74.082959886931562</v>
      </c>
      <c r="F153" s="183">
        <f t="shared" si="48"/>
        <v>9.8139825463184991</v>
      </c>
      <c r="G153" s="247">
        <f t="shared" si="35"/>
        <v>0.17783276486858499</v>
      </c>
      <c r="H153" s="246"/>
      <c r="I153" s="417"/>
      <c r="J153" s="178"/>
      <c r="K153" s="182"/>
      <c r="L153" s="183"/>
      <c r="M153" s="179">
        <f t="shared" si="36"/>
        <v>96.138391244597699</v>
      </c>
      <c r="N153" s="183">
        <f t="shared" si="49"/>
        <v>13.306337284711674</v>
      </c>
      <c r="O153" s="247">
        <f t="shared" si="37"/>
        <v>0.23077582147281955</v>
      </c>
      <c r="P153" s="246"/>
      <c r="Q153" s="417"/>
      <c r="R153" s="182"/>
      <c r="S153" s="178"/>
      <c r="T153" s="182"/>
      <c r="U153" s="178"/>
      <c r="V153" s="506"/>
      <c r="W153" s="439">
        <f>IF(W$135="Y",IFERROR(E153*($F$8/SUMIF($H$5:$H$16,"Y",$F$5:$F$16))*$F$21*'Emissions Factors'!B29,""),"")</f>
        <v>1.1382270329437834</v>
      </c>
      <c r="X153" s="441">
        <f>IF(X$135="Y",IFERROR($E153*(SUM($F$5,$F$6,$F$7,$F$9)/SUMIF($H$5:$H$16,"Y",$F$5:$F$16))*('Emissions Factors'!$T$143*$F$22)/10^6,""),"")</f>
        <v>13.035809290917031</v>
      </c>
      <c r="Y153" s="180"/>
      <c r="Z153" s="180"/>
      <c r="AA153" s="509"/>
      <c r="AB153" s="180">
        <f t="shared" si="42"/>
        <v>14.174036323860815</v>
      </c>
      <c r="AC153" s="180">
        <f t="shared" si="43"/>
        <v>0</v>
      </c>
      <c r="AE153" s="182"/>
      <c r="AF153" s="178"/>
      <c r="AG153" s="182"/>
      <c r="AH153" s="178"/>
      <c r="AJ153" s="182">
        <f>IF(AJ$135="Y",IFERROR(M153*($F$8/SUMIF($H$5:$H$16,"Y",$F$5:$F$16))*$F$21*'Emissions Factors'!B29,""),"")</f>
        <v>1.4770915738968784</v>
      </c>
      <c r="AK153" s="180">
        <f>IF(AK$135="Y",IFERROR($M153*(SUM($F$5,$F$6,$F$7,$F$9)/SUMIF($H$5:$H$16,"Y",$F$5:$F$16))*('Emissions Factors'!$T$143*$F$22)/10^6,""),"")</f>
        <v>16.916734100701319</v>
      </c>
      <c r="AL153" s="180"/>
      <c r="AM153" s="180"/>
      <c r="AO153" s="180">
        <f t="shared" si="44"/>
        <v>18.393825674598197</v>
      </c>
      <c r="AP153" s="180">
        <f t="shared" si="45"/>
        <v>0</v>
      </c>
      <c r="AS153" s="430"/>
      <c r="AT153" s="478">
        <v>2032</v>
      </c>
      <c r="AU153" s="479">
        <f t="shared" si="46"/>
        <v>32.567861998459009</v>
      </c>
      <c r="AV153" s="479">
        <f t="shared" si="46"/>
        <v>0</v>
      </c>
      <c r="AW153" s="430"/>
      <c r="AX153" s="479">
        <f t="shared" si="38"/>
        <v>9.1969128372990987</v>
      </c>
      <c r="AY153" s="479">
        <f t="shared" si="38"/>
        <v>0</v>
      </c>
      <c r="AZ153" s="430"/>
      <c r="BA153" s="479">
        <f t="shared" si="39"/>
        <v>23.37094916115991</v>
      </c>
      <c r="BB153" s="479">
        <f t="shared" si="39"/>
        <v>0</v>
      </c>
      <c r="BC153" s="484"/>
      <c r="BE153" s="480">
        <f t="shared" si="40"/>
        <v>0.28239228100801528</v>
      </c>
      <c r="BF153" s="480" t="str">
        <f t="shared" si="41"/>
        <v/>
      </c>
    </row>
    <row r="154" spans="1:58" ht="15.6" x14ac:dyDescent="0.3">
      <c r="A154" s="152">
        <v>2033</v>
      </c>
      <c r="B154" s="178"/>
      <c r="C154" s="182"/>
      <c r="D154" s="183"/>
      <c r="E154" s="179">
        <f t="shared" si="47"/>
        <v>84.42781313709591</v>
      </c>
      <c r="F154" s="183">
        <f t="shared" si="48"/>
        <v>10.344853250164348</v>
      </c>
      <c r="G154" s="247">
        <f t="shared" si="35"/>
        <v>0.17890520986608549</v>
      </c>
      <c r="H154" s="246"/>
      <c r="I154" s="417"/>
      <c r="J154" s="178"/>
      <c r="K154" s="182"/>
      <c r="L154" s="183"/>
      <c r="M154" s="179">
        <f t="shared" si="36"/>
        <v>110.32184590376247</v>
      </c>
      <c r="N154" s="183">
        <f t="shared" si="49"/>
        <v>14.183454659164767</v>
      </c>
      <c r="O154" s="247">
        <f t="shared" si="37"/>
        <v>0.23377548536258905</v>
      </c>
      <c r="P154" s="246"/>
      <c r="Q154" s="417"/>
      <c r="R154" s="182"/>
      <c r="S154" s="178"/>
      <c r="T154" s="182"/>
      <c r="U154" s="178"/>
      <c r="V154" s="506"/>
      <c r="W154" s="439">
        <f>IF(W$135="Y",IFERROR(E154*($F$8/SUMIF($H$5:$H$16,"Y",$F$5:$F$16))*$F$21*'Emissions Factors'!B30,""),"")</f>
        <v>1.2902979467332421</v>
      </c>
      <c r="X154" s="441">
        <f>IF(X$135="Y",IFERROR($E154*(SUM($F$5,$F$6,$F$7,$F$9)/SUMIF($H$5:$H$16,"Y",$F$5:$F$16))*('Emissions Factors'!$T$143*$F$22)/10^6,""),"")</f>
        <v>14.856113640493298</v>
      </c>
      <c r="Y154" s="180"/>
      <c r="Z154" s="180"/>
      <c r="AA154" s="509"/>
      <c r="AB154" s="180">
        <f t="shared" si="42"/>
        <v>16.146411587226542</v>
      </c>
      <c r="AC154" s="180">
        <f t="shared" si="43"/>
        <v>0</v>
      </c>
      <c r="AE154" s="182"/>
      <c r="AF154" s="178"/>
      <c r="AG154" s="182"/>
      <c r="AH154" s="178"/>
      <c r="AJ154" s="182">
        <f>IF(AJ$135="Y",IFERROR(M154*($F$8/SUMIF($H$5:$H$16,"Y",$F$5:$F$16))*$F$21*'Emissions Factors'!B30,""),"")</f>
        <v>1.6860326705169737</v>
      </c>
      <c r="AK154" s="180">
        <f>IF(AK$135="Y",IFERROR($M154*(SUM($F$5,$F$6,$F$7,$F$9)/SUMIF($H$5:$H$16,"Y",$F$5:$F$16))*('Emissions Factors'!$T$143*$F$22)/10^6,""),"")</f>
        <v>19.412487649228964</v>
      </c>
      <c r="AL154" s="180"/>
      <c r="AM154" s="180"/>
      <c r="AO154" s="180">
        <f t="shared" si="44"/>
        <v>21.098520319745937</v>
      </c>
      <c r="AP154" s="180">
        <f t="shared" si="45"/>
        <v>0</v>
      </c>
      <c r="AS154" s="430"/>
      <c r="AT154" s="478">
        <v>2033</v>
      </c>
      <c r="AU154" s="479">
        <f t="shared" si="46"/>
        <v>37.244931906972482</v>
      </c>
      <c r="AV154" s="479">
        <f t="shared" si="46"/>
        <v>0</v>
      </c>
      <c r="AW154" s="430"/>
      <c r="AX154" s="479">
        <f t="shared" si="38"/>
        <v>10.549260159872969</v>
      </c>
      <c r="AY154" s="479">
        <f t="shared" si="38"/>
        <v>0</v>
      </c>
      <c r="AZ154" s="430"/>
      <c r="BA154" s="479">
        <f t="shared" si="39"/>
        <v>26.695671747099514</v>
      </c>
      <c r="BB154" s="479">
        <f t="shared" si="39"/>
        <v>0</v>
      </c>
      <c r="BC154" s="484"/>
      <c r="BE154" s="480">
        <f t="shared" si="40"/>
        <v>0.28324015160564925</v>
      </c>
      <c r="BF154" s="480" t="str">
        <f t="shared" si="41"/>
        <v/>
      </c>
    </row>
    <row r="155" spans="1:58" ht="15.6" x14ac:dyDescent="0.3">
      <c r="A155" s="152">
        <v>2034</v>
      </c>
      <c r="B155" s="178"/>
      <c r="C155" s="182"/>
      <c r="D155" s="183"/>
      <c r="E155" s="179">
        <f t="shared" si="47"/>
        <v>95.153182104620569</v>
      </c>
      <c r="F155" s="183">
        <f t="shared" si="48"/>
        <v>10.725368967524659</v>
      </c>
      <c r="G155" s="247">
        <f t="shared" si="35"/>
        <v>0.17988157914516498</v>
      </c>
      <c r="H155" s="246"/>
      <c r="I155" s="417"/>
      <c r="J155" s="178"/>
      <c r="K155" s="182"/>
      <c r="L155" s="183"/>
      <c r="M155" s="179">
        <f t="shared" si="36"/>
        <v>125.1995027302091</v>
      </c>
      <c r="N155" s="183">
        <f t="shared" si="49"/>
        <v>14.877656826446639</v>
      </c>
      <c r="O155" s="247">
        <f t="shared" si="37"/>
        <v>0.23668240789401618</v>
      </c>
      <c r="P155" s="246"/>
      <c r="Q155" s="417"/>
      <c r="R155" s="182"/>
      <c r="S155" s="178"/>
      <c r="T155" s="182"/>
      <c r="U155" s="178"/>
      <c r="V155" s="506"/>
      <c r="W155" s="439">
        <f>IF(W$135="Y",IFERROR(E155*($F$8/SUMIF($H$5:$H$16,"Y",$F$5:$F$16))*$F$21*'Emissions Factors'!B31,""),"")</f>
        <v>1.4465222854105952</v>
      </c>
      <c r="X155" s="441">
        <f>IF(X$135="Y",IFERROR($E155*(SUM($F$5,$F$6,$F$7,$F$9)/SUMIF($H$5:$H$16,"Y",$F$5:$F$16))*('Emissions Factors'!$T$143*$F$22)/10^6,""),"")</f>
        <v>16.743374417448766</v>
      </c>
      <c r="Y155" s="180"/>
      <c r="Z155" s="180"/>
      <c r="AA155" s="509"/>
      <c r="AB155" s="180">
        <f t="shared" si="42"/>
        <v>18.189896702859361</v>
      </c>
      <c r="AC155" s="180">
        <f t="shared" si="43"/>
        <v>0</v>
      </c>
      <c r="AE155" s="182"/>
      <c r="AF155" s="178"/>
      <c r="AG155" s="182"/>
      <c r="AH155" s="178"/>
      <c r="AJ155" s="182">
        <f>IF(AJ$135="Y",IFERROR(M155*($F$8/SUMIF($H$5:$H$16,"Y",$F$5:$F$16))*$F$21*'Emissions Factors'!B31,""),"")</f>
        <v>1.9032875918164158</v>
      </c>
      <c r="AK155" s="180">
        <f>IF(AK$135="Y",IFERROR($M155*(SUM($F$5,$F$6,$F$7,$F$9)/SUMIF($H$5:$H$16,"Y",$F$5:$F$16))*('Emissions Factors'!$T$143*$F$22)/10^6,""),"")</f>
        <v>22.030394619755935</v>
      </c>
      <c r="AL155" s="180"/>
      <c r="AM155" s="180"/>
      <c r="AO155" s="180">
        <f t="shared" si="44"/>
        <v>23.93368221157235</v>
      </c>
      <c r="AP155" s="180">
        <f t="shared" si="45"/>
        <v>0</v>
      </c>
      <c r="AS155" s="430"/>
      <c r="AT155" s="478">
        <v>2034</v>
      </c>
      <c r="AU155" s="479">
        <f t="shared" si="46"/>
        <v>42.123578914431711</v>
      </c>
      <c r="AV155" s="479">
        <f t="shared" si="46"/>
        <v>0</v>
      </c>
      <c r="AW155" s="430"/>
      <c r="AX155" s="479">
        <f t="shared" si="38"/>
        <v>11.966841105786175</v>
      </c>
      <c r="AY155" s="479">
        <f t="shared" si="38"/>
        <v>0</v>
      </c>
      <c r="AZ155" s="430"/>
      <c r="BA155" s="479">
        <f t="shared" si="39"/>
        <v>30.156737808645538</v>
      </c>
      <c r="BB155" s="479">
        <f t="shared" si="39"/>
        <v>0</v>
      </c>
      <c r="BC155" s="484"/>
      <c r="BE155" s="480">
        <f t="shared" si="40"/>
        <v>0.28408889781410018</v>
      </c>
      <c r="BF155" s="480" t="str">
        <f t="shared" si="41"/>
        <v/>
      </c>
    </row>
    <row r="156" spans="1:58" ht="15.6" x14ac:dyDescent="0.3">
      <c r="A156" s="152">
        <v>2035</v>
      </c>
      <c r="B156" s="178"/>
      <c r="C156" s="182"/>
      <c r="D156" s="183"/>
      <c r="E156" s="179">
        <f t="shared" si="47"/>
        <v>106.15274665515788</v>
      </c>
      <c r="F156" s="183">
        <f t="shared" si="48"/>
        <v>10.999564550537315</v>
      </c>
      <c r="G156" s="247">
        <f t="shared" si="35"/>
        <v>0.18077768154632823</v>
      </c>
      <c r="H156" s="246"/>
      <c r="I156" s="417"/>
      <c r="J156" s="178"/>
      <c r="K156" s="182"/>
      <c r="L156" s="183"/>
      <c r="M156" s="179">
        <f t="shared" si="36"/>
        <v>140.64068733155216</v>
      </c>
      <c r="N156" s="183">
        <f t="shared" si="49"/>
        <v>15.441184601343053</v>
      </c>
      <c r="O156" s="247">
        <f t="shared" si="37"/>
        <v>0.23951049961498747</v>
      </c>
      <c r="P156" s="246"/>
      <c r="Q156" s="417"/>
      <c r="R156" s="182"/>
      <c r="S156" s="178"/>
      <c r="T156" s="182"/>
      <c r="U156" s="178"/>
      <c r="V156" s="506"/>
      <c r="W156" s="439">
        <f>IF(W$135="Y",IFERROR(E156*($F$8/SUMIF($H$5:$H$16,"Y",$F$5:$F$16))*$F$21*'Emissions Factors'!B32,""),"")</f>
        <v>1.6049706017241887</v>
      </c>
      <c r="X156" s="441">
        <f>IF(X$135="Y",IFERROR($E156*(SUM($F$5,$F$6,$F$7,$F$9)/SUMIF($H$5:$H$16,"Y",$F$5:$F$16))*('Emissions Factors'!$T$143*$F$22)/10^6,""),"")</f>
        <v>18.67888328457261</v>
      </c>
      <c r="Y156" s="180"/>
      <c r="Z156" s="180"/>
      <c r="AA156" s="509"/>
      <c r="AB156" s="180">
        <f t="shared" si="42"/>
        <v>20.2838538862968</v>
      </c>
      <c r="AC156" s="180">
        <f t="shared" si="43"/>
        <v>0</v>
      </c>
      <c r="AE156" s="182"/>
      <c r="AF156" s="178"/>
      <c r="AG156" s="182"/>
      <c r="AH156" s="178"/>
      <c r="AJ156" s="182">
        <f>IF(AJ$135="Y",IFERROR(M156*($F$8/SUMIF($H$5:$H$16,"Y",$F$5:$F$16))*$F$21*'Emissions Factors'!B32,""),"")</f>
        <v>2.1264091197442134</v>
      </c>
      <c r="AK156" s="180">
        <f>IF(AK$135="Y",IFERROR($M156*(SUM($F$5,$F$6,$F$7,$F$9)/SUMIF($H$5:$H$16,"Y",$F$5:$F$16))*('Emissions Factors'!$T$143*$F$22)/10^6,""),"")</f>
        <v>24.747461243392021</v>
      </c>
      <c r="AL156" s="180"/>
      <c r="AM156" s="180"/>
      <c r="AO156" s="180">
        <f t="shared" si="44"/>
        <v>26.873870363136234</v>
      </c>
      <c r="AP156" s="180">
        <f t="shared" si="45"/>
        <v>0</v>
      </c>
      <c r="AS156" s="430"/>
      <c r="AT156" s="478">
        <v>2035</v>
      </c>
      <c r="AU156" s="479">
        <f t="shared" si="46"/>
        <v>47.157724249433031</v>
      </c>
      <c r="AV156" s="479">
        <f t="shared" si="46"/>
        <v>0</v>
      </c>
      <c r="AW156" s="430"/>
      <c r="AX156" s="479">
        <f t="shared" si="38"/>
        <v>13.436935181568117</v>
      </c>
      <c r="AY156" s="479">
        <f t="shared" si="38"/>
        <v>0</v>
      </c>
      <c r="AZ156" s="430"/>
      <c r="BA156" s="479">
        <f t="shared" si="39"/>
        <v>33.720789067864914</v>
      </c>
      <c r="BB156" s="479">
        <f t="shared" si="39"/>
        <v>0</v>
      </c>
      <c r="BC156" s="484"/>
      <c r="BE156" s="480">
        <f t="shared" si="40"/>
        <v>0.28493603954456448</v>
      </c>
      <c r="BF156" s="480" t="str">
        <f t="shared" si="41"/>
        <v/>
      </c>
    </row>
    <row r="157" spans="1:58" ht="15.6" x14ac:dyDescent="0.3">
      <c r="A157" s="152">
        <v>2036</v>
      </c>
      <c r="B157" s="178"/>
      <c r="C157" s="182"/>
      <c r="D157" s="183"/>
      <c r="E157" s="179">
        <f t="shared" si="47"/>
        <v>117.39094216071911</v>
      </c>
      <c r="F157" s="183">
        <f t="shared" si="48"/>
        <v>11.238195505561222</v>
      </c>
      <c r="G157" s="247">
        <f t="shared" si="35"/>
        <v>0.18162300144246299</v>
      </c>
      <c r="H157" s="246"/>
      <c r="I157" s="417"/>
      <c r="J157" s="178"/>
      <c r="K157" s="182"/>
      <c r="L157" s="183"/>
      <c r="M157" s="179">
        <f t="shared" si="36"/>
        <v>156.60542210552171</v>
      </c>
      <c r="N157" s="183">
        <f t="shared" si="49"/>
        <v>15.964734773969553</v>
      </c>
      <c r="O157" s="247">
        <f t="shared" si="37"/>
        <v>0.24229422033283782</v>
      </c>
      <c r="P157" s="246"/>
      <c r="Q157" s="417"/>
      <c r="R157" s="182"/>
      <c r="S157" s="178"/>
      <c r="T157" s="182"/>
      <c r="U157" s="178"/>
      <c r="V157" s="506"/>
      <c r="W157" s="439">
        <f>IF(W$135="Y",IFERROR(E157*($F$8/SUMIF($H$5:$H$16,"Y",$F$5:$F$16))*$F$21*'Emissions Factors'!B33,""),"")</f>
        <v>1.7656922089364449</v>
      </c>
      <c r="X157" s="441">
        <f>IF(X$135="Y",IFERROR($E157*(SUM($F$5,$F$6,$F$7,$F$9)/SUMIF($H$5:$H$16,"Y",$F$5:$F$16))*('Emissions Factors'!$T$143*$F$22)/10^6,""),"")</f>
        <v>20.656382207511562</v>
      </c>
      <c r="Y157" s="180"/>
      <c r="Z157" s="180"/>
      <c r="AA157" s="509"/>
      <c r="AB157" s="180">
        <f t="shared" si="42"/>
        <v>22.422074416448009</v>
      </c>
      <c r="AC157" s="180">
        <f t="shared" si="43"/>
        <v>0</v>
      </c>
      <c r="AE157" s="182"/>
      <c r="AF157" s="178"/>
      <c r="AG157" s="182"/>
      <c r="AH157" s="178"/>
      <c r="AJ157" s="182">
        <f>IF(AJ$135="Y",IFERROR(M157*($F$8/SUMIF($H$5:$H$16,"Y",$F$5:$F$16))*$F$21*'Emissions Factors'!B33,""),"")</f>
        <v>2.3555222285408153</v>
      </c>
      <c r="AK157" s="180">
        <f>IF(AK$135="Y",IFERROR($M157*(SUM($F$5,$F$6,$F$7,$F$9)/SUMIF($H$5:$H$16,"Y",$F$5:$F$16))*('Emissions Factors'!$T$143*$F$22)/10^6,""),"")</f>
        <v>27.556652968603455</v>
      </c>
      <c r="AL157" s="180"/>
      <c r="AM157" s="180"/>
      <c r="AO157" s="180">
        <f t="shared" si="44"/>
        <v>29.912175197144272</v>
      </c>
      <c r="AP157" s="180">
        <f t="shared" si="45"/>
        <v>0</v>
      </c>
      <c r="AS157" s="430"/>
      <c r="AT157" s="478">
        <v>2036</v>
      </c>
      <c r="AU157" s="479">
        <f t="shared" si="46"/>
        <v>52.334249613592277</v>
      </c>
      <c r="AV157" s="479">
        <f t="shared" si="46"/>
        <v>0</v>
      </c>
      <c r="AW157" s="430"/>
      <c r="AX157" s="479">
        <f t="shared" si="38"/>
        <v>14.956087598572136</v>
      </c>
      <c r="AY157" s="479">
        <f t="shared" si="38"/>
        <v>0</v>
      </c>
      <c r="AZ157" s="430"/>
      <c r="BA157" s="479">
        <f t="shared" si="39"/>
        <v>37.378162015020138</v>
      </c>
      <c r="BB157" s="479">
        <f t="shared" si="39"/>
        <v>0</v>
      </c>
      <c r="BC157" s="484"/>
      <c r="BE157" s="480">
        <f t="shared" si="40"/>
        <v>0.28578010975603507</v>
      </c>
      <c r="BF157" s="480" t="str">
        <f t="shared" si="41"/>
        <v/>
      </c>
    </row>
    <row r="158" spans="1:58" ht="15.6" x14ac:dyDescent="0.3">
      <c r="A158" s="152">
        <v>2037</v>
      </c>
      <c r="B158" s="178"/>
      <c r="C158" s="182"/>
      <c r="D158" s="183"/>
      <c r="E158" s="179">
        <f t="shared" si="47"/>
        <v>128.90838963738307</v>
      </c>
      <c r="F158" s="183">
        <f t="shared" si="48"/>
        <v>11.517447476663961</v>
      </c>
      <c r="G158" s="247">
        <f t="shared" si="35"/>
        <v>0.18244774947197157</v>
      </c>
      <c r="H158" s="246"/>
      <c r="I158" s="417"/>
      <c r="J158" s="178"/>
      <c r="K158" s="182"/>
      <c r="L158" s="183"/>
      <c r="M158" s="179">
        <f t="shared" si="36"/>
        <v>173.15545320469758</v>
      </c>
      <c r="N158" s="183">
        <f t="shared" si="49"/>
        <v>16.550031099175868</v>
      </c>
      <c r="O158" s="247">
        <f t="shared" si="37"/>
        <v>0.24507189047092728</v>
      </c>
      <c r="P158" s="246"/>
      <c r="Q158" s="417"/>
      <c r="R158" s="182"/>
      <c r="S158" s="178"/>
      <c r="T158" s="182"/>
      <c r="U158" s="178"/>
      <c r="V158" s="506"/>
      <c r="W158" s="439">
        <f>IF(W$135="Y",IFERROR(E158*($F$8/SUMIF($H$5:$H$16,"Y",$F$5:$F$16))*$F$21*'Emissions Factors'!B34,""),"")</f>
        <v>1.928589109720988</v>
      </c>
      <c r="X158" s="441">
        <f>IF(X$135="Y",IFERROR($E158*(SUM($F$5,$F$6,$F$7,$F$9)/SUMIF($H$5:$H$16,"Y",$F$5:$F$16))*('Emissions Factors'!$T$143*$F$22)/10^6,""),"")</f>
        <v>22.683018954384174</v>
      </c>
      <c r="Y158" s="180"/>
      <c r="Z158" s="180"/>
      <c r="AA158" s="509"/>
      <c r="AB158" s="180">
        <f t="shared" si="42"/>
        <v>24.611608064105162</v>
      </c>
      <c r="AC158" s="180">
        <f t="shared" si="43"/>
        <v>0</v>
      </c>
      <c r="AE158" s="182"/>
      <c r="AF158" s="178"/>
      <c r="AG158" s="182"/>
      <c r="AH158" s="178"/>
      <c r="AJ158" s="182">
        <f>IF(AJ$135="Y",IFERROR(M158*($F$8/SUMIF($H$5:$H$16,"Y",$F$5:$F$16))*$F$21*'Emissions Factors'!B34,""),"")</f>
        <v>2.5905662329563275</v>
      </c>
      <c r="AK158" s="180">
        <f>IF(AK$135="Y",IFERROR($M158*(SUM($F$5,$F$6,$F$7,$F$9)/SUMIF($H$5:$H$16,"Y",$F$5:$F$16))*('Emissions Factors'!$T$143*$F$22)/10^6,""),"")</f>
        <v>30.468834791479839</v>
      </c>
      <c r="AL158" s="180"/>
      <c r="AM158" s="180"/>
      <c r="AO158" s="180">
        <f t="shared" si="44"/>
        <v>33.05940102443617</v>
      </c>
      <c r="AP158" s="180">
        <f t="shared" si="45"/>
        <v>0</v>
      </c>
      <c r="AS158" s="430"/>
      <c r="AT158" s="478">
        <v>2037</v>
      </c>
      <c r="AU158" s="479">
        <f t="shared" si="46"/>
        <v>57.671009088541332</v>
      </c>
      <c r="AV158" s="479">
        <f t="shared" si="46"/>
        <v>0</v>
      </c>
      <c r="AW158" s="430"/>
      <c r="AX158" s="479">
        <f t="shared" si="38"/>
        <v>16.529700512218085</v>
      </c>
      <c r="AY158" s="479">
        <f t="shared" si="38"/>
        <v>0</v>
      </c>
      <c r="AZ158" s="430"/>
      <c r="BA158" s="479">
        <f t="shared" si="39"/>
        <v>41.141308576323247</v>
      </c>
      <c r="BB158" s="479">
        <f t="shared" si="39"/>
        <v>0</v>
      </c>
      <c r="BC158" s="484"/>
      <c r="BE158" s="480">
        <f t="shared" si="40"/>
        <v>0.28662062227557544</v>
      </c>
      <c r="BF158" s="480" t="str">
        <f t="shared" si="41"/>
        <v/>
      </c>
    </row>
    <row r="159" spans="1:58" ht="15.6" x14ac:dyDescent="0.3">
      <c r="A159" s="152">
        <v>2038</v>
      </c>
      <c r="B159" s="178"/>
      <c r="C159" s="182"/>
      <c r="D159" s="183"/>
      <c r="E159" s="179">
        <f t="shared" si="47"/>
        <v>140.77240274028844</v>
      </c>
      <c r="F159" s="183">
        <f t="shared" si="48"/>
        <v>11.864013102905375</v>
      </c>
      <c r="G159" s="247">
        <f t="shared" si="35"/>
        <v>0.18327078882697989</v>
      </c>
      <c r="H159" s="246"/>
      <c r="I159" s="417"/>
      <c r="J159" s="178"/>
      <c r="K159" s="182"/>
      <c r="L159" s="183"/>
      <c r="M159" s="179">
        <f t="shared" si="36"/>
        <v>190.39040668079667</v>
      </c>
      <c r="N159" s="183">
        <f t="shared" si="49"/>
        <v>17.234953476099093</v>
      </c>
      <c r="O159" s="247">
        <f t="shared" si="37"/>
        <v>0.24786818537049013</v>
      </c>
      <c r="P159" s="246"/>
      <c r="Q159" s="417"/>
      <c r="R159" s="182"/>
      <c r="S159" s="178"/>
      <c r="T159" s="182"/>
      <c r="U159" s="178"/>
      <c r="V159" s="506"/>
      <c r="W159" s="439">
        <f>IF(W$135="Y",IFERROR(E159*($F$8/SUMIF($H$5:$H$16,"Y",$F$5:$F$16))*$F$21*'Emissions Factors'!B35,""),"")</f>
        <v>2.0948066370159353</v>
      </c>
      <c r="X159" s="441">
        <f>IF(X$135="Y",IFERROR($E159*(SUM($F$5,$F$6,$F$7,$F$9)/SUMIF($H$5:$H$16,"Y",$F$5:$F$16))*('Emissions Factors'!$T$143*$F$22)/10^6,""),"")</f>
        <v>24.770638191931635</v>
      </c>
      <c r="Y159" s="180"/>
      <c r="Z159" s="180"/>
      <c r="AA159" s="509"/>
      <c r="AB159" s="180">
        <f t="shared" si="42"/>
        <v>26.86544482894757</v>
      </c>
      <c r="AC159" s="180">
        <f t="shared" si="43"/>
        <v>0</v>
      </c>
      <c r="AE159" s="182"/>
      <c r="AF159" s="178"/>
      <c r="AG159" s="182"/>
      <c r="AH159" s="178"/>
      <c r="AJ159" s="182">
        <f>IF(AJ$135="Y",IFERROR(M159*($F$8/SUMIF($H$5:$H$16,"Y",$F$5:$F$16))*$F$21*'Emissions Factors'!B35,""),"")</f>
        <v>2.8331624649108322</v>
      </c>
      <c r="AK159" s="180">
        <f>IF(AK$135="Y",IFERROR($M159*(SUM($F$5,$F$6,$F$7,$F$9)/SUMIF($H$5:$H$16,"Y",$F$5:$F$16))*('Emissions Factors'!$T$143*$F$22)/10^6,""),"")</f>
        <v>33.5015371429404</v>
      </c>
      <c r="AL159" s="180"/>
      <c r="AM159" s="180"/>
      <c r="AO159" s="180">
        <f t="shared" si="44"/>
        <v>36.334699607851235</v>
      </c>
      <c r="AP159" s="180">
        <f t="shared" si="45"/>
        <v>0</v>
      </c>
      <c r="AS159" s="430"/>
      <c r="AT159" s="478">
        <v>2038</v>
      </c>
      <c r="AU159" s="479">
        <f t="shared" si="46"/>
        <v>63.200144436798809</v>
      </c>
      <c r="AV159" s="479">
        <f t="shared" si="46"/>
        <v>0</v>
      </c>
      <c r="AW159" s="430"/>
      <c r="AX159" s="479">
        <f t="shared" si="38"/>
        <v>18.167349803925617</v>
      </c>
      <c r="AY159" s="479">
        <f t="shared" si="38"/>
        <v>0</v>
      </c>
      <c r="AZ159" s="430"/>
      <c r="BA159" s="479">
        <f t="shared" si="39"/>
        <v>45.032794632873191</v>
      </c>
      <c r="BB159" s="479">
        <f t="shared" si="39"/>
        <v>0</v>
      </c>
      <c r="BC159" s="484"/>
      <c r="BE159" s="480">
        <f t="shared" si="40"/>
        <v>0.28745740956483523</v>
      </c>
      <c r="BF159" s="480" t="str">
        <f t="shared" si="41"/>
        <v/>
      </c>
    </row>
    <row r="160" spans="1:58" ht="15.6" x14ac:dyDescent="0.3">
      <c r="A160" s="152">
        <v>2039</v>
      </c>
      <c r="B160" s="178"/>
      <c r="C160" s="182"/>
      <c r="D160" s="183"/>
      <c r="E160" s="179">
        <f t="shared" si="47"/>
        <v>153.08966533778616</v>
      </c>
      <c r="F160" s="183">
        <f t="shared" si="48"/>
        <v>12.317262597497717</v>
      </c>
      <c r="G160" s="247">
        <f t="shared" si="35"/>
        <v>0.18410562536377528</v>
      </c>
      <c r="H160" s="246"/>
      <c r="I160" s="417"/>
      <c r="J160" s="178"/>
      <c r="K160" s="182"/>
      <c r="L160" s="183"/>
      <c r="M160" s="179">
        <f t="shared" si="36"/>
        <v>208.46704129316666</v>
      </c>
      <c r="N160" s="183">
        <f t="shared" si="49"/>
        <v>18.076634612369986</v>
      </c>
      <c r="O160" s="247">
        <f t="shared" si="37"/>
        <v>0.25070245545530845</v>
      </c>
      <c r="P160" s="246"/>
      <c r="Q160" s="417"/>
      <c r="R160" s="182"/>
      <c r="S160" s="178"/>
      <c r="T160" s="182"/>
      <c r="U160" s="178"/>
      <c r="V160" s="506"/>
      <c r="W160" s="439">
        <f>IF(W$135="Y",IFERROR(E160*($F$8/SUMIF($H$5:$H$16,"Y",$F$5:$F$16))*$F$21*'Emissions Factors'!B36,""),"")</f>
        <v>2.2657705923027076</v>
      </c>
      <c r="X160" s="441">
        <f>IF(X$135="Y",IFERROR($E160*(SUM($F$5,$F$6,$F$7,$F$9)/SUMIF($H$5:$H$16,"Y",$F$5:$F$16))*('Emissions Factors'!$T$143*$F$22)/10^6,""),"")</f>
        <v>26.938012260842854</v>
      </c>
      <c r="Y160" s="180"/>
      <c r="Z160" s="180"/>
      <c r="AA160" s="509"/>
      <c r="AB160" s="180">
        <f t="shared" si="42"/>
        <v>29.203782853145562</v>
      </c>
      <c r="AC160" s="180">
        <f t="shared" si="43"/>
        <v>0</v>
      </c>
      <c r="AE160" s="182"/>
      <c r="AF160" s="178"/>
      <c r="AG160" s="182"/>
      <c r="AH160" s="178"/>
      <c r="AJ160" s="182">
        <f>IF(AJ$135="Y",IFERROR(M160*($F$8/SUMIF($H$5:$H$16,"Y",$F$5:$F$16))*$F$21*'Emissions Factors'!B36,""),"")</f>
        <v>3.0853715081564479</v>
      </c>
      <c r="AK160" s="180">
        <f>IF(AK$135="Y",IFERROR($M160*(SUM($F$5,$F$6,$F$7,$F$9)/SUMIF($H$5:$H$16,"Y",$F$5:$F$16))*('Emissions Factors'!$T$143*$F$22)/10^6,""),"")</f>
        <v>36.682343657530176</v>
      </c>
      <c r="AL160" s="180"/>
      <c r="AM160" s="180"/>
      <c r="AO160" s="180">
        <f t="shared" si="44"/>
        <v>39.767715165686624</v>
      </c>
      <c r="AP160" s="180">
        <f t="shared" si="45"/>
        <v>0</v>
      </c>
      <c r="AS160" s="430"/>
      <c r="AT160" s="478">
        <v>2039</v>
      </c>
      <c r="AU160" s="479">
        <f t="shared" si="46"/>
        <v>68.971498018832193</v>
      </c>
      <c r="AV160" s="479">
        <f t="shared" si="46"/>
        <v>0</v>
      </c>
      <c r="AW160" s="430"/>
      <c r="AX160" s="479">
        <f t="shared" si="38"/>
        <v>19.883857582843312</v>
      </c>
      <c r="AY160" s="479">
        <f t="shared" si="38"/>
        <v>0</v>
      </c>
      <c r="AZ160" s="430"/>
      <c r="BA160" s="479">
        <f t="shared" si="39"/>
        <v>49.087640435988881</v>
      </c>
      <c r="BB160" s="479">
        <f t="shared" si="39"/>
        <v>0</v>
      </c>
      <c r="BC160" s="484"/>
      <c r="BE160" s="480">
        <f t="shared" si="40"/>
        <v>0.28829093399441841</v>
      </c>
      <c r="BF160" s="480" t="str">
        <f t="shared" si="41"/>
        <v/>
      </c>
    </row>
    <row r="161" spans="1:58" ht="15.6" x14ac:dyDescent="0.3">
      <c r="A161" s="152">
        <v>2040</v>
      </c>
      <c r="B161" s="178"/>
      <c r="C161" s="182"/>
      <c r="D161" s="183"/>
      <c r="E161" s="179">
        <f t="shared" si="47"/>
        <v>165.90726610423314</v>
      </c>
      <c r="F161" s="183">
        <f t="shared" si="48"/>
        <v>12.817600766446986</v>
      </c>
      <c r="G161" s="247">
        <f t="shared" si="35"/>
        <v>0.18498101174759621</v>
      </c>
      <c r="H161" s="246"/>
      <c r="I161" s="417"/>
      <c r="J161" s="178"/>
      <c r="K161" s="182"/>
      <c r="L161" s="183"/>
      <c r="M161" s="179">
        <f t="shared" si="36"/>
        <v>227.4769090007276</v>
      </c>
      <c r="N161" s="183">
        <f t="shared" si="49"/>
        <v>19.009867707560943</v>
      </c>
      <c r="O161" s="247">
        <f t="shared" si="37"/>
        <v>0.25362908909446985</v>
      </c>
      <c r="P161" s="246"/>
      <c r="Q161" s="417"/>
      <c r="R161" s="182"/>
      <c r="S161" s="178"/>
      <c r="T161" s="182"/>
      <c r="U161" s="178"/>
      <c r="V161" s="506"/>
      <c r="W161" s="439">
        <f>IF(W$135="Y",IFERROR(E161*($F$8/SUMIF($H$5:$H$16,"Y",$F$5:$F$16))*$F$21*'Emissions Factors'!B37,""),"")</f>
        <v>2.4411365395685243</v>
      </c>
      <c r="X161" s="441">
        <f>IF(X$135="Y",IFERROR($E161*(SUM($F$5,$F$6,$F$7,$F$9)/SUMIF($H$5:$H$16,"Y",$F$5:$F$16))*('Emissions Factors'!$T$143*$F$22)/10^6,""),"")</f>
        <v>29.193426993374207</v>
      </c>
      <c r="Y161" s="180"/>
      <c r="Z161" s="180"/>
      <c r="AA161" s="509"/>
      <c r="AB161" s="180">
        <f t="shared" si="42"/>
        <v>31.634563532942732</v>
      </c>
      <c r="AC161" s="180">
        <f t="shared" si="43"/>
        <v>0</v>
      </c>
      <c r="AE161" s="182"/>
      <c r="AF161" s="178"/>
      <c r="AG161" s="182"/>
      <c r="AH161" s="178"/>
      <c r="AJ161" s="182">
        <f>IF(AJ$135="Y",IFERROR(M161*($F$8/SUMIF($H$5:$H$16,"Y",$F$5:$F$16))*$F$21*'Emissions Factors'!B37,""),"")</f>
        <v>3.3470637393355953</v>
      </c>
      <c r="AK161" s="180">
        <f>IF(AK$135="Y",IFERROR($M161*(SUM($F$5,$F$6,$F$7,$F$9)/SUMIF($H$5:$H$16,"Y",$F$5:$F$16))*('Emissions Factors'!$T$143*$F$22)/10^6,""),"")</f>
        <v>40.027364030090105</v>
      </c>
      <c r="AL161" s="180"/>
      <c r="AM161" s="180"/>
      <c r="AO161" s="180">
        <f t="shared" si="44"/>
        <v>43.374427769425701</v>
      </c>
      <c r="AP161" s="180">
        <f t="shared" si="45"/>
        <v>0</v>
      </c>
      <c r="AS161" s="430"/>
      <c r="AT161" s="478">
        <v>2040</v>
      </c>
      <c r="AU161" s="479">
        <f t="shared" si="46"/>
        <v>75.008991302368429</v>
      </c>
      <c r="AV161" s="479">
        <f t="shared" si="46"/>
        <v>0</v>
      </c>
      <c r="AW161" s="430"/>
      <c r="AX161" s="479">
        <f t="shared" si="38"/>
        <v>21.68721388471285</v>
      </c>
      <c r="AY161" s="479">
        <f t="shared" si="38"/>
        <v>0</v>
      </c>
      <c r="AZ161" s="430"/>
      <c r="BA161" s="479">
        <f t="shared" si="39"/>
        <v>53.321777417655582</v>
      </c>
      <c r="BB161" s="479">
        <f t="shared" si="39"/>
        <v>0</v>
      </c>
      <c r="BC161" s="484"/>
      <c r="BE161" s="480">
        <f t="shared" si="40"/>
        <v>0.28912818994311779</v>
      </c>
      <c r="BF161" s="480" t="str">
        <f t="shared" si="41"/>
        <v/>
      </c>
    </row>
    <row r="162" spans="1:58" ht="15.6" x14ac:dyDescent="0.3">
      <c r="A162" s="152">
        <v>2041</v>
      </c>
      <c r="B162" s="178"/>
      <c r="C162" s="182"/>
      <c r="D162" s="183"/>
      <c r="E162" s="179">
        <f t="shared" si="47"/>
        <v>179.40495490197154</v>
      </c>
      <c r="F162" s="183">
        <f t="shared" si="48"/>
        <v>13.497688797738391</v>
      </c>
      <c r="G162" s="247">
        <f t="shared" si="35"/>
        <v>0.18583519996427569</v>
      </c>
      <c r="H162" s="246"/>
      <c r="I162" s="417"/>
      <c r="J162" s="178"/>
      <c r="K162" s="182"/>
      <c r="L162" s="183"/>
      <c r="M162" s="179">
        <f>IFERROR(IF($G$19="Y",$F$19,$AB107)*(SUMIF($H$5:$H$16,"Y",$F$5:$F$16)*((Z56+N56)-B56)),0)</f>
        <v>247.6462358360175</v>
      </c>
      <c r="N162" s="183">
        <f t="shared" si="49"/>
        <v>20.169326835289894</v>
      </c>
      <c r="O162" s="247">
        <f t="shared" si="37"/>
        <v>0.256522389708428</v>
      </c>
      <c r="P162" s="246"/>
      <c r="Q162" s="417"/>
      <c r="R162" s="182"/>
      <c r="S162" s="178"/>
      <c r="T162" s="182"/>
      <c r="U162" s="178"/>
      <c r="V162" s="506"/>
      <c r="W162" s="439">
        <f>IF(W$135="Y",IFERROR(E162*($F$8/SUMIF($H$5:$H$16,"Y",$F$5:$F$16))*$F$21*'Emissions Factors'!B38,""),"")</f>
        <v>2.6263384464687962</v>
      </c>
      <c r="X162" s="441">
        <f>IF(X$135="Y",IFERROR($E162*(SUM($F$5,$F$6,$F$7,$F$9)/SUMIF($H$5:$H$16,"Y",$F$5:$F$16))*('Emissions Factors'!$T$143*$F$22)/10^6,""),"")</f>
        <v>31.568511591829942</v>
      </c>
      <c r="Y162" s="180"/>
      <c r="Z162" s="180"/>
      <c r="AA162" s="509"/>
      <c r="AB162" s="180">
        <f t="shared" si="42"/>
        <v>34.194850038298739</v>
      </c>
      <c r="AC162" s="180">
        <f t="shared" si="43"/>
        <v>0</v>
      </c>
      <c r="AE162" s="182"/>
      <c r="AF162" s="178"/>
      <c r="AG162" s="182"/>
      <c r="AH162" s="178"/>
      <c r="AJ162" s="182">
        <f>IF(AJ$135="Y",IFERROR(M162*($F$8/SUMIF($H$5:$H$16,"Y",$F$5:$F$16))*$F$21*'Emissions Factors'!B38,""),"")</f>
        <v>3.6253337075043288</v>
      </c>
      <c r="AK162" s="180">
        <f>IF(AK$135="Y",IFERROR($M162*(SUM($F$5,$F$6,$F$7,$F$9)/SUMIF($H$5:$H$16,"Y",$F$5:$F$16))*('Emissions Factors'!$T$143*$F$22)/10^6,""),"")</f>
        <v>43.576405517529309</v>
      </c>
      <c r="AL162" s="180"/>
      <c r="AM162" s="180"/>
      <c r="AO162" s="180">
        <f t="shared" si="44"/>
        <v>47.201739225033641</v>
      </c>
      <c r="AP162" s="180">
        <f t="shared" si="45"/>
        <v>0</v>
      </c>
      <c r="AS162" s="430"/>
      <c r="AT162" s="478">
        <v>2041</v>
      </c>
      <c r="AU162" s="479">
        <f t="shared" si="46"/>
        <v>81.396589263332373</v>
      </c>
      <c r="AV162" s="479">
        <f t="shared" si="46"/>
        <v>0</v>
      </c>
      <c r="AW162" s="430"/>
      <c r="AX162" s="479">
        <f t="shared" si="38"/>
        <v>23.600869612516821</v>
      </c>
      <c r="AY162" s="479">
        <f t="shared" si="38"/>
        <v>0</v>
      </c>
      <c r="AZ162" s="430"/>
      <c r="BA162" s="479">
        <f t="shared" si="39"/>
        <v>57.795719650815556</v>
      </c>
      <c r="BB162" s="479">
        <f t="shared" si="39"/>
        <v>0</v>
      </c>
      <c r="BC162" s="484"/>
      <c r="BE162" s="480">
        <f t="shared" si="40"/>
        <v>0.28994912226805758</v>
      </c>
      <c r="BF162" s="480" t="str">
        <f t="shared" si="41"/>
        <v/>
      </c>
    </row>
    <row r="163" spans="1:58" ht="15.6" x14ac:dyDescent="0.3">
      <c r="A163" s="152">
        <v>2042</v>
      </c>
      <c r="B163" s="178"/>
      <c r="C163" s="182"/>
      <c r="D163" s="183"/>
      <c r="E163" s="179">
        <f t="shared" si="47"/>
        <v>193.46543344267982</v>
      </c>
      <c r="F163" s="183">
        <f t="shared" si="48"/>
        <v>14.060478540708289</v>
      </c>
      <c r="G163" s="247">
        <f t="shared" si="35"/>
        <v>0.18673405210826755</v>
      </c>
      <c r="H163" s="246"/>
      <c r="I163" s="417"/>
      <c r="J163" s="178"/>
      <c r="K163" s="182"/>
      <c r="L163" s="183"/>
      <c r="M163" s="179">
        <f t="shared" si="36"/>
        <v>268.868599146473</v>
      </c>
      <c r="N163" s="183">
        <f t="shared" si="49"/>
        <v>21.222363310455506</v>
      </c>
      <c r="O163" s="247">
        <f t="shared" si="37"/>
        <v>0.25951366148397642</v>
      </c>
      <c r="P163" s="246"/>
      <c r="Q163" s="417"/>
      <c r="R163" s="182"/>
      <c r="S163" s="178"/>
      <c r="T163" s="182"/>
      <c r="U163" s="178"/>
      <c r="V163" s="506"/>
      <c r="W163" s="439">
        <f>IF(W$135="Y",IFERROR(E163*($F$8/SUMIF($H$5:$H$16,"Y",$F$5:$F$16))*$F$21*'Emissions Factors'!B39,""),"")</f>
        <v>2.8165331330549397</v>
      </c>
      <c r="X163" s="441">
        <f>IF(X$135="Y",IFERROR($E163*(SUM($F$5,$F$6,$F$7,$F$9)/SUMIF($H$5:$H$16,"Y",$F$5:$F$16))*('Emissions Factors'!$T$143*$F$22)/10^6,""),"")</f>
        <v>34.042625977586781</v>
      </c>
      <c r="Y163" s="180"/>
      <c r="Z163" s="180"/>
      <c r="AA163" s="509"/>
      <c r="AB163" s="180">
        <f t="shared" si="42"/>
        <v>36.85915911064172</v>
      </c>
      <c r="AC163" s="180">
        <f t="shared" si="43"/>
        <v>0</v>
      </c>
      <c r="AE163" s="182"/>
      <c r="AF163" s="178"/>
      <c r="AG163" s="182"/>
      <c r="AH163" s="178"/>
      <c r="AJ163" s="182">
        <f>IF(AJ$135="Y",IFERROR(M163*($F$8/SUMIF($H$5:$H$16,"Y",$F$5:$F$16))*$F$21*'Emissions Factors'!B39,""),"")</f>
        <v>3.9142771112053736</v>
      </c>
      <c r="AK163" s="180">
        <f>IF(AK$135="Y",IFERROR($M163*(SUM($F$5,$F$6,$F$7,$F$9)/SUMIF($H$5:$H$16,"Y",$F$5:$F$16))*('Emissions Factors'!$T$143*$F$22)/10^6,""),"")</f>
        <v>47.310741743294159</v>
      </c>
      <c r="AL163" s="180"/>
      <c r="AM163" s="180"/>
      <c r="AO163" s="180">
        <f t="shared" si="44"/>
        <v>51.225018854499531</v>
      </c>
      <c r="AP163" s="180">
        <f t="shared" si="45"/>
        <v>0</v>
      </c>
      <c r="AS163" s="430"/>
      <c r="AT163" s="478">
        <v>2042</v>
      </c>
      <c r="AU163" s="479">
        <f t="shared" si="46"/>
        <v>88.084177965141251</v>
      </c>
      <c r="AV163" s="479">
        <f t="shared" si="46"/>
        <v>0</v>
      </c>
      <c r="AW163" s="430"/>
      <c r="AX163" s="479">
        <f t="shared" si="38"/>
        <v>25.612509427249766</v>
      </c>
      <c r="AY163" s="479">
        <f t="shared" si="38"/>
        <v>0</v>
      </c>
      <c r="AZ163" s="430"/>
      <c r="BA163" s="479">
        <f t="shared" si="39"/>
        <v>62.471668537891489</v>
      </c>
      <c r="BB163" s="479">
        <f t="shared" si="39"/>
        <v>0</v>
      </c>
      <c r="BC163" s="484"/>
      <c r="BE163" s="480">
        <f t="shared" si="40"/>
        <v>0.29077309931172601</v>
      </c>
      <c r="BF163" s="480" t="str">
        <f t="shared" si="41"/>
        <v/>
      </c>
    </row>
    <row r="164" spans="1:58" ht="15.6" x14ac:dyDescent="0.3">
      <c r="A164" s="152">
        <v>2043</v>
      </c>
      <c r="B164" s="178"/>
      <c r="C164" s="182"/>
      <c r="D164" s="183"/>
      <c r="E164" s="179">
        <f t="shared" si="47"/>
        <v>208.2157187916456</v>
      </c>
      <c r="F164" s="183">
        <f t="shared" si="48"/>
        <v>14.750285348965775</v>
      </c>
      <c r="G164" s="247">
        <f t="shared" si="35"/>
        <v>0.18766460722746101</v>
      </c>
      <c r="H164" s="246"/>
      <c r="I164" s="417"/>
      <c r="J164" s="178"/>
      <c r="K164" s="182"/>
      <c r="L164" s="183"/>
      <c r="M164" s="179">
        <f t="shared" si="36"/>
        <v>291.32895146927655</v>
      </c>
      <c r="N164" s="183">
        <f t="shared" si="49"/>
        <v>22.460352322803544</v>
      </c>
      <c r="O164" s="247">
        <f t="shared" si="37"/>
        <v>0.26257447597497852</v>
      </c>
      <c r="P164" s="246"/>
      <c r="Q164" s="417"/>
      <c r="R164" s="182"/>
      <c r="S164" s="178"/>
      <c r="T164" s="182"/>
      <c r="U164" s="178"/>
      <c r="V164" s="506"/>
      <c r="W164" s="439">
        <f>IF(W$135="Y",IFERROR(E164*($F$8/SUMIF($H$5:$H$16,"Y",$F$5:$F$16))*$F$21*'Emissions Factors'!B40,""),"")</f>
        <v>3.0143603337846621</v>
      </c>
      <c r="X164" s="441">
        <f>IF(X$135="Y",IFERROR($E164*(SUM($F$5,$F$6,$F$7,$F$9)/SUMIF($H$5:$H$16,"Y",$F$5:$F$16))*('Emissions Factors'!$T$143*$F$22)/10^6,""),"")</f>
        <v>36.638120367783849</v>
      </c>
      <c r="Y164" s="180"/>
      <c r="Z164" s="180"/>
      <c r="AA164" s="509"/>
      <c r="AB164" s="180">
        <f t="shared" si="42"/>
        <v>39.652480701568507</v>
      </c>
      <c r="AC164" s="180">
        <f t="shared" si="43"/>
        <v>0</v>
      </c>
      <c r="AE164" s="182"/>
      <c r="AF164" s="178"/>
      <c r="AG164" s="182"/>
      <c r="AH164" s="178"/>
      <c r="AJ164" s="182">
        <f>IF(AJ$135="Y",IFERROR(M164*($F$8/SUMIF($H$5:$H$16,"Y",$F$5:$F$16))*$F$21*'Emissions Factors'!B40,""),"")</f>
        <v>4.2175991346302695</v>
      </c>
      <c r="AK164" s="180">
        <f>IF(AK$135="Y",IFERROR($M164*(SUM($F$5,$F$6,$F$7,$F$9)/SUMIF($H$5:$H$16,"Y",$F$5:$F$16))*('Emissions Factors'!$T$143*$F$22)/10^6,""),"")</f>
        <v>51.262917384409725</v>
      </c>
      <c r="AL164" s="180"/>
      <c r="AM164" s="180"/>
      <c r="AO164" s="180">
        <f t="shared" si="44"/>
        <v>55.480516519039995</v>
      </c>
      <c r="AP164" s="180">
        <f t="shared" si="45"/>
        <v>0</v>
      </c>
      <c r="AS164" s="430"/>
      <c r="AT164" s="478">
        <v>2043</v>
      </c>
      <c r="AU164" s="479">
        <f t="shared" si="46"/>
        <v>95.132997220608502</v>
      </c>
      <c r="AV164" s="479">
        <f t="shared" si="46"/>
        <v>0</v>
      </c>
      <c r="AW164" s="430"/>
      <c r="AX164" s="479">
        <f t="shared" si="38"/>
        <v>27.740258259519997</v>
      </c>
      <c r="AY164" s="479">
        <f t="shared" si="38"/>
        <v>0</v>
      </c>
      <c r="AZ164" s="430"/>
      <c r="BA164" s="479">
        <f t="shared" si="39"/>
        <v>67.392738961088497</v>
      </c>
      <c r="BB164" s="479">
        <f t="shared" si="39"/>
        <v>0</v>
      </c>
      <c r="BC164" s="484"/>
      <c r="BE164" s="480">
        <f t="shared" si="40"/>
        <v>0.29159449475970756</v>
      </c>
      <c r="BF164" s="480" t="str">
        <f t="shared" si="41"/>
        <v/>
      </c>
    </row>
    <row r="165" spans="1:58" ht="15.6" x14ac:dyDescent="0.3">
      <c r="A165" s="152">
        <v>2044</v>
      </c>
      <c r="B165" s="178"/>
      <c r="C165" s="182"/>
      <c r="D165" s="183"/>
      <c r="E165" s="179">
        <f t="shared" si="47"/>
        <v>223.74692871677462</v>
      </c>
      <c r="F165" s="183">
        <f t="shared" si="48"/>
        <v>15.531209925129019</v>
      </c>
      <c r="G165" s="247">
        <f t="shared" si="35"/>
        <v>0.18863376912192781</v>
      </c>
      <c r="H165" s="246"/>
      <c r="I165" s="417"/>
      <c r="J165" s="178"/>
      <c r="K165" s="182"/>
      <c r="L165" s="183"/>
      <c r="M165" s="179">
        <f t="shared" si="36"/>
        <v>315.18054525036604</v>
      </c>
      <c r="N165" s="183">
        <f t="shared" si="49"/>
        <v>23.851593781089491</v>
      </c>
      <c r="O165" s="247">
        <f t="shared" si="37"/>
        <v>0.26571848179305774</v>
      </c>
      <c r="P165" s="246"/>
      <c r="Q165" s="417"/>
      <c r="R165" s="182"/>
      <c r="S165" s="178"/>
      <c r="T165" s="182"/>
      <c r="U165" s="178"/>
      <c r="V165" s="506"/>
      <c r="W165" s="439">
        <f>IF(W$135="Y",IFERROR(E165*($F$8/SUMIF($H$5:$H$16,"Y",$F$5:$F$16))*$F$21*'Emissions Factors'!B41,""),"")</f>
        <v>3.2209273006006196</v>
      </c>
      <c r="X165" s="441">
        <f>IF(X$135="Y",IFERROR($E165*(SUM($F$5,$F$6,$F$7,$F$9)/SUMIF($H$5:$H$16,"Y",$F$5:$F$16))*('Emissions Factors'!$T$143*$F$22)/10^6,""),"")</f>
        <v>39.371028056005073</v>
      </c>
      <c r="Y165" s="180"/>
      <c r="Z165" s="180"/>
      <c r="AA165" s="509"/>
      <c r="AB165" s="180">
        <f t="shared" si="42"/>
        <v>42.591955356605695</v>
      </c>
      <c r="AC165" s="180">
        <f t="shared" si="43"/>
        <v>0</v>
      </c>
      <c r="AE165" s="182"/>
      <c r="AF165" s="178"/>
      <c r="AG165" s="182"/>
      <c r="AH165" s="178"/>
      <c r="AJ165" s="182">
        <f>IF(AJ$135="Y",IFERROR(M165*($F$8/SUMIF($H$5:$H$16,"Y",$F$5:$F$16))*$F$21*'Emissions Factors'!B41,""),"")</f>
        <v>4.5371510958263448</v>
      </c>
      <c r="AK165" s="180">
        <f>IF(AK$135="Y",IFERROR($M165*(SUM($F$5,$F$6,$F$7,$F$9)/SUMIF($H$5:$H$16,"Y",$F$5:$F$16))*('Emissions Factors'!$T$143*$F$22)/10^6,""),"")</f>
        <v>55.459899096388448</v>
      </c>
      <c r="AL165" s="180"/>
      <c r="AM165" s="180"/>
      <c r="AO165" s="180">
        <f t="shared" si="44"/>
        <v>59.997050192214793</v>
      </c>
      <c r="AP165" s="180">
        <f t="shared" si="45"/>
        <v>0</v>
      </c>
      <c r="AS165" s="430"/>
      <c r="AT165" s="478">
        <v>2044</v>
      </c>
      <c r="AU165" s="479">
        <f t="shared" si="46"/>
        <v>102.5890055488205</v>
      </c>
      <c r="AV165" s="479">
        <f t="shared" si="46"/>
        <v>0</v>
      </c>
      <c r="AW165" s="430"/>
      <c r="AX165" s="479">
        <f t="shared" si="38"/>
        <v>29.998525096107397</v>
      </c>
      <c r="AY165" s="479">
        <f t="shared" si="38"/>
        <v>0</v>
      </c>
      <c r="AZ165" s="430"/>
      <c r="BA165" s="479">
        <f t="shared" si="39"/>
        <v>72.590480452713095</v>
      </c>
      <c r="BB165" s="479">
        <f t="shared" si="39"/>
        <v>0</v>
      </c>
      <c r="BC165" s="484"/>
      <c r="BE165" s="480">
        <f t="shared" si="40"/>
        <v>0.29241462021806586</v>
      </c>
      <c r="BF165" s="480" t="str">
        <f t="shared" si="41"/>
        <v/>
      </c>
    </row>
    <row r="166" spans="1:58" ht="15.6" x14ac:dyDescent="0.3">
      <c r="A166" s="152">
        <v>2045</v>
      </c>
      <c r="B166" s="178"/>
      <c r="C166" s="182"/>
      <c r="D166" s="183"/>
      <c r="E166" s="179">
        <f t="shared" si="47"/>
        <v>240.14138910642868</v>
      </c>
      <c r="F166" s="183">
        <f t="shared" si="48"/>
        <v>16.394460389654057</v>
      </c>
      <c r="G166" s="247">
        <f t="shared" si="35"/>
        <v>0.18964196113902385</v>
      </c>
      <c r="H166" s="246"/>
      <c r="I166" s="417"/>
      <c r="J166" s="178"/>
      <c r="K166" s="182"/>
      <c r="L166" s="183"/>
      <c r="M166" s="179">
        <f t="shared" si="36"/>
        <v>340.56836305384712</v>
      </c>
      <c r="N166" s="183">
        <f t="shared" si="49"/>
        <v>25.387817803481084</v>
      </c>
      <c r="O166" s="247">
        <f t="shared" si="37"/>
        <v>0.26895010690062526</v>
      </c>
      <c r="P166" s="246"/>
      <c r="Q166" s="417"/>
      <c r="R166" s="182"/>
      <c r="S166" s="178"/>
      <c r="T166" s="182"/>
      <c r="U166" s="178"/>
      <c r="V166" s="506"/>
      <c r="W166" s="439">
        <f>IF(W$135="Y",IFERROR(E166*($F$8/SUMIF($H$5:$H$16,"Y",$F$5:$F$16))*$F$21*'Emissions Factors'!B42,""),"")</f>
        <v>3.4364727548616028</v>
      </c>
      <c r="X166" s="441">
        <f>IF(X$135="Y",IFERROR($E166*(SUM($F$5,$F$6,$F$7,$F$9)/SUMIF($H$5:$H$16,"Y",$F$5:$F$16))*('Emissions Factors'!$T$143*$F$22)/10^6,""),"")</f>
        <v>42.255835296336784</v>
      </c>
      <c r="Y166" s="180"/>
      <c r="Z166" s="180"/>
      <c r="AA166" s="509"/>
      <c r="AB166" s="180">
        <f t="shared" si="42"/>
        <v>45.692308051198388</v>
      </c>
      <c r="AC166" s="180">
        <f t="shared" si="43"/>
        <v>0</v>
      </c>
      <c r="AE166" s="182"/>
      <c r="AF166" s="178"/>
      <c r="AG166" s="182"/>
      <c r="AH166" s="178"/>
      <c r="AJ166" s="182">
        <f>IF(AJ$135="Y",IFERROR(M166*($F$8/SUMIF($H$5:$H$16,"Y",$F$5:$F$16))*$F$21*'Emissions Factors'!B42,""),"")</f>
        <v>4.873603443193498</v>
      </c>
      <c r="AK166" s="180">
        <f>IF(AK$135="Y",IFERROR($M166*(SUM($F$5,$F$6,$F$7,$F$9)/SUMIF($H$5:$H$16,"Y",$F$5:$F$16))*('Emissions Factors'!$T$143*$F$22)/10^6,""),"")</f>
        <v>59.927198347172137</v>
      </c>
      <c r="AL166" s="180"/>
      <c r="AM166" s="180"/>
      <c r="AO166" s="180">
        <f t="shared" si="44"/>
        <v>64.800801790365639</v>
      </c>
      <c r="AP166" s="180">
        <f t="shared" si="45"/>
        <v>0</v>
      </c>
      <c r="AS166" s="430"/>
      <c r="AT166" s="478">
        <v>2045</v>
      </c>
      <c r="AU166" s="479">
        <f t="shared" si="46"/>
        <v>110.49310984156403</v>
      </c>
      <c r="AV166" s="479">
        <f t="shared" si="46"/>
        <v>0</v>
      </c>
      <c r="AW166" s="430"/>
      <c r="AX166" s="479">
        <f t="shared" si="38"/>
        <v>32.40040089518282</v>
      </c>
      <c r="AY166" s="479">
        <f t="shared" si="38"/>
        <v>0</v>
      </c>
      <c r="AZ166" s="430"/>
      <c r="BA166" s="479">
        <f t="shared" si="39"/>
        <v>78.092708946381208</v>
      </c>
      <c r="BB166" s="479">
        <f t="shared" si="39"/>
        <v>0</v>
      </c>
      <c r="BC166" s="484"/>
      <c r="BE166" s="480">
        <f t="shared" si="40"/>
        <v>0.29323458215305664</v>
      </c>
      <c r="BF166" s="480" t="str">
        <f t="shared" si="41"/>
        <v/>
      </c>
    </row>
    <row r="167" spans="1:58" ht="15.6" x14ac:dyDescent="0.3">
      <c r="A167" s="152">
        <v>2046</v>
      </c>
      <c r="B167" s="178"/>
      <c r="C167" s="182"/>
      <c r="D167" s="183"/>
      <c r="E167" s="179">
        <f t="shared" si="47"/>
        <v>257.45282653015943</v>
      </c>
      <c r="F167" s="183">
        <f t="shared" si="48"/>
        <v>17.311437423730752</v>
      </c>
      <c r="G167" s="247">
        <f t="shared" si="35"/>
        <v>0.19068114932147584</v>
      </c>
      <c r="H167" s="246"/>
      <c r="I167" s="417"/>
      <c r="J167" s="178"/>
      <c r="K167" s="182"/>
      <c r="L167" s="183"/>
      <c r="M167" s="179">
        <f t="shared" si="36"/>
        <v>367.5991808680717</v>
      </c>
      <c r="N167" s="183">
        <f t="shared" si="49"/>
        <v>27.030817814224577</v>
      </c>
      <c r="O167" s="247">
        <f t="shared" si="37"/>
        <v>0.27226049619364251</v>
      </c>
      <c r="P167" s="246"/>
      <c r="Q167" s="417"/>
      <c r="R167" s="182"/>
      <c r="S167" s="178"/>
      <c r="T167" s="182"/>
      <c r="U167" s="178"/>
      <c r="V167" s="506"/>
      <c r="W167" s="439">
        <f>IF(W$135="Y",IFERROR(E167*($F$8/SUMIF($H$5:$H$16,"Y",$F$5:$F$16))*$F$21*'Emissions Factors'!B43,""),"")</f>
        <v>3.6636178725058217</v>
      </c>
      <c r="X167" s="441">
        <f>IF(X$135="Y",IFERROR($E167*(SUM($F$5,$F$6,$F$7,$F$9)/SUMIF($H$5:$H$16,"Y",$F$5:$F$16))*('Emissions Factors'!$T$143*$F$22)/10^6,""),"")</f>
        <v>45.301995940455519</v>
      </c>
      <c r="Y167" s="180"/>
      <c r="Z167" s="180"/>
      <c r="AA167" s="509"/>
      <c r="AB167" s="180">
        <f t="shared" si="42"/>
        <v>48.965613812961344</v>
      </c>
      <c r="AC167" s="180">
        <f t="shared" si="43"/>
        <v>0</v>
      </c>
      <c r="AE167" s="182"/>
      <c r="AF167" s="178"/>
      <c r="AG167" s="182"/>
      <c r="AH167" s="178"/>
      <c r="AJ167" s="182">
        <f>IF(AJ$135="Y",IFERROR(M167*($F$8/SUMIF($H$5:$H$16,"Y",$F$5:$F$16))*$F$21*'Emissions Factors'!B43,""),"")</f>
        <v>5.2310279405264275</v>
      </c>
      <c r="AK167" s="180">
        <f>IF(AK$135="Y",IFERROR($M167*(SUM($F$5,$F$6,$F$7,$F$9)/SUMIF($H$5:$H$16,"Y",$F$5:$F$16))*('Emissions Factors'!$T$143*$F$22)/10^6,""),"")</f>
        <v>64.68360368709854</v>
      </c>
      <c r="AL167" s="180"/>
      <c r="AM167" s="180"/>
      <c r="AO167" s="180">
        <f t="shared" si="44"/>
        <v>69.914631627624971</v>
      </c>
      <c r="AP167" s="180">
        <f t="shared" si="45"/>
        <v>0</v>
      </c>
      <c r="AS167" s="430"/>
      <c r="AT167" s="478">
        <v>2046</v>
      </c>
      <c r="AU167" s="479">
        <f t="shared" si="46"/>
        <v>118.88024544058632</v>
      </c>
      <c r="AV167" s="479">
        <f t="shared" si="46"/>
        <v>0</v>
      </c>
      <c r="AW167" s="430"/>
      <c r="AX167" s="479">
        <f t="shared" si="38"/>
        <v>34.957315813812485</v>
      </c>
      <c r="AY167" s="479">
        <f t="shared" si="38"/>
        <v>0</v>
      </c>
      <c r="AZ167" s="430"/>
      <c r="BA167" s="479">
        <f t="shared" si="39"/>
        <v>83.922929626773836</v>
      </c>
      <c r="BB167" s="479">
        <f t="shared" si="39"/>
        <v>0</v>
      </c>
      <c r="BC167" s="484"/>
      <c r="BE167" s="480">
        <f t="shared" si="40"/>
        <v>0.29405487584800932</v>
      </c>
      <c r="BF167" s="480" t="str">
        <f t="shared" si="41"/>
        <v/>
      </c>
    </row>
    <row r="168" spans="1:58" ht="15.6" x14ac:dyDescent="0.3">
      <c r="A168" s="152">
        <v>2047</v>
      </c>
      <c r="B168" s="178"/>
      <c r="C168" s="182"/>
      <c r="D168" s="183"/>
      <c r="E168" s="179">
        <f t="shared" si="47"/>
        <v>275.72951277401717</v>
      </c>
      <c r="F168" s="183">
        <f t="shared" si="48"/>
        <v>18.276686243857739</v>
      </c>
      <c r="G168" s="247">
        <f t="shared" si="35"/>
        <v>0.19174284658491539</v>
      </c>
      <c r="H168" s="246"/>
      <c r="I168" s="417"/>
      <c r="J168" s="178"/>
      <c r="K168" s="182"/>
      <c r="L168" s="183"/>
      <c r="M168" s="179">
        <f t="shared" si="36"/>
        <v>396.37331392868066</v>
      </c>
      <c r="N168" s="183">
        <f t="shared" si="49"/>
        <v>28.77413306060896</v>
      </c>
      <c r="O168" s="247">
        <f t="shared" si="37"/>
        <v>0.27563878367010775</v>
      </c>
      <c r="P168" s="246"/>
      <c r="Q168" s="417"/>
      <c r="R168" s="182"/>
      <c r="S168" s="178"/>
      <c r="T168" s="182"/>
      <c r="U168" s="178"/>
      <c r="V168" s="506"/>
      <c r="W168" s="439">
        <f>IF(W$135="Y",IFERROR(E168*($F$8/SUMIF($H$5:$H$16,"Y",$F$5:$F$16))*$F$21*'Emissions Factors'!B44,""),"")</f>
        <v>3.9006439671918294</v>
      </c>
      <c r="X168" s="441">
        <f>IF(X$135="Y",IFERROR($E168*(SUM($F$5,$F$6,$F$7,$F$9)/SUMIF($H$5:$H$16,"Y",$F$5:$F$16))*('Emissions Factors'!$T$143*$F$22)/10^6,""),"")</f>
        <v>48.518004003692809</v>
      </c>
      <c r="Y168" s="180"/>
      <c r="Z168" s="180"/>
      <c r="AA168" s="509"/>
      <c r="AB168" s="180">
        <f t="shared" si="42"/>
        <v>52.418647970884635</v>
      </c>
      <c r="AC168" s="180">
        <f t="shared" si="43"/>
        <v>0</v>
      </c>
      <c r="AE168" s="182"/>
      <c r="AF168" s="178"/>
      <c r="AG168" s="182"/>
      <c r="AH168" s="178"/>
      <c r="AJ168" s="182">
        <f>IF(AJ$135="Y",IFERROR(M168*($F$8/SUMIF($H$5:$H$16,"Y",$F$5:$F$16))*$F$21*'Emissions Factors'!B44,""),"")</f>
        <v>5.607347433275689</v>
      </c>
      <c r="AK168" s="180">
        <f>IF(AK$135="Y",IFERROR($M168*(SUM($F$5,$F$6,$F$7,$F$9)/SUMIF($H$5:$H$16,"Y",$F$5:$F$16))*('Emissions Factors'!$T$143*$F$22)/10^6,""),"")</f>
        <v>69.746766817487142</v>
      </c>
      <c r="AL168" s="180"/>
      <c r="AM168" s="180"/>
      <c r="AO168" s="180">
        <f t="shared" si="44"/>
        <v>75.354114250762834</v>
      </c>
      <c r="AP168" s="180">
        <f t="shared" si="45"/>
        <v>0</v>
      </c>
      <c r="AS168" s="430"/>
      <c r="AT168" s="478">
        <v>2047</v>
      </c>
      <c r="AU168" s="479">
        <f t="shared" si="46"/>
        <v>127.77276222164747</v>
      </c>
      <c r="AV168" s="479">
        <f t="shared" si="46"/>
        <v>0</v>
      </c>
      <c r="AW168" s="430"/>
      <c r="AX168" s="479">
        <f t="shared" si="38"/>
        <v>37.677057125381417</v>
      </c>
      <c r="AY168" s="479">
        <f t="shared" si="38"/>
        <v>0</v>
      </c>
      <c r="AZ168" s="430"/>
      <c r="BA168" s="479">
        <f t="shared" si="39"/>
        <v>90.095705096266045</v>
      </c>
      <c r="BB168" s="479">
        <f t="shared" si="39"/>
        <v>0</v>
      </c>
      <c r="BC168" s="484"/>
      <c r="BE168" s="480">
        <f t="shared" si="40"/>
        <v>0.29487549983480055</v>
      </c>
      <c r="BF168" s="480" t="str">
        <f t="shared" si="41"/>
        <v/>
      </c>
    </row>
    <row r="169" spans="1:58" ht="15.6" x14ac:dyDescent="0.3">
      <c r="A169" s="152">
        <v>2048</v>
      </c>
      <c r="B169" s="178"/>
      <c r="C169" s="182"/>
      <c r="D169" s="183"/>
      <c r="E169" s="179">
        <f t="shared" si="47"/>
        <v>295.04207258184528</v>
      </c>
      <c r="F169" s="183">
        <f t="shared" si="48"/>
        <v>19.312559807828109</v>
      </c>
      <c r="G169" s="247">
        <f t="shared" si="35"/>
        <v>0.19282374257554261</v>
      </c>
      <c r="H169" s="246"/>
      <c r="I169" s="417"/>
      <c r="J169" s="178"/>
      <c r="K169" s="182"/>
      <c r="L169" s="183"/>
      <c r="M169" s="179">
        <f t="shared" si="36"/>
        <v>427.02604257612677</v>
      </c>
      <c r="N169" s="183">
        <f t="shared" si="49"/>
        <v>30.652728647446111</v>
      </c>
      <c r="O169" s="247">
        <f t="shared" si="37"/>
        <v>0.27908141705420764</v>
      </c>
      <c r="P169" s="246"/>
      <c r="Q169" s="417"/>
      <c r="R169" s="182"/>
      <c r="S169" s="178"/>
      <c r="T169" s="182"/>
      <c r="U169" s="178"/>
      <c r="V169" s="506"/>
      <c r="W169" s="439">
        <f>IF(W$135="Y",IFERROR(E169*($F$8/SUMIF($H$5:$H$16,"Y",$F$5:$F$16))*$F$21*'Emissions Factors'!B45,""),"")</f>
        <v>4.1489453243554424</v>
      </c>
      <c r="X169" s="441">
        <f>IF(X$135="Y",IFERROR($E169*(SUM($F$5,$F$6,$F$7,$F$9)/SUMIF($H$5:$H$16,"Y",$F$5:$F$16))*('Emissions Factors'!$T$143*$F$22)/10^6,""),"")</f>
        <v>51.916286779630951</v>
      </c>
      <c r="Y169" s="180"/>
      <c r="Z169" s="180"/>
      <c r="AA169" s="509"/>
      <c r="AB169" s="180">
        <f t="shared" si="42"/>
        <v>56.065232103986396</v>
      </c>
      <c r="AC169" s="180">
        <f t="shared" si="43"/>
        <v>0</v>
      </c>
      <c r="AE169" s="182"/>
      <c r="AF169" s="178"/>
      <c r="AG169" s="182"/>
      <c r="AH169" s="178"/>
      <c r="AJ169" s="182">
        <f>IF(AJ$135="Y",IFERROR(M169*($F$8/SUMIF($H$5:$H$16,"Y",$F$5:$F$16))*$F$21*'Emissions Factors'!B45,""),"")</f>
        <v>6.0049324058105444</v>
      </c>
      <c r="AK169" s="180">
        <f>IF(AK$135="Y",IFERROR($M169*(SUM($F$5,$F$6,$F$7,$F$9)/SUMIF($H$5:$H$16,"Y",$F$5:$F$16))*('Emissions Factors'!$T$143*$F$22)/10^6,""),"")</f>
        <v>75.140491980523223</v>
      </c>
      <c r="AL169" s="180"/>
      <c r="AM169" s="180"/>
      <c r="AO169" s="180">
        <f t="shared" si="44"/>
        <v>81.145424386333772</v>
      </c>
      <c r="AP169" s="180">
        <f t="shared" si="45"/>
        <v>0</v>
      </c>
      <c r="AS169" s="430"/>
      <c r="AT169" s="478">
        <v>2048</v>
      </c>
      <c r="AU169" s="479">
        <f t="shared" si="46"/>
        <v>137.21065649032016</v>
      </c>
      <c r="AV169" s="479">
        <f t="shared" si="46"/>
        <v>0</v>
      </c>
      <c r="AW169" s="430"/>
      <c r="AX169" s="479">
        <f t="shared" si="38"/>
        <v>40.572712193166886</v>
      </c>
      <c r="AY169" s="479">
        <f t="shared" si="38"/>
        <v>0</v>
      </c>
      <c r="AZ169" s="430"/>
      <c r="BA169" s="479">
        <f t="shared" si="39"/>
        <v>96.637944297153268</v>
      </c>
      <c r="BB169" s="479">
        <f t="shared" si="39"/>
        <v>0</v>
      </c>
      <c r="BC169" s="484"/>
      <c r="BE169" s="480">
        <f t="shared" si="40"/>
        <v>0.29569650952022941</v>
      </c>
      <c r="BF169" s="480" t="str">
        <f t="shared" si="41"/>
        <v/>
      </c>
    </row>
    <row r="170" spans="1:58" ht="15.6" x14ac:dyDescent="0.3">
      <c r="A170" s="152">
        <v>2049</v>
      </c>
      <c r="B170" s="178"/>
      <c r="C170" s="182"/>
      <c r="D170" s="183"/>
      <c r="E170" s="179">
        <f t="shared" si="47"/>
        <v>315.46385670235446</v>
      </c>
      <c r="F170" s="183">
        <f t="shared" si="48"/>
        <v>20.421784120509187</v>
      </c>
      <c r="G170" s="247">
        <f t="shared" si="35"/>
        <v>0.19392028972652794</v>
      </c>
      <c r="H170" s="246"/>
      <c r="I170" s="417"/>
      <c r="J170" s="178"/>
      <c r="K170" s="182"/>
      <c r="L170" s="183"/>
      <c r="M170" s="179">
        <f t="shared" si="36"/>
        <v>459.69957359680456</v>
      </c>
      <c r="N170" s="183">
        <f t="shared" si="49"/>
        <v>32.673531020677785</v>
      </c>
      <c r="O170" s="247">
        <f t="shared" si="37"/>
        <v>0.28258411417052953</v>
      </c>
      <c r="P170" s="246"/>
      <c r="Q170" s="417"/>
      <c r="R170" s="182"/>
      <c r="S170" s="178"/>
      <c r="T170" s="182"/>
      <c r="U170" s="178"/>
      <c r="V170" s="506"/>
      <c r="W170" s="439">
        <f>IF(W$135="Y",IFERROR(E170*($F$8/SUMIF($H$5:$H$16,"Y",$F$5:$F$16))*$F$21*'Emissions Factors'!B46,""),"")</f>
        <v>4.4132555143134571</v>
      </c>
      <c r="X170" s="441">
        <f>IF(X$135="Y",IFERROR($E170*(SUM($F$5,$F$6,$F$7,$F$9)/SUMIF($H$5:$H$16,"Y",$F$5:$F$16))*('Emissions Factors'!$T$143*$F$22)/10^6,""),"")</f>
        <v>55.509751235985597</v>
      </c>
      <c r="Y170" s="180"/>
      <c r="Z170" s="180"/>
      <c r="AA170" s="509"/>
      <c r="AB170" s="180">
        <f t="shared" si="42"/>
        <v>59.923006750299052</v>
      </c>
      <c r="AC170" s="180">
        <f t="shared" si="43"/>
        <v>0</v>
      </c>
      <c r="AE170" s="182"/>
      <c r="AF170" s="178"/>
      <c r="AG170" s="182"/>
      <c r="AH170" s="178"/>
      <c r="AJ170" s="182">
        <f>IF(AJ$135="Y",IFERROR(M170*($F$8/SUMIF($H$5:$H$16,"Y",$F$5:$F$16))*$F$21*'Emissions Factors'!B46,""),"")</f>
        <v>6.4310748600839656</v>
      </c>
      <c r="AK170" s="180">
        <f>IF(AK$135="Y",IFERROR($M170*(SUM($F$5,$F$6,$F$7,$F$9)/SUMIF($H$5:$H$16,"Y",$F$5:$F$16))*('Emissions Factors'!$T$143*$F$22)/10^6,""),"")</f>
        <v>80.889802211870389</v>
      </c>
      <c r="AL170" s="180"/>
      <c r="AM170" s="180"/>
      <c r="AO170" s="180">
        <f t="shared" si="44"/>
        <v>87.320877071954357</v>
      </c>
      <c r="AP170" s="180">
        <f t="shared" si="45"/>
        <v>0</v>
      </c>
      <c r="AS170" s="430"/>
      <c r="AT170" s="478">
        <v>2049</v>
      </c>
      <c r="AU170" s="479">
        <f t="shared" si="46"/>
        <v>147.24388382225339</v>
      </c>
      <c r="AV170" s="479">
        <f t="shared" si="46"/>
        <v>0</v>
      </c>
      <c r="AW170" s="430"/>
      <c r="AX170" s="479">
        <f t="shared" si="38"/>
        <v>43.660438535977178</v>
      </c>
      <c r="AY170" s="479">
        <f t="shared" si="38"/>
        <v>0</v>
      </c>
      <c r="AZ170" s="430"/>
      <c r="BA170" s="479">
        <f t="shared" si="39"/>
        <v>103.58344528627622</v>
      </c>
      <c r="BB170" s="479">
        <f t="shared" si="39"/>
        <v>0</v>
      </c>
      <c r="BC170" s="484"/>
      <c r="BE170" s="480">
        <f t="shared" si="40"/>
        <v>0.29651784103088602</v>
      </c>
      <c r="BF170" s="480" t="str">
        <f t="shared" si="41"/>
        <v/>
      </c>
    </row>
    <row r="171" spans="1:58" ht="15.6" x14ac:dyDescent="0.3">
      <c r="A171" s="152">
        <v>2050</v>
      </c>
      <c r="B171" s="178"/>
      <c r="C171" s="182"/>
      <c r="D171" s="183"/>
      <c r="E171" s="179">
        <f t="shared" si="47"/>
        <v>337.11148656761742</v>
      </c>
      <c r="F171" s="183">
        <f t="shared" si="48"/>
        <v>21.647629865262957</v>
      </c>
      <c r="G171" s="247">
        <f t="shared" si="35"/>
        <v>0.19501374066327085</v>
      </c>
      <c r="H171" s="246"/>
      <c r="I171" s="417"/>
      <c r="J171" s="178"/>
      <c r="K171" s="182"/>
      <c r="L171" s="183"/>
      <c r="M171" s="179">
        <f t="shared" si="36"/>
        <v>494.58808177503465</v>
      </c>
      <c r="N171" s="183">
        <f t="shared" si="49"/>
        <v>34.888508178230097</v>
      </c>
      <c r="O171" s="247">
        <f t="shared" si="37"/>
        <v>0.28611149651548606</v>
      </c>
      <c r="P171" s="246"/>
      <c r="Q171" s="417"/>
      <c r="R171" s="182"/>
      <c r="S171" s="178"/>
      <c r="T171" s="182"/>
      <c r="U171" s="178"/>
      <c r="V171" s="506"/>
      <c r="W171" s="439">
        <f>IF(W$135="Y",IFERROR(E171*($F$8/SUMIF($H$5:$H$16,"Y",$F$5:$F$16))*$F$21*'Emissions Factors'!B47,""),"")</f>
        <v>4.699881791623854</v>
      </c>
      <c r="X171" s="441">
        <f>IF(X$135="Y",IFERROR($E171*(SUM($F$5,$F$6,$F$7,$F$9)/SUMIF($H$5:$H$16,"Y",$F$5:$F$16))*('Emissions Factors'!$T$143*$F$22)/10^6,""),"")</f>
        <v>59.31891835018601</v>
      </c>
      <c r="Y171" s="180"/>
      <c r="Z171" s="180"/>
      <c r="AA171" s="509"/>
      <c r="AB171" s="180">
        <f t="shared" si="42"/>
        <v>64.018800141809862</v>
      </c>
      <c r="AC171" s="180">
        <f t="shared" si="43"/>
        <v>0</v>
      </c>
      <c r="AE171" s="182"/>
      <c r="AF171" s="178"/>
      <c r="AG171" s="182"/>
      <c r="AH171" s="178"/>
      <c r="AJ171" s="182">
        <f>IF(AJ$135="Y",IFERROR(M171*($F$8/SUMIF($H$5:$H$16,"Y",$F$5:$F$16))*$F$21*'Emissions Factors'!B47,""),"")</f>
        <v>6.8953613641474325</v>
      </c>
      <c r="AK171" s="180">
        <f>IF(AK$135="Y",IFERROR($M171*(SUM($F$5,$F$6,$F$7,$F$9)/SUMIF($H$5:$H$16,"Y",$F$5:$F$16))*('Emissions Factors'!$T$143*$F$22)/10^6,""),"")</f>
        <v>87.028864956530441</v>
      </c>
      <c r="AL171" s="180"/>
      <c r="AM171" s="180"/>
      <c r="AO171" s="180">
        <f t="shared" si="44"/>
        <v>93.924226320677874</v>
      </c>
      <c r="AP171" s="180">
        <f t="shared" si="45"/>
        <v>0</v>
      </c>
      <c r="AS171" s="430"/>
      <c r="AT171" s="478">
        <v>2050</v>
      </c>
      <c r="AU171" s="479">
        <f t="shared" si="46"/>
        <v>157.94302646248775</v>
      </c>
      <c r="AV171" s="479">
        <f t="shared" si="46"/>
        <v>0</v>
      </c>
      <c r="AW171" s="430"/>
      <c r="AX171" s="479">
        <f t="shared" si="38"/>
        <v>46.962113160338937</v>
      </c>
      <c r="AY171" s="479">
        <f t="shared" si="38"/>
        <v>0</v>
      </c>
      <c r="AZ171" s="430"/>
      <c r="BA171" s="479">
        <f t="shared" si="39"/>
        <v>110.98091330214882</v>
      </c>
      <c r="BB171" s="479">
        <f t="shared" si="39"/>
        <v>0</v>
      </c>
      <c r="BC171" s="484"/>
      <c r="BE171" s="480">
        <f t="shared" si="40"/>
        <v>0.29733578121280757</v>
      </c>
      <c r="BF171" s="480" t="str">
        <f t="shared" si="41"/>
        <v/>
      </c>
    </row>
    <row r="172" spans="1:58" ht="15.6" x14ac:dyDescent="0.3">
      <c r="A172" s="152">
        <v>2051</v>
      </c>
      <c r="B172" s="178"/>
      <c r="C172" s="182"/>
      <c r="D172" s="183"/>
      <c r="E172" s="179">
        <f t="shared" si="47"/>
        <v>359.87246134349698</v>
      </c>
      <c r="F172" s="183">
        <f t="shared" si="48"/>
        <v>22.760974775879561</v>
      </c>
      <c r="G172" s="247">
        <f t="shared" si="35"/>
        <v>0.19613392165288349</v>
      </c>
      <c r="H172" s="246"/>
      <c r="I172" s="417"/>
      <c r="J172" s="178"/>
      <c r="K172" s="182"/>
      <c r="L172" s="183"/>
      <c r="M172" s="179">
        <f t="shared" si="36"/>
        <v>531.61600942269649</v>
      </c>
      <c r="N172" s="183">
        <f t="shared" si="49"/>
        <v>37.027927647661841</v>
      </c>
      <c r="O172" s="247">
        <f t="shared" si="37"/>
        <v>0.28973579237563929</v>
      </c>
      <c r="P172" s="246"/>
      <c r="Q172" s="417"/>
      <c r="R172" s="182"/>
      <c r="S172" s="178"/>
      <c r="T172" s="182"/>
      <c r="U172" s="178"/>
      <c r="V172" s="506"/>
      <c r="W172" s="439">
        <f>IF(W$135="Y",IFERROR(E172*($F$8/SUMIF($H$5:$H$16,"Y",$F$5:$F$16))*$F$21*'Emissions Factors'!B48,""),"")</f>
        <v>4.9980306790700002</v>
      </c>
      <c r="X172" s="441">
        <f>IF(X$135="Y",IFERROR($E172*(SUM($F$5,$F$6,$F$7,$F$9)/SUMIF($H$5:$H$16,"Y",$F$5:$F$16))*('Emissions Factors'!$T$143*$F$22)/10^6,""),"")</f>
        <v>63.323992214764132</v>
      </c>
      <c r="Y172" s="180"/>
      <c r="Z172" s="180"/>
      <c r="AA172" s="509"/>
      <c r="AB172" s="180">
        <f t="shared" si="42"/>
        <v>68.322022893834131</v>
      </c>
      <c r="AC172" s="180">
        <f t="shared" si="43"/>
        <v>0</v>
      </c>
      <c r="AE172" s="182"/>
      <c r="AF172" s="178"/>
      <c r="AG172" s="182"/>
      <c r="AH172" s="178"/>
      <c r="AJ172" s="182">
        <f>IF(AJ$135="Y",IFERROR(M172*($F$8/SUMIF($H$5:$H$16,"Y",$F$5:$F$16))*$F$21*'Emissions Factors'!B48,""),"")</f>
        <v>7.3832632668251739</v>
      </c>
      <c r="AK172" s="180">
        <f>IF(AK$135="Y",IFERROR($M172*(SUM($F$5,$F$6,$F$7,$F$9)/SUMIF($H$5:$H$16,"Y",$F$5:$F$16))*('Emissions Factors'!$T$143*$F$22)/10^6,""),"")</f>
        <v>93.544384908615157</v>
      </c>
      <c r="AL172" s="180"/>
      <c r="AM172" s="180"/>
      <c r="AO172" s="180">
        <f t="shared" si="44"/>
        <v>100.92764817544032</v>
      </c>
      <c r="AP172" s="180">
        <f t="shared" si="45"/>
        <v>0</v>
      </c>
      <c r="AT172" s="478">
        <v>2051</v>
      </c>
      <c r="AU172" s="479">
        <f t="shared" si="46"/>
        <v>169.24967106927446</v>
      </c>
      <c r="AV172" s="479">
        <f t="shared" si="46"/>
        <v>0</v>
      </c>
      <c r="AW172" s="430"/>
      <c r="AX172" s="479">
        <f t="shared" si="38"/>
        <v>50.463824087720162</v>
      </c>
      <c r="AY172" s="479">
        <f t="shared" si="38"/>
        <v>0</v>
      </c>
      <c r="AZ172" s="430"/>
      <c r="BA172" s="479">
        <f t="shared" si="39"/>
        <v>118.7858469815543</v>
      </c>
      <c r="BB172" s="479">
        <f t="shared" si="39"/>
        <v>0</v>
      </c>
      <c r="BC172" s="484"/>
      <c r="BE172" s="480">
        <f t="shared" si="40"/>
        <v>0.29816202163881989</v>
      </c>
      <c r="BF172" s="480" t="str">
        <f t="shared" si="41"/>
        <v/>
      </c>
    </row>
    <row r="173" spans="1:58" ht="15.6" x14ac:dyDescent="0.3">
      <c r="A173" s="152">
        <v>2052</v>
      </c>
      <c r="B173" s="178"/>
      <c r="C173" s="182"/>
      <c r="D173" s="183"/>
      <c r="E173" s="179">
        <f t="shared" si="47"/>
        <v>383.93829465075908</v>
      </c>
      <c r="F173" s="183">
        <f t="shared" si="48"/>
        <v>24.065833307262096</v>
      </c>
      <c r="G173" s="247">
        <f t="shared" si="35"/>
        <v>0.19723238503920301</v>
      </c>
      <c r="H173" s="246"/>
      <c r="I173" s="417"/>
      <c r="J173" s="178"/>
      <c r="K173" s="182"/>
      <c r="L173" s="183"/>
      <c r="M173" s="179">
        <f t="shared" si="36"/>
        <v>571.06326401928993</v>
      </c>
      <c r="N173" s="183">
        <f t="shared" si="49"/>
        <v>39.447254596593439</v>
      </c>
      <c r="O173" s="247">
        <f t="shared" si="37"/>
        <v>0.29336008191954382</v>
      </c>
      <c r="P173" s="246"/>
      <c r="Q173" s="417"/>
      <c r="R173" s="182"/>
      <c r="S173" s="178"/>
      <c r="T173" s="182"/>
      <c r="U173" s="178"/>
      <c r="V173" s="506"/>
      <c r="W173" s="439">
        <f>IF(W$135="Y",IFERROR(E173*($F$8/SUMIF($H$5:$H$16,"Y",$F$5:$F$16))*$F$21*'Emissions Factors'!B49,""),"")</f>
        <v>5.3125750715369549</v>
      </c>
      <c r="X173" s="441">
        <f>IF(X$135="Y",IFERROR($E173*(SUM($F$5,$F$6,$F$7,$F$9)/SUMIF($H$5:$H$16,"Y",$F$5:$F$16))*('Emissions Factors'!$T$143*$F$22)/10^6,""),"")</f>
        <v>67.5586720102161</v>
      </c>
      <c r="Y173" s="180"/>
      <c r="Z173" s="180"/>
      <c r="AA173" s="509"/>
      <c r="AB173" s="180">
        <f t="shared" si="42"/>
        <v>72.871247081753054</v>
      </c>
      <c r="AC173" s="180">
        <f t="shared" si="43"/>
        <v>0</v>
      </c>
      <c r="AE173" s="182"/>
      <c r="AF173" s="178"/>
      <c r="AG173" s="182"/>
      <c r="AH173" s="178"/>
      <c r="AJ173" s="182">
        <f>IF(AJ$135="Y",IFERROR(M173*($F$8/SUMIF($H$5:$H$16,"Y",$F$5:$F$16))*$F$21*'Emissions Factors'!B49,""),"")</f>
        <v>7.9018334533653372</v>
      </c>
      <c r="AK173" s="180">
        <f>IF(AK$135="Y",IFERROR($M173*(SUM($F$5,$F$6,$F$7,$F$9)/SUMIF($H$5:$H$16,"Y",$F$5:$F$16))*('Emissions Factors'!$T$143*$F$22)/10^6,""),"")</f>
        <v>100.48561523683472</v>
      </c>
      <c r="AL173" s="180"/>
      <c r="AM173" s="180"/>
      <c r="AO173" s="180">
        <f t="shared" si="44"/>
        <v>108.38744869020006</v>
      </c>
      <c r="AP173" s="180">
        <f t="shared" si="45"/>
        <v>0</v>
      </c>
      <c r="AT173" s="478">
        <v>2052</v>
      </c>
      <c r="AU173" s="479">
        <f t="shared" si="46"/>
        <v>181.25869577195311</v>
      </c>
      <c r="AV173" s="479">
        <f t="shared" si="46"/>
        <v>0</v>
      </c>
      <c r="AW173" s="430"/>
      <c r="AX173" s="479">
        <f t="shared" si="38"/>
        <v>54.19372434510003</v>
      </c>
      <c r="AY173" s="479">
        <f t="shared" si="38"/>
        <v>0</v>
      </c>
      <c r="AZ173" s="430"/>
      <c r="BA173" s="479">
        <f t="shared" si="39"/>
        <v>127.06497142685308</v>
      </c>
      <c r="BB173" s="479">
        <f t="shared" si="39"/>
        <v>0</v>
      </c>
      <c r="BC173" s="484"/>
      <c r="BE173" s="480">
        <f t="shared" si="40"/>
        <v>0.29898551412552776</v>
      </c>
      <c r="BF173" s="480" t="str">
        <f t="shared" si="41"/>
        <v/>
      </c>
    </row>
    <row r="174" spans="1:58" ht="15.6" x14ac:dyDescent="0.3">
      <c r="A174" s="152">
        <v>2053</v>
      </c>
      <c r="B174" s="178"/>
      <c r="C174" s="182"/>
      <c r="D174" s="183"/>
      <c r="E174" s="179">
        <f t="shared" si="47"/>
        <v>409.27551469382865</v>
      </c>
      <c r="F174" s="183">
        <f t="shared" si="48"/>
        <v>25.337220043069578</v>
      </c>
      <c r="G174" s="247">
        <f t="shared" si="35"/>
        <v>0.1983109605385952</v>
      </c>
      <c r="H174" s="246"/>
      <c r="I174" s="417"/>
      <c r="J174" s="178"/>
      <c r="K174" s="182"/>
      <c r="L174" s="183"/>
      <c r="M174" s="179">
        <f t="shared" si="36"/>
        <v>612.94185691703922</v>
      </c>
      <c r="N174" s="183">
        <f t="shared" si="49"/>
        <v>41.878592897749286</v>
      </c>
      <c r="O174" s="247">
        <f t="shared" si="37"/>
        <v>0.29699574989346678</v>
      </c>
      <c r="P174" s="246"/>
      <c r="Q174" s="417"/>
      <c r="R174" s="182"/>
      <c r="S174" s="178"/>
      <c r="T174" s="182"/>
      <c r="U174" s="178"/>
      <c r="V174" s="506"/>
      <c r="W174" s="439">
        <f>IF(W$135="Y",IFERROR(E174*($F$8/SUMIF($H$5:$H$16,"Y",$F$5:$F$16))*$F$21*'Emissions Factors'!B50,""),"")</f>
        <v>5.6417382608100972</v>
      </c>
      <c r="X174" s="441">
        <f>IF(X$135="Y",IFERROR($E174*(SUM($F$5,$F$6,$F$7,$F$9)/SUMIF($H$5:$H$16,"Y",$F$5:$F$16))*('Emissions Factors'!$T$143*$F$22)/10^6,""),"")</f>
        <v>72.01706796182981</v>
      </c>
      <c r="Y174" s="180"/>
      <c r="Z174" s="180"/>
      <c r="AA174" s="509"/>
      <c r="AB174" s="180">
        <f t="shared" si="42"/>
        <v>77.65880622263991</v>
      </c>
      <c r="AC174" s="180">
        <f t="shared" si="43"/>
        <v>0</v>
      </c>
      <c r="AE174" s="182"/>
      <c r="AF174" s="178"/>
      <c r="AG174" s="182"/>
      <c r="AH174" s="178"/>
      <c r="AJ174" s="182">
        <f>IF(AJ$135="Y",IFERROR(M174*($F$8/SUMIF($H$5:$H$16,"Y",$F$5:$F$16))*$F$21*'Emissions Factors'!B50,""),"")</f>
        <v>8.4492167297321856</v>
      </c>
      <c r="AK174" s="180">
        <f>IF(AK$135="Y",IFERROR($M174*(SUM($F$5,$F$6,$F$7,$F$9)/SUMIF($H$5:$H$16,"Y",$F$5:$F$16))*('Emissions Factors'!$T$143*$F$22)/10^6,""),"")</f>
        <v>107.85466948655989</v>
      </c>
      <c r="AL174" s="180"/>
      <c r="AM174" s="180"/>
      <c r="AO174" s="180">
        <f t="shared" si="44"/>
        <v>116.30388621629207</v>
      </c>
      <c r="AP174" s="180">
        <f t="shared" si="45"/>
        <v>0</v>
      </c>
      <c r="AT174" s="478">
        <v>2053</v>
      </c>
      <c r="AU174" s="479">
        <f t="shared" si="46"/>
        <v>193.96269243893198</v>
      </c>
      <c r="AV174" s="479">
        <f t="shared" si="46"/>
        <v>0</v>
      </c>
      <c r="AW174" s="430"/>
      <c r="AX174" s="479">
        <f t="shared" si="38"/>
        <v>58.151943108146035</v>
      </c>
      <c r="AY174" s="479">
        <f t="shared" si="38"/>
        <v>0</v>
      </c>
      <c r="AZ174" s="430"/>
      <c r="BA174" s="479">
        <f t="shared" si="39"/>
        <v>135.81074933078594</v>
      </c>
      <c r="BB174" s="479">
        <f t="shared" si="39"/>
        <v>0</v>
      </c>
      <c r="BC174" s="484"/>
      <c r="BE174" s="480">
        <f t="shared" si="40"/>
        <v>0.29980993961740776</v>
      </c>
      <c r="BF174" s="480" t="str">
        <f t="shared" si="41"/>
        <v/>
      </c>
    </row>
    <row r="175" spans="1:58" ht="15.6" x14ac:dyDescent="0.3">
      <c r="A175" s="152">
        <v>2054</v>
      </c>
      <c r="B175" s="178"/>
      <c r="C175" s="182"/>
      <c r="D175" s="183"/>
      <c r="E175" s="179">
        <f t="shared" si="47"/>
        <v>435.89292715247797</v>
      </c>
      <c r="F175" s="183">
        <f t="shared" si="48"/>
        <v>26.617412458649312</v>
      </c>
      <c r="G175" s="247">
        <f t="shared" si="35"/>
        <v>0.19935949024549299</v>
      </c>
      <c r="H175" s="246"/>
      <c r="I175" s="417"/>
      <c r="J175" s="178"/>
      <c r="K175" s="182"/>
      <c r="L175" s="183"/>
      <c r="M175" s="179">
        <f t="shared" si="36"/>
        <v>657.31041349574321</v>
      </c>
      <c r="N175" s="183">
        <f t="shared" si="49"/>
        <v>44.368556578703988</v>
      </c>
      <c r="O175" s="247">
        <f t="shared" si="37"/>
        <v>0.30062673836808235</v>
      </c>
      <c r="P175" s="246"/>
      <c r="Q175" s="417"/>
      <c r="R175" s="182"/>
      <c r="S175" s="178"/>
      <c r="T175" s="182"/>
      <c r="U175" s="178"/>
      <c r="V175" s="506"/>
      <c r="W175" s="439">
        <f>IF(W$135="Y",IFERROR(E175*($F$8/SUMIF($H$5:$H$16,"Y",$F$5:$F$16))*$F$21*'Emissions Factors'!B51,""),"")</f>
        <v>5.9853361900201234</v>
      </c>
      <c r="X175" s="441">
        <f>IF(X$135="Y",IFERROR($E175*(SUM($F$5,$F$6,$F$7,$F$9)/SUMIF($H$5:$H$16,"Y",$F$5:$F$16))*('Emissions Factors'!$T$143*$F$22)/10^6,""),"")</f>
        <v>76.700729537422973</v>
      </c>
      <c r="Y175" s="180"/>
      <c r="Z175" s="180"/>
      <c r="AA175" s="509"/>
      <c r="AB175" s="180">
        <f t="shared" si="42"/>
        <v>82.686065727443093</v>
      </c>
      <c r="AC175" s="180">
        <f t="shared" si="43"/>
        <v>0</v>
      </c>
      <c r="AE175" s="182"/>
      <c r="AF175" s="178"/>
      <c r="AG175" s="182"/>
      <c r="AH175" s="178"/>
      <c r="AJ175" s="182">
        <f>IF(AJ$135="Y",IFERROR(M175*($F$8/SUMIF($H$5:$H$16,"Y",$F$5:$F$16))*$F$21*'Emissions Factors'!B51,""),"")</f>
        <v>9.0256656185589996</v>
      </c>
      <c r="AK175" s="180">
        <f>IF(AK$135="Y",IFERROR($M175*(SUM($F$5,$F$6,$F$7,$F$9)/SUMIF($H$5:$H$16,"Y",$F$5:$F$16))*('Emissions Factors'!$T$143*$F$22)/10^6,""),"")</f>
        <v>115.6618635154701</v>
      </c>
      <c r="AL175" s="180"/>
      <c r="AM175" s="180"/>
      <c r="AO175" s="180">
        <f t="shared" si="44"/>
        <v>124.68752913402911</v>
      </c>
      <c r="AP175" s="180">
        <f t="shared" si="45"/>
        <v>0</v>
      </c>
      <c r="AT175" s="478">
        <v>2054</v>
      </c>
      <c r="AU175" s="479">
        <f t="shared" si="46"/>
        <v>207.37359486147221</v>
      </c>
      <c r="AV175" s="479">
        <f t="shared" si="46"/>
        <v>0</v>
      </c>
      <c r="AW175" s="430"/>
      <c r="AX175" s="479">
        <f t="shared" si="38"/>
        <v>62.343764567014553</v>
      </c>
      <c r="AY175" s="479">
        <f t="shared" si="38"/>
        <v>0</v>
      </c>
      <c r="AZ175" s="430"/>
      <c r="BA175" s="479">
        <f t="shared" si="39"/>
        <v>145.02983029445767</v>
      </c>
      <c r="BB175" s="479">
        <f t="shared" si="39"/>
        <v>0</v>
      </c>
      <c r="BC175" s="484"/>
      <c r="BE175" s="480">
        <f t="shared" si="40"/>
        <v>0.30063501869011267</v>
      </c>
      <c r="BF175" s="480" t="str">
        <f t="shared" si="41"/>
        <v/>
      </c>
    </row>
    <row r="176" spans="1:58" ht="15.6" x14ac:dyDescent="0.3">
      <c r="A176" s="152">
        <v>2055</v>
      </c>
      <c r="B176" s="178"/>
      <c r="C176" s="182"/>
      <c r="D176" s="183"/>
      <c r="E176" s="179">
        <f t="shared" si="47"/>
        <v>463.79868535772363</v>
      </c>
      <c r="F176" s="183">
        <f t="shared" si="48"/>
        <v>27.905758205245661</v>
      </c>
      <c r="G176" s="247">
        <f t="shared" si="35"/>
        <v>0.20037044870109247</v>
      </c>
      <c r="H176" s="246"/>
      <c r="I176" s="417"/>
      <c r="J176" s="178"/>
      <c r="K176" s="182"/>
      <c r="L176" s="183"/>
      <c r="M176" s="179">
        <f t="shared" si="36"/>
        <v>704.22710533114434</v>
      </c>
      <c r="N176" s="183">
        <f t="shared" si="49"/>
        <v>46.916691835401139</v>
      </c>
      <c r="O176" s="247">
        <f t="shared" si="37"/>
        <v>0.3042404076109852</v>
      </c>
      <c r="P176" s="246"/>
      <c r="Q176" s="417"/>
      <c r="R176" s="182"/>
      <c r="S176" s="178"/>
      <c r="T176" s="182"/>
      <c r="U176" s="178"/>
      <c r="V176" s="506"/>
      <c r="W176" s="439">
        <f>IF(W$135="Y",IFERROR(E176*($F$8/SUMIF($H$5:$H$16,"Y",$F$5:$F$16))*$F$21*'Emissions Factors'!B52,""),"")</f>
        <v>6.3426329710233391</v>
      </c>
      <c r="X176" s="441">
        <f>IF(X$135="Y",IFERROR($E176*(SUM($F$5,$F$6,$F$7,$F$9)/SUMIF($H$5:$H$16,"Y",$F$5:$F$16))*('Emissions Factors'!$T$143*$F$22)/10^6,""),"")</f>
        <v>81.611091416014659</v>
      </c>
      <c r="Y176" s="180"/>
      <c r="Z176" s="180"/>
      <c r="AA176" s="509"/>
      <c r="AB176" s="180">
        <f t="shared" si="42"/>
        <v>87.953724387037994</v>
      </c>
      <c r="AC176" s="180">
        <f t="shared" si="43"/>
        <v>0</v>
      </c>
      <c r="AE176" s="182"/>
      <c r="AF176" s="178"/>
      <c r="AG176" s="182"/>
      <c r="AH176" s="178"/>
      <c r="AJ176" s="182">
        <f>IF(AJ$135="Y",IFERROR(M176*($F$8/SUMIF($H$5:$H$16,"Y",$F$5:$F$16))*$F$21*'Emissions Factors'!B52,""),"")</f>
        <v>9.6305880080633557</v>
      </c>
      <c r="AK176" s="180">
        <f>IF(AK$135="Y",IFERROR($M176*(SUM($F$5,$F$6,$F$7,$F$9)/SUMIF($H$5:$H$16,"Y",$F$5:$F$16))*('Emissions Factors'!$T$143*$F$22)/10^6,""),"")</f>
        <v>123.91743332883146</v>
      </c>
      <c r="AL176" s="180"/>
      <c r="AM176" s="180"/>
      <c r="AO176" s="180">
        <f t="shared" si="44"/>
        <v>133.54802133689481</v>
      </c>
      <c r="AP176" s="180">
        <f t="shared" si="45"/>
        <v>0</v>
      </c>
      <c r="AT176" s="478">
        <v>2055</v>
      </c>
      <c r="AU176" s="479">
        <f t="shared" si="46"/>
        <v>221.5017457239328</v>
      </c>
      <c r="AV176" s="479">
        <f t="shared" si="46"/>
        <v>0</v>
      </c>
      <c r="AW176" s="430"/>
      <c r="AX176" s="479">
        <f t="shared" si="38"/>
        <v>66.774010668447403</v>
      </c>
      <c r="AY176" s="479">
        <f t="shared" si="38"/>
        <v>0</v>
      </c>
      <c r="AZ176" s="430"/>
      <c r="BA176" s="479">
        <f t="shared" si="39"/>
        <v>154.7277350554854</v>
      </c>
      <c r="BB176" s="479">
        <f t="shared" si="39"/>
        <v>0</v>
      </c>
      <c r="BC176" s="484"/>
      <c r="BE176" s="480">
        <f t="shared" si="40"/>
        <v>0.30146042619307722</v>
      </c>
      <c r="BF176" s="480" t="str">
        <f t="shared" si="41"/>
        <v/>
      </c>
    </row>
    <row r="177" spans="1:58" ht="15.6" x14ac:dyDescent="0.3">
      <c r="A177" s="152">
        <v>2056</v>
      </c>
      <c r="B177" s="178"/>
      <c r="C177" s="182"/>
      <c r="D177" s="183"/>
      <c r="E177" s="179">
        <f t="shared" si="47"/>
        <v>493.01984013915717</v>
      </c>
      <c r="F177" s="183">
        <f t="shared" si="48"/>
        <v>29.22115478143354</v>
      </c>
      <c r="G177" s="247">
        <f t="shared" si="35"/>
        <v>0.20134143000559787</v>
      </c>
      <c r="H177" s="246"/>
      <c r="I177" s="417"/>
      <c r="J177" s="178"/>
      <c r="K177" s="182"/>
      <c r="L177" s="183"/>
      <c r="M177" s="179">
        <f t="shared" si="36"/>
        <v>753.78060497694798</v>
      </c>
      <c r="N177" s="183">
        <f t="shared" si="49"/>
        <v>49.55349964580364</v>
      </c>
      <c r="O177" s="247">
        <f t="shared" si="37"/>
        <v>0.30783196244943484</v>
      </c>
      <c r="P177" s="246"/>
      <c r="Q177" s="417"/>
      <c r="R177" s="182"/>
      <c r="S177" s="178"/>
      <c r="T177" s="182"/>
      <c r="U177" s="178"/>
      <c r="V177" s="506"/>
      <c r="W177" s="439">
        <f>IF(W$135="Y",IFERROR(E177*($F$8/SUMIF($H$5:$H$16,"Y",$F$5:$F$16))*$F$21*'Emissions Factors'!B53,""),"")</f>
        <v>6.7152477721560038</v>
      </c>
      <c r="X177" s="441">
        <f>IF(X$135="Y",IFERROR($E177*(SUM($F$5,$F$6,$F$7,$F$9)/SUMIF($H$5:$H$16,"Y",$F$5:$F$16))*('Emissions Factors'!$T$143*$F$22)/10^6,""),"")</f>
        <v>86.752913524263491</v>
      </c>
      <c r="Y177" s="180"/>
      <c r="Z177" s="180"/>
      <c r="AA177" s="509"/>
      <c r="AB177" s="180">
        <f t="shared" si="42"/>
        <v>93.468161296419495</v>
      </c>
      <c r="AC177" s="180">
        <f t="shared" si="43"/>
        <v>0</v>
      </c>
      <c r="AE177" s="182"/>
      <c r="AF177" s="178"/>
      <c r="AG177" s="182"/>
      <c r="AH177" s="178"/>
      <c r="AJ177" s="182">
        <f>IF(AJ$135="Y",IFERROR(M177*($F$8/SUMIF($H$5:$H$16,"Y",$F$5:$F$16))*$F$21*'Emissions Factors'!B53,""),"")</f>
        <v>10.266977342812677</v>
      </c>
      <c r="AK177" s="180">
        <f>IF(AK$135="Y",IFERROR($M177*(SUM($F$5,$F$6,$F$7,$F$9)/SUMIF($H$5:$H$16,"Y",$F$5:$F$16))*('Emissions Factors'!$T$143*$F$22)/10^6,""),"")</f>
        <v>132.63698195467103</v>
      </c>
      <c r="AL177" s="180"/>
      <c r="AM177" s="180"/>
      <c r="AO177" s="180">
        <f t="shared" si="44"/>
        <v>142.90395929748371</v>
      </c>
      <c r="AP177" s="180">
        <f t="shared" si="45"/>
        <v>0</v>
      </c>
      <c r="AT177" s="478">
        <v>2056</v>
      </c>
      <c r="AU177" s="479">
        <f t="shared" si="46"/>
        <v>236.37212059390322</v>
      </c>
      <c r="AV177" s="479">
        <f t="shared" si="46"/>
        <v>0</v>
      </c>
      <c r="AW177" s="430"/>
      <c r="AX177" s="479">
        <f t="shared" si="38"/>
        <v>71.451979648741855</v>
      </c>
      <c r="AY177" s="479">
        <f t="shared" si="38"/>
        <v>0</v>
      </c>
      <c r="AZ177" s="430"/>
      <c r="BA177" s="479">
        <f t="shared" si="39"/>
        <v>164.92014094516136</v>
      </c>
      <c r="BB177" s="479">
        <f t="shared" si="39"/>
        <v>0</v>
      </c>
      <c r="BC177" s="484"/>
      <c r="BE177" s="480">
        <f t="shared" si="40"/>
        <v>0.30228598647426452</v>
      </c>
      <c r="BF177" s="480" t="str">
        <f t="shared" si="41"/>
        <v/>
      </c>
    </row>
    <row r="178" spans="1:58" ht="15.6" x14ac:dyDescent="0.3">
      <c r="A178" s="152">
        <v>2057</v>
      </c>
      <c r="B178" s="178"/>
      <c r="C178" s="182"/>
      <c r="D178" s="183"/>
      <c r="E178" s="179">
        <f t="shared" si="47"/>
        <v>523.57387198680601</v>
      </c>
      <c r="F178" s="183">
        <f t="shared" si="48"/>
        <v>30.554031847648844</v>
      </c>
      <c r="G178" s="247">
        <f t="shared" si="35"/>
        <v>0.20226989889589606</v>
      </c>
      <c r="H178" s="246"/>
      <c r="I178" s="417"/>
      <c r="J178" s="178"/>
      <c r="K178" s="182"/>
      <c r="L178" s="183"/>
      <c r="M178" s="179">
        <f t="shared" si="36"/>
        <v>806.04655907286849</v>
      </c>
      <c r="N178" s="183">
        <f t="shared" si="49"/>
        <v>52.265954095920506</v>
      </c>
      <c r="O178" s="247">
        <f t="shared" si="37"/>
        <v>0.31139627993728947</v>
      </c>
      <c r="P178" s="246"/>
      <c r="Q178" s="417"/>
      <c r="R178" s="182"/>
      <c r="S178" s="178"/>
      <c r="T178" s="182"/>
      <c r="U178" s="178"/>
      <c r="V178" s="506"/>
      <c r="W178" s="439">
        <f>IF(W$135="Y",IFERROR(E178*($F$8/SUMIF($H$5:$H$16,"Y",$F$5:$F$16))*$F$21*'Emissions Factors'!B54,""),"")</f>
        <v>7.1014812724646639</v>
      </c>
      <c r="X178" s="441">
        <f>IF(X$135="Y",IFERROR($E178*(SUM($F$5,$F$6,$F$7,$F$9)/SUMIF($H$5:$H$16,"Y",$F$5:$F$16))*('Emissions Factors'!$T$143*$F$22)/10^6,""),"")</f>
        <v>92.129271769701447</v>
      </c>
      <c r="Y178" s="180"/>
      <c r="Z178" s="180"/>
      <c r="AA178" s="509"/>
      <c r="AB178" s="180">
        <f t="shared" si="42"/>
        <v>99.230753042166114</v>
      </c>
      <c r="AC178" s="180">
        <f t="shared" si="43"/>
        <v>0</v>
      </c>
      <c r="AE178" s="182"/>
      <c r="AF178" s="178"/>
      <c r="AG178" s="182"/>
      <c r="AH178" s="178"/>
      <c r="AJ178" s="182">
        <f>IF(AJ$135="Y",IFERROR(M178*($F$8/SUMIF($H$5:$H$16,"Y",$F$5:$F$16))*$F$21*'Emissions Factors'!B54,""),"")</f>
        <v>10.932792582389988</v>
      </c>
      <c r="AK178" s="180">
        <f>IF(AK$135="Y",IFERROR($M178*(SUM($F$5,$F$6,$F$7,$F$9)/SUMIF($H$5:$H$16,"Y",$F$5:$F$16))*('Emissions Factors'!$T$143*$F$22)/10^6,""),"")</f>
        <v>141.83382035100556</v>
      </c>
      <c r="AL178" s="180"/>
      <c r="AM178" s="180"/>
      <c r="AO178" s="180">
        <f t="shared" si="44"/>
        <v>152.76661293339555</v>
      </c>
      <c r="AP178" s="180">
        <f t="shared" si="45"/>
        <v>0</v>
      </c>
      <c r="AT178" s="478">
        <v>2057</v>
      </c>
      <c r="AU178" s="479">
        <f t="shared" si="46"/>
        <v>251.99736597556165</v>
      </c>
      <c r="AV178" s="479">
        <f t="shared" si="46"/>
        <v>0</v>
      </c>
      <c r="AW178" s="430"/>
      <c r="AX178" s="479">
        <f t="shared" si="38"/>
        <v>76.383306466697775</v>
      </c>
      <c r="AY178" s="479">
        <f t="shared" si="38"/>
        <v>0</v>
      </c>
      <c r="AZ178" s="430"/>
      <c r="BA178" s="479">
        <f t="shared" si="39"/>
        <v>175.61405950886387</v>
      </c>
      <c r="BB178" s="479">
        <f t="shared" si="39"/>
        <v>0</v>
      </c>
      <c r="BC178" s="484"/>
      <c r="BE178" s="480">
        <f t="shared" si="40"/>
        <v>0.30311152726138146</v>
      </c>
      <c r="BF178" s="480" t="str">
        <f t="shared" si="41"/>
        <v/>
      </c>
    </row>
    <row r="179" spans="1:58" ht="15.6" x14ac:dyDescent="0.3">
      <c r="A179" s="152">
        <v>2058</v>
      </c>
      <c r="B179" s="178"/>
      <c r="C179" s="182"/>
      <c r="D179" s="183"/>
      <c r="E179" s="179">
        <f t="shared" si="47"/>
        <v>555.44540217528356</v>
      </c>
      <c r="F179" s="183">
        <f t="shared" si="48"/>
        <v>31.87153018847755</v>
      </c>
      <c r="G179" s="247">
        <f t="shared" si="35"/>
        <v>0.20315103814201926</v>
      </c>
      <c r="H179" s="246"/>
      <c r="I179" s="417"/>
      <c r="J179" s="178"/>
      <c r="K179" s="182"/>
      <c r="L179" s="183"/>
      <c r="M179" s="179">
        <f t="shared" si="36"/>
        <v>861.04855413703467</v>
      </c>
      <c r="N179" s="183">
        <f t="shared" si="49"/>
        <v>55.001995064166181</v>
      </c>
      <c r="O179" s="247">
        <f t="shared" si="37"/>
        <v>0.31492367562783846</v>
      </c>
      <c r="P179" s="246"/>
      <c r="Q179" s="417"/>
      <c r="R179" s="182"/>
      <c r="S179" s="178"/>
      <c r="T179" s="182"/>
      <c r="U179" s="178"/>
      <c r="V179" s="506"/>
      <c r="W179" s="439">
        <f>IF(W$135="Y",IFERROR(E179*($F$8/SUMIF($H$5:$H$16,"Y",$F$5:$F$16))*$F$21*'Emissions Factors'!B55,""),"")</f>
        <v>7.5012850266844051</v>
      </c>
      <c r="X179" s="441">
        <f>IF(X$135="Y",IFERROR($E179*(SUM($F$5,$F$6,$F$7,$F$9)/SUMIF($H$5:$H$16,"Y",$F$5:$F$16))*('Emissions Factors'!$T$143*$F$22)/10^6,""),"")</f>
        <v>97.737460076173107</v>
      </c>
      <c r="Y179" s="180"/>
      <c r="Z179" s="180"/>
      <c r="AA179" s="509"/>
      <c r="AB179" s="180">
        <f t="shared" si="42"/>
        <v>105.23874510285751</v>
      </c>
      <c r="AC179" s="180">
        <f t="shared" si="43"/>
        <v>0</v>
      </c>
      <c r="AE179" s="182"/>
      <c r="AF179" s="178"/>
      <c r="AG179" s="182"/>
      <c r="AH179" s="178"/>
      <c r="AJ179" s="182">
        <f>IF(AJ$135="Y",IFERROR(M179*($F$8/SUMIF($H$5:$H$16,"Y",$F$5:$F$16))*$F$21*'Emissions Factors'!B55,""),"")</f>
        <v>11.628452771597734</v>
      </c>
      <c r="AK179" s="180">
        <f>IF(AK$135="Y",IFERROR($M179*(SUM($F$5,$F$6,$F$7,$F$9)/SUMIF($H$5:$H$16,"Y",$F$5:$F$16))*('Emissions Factors'!$T$143*$F$22)/10^6,""),"")</f>
        <v>151.51209885622106</v>
      </c>
      <c r="AL179" s="180"/>
      <c r="AM179" s="180"/>
      <c r="AO179" s="180">
        <f t="shared" si="44"/>
        <v>163.14055162781878</v>
      </c>
      <c r="AP179" s="180">
        <f t="shared" si="45"/>
        <v>0</v>
      </c>
      <c r="AT179" s="478">
        <v>2058</v>
      </c>
      <c r="AU179" s="479">
        <f t="shared" si="46"/>
        <v>268.37929673067629</v>
      </c>
      <c r="AV179" s="479">
        <f t="shared" si="46"/>
        <v>0</v>
      </c>
      <c r="AW179" s="430"/>
      <c r="AX179" s="479">
        <f t="shared" si="38"/>
        <v>81.57027581390939</v>
      </c>
      <c r="AY179" s="479">
        <f t="shared" si="38"/>
        <v>0</v>
      </c>
      <c r="AZ179" s="430"/>
      <c r="BA179" s="479">
        <f t="shared" si="39"/>
        <v>186.80902091676688</v>
      </c>
      <c r="BB179" s="479">
        <f t="shared" si="39"/>
        <v>0</v>
      </c>
      <c r="BC179" s="484"/>
      <c r="BE179" s="480">
        <f t="shared" si="40"/>
        <v>0.30393654356940469</v>
      </c>
      <c r="BF179" s="480" t="str">
        <f t="shared" si="41"/>
        <v/>
      </c>
    </row>
    <row r="180" spans="1:58" ht="15.6" x14ac:dyDescent="0.3">
      <c r="A180" s="152">
        <v>2059</v>
      </c>
      <c r="B180" s="178"/>
      <c r="C180" s="182"/>
      <c r="D180" s="183"/>
      <c r="E180" s="179">
        <f t="shared" si="47"/>
        <v>588.60544849616838</v>
      </c>
      <c r="F180" s="183">
        <f t="shared" si="48"/>
        <v>33.160046320884817</v>
      </c>
      <c r="G180" s="247">
        <f t="shared" si="35"/>
        <v>0.20398065307842617</v>
      </c>
      <c r="H180" s="246"/>
      <c r="I180" s="417"/>
      <c r="J180" s="178"/>
      <c r="K180" s="182"/>
      <c r="L180" s="183"/>
      <c r="M180" s="179">
        <f t="shared" si="36"/>
        <v>918.78665882529015</v>
      </c>
      <c r="N180" s="183">
        <f t="shared" si="49"/>
        <v>57.738104688255476</v>
      </c>
      <c r="O180" s="247">
        <f t="shared" si="37"/>
        <v>0.3184046345234397</v>
      </c>
      <c r="P180" s="246"/>
      <c r="Q180" s="417"/>
      <c r="R180" s="182"/>
      <c r="S180" s="178"/>
      <c r="T180" s="182"/>
      <c r="U180" s="178"/>
      <c r="V180" s="506"/>
      <c r="W180" s="439">
        <f>IF(W$135="Y",IFERROR(E180*($F$8/SUMIF($H$5:$H$16,"Y",$F$5:$F$16))*$F$21*'Emissions Factors'!B56,""),"")</f>
        <v>7.913888935961368</v>
      </c>
      <c r="X180" s="441">
        <f>IF(X$135="Y",IFERROR($E180*(SUM($F$5,$F$6,$F$7,$F$9)/SUMIF($H$5:$H$16,"Y",$F$5:$F$16))*('Emissions Factors'!$T$143*$F$22)/10^6,""),"")</f>
        <v>103.57237866712541</v>
      </c>
      <c r="Y180" s="180"/>
      <c r="Z180" s="180"/>
      <c r="AA180" s="509"/>
      <c r="AB180" s="180">
        <f t="shared" si="42"/>
        <v>111.48626760308677</v>
      </c>
      <c r="AC180" s="180">
        <f t="shared" si="43"/>
        <v>0</v>
      </c>
      <c r="AE180" s="182"/>
      <c r="AF180" s="178"/>
      <c r="AG180" s="182"/>
      <c r="AH180" s="178"/>
      <c r="AJ180" s="182">
        <f>IF(AJ$135="Y",IFERROR(M180*($F$8/SUMIF($H$5:$H$16,"Y",$F$5:$F$16))*$F$21*'Emissions Factors'!B56,""),"")</f>
        <v>12.353225054853883</v>
      </c>
      <c r="AK180" s="180">
        <f>IF(AK$135="Y",IFERROR($M180*(SUM($F$5,$F$6,$F$7,$F$9)/SUMIF($H$5:$H$16,"Y",$F$5:$F$16))*('Emissions Factors'!$T$143*$F$22)/10^6,""),"")</f>
        <v>161.67182955115879</v>
      </c>
      <c r="AL180" s="180"/>
      <c r="AM180" s="180"/>
      <c r="AO180" s="180">
        <f t="shared" si="44"/>
        <v>174.02505460601267</v>
      </c>
      <c r="AP180" s="180">
        <f t="shared" si="45"/>
        <v>0</v>
      </c>
      <c r="AT180" s="478">
        <v>2059</v>
      </c>
      <c r="AU180" s="479">
        <f t="shared" si="46"/>
        <v>285.51132220909943</v>
      </c>
      <c r="AV180" s="479">
        <f t="shared" si="46"/>
        <v>0</v>
      </c>
      <c r="AW180" s="430"/>
      <c r="AX180" s="479">
        <f t="shared" si="38"/>
        <v>87.012527303006337</v>
      </c>
      <c r="AY180" s="479">
        <f t="shared" si="38"/>
        <v>0</v>
      </c>
      <c r="AZ180" s="430"/>
      <c r="BA180" s="479">
        <f t="shared" si="39"/>
        <v>198.49879490609311</v>
      </c>
      <c r="BB180" s="479">
        <f t="shared" si="39"/>
        <v>0</v>
      </c>
      <c r="BC180" s="484"/>
      <c r="BE180" s="480">
        <f t="shared" si="40"/>
        <v>0.30476033885367643</v>
      </c>
      <c r="BF180" s="480" t="str">
        <f t="shared" si="41"/>
        <v/>
      </c>
    </row>
    <row r="181" spans="1:58" ht="15.6" x14ac:dyDescent="0.3">
      <c r="A181" s="152">
        <v>2060</v>
      </c>
      <c r="B181" s="178"/>
      <c r="C181" s="182"/>
      <c r="D181" s="183"/>
      <c r="E181" s="179">
        <f t="shared" si="47"/>
        <v>623.0134754840177</v>
      </c>
      <c r="F181" s="183">
        <f t="shared" si="48"/>
        <v>34.408026987849325</v>
      </c>
      <c r="G181" s="247">
        <f t="shared" si="35"/>
        <v>0.2047602141095993</v>
      </c>
      <c r="H181" s="246"/>
      <c r="I181" s="417"/>
      <c r="J181" s="178"/>
      <c r="K181" s="182"/>
      <c r="L181" s="183"/>
      <c r="M181" s="179">
        <f t="shared" si="36"/>
        <v>979.24761200879664</v>
      </c>
      <c r="N181" s="183">
        <f t="shared" si="49"/>
        <v>60.46095318350649</v>
      </c>
      <c r="O181" s="247">
        <f t="shared" si="37"/>
        <v>0.32184047150097123</v>
      </c>
      <c r="P181" s="246"/>
      <c r="Q181" s="417"/>
      <c r="R181" s="182"/>
      <c r="S181" s="178"/>
      <c r="T181" s="182"/>
      <c r="U181" s="178"/>
      <c r="V181" s="506"/>
      <c r="W181" s="439">
        <f>IF(W$135="Y",IFERROR(E181*($F$8/SUMIF($H$5:$H$16,"Y",$F$5:$F$16))*$F$21*'Emissions Factors'!B57,""),"")</f>
        <v>8.3411518529312207</v>
      </c>
      <c r="X181" s="441">
        <f>IF(X$135="Y",IFERROR($E181*(SUM($F$5,$F$6,$F$7,$F$9)/SUMIF($H$5:$H$16,"Y",$F$5:$F$16))*('Emissions Factors'!$T$143*$F$22)/10^6,""),"")</f>
        <v>109.62689482812793</v>
      </c>
      <c r="Y181" s="180"/>
      <c r="Z181" s="180"/>
      <c r="AA181" s="509"/>
      <c r="AB181" s="180">
        <f t="shared" si="42"/>
        <v>117.96804668105915</v>
      </c>
      <c r="AC181" s="180">
        <f t="shared" si="43"/>
        <v>0</v>
      </c>
      <c r="AE181" s="182"/>
      <c r="AF181" s="178"/>
      <c r="AG181" s="182"/>
      <c r="AH181" s="178"/>
      <c r="AJ181" s="182">
        <f>IF(AJ$135="Y",IFERROR(M181*($F$8/SUMIF($H$5:$H$16,"Y",$F$5:$F$16))*$F$21*'Emissions Factors'!B57,""),"")</f>
        <v>13.110555958745362</v>
      </c>
      <c r="AK181" s="180">
        <f>IF(AK$135="Y",IFERROR($M181*(SUM($F$5,$F$6,$F$7,$F$9)/SUMIF($H$5:$H$16,"Y",$F$5:$F$16))*('Emissions Factors'!$T$143*$F$22)/10^6,""),"")</f>
        <v>172.31067897685901</v>
      </c>
      <c r="AL181" s="180"/>
      <c r="AM181" s="180"/>
      <c r="AO181" s="180">
        <f t="shared" si="44"/>
        <v>185.42123493560436</v>
      </c>
      <c r="AP181" s="180">
        <f t="shared" si="45"/>
        <v>0</v>
      </c>
      <c r="AT181" s="478">
        <v>2060</v>
      </c>
      <c r="AU181" s="479">
        <f t="shared" si="46"/>
        <v>303.38928161666354</v>
      </c>
      <c r="AV181" s="479">
        <f t="shared" si="46"/>
        <v>0</v>
      </c>
      <c r="AW181" s="430"/>
      <c r="AX181" s="479">
        <f t="shared" si="38"/>
        <v>92.71061746780218</v>
      </c>
      <c r="AY181" s="479">
        <f t="shared" si="38"/>
        <v>0</v>
      </c>
      <c r="AZ181" s="430"/>
      <c r="BA181" s="479">
        <f t="shared" si="39"/>
        <v>210.67866414886134</v>
      </c>
      <c r="BB181" s="479">
        <f t="shared" si="39"/>
        <v>0</v>
      </c>
      <c r="BC181" s="484"/>
      <c r="BE181" s="480">
        <f t="shared" si="40"/>
        <v>0.30558303501619183</v>
      </c>
      <c r="BF181" s="480" t="str">
        <f t="shared" si="41"/>
        <v/>
      </c>
    </row>
    <row r="182" spans="1:58" x14ac:dyDescent="0.25">
      <c r="BA182" s="484"/>
    </row>
    <row r="183" spans="1:58" x14ac:dyDescent="0.25">
      <c r="BA183" s="484"/>
    </row>
    <row r="184" spans="1:58" x14ac:dyDescent="0.25">
      <c r="BA184" s="484"/>
    </row>
    <row r="185" spans="1:58" x14ac:dyDescent="0.25">
      <c r="BA185" s="484"/>
    </row>
    <row r="186" spans="1:58" x14ac:dyDescent="0.25">
      <c r="BA186" s="484"/>
    </row>
    <row r="187" spans="1:58" x14ac:dyDescent="0.25">
      <c r="BA187" s="484"/>
    </row>
    <row r="188" spans="1:58" x14ac:dyDescent="0.25">
      <c r="BA188" s="484"/>
    </row>
    <row r="189" spans="1:58" ht="13.5" customHeight="1" thickBot="1" x14ac:dyDescent="0.3">
      <c r="BC189" s="484"/>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484"/>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SpaceHeating_cluster</v>
      </c>
      <c r="Z191" s="607"/>
      <c r="AA191" s="608"/>
      <c r="AB191" s="445"/>
      <c r="AC191" s="606" t="str">
        <f ca="1">CONCATENATE("Table 14(b): EMISSIONS ALLOCATION TO Education in MDC, ",A1)</f>
        <v>Table 14(b): EMISSIONS ALLOCATION TO Education in MDC, SpaceHeating_cluster</v>
      </c>
      <c r="AD191" s="608"/>
      <c r="AE191" s="446"/>
      <c r="AF191" s="606" t="str">
        <f ca="1">CONCATENATE("Table 14(c): EMISSIONS ALLOCATION TO Family Planning in MDC, ",$A$1)</f>
        <v>Table 14(c): EMISSIONS ALLOCATION TO Family Planning in MDC, SpaceHeating_cluster</v>
      </c>
      <c r="AG191" s="608"/>
      <c r="AH191" s="484"/>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484"/>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484"/>
      <c r="AJ193" s="481" t="s">
        <v>227</v>
      </c>
      <c r="AK193" s="481" t="s">
        <v>228</v>
      </c>
    </row>
    <row r="194" spans="1:37" ht="15.6" x14ac:dyDescent="0.3">
      <c r="A194" s="152">
        <v>2014</v>
      </c>
      <c r="B194" s="178"/>
      <c r="C194" s="182"/>
      <c r="D194" s="183"/>
      <c r="E194" s="179">
        <f>IFERROR(IF($G$19="Y",$F$19,$AD80)*(SUMIF($H$5:$H$16,"Y",$F$5:$F$16)*(AL29-B29)),0)</f>
        <v>0</v>
      </c>
      <c r="F194" s="183" t="str">
        <f>IFERROR(E194-E193,"")</f>
        <v/>
      </c>
      <c r="G194" s="247">
        <f>E194/(AL29-B29)</f>
        <v>0</v>
      </c>
      <c r="H194" s="245" t="s">
        <v>264</v>
      </c>
      <c r="I194" s="416"/>
      <c r="J194" s="416"/>
      <c r="K194" s="167" t="s">
        <v>213</v>
      </c>
      <c r="L194" s="167" t="s">
        <v>213</v>
      </c>
      <c r="M194" s="167" t="s">
        <v>211</v>
      </c>
      <c r="N194" s="167" t="s">
        <v>211</v>
      </c>
      <c r="O194" s="495"/>
      <c r="P194" s="167" t="s">
        <v>213</v>
      </c>
      <c r="Q194" s="167" t="s">
        <v>213</v>
      </c>
      <c r="R194" s="167" t="s">
        <v>211</v>
      </c>
      <c r="S194" s="167" t="s">
        <v>211</v>
      </c>
      <c r="T194" s="496"/>
      <c r="U194" s="496"/>
      <c r="V194" s="496"/>
      <c r="Y194" s="478">
        <v>2014</v>
      </c>
      <c r="Z194" s="479">
        <f>U194</f>
        <v>0</v>
      </c>
      <c r="AA194" s="479">
        <f>V194</f>
        <v>0</v>
      </c>
      <c r="AB194" s="430"/>
      <c r="AC194" s="512"/>
      <c r="AD194" s="479"/>
      <c r="AE194" s="430"/>
      <c r="AF194" s="479">
        <f>Z194-AC194</f>
        <v>0</v>
      </c>
      <c r="AG194" s="479">
        <f t="shared" ref="AG194:AG240" si="50">AA194-AD194</f>
        <v>0</v>
      </c>
      <c r="AH194" s="484"/>
      <c r="AJ194" s="480" t="str">
        <f t="shared" ref="AJ194:AJ240" si="51">IFERROR(AC194/Z194,"")</f>
        <v/>
      </c>
      <c r="AK194" s="480" t="str">
        <f t="shared" ref="AK194:AK240" si="52">IFERROR(AG194/(AD194+AG194),"")</f>
        <v/>
      </c>
    </row>
    <row r="195" spans="1:37" ht="15.6" x14ac:dyDescent="0.3">
      <c r="A195" s="152">
        <v>2015</v>
      </c>
      <c r="B195" s="178"/>
      <c r="C195" s="182"/>
      <c r="D195" s="183"/>
      <c r="E195" s="179">
        <f t="shared" ref="E195:E240" si="53">IFERROR(IF($G$19="Y",$F$19,$AD81)*(SUMIF($H$5:$H$16,"Y",$F$5:$F$16)*(AL30-B30)),0)</f>
        <v>0</v>
      </c>
      <c r="F195" s="183">
        <f>IFERROR(E195-E194,"")</f>
        <v>0</v>
      </c>
      <c r="G195" s="247">
        <f t="shared" ref="G195:G240" si="54">E195/(AL30-B30)</f>
        <v>0</v>
      </c>
      <c r="H195" s="246"/>
      <c r="I195" s="417"/>
      <c r="J195" s="417"/>
      <c r="K195" s="439"/>
      <c r="L195" s="440"/>
      <c r="M195" s="439"/>
      <c r="N195" s="440"/>
      <c r="O195" s="495"/>
      <c r="P195" s="439">
        <f>IF(P$194="Y",IFERROR(E195*($F$8/SUMIF($H$5:$H$16,"Y",$F$5:$F$16))*$F$21*'Emissions Factors'!B12,""),"")</f>
        <v>0</v>
      </c>
      <c r="Q195" s="441">
        <f>IF(Q$194="Y",IFERROR($E195*(SUM($F$5,$F$6,$F$7,$F$9)/SUMIF($H$5:$H$16,"Y",$F$5:$F$16))*('Emissions Factors'!$T$143*$F$22)/10^6,""),"")</f>
        <v>0</v>
      </c>
      <c r="R195" s="441"/>
      <c r="S195" s="441"/>
      <c r="T195" s="496"/>
      <c r="U195" s="441">
        <f t="shared" ref="U195:U240" si="55">SUM(P195:S195)</f>
        <v>0</v>
      </c>
      <c r="V195" s="441">
        <f t="shared" ref="V195:V240" si="56">SUM(K195:N195)</f>
        <v>0</v>
      </c>
      <c r="Y195" s="478">
        <v>2015</v>
      </c>
      <c r="Z195" s="479">
        <f t="shared" ref="Z195:AA240" si="57">U195</f>
        <v>0</v>
      </c>
      <c r="AA195" s="479">
        <f t="shared" si="57"/>
        <v>0</v>
      </c>
      <c r="AB195" s="430"/>
      <c r="AC195" s="479"/>
      <c r="AD195" s="479"/>
      <c r="AE195" s="430"/>
      <c r="AF195" s="479">
        <f t="shared" ref="AF195:AF240" si="58">Z195-AC195</f>
        <v>0</v>
      </c>
      <c r="AG195" s="479">
        <f t="shared" si="50"/>
        <v>0</v>
      </c>
      <c r="AH195" s="484"/>
      <c r="AJ195" s="480" t="str">
        <f t="shared" si="51"/>
        <v/>
      </c>
      <c r="AK195" s="480" t="str">
        <f t="shared" si="52"/>
        <v/>
      </c>
    </row>
    <row r="196" spans="1:37" ht="15.6" x14ac:dyDescent="0.3">
      <c r="A196" s="152">
        <v>2016</v>
      </c>
      <c r="B196" s="178"/>
      <c r="C196" s="182"/>
      <c r="D196" s="183"/>
      <c r="E196" s="179">
        <f t="shared" si="53"/>
        <v>0</v>
      </c>
      <c r="F196" s="183">
        <f t="shared" ref="F196" si="59">IFERROR(E196-E195,"")</f>
        <v>0</v>
      </c>
      <c r="G196" s="247">
        <f t="shared" si="54"/>
        <v>0</v>
      </c>
      <c r="H196" s="246"/>
      <c r="I196" s="417"/>
      <c r="J196" s="417"/>
      <c r="K196" s="439"/>
      <c r="L196" s="440"/>
      <c r="M196" s="439"/>
      <c r="N196" s="440"/>
      <c r="O196" s="495"/>
      <c r="P196" s="439">
        <f>IF(P$194="Y",IFERROR(E196*($F$8/SUMIF($H$5:$H$16,"Y",$F$5:$F$16))*$F$21*'Emissions Factors'!B13,""),"")</f>
        <v>0</v>
      </c>
      <c r="Q196" s="441">
        <f>IF(Q$194="Y",IFERROR($E196*(SUM($F$5,$F$6,$F$7,$F$9)/SUMIF($H$5:$H$16,"Y",$F$5:$F$16))*('Emissions Factors'!$T$143*$F$22)/10^6,""),"")</f>
        <v>0</v>
      </c>
      <c r="R196" s="441"/>
      <c r="S196" s="441"/>
      <c r="T196" s="496"/>
      <c r="U196" s="441">
        <f t="shared" si="55"/>
        <v>0</v>
      </c>
      <c r="V196" s="441">
        <f t="shared" si="56"/>
        <v>0</v>
      </c>
      <c r="Y196" s="478">
        <v>2016</v>
      </c>
      <c r="Z196" s="479">
        <f t="shared" si="57"/>
        <v>0</v>
      </c>
      <c r="AA196" s="479">
        <f t="shared" si="57"/>
        <v>0</v>
      </c>
      <c r="AB196" s="430"/>
      <c r="AC196" s="479"/>
      <c r="AD196" s="479"/>
      <c r="AE196" s="430"/>
      <c r="AF196" s="479">
        <f t="shared" si="58"/>
        <v>0</v>
      </c>
      <c r="AG196" s="479">
        <f t="shared" si="50"/>
        <v>0</v>
      </c>
      <c r="AH196" s="484"/>
      <c r="AJ196" s="480" t="str">
        <f t="shared" si="51"/>
        <v/>
      </c>
      <c r="AK196" s="480" t="str">
        <f t="shared" si="52"/>
        <v/>
      </c>
    </row>
    <row r="197" spans="1:37" ht="15.6" x14ac:dyDescent="0.3">
      <c r="A197" s="152">
        <v>2017</v>
      </c>
      <c r="B197" s="178"/>
      <c r="C197" s="182"/>
      <c r="D197" s="183"/>
      <c r="E197" s="179">
        <f t="shared" si="53"/>
        <v>0</v>
      </c>
      <c r="F197" s="183">
        <f>IFERROR(E197-E196,"")</f>
        <v>0</v>
      </c>
      <c r="G197" s="247">
        <f t="shared" si="54"/>
        <v>0</v>
      </c>
      <c r="H197" s="246"/>
      <c r="I197" s="417"/>
      <c r="J197" s="417"/>
      <c r="K197" s="439"/>
      <c r="L197" s="440"/>
      <c r="M197" s="439"/>
      <c r="N197" s="440"/>
      <c r="O197" s="495"/>
      <c r="P197" s="439">
        <f>IF(P$194="Y",IFERROR(E197*($F$8/SUMIF($H$5:$H$16,"Y",$F$5:$F$16))*$F$21*'Emissions Factors'!B14,""),"")</f>
        <v>0</v>
      </c>
      <c r="Q197" s="441">
        <f>IF(Q$194="Y",IFERROR($E197*(SUM($F$5,$F$6,$F$7,$F$9)/SUMIF($H$5:$H$16,"Y",$F$5:$F$16))*('Emissions Factors'!$T$143*$F$22)/10^6,""),"")</f>
        <v>0</v>
      </c>
      <c r="R197" s="441"/>
      <c r="S197" s="441"/>
      <c r="T197" s="496"/>
      <c r="U197" s="441">
        <f t="shared" si="55"/>
        <v>0</v>
      </c>
      <c r="V197" s="441">
        <f t="shared" si="56"/>
        <v>0</v>
      </c>
      <c r="Y197" s="478">
        <v>2017</v>
      </c>
      <c r="Z197" s="479">
        <f t="shared" si="57"/>
        <v>0</v>
      </c>
      <c r="AA197" s="479">
        <f t="shared" si="57"/>
        <v>0</v>
      </c>
      <c r="AB197" s="430"/>
      <c r="AC197" s="479"/>
      <c r="AD197" s="479"/>
      <c r="AE197" s="430"/>
      <c r="AF197" s="479">
        <f t="shared" si="58"/>
        <v>0</v>
      </c>
      <c r="AG197" s="479">
        <f t="shared" si="50"/>
        <v>0</v>
      </c>
      <c r="AH197" s="484"/>
      <c r="AJ197" s="480" t="str">
        <f t="shared" si="51"/>
        <v/>
      </c>
      <c r="AK197" s="480" t="str">
        <f t="shared" si="52"/>
        <v/>
      </c>
    </row>
    <row r="198" spans="1:37" ht="15.6" x14ac:dyDescent="0.3">
      <c r="A198" s="152">
        <v>2018</v>
      </c>
      <c r="B198" s="178"/>
      <c r="C198" s="182"/>
      <c r="D198" s="183"/>
      <c r="E198" s="179">
        <f t="shared" si="53"/>
        <v>0</v>
      </c>
      <c r="F198" s="183">
        <f t="shared" ref="F198:F240" si="60">IFERROR(E198-E197,"")</f>
        <v>0</v>
      </c>
      <c r="G198" s="247">
        <f t="shared" si="54"/>
        <v>0</v>
      </c>
      <c r="H198" s="246"/>
      <c r="I198" s="417"/>
      <c r="J198" s="417"/>
      <c r="K198" s="439"/>
      <c r="L198" s="440"/>
      <c r="M198" s="439"/>
      <c r="N198" s="440"/>
      <c r="O198" s="495"/>
      <c r="P198" s="439">
        <f>IF(P$194="Y",IFERROR(E198*($F$8/SUMIF($H$5:$H$16,"Y",$F$5:$F$16))*$F$21*'Emissions Factors'!B15,""),"")</f>
        <v>0</v>
      </c>
      <c r="Q198" s="441">
        <f>IF(Q$194="Y",IFERROR($E198*(SUM($F$5,$F$6,$F$7,$F$9)/SUMIF($H$5:$H$16,"Y",$F$5:$F$16))*('Emissions Factors'!$T$143*$F$22)/10^6,""),"")</f>
        <v>0</v>
      </c>
      <c r="R198" s="441"/>
      <c r="S198" s="441"/>
      <c r="T198" s="496"/>
      <c r="U198" s="441">
        <f t="shared" si="55"/>
        <v>0</v>
      </c>
      <c r="V198" s="441">
        <f t="shared" si="56"/>
        <v>0</v>
      </c>
      <c r="Y198" s="478">
        <v>2018</v>
      </c>
      <c r="Z198" s="479">
        <f t="shared" si="57"/>
        <v>0</v>
      </c>
      <c r="AA198" s="479">
        <f t="shared" si="57"/>
        <v>0</v>
      </c>
      <c r="AB198" s="430"/>
      <c r="AC198" s="479"/>
      <c r="AD198" s="479"/>
      <c r="AE198" s="430"/>
      <c r="AF198" s="479">
        <f t="shared" si="58"/>
        <v>0</v>
      </c>
      <c r="AG198" s="479">
        <f t="shared" si="50"/>
        <v>0</v>
      </c>
      <c r="AH198" s="484"/>
      <c r="AJ198" s="480" t="str">
        <f t="shared" si="51"/>
        <v/>
      </c>
      <c r="AK198" s="480" t="str">
        <f t="shared" si="52"/>
        <v/>
      </c>
    </row>
    <row r="199" spans="1:37" ht="15.6" x14ac:dyDescent="0.3">
      <c r="A199" s="152">
        <v>2019</v>
      </c>
      <c r="B199" s="178"/>
      <c r="C199" s="182"/>
      <c r="D199" s="183"/>
      <c r="E199" s="179">
        <f t="shared" si="53"/>
        <v>0</v>
      </c>
      <c r="F199" s="183">
        <f t="shared" si="60"/>
        <v>0</v>
      </c>
      <c r="G199" s="247">
        <f t="shared" si="54"/>
        <v>0</v>
      </c>
      <c r="H199" s="246"/>
      <c r="I199" s="417"/>
      <c r="J199" s="417"/>
      <c r="K199" s="439"/>
      <c r="L199" s="440"/>
      <c r="M199" s="439"/>
      <c r="N199" s="440"/>
      <c r="O199" s="495"/>
      <c r="P199" s="439">
        <f>IF(P$194="Y",IFERROR(E199*($F$8/SUMIF($H$5:$H$16,"Y",$F$5:$F$16))*$F$21*'Emissions Factors'!B16,""),"")</f>
        <v>0</v>
      </c>
      <c r="Q199" s="441">
        <f>IF(Q$194="Y",IFERROR($E199*(SUM($F$5,$F$6,$F$7,$F$9)/SUMIF($H$5:$H$16,"Y",$F$5:$F$16))*('Emissions Factors'!$T$143*$F$22)/10^6,""),"")</f>
        <v>0</v>
      </c>
      <c r="R199" s="441"/>
      <c r="S199" s="441"/>
      <c r="T199" s="496"/>
      <c r="U199" s="441">
        <f t="shared" si="55"/>
        <v>0</v>
      </c>
      <c r="V199" s="441">
        <f t="shared" si="56"/>
        <v>0</v>
      </c>
      <c r="Y199" s="478">
        <v>2019</v>
      </c>
      <c r="Z199" s="479">
        <f t="shared" si="57"/>
        <v>0</v>
      </c>
      <c r="AA199" s="479">
        <f t="shared" si="57"/>
        <v>0</v>
      </c>
      <c r="AB199" s="430"/>
      <c r="AC199" s="479"/>
      <c r="AD199" s="479"/>
      <c r="AE199" s="430"/>
      <c r="AF199" s="479">
        <f t="shared" si="58"/>
        <v>0</v>
      </c>
      <c r="AG199" s="479">
        <f t="shared" si="50"/>
        <v>0</v>
      </c>
      <c r="AH199" s="484"/>
      <c r="AJ199" s="480" t="str">
        <f t="shared" si="51"/>
        <v/>
      </c>
      <c r="AK199" s="480" t="str">
        <f t="shared" si="52"/>
        <v/>
      </c>
    </row>
    <row r="200" spans="1:37" ht="15.6" x14ac:dyDescent="0.3">
      <c r="A200" s="152">
        <v>2020</v>
      </c>
      <c r="B200" s="178"/>
      <c r="C200" s="182"/>
      <c r="D200" s="183"/>
      <c r="E200" s="179">
        <f t="shared" si="53"/>
        <v>0</v>
      </c>
      <c r="F200" s="183">
        <f t="shared" si="60"/>
        <v>0</v>
      </c>
      <c r="G200" s="247">
        <f t="shared" si="54"/>
        <v>0</v>
      </c>
      <c r="H200" s="246"/>
      <c r="I200" s="417"/>
      <c r="J200" s="417"/>
      <c r="K200" s="439"/>
      <c r="L200" s="440"/>
      <c r="M200" s="439"/>
      <c r="N200" s="440"/>
      <c r="O200" s="495"/>
      <c r="P200" s="439">
        <f>IF(P$194="Y",IFERROR(E200*($F$8/SUMIF($H$5:$H$16,"Y",$F$5:$F$16))*$F$21*'Emissions Factors'!B17,""),"")</f>
        <v>0</v>
      </c>
      <c r="Q200" s="441">
        <f>IF(Q$194="Y",IFERROR($E200*(SUM($F$5,$F$6,$F$7,$F$9)/SUMIF($H$5:$H$16,"Y",$F$5:$F$16))*('Emissions Factors'!$T$143*$F$22)/10^6,""),"")</f>
        <v>0</v>
      </c>
      <c r="R200" s="441"/>
      <c r="S200" s="441"/>
      <c r="T200" s="496"/>
      <c r="U200" s="441">
        <f t="shared" si="55"/>
        <v>0</v>
      </c>
      <c r="V200" s="441">
        <f t="shared" si="56"/>
        <v>0</v>
      </c>
      <c r="X200" s="430"/>
      <c r="Y200" s="478">
        <v>2020</v>
      </c>
      <c r="Z200" s="479">
        <f t="shared" si="57"/>
        <v>0</v>
      </c>
      <c r="AA200" s="479">
        <f t="shared" si="57"/>
        <v>0</v>
      </c>
      <c r="AB200" s="430"/>
      <c r="AC200" s="479"/>
      <c r="AD200" s="479"/>
      <c r="AE200" s="430"/>
      <c r="AF200" s="479">
        <f t="shared" si="58"/>
        <v>0</v>
      </c>
      <c r="AG200" s="479">
        <f t="shared" si="50"/>
        <v>0</v>
      </c>
      <c r="AH200" s="484"/>
      <c r="AJ200" s="480" t="str">
        <f t="shared" si="51"/>
        <v/>
      </c>
      <c r="AK200" s="480" t="str">
        <f t="shared" si="52"/>
        <v/>
      </c>
    </row>
    <row r="201" spans="1:37" ht="15.6" x14ac:dyDescent="0.3">
      <c r="A201" s="152">
        <v>2021</v>
      </c>
      <c r="B201" s="178"/>
      <c r="C201" s="182"/>
      <c r="D201" s="183"/>
      <c r="E201" s="179">
        <f t="shared" si="53"/>
        <v>10.132821699787451</v>
      </c>
      <c r="F201" s="183">
        <f t="shared" si="60"/>
        <v>10.132821699787451</v>
      </c>
      <c r="G201" s="247">
        <f t="shared" si="54"/>
        <v>0.66482300457388699</v>
      </c>
      <c r="H201" s="246"/>
      <c r="I201" s="417"/>
      <c r="J201" s="417"/>
      <c r="K201" s="439"/>
      <c r="L201" s="440"/>
      <c r="M201" s="439"/>
      <c r="N201" s="440"/>
      <c r="O201" s="495"/>
      <c r="P201" s="439">
        <f>IF(P$194="Y",IFERROR(E201*($F$8/SUMIF($H$5:$H$16,"Y",$F$5:$F$16))*$F$21*'Emissions Factors'!B18,""),"")</f>
        <v>0.16552607450551415</v>
      </c>
      <c r="Q201" s="441">
        <f>IF(Q$194="Y",IFERROR($E201*(SUM($F$5,$F$6,$F$7,$F$9)/SUMIF($H$5:$H$16,"Y",$F$5:$F$16))*('Emissions Factors'!$T$143*$F$22)/10^6,""),"")</f>
        <v>1.7829947866404825</v>
      </c>
      <c r="R201" s="441"/>
      <c r="S201" s="441"/>
      <c r="T201" s="496"/>
      <c r="U201" s="441">
        <f t="shared" si="55"/>
        <v>1.9485208611459965</v>
      </c>
      <c r="V201" s="441">
        <f t="shared" si="56"/>
        <v>0</v>
      </c>
      <c r="X201" s="430"/>
      <c r="Y201" s="478">
        <v>2021</v>
      </c>
      <c r="Z201" s="479">
        <f t="shared" si="57"/>
        <v>1.9485208611459965</v>
      </c>
      <c r="AA201" s="479">
        <f t="shared" si="57"/>
        <v>0</v>
      </c>
      <c r="AB201" s="430"/>
      <c r="AC201" s="479"/>
      <c r="AD201" s="479"/>
      <c r="AE201" s="430"/>
      <c r="AF201" s="479">
        <f t="shared" si="58"/>
        <v>1.9485208611459965</v>
      </c>
      <c r="AG201" s="479">
        <f t="shared" si="50"/>
        <v>0</v>
      </c>
      <c r="AH201" s="484"/>
      <c r="AJ201" s="480">
        <f t="shared" si="51"/>
        <v>0</v>
      </c>
      <c r="AK201" s="480" t="str">
        <f t="shared" si="52"/>
        <v/>
      </c>
    </row>
    <row r="202" spans="1:37" ht="15.6" x14ac:dyDescent="0.3">
      <c r="A202" s="152">
        <v>2022</v>
      </c>
      <c r="B202" s="178"/>
      <c r="C202" s="182"/>
      <c r="D202" s="183"/>
      <c r="E202" s="179">
        <f t="shared" si="53"/>
        <v>22.555373644836401</v>
      </c>
      <c r="F202" s="183">
        <f t="shared" si="60"/>
        <v>12.42255194504895</v>
      </c>
      <c r="G202" s="247">
        <f t="shared" si="54"/>
        <v>0.65050875723522372</v>
      </c>
      <c r="H202" s="246"/>
      <c r="I202" s="417"/>
      <c r="J202" s="417"/>
      <c r="K202" s="182"/>
      <c r="L202" s="178"/>
      <c r="M202" s="182"/>
      <c r="N202" s="178"/>
      <c r="O202" s="495"/>
      <c r="P202" s="439">
        <f>IF(P$194="Y",IFERROR(E202*($F$8/SUMIF($H$5:$H$16,"Y",$F$5:$F$16))*$F$21*'Emissions Factors'!B19,""),"")</f>
        <v>0.36626567230703561</v>
      </c>
      <c r="Q202" s="441">
        <f>IF(Q$194="Y",IFERROR($E202*(SUM($F$5,$F$6,$F$7,$F$9)/SUMIF($H$5:$H$16,"Y",$F$5:$F$16))*('Emissions Factors'!$T$143*$F$22)/10^6,""),"")</f>
        <v>3.9688958131292318</v>
      </c>
      <c r="R202" s="180"/>
      <c r="S202" s="180"/>
      <c r="T202" s="496"/>
      <c r="U202" s="180">
        <f t="shared" si="55"/>
        <v>4.3351614854362674</v>
      </c>
      <c r="V202" s="180">
        <f t="shared" si="56"/>
        <v>0</v>
      </c>
      <c r="X202" s="430"/>
      <c r="Y202" s="478">
        <v>2022</v>
      </c>
      <c r="Z202" s="479">
        <f t="shared" si="57"/>
        <v>4.3351614854362674</v>
      </c>
      <c r="AA202" s="479">
        <f t="shared" si="57"/>
        <v>0</v>
      </c>
      <c r="AB202" s="430"/>
      <c r="AC202" s="479"/>
      <c r="AD202" s="479"/>
      <c r="AE202" s="430"/>
      <c r="AF202" s="479">
        <f t="shared" si="58"/>
        <v>4.3351614854362674</v>
      </c>
      <c r="AG202" s="479">
        <f t="shared" si="50"/>
        <v>0</v>
      </c>
      <c r="AH202" s="484"/>
      <c r="AJ202" s="480">
        <f t="shared" si="51"/>
        <v>0</v>
      </c>
      <c r="AK202" s="480" t="str">
        <f t="shared" si="52"/>
        <v/>
      </c>
    </row>
    <row r="203" spans="1:37" ht="15.6" x14ac:dyDescent="0.3">
      <c r="A203" s="152">
        <v>2023</v>
      </c>
      <c r="B203" s="178"/>
      <c r="C203" s="182"/>
      <c r="D203" s="183"/>
      <c r="E203" s="179">
        <f t="shared" si="53"/>
        <v>37.030892113159574</v>
      </c>
      <c r="F203" s="183">
        <f t="shared" si="60"/>
        <v>14.475518468323173</v>
      </c>
      <c r="G203" s="247">
        <f t="shared" si="54"/>
        <v>0.64018655516608114</v>
      </c>
      <c r="H203" s="246"/>
      <c r="I203" s="417"/>
      <c r="J203" s="417"/>
      <c r="K203" s="182"/>
      <c r="L203" s="178"/>
      <c r="M203" s="182"/>
      <c r="N203" s="178"/>
      <c r="O203" s="495"/>
      <c r="P203" s="439">
        <f>IF(P$194="Y",IFERROR(E203*($F$8/SUMIF($H$5:$H$16,"Y",$F$5:$F$16))*$F$21*'Emissions Factors'!B20,""),"")</f>
        <v>0.59781645005268635</v>
      </c>
      <c r="Q203" s="441">
        <f>IF(Q$194="Y",IFERROR($E203*(SUM($F$5,$F$6,$F$7,$F$9)/SUMIF($H$5:$H$16,"Y",$F$5:$F$16))*('Emissions Factors'!$T$143*$F$22)/10^6,""),"")</f>
        <v>6.5160415863031176</v>
      </c>
      <c r="R203" s="180"/>
      <c r="S203" s="180"/>
      <c r="T203" s="496"/>
      <c r="U203" s="180">
        <f t="shared" si="55"/>
        <v>7.1138580363558042</v>
      </c>
      <c r="V203" s="180">
        <f t="shared" si="56"/>
        <v>0</v>
      </c>
      <c r="X203" s="430"/>
      <c r="Y203" s="478">
        <v>2023</v>
      </c>
      <c r="Z203" s="479">
        <f t="shared" si="57"/>
        <v>7.1138580363558042</v>
      </c>
      <c r="AA203" s="479">
        <f t="shared" si="57"/>
        <v>0</v>
      </c>
      <c r="AB203" s="430"/>
      <c r="AC203" s="479"/>
      <c r="AD203" s="479"/>
      <c r="AE203" s="430"/>
      <c r="AF203" s="479">
        <f t="shared" si="58"/>
        <v>7.1138580363558042</v>
      </c>
      <c r="AG203" s="479">
        <f t="shared" si="50"/>
        <v>0</v>
      </c>
      <c r="AH203" s="484"/>
      <c r="AJ203" s="480">
        <f t="shared" si="51"/>
        <v>0</v>
      </c>
      <c r="AK203" s="480" t="str">
        <f t="shared" si="52"/>
        <v/>
      </c>
    </row>
    <row r="204" spans="1:37" ht="15.6" x14ac:dyDescent="0.3">
      <c r="A204" s="152">
        <v>2024</v>
      </c>
      <c r="B204" s="178"/>
      <c r="C204" s="182"/>
      <c r="D204" s="183"/>
      <c r="E204" s="179">
        <f t="shared" si="53"/>
        <v>53.450763310087375</v>
      </c>
      <c r="F204" s="183">
        <f t="shared" si="60"/>
        <v>16.419871196927801</v>
      </c>
      <c r="G204" s="247">
        <f t="shared" si="54"/>
        <v>0.6320251523927285</v>
      </c>
      <c r="H204" s="246"/>
      <c r="I204" s="417"/>
      <c r="J204" s="417"/>
      <c r="K204" s="182"/>
      <c r="L204" s="178"/>
      <c r="M204" s="182"/>
      <c r="N204" s="178"/>
      <c r="O204" s="495"/>
      <c r="P204" s="439">
        <f>IF(P$194="Y",IFERROR(E204*($F$8/SUMIF($H$5:$H$16,"Y",$F$5:$F$16))*$F$21*'Emissions Factors'!B21,""),"")</f>
        <v>0.85794116326898961</v>
      </c>
      <c r="Q204" s="441">
        <f>IF(Q$194="Y",IFERROR($E204*(SUM($F$5,$F$6,$F$7,$F$9)/SUMIF($H$5:$H$16,"Y",$F$5:$F$16))*('Emissions Factors'!$T$143*$F$22)/10^6,""),"")</f>
        <v>9.4053201711660677</v>
      </c>
      <c r="R204" s="180"/>
      <c r="S204" s="180"/>
      <c r="T204" s="496"/>
      <c r="U204" s="180">
        <f t="shared" si="55"/>
        <v>10.263261334435057</v>
      </c>
      <c r="V204" s="180">
        <f t="shared" si="56"/>
        <v>0</v>
      </c>
      <c r="X204" s="430"/>
      <c r="Y204" s="478">
        <v>2024</v>
      </c>
      <c r="Z204" s="479">
        <f t="shared" si="57"/>
        <v>10.263261334435057</v>
      </c>
      <c r="AA204" s="479">
        <f t="shared" si="57"/>
        <v>0</v>
      </c>
      <c r="AB204" s="430"/>
      <c r="AC204" s="479"/>
      <c r="AD204" s="479"/>
      <c r="AE204" s="430"/>
      <c r="AF204" s="479">
        <f>Z204-AC204</f>
        <v>10.263261334435057</v>
      </c>
      <c r="AG204" s="479">
        <f t="shared" si="50"/>
        <v>0</v>
      </c>
      <c r="AH204" s="484"/>
      <c r="AJ204" s="480">
        <f t="shared" si="51"/>
        <v>0</v>
      </c>
      <c r="AK204" s="480" t="str">
        <f t="shared" si="52"/>
        <v/>
      </c>
    </row>
    <row r="205" spans="1:37" ht="15.6" x14ac:dyDescent="0.3">
      <c r="A205" s="152">
        <v>2025</v>
      </c>
      <c r="B205" s="178"/>
      <c r="C205" s="182"/>
      <c r="D205" s="183"/>
      <c r="E205" s="179">
        <f t="shared" si="53"/>
        <v>71.731783570849586</v>
      </c>
      <c r="F205" s="183">
        <f t="shared" si="60"/>
        <v>18.281020260762212</v>
      </c>
      <c r="G205" s="247">
        <f t="shared" si="54"/>
        <v>0.62521021779074548</v>
      </c>
      <c r="H205" s="246"/>
      <c r="I205" s="417"/>
      <c r="J205" s="417"/>
      <c r="K205" s="182"/>
      <c r="L205" s="178"/>
      <c r="M205" s="182"/>
      <c r="N205" s="178"/>
      <c r="O205" s="495"/>
      <c r="P205" s="439">
        <f>IF(P$194="Y",IFERROR(E205*($F$8/SUMIF($H$5:$H$16,"Y",$F$5:$F$16))*$F$21*'Emissions Factors'!B22,""),"")</f>
        <v>1.145514270142975</v>
      </c>
      <c r="Q205" s="441">
        <f>IF(Q$194="Y",IFERROR($E205*(SUM($F$5,$F$6,$F$7,$F$9)/SUMIF($H$5:$H$16,"Y",$F$5:$F$16))*('Emissions Factors'!$T$143*$F$22)/10^6,""),"")</f>
        <v>12.622090858060893</v>
      </c>
      <c r="R205" s="180"/>
      <c r="S205" s="180"/>
      <c r="T205" s="496"/>
      <c r="U205" s="180">
        <f t="shared" si="55"/>
        <v>13.767605128203869</v>
      </c>
      <c r="V205" s="180">
        <f t="shared" si="56"/>
        <v>0</v>
      </c>
      <c r="X205" s="430"/>
      <c r="Y205" s="478">
        <v>2025</v>
      </c>
      <c r="Z205" s="479">
        <f t="shared" si="57"/>
        <v>13.767605128203869</v>
      </c>
      <c r="AA205" s="479">
        <f t="shared" si="57"/>
        <v>0</v>
      </c>
      <c r="AB205" s="430"/>
      <c r="AC205" s="479"/>
      <c r="AD205" s="479"/>
      <c r="AE205" s="430"/>
      <c r="AF205" s="479">
        <f t="shared" si="58"/>
        <v>13.767605128203869</v>
      </c>
      <c r="AG205" s="479">
        <f t="shared" si="50"/>
        <v>0</v>
      </c>
      <c r="AH205" s="484"/>
      <c r="AJ205" s="480">
        <f t="shared" si="51"/>
        <v>0</v>
      </c>
      <c r="AK205" s="480" t="str">
        <f t="shared" si="52"/>
        <v/>
      </c>
    </row>
    <row r="206" spans="1:37" ht="15.6" x14ac:dyDescent="0.3">
      <c r="A206" s="152">
        <v>2026</v>
      </c>
      <c r="B206" s="178"/>
      <c r="C206" s="182"/>
      <c r="D206" s="183"/>
      <c r="E206" s="179">
        <f t="shared" si="53"/>
        <v>91.777022879874707</v>
      </c>
      <c r="F206" s="183">
        <f t="shared" si="60"/>
        <v>20.045239309025121</v>
      </c>
      <c r="G206" s="247">
        <f t="shared" si="54"/>
        <v>0.61930784990017806</v>
      </c>
      <c r="H206" s="246"/>
      <c r="I206" s="417"/>
      <c r="J206" s="417"/>
      <c r="K206" s="182"/>
      <c r="L206" s="178"/>
      <c r="M206" s="182"/>
      <c r="N206" s="178"/>
      <c r="O206" s="495"/>
      <c r="P206" s="439">
        <f>IF(P$194="Y",IFERROR(E206*($F$8/SUMIF($H$5:$H$16,"Y",$F$5:$F$16))*$F$21*'Emissions Factors'!B23,""),"")</f>
        <v>1.4566196187079938</v>
      </c>
      <c r="Q206" s="441">
        <f>IF(Q$194="Y",IFERROR($E206*(SUM($F$5,$F$6,$F$7,$F$9)/SUMIF($H$5:$H$16,"Y",$F$5:$F$16))*('Emissions Factors'!$T$143*$F$22)/10^6,""),"")</f>
        <v>16.149297616835931</v>
      </c>
      <c r="R206" s="180"/>
      <c r="S206" s="180"/>
      <c r="T206" s="496"/>
      <c r="U206" s="180">
        <f t="shared" si="55"/>
        <v>17.605917235543924</v>
      </c>
      <c r="V206" s="180">
        <f t="shared" si="56"/>
        <v>0</v>
      </c>
      <c r="X206" s="430"/>
      <c r="Y206" s="478">
        <v>2026</v>
      </c>
      <c r="Z206" s="479">
        <f t="shared" si="57"/>
        <v>17.605917235543924</v>
      </c>
      <c r="AA206" s="479">
        <f t="shared" si="57"/>
        <v>0</v>
      </c>
      <c r="AB206" s="430"/>
      <c r="AC206" s="479"/>
      <c r="AD206" s="479"/>
      <c r="AE206" s="430"/>
      <c r="AF206" s="479">
        <f t="shared" si="58"/>
        <v>17.605917235543924</v>
      </c>
      <c r="AG206" s="479">
        <f t="shared" si="50"/>
        <v>0</v>
      </c>
      <c r="AH206" s="484"/>
      <c r="AJ206" s="480">
        <f t="shared" si="51"/>
        <v>0</v>
      </c>
      <c r="AK206" s="480" t="str">
        <f t="shared" si="52"/>
        <v/>
      </c>
    </row>
    <row r="207" spans="1:37" ht="15.6" x14ac:dyDescent="0.3">
      <c r="A207" s="152">
        <v>2027</v>
      </c>
      <c r="B207" s="178"/>
      <c r="C207" s="182"/>
      <c r="D207" s="183"/>
      <c r="E207" s="179">
        <f>IFERROR(IF($G$19="Y",$F$19,$AD93)*(SUMIF($H$5:$H$16,"Y",$F$5:$F$16)*(AL42-B42)),0)</f>
        <v>113.48962770350236</v>
      </c>
      <c r="F207" s="183">
        <f t="shared" si="60"/>
        <v>21.712604823627657</v>
      </c>
      <c r="G207" s="247">
        <f t="shared" si="54"/>
        <v>0.61403669164884589</v>
      </c>
      <c r="H207" s="246"/>
      <c r="I207" s="417"/>
      <c r="J207" s="417"/>
      <c r="K207" s="182"/>
      <c r="L207" s="178"/>
      <c r="M207" s="182"/>
      <c r="N207" s="178"/>
      <c r="O207" s="495"/>
      <c r="P207" s="439">
        <f>IF(P$194="Y",IFERROR(E207*($F$8/SUMIF($H$5:$H$16,"Y",$F$5:$F$16))*$F$21*'Emissions Factors'!B24,""),"")</f>
        <v>1.7913000838923374</v>
      </c>
      <c r="Q207" s="441">
        <f>IF(Q$194="Y",IFERROR($E207*(SUM($F$5,$F$6,$F$7,$F$9)/SUMIF($H$5:$H$16,"Y",$F$5:$F$16))*('Emissions Factors'!$T$143*$F$22)/10^6,""),"")</f>
        <v>19.96989787527383</v>
      </c>
      <c r="R207" s="180"/>
      <c r="S207" s="180"/>
      <c r="T207" s="496"/>
      <c r="U207" s="180">
        <f t="shared" si="55"/>
        <v>21.761197959166168</v>
      </c>
      <c r="V207" s="180">
        <f t="shared" si="56"/>
        <v>0</v>
      </c>
      <c r="X207" s="430"/>
      <c r="Y207" s="478">
        <v>2027</v>
      </c>
      <c r="Z207" s="479">
        <f t="shared" si="57"/>
        <v>21.761197959166168</v>
      </c>
      <c r="AA207" s="479">
        <f t="shared" si="57"/>
        <v>0</v>
      </c>
      <c r="AB207" s="430"/>
      <c r="AC207" s="479"/>
      <c r="AD207" s="479"/>
      <c r="AE207" s="430"/>
      <c r="AF207" s="479">
        <f t="shared" si="58"/>
        <v>21.761197959166168</v>
      </c>
      <c r="AG207" s="479">
        <f t="shared" si="50"/>
        <v>0</v>
      </c>
      <c r="AH207" s="484"/>
      <c r="AJ207" s="480">
        <f t="shared" si="51"/>
        <v>0</v>
      </c>
      <c r="AK207" s="480" t="str">
        <f t="shared" si="52"/>
        <v/>
      </c>
    </row>
    <row r="208" spans="1:37" ht="15.6" x14ac:dyDescent="0.3">
      <c r="A208" s="152">
        <v>2028</v>
      </c>
      <c r="B208" s="178"/>
      <c r="C208" s="182"/>
      <c r="D208" s="183"/>
      <c r="E208" s="179">
        <f>IFERROR(IF($G$19="Y",$F$19,$AD94)*(SUMIF($H$5:$H$16,"Y",$F$5:$F$16)*(AL43-B43)),0)</f>
        <v>136.84380669193135</v>
      </c>
      <c r="F208" s="183">
        <f t="shared" si="60"/>
        <v>23.354178988428984</v>
      </c>
      <c r="G208" s="247">
        <f t="shared" si="54"/>
        <v>0.60916069066274081</v>
      </c>
      <c r="H208" s="246"/>
      <c r="I208" s="417"/>
      <c r="J208" s="417"/>
      <c r="K208" s="182"/>
      <c r="L208" s="178"/>
      <c r="M208" s="182"/>
      <c r="N208" s="178"/>
      <c r="O208" s="495"/>
      <c r="P208" s="439">
        <f>IF(P$194="Y",IFERROR(E208*($F$8/SUMIF($H$5:$H$16,"Y",$F$5:$F$16))*$F$21*'Emissions Factors'!B25,""),"")</f>
        <v>2.1481384852853647</v>
      </c>
      <c r="Q208" s="441">
        <f>IF(Q$194="Y",IFERROR($E208*(SUM($F$5,$F$6,$F$7,$F$9)/SUMIF($H$5:$H$16,"Y",$F$5:$F$16))*('Emissions Factors'!$T$143*$F$22)/10^6,""),"")</f>
        <v>24.079353327698403</v>
      </c>
      <c r="R208" s="180"/>
      <c r="S208" s="180"/>
      <c r="T208" s="496"/>
      <c r="U208" s="180">
        <f t="shared" si="55"/>
        <v>26.227491812983768</v>
      </c>
      <c r="V208" s="180">
        <f t="shared" si="56"/>
        <v>0</v>
      </c>
      <c r="X208" s="430"/>
      <c r="Y208" s="478">
        <v>2028</v>
      </c>
      <c r="Z208" s="479">
        <f t="shared" si="57"/>
        <v>26.227491812983768</v>
      </c>
      <c r="AA208" s="479">
        <f t="shared" si="57"/>
        <v>0</v>
      </c>
      <c r="AB208" s="430"/>
      <c r="AC208" s="479"/>
      <c r="AD208" s="479"/>
      <c r="AE208" s="430"/>
      <c r="AF208" s="479">
        <f t="shared" si="58"/>
        <v>26.227491812983768</v>
      </c>
      <c r="AG208" s="479">
        <f t="shared" si="50"/>
        <v>0</v>
      </c>
      <c r="AH208" s="484"/>
      <c r="AJ208" s="480">
        <f t="shared" si="51"/>
        <v>0</v>
      </c>
      <c r="AK208" s="480" t="str">
        <f t="shared" si="52"/>
        <v/>
      </c>
    </row>
    <row r="209" spans="1:37" ht="15.6" x14ac:dyDescent="0.3">
      <c r="A209" s="152">
        <v>2029</v>
      </c>
      <c r="B209" s="178"/>
      <c r="C209" s="182"/>
      <c r="D209" s="183"/>
      <c r="E209" s="179">
        <f t="shared" si="53"/>
        <v>161.8328332513866</v>
      </c>
      <c r="F209" s="183">
        <f t="shared" si="60"/>
        <v>24.989026559455255</v>
      </c>
      <c r="G209" s="247">
        <f t="shared" si="54"/>
        <v>0.60451835255466879</v>
      </c>
      <c r="H209" s="246"/>
      <c r="I209" s="417"/>
      <c r="J209" s="417"/>
      <c r="K209" s="182"/>
      <c r="L209" s="178"/>
      <c r="M209" s="182"/>
      <c r="N209" s="178"/>
      <c r="O209" s="495"/>
      <c r="P209" s="439">
        <f>IF(P$194="Y",IFERROR(E209*($F$8/SUMIF($H$5:$H$16,"Y",$F$5:$F$16))*$F$21*'Emissions Factors'!B26,""),"")</f>
        <v>2.5266773072298809</v>
      </c>
      <c r="Q209" s="441">
        <f>IF(Q$194="Y",IFERROR($E209*(SUM($F$5,$F$6,$F$7,$F$9)/SUMIF($H$5:$H$16,"Y",$F$5:$F$16))*('Emissions Factors'!$T$143*$F$22)/10^6,""),"")</f>
        <v>28.476480347081747</v>
      </c>
      <c r="R209" s="180"/>
      <c r="S209" s="180"/>
      <c r="T209" s="496"/>
      <c r="U209" s="180">
        <f t="shared" si="55"/>
        <v>31.003157654311629</v>
      </c>
      <c r="V209" s="180">
        <f t="shared" si="56"/>
        <v>0</v>
      </c>
      <c r="X209" s="430"/>
      <c r="Y209" s="478">
        <v>2029</v>
      </c>
      <c r="Z209" s="479">
        <f t="shared" si="57"/>
        <v>31.003157654311629</v>
      </c>
      <c r="AA209" s="479">
        <f t="shared" si="57"/>
        <v>0</v>
      </c>
      <c r="AB209" s="430"/>
      <c r="AC209" s="479"/>
      <c r="AD209" s="479"/>
      <c r="AE209" s="430"/>
      <c r="AF209" s="479">
        <f t="shared" si="58"/>
        <v>31.003157654311629</v>
      </c>
      <c r="AG209" s="479">
        <f t="shared" si="50"/>
        <v>0</v>
      </c>
      <c r="AH209" s="484"/>
      <c r="AJ209" s="480">
        <f t="shared" si="51"/>
        <v>0</v>
      </c>
      <c r="AK209" s="480" t="str">
        <f t="shared" si="52"/>
        <v/>
      </c>
    </row>
    <row r="210" spans="1:37" ht="15.6" x14ac:dyDescent="0.3">
      <c r="A210" s="152">
        <v>2030</v>
      </c>
      <c r="B210" s="178"/>
      <c r="C210" s="182"/>
      <c r="D210" s="183"/>
      <c r="E210" s="179">
        <f t="shared" si="53"/>
        <v>188.52919072297482</v>
      </c>
      <c r="F210" s="183">
        <f t="shared" si="60"/>
        <v>26.696357471588215</v>
      </c>
      <c r="G210" s="247">
        <f t="shared" si="54"/>
        <v>0.6000608384020697</v>
      </c>
      <c r="H210" s="246"/>
      <c r="I210" s="417"/>
      <c r="J210" s="417"/>
      <c r="K210" s="182"/>
      <c r="L210" s="178"/>
      <c r="M210" s="182"/>
      <c r="N210" s="178"/>
      <c r="O210" s="495"/>
      <c r="P210" s="439">
        <f>IF(P$194="Y",IFERROR(E210*($F$8/SUMIF($H$5:$H$16,"Y",$F$5:$F$16))*$F$21*'Emissions Factors'!B27,""),"")</f>
        <v>2.9283725553796454</v>
      </c>
      <c r="Q210" s="441">
        <f>IF(Q$194="Y",IFERROR($E210*(SUM($F$5,$F$6,$F$7,$F$9)/SUMIF($H$5:$H$16,"Y",$F$5:$F$16))*('Emissions Factors'!$T$143*$F$22)/10^6,""),"")</f>
        <v>33.174033270087484</v>
      </c>
      <c r="R210" s="180"/>
      <c r="S210" s="180"/>
      <c r="T210" s="496"/>
      <c r="U210" s="180">
        <f t="shared" si="55"/>
        <v>36.10240582546713</v>
      </c>
      <c r="V210" s="180">
        <f t="shared" si="56"/>
        <v>0</v>
      </c>
      <c r="X210" s="430"/>
      <c r="Y210" s="478">
        <v>2030</v>
      </c>
      <c r="Z210" s="479">
        <f t="shared" si="57"/>
        <v>36.10240582546713</v>
      </c>
      <c r="AA210" s="479">
        <f t="shared" si="57"/>
        <v>0</v>
      </c>
      <c r="AB210" s="430"/>
      <c r="AC210" s="479"/>
      <c r="AD210" s="479"/>
      <c r="AE210" s="430"/>
      <c r="AF210" s="479">
        <f t="shared" si="58"/>
        <v>36.10240582546713</v>
      </c>
      <c r="AG210" s="479">
        <f t="shared" si="50"/>
        <v>0</v>
      </c>
      <c r="AH210" s="484"/>
      <c r="AJ210" s="480">
        <f t="shared" si="51"/>
        <v>0</v>
      </c>
      <c r="AK210" s="480" t="str">
        <f t="shared" si="52"/>
        <v/>
      </c>
    </row>
    <row r="211" spans="1:37" ht="15.6" x14ac:dyDescent="0.3">
      <c r="A211" s="152">
        <v>2031</v>
      </c>
      <c r="B211" s="178"/>
      <c r="C211" s="182"/>
      <c r="D211" s="183"/>
      <c r="E211" s="179">
        <f t="shared" si="53"/>
        <v>216.68185506772525</v>
      </c>
      <c r="F211" s="183">
        <f t="shared" si="60"/>
        <v>28.152664344750434</v>
      </c>
      <c r="G211" s="247">
        <f t="shared" si="54"/>
        <v>0.59563509771154521</v>
      </c>
      <c r="H211" s="246"/>
      <c r="I211" s="417"/>
      <c r="J211" s="417"/>
      <c r="K211" s="182"/>
      <c r="L211" s="178"/>
      <c r="M211" s="182"/>
      <c r="N211" s="178"/>
      <c r="O211" s="495"/>
      <c r="P211" s="439">
        <f>IF(P$194="Y",IFERROR(E211*($F$8/SUMIF($H$5:$H$16,"Y",$F$5:$F$16))*$F$21*'Emissions Factors'!B28,""),"")</f>
        <v>3.3469249722520122</v>
      </c>
      <c r="Q211" s="441">
        <f>IF(Q$194="Y",IFERROR($E211*(SUM($F$5,$F$6,$F$7,$F$9)/SUMIF($H$5:$H$16,"Y",$F$5:$F$16))*('Emissions Factors'!$T$143*$F$22)/10^6,""),"")</f>
        <v>38.127841325131257</v>
      </c>
      <c r="R211" s="180"/>
      <c r="S211" s="180"/>
      <c r="T211" s="496"/>
      <c r="U211" s="180">
        <f t="shared" si="55"/>
        <v>41.474766297383269</v>
      </c>
      <c r="V211" s="180">
        <f t="shared" si="56"/>
        <v>0</v>
      </c>
      <c r="X211" s="430"/>
      <c r="Y211" s="478">
        <v>2031</v>
      </c>
      <c r="Z211" s="479">
        <f t="shared" si="57"/>
        <v>41.474766297383269</v>
      </c>
      <c r="AA211" s="479">
        <f t="shared" si="57"/>
        <v>0</v>
      </c>
      <c r="AB211" s="430"/>
      <c r="AC211" s="479"/>
      <c r="AD211" s="479"/>
      <c r="AE211" s="430"/>
      <c r="AF211" s="479">
        <f t="shared" si="58"/>
        <v>41.474766297383269</v>
      </c>
      <c r="AG211" s="479">
        <f t="shared" si="50"/>
        <v>0</v>
      </c>
      <c r="AH211" s="484"/>
      <c r="AJ211" s="480">
        <f t="shared" si="51"/>
        <v>0</v>
      </c>
      <c r="AK211" s="480" t="str">
        <f t="shared" si="52"/>
        <v/>
      </c>
    </row>
    <row r="212" spans="1:37" ht="15.6" x14ac:dyDescent="0.3">
      <c r="A212" s="152">
        <v>2032</v>
      </c>
      <c r="B212" s="178"/>
      <c r="C212" s="182"/>
      <c r="D212" s="183"/>
      <c r="E212" s="179">
        <f t="shared" si="53"/>
        <v>246.36644663272111</v>
      </c>
      <c r="F212" s="183">
        <f t="shared" si="60"/>
        <v>29.684591564995856</v>
      </c>
      <c r="G212" s="247">
        <f t="shared" si="54"/>
        <v>0.59139141365859549</v>
      </c>
      <c r="H212" s="246"/>
      <c r="I212" s="417"/>
      <c r="J212" s="417"/>
      <c r="K212" s="182"/>
      <c r="L212" s="178"/>
      <c r="M212" s="182"/>
      <c r="N212" s="178"/>
      <c r="O212" s="495"/>
      <c r="P212" s="439">
        <f>IF(P$194="Y",IFERROR(E212*($F$8/SUMIF($H$5:$H$16,"Y",$F$5:$F$16))*$F$21*'Emissions Factors'!B29,""),"")</f>
        <v>3.7852287489006242</v>
      </c>
      <c r="Q212" s="441">
        <f>IF(Q$194="Y",IFERROR($E212*(SUM($F$5,$F$6,$F$7,$F$9)/SUMIF($H$5:$H$16,"Y",$F$5:$F$16))*('Emissions Factors'!$T$143*$F$22)/10^6,""),"")</f>
        <v>43.35121084371756</v>
      </c>
      <c r="R212" s="180"/>
      <c r="S212" s="180"/>
      <c r="T212" s="496"/>
      <c r="U212" s="180">
        <f t="shared" si="55"/>
        <v>47.136439592618181</v>
      </c>
      <c r="V212" s="180">
        <f t="shared" si="56"/>
        <v>0</v>
      </c>
      <c r="X212" s="430"/>
      <c r="Y212" s="478">
        <v>2032</v>
      </c>
      <c r="Z212" s="479">
        <f t="shared" si="57"/>
        <v>47.136439592618181</v>
      </c>
      <c r="AA212" s="479">
        <f t="shared" si="57"/>
        <v>0</v>
      </c>
      <c r="AB212" s="430"/>
      <c r="AC212" s="479"/>
      <c r="AD212" s="479"/>
      <c r="AE212" s="430"/>
      <c r="AF212" s="479">
        <f t="shared" si="58"/>
        <v>47.136439592618181</v>
      </c>
      <c r="AG212" s="479">
        <f t="shared" si="50"/>
        <v>0</v>
      </c>
      <c r="AH212" s="484"/>
      <c r="AJ212" s="480">
        <f t="shared" si="51"/>
        <v>0</v>
      </c>
      <c r="AK212" s="480" t="str">
        <f t="shared" si="52"/>
        <v/>
      </c>
    </row>
    <row r="213" spans="1:37" ht="15.6" x14ac:dyDescent="0.3">
      <c r="A213" s="152">
        <v>2033</v>
      </c>
      <c r="B213" s="178"/>
      <c r="C213" s="182"/>
      <c r="D213" s="183"/>
      <c r="E213" s="179">
        <f t="shared" si="53"/>
        <v>277.1640051855328</v>
      </c>
      <c r="F213" s="183">
        <f t="shared" si="60"/>
        <v>30.797558552811694</v>
      </c>
      <c r="G213" s="247">
        <f t="shared" si="54"/>
        <v>0.58731930477132555</v>
      </c>
      <c r="H213" s="246"/>
      <c r="I213" s="417"/>
      <c r="J213" s="417"/>
      <c r="K213" s="182"/>
      <c r="L213" s="178"/>
      <c r="M213" s="182"/>
      <c r="N213" s="178"/>
      <c r="O213" s="495"/>
      <c r="P213" s="439">
        <f>IF(P$194="Y",IFERROR(E213*($F$8/SUMIF($H$5:$H$16,"Y",$F$5:$F$16))*$F$21*'Emissions Factors'!B30,""),"")</f>
        <v>4.2358570417847492</v>
      </c>
      <c r="Q213" s="441">
        <f>IF(Q$194="Y",IFERROR($E213*(SUM($F$5,$F$6,$F$7,$F$9)/SUMIF($H$5:$H$16,"Y",$F$5:$F$16))*('Emissions Factors'!$T$143*$F$22)/10^6,""),"")</f>
        <v>48.77042061250981</v>
      </c>
      <c r="R213" s="180"/>
      <c r="S213" s="180"/>
      <c r="T213" s="496"/>
      <c r="U213" s="180">
        <f t="shared" si="55"/>
        <v>53.006277654294557</v>
      </c>
      <c r="V213" s="180">
        <f t="shared" si="56"/>
        <v>0</v>
      </c>
      <c r="X213" s="430"/>
      <c r="Y213" s="478">
        <v>2033</v>
      </c>
      <c r="Z213" s="479">
        <f t="shared" si="57"/>
        <v>53.006277654294557</v>
      </c>
      <c r="AA213" s="479">
        <f t="shared" si="57"/>
        <v>0</v>
      </c>
      <c r="AB213" s="430"/>
      <c r="AC213" s="479"/>
      <c r="AD213" s="479"/>
      <c r="AE213" s="430"/>
      <c r="AF213" s="479">
        <f t="shared" si="58"/>
        <v>53.006277654294557</v>
      </c>
      <c r="AG213" s="479">
        <f t="shared" si="50"/>
        <v>0</v>
      </c>
      <c r="AH213" s="484"/>
      <c r="AJ213" s="480">
        <f t="shared" si="51"/>
        <v>0</v>
      </c>
      <c r="AK213" s="480" t="str">
        <f t="shared" si="52"/>
        <v/>
      </c>
    </row>
    <row r="214" spans="1:37" ht="15.6" x14ac:dyDescent="0.3">
      <c r="A214" s="152">
        <v>2034</v>
      </c>
      <c r="B214" s="178"/>
      <c r="C214" s="182"/>
      <c r="D214" s="183"/>
      <c r="E214" s="179">
        <f t="shared" si="53"/>
        <v>308.6241151066011</v>
      </c>
      <c r="F214" s="183">
        <f t="shared" si="60"/>
        <v>31.460109921068295</v>
      </c>
      <c r="G214" s="247">
        <f t="shared" si="54"/>
        <v>0.58343601296081893</v>
      </c>
      <c r="H214" s="246"/>
      <c r="I214" s="417"/>
      <c r="J214" s="417"/>
      <c r="K214" s="182"/>
      <c r="L214" s="178"/>
      <c r="M214" s="182"/>
      <c r="N214" s="178"/>
      <c r="O214" s="495"/>
      <c r="P214" s="439">
        <f>IF(P$194="Y",IFERROR(E214*($F$8/SUMIF($H$5:$H$16,"Y",$F$5:$F$16))*$F$21*'Emissions Factors'!B31,""),"")</f>
        <v>4.6917155101126653</v>
      </c>
      <c r="Q214" s="441">
        <f>IF(Q$194="Y",IFERROR($E214*(SUM($F$5,$F$6,$F$7,$F$9)/SUMIF($H$5:$H$16,"Y",$F$5:$F$16))*('Emissions Factors'!$T$143*$F$22)/10^6,""),"")</f>
        <v>54.306214455361889</v>
      </c>
      <c r="R214" s="180"/>
      <c r="S214" s="180"/>
      <c r="T214" s="496"/>
      <c r="U214" s="180">
        <f t="shared" si="55"/>
        <v>58.997929965474555</v>
      </c>
      <c r="V214" s="180">
        <f t="shared" si="56"/>
        <v>0</v>
      </c>
      <c r="X214" s="430"/>
      <c r="Y214" s="478">
        <v>2034</v>
      </c>
      <c r="Z214" s="479">
        <f t="shared" si="57"/>
        <v>58.997929965474555</v>
      </c>
      <c r="AA214" s="479">
        <f t="shared" si="57"/>
        <v>0</v>
      </c>
      <c r="AB214" s="430"/>
      <c r="AC214" s="479"/>
      <c r="AD214" s="479"/>
      <c r="AE214" s="430"/>
      <c r="AF214" s="479">
        <f t="shared" si="58"/>
        <v>58.997929965474555</v>
      </c>
      <c r="AG214" s="479">
        <f t="shared" si="50"/>
        <v>0</v>
      </c>
      <c r="AH214" s="484"/>
      <c r="AJ214" s="480">
        <f t="shared" si="51"/>
        <v>0</v>
      </c>
      <c r="AK214" s="480" t="str">
        <f t="shared" si="52"/>
        <v/>
      </c>
    </row>
    <row r="215" spans="1:37" ht="15.6" x14ac:dyDescent="0.3">
      <c r="A215" s="152">
        <v>2035</v>
      </c>
      <c r="B215" s="178"/>
      <c r="C215" s="182"/>
      <c r="D215" s="183"/>
      <c r="E215" s="179">
        <f t="shared" si="53"/>
        <v>340.40707520863509</v>
      </c>
      <c r="F215" s="183">
        <f t="shared" si="60"/>
        <v>31.782960102033996</v>
      </c>
      <c r="G215" s="247">
        <f t="shared" si="54"/>
        <v>0.57971181883868428</v>
      </c>
      <c r="H215" s="246"/>
      <c r="I215" s="417"/>
      <c r="J215" s="417"/>
      <c r="K215" s="182"/>
      <c r="L215" s="178"/>
      <c r="M215" s="182"/>
      <c r="N215" s="178"/>
      <c r="O215" s="495"/>
      <c r="P215" s="439">
        <f>IF(P$194="Y",IFERROR(E215*($F$8/SUMIF($H$5:$H$16,"Y",$F$5:$F$16))*$F$21*'Emissions Factors'!B32,""),"")</f>
        <v>5.1467660097726524</v>
      </c>
      <c r="Q215" s="441">
        <f>IF(Q$194="Y",IFERROR($E215*(SUM($F$5,$F$6,$F$7,$F$9)/SUMIF($H$5:$H$16,"Y",$F$5:$F$16))*('Emissions Factors'!$T$143*$F$22)/10^6,""),"")</f>
        <v>59.898817764183335</v>
      </c>
      <c r="R215" s="180"/>
      <c r="S215" s="180"/>
      <c r="T215" s="496"/>
      <c r="U215" s="180">
        <f t="shared" si="55"/>
        <v>65.045583773955983</v>
      </c>
      <c r="V215" s="180">
        <f t="shared" si="56"/>
        <v>0</v>
      </c>
      <c r="X215" s="430"/>
      <c r="Y215" s="478">
        <v>2035</v>
      </c>
      <c r="Z215" s="479">
        <f t="shared" si="57"/>
        <v>65.045583773955983</v>
      </c>
      <c r="AA215" s="479">
        <f t="shared" si="57"/>
        <v>0</v>
      </c>
      <c r="AB215" s="430"/>
      <c r="AC215" s="479"/>
      <c r="AD215" s="479"/>
      <c r="AE215" s="430"/>
      <c r="AF215" s="479">
        <f t="shared" si="58"/>
        <v>65.045583773955983</v>
      </c>
      <c r="AG215" s="479">
        <f t="shared" si="50"/>
        <v>0</v>
      </c>
      <c r="AH215" s="484"/>
      <c r="AJ215" s="480">
        <f t="shared" si="51"/>
        <v>0</v>
      </c>
      <c r="AK215" s="480" t="str">
        <f t="shared" si="52"/>
        <v/>
      </c>
    </row>
    <row r="216" spans="1:37" ht="15.6" x14ac:dyDescent="0.3">
      <c r="A216" s="152">
        <v>2036</v>
      </c>
      <c r="B216" s="178"/>
      <c r="C216" s="182"/>
      <c r="D216" s="183"/>
      <c r="E216" s="179">
        <f t="shared" si="53"/>
        <v>372.34766280297276</v>
      </c>
      <c r="F216" s="183">
        <f t="shared" si="60"/>
        <v>31.940587594337671</v>
      </c>
      <c r="G216" s="247">
        <f t="shared" si="54"/>
        <v>0.57608277822469922</v>
      </c>
      <c r="H216" s="246"/>
      <c r="I216" s="417"/>
      <c r="J216" s="417"/>
      <c r="K216" s="182"/>
      <c r="L216" s="178"/>
      <c r="M216" s="182"/>
      <c r="N216" s="178"/>
      <c r="O216" s="495"/>
      <c r="P216" s="439">
        <f>IF(P$194="Y",IFERROR(E216*($F$8/SUMIF($H$5:$H$16,"Y",$F$5:$F$16))*$F$21*'Emissions Factors'!B33,""),"")</f>
        <v>5.600528926046028</v>
      </c>
      <c r="Q216" s="441">
        <f>IF(Q$194="Y",IFERROR($E216*(SUM($F$5,$F$6,$F$7,$F$9)/SUMIF($H$5:$H$16,"Y",$F$5:$F$16))*('Emissions Factors'!$T$143*$F$22)/10^6,""),"")</f>
        <v>65.519157571813864</v>
      </c>
      <c r="R216" s="180"/>
      <c r="S216" s="180"/>
      <c r="T216" s="496"/>
      <c r="U216" s="180">
        <f t="shared" si="55"/>
        <v>71.119686497859888</v>
      </c>
      <c r="V216" s="180">
        <f t="shared" si="56"/>
        <v>0</v>
      </c>
      <c r="X216" s="430"/>
      <c r="Y216" s="478">
        <v>2036</v>
      </c>
      <c r="Z216" s="479">
        <f t="shared" si="57"/>
        <v>71.119686497859888</v>
      </c>
      <c r="AA216" s="479">
        <f t="shared" si="57"/>
        <v>0</v>
      </c>
      <c r="AB216" s="430"/>
      <c r="AC216" s="479"/>
      <c r="AD216" s="479"/>
      <c r="AE216" s="430"/>
      <c r="AF216" s="479">
        <f t="shared" si="58"/>
        <v>71.119686497859888</v>
      </c>
      <c r="AG216" s="479">
        <f t="shared" si="50"/>
        <v>0</v>
      </c>
      <c r="AH216" s="484"/>
      <c r="AJ216" s="480">
        <f t="shared" si="51"/>
        <v>0</v>
      </c>
      <c r="AK216" s="480" t="str">
        <f t="shared" si="52"/>
        <v/>
      </c>
    </row>
    <row r="217" spans="1:37" ht="15.6" x14ac:dyDescent="0.3">
      <c r="A217" s="152">
        <v>2037</v>
      </c>
      <c r="B217" s="178"/>
      <c r="C217" s="182"/>
      <c r="D217" s="183"/>
      <c r="E217" s="179">
        <f t="shared" si="53"/>
        <v>404.48578580755395</v>
      </c>
      <c r="F217" s="183">
        <f t="shared" si="60"/>
        <v>32.138123004581189</v>
      </c>
      <c r="G217" s="247">
        <f t="shared" si="54"/>
        <v>0.57248036005710123</v>
      </c>
      <c r="H217" s="246"/>
      <c r="I217" s="417"/>
      <c r="J217" s="417"/>
      <c r="K217" s="182"/>
      <c r="L217" s="178"/>
      <c r="M217" s="182"/>
      <c r="N217" s="178"/>
      <c r="O217" s="495"/>
      <c r="P217" s="439">
        <f>IF(P$194="Y",IFERROR(E217*($F$8/SUMIF($H$5:$H$16,"Y",$F$5:$F$16))*$F$21*'Emissions Factors'!B34,""),"")</f>
        <v>6.0514826361554492</v>
      </c>
      <c r="Q217" s="441">
        <f>IF(Q$194="Y",IFERROR($E217*(SUM($F$5,$F$6,$F$7,$F$9)/SUMIF($H$5:$H$16,"Y",$F$5:$F$16))*('Emissions Factors'!$T$143*$F$22)/10^6,""),"")</f>
        <v>71.174256167971009</v>
      </c>
      <c r="R217" s="180"/>
      <c r="S217" s="180"/>
      <c r="T217" s="496"/>
      <c r="U217" s="180">
        <f t="shared" si="55"/>
        <v>77.225738804126465</v>
      </c>
      <c r="V217" s="180">
        <f t="shared" si="56"/>
        <v>0</v>
      </c>
      <c r="X217" s="430"/>
      <c r="Y217" s="478">
        <v>2037</v>
      </c>
      <c r="Z217" s="479">
        <f t="shared" si="57"/>
        <v>77.225738804126465</v>
      </c>
      <c r="AA217" s="479">
        <f t="shared" si="57"/>
        <v>0</v>
      </c>
      <c r="AB217" s="430"/>
      <c r="AC217" s="479"/>
      <c r="AD217" s="479"/>
      <c r="AE217" s="430"/>
      <c r="AF217" s="479">
        <f t="shared" si="58"/>
        <v>77.225738804126465</v>
      </c>
      <c r="AG217" s="479">
        <f t="shared" si="50"/>
        <v>0</v>
      </c>
      <c r="AH217" s="484"/>
      <c r="AJ217" s="480">
        <f t="shared" si="51"/>
        <v>0</v>
      </c>
      <c r="AK217" s="480" t="str">
        <f t="shared" si="52"/>
        <v/>
      </c>
    </row>
    <row r="218" spans="1:37" ht="15.6" x14ac:dyDescent="0.3">
      <c r="A218" s="152">
        <v>2038</v>
      </c>
      <c r="B218" s="178"/>
      <c r="C218" s="182"/>
      <c r="D218" s="183"/>
      <c r="E218" s="179">
        <f t="shared" si="53"/>
        <v>436.9487027369554</v>
      </c>
      <c r="F218" s="183">
        <f t="shared" si="60"/>
        <v>32.462916929401445</v>
      </c>
      <c r="G218" s="247">
        <f t="shared" si="54"/>
        <v>0.56886102580252995</v>
      </c>
      <c r="H218" s="246"/>
      <c r="I218" s="417"/>
      <c r="J218" s="417"/>
      <c r="K218" s="182"/>
      <c r="L218" s="178"/>
      <c r="M218" s="182"/>
      <c r="N218" s="178"/>
      <c r="O218" s="495"/>
      <c r="P218" s="439">
        <f>IF(P$194="Y",IFERROR(E218*($F$8/SUMIF($H$5:$H$16,"Y",$F$5:$F$16))*$F$21*'Emissions Factors'!B35,""),"")</f>
        <v>6.5021483238981164</v>
      </c>
      <c r="Q218" s="441">
        <f>IF(Q$194="Y",IFERROR($E218*(SUM($F$5,$F$6,$F$7,$F$9)/SUMIF($H$5:$H$16,"Y",$F$5:$F$16))*('Emissions Factors'!$T$143*$F$22)/10^6,""),"")</f>
        <v>76.886506255770342</v>
      </c>
      <c r="R218" s="180"/>
      <c r="S218" s="180"/>
      <c r="T218" s="496"/>
      <c r="U218" s="180">
        <f t="shared" si="55"/>
        <v>83.388654579668454</v>
      </c>
      <c r="V218" s="180">
        <f t="shared" si="56"/>
        <v>0</v>
      </c>
      <c r="X218" s="430"/>
      <c r="Y218" s="478">
        <v>2038</v>
      </c>
      <c r="Z218" s="479">
        <f t="shared" si="57"/>
        <v>83.388654579668454</v>
      </c>
      <c r="AA218" s="479">
        <f t="shared" si="57"/>
        <v>0</v>
      </c>
      <c r="AB218" s="430"/>
      <c r="AC218" s="479"/>
      <c r="AD218" s="479"/>
      <c r="AE218" s="430"/>
      <c r="AF218" s="479">
        <f t="shared" si="58"/>
        <v>83.388654579668454</v>
      </c>
      <c r="AG218" s="479">
        <f t="shared" si="50"/>
        <v>0</v>
      </c>
      <c r="AH218" s="484"/>
      <c r="AJ218" s="480">
        <f t="shared" si="51"/>
        <v>0</v>
      </c>
      <c r="AK218" s="480" t="str">
        <f t="shared" si="52"/>
        <v/>
      </c>
    </row>
    <row r="219" spans="1:37" ht="15.6" x14ac:dyDescent="0.3">
      <c r="A219" s="152">
        <v>2039</v>
      </c>
      <c r="B219" s="178"/>
      <c r="C219" s="182"/>
      <c r="D219" s="183"/>
      <c r="E219" s="179">
        <f t="shared" si="53"/>
        <v>469.97500260006871</v>
      </c>
      <c r="F219" s="183">
        <f t="shared" si="60"/>
        <v>33.026299863113309</v>
      </c>
      <c r="G219" s="247">
        <f t="shared" si="54"/>
        <v>0.56519191918091627</v>
      </c>
      <c r="H219" s="246"/>
      <c r="I219" s="417"/>
      <c r="J219" s="417"/>
      <c r="K219" s="182"/>
      <c r="L219" s="178"/>
      <c r="M219" s="182"/>
      <c r="N219" s="178"/>
      <c r="O219" s="495"/>
      <c r="P219" s="439">
        <f>IF(P$194="Y",IFERROR(E219*($F$8/SUMIF($H$5:$H$16,"Y",$F$5:$F$16))*$F$21*'Emissions Factors'!B36,""),"")</f>
        <v>6.9557637196414479</v>
      </c>
      <c r="Q219" s="441">
        <f>IF(Q$194="Y",IFERROR($E219*(SUM($F$5,$F$6,$F$7,$F$9)/SUMIF($H$5:$H$16,"Y",$F$5:$F$16))*('Emissions Factors'!$T$143*$F$22)/10^6,""),"")</f>
        <v>82.697890510088314</v>
      </c>
      <c r="R219" s="180"/>
      <c r="S219" s="180"/>
      <c r="T219" s="496"/>
      <c r="U219" s="180">
        <f t="shared" si="55"/>
        <v>89.653654229729767</v>
      </c>
      <c r="V219" s="180">
        <f t="shared" si="56"/>
        <v>0</v>
      </c>
      <c r="X219" s="430"/>
      <c r="Y219" s="478">
        <v>2039</v>
      </c>
      <c r="Z219" s="479">
        <f t="shared" si="57"/>
        <v>89.653654229729767</v>
      </c>
      <c r="AA219" s="479">
        <f t="shared" si="57"/>
        <v>0</v>
      </c>
      <c r="AB219" s="430"/>
      <c r="AC219" s="479"/>
      <c r="AD219" s="479"/>
      <c r="AE219" s="430"/>
      <c r="AF219" s="479">
        <f t="shared" si="58"/>
        <v>89.653654229729767</v>
      </c>
      <c r="AG219" s="479">
        <f t="shared" si="50"/>
        <v>0</v>
      </c>
      <c r="AH219" s="484"/>
      <c r="AJ219" s="480">
        <f t="shared" si="51"/>
        <v>0</v>
      </c>
      <c r="AK219" s="480" t="str">
        <f t="shared" si="52"/>
        <v/>
      </c>
    </row>
    <row r="220" spans="1:37" ht="15.6" x14ac:dyDescent="0.3">
      <c r="A220" s="152">
        <v>2040</v>
      </c>
      <c r="B220" s="178"/>
      <c r="C220" s="182"/>
      <c r="D220" s="183"/>
      <c r="E220" s="179">
        <f t="shared" si="53"/>
        <v>503.50391376878321</v>
      </c>
      <c r="F220" s="183">
        <f t="shared" si="60"/>
        <v>33.528911168714501</v>
      </c>
      <c r="G220" s="247">
        <f t="shared" si="54"/>
        <v>0.56138989915793391</v>
      </c>
      <c r="H220" s="246"/>
      <c r="I220" s="417"/>
      <c r="J220" s="417"/>
      <c r="K220" s="182"/>
      <c r="L220" s="178"/>
      <c r="M220" s="182"/>
      <c r="N220" s="178"/>
      <c r="O220" s="495"/>
      <c r="P220" s="439">
        <f>IF(P$194="Y",IFERROR(E220*($F$8/SUMIF($H$5:$H$16,"Y",$F$5:$F$16))*$F$21*'Emissions Factors'!B37,""),"")</f>
        <v>7.408486864852116</v>
      </c>
      <c r="Q220" s="441">
        <f>IF(Q$194="Y",IFERROR($E220*(SUM($F$5,$F$6,$F$7,$F$9)/SUMIF($H$5:$H$16,"Y",$F$5:$F$16))*('Emissions Factors'!$T$143*$F$22)/10^6,""),"")</f>
        <v>88.597715414419142</v>
      </c>
      <c r="R220" s="180"/>
      <c r="S220" s="180"/>
      <c r="T220" s="496"/>
      <c r="U220" s="180">
        <f t="shared" si="55"/>
        <v>96.006202279271264</v>
      </c>
      <c r="V220" s="180">
        <f t="shared" si="56"/>
        <v>0</v>
      </c>
      <c r="X220" s="430"/>
      <c r="Y220" s="478">
        <v>2040</v>
      </c>
      <c r="Z220" s="479">
        <f t="shared" si="57"/>
        <v>96.006202279271264</v>
      </c>
      <c r="AA220" s="479">
        <f t="shared" si="57"/>
        <v>0</v>
      </c>
      <c r="AB220" s="430"/>
      <c r="AC220" s="479"/>
      <c r="AD220" s="479"/>
      <c r="AE220" s="430"/>
      <c r="AF220" s="479">
        <f t="shared" si="58"/>
        <v>96.006202279271264</v>
      </c>
      <c r="AG220" s="479">
        <f t="shared" si="50"/>
        <v>0</v>
      </c>
      <c r="AH220" s="484"/>
      <c r="AJ220" s="480">
        <f t="shared" si="51"/>
        <v>0</v>
      </c>
      <c r="AK220" s="480" t="str">
        <f t="shared" si="52"/>
        <v/>
      </c>
    </row>
    <row r="221" spans="1:37" ht="15.6" x14ac:dyDescent="0.3">
      <c r="A221" s="152">
        <v>2041</v>
      </c>
      <c r="B221" s="178"/>
      <c r="C221" s="182"/>
      <c r="D221" s="183"/>
      <c r="E221" s="179">
        <f t="shared" si="53"/>
        <v>538.34694124378677</v>
      </c>
      <c r="F221" s="183">
        <f t="shared" si="60"/>
        <v>34.843027475003566</v>
      </c>
      <c r="G221" s="247">
        <f t="shared" si="54"/>
        <v>0.55764241032729633</v>
      </c>
      <c r="H221" s="246"/>
      <c r="I221" s="417"/>
      <c r="J221" s="417"/>
      <c r="K221" s="182"/>
      <c r="L221" s="178"/>
      <c r="M221" s="182"/>
      <c r="N221" s="178"/>
      <c r="O221" s="495"/>
      <c r="P221" s="439">
        <f>IF(P$194="Y",IFERROR(E221*($F$8/SUMIF($H$5:$H$16,"Y",$F$5:$F$16))*$F$21*'Emissions Factors'!B38,""),"")</f>
        <v>7.8809488294233168</v>
      </c>
      <c r="Q221" s="441">
        <f>IF(Q$194="Y",IFERROR($E221*(SUM($F$5,$F$6,$F$7,$F$9)/SUMIF($H$5:$H$16,"Y",$F$5:$F$16))*('Emissions Factors'!$T$143*$F$22)/10^6,""),"")</f>
        <v>94.728775269149011</v>
      </c>
      <c r="R221" s="180"/>
      <c r="S221" s="180"/>
      <c r="T221" s="496"/>
      <c r="U221" s="180">
        <f t="shared" si="55"/>
        <v>102.60972409857233</v>
      </c>
      <c r="V221" s="180">
        <f t="shared" si="56"/>
        <v>0</v>
      </c>
      <c r="X221" s="430"/>
      <c r="Y221" s="478">
        <v>2041</v>
      </c>
      <c r="Z221" s="479">
        <f t="shared" si="57"/>
        <v>102.60972409857233</v>
      </c>
      <c r="AA221" s="479">
        <f t="shared" si="57"/>
        <v>0</v>
      </c>
      <c r="AB221" s="430"/>
      <c r="AC221" s="479"/>
      <c r="AD221" s="479"/>
      <c r="AE221" s="430"/>
      <c r="AF221" s="479">
        <f t="shared" si="58"/>
        <v>102.60972409857233</v>
      </c>
      <c r="AG221" s="479">
        <f t="shared" si="50"/>
        <v>0</v>
      </c>
      <c r="AH221" s="484"/>
      <c r="AJ221" s="480">
        <f t="shared" si="51"/>
        <v>0</v>
      </c>
      <c r="AK221" s="480" t="str">
        <f t="shared" si="52"/>
        <v/>
      </c>
    </row>
    <row r="222" spans="1:37" ht="15.6" x14ac:dyDescent="0.3">
      <c r="A222" s="152">
        <v>2042</v>
      </c>
      <c r="B222" s="178"/>
      <c r="C222" s="182"/>
      <c r="D222" s="183"/>
      <c r="E222" s="179">
        <f t="shared" si="53"/>
        <v>573.71392576880896</v>
      </c>
      <c r="F222" s="183">
        <f t="shared" si="60"/>
        <v>35.36698452502219</v>
      </c>
      <c r="G222" s="247">
        <f t="shared" si="54"/>
        <v>0.55375228640775609</v>
      </c>
      <c r="H222" s="246"/>
      <c r="I222" s="417"/>
      <c r="J222" s="417"/>
      <c r="K222" s="182"/>
      <c r="L222" s="178"/>
      <c r="M222" s="182"/>
      <c r="N222" s="178"/>
      <c r="O222" s="495"/>
      <c r="P222" s="439">
        <f>IF(P$194="Y",IFERROR(E222*($F$8/SUMIF($H$5:$H$16,"Y",$F$5:$F$16))*$F$21*'Emissions Factors'!B39,""),"")</f>
        <v>8.352315202093342</v>
      </c>
      <c r="Q222" s="441">
        <f>IF(Q$194="Y",IFERROR($E222*(SUM($F$5,$F$6,$F$7,$F$9)/SUMIF($H$5:$H$16,"Y",$F$5:$F$16))*('Emissions Factors'!$T$143*$F$22)/10^6,""),"")</f>
        <v>100.95203182054297</v>
      </c>
      <c r="R222" s="180"/>
      <c r="S222" s="180"/>
      <c r="T222" s="496"/>
      <c r="U222" s="180">
        <f t="shared" si="55"/>
        <v>109.30434702263631</v>
      </c>
      <c r="V222" s="180">
        <f t="shared" si="56"/>
        <v>0</v>
      </c>
      <c r="X222" s="430"/>
      <c r="Y222" s="478">
        <v>2042</v>
      </c>
      <c r="Z222" s="479">
        <f t="shared" si="57"/>
        <v>109.30434702263631</v>
      </c>
      <c r="AA222" s="479">
        <f t="shared" si="57"/>
        <v>0</v>
      </c>
      <c r="AB222" s="430"/>
      <c r="AC222" s="479"/>
      <c r="AD222" s="479"/>
      <c r="AE222" s="430"/>
      <c r="AF222" s="479">
        <f t="shared" si="58"/>
        <v>109.30434702263631</v>
      </c>
      <c r="AG222" s="479">
        <f t="shared" si="50"/>
        <v>0</v>
      </c>
      <c r="AH222" s="484"/>
      <c r="AJ222" s="480">
        <f t="shared" si="51"/>
        <v>0</v>
      </c>
      <c r="AK222" s="480" t="str">
        <f t="shared" si="52"/>
        <v/>
      </c>
    </row>
    <row r="223" spans="1:37" ht="15.6" x14ac:dyDescent="0.3">
      <c r="A223" s="152">
        <v>2043</v>
      </c>
      <c r="B223" s="178"/>
      <c r="C223" s="182"/>
      <c r="D223" s="183"/>
      <c r="E223" s="179">
        <f t="shared" si="53"/>
        <v>609.96511886663234</v>
      </c>
      <c r="F223" s="183">
        <f t="shared" si="60"/>
        <v>36.251193097823375</v>
      </c>
      <c r="G223" s="247">
        <f t="shared" si="54"/>
        <v>0.54976091679756045</v>
      </c>
      <c r="H223" s="246"/>
      <c r="I223" s="417"/>
      <c r="J223" s="417"/>
      <c r="K223" s="182"/>
      <c r="L223" s="178"/>
      <c r="M223" s="182"/>
      <c r="N223" s="178"/>
      <c r="O223" s="495"/>
      <c r="P223" s="439">
        <f>IF(P$194="Y",IFERROR(E223*($F$8/SUMIF($H$5:$H$16,"Y",$F$5:$F$16))*$F$21*'Emissions Factors'!B40,""),"")</f>
        <v>8.8305276372707571</v>
      </c>
      <c r="Q223" s="441">
        <f>IF(Q$194="Y",IFERROR($E223*(SUM($F$5,$F$6,$F$7,$F$9)/SUMIF($H$5:$H$16,"Y",$F$5:$F$16))*('Emissions Factors'!$T$143*$F$22)/10^6,""),"")</f>
        <v>107.330875761345</v>
      </c>
      <c r="R223" s="180"/>
      <c r="S223" s="180"/>
      <c r="T223" s="496"/>
      <c r="U223" s="180">
        <f t="shared" si="55"/>
        <v>116.16140339861576</v>
      </c>
      <c r="V223" s="180">
        <f t="shared" si="56"/>
        <v>0</v>
      </c>
      <c r="X223" s="430"/>
      <c r="Y223" s="478">
        <v>2043</v>
      </c>
      <c r="Z223" s="479">
        <f t="shared" si="57"/>
        <v>116.16140339861576</v>
      </c>
      <c r="AA223" s="479">
        <f t="shared" si="57"/>
        <v>0</v>
      </c>
      <c r="AB223" s="430"/>
      <c r="AC223" s="479"/>
      <c r="AD223" s="479"/>
      <c r="AE223" s="430"/>
      <c r="AF223" s="479">
        <f t="shared" si="58"/>
        <v>116.16140339861576</v>
      </c>
      <c r="AG223" s="479">
        <f t="shared" si="50"/>
        <v>0</v>
      </c>
      <c r="AH223" s="484"/>
      <c r="AJ223" s="480">
        <f t="shared" si="51"/>
        <v>0</v>
      </c>
      <c r="AK223" s="480" t="str">
        <f t="shared" si="52"/>
        <v/>
      </c>
    </row>
    <row r="224" spans="1:37" ht="15.6" x14ac:dyDescent="0.3">
      <c r="A224" s="152">
        <v>2044</v>
      </c>
      <c r="B224" s="178"/>
      <c r="C224" s="182"/>
      <c r="D224" s="183"/>
      <c r="E224" s="179">
        <f t="shared" si="53"/>
        <v>647.21713713984843</v>
      </c>
      <c r="F224" s="183">
        <f t="shared" si="60"/>
        <v>37.252018273216095</v>
      </c>
      <c r="G224" s="247">
        <f t="shared" si="54"/>
        <v>0.54564774908501446</v>
      </c>
      <c r="H224" s="246"/>
      <c r="I224" s="417"/>
      <c r="J224" s="417"/>
      <c r="K224" s="182"/>
      <c r="L224" s="178"/>
      <c r="M224" s="182"/>
      <c r="N224" s="178"/>
      <c r="O224" s="495"/>
      <c r="P224" s="439">
        <f>IF(P$194="Y",IFERROR(E224*($F$8/SUMIF($H$5:$H$16,"Y",$F$5:$F$16))*$F$21*'Emissions Factors'!B41,""),"")</f>
        <v>9.3169517829185953</v>
      </c>
      <c r="Q224" s="441">
        <f>IF(Q$194="Y",IFERROR($E224*(SUM($F$5,$F$6,$F$7,$F$9)/SUMIF($H$5:$H$16,"Y",$F$5:$F$16))*('Emissions Factors'!$T$143*$F$22)/10^6,""),"")</f>
        <v>113.88582721917766</v>
      </c>
      <c r="R224" s="180"/>
      <c r="S224" s="180"/>
      <c r="T224" s="496"/>
      <c r="U224" s="180">
        <f t="shared" si="55"/>
        <v>123.20277900209625</v>
      </c>
      <c r="V224" s="180">
        <f t="shared" si="56"/>
        <v>0</v>
      </c>
      <c r="X224" s="430"/>
      <c r="Y224" s="478">
        <v>2044</v>
      </c>
      <c r="Z224" s="479">
        <f t="shared" si="57"/>
        <v>123.20277900209625</v>
      </c>
      <c r="AA224" s="479">
        <f t="shared" si="57"/>
        <v>0</v>
      </c>
      <c r="AB224" s="430"/>
      <c r="AC224" s="479"/>
      <c r="AD224" s="479"/>
      <c r="AE224" s="430"/>
      <c r="AF224" s="479">
        <f t="shared" si="58"/>
        <v>123.20277900209625</v>
      </c>
      <c r="AG224" s="479">
        <f t="shared" si="50"/>
        <v>0</v>
      </c>
      <c r="AH224" s="484"/>
      <c r="AJ224" s="480">
        <f t="shared" si="51"/>
        <v>0</v>
      </c>
      <c r="AK224" s="480" t="str">
        <f t="shared" si="52"/>
        <v/>
      </c>
    </row>
    <row r="225" spans="1:37" ht="15.6" x14ac:dyDescent="0.3">
      <c r="A225" s="152">
        <v>2045</v>
      </c>
      <c r="B225" s="178"/>
      <c r="C225" s="182"/>
      <c r="D225" s="183"/>
      <c r="E225" s="179">
        <f t="shared" si="53"/>
        <v>685.57850843403651</v>
      </c>
      <c r="F225" s="183">
        <f t="shared" si="60"/>
        <v>38.361371294188075</v>
      </c>
      <c r="G225" s="247">
        <f t="shared" si="54"/>
        <v>0.54140793196035086</v>
      </c>
      <c r="H225" s="246"/>
      <c r="I225" s="417"/>
      <c r="J225" s="417"/>
      <c r="K225" s="182"/>
      <c r="L225" s="178"/>
      <c r="M225" s="182"/>
      <c r="N225" s="178"/>
      <c r="O225" s="495"/>
      <c r="P225" s="439">
        <f>IF(P$194="Y",IFERROR(E225*($F$8/SUMIF($H$5:$H$16,"Y",$F$5:$F$16))*$F$21*'Emissions Factors'!B42,""),"")</f>
        <v>9.8107697066251021</v>
      </c>
      <c r="Q225" s="441">
        <f>IF(Q$194="Y",IFERROR($E225*(SUM($F$5,$F$6,$F$7,$F$9)/SUMIF($H$5:$H$16,"Y",$F$5:$F$16))*('Emissions Factors'!$T$143*$F$22)/10^6,""),"")</f>
        <v>120.63598300523596</v>
      </c>
      <c r="R225" s="180"/>
      <c r="S225" s="180"/>
      <c r="T225" s="496"/>
      <c r="U225" s="180">
        <f t="shared" si="55"/>
        <v>130.44675271186105</v>
      </c>
      <c r="V225" s="180">
        <f t="shared" si="56"/>
        <v>0</v>
      </c>
      <c r="X225" s="430"/>
      <c r="Y225" s="478">
        <v>2045</v>
      </c>
      <c r="Z225" s="479">
        <f t="shared" si="57"/>
        <v>130.44675271186105</v>
      </c>
      <c r="AA225" s="479">
        <f t="shared" si="57"/>
        <v>0</v>
      </c>
      <c r="AB225" s="430"/>
      <c r="AC225" s="479"/>
      <c r="AD225" s="479"/>
      <c r="AE225" s="430"/>
      <c r="AF225" s="479">
        <f t="shared" si="58"/>
        <v>130.44675271186105</v>
      </c>
      <c r="AG225" s="479">
        <f t="shared" si="50"/>
        <v>0</v>
      </c>
      <c r="AH225" s="484"/>
      <c r="AJ225" s="480">
        <f t="shared" si="51"/>
        <v>0</v>
      </c>
      <c r="AK225" s="480" t="str">
        <f t="shared" si="52"/>
        <v/>
      </c>
    </row>
    <row r="226" spans="1:37" ht="15.6" x14ac:dyDescent="0.3">
      <c r="A226" s="152">
        <v>2046</v>
      </c>
      <c r="B226" s="178"/>
      <c r="C226" s="182"/>
      <c r="D226" s="183"/>
      <c r="E226" s="179">
        <f t="shared" si="53"/>
        <v>725.12249829509744</v>
      </c>
      <c r="F226" s="183">
        <f t="shared" si="60"/>
        <v>39.543989861060936</v>
      </c>
      <c r="G226" s="247">
        <f t="shared" si="54"/>
        <v>0.53705835448488159</v>
      </c>
      <c r="H226" s="246"/>
      <c r="I226" s="417"/>
      <c r="J226" s="417"/>
      <c r="K226" s="182"/>
      <c r="L226" s="178"/>
      <c r="M226" s="182"/>
      <c r="N226" s="178"/>
      <c r="O226" s="495"/>
      <c r="P226" s="439">
        <f>IF(P$194="Y",IFERROR(E226*($F$8/SUMIF($H$5:$H$16,"Y",$F$5:$F$16))*$F$21*'Emissions Factors'!B43,""),"")</f>
        <v>10.318673833626704</v>
      </c>
      <c r="Q226" s="441">
        <f>IF(Q$194="Y",IFERROR($E226*(SUM($F$5,$F$6,$F$7,$F$9)/SUMIF($H$5:$H$16,"Y",$F$5:$F$16))*('Emissions Factors'!$T$143*$F$22)/10^6,""),"")</f>
        <v>127.59423509475162</v>
      </c>
      <c r="R226" s="180"/>
      <c r="S226" s="180"/>
      <c r="T226" s="496"/>
      <c r="U226" s="180">
        <f t="shared" si="55"/>
        <v>137.91290892837833</v>
      </c>
      <c r="V226" s="180">
        <f t="shared" si="56"/>
        <v>0</v>
      </c>
      <c r="X226" s="430"/>
      <c r="Y226" s="478">
        <v>2046</v>
      </c>
      <c r="Z226" s="479">
        <f t="shared" si="57"/>
        <v>137.91290892837833</v>
      </c>
      <c r="AA226" s="479">
        <f t="shared" si="57"/>
        <v>0</v>
      </c>
      <c r="AB226" s="430"/>
      <c r="AC226" s="479"/>
      <c r="AD226" s="479"/>
      <c r="AE226" s="430"/>
      <c r="AF226" s="479">
        <f t="shared" si="58"/>
        <v>137.91290892837833</v>
      </c>
      <c r="AG226" s="479">
        <f t="shared" si="50"/>
        <v>0</v>
      </c>
      <c r="AH226" s="484"/>
      <c r="AJ226" s="480">
        <f t="shared" si="51"/>
        <v>0</v>
      </c>
      <c r="AK226" s="480" t="str">
        <f t="shared" si="52"/>
        <v/>
      </c>
    </row>
    <row r="227" spans="1:37" ht="15.6" x14ac:dyDescent="0.3">
      <c r="A227" s="152">
        <v>2047</v>
      </c>
      <c r="B227" s="178"/>
      <c r="C227" s="182"/>
      <c r="D227" s="183"/>
      <c r="E227" s="179">
        <f t="shared" si="53"/>
        <v>765.9143806401969</v>
      </c>
      <c r="F227" s="183">
        <f t="shared" si="60"/>
        <v>40.791882345099452</v>
      </c>
      <c r="G227" s="247">
        <f t="shared" si="54"/>
        <v>0.53261836974497678</v>
      </c>
      <c r="H227" s="246"/>
      <c r="I227" s="417"/>
      <c r="J227" s="417"/>
      <c r="K227" s="182"/>
      <c r="L227" s="178"/>
      <c r="M227" s="182"/>
      <c r="N227" s="178"/>
      <c r="O227" s="495"/>
      <c r="P227" s="439">
        <f>IF(P$194="Y",IFERROR(E227*($F$8/SUMIF($H$5:$H$16,"Y",$F$5:$F$16))*$F$21*'Emissions Factors'!B44,""),"")</f>
        <v>10.83510893764281</v>
      </c>
      <c r="Q227" s="441">
        <f>IF(Q$194="Y",IFERROR($E227*(SUM($F$5,$F$6,$F$7,$F$9)/SUMIF($H$5:$H$16,"Y",$F$5:$F$16))*('Emissions Factors'!$T$143*$F$22)/10^6,""),"")</f>
        <v>134.77206923744552</v>
      </c>
      <c r="R227" s="180"/>
      <c r="S227" s="180"/>
      <c r="T227" s="496"/>
      <c r="U227" s="180">
        <f t="shared" si="55"/>
        <v>145.60717817508834</v>
      </c>
      <c r="V227" s="180">
        <f t="shared" si="56"/>
        <v>0</v>
      </c>
      <c r="X227" s="430"/>
      <c r="Y227" s="478">
        <v>2047</v>
      </c>
      <c r="Z227" s="479">
        <f t="shared" si="57"/>
        <v>145.60717817508834</v>
      </c>
      <c r="AA227" s="479">
        <f t="shared" si="57"/>
        <v>0</v>
      </c>
      <c r="AB227" s="430"/>
      <c r="AC227" s="479"/>
      <c r="AD227" s="479"/>
      <c r="AE227" s="430"/>
      <c r="AF227" s="479">
        <f t="shared" si="58"/>
        <v>145.60717817508834</v>
      </c>
      <c r="AG227" s="479">
        <f t="shared" si="50"/>
        <v>0</v>
      </c>
      <c r="AH227" s="484"/>
      <c r="AJ227" s="480">
        <f t="shared" si="51"/>
        <v>0</v>
      </c>
      <c r="AK227" s="480" t="str">
        <f t="shared" si="52"/>
        <v/>
      </c>
    </row>
    <row r="228" spans="1:37" ht="15.6" x14ac:dyDescent="0.3">
      <c r="A228" s="152">
        <v>2048</v>
      </c>
      <c r="B228" s="178"/>
      <c r="C228" s="182"/>
      <c r="D228" s="183"/>
      <c r="E228" s="179">
        <f t="shared" si="53"/>
        <v>808.04466369889815</v>
      </c>
      <c r="F228" s="183">
        <f t="shared" si="60"/>
        <v>42.130283058701252</v>
      </c>
      <c r="G228" s="247">
        <f t="shared" si="54"/>
        <v>0.52809484037024979</v>
      </c>
      <c r="H228" s="246"/>
      <c r="I228" s="417"/>
      <c r="J228" s="417"/>
      <c r="K228" s="182"/>
      <c r="L228" s="178"/>
      <c r="M228" s="182"/>
      <c r="N228" s="178"/>
      <c r="O228" s="495"/>
      <c r="P228" s="439">
        <f>IF(P$194="Y",IFERROR(E228*($F$8/SUMIF($H$5:$H$16,"Y",$F$5:$F$16))*$F$21*'Emissions Factors'!B45,""),"")</f>
        <v>11.362898518122055</v>
      </c>
      <c r="Q228" s="441">
        <f>IF(Q$194="Y",IFERROR($E228*(SUM($F$5,$F$6,$F$7,$F$9)/SUMIF($H$5:$H$16,"Y",$F$5:$F$16))*('Emissions Factors'!$T$143*$F$22)/10^6,""),"")</f>
        <v>142.18541147112245</v>
      </c>
      <c r="R228" s="180"/>
      <c r="S228" s="180"/>
      <c r="T228" s="496"/>
      <c r="U228" s="180">
        <f t="shared" si="55"/>
        <v>153.5483099892445</v>
      </c>
      <c r="V228" s="180">
        <f t="shared" si="56"/>
        <v>0</v>
      </c>
      <c r="X228" s="430"/>
      <c r="Y228" s="478">
        <v>2048</v>
      </c>
      <c r="Z228" s="479">
        <f t="shared" si="57"/>
        <v>153.5483099892445</v>
      </c>
      <c r="AA228" s="479">
        <f t="shared" si="57"/>
        <v>0</v>
      </c>
      <c r="AB228" s="430"/>
      <c r="AC228" s="479"/>
      <c r="AD228" s="479"/>
      <c r="AE228" s="430"/>
      <c r="AF228" s="479">
        <f t="shared" si="58"/>
        <v>153.5483099892445</v>
      </c>
      <c r="AG228" s="479">
        <f t="shared" si="50"/>
        <v>0</v>
      </c>
      <c r="AH228" s="484"/>
      <c r="AJ228" s="480">
        <f t="shared" si="51"/>
        <v>0</v>
      </c>
      <c r="AK228" s="480" t="str">
        <f t="shared" si="52"/>
        <v/>
      </c>
    </row>
    <row r="229" spans="1:37" ht="15.6" x14ac:dyDescent="0.3">
      <c r="A229" s="152">
        <v>2049</v>
      </c>
      <c r="B229" s="178"/>
      <c r="C229" s="182"/>
      <c r="D229" s="183"/>
      <c r="E229" s="179">
        <f t="shared" si="53"/>
        <v>851.60732766139677</v>
      </c>
      <c r="F229" s="183">
        <f t="shared" si="60"/>
        <v>43.562663962498618</v>
      </c>
      <c r="G229" s="247">
        <f t="shared" si="54"/>
        <v>0.5234955961029425</v>
      </c>
      <c r="H229" s="246"/>
      <c r="I229" s="417"/>
      <c r="J229" s="417"/>
      <c r="K229" s="182"/>
      <c r="L229" s="178"/>
      <c r="M229" s="182"/>
      <c r="N229" s="178"/>
      <c r="O229" s="495"/>
      <c r="P229" s="439">
        <f>IF(P$194="Y",IFERROR(E229*($F$8/SUMIF($H$5:$H$16,"Y",$F$5:$F$16))*$F$21*'Emissions Factors'!B46,""),"")</f>
        <v>11.913760181970652</v>
      </c>
      <c r="Q229" s="441">
        <f>IF(Q$194="Y",IFERROR($E229*(SUM($F$5,$F$6,$F$7,$F$9)/SUMIF($H$5:$H$16,"Y",$F$5:$F$16))*('Emissions Factors'!$T$143*$F$22)/10^6,""),"")</f>
        <v>149.85079876782535</v>
      </c>
      <c r="R229" s="180"/>
      <c r="S229" s="180"/>
      <c r="T229" s="496"/>
      <c r="U229" s="180">
        <f t="shared" si="55"/>
        <v>161.764558949796</v>
      </c>
      <c r="V229" s="180">
        <f t="shared" si="56"/>
        <v>0</v>
      </c>
      <c r="X229" s="430"/>
      <c r="Y229" s="478">
        <v>2049</v>
      </c>
      <c r="Z229" s="479">
        <f t="shared" si="57"/>
        <v>161.764558949796</v>
      </c>
      <c r="AA229" s="479">
        <f t="shared" si="57"/>
        <v>0</v>
      </c>
      <c r="AB229" s="430"/>
      <c r="AC229" s="479"/>
      <c r="AD229" s="479"/>
      <c r="AE229" s="430"/>
      <c r="AF229" s="479">
        <f t="shared" si="58"/>
        <v>161.764558949796</v>
      </c>
      <c r="AG229" s="479">
        <f t="shared" si="50"/>
        <v>0</v>
      </c>
      <c r="AH229" s="484"/>
      <c r="AJ229" s="480">
        <f t="shared" si="51"/>
        <v>0</v>
      </c>
      <c r="AK229" s="480" t="str">
        <f t="shared" si="52"/>
        <v/>
      </c>
    </row>
    <row r="230" spans="1:37" ht="15.6" x14ac:dyDescent="0.3">
      <c r="A230" s="152">
        <v>2050</v>
      </c>
      <c r="B230" s="178"/>
      <c r="C230" s="182"/>
      <c r="D230" s="183"/>
      <c r="E230" s="179">
        <f t="shared" si="53"/>
        <v>896.95547627651661</v>
      </c>
      <c r="F230" s="183">
        <f t="shared" si="60"/>
        <v>45.34814861511984</v>
      </c>
      <c r="G230" s="247">
        <f t="shared" si="54"/>
        <v>0.51887476282124312</v>
      </c>
      <c r="H230" s="246"/>
      <c r="I230" s="417"/>
      <c r="J230" s="417"/>
      <c r="K230" s="182"/>
      <c r="L230" s="178"/>
      <c r="M230" s="182"/>
      <c r="N230" s="178"/>
      <c r="O230" s="495"/>
      <c r="P230" s="439">
        <f>IF(P$194="Y",IFERROR(E230*($F$8/SUMIF($H$5:$H$16,"Y",$F$5:$F$16))*$F$21*'Emissions Factors'!B47,""),"")</f>
        <v>12.505016526643171</v>
      </c>
      <c r="Q230" s="441">
        <f>IF(Q$194="Y",IFERROR($E230*(SUM($F$5,$F$6,$F$7,$F$9)/SUMIF($H$5:$H$16,"Y",$F$5:$F$16))*('Emissions Factors'!$T$143*$F$22)/10^6,""),"")</f>
        <v>157.83036408142922</v>
      </c>
      <c r="R230" s="180"/>
      <c r="S230" s="180"/>
      <c r="T230" s="496"/>
      <c r="U230" s="180">
        <f t="shared" si="55"/>
        <v>170.3353806080724</v>
      </c>
      <c r="V230" s="180">
        <f t="shared" si="56"/>
        <v>0</v>
      </c>
      <c r="X230" s="430"/>
      <c r="Y230" s="478">
        <v>2050</v>
      </c>
      <c r="Z230" s="479">
        <f t="shared" si="57"/>
        <v>170.3353806080724</v>
      </c>
      <c r="AA230" s="479">
        <f t="shared" si="57"/>
        <v>0</v>
      </c>
      <c r="AB230" s="430"/>
      <c r="AC230" s="479"/>
      <c r="AD230" s="479"/>
      <c r="AE230" s="430"/>
      <c r="AF230" s="479">
        <f t="shared" si="58"/>
        <v>170.3353806080724</v>
      </c>
      <c r="AG230" s="479">
        <f t="shared" si="50"/>
        <v>0</v>
      </c>
      <c r="AH230" s="484"/>
      <c r="AJ230" s="480">
        <f t="shared" si="51"/>
        <v>0</v>
      </c>
      <c r="AK230" s="480" t="str">
        <f t="shared" si="52"/>
        <v/>
      </c>
    </row>
    <row r="231" spans="1:37" ht="15.6" x14ac:dyDescent="0.3">
      <c r="A231" s="152">
        <v>2051</v>
      </c>
      <c r="B231" s="178"/>
      <c r="C231" s="182"/>
      <c r="D231" s="183"/>
      <c r="E231" s="179">
        <f t="shared" si="53"/>
        <v>943.34182432369357</v>
      </c>
      <c r="F231" s="183">
        <f t="shared" si="60"/>
        <v>46.386348047176966</v>
      </c>
      <c r="G231" s="247">
        <f t="shared" si="54"/>
        <v>0.51413028597147725</v>
      </c>
      <c r="H231" s="246"/>
      <c r="I231" s="417"/>
      <c r="J231" s="417"/>
      <c r="K231" s="182"/>
      <c r="L231" s="178"/>
      <c r="M231" s="182"/>
      <c r="N231" s="178"/>
      <c r="O231" s="495"/>
      <c r="P231" s="439">
        <f>IF(P$194="Y",IFERROR(E231*($F$8/SUMIF($H$5:$H$16,"Y",$F$5:$F$16))*$F$21*'Emissions Factors'!B48,""),"")</f>
        <v>13.101450889623294</v>
      </c>
      <c r="Q231" s="441">
        <f>IF(Q$194="Y",IFERROR($E231*(SUM($F$5,$F$6,$F$7,$F$9)/SUMIF($H$5:$H$16,"Y",$F$5:$F$16))*('Emissions Factors'!$T$143*$F$22)/10^6,""),"")</f>
        <v>165.99261337287214</v>
      </c>
      <c r="R231" s="180"/>
      <c r="S231" s="180"/>
      <c r="T231" s="496"/>
      <c r="U231" s="180">
        <f t="shared" si="55"/>
        <v>179.09406426249544</v>
      </c>
      <c r="V231" s="180">
        <f t="shared" si="56"/>
        <v>0</v>
      </c>
      <c r="Y231" s="478">
        <v>2051</v>
      </c>
      <c r="Z231" s="479">
        <f t="shared" si="57"/>
        <v>179.09406426249544</v>
      </c>
      <c r="AA231" s="479">
        <f t="shared" si="57"/>
        <v>0</v>
      </c>
      <c r="AB231" s="430"/>
      <c r="AC231" s="479"/>
      <c r="AD231" s="479"/>
      <c r="AE231" s="430"/>
      <c r="AF231" s="479">
        <f t="shared" si="58"/>
        <v>179.09406426249544</v>
      </c>
      <c r="AG231" s="479">
        <f t="shared" si="50"/>
        <v>0</v>
      </c>
      <c r="AH231" s="484"/>
      <c r="AJ231" s="480">
        <f t="shared" si="51"/>
        <v>0</v>
      </c>
      <c r="AK231" s="480" t="str">
        <f t="shared" si="52"/>
        <v/>
      </c>
    </row>
    <row r="232" spans="1:37" ht="15.6" x14ac:dyDescent="0.3">
      <c r="A232" s="152">
        <v>2052</v>
      </c>
      <c r="B232" s="178"/>
      <c r="C232" s="182"/>
      <c r="D232" s="183"/>
      <c r="E232" s="179">
        <f t="shared" si="53"/>
        <v>991.62751329724142</v>
      </c>
      <c r="F232" s="183">
        <f t="shared" si="60"/>
        <v>48.285688973547849</v>
      </c>
      <c r="G232" s="247">
        <f t="shared" si="54"/>
        <v>0.50940753304125308</v>
      </c>
      <c r="H232" s="246"/>
      <c r="I232" s="417"/>
      <c r="J232" s="417"/>
      <c r="K232" s="182"/>
      <c r="L232" s="178"/>
      <c r="M232" s="182"/>
      <c r="N232" s="178"/>
      <c r="O232" s="495"/>
      <c r="P232" s="439">
        <f>IF(P$194="Y",IFERROR(E232*($F$8/SUMIF($H$5:$H$16,"Y",$F$5:$F$16))*$F$21*'Emissions Factors'!B49,""),"")</f>
        <v>13.72120385174162</v>
      </c>
      <c r="Q232" s="441">
        <f>IF(Q$194="Y",IFERROR($E232*(SUM($F$5,$F$6,$F$7,$F$9)/SUMIF($H$5:$H$16,"Y",$F$5:$F$16))*('Emissions Factors'!$T$143*$F$22)/10^6,""),"")</f>
        <v>174.48907509497917</v>
      </c>
      <c r="R232" s="180"/>
      <c r="S232" s="180"/>
      <c r="T232" s="496"/>
      <c r="U232" s="180">
        <f t="shared" si="55"/>
        <v>188.21027894672079</v>
      </c>
      <c r="V232" s="180">
        <f t="shared" si="56"/>
        <v>0</v>
      </c>
      <c r="Y232" s="478">
        <v>2052</v>
      </c>
      <c r="Z232" s="479">
        <f t="shared" si="57"/>
        <v>188.21027894672079</v>
      </c>
      <c r="AA232" s="479">
        <f t="shared" si="57"/>
        <v>0</v>
      </c>
      <c r="AB232" s="430"/>
      <c r="AC232" s="479"/>
      <c r="AD232" s="479"/>
      <c r="AE232" s="430"/>
      <c r="AF232" s="479">
        <f t="shared" si="58"/>
        <v>188.21027894672079</v>
      </c>
      <c r="AG232" s="479">
        <f t="shared" si="50"/>
        <v>0</v>
      </c>
      <c r="AH232" s="484"/>
      <c r="AJ232" s="480">
        <f t="shared" si="51"/>
        <v>0</v>
      </c>
      <c r="AK232" s="480" t="str">
        <f t="shared" si="52"/>
        <v/>
      </c>
    </row>
    <row r="233" spans="1:37" ht="15.6" x14ac:dyDescent="0.3">
      <c r="A233" s="152">
        <v>2053</v>
      </c>
      <c r="B233" s="178"/>
      <c r="C233" s="182"/>
      <c r="D233" s="183"/>
      <c r="E233" s="179">
        <f t="shared" si="53"/>
        <v>1041.589457735691</v>
      </c>
      <c r="F233" s="183">
        <f t="shared" si="60"/>
        <v>49.961944438449564</v>
      </c>
      <c r="G233" s="247">
        <f t="shared" si="54"/>
        <v>0.50469328956793813</v>
      </c>
      <c r="H233" s="246"/>
      <c r="I233" s="417"/>
      <c r="J233" s="417"/>
      <c r="K233" s="182"/>
      <c r="L233" s="178"/>
      <c r="M233" s="182"/>
      <c r="N233" s="178"/>
      <c r="O233" s="495"/>
      <c r="P233" s="439">
        <f>IF(P$194="Y",IFERROR(E233*($F$8/SUMIF($H$5:$H$16,"Y",$F$5:$F$16))*$F$21*'Emissions Factors'!B50,""),"")</f>
        <v>14.357993294956563</v>
      </c>
      <c r="Q233" s="441">
        <f>IF(Q$194="Y",IFERROR($E233*(SUM($F$5,$F$6,$F$7,$F$9)/SUMIF($H$5:$H$16,"Y",$F$5:$F$16))*('Emissions Factors'!$T$143*$F$22)/10^6,""),"")</f>
        <v>183.28049461300401</v>
      </c>
      <c r="R233" s="180"/>
      <c r="S233" s="180"/>
      <c r="T233" s="496"/>
      <c r="U233" s="180">
        <f t="shared" si="55"/>
        <v>197.63848790796058</v>
      </c>
      <c r="V233" s="180">
        <f t="shared" si="56"/>
        <v>0</v>
      </c>
      <c r="Y233" s="478">
        <v>2053</v>
      </c>
      <c r="Z233" s="479">
        <f t="shared" si="57"/>
        <v>197.63848790796058</v>
      </c>
      <c r="AA233" s="479">
        <f t="shared" si="57"/>
        <v>0</v>
      </c>
      <c r="AB233" s="430"/>
      <c r="AC233" s="479"/>
      <c r="AD233" s="479"/>
      <c r="AE233" s="430"/>
      <c r="AF233" s="479">
        <f t="shared" si="58"/>
        <v>197.63848790796058</v>
      </c>
      <c r="AG233" s="479">
        <f t="shared" si="50"/>
        <v>0</v>
      </c>
      <c r="AH233" s="484"/>
      <c r="AJ233" s="480">
        <f t="shared" si="51"/>
        <v>0</v>
      </c>
      <c r="AK233" s="480" t="str">
        <f t="shared" si="52"/>
        <v/>
      </c>
    </row>
    <row r="234" spans="1:37" ht="15.6" x14ac:dyDescent="0.3">
      <c r="A234" s="152">
        <v>2054</v>
      </c>
      <c r="B234" s="178"/>
      <c r="C234" s="182"/>
      <c r="D234" s="183"/>
      <c r="E234" s="179">
        <f t="shared" si="53"/>
        <v>1093.2635620094634</v>
      </c>
      <c r="F234" s="183">
        <f t="shared" si="60"/>
        <v>51.6741042737724</v>
      </c>
      <c r="G234" s="247">
        <f t="shared" si="54"/>
        <v>0.50001377138642455</v>
      </c>
      <c r="H234" s="246"/>
      <c r="I234" s="417"/>
      <c r="J234" s="417"/>
      <c r="K234" s="182"/>
      <c r="L234" s="178"/>
      <c r="M234" s="182"/>
      <c r="N234" s="178"/>
      <c r="O234" s="495"/>
      <c r="P234" s="439">
        <f>IF(P$194="Y",IFERROR(E234*($F$8/SUMIF($H$5:$H$16,"Y",$F$5:$F$16))*$F$21*'Emissions Factors'!B51,""),"")</f>
        <v>15.011828720580681</v>
      </c>
      <c r="Q234" s="441">
        <f>IF(Q$194="Y",IFERROR($E234*(SUM($F$5,$F$6,$F$7,$F$9)/SUMIF($H$5:$H$16,"Y",$F$5:$F$16))*('Emissions Factors'!$T$143*$F$22)/10^6,""),"")</f>
        <v>192.3731897431656</v>
      </c>
      <c r="R234" s="180"/>
      <c r="S234" s="180"/>
      <c r="T234" s="496"/>
      <c r="U234" s="180">
        <f t="shared" si="55"/>
        <v>207.38501846374629</v>
      </c>
      <c r="V234" s="180">
        <f t="shared" si="56"/>
        <v>0</v>
      </c>
      <c r="Y234" s="478">
        <v>2054</v>
      </c>
      <c r="Z234" s="479">
        <f t="shared" si="57"/>
        <v>207.38501846374629</v>
      </c>
      <c r="AA234" s="479">
        <f t="shared" si="57"/>
        <v>0</v>
      </c>
      <c r="AB234" s="430"/>
      <c r="AC234" s="479"/>
      <c r="AD234" s="479"/>
      <c r="AE234" s="430"/>
      <c r="AF234" s="479">
        <f t="shared" si="58"/>
        <v>207.38501846374629</v>
      </c>
      <c r="AG234" s="479">
        <f t="shared" si="50"/>
        <v>0</v>
      </c>
      <c r="AH234" s="484"/>
      <c r="AJ234" s="480">
        <f t="shared" si="51"/>
        <v>0</v>
      </c>
      <c r="AK234" s="480" t="str">
        <f t="shared" si="52"/>
        <v/>
      </c>
    </row>
    <row r="235" spans="1:37" ht="15.6" x14ac:dyDescent="0.3">
      <c r="A235" s="152">
        <v>2055</v>
      </c>
      <c r="B235" s="178"/>
      <c r="C235" s="182"/>
      <c r="D235" s="183"/>
      <c r="E235" s="179">
        <f t="shared" si="53"/>
        <v>1146.6802368931069</v>
      </c>
      <c r="F235" s="183">
        <f t="shared" si="60"/>
        <v>53.416674883643509</v>
      </c>
      <c r="G235" s="247">
        <f t="shared" si="54"/>
        <v>0.49538914368792236</v>
      </c>
      <c r="H235" s="246"/>
      <c r="I235" s="417"/>
      <c r="J235" s="417"/>
      <c r="K235" s="182"/>
      <c r="L235" s="178"/>
      <c r="M235" s="182"/>
      <c r="N235" s="178"/>
      <c r="O235" s="495"/>
      <c r="P235" s="439">
        <f>IF(P$194="Y",IFERROR(E235*($F$8/SUMIF($H$5:$H$16,"Y",$F$5:$F$16))*$F$21*'Emissions Factors'!B52,""),"")</f>
        <v>15.681311972951148</v>
      </c>
      <c r="Q235" s="441">
        <f>IF(Q$194="Y",IFERROR($E235*(SUM($F$5,$F$6,$F$7,$F$9)/SUMIF($H$5:$H$16,"Y",$F$5:$F$16))*('Emissions Factors'!$T$143*$F$22)/10^6,""),"")</f>
        <v>201.77251163582295</v>
      </c>
      <c r="R235" s="180"/>
      <c r="S235" s="180"/>
      <c r="T235" s="496"/>
      <c r="U235" s="180">
        <f t="shared" si="55"/>
        <v>217.45382360877409</v>
      </c>
      <c r="V235" s="180">
        <f t="shared" si="56"/>
        <v>0</v>
      </c>
      <c r="Y235" s="478">
        <v>2055</v>
      </c>
      <c r="Z235" s="479">
        <f t="shared" si="57"/>
        <v>217.45382360877409</v>
      </c>
      <c r="AA235" s="479">
        <f t="shared" si="57"/>
        <v>0</v>
      </c>
      <c r="AB235" s="430"/>
      <c r="AC235" s="479"/>
      <c r="AD235" s="479"/>
      <c r="AE235" s="430"/>
      <c r="AF235" s="479">
        <f t="shared" si="58"/>
        <v>217.45382360877409</v>
      </c>
      <c r="AG235" s="479">
        <f t="shared" si="50"/>
        <v>0</v>
      </c>
      <c r="AH235" s="484"/>
      <c r="AJ235" s="480">
        <f t="shared" si="51"/>
        <v>0</v>
      </c>
      <c r="AK235" s="480" t="str">
        <f t="shared" si="52"/>
        <v/>
      </c>
    </row>
    <row r="236" spans="1:37" ht="15.6" x14ac:dyDescent="0.3">
      <c r="A236" s="152">
        <v>2056</v>
      </c>
      <c r="B236" s="178"/>
      <c r="C236" s="182"/>
      <c r="D236" s="183"/>
      <c r="E236" s="179">
        <f t="shared" si="53"/>
        <v>1201.8751211866165</v>
      </c>
      <c r="F236" s="183">
        <f t="shared" si="60"/>
        <v>55.194884293509631</v>
      </c>
      <c r="G236" s="247">
        <f t="shared" si="54"/>
        <v>0.49082660754496732</v>
      </c>
      <c r="H236" s="246"/>
      <c r="I236" s="417"/>
      <c r="J236" s="417"/>
      <c r="K236" s="182"/>
      <c r="L236" s="178"/>
      <c r="M236" s="182"/>
      <c r="N236" s="178"/>
      <c r="O236" s="495"/>
      <c r="P236" s="439">
        <f>IF(P$194="Y",IFERROR(E236*($F$8/SUMIF($H$5:$H$16,"Y",$F$5:$F$16))*$F$21*'Emissions Factors'!B53,""),"")</f>
        <v>16.370313267068738</v>
      </c>
      <c r="Q236" s="441">
        <f>IF(Q$194="Y",IFERROR($E236*(SUM($F$5,$F$6,$F$7,$F$9)/SUMIF($H$5:$H$16,"Y",$F$5:$F$16))*('Emissions Factors'!$T$143*$F$22)/10^6,""),"")</f>
        <v>211.4847313768075</v>
      </c>
      <c r="R236" s="180"/>
      <c r="S236" s="180"/>
      <c r="T236" s="496"/>
      <c r="U236" s="180">
        <f t="shared" si="55"/>
        <v>227.85504464387623</v>
      </c>
      <c r="V236" s="180">
        <f t="shared" si="56"/>
        <v>0</v>
      </c>
      <c r="Y236" s="478">
        <v>2056</v>
      </c>
      <c r="Z236" s="479">
        <f t="shared" si="57"/>
        <v>227.85504464387623</v>
      </c>
      <c r="AA236" s="479">
        <f t="shared" si="57"/>
        <v>0</v>
      </c>
      <c r="AB236" s="430"/>
      <c r="AC236" s="479"/>
      <c r="AD236" s="479"/>
      <c r="AE236" s="430"/>
      <c r="AF236" s="479">
        <f t="shared" si="58"/>
        <v>227.85504464387623</v>
      </c>
      <c r="AG236" s="479">
        <f t="shared" si="50"/>
        <v>0</v>
      </c>
      <c r="AH236" s="484"/>
      <c r="AJ236" s="480">
        <f t="shared" si="51"/>
        <v>0</v>
      </c>
      <c r="AK236" s="480" t="str">
        <f t="shared" si="52"/>
        <v/>
      </c>
    </row>
    <row r="237" spans="1:37" ht="15.6" x14ac:dyDescent="0.3">
      <c r="A237" s="152">
        <v>2057</v>
      </c>
      <c r="B237" s="178"/>
      <c r="C237" s="182"/>
      <c r="D237" s="183"/>
      <c r="E237" s="179">
        <f t="shared" si="53"/>
        <v>1258.8708612421926</v>
      </c>
      <c r="F237" s="183">
        <f t="shared" si="60"/>
        <v>56.995740055576107</v>
      </c>
      <c r="G237" s="247">
        <f t="shared" si="54"/>
        <v>0.4863338211668144</v>
      </c>
      <c r="H237" s="246"/>
      <c r="I237" s="417"/>
      <c r="J237" s="417"/>
      <c r="K237" s="182"/>
      <c r="L237" s="178"/>
      <c r="M237" s="182"/>
      <c r="N237" s="178"/>
      <c r="O237" s="495"/>
      <c r="P237" s="439">
        <f>IF(P$194="Y",IFERROR(E237*($F$8/SUMIF($H$5:$H$16,"Y",$F$5:$F$16))*$F$21*'Emissions Factors'!B54,""),"")</f>
        <v>17.074663813224387</v>
      </c>
      <c r="Q237" s="441">
        <f>IF(Q$194="Y",IFERROR($E237*(SUM($F$5,$F$6,$F$7,$F$9)/SUMIF($H$5:$H$16,"Y",$F$5:$F$16))*('Emissions Factors'!$T$143*$F$22)/10^6,""),"")</f>
        <v>221.5138338707298</v>
      </c>
      <c r="R237" s="180"/>
      <c r="S237" s="180"/>
      <c r="T237" s="496"/>
      <c r="U237" s="180">
        <f t="shared" si="55"/>
        <v>238.58849768395419</v>
      </c>
      <c r="V237" s="180">
        <f t="shared" si="56"/>
        <v>0</v>
      </c>
      <c r="Y237" s="478">
        <v>2057</v>
      </c>
      <c r="Z237" s="479">
        <f t="shared" si="57"/>
        <v>238.58849768395419</v>
      </c>
      <c r="AA237" s="479">
        <f t="shared" si="57"/>
        <v>0</v>
      </c>
      <c r="AB237" s="430"/>
      <c r="AC237" s="479"/>
      <c r="AD237" s="479"/>
      <c r="AE237" s="430"/>
      <c r="AF237" s="479">
        <f t="shared" si="58"/>
        <v>238.58849768395419</v>
      </c>
      <c r="AG237" s="479">
        <f t="shared" si="50"/>
        <v>0</v>
      </c>
      <c r="AH237" s="484"/>
      <c r="AJ237" s="480">
        <f t="shared" si="51"/>
        <v>0</v>
      </c>
      <c r="AK237" s="480" t="str">
        <f t="shared" si="52"/>
        <v/>
      </c>
    </row>
    <row r="238" spans="1:37" ht="15.6" x14ac:dyDescent="0.3">
      <c r="A238" s="152">
        <v>2058</v>
      </c>
      <c r="B238" s="178"/>
      <c r="C238" s="182"/>
      <c r="D238" s="183"/>
      <c r="E238" s="179">
        <f t="shared" si="53"/>
        <v>1317.656000563519</v>
      </c>
      <c r="F238" s="183">
        <f t="shared" si="60"/>
        <v>58.785139321326369</v>
      </c>
      <c r="G238" s="247">
        <f t="shared" si="54"/>
        <v>0.48192528623014225</v>
      </c>
      <c r="H238" s="246"/>
      <c r="I238" s="417"/>
      <c r="J238" s="417"/>
      <c r="K238" s="182"/>
      <c r="L238" s="178"/>
      <c r="M238" s="182"/>
      <c r="N238" s="178"/>
      <c r="O238" s="495"/>
      <c r="P238" s="439">
        <f>IF(P$194="Y",IFERROR(E238*($F$8/SUMIF($H$5:$H$16,"Y",$F$5:$F$16))*$F$21*'Emissions Factors'!B55,""),"")</f>
        <v>17.794932118690625</v>
      </c>
      <c r="Q238" s="441">
        <f>IF(Q$194="Y",IFERROR($E238*(SUM($F$5,$F$6,$F$7,$F$9)/SUMIF($H$5:$H$16,"Y",$F$5:$F$16))*('Emissions Factors'!$T$143*$F$22)/10^6,""),"")</f>
        <v>231.8578032059504</v>
      </c>
      <c r="R238" s="180"/>
      <c r="S238" s="180"/>
      <c r="T238" s="496"/>
      <c r="U238" s="180">
        <f t="shared" si="55"/>
        <v>249.65273532464101</v>
      </c>
      <c r="V238" s="180">
        <f t="shared" si="56"/>
        <v>0</v>
      </c>
      <c r="Y238" s="478">
        <v>2058</v>
      </c>
      <c r="Z238" s="479">
        <f t="shared" si="57"/>
        <v>249.65273532464101</v>
      </c>
      <c r="AA238" s="479">
        <f t="shared" si="57"/>
        <v>0</v>
      </c>
      <c r="AB238" s="430"/>
      <c r="AC238" s="479"/>
      <c r="AD238" s="479"/>
      <c r="AE238" s="430"/>
      <c r="AF238" s="479">
        <f t="shared" si="58"/>
        <v>249.65273532464101</v>
      </c>
      <c r="AG238" s="479">
        <f t="shared" si="50"/>
        <v>0</v>
      </c>
      <c r="AH238" s="484"/>
      <c r="AJ238" s="480">
        <f t="shared" si="51"/>
        <v>0</v>
      </c>
      <c r="AK238" s="480" t="str">
        <f t="shared" si="52"/>
        <v/>
      </c>
    </row>
    <row r="239" spans="1:37" ht="15.6" x14ac:dyDescent="0.3">
      <c r="A239" s="152">
        <v>2059</v>
      </c>
      <c r="B239" s="178"/>
      <c r="C239" s="182"/>
      <c r="D239" s="183"/>
      <c r="E239" s="179">
        <f t="shared" si="53"/>
        <v>1378.2023822199699</v>
      </c>
      <c r="F239" s="183">
        <f t="shared" si="60"/>
        <v>60.546381656450876</v>
      </c>
      <c r="G239" s="247">
        <f t="shared" si="54"/>
        <v>0.47761471239813408</v>
      </c>
      <c r="H239" s="246"/>
      <c r="I239" s="417"/>
      <c r="J239" s="417"/>
      <c r="K239" s="182"/>
      <c r="L239" s="178"/>
      <c r="M239" s="182"/>
      <c r="N239" s="178"/>
      <c r="O239" s="495"/>
      <c r="P239" s="439">
        <f>IF(P$194="Y",IFERROR(E239*($F$8/SUMIF($H$5:$H$16,"Y",$F$5:$F$16))*$F$21*'Emissions Factors'!B56,""),"")</f>
        <v>18.53013867274322</v>
      </c>
      <c r="Q239" s="441">
        <f>IF(Q$194="Y",IFERROR($E239*(SUM($F$5,$F$6,$F$7,$F$9)/SUMIF($H$5:$H$16,"Y",$F$5:$F$16))*('Emissions Factors'!$T$143*$F$22)/10^6,""),"")</f>
        <v>242.5116848237096</v>
      </c>
      <c r="R239" s="180"/>
      <c r="S239" s="180"/>
      <c r="T239" s="496"/>
      <c r="U239" s="180">
        <f t="shared" si="55"/>
        <v>261.04182349645282</v>
      </c>
      <c r="V239" s="180">
        <f t="shared" si="56"/>
        <v>0</v>
      </c>
      <c r="Y239" s="478">
        <v>2059</v>
      </c>
      <c r="Z239" s="479">
        <f t="shared" si="57"/>
        <v>261.04182349645282</v>
      </c>
      <c r="AA239" s="479">
        <f t="shared" si="57"/>
        <v>0</v>
      </c>
      <c r="AB239" s="430"/>
      <c r="AC239" s="479"/>
      <c r="AD239" s="479"/>
      <c r="AE239" s="430"/>
      <c r="AF239" s="479">
        <f t="shared" si="58"/>
        <v>261.04182349645282</v>
      </c>
      <c r="AG239" s="479">
        <f t="shared" si="50"/>
        <v>0</v>
      </c>
      <c r="AH239" s="484"/>
      <c r="AJ239" s="480">
        <f t="shared" si="51"/>
        <v>0</v>
      </c>
      <c r="AK239" s="480" t="str">
        <f t="shared" si="52"/>
        <v/>
      </c>
    </row>
    <row r="240" spans="1:37" ht="15.6" x14ac:dyDescent="0.3">
      <c r="A240" s="152">
        <v>2060</v>
      </c>
      <c r="B240" s="178"/>
      <c r="C240" s="182"/>
      <c r="D240" s="183"/>
      <c r="E240" s="179">
        <f t="shared" si="53"/>
        <v>1440.3879847070489</v>
      </c>
      <c r="F240" s="183">
        <f t="shared" si="60"/>
        <v>62.185602487078995</v>
      </c>
      <c r="G240" s="247">
        <f t="shared" si="54"/>
        <v>0.47339931438942939</v>
      </c>
      <c r="H240" s="246"/>
      <c r="I240" s="417"/>
      <c r="J240" s="417"/>
      <c r="K240" s="182"/>
      <c r="L240" s="178"/>
      <c r="M240" s="182"/>
      <c r="N240" s="178"/>
      <c r="O240" s="495"/>
      <c r="P240" s="439">
        <f>IF(P$194="Y",IFERROR(E240*($F$8/SUMIF($H$5:$H$16,"Y",$F$5:$F$16))*$F$21*'Emissions Factors'!B57,""),"")</f>
        <v>19.284486420209507</v>
      </c>
      <c r="Q240" s="441">
        <f>IF(Q$194="Y",IFERROR($E240*(SUM($F$5,$F$6,$F$7,$F$9)/SUMIF($H$5:$H$16,"Y",$F$5:$F$16))*('Emissions Factors'!$T$143*$F$22)/10^6,""),"")</f>
        <v>253.45400753732105</v>
      </c>
      <c r="R240" s="180"/>
      <c r="S240" s="180"/>
      <c r="T240" s="496"/>
      <c r="U240" s="180">
        <f t="shared" si="55"/>
        <v>272.73849395753058</v>
      </c>
      <c r="V240" s="180">
        <f t="shared" si="56"/>
        <v>0</v>
      </c>
      <c r="Y240" s="478">
        <v>2060</v>
      </c>
      <c r="Z240" s="479">
        <f t="shared" si="57"/>
        <v>272.73849395753058</v>
      </c>
      <c r="AA240" s="479">
        <f t="shared" si="57"/>
        <v>0</v>
      </c>
      <c r="AB240" s="430"/>
      <c r="AC240" s="479"/>
      <c r="AD240" s="479"/>
      <c r="AE240" s="430"/>
      <c r="AF240" s="479">
        <f t="shared" si="58"/>
        <v>272.73849395753058</v>
      </c>
      <c r="AG240" s="479">
        <f t="shared" si="50"/>
        <v>0</v>
      </c>
      <c r="AH240" s="484"/>
      <c r="AJ240" s="480">
        <f t="shared" si="51"/>
        <v>0</v>
      </c>
      <c r="AK240" s="480" t="str">
        <f t="shared" si="52"/>
        <v/>
      </c>
    </row>
    <row r="241" spans="1:10" x14ac:dyDescent="0.25">
      <c r="A241" s="13"/>
      <c r="B241" s="13"/>
      <c r="C241" s="13"/>
      <c r="D241" s="13"/>
      <c r="E241" s="13"/>
      <c r="F241" s="13"/>
      <c r="G241" s="13"/>
      <c r="H241" s="13"/>
      <c r="I241" s="13"/>
      <c r="J241" s="13"/>
    </row>
    <row r="244" spans="1:10" ht="13.95" customHeight="1" x14ac:dyDescent="0.25"/>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x14ac:dyDescent="0.25">
      <c r="L280" s="170"/>
      <c r="M280" s="170"/>
      <c r="S280" s="170"/>
    </row>
    <row r="281" spans="12:19" x14ac:dyDescent="0.25">
      <c r="L281" s="170"/>
      <c r="M281" s="170"/>
      <c r="S281" s="170"/>
    </row>
    <row r="282" spans="12:19" ht="13.8" thickBot="1" x14ac:dyDescent="0.3">
      <c r="L282" s="209"/>
      <c r="M282" s="209"/>
      <c r="S282" s="209"/>
    </row>
    <row r="293" spans="1:13" x14ac:dyDescent="0.25">
      <c r="A293" s="13"/>
      <c r="B293" s="13"/>
      <c r="C293" s="13"/>
      <c r="D293" s="13"/>
      <c r="E293" s="13"/>
      <c r="F293" s="13"/>
      <c r="G293" s="13"/>
      <c r="H293" s="13"/>
      <c r="I293" s="13"/>
      <c r="J293" s="13"/>
      <c r="K293" s="13"/>
    </row>
    <row r="302" spans="1:13" ht="13.8" thickBot="1" x14ac:dyDescent="0.3"/>
    <row r="303" spans="1:13" x14ac:dyDescent="0.25">
      <c r="L303" s="202"/>
      <c r="M303" s="202"/>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row>
    <row r="311" spans="12:29" x14ac:dyDescent="0.25">
      <c r="L311" s="170"/>
      <c r="M311" s="170"/>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x14ac:dyDescent="0.25">
      <c r="L331" s="170"/>
      <c r="M331" s="170"/>
      <c r="AC331" s="251"/>
    </row>
    <row r="332" spans="12:29" x14ac:dyDescent="0.25">
      <c r="L332" s="170"/>
      <c r="M332" s="170"/>
      <c r="AC332" s="251"/>
    </row>
    <row r="333" spans="12:29" ht="13.8" thickBot="1" x14ac:dyDescent="0.3">
      <c r="L333" s="209"/>
      <c r="M333" s="209"/>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row r="342" spans="29:29" x14ac:dyDescent="0.25">
      <c r="AC342" s="251"/>
    </row>
    <row r="343" spans="29:29" x14ac:dyDescent="0.25">
      <c r="AC343" s="251"/>
    </row>
  </sheetData>
  <mergeCells count="66">
    <mergeCell ref="K192:N192"/>
    <mergeCell ref="P192:S192"/>
    <mergeCell ref="U192:V192"/>
    <mergeCell ref="AJ133:AM133"/>
    <mergeCell ref="AC191:AD191"/>
    <mergeCell ref="AF191:AG191"/>
    <mergeCell ref="AJ191:AK191"/>
    <mergeCell ref="Z192:AA192"/>
    <mergeCell ref="AC192:AD192"/>
    <mergeCell ref="AF192:AG192"/>
    <mergeCell ref="AJ192:AK192"/>
    <mergeCell ref="AE131:AP131"/>
    <mergeCell ref="AB132:AC132"/>
    <mergeCell ref="AE132:AH132"/>
    <mergeCell ref="AJ132:AM132"/>
    <mergeCell ref="AO132:AP132"/>
    <mergeCell ref="B191:D191"/>
    <mergeCell ref="E191:H191"/>
    <mergeCell ref="Y191:AA191"/>
    <mergeCell ref="AU133:AV133"/>
    <mergeCell ref="AX133:AY133"/>
    <mergeCell ref="K191:N191"/>
    <mergeCell ref="AB133:AC133"/>
    <mergeCell ref="AO133:AP133"/>
    <mergeCell ref="P191:S191"/>
    <mergeCell ref="U191:V191"/>
    <mergeCell ref="BA133:BB133"/>
    <mergeCell ref="BE133:BF133"/>
    <mergeCell ref="B190:H190"/>
    <mergeCell ref="Y190:AG190"/>
    <mergeCell ref="K190:V190"/>
    <mergeCell ref="R133:U133"/>
    <mergeCell ref="W133:Z133"/>
    <mergeCell ref="AT132:AV132"/>
    <mergeCell ref="AX132:AY132"/>
    <mergeCell ref="BA132:BB132"/>
    <mergeCell ref="BE132:BF132"/>
    <mergeCell ref="AT131:BB131"/>
    <mergeCell ref="B132:D132"/>
    <mergeCell ref="E132:H132"/>
    <mergeCell ref="J132:L132"/>
    <mergeCell ref="M132:P132"/>
    <mergeCell ref="AE133:AH133"/>
    <mergeCell ref="R132:U132"/>
    <mergeCell ref="W132:Z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dataValidations count="1">
    <dataValidation type="list" allowBlank="1" showInputMessage="1" showErrorMessage="1" sqref="C27:G27 G19 G5:H16 AE135:AH135 AJ135:AM135 R135:U135 W135:Z135 K194:N194 P194:S194">
      <formula1>"Y,N"</formula1>
    </dataValidation>
  </dataValidations>
  <pageMargins left="0.7" right="0.7" top="0.75" bottom="0.75" header="0.3" footer="0.3"/>
  <pageSetup paperSize="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6"/>
  </sheetPr>
  <dimension ref="A1:EG183"/>
  <sheetViews>
    <sheetView showGridLines="0" zoomScale="96" zoomScaleNormal="96" zoomScalePageLayoutView="80" workbookViewId="0">
      <selection activeCell="D27" sqref="D27"/>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45.5" style="153" bestFit="1"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SpaceHeating_cluster_lldc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61</v>
      </c>
      <c r="E3" s="249">
        <v>7.0203526166084745E-2</v>
      </c>
      <c r="F3" s="167" t="s">
        <v>211</v>
      </c>
      <c r="G3" s="167" t="s">
        <v>213</v>
      </c>
      <c r="I3" s="618"/>
      <c r="J3" s="618"/>
      <c r="K3" s="618"/>
      <c r="L3" s="618"/>
      <c r="M3" s="166"/>
      <c r="N3" s="164">
        <f ca="1">SUM(OFFSET(O27,B3-2015,0,B4-B3+1,4))/1000</f>
        <v>1.7783911160241315</v>
      </c>
      <c r="O3" s="165" t="s">
        <v>209</v>
      </c>
      <c r="Q3" s="165"/>
      <c r="S3" s="671" t="s">
        <v>210</v>
      </c>
      <c r="T3" s="671"/>
      <c r="U3" s="671"/>
      <c r="V3" s="671"/>
      <c r="W3" s="671"/>
    </row>
    <row r="4" spans="1:137" ht="13.8" x14ac:dyDescent="0.25">
      <c r="A4" s="153" t="s">
        <v>215</v>
      </c>
      <c r="B4" s="234">
        <v>2050</v>
      </c>
      <c r="D4" s="248" t="s">
        <v>167</v>
      </c>
      <c r="E4" s="249">
        <v>0.12506188666733994</v>
      </c>
      <c r="F4" s="167" t="s">
        <v>211</v>
      </c>
      <c r="G4" s="167" t="s">
        <v>213</v>
      </c>
      <c r="I4" s="168"/>
      <c r="J4" s="168"/>
      <c r="K4" s="168"/>
      <c r="L4" s="168"/>
      <c r="M4" s="168"/>
      <c r="N4" s="168"/>
      <c r="S4" s="671"/>
      <c r="T4" s="671"/>
      <c r="U4" s="671"/>
      <c r="V4" s="671"/>
      <c r="W4" s="671"/>
    </row>
    <row r="5" spans="1:137" ht="12.75" customHeight="1" x14ac:dyDescent="0.25">
      <c r="D5" s="248" t="s">
        <v>23</v>
      </c>
      <c r="E5" s="249">
        <v>0.36850010350773055</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298</v>
      </c>
      <c r="E6" s="249">
        <v>0.13962505099647438</v>
      </c>
      <c r="F6" s="167" t="s">
        <v>211</v>
      </c>
      <c r="G6" s="167" t="s">
        <v>213</v>
      </c>
      <c r="I6" s="618"/>
      <c r="J6" s="618"/>
      <c r="K6" s="618"/>
      <c r="L6" s="618"/>
      <c r="M6" s="163"/>
      <c r="N6" s="164">
        <f>SUM(O27:R72)/1000</f>
        <v>4.0973733368577943</v>
      </c>
      <c r="O6" s="165" t="s">
        <v>209</v>
      </c>
    </row>
    <row r="7" spans="1:137" ht="13.8" x14ac:dyDescent="0.25">
      <c r="D7" s="248" t="s">
        <v>195</v>
      </c>
      <c r="E7" s="249">
        <v>0.13690815606061812</v>
      </c>
      <c r="F7" s="167" t="s">
        <v>211</v>
      </c>
      <c r="G7" s="167" t="s">
        <v>213</v>
      </c>
      <c r="I7" s="172"/>
      <c r="J7" s="172"/>
      <c r="K7" s="172"/>
      <c r="L7" s="172"/>
      <c r="M7" s="172"/>
      <c r="N7" s="172"/>
      <c r="O7" s="172"/>
      <c r="P7" s="165"/>
    </row>
    <row r="8" spans="1:137" ht="13.8" x14ac:dyDescent="0.25">
      <c r="D8" s="248" t="s">
        <v>176</v>
      </c>
      <c r="E8" s="249">
        <v>0.15970127660175235</v>
      </c>
      <c r="F8" s="167" t="s">
        <v>211</v>
      </c>
      <c r="G8" s="167" t="s">
        <v>213</v>
      </c>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326</v>
      </c>
      <c r="P15" s="260" t="s">
        <v>268</v>
      </c>
    </row>
    <row r="16" spans="1:137" ht="13.8" x14ac:dyDescent="0.25">
      <c r="F16" s="153" t="s">
        <v>217</v>
      </c>
      <c r="O16" s="261">
        <v>0.19850287660945262</v>
      </c>
      <c r="P16" s="261">
        <v>2885.3896418976587</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0</v>
      </c>
      <c r="F26" s="183" t="str">
        <f>IFERROR(E26-E25,"")</f>
        <v/>
      </c>
      <c r="G26" s="247">
        <f t="shared" ref="G26:G72" si="1">IFERROR(E26/(B85-B137),"")</f>
        <v>0</v>
      </c>
      <c r="H26" s="245" t="s">
        <v>264</v>
      </c>
      <c r="J26" s="182"/>
      <c r="K26" s="182"/>
      <c r="L26" s="182"/>
      <c r="M26" s="182"/>
      <c r="N26" s="163"/>
      <c r="O26" s="259">
        <f>IF($O$24="Y",IFERROR(E26*($E$6/SUMIF($G$3:$G$14,"Y",$E$3:$E$14))*$O$16*'Emissions Factors'!B12,""),"")</f>
        <v>0</v>
      </c>
      <c r="P26" s="259">
        <f>IF($P$24="Y",IFERROR($E26*(SUM($E$3,$E$4,$E$5,$E$7)/SUMIF($G$3:$G$14,"Y",$E$3:$E$14))*('Emissions Factors'!$T$143*$P$16)/10^6,""),"")</f>
        <v>0</v>
      </c>
      <c r="Q26" s="259"/>
      <c r="R26" s="245" t="s">
        <v>264</v>
      </c>
      <c r="T26" s="180" t="str">
        <f t="shared" ref="T26:T72" si="2">IF(AND(A26&gt;=$B$3,A26&lt;=$B$4),SUM(O26:R26),"")</f>
        <v/>
      </c>
      <c r="U26" s="180" t="str">
        <f t="shared" ref="U26:U72" si="3">IF(AND(A26&gt;=$B$3,A26&lt;=$B$4),SUM(J26:M26),"")</f>
        <v/>
      </c>
      <c r="V26" s="177"/>
      <c r="X26" s="180">
        <f t="shared" ref="X26:X72" si="4">SUM(O26:R26)</f>
        <v>0</v>
      </c>
      <c r="Y26" s="180">
        <f t="shared" ref="Y26:Y72" si="5">SUM(J26:M26)</f>
        <v>0</v>
      </c>
    </row>
    <row r="27" spans="1:26" ht="15.6" x14ac:dyDescent="0.3">
      <c r="A27" s="152">
        <v>2015</v>
      </c>
      <c r="B27" s="178">
        <f t="shared" si="0"/>
        <v>0</v>
      </c>
      <c r="C27" s="182">
        <f>IFERROR(B27-B26,"")</f>
        <v>0</v>
      </c>
      <c r="D27" s="183"/>
      <c r="E27" s="179">
        <f t="shared" ref="E27:E72" si="6">IFERROR(IF($F$17="Y",$E$17,$Y86)*(SUMIF($G$3:$G$14,"Y",$E$3:$E$14))*(B86-B138),0)</f>
        <v>0</v>
      </c>
      <c r="F27" s="183">
        <f>IFERROR(E27-E26,"")</f>
        <v>0</v>
      </c>
      <c r="G27" s="247">
        <f t="shared" si="1"/>
        <v>0</v>
      </c>
      <c r="H27" s="246"/>
      <c r="J27" s="182"/>
      <c r="K27" s="182"/>
      <c r="L27" s="182"/>
      <c r="M27" s="182"/>
      <c r="N27" s="163"/>
      <c r="O27" s="259">
        <f>IF($O$24="Y",IFERROR(E27*($E$6/SUMIF($G$3:$G$14,"Y",$E$3:$E$14))*$O$16*'Emissions Factors'!B12,""),"")</f>
        <v>0</v>
      </c>
      <c r="P27" s="259">
        <f>IF($P$24="Y",IFERROR($E27*(SUM($E$3,$E$4,$E$5,$E$7)/SUMIF($G$3:$G$14,"Y",$E$3:$E$14))*('Emissions Factors'!$T$143*$P$16)/10^6,""),"")</f>
        <v>0</v>
      </c>
      <c r="Q27" s="259"/>
      <c r="R27" s="258"/>
      <c r="T27" s="180" t="str">
        <f t="shared" si="2"/>
        <v/>
      </c>
      <c r="U27" s="180" t="str">
        <f t="shared" si="3"/>
        <v/>
      </c>
      <c r="V27" s="177"/>
      <c r="X27" s="180">
        <f t="shared" si="4"/>
        <v>0</v>
      </c>
      <c r="Y27" s="180">
        <f t="shared" si="5"/>
        <v>0</v>
      </c>
    </row>
    <row r="28" spans="1:26" ht="15.6" x14ac:dyDescent="0.3">
      <c r="A28" s="152">
        <v>2016</v>
      </c>
      <c r="B28" s="178">
        <f t="shared" si="0"/>
        <v>0</v>
      </c>
      <c r="C28" s="182">
        <f t="shared" ref="C28:C72" si="7">IFERROR(B28-B27,"")</f>
        <v>0</v>
      </c>
      <c r="D28" s="183"/>
      <c r="E28" s="179">
        <f t="shared" si="6"/>
        <v>-1.7918417181135737E-2</v>
      </c>
      <c r="F28" s="183">
        <f t="shared" ref="F28:F72" si="8">IFERROR(E28-E27,"")</f>
        <v>-1.7918417181135737E-2</v>
      </c>
      <c r="G28" s="247">
        <f t="shared" si="1"/>
        <v>1</v>
      </c>
      <c r="H28" s="246"/>
      <c r="J28" s="182"/>
      <c r="K28" s="182"/>
      <c r="L28" s="182"/>
      <c r="M28" s="182"/>
      <c r="N28" s="163"/>
      <c r="O28" s="259">
        <f>IF($O$24="Y",IFERROR(E28*($E$6/SUMIF($G$3:$G$14,"Y",$E$3:$E$14))*$O$16*'Emissions Factors'!B13,""),"")</f>
        <v>-3.044586515457753E-4</v>
      </c>
      <c r="P28" s="259">
        <f>IF($P$24="Y",IFERROR($E28*(SUM($E$3,$E$4,$E$5,$E$7)/SUMIF($G$3:$G$14,"Y",$E$3:$E$14))*('Emissions Factors'!$T$143*$P$16)/10^6,""),"")</f>
        <v>-3.1529662087594443E-3</v>
      </c>
      <c r="Q28" s="259"/>
      <c r="R28" s="258"/>
      <c r="T28" s="180" t="str">
        <f t="shared" si="2"/>
        <v/>
      </c>
      <c r="U28" s="180" t="str">
        <f t="shared" si="3"/>
        <v/>
      </c>
      <c r="V28" s="177"/>
      <c r="X28" s="180">
        <f t="shared" si="4"/>
        <v>-3.4574248603052196E-3</v>
      </c>
      <c r="Y28" s="180">
        <f t="shared" si="5"/>
        <v>0</v>
      </c>
    </row>
    <row r="29" spans="1:26" ht="15.6" x14ac:dyDescent="0.3">
      <c r="A29" s="152">
        <v>2017</v>
      </c>
      <c r="B29" s="178">
        <f>IFERROR(IF($F$17="Y",$E$17,$Y88)*(IF($F$3="Y",$E$3,0)+IF($F$4="Y",$E$4,0)+IF($F$5="Y",$E$5,0)+IF($F$6="Y",$E$6,0)+IF($F$7="Y",$E$7,0)+IF($F$8="Y",$E$8,0)+IF($F$9="Y",$E$9,0)+IF($F$10="Y",$E$10,0)+IF($F$11="Y",$E$11,0)+IF($F$12="Y",$E$12,0)+IF($F$13="Y",$E$13,0)+IF($F$14="Y",$E$14,0))*(B88-B140),0)</f>
        <v>0</v>
      </c>
      <c r="C29" s="182">
        <f>IFERROR(B29-B28,"")</f>
        <v>0</v>
      </c>
      <c r="D29" s="183"/>
      <c r="E29" s="179">
        <f t="shared" si="6"/>
        <v>-1.7729224415234057E-2</v>
      </c>
      <c r="F29" s="183">
        <f>IFERROR(E29-E28,"")</f>
        <v>1.891927659016801E-4</v>
      </c>
      <c r="G29" s="247">
        <f t="shared" si="1"/>
        <v>1</v>
      </c>
      <c r="H29" s="246"/>
      <c r="J29" s="182"/>
      <c r="K29" s="182"/>
      <c r="L29" s="182"/>
      <c r="M29" s="182"/>
      <c r="N29" s="163"/>
      <c r="O29" s="259">
        <f>IF($O$24="Y",IFERROR(E29*($E$6/SUMIF($G$3:$G$14,"Y",$E$3:$E$14))*$O$16*'Emissions Factors'!B14,""),"")</f>
        <v>-2.9756124358523673E-4</v>
      </c>
      <c r="P29" s="259">
        <f>IF($P$24="Y",IFERROR($E29*(SUM($E$3,$E$4,$E$5,$E$7)/SUMIF($G$3:$G$14,"Y",$E$3:$E$14))*('Emissions Factors'!$T$143*$P$16)/10^6,""),"")</f>
        <v>-3.119675411263238E-3</v>
      </c>
      <c r="Q29" s="259"/>
      <c r="R29" s="258"/>
      <c r="T29" s="180" t="str">
        <f t="shared" si="2"/>
        <v/>
      </c>
      <c r="U29" s="180" t="str">
        <f t="shared" si="3"/>
        <v/>
      </c>
      <c r="V29" s="177"/>
      <c r="X29" s="180">
        <f t="shared" si="4"/>
        <v>-3.4172366548484746E-3</v>
      </c>
      <c r="Y29" s="180">
        <f t="shared" si="5"/>
        <v>0</v>
      </c>
    </row>
    <row r="30" spans="1:26" ht="15.6" x14ac:dyDescent="0.3">
      <c r="A30" s="152">
        <v>2018</v>
      </c>
      <c r="B30" s="178">
        <f t="shared" si="0"/>
        <v>0</v>
      </c>
      <c r="C30" s="182">
        <f t="shared" si="7"/>
        <v>0</v>
      </c>
      <c r="D30" s="183"/>
      <c r="E30" s="179">
        <f t="shared" si="6"/>
        <v>-1.748279851017287E-2</v>
      </c>
      <c r="F30" s="183">
        <f t="shared" si="8"/>
        <v>2.4642590506118722E-4</v>
      </c>
      <c r="G30" s="247">
        <f t="shared" si="1"/>
        <v>1</v>
      </c>
      <c r="H30" s="246"/>
      <c r="J30" s="182"/>
      <c r="K30" s="182"/>
      <c r="L30" s="182"/>
      <c r="M30" s="182"/>
      <c r="N30" s="163"/>
      <c r="O30" s="259">
        <f>IF($O$24="Y",IFERROR(E30*($E$6/SUMIF($G$3:$G$14,"Y",$E$3:$E$14))*$O$16*'Emissions Factors'!B15,""),"")</f>
        <v>-2.9064628057255649E-4</v>
      </c>
      <c r="P30" s="259">
        <f>IF($P$24="Y",IFERROR($E30*(SUM($E$3,$E$4,$E$5,$E$7)/SUMIF($G$3:$G$14,"Y",$E$3:$E$14))*('Emissions Factors'!$T$143*$P$16)/10^6,""),"")</f>
        <v>-3.0763137379766674E-3</v>
      </c>
      <c r="Q30" s="259"/>
      <c r="R30" s="258"/>
      <c r="T30" s="180" t="str">
        <f t="shared" si="2"/>
        <v/>
      </c>
      <c r="U30" s="180" t="str">
        <f t="shared" si="3"/>
        <v/>
      </c>
      <c r="V30" s="177"/>
      <c r="X30" s="180">
        <f t="shared" si="4"/>
        <v>-3.3669600185492238E-3</v>
      </c>
      <c r="Y30" s="180">
        <f t="shared" si="5"/>
        <v>0</v>
      </c>
    </row>
    <row r="31" spans="1:26" ht="15.6" x14ac:dyDescent="0.3">
      <c r="A31" s="152">
        <v>2019</v>
      </c>
      <c r="B31" s="178">
        <f t="shared" si="0"/>
        <v>0</v>
      </c>
      <c r="C31" s="182">
        <f t="shared" si="7"/>
        <v>0</v>
      </c>
      <c r="D31" s="183"/>
      <c r="E31" s="179">
        <f t="shared" si="6"/>
        <v>-1.7270298525545513E-2</v>
      </c>
      <c r="F31" s="183">
        <f t="shared" si="8"/>
        <v>2.1249998462735675E-4</v>
      </c>
      <c r="G31" s="247">
        <f t="shared" si="1"/>
        <v>1</v>
      </c>
      <c r="H31" s="246"/>
      <c r="J31" s="182"/>
      <c r="K31" s="182"/>
      <c r="L31" s="182"/>
      <c r="M31" s="182"/>
      <c r="N31" s="163"/>
      <c r="O31" s="259">
        <f>IF($O$24="Y",IFERROR(E31*($E$6/SUMIF($G$3:$G$14,"Y",$E$3:$E$14))*$O$16*'Emissions Factors'!B16,""),"")</f>
        <v>-2.8561452427869674E-4</v>
      </c>
      <c r="P31" s="259">
        <f>IF($P$24="Y",IFERROR($E31*(SUM($E$3,$E$4,$E$5,$E$7)/SUMIF($G$3:$G$14,"Y",$E$3:$E$14))*('Emissions Factors'!$T$143*$P$16)/10^6,""),"")</f>
        <v>-3.0389217482646889E-3</v>
      </c>
      <c r="Q31" s="259"/>
      <c r="R31" s="258"/>
      <c r="T31" s="180" t="str">
        <f t="shared" si="2"/>
        <v/>
      </c>
      <c r="U31" s="180" t="str">
        <f t="shared" si="3"/>
        <v/>
      </c>
      <c r="V31" s="177"/>
      <c r="X31" s="180">
        <f t="shared" si="4"/>
        <v>-3.3245362725433858E-3</v>
      </c>
      <c r="Y31" s="180">
        <f t="shared" si="5"/>
        <v>0</v>
      </c>
    </row>
    <row r="32" spans="1:26" ht="15.6" x14ac:dyDescent="0.3">
      <c r="A32" s="152">
        <v>2020</v>
      </c>
      <c r="B32" s="178">
        <f t="shared" si="0"/>
        <v>0</v>
      </c>
      <c r="C32" s="182">
        <f t="shared" si="7"/>
        <v>0</v>
      </c>
      <c r="D32" s="183"/>
      <c r="E32" s="179">
        <f t="shared" si="6"/>
        <v>-1.7094028344217804E-2</v>
      </c>
      <c r="F32" s="183">
        <f t="shared" si="8"/>
        <v>1.76270181327709E-4</v>
      </c>
      <c r="G32" s="247">
        <f t="shared" si="1"/>
        <v>1</v>
      </c>
      <c r="H32" s="246"/>
      <c r="J32" s="182"/>
      <c r="K32" s="182"/>
      <c r="L32" s="182"/>
      <c r="M32" s="182"/>
      <c r="N32" s="163"/>
      <c r="O32" s="259">
        <f>IF($O$24="Y",IFERROR(E32*($E$6/SUMIF($G$3:$G$14,"Y",$E$3:$E$14))*$O$16*'Emissions Factors'!B17,""),"")</f>
        <v>-2.809295204750878E-4</v>
      </c>
      <c r="P32" s="259">
        <f>IF($P$24="Y",IFERROR($E32*(SUM($E$3,$E$4,$E$5,$E$7)/SUMIF($G$3:$G$14,"Y",$E$3:$E$14))*('Emissions Factors'!$T$143*$P$16)/10^6,""),"")</f>
        <v>-3.0079048386950609E-3</v>
      </c>
      <c r="Q32" s="259"/>
      <c r="R32" s="258"/>
      <c r="T32" s="180">
        <f t="shared" si="2"/>
        <v>-3.2888343591701485E-3</v>
      </c>
      <c r="U32" s="180">
        <f t="shared" si="3"/>
        <v>0</v>
      </c>
      <c r="V32" s="177"/>
      <c r="X32" s="180">
        <f t="shared" si="4"/>
        <v>-3.2888343591701485E-3</v>
      </c>
      <c r="Y32" s="180">
        <f t="shared" si="5"/>
        <v>0</v>
      </c>
    </row>
    <row r="33" spans="1:25" ht="15.6" x14ac:dyDescent="0.3">
      <c r="A33" s="152">
        <v>2021</v>
      </c>
      <c r="B33" s="178">
        <f t="shared" si="0"/>
        <v>0</v>
      </c>
      <c r="C33" s="182">
        <f t="shared" si="7"/>
        <v>0</v>
      </c>
      <c r="D33" s="183"/>
      <c r="E33" s="179">
        <f t="shared" si="6"/>
        <v>5.1085607885964333</v>
      </c>
      <c r="F33" s="183">
        <f t="shared" si="8"/>
        <v>5.1256548169406511</v>
      </c>
      <c r="G33" s="247">
        <f t="shared" si="1"/>
        <v>0.33517699542608825</v>
      </c>
      <c r="H33" s="246"/>
      <c r="J33" s="182"/>
      <c r="K33" s="182"/>
      <c r="L33" s="182"/>
      <c r="M33" s="182"/>
      <c r="N33" s="163"/>
      <c r="O33" s="259">
        <f>IF($O$24="Y",IFERROR(E33*($E$6/SUMIF($G$3:$G$14,"Y",$E$3:$E$14))*$O$16*'Emissions Factors'!B18,""),"")</f>
        <v>8.3451583257099934E-2</v>
      </c>
      <c r="P33" s="259">
        <f>IF($P$24="Y",IFERROR($E33*(SUM($E$3,$E$4,$E$5,$E$7)/SUMIF($G$3:$G$14,"Y",$E$3:$E$14))*('Emissions Factors'!$T$143*$P$16)/10^6,""),"")</f>
        <v>0.89891419420658458</v>
      </c>
      <c r="Q33" s="259"/>
      <c r="R33" s="258"/>
      <c r="T33" s="180">
        <f t="shared" si="2"/>
        <v>0.98236577746368448</v>
      </c>
      <c r="U33" s="180">
        <f t="shared" si="3"/>
        <v>0</v>
      </c>
      <c r="V33" s="177"/>
      <c r="X33" s="180">
        <f t="shared" si="4"/>
        <v>0.98236577746368448</v>
      </c>
      <c r="Y33" s="180">
        <f t="shared" si="5"/>
        <v>0</v>
      </c>
    </row>
    <row r="34" spans="1:25" ht="15.6" x14ac:dyDescent="0.3">
      <c r="A34" s="152">
        <v>2022</v>
      </c>
      <c r="B34" s="178">
        <f t="shared" si="0"/>
        <v>0</v>
      </c>
      <c r="C34" s="182">
        <f t="shared" si="7"/>
        <v>0</v>
      </c>
      <c r="D34" s="183"/>
      <c r="E34" s="179">
        <f t="shared" si="6"/>
        <v>12.118062175921695</v>
      </c>
      <c r="F34" s="183">
        <f t="shared" si="8"/>
        <v>7.0095013873252618</v>
      </c>
      <c r="G34" s="247">
        <f t="shared" si="1"/>
        <v>0.34949124276478682</v>
      </c>
      <c r="H34" s="246"/>
      <c r="J34" s="182"/>
      <c r="K34" s="182"/>
      <c r="L34" s="182"/>
      <c r="M34" s="182"/>
      <c r="N34" s="163"/>
      <c r="O34" s="259">
        <f>IF($O$24="Y",IFERROR(E34*($E$6/SUMIF($G$3:$G$14,"Y",$E$3:$E$14))*$O$16*'Emissions Factors'!B19,""),"")</f>
        <v>0.19677928017559165</v>
      </c>
      <c r="P34" s="259">
        <f>IF($P$24="Y",IFERROR($E34*(SUM($E$3,$E$4,$E$5,$E$7)/SUMIF($G$3:$G$14,"Y",$E$3:$E$14))*('Emissions Factors'!$T$143*$P$16)/10^6,""),"")</f>
        <v>2.1323223011322523</v>
      </c>
      <c r="Q34" s="259"/>
      <c r="R34" s="258"/>
      <c r="T34" s="180">
        <f t="shared" si="2"/>
        <v>2.3291015813078442</v>
      </c>
      <c r="U34" s="180">
        <f t="shared" si="3"/>
        <v>0</v>
      </c>
      <c r="V34" s="177"/>
      <c r="X34" s="180">
        <f t="shared" si="4"/>
        <v>2.3291015813078442</v>
      </c>
      <c r="Y34" s="180">
        <f t="shared" si="5"/>
        <v>0</v>
      </c>
    </row>
    <row r="35" spans="1:25" ht="15.6" x14ac:dyDescent="0.3">
      <c r="A35" s="152">
        <v>2023</v>
      </c>
      <c r="B35" s="178">
        <f t="shared" si="0"/>
        <v>0</v>
      </c>
      <c r="C35" s="182">
        <f t="shared" si="7"/>
        <v>0</v>
      </c>
      <c r="D35" s="183"/>
      <c r="E35" s="179">
        <f t="shared" si="6"/>
        <v>20.813015751404674</v>
      </c>
      <c r="F35" s="183">
        <f t="shared" si="8"/>
        <v>8.6949535754829785</v>
      </c>
      <c r="G35" s="247">
        <f t="shared" si="1"/>
        <v>0.35981344483391892</v>
      </c>
      <c r="H35" s="246"/>
      <c r="J35" s="182"/>
      <c r="K35" s="182"/>
      <c r="L35" s="182"/>
      <c r="M35" s="182"/>
      <c r="N35" s="163"/>
      <c r="O35" s="259">
        <f>IF($O$24="Y",IFERROR(E35*($E$6/SUMIF($G$3:$G$14,"Y",$E$3:$E$14))*$O$16*'Emissions Factors'!B20,""),"")</f>
        <v>0.33599955284290267</v>
      </c>
      <c r="P35" s="259">
        <f>IF($P$24="Y",IFERROR($E35*(SUM($E$3,$E$4,$E$5,$E$7)/SUMIF($G$3:$G$14,"Y",$E$3:$E$14))*('Emissions Factors'!$T$143*$P$16)/10^6,""),"")</f>
        <v>3.6623064807110142</v>
      </c>
      <c r="Q35" s="259"/>
      <c r="R35" s="258"/>
      <c r="T35" s="180">
        <f t="shared" si="2"/>
        <v>3.9983060335539169</v>
      </c>
      <c r="U35" s="180">
        <f t="shared" si="3"/>
        <v>0</v>
      </c>
      <c r="V35" s="177"/>
      <c r="X35" s="180">
        <f t="shared" si="4"/>
        <v>3.9983060335539169</v>
      </c>
      <c r="Y35" s="180">
        <f t="shared" si="5"/>
        <v>0</v>
      </c>
    </row>
    <row r="36" spans="1:25" ht="15.6" x14ac:dyDescent="0.3">
      <c r="A36" s="152">
        <v>2024</v>
      </c>
      <c r="B36" s="178">
        <f t="shared" si="0"/>
        <v>0</v>
      </c>
      <c r="C36" s="182">
        <f t="shared" si="7"/>
        <v>0</v>
      </c>
      <c r="D36" s="183"/>
      <c r="E36" s="179">
        <f t="shared" si="6"/>
        <v>31.119863519767843</v>
      </c>
      <c r="F36" s="183">
        <f t="shared" si="8"/>
        <v>10.30684776836317</v>
      </c>
      <c r="G36" s="247">
        <f t="shared" si="1"/>
        <v>0.36797484760727978</v>
      </c>
      <c r="H36" s="246"/>
      <c r="J36" s="182"/>
      <c r="K36" s="182"/>
      <c r="L36" s="182"/>
      <c r="M36" s="182"/>
      <c r="N36" s="163"/>
      <c r="O36" s="259">
        <f>IF($O$24="Y",IFERROR(E36*($E$6/SUMIF($G$3:$G$14,"Y",$E$3:$E$14))*$O$16*'Emissions Factors'!B21,""),"")</f>
        <v>0.49950665351645418</v>
      </c>
      <c r="P36" s="259">
        <f>IF($P$24="Y",IFERROR($E36*(SUM($E$3,$E$4,$E$5,$E$7)/SUMIF($G$3:$G$14,"Y",$E$3:$E$14))*('Emissions Factors'!$T$143*$P$16)/10^6,""),"")</f>
        <v>5.4759232976411001</v>
      </c>
      <c r="Q36" s="259"/>
      <c r="R36" s="258"/>
      <c r="T36" s="180">
        <f t="shared" si="2"/>
        <v>5.9754299511575546</v>
      </c>
      <c r="U36" s="180">
        <f t="shared" si="3"/>
        <v>0</v>
      </c>
      <c r="V36" s="177"/>
      <c r="X36" s="180">
        <f t="shared" si="4"/>
        <v>5.9754299511575546</v>
      </c>
      <c r="Y36" s="180">
        <f t="shared" si="5"/>
        <v>0</v>
      </c>
    </row>
    <row r="37" spans="1:25" ht="15.6" x14ac:dyDescent="0.3">
      <c r="A37" s="152">
        <v>2025</v>
      </c>
      <c r="B37" s="178">
        <f t="shared" si="0"/>
        <v>0</v>
      </c>
      <c r="C37" s="182">
        <f t="shared" si="7"/>
        <v>0</v>
      </c>
      <c r="D37" s="183"/>
      <c r="E37" s="179">
        <f t="shared" si="6"/>
        <v>43.000480121708947</v>
      </c>
      <c r="F37" s="183">
        <f t="shared" si="8"/>
        <v>11.880616601941103</v>
      </c>
      <c r="G37" s="247">
        <f t="shared" si="1"/>
        <v>0.37478978220925691</v>
      </c>
      <c r="H37" s="246"/>
      <c r="J37" s="182"/>
      <c r="K37" s="182"/>
      <c r="L37" s="182"/>
      <c r="M37" s="182"/>
      <c r="N37" s="163"/>
      <c r="O37" s="259">
        <f>IF($O$24="Y",IFERROR(E37*($E$6/SUMIF($G$3:$G$14,"Y",$E$3:$E$14))*$O$16*'Emissions Factors'!B22,""),"")</f>
        <v>0.68669230221725996</v>
      </c>
      <c r="P37" s="259">
        <f>IF($P$24="Y",IFERROR($E37*(SUM($E$3,$E$4,$E$5,$E$7)/SUMIF($G$3:$G$14,"Y",$E$3:$E$14))*('Emissions Factors'!$T$143*$P$16)/10^6,""),"")</f>
        <v>7.5664641253534528</v>
      </c>
      <c r="Q37" s="259"/>
      <c r="R37" s="258"/>
      <c r="T37" s="180">
        <f t="shared" si="2"/>
        <v>8.2531564275707119</v>
      </c>
      <c r="U37" s="180">
        <f t="shared" si="3"/>
        <v>0</v>
      </c>
      <c r="V37" s="177"/>
      <c r="X37" s="180">
        <f t="shared" si="4"/>
        <v>8.2531564275707119</v>
      </c>
      <c r="Y37" s="180">
        <f t="shared" si="5"/>
        <v>0</v>
      </c>
    </row>
    <row r="38" spans="1:25" ht="15.6" x14ac:dyDescent="0.3">
      <c r="A38" s="152">
        <v>2026</v>
      </c>
      <c r="B38" s="178">
        <f t="shared" si="0"/>
        <v>0</v>
      </c>
      <c r="C38" s="182">
        <f t="shared" si="7"/>
        <v>0</v>
      </c>
      <c r="D38" s="183"/>
      <c r="E38" s="179">
        <f t="shared" si="6"/>
        <v>56.415871646922952</v>
      </c>
      <c r="F38" s="183">
        <f t="shared" si="8"/>
        <v>13.415391525214005</v>
      </c>
      <c r="G38" s="247">
        <f t="shared" si="1"/>
        <v>0.38069215009982427</v>
      </c>
      <c r="H38" s="246"/>
      <c r="J38" s="182"/>
      <c r="K38" s="182"/>
      <c r="L38" s="182"/>
      <c r="M38" s="182"/>
      <c r="N38" s="163"/>
      <c r="O38" s="259">
        <f>IF($O$24="Y",IFERROR(E38*($E$6/SUMIF($G$3:$G$14,"Y",$E$3:$E$14))*$O$16*'Emissions Factors'!B23,""),"")</f>
        <v>0.89539258159397173</v>
      </c>
      <c r="P38" s="259">
        <f>IF($P$24="Y",IFERROR($E38*(SUM($E$3,$E$4,$E$5,$E$7)/SUMIF($G$3:$G$14,"Y",$E$3:$E$14))*('Emissions Factors'!$T$143*$P$16)/10^6,""),"")</f>
        <v>9.9270675050319124</v>
      </c>
      <c r="Q38" s="259"/>
      <c r="R38" s="258"/>
      <c r="T38" s="180">
        <f t="shared" si="2"/>
        <v>10.822460086625885</v>
      </c>
      <c r="U38" s="180">
        <f t="shared" si="3"/>
        <v>0</v>
      </c>
      <c r="V38" s="177"/>
      <c r="X38" s="180">
        <f t="shared" si="4"/>
        <v>10.822460086625885</v>
      </c>
      <c r="Y38" s="180">
        <f t="shared" si="5"/>
        <v>0</v>
      </c>
    </row>
    <row r="39" spans="1:25" ht="15.6" x14ac:dyDescent="0.3">
      <c r="A39" s="152">
        <v>2027</v>
      </c>
      <c r="B39" s="178">
        <f t="shared" si="0"/>
        <v>0</v>
      </c>
      <c r="C39" s="182">
        <f t="shared" si="7"/>
        <v>0</v>
      </c>
      <c r="D39" s="183"/>
      <c r="E39" s="179">
        <f t="shared" si="6"/>
        <v>71.335854628430312</v>
      </c>
      <c r="F39" s="183">
        <f t="shared" si="8"/>
        <v>14.91998298150736</v>
      </c>
      <c r="G39" s="247">
        <f t="shared" si="1"/>
        <v>0.38596330835115228</v>
      </c>
      <c r="H39" s="246"/>
      <c r="J39" s="182"/>
      <c r="K39" s="182"/>
      <c r="L39" s="182"/>
      <c r="M39" s="182"/>
      <c r="N39" s="163"/>
      <c r="O39" s="259">
        <f>IF($O$24="Y",IFERROR(E39*($E$6/SUMIF($G$3:$G$14,"Y",$E$3:$E$14))*$O$16*'Emissions Factors'!B24,""),"")</f>
        <v>1.1259524325366634</v>
      </c>
      <c r="P39" s="259">
        <f>IF($P$24="Y",IFERROR($E39*(SUM($E$3,$E$4,$E$5,$E$7)/SUMIF($G$3:$G$14,"Y",$E$3:$E$14))*('Emissions Factors'!$T$143*$P$16)/10^6,""),"")</f>
        <v>12.552422283883924</v>
      </c>
      <c r="Q39" s="259"/>
      <c r="R39" s="258"/>
      <c r="T39" s="180">
        <f t="shared" si="2"/>
        <v>13.678374716420588</v>
      </c>
      <c r="U39" s="180">
        <f t="shared" si="3"/>
        <v>0</v>
      </c>
      <c r="V39" s="177"/>
      <c r="X39" s="180">
        <f t="shared" si="4"/>
        <v>13.678374716420588</v>
      </c>
      <c r="Y39" s="180">
        <f t="shared" si="5"/>
        <v>0</v>
      </c>
    </row>
    <row r="40" spans="1:25" ht="15.6" x14ac:dyDescent="0.3">
      <c r="A40" s="152">
        <v>2028</v>
      </c>
      <c r="B40" s="178">
        <f t="shared" si="0"/>
        <v>0</v>
      </c>
      <c r="C40" s="182">
        <f t="shared" si="7"/>
        <v>0</v>
      </c>
      <c r="D40" s="183"/>
      <c r="E40" s="179">
        <f t="shared" si="6"/>
        <v>87.799393024470504</v>
      </c>
      <c r="F40" s="183">
        <f t="shared" si="8"/>
        <v>16.463538396040192</v>
      </c>
      <c r="G40" s="247">
        <f t="shared" si="1"/>
        <v>0.39083930933726257</v>
      </c>
      <c r="H40" s="246"/>
      <c r="J40" s="182"/>
      <c r="K40" s="182"/>
      <c r="L40" s="182"/>
      <c r="M40" s="182"/>
      <c r="N40" s="163"/>
      <c r="O40" s="259">
        <f>IF($O$24="Y",IFERROR(E40*($E$6/SUMIF($G$3:$G$14,"Y",$E$3:$E$14))*$O$16*'Emissions Factors'!B25,""),"")</f>
        <v>1.3782520356595804</v>
      </c>
      <c r="P40" s="259">
        <f>IF($P$24="Y",IFERROR($E40*(SUM($E$3,$E$4,$E$5,$E$7)/SUMIF($G$3:$G$14,"Y",$E$3:$E$14))*('Emissions Factors'!$T$143*$P$16)/10^6,""),"")</f>
        <v>15.449384650290787</v>
      </c>
      <c r="Q40" s="259"/>
      <c r="R40" s="258"/>
      <c r="T40" s="180">
        <f t="shared" si="2"/>
        <v>16.827636685950367</v>
      </c>
      <c r="U40" s="180">
        <f t="shared" si="3"/>
        <v>0</v>
      </c>
      <c r="V40" s="177"/>
      <c r="X40" s="180">
        <f t="shared" si="4"/>
        <v>16.827636685950367</v>
      </c>
      <c r="Y40" s="180">
        <f t="shared" si="5"/>
        <v>0</v>
      </c>
    </row>
    <row r="41" spans="1:25" ht="15.6" x14ac:dyDescent="0.3">
      <c r="A41" s="152">
        <v>2029</v>
      </c>
      <c r="B41" s="178">
        <f t="shared" si="0"/>
        <v>0</v>
      </c>
      <c r="C41" s="182">
        <f t="shared" si="7"/>
        <v>0</v>
      </c>
      <c r="D41" s="183"/>
      <c r="E41" s="179">
        <f t="shared" si="6"/>
        <v>105.87257646444375</v>
      </c>
      <c r="F41" s="183">
        <f t="shared" si="8"/>
        <v>18.073183439973249</v>
      </c>
      <c r="G41" s="247">
        <f t="shared" si="1"/>
        <v>0.39548164744532993</v>
      </c>
      <c r="H41" s="246"/>
      <c r="J41" s="182"/>
      <c r="K41" s="182"/>
      <c r="L41" s="182"/>
      <c r="M41" s="182"/>
      <c r="N41" s="163"/>
      <c r="O41" s="259">
        <f>IF($O$24="Y",IFERROR(E41*($E$6/SUMIF($G$3:$G$14,"Y",$E$3:$E$14))*$O$16*'Emissions Factors'!B26,""),"")</f>
        <v>1.6529762906340171</v>
      </c>
      <c r="P41" s="259">
        <f>IF($P$24="Y",IFERROR($E41*(SUM($E$3,$E$4,$E$5,$E$7)/SUMIF($G$3:$G$14,"Y",$E$3:$E$14))*('Emissions Factors'!$T$143*$P$16)/10^6,""),"")</f>
        <v>18.629583888588385</v>
      </c>
      <c r="Q41" s="259"/>
      <c r="R41" s="258"/>
      <c r="T41" s="180">
        <f t="shared" si="2"/>
        <v>20.282560179222401</v>
      </c>
      <c r="U41" s="180">
        <f t="shared" si="3"/>
        <v>0</v>
      </c>
      <c r="V41" s="177"/>
      <c r="X41" s="180">
        <f t="shared" si="4"/>
        <v>20.282560179222401</v>
      </c>
      <c r="Y41" s="180">
        <f t="shared" si="5"/>
        <v>0</v>
      </c>
    </row>
    <row r="42" spans="1:25" ht="15.6" x14ac:dyDescent="0.3">
      <c r="A42" s="152">
        <v>2030</v>
      </c>
      <c r="B42" s="178">
        <f t="shared" si="0"/>
        <v>0</v>
      </c>
      <c r="C42" s="182">
        <f t="shared" si="7"/>
        <v>0</v>
      </c>
      <c r="D42" s="183"/>
      <c r="E42" s="179">
        <f t="shared" si="6"/>
        <v>125.6542697824934</v>
      </c>
      <c r="F42" s="183">
        <f t="shared" si="8"/>
        <v>19.781693318049648</v>
      </c>
      <c r="G42" s="247">
        <f t="shared" si="1"/>
        <v>0.39993916159793025</v>
      </c>
      <c r="H42" s="246"/>
      <c r="J42" s="182"/>
      <c r="K42" s="182"/>
      <c r="L42" s="182"/>
      <c r="M42" s="182"/>
      <c r="N42" s="163"/>
      <c r="O42" s="259">
        <f>IF($O$24="Y",IFERROR(E42*($E$6/SUMIF($G$3:$G$14,"Y",$E$3:$E$14))*$O$16*'Emissions Factors'!B27,""),"")</f>
        <v>1.9517535384640168</v>
      </c>
      <c r="P42" s="259">
        <f>IF($P$24="Y",IFERROR($E42*(SUM($E$3,$E$4,$E$5,$E$7)/SUMIF($G$3:$G$14,"Y",$E$3:$E$14))*('Emissions Factors'!$T$143*$P$16)/10^6,""),"")</f>
        <v>22.110416484087743</v>
      </c>
      <c r="Q42" s="259"/>
      <c r="R42" s="258"/>
      <c r="T42" s="180">
        <f t="shared" si="2"/>
        <v>24.062170022551761</v>
      </c>
      <c r="U42" s="180">
        <f t="shared" si="3"/>
        <v>0</v>
      </c>
      <c r="V42" s="177"/>
      <c r="X42" s="180">
        <f t="shared" si="4"/>
        <v>24.062170022551761</v>
      </c>
      <c r="Y42" s="180">
        <f t="shared" si="5"/>
        <v>0</v>
      </c>
    </row>
    <row r="43" spans="1:25" ht="15.6" x14ac:dyDescent="0.3">
      <c r="A43" s="152">
        <v>2031</v>
      </c>
      <c r="B43" s="178">
        <f t="shared" si="0"/>
        <v>0</v>
      </c>
      <c r="C43" s="182">
        <f t="shared" si="7"/>
        <v>0</v>
      </c>
      <c r="D43" s="183"/>
      <c r="E43" s="179">
        <f t="shared" si="6"/>
        <v>147.10103130049956</v>
      </c>
      <c r="F43" s="183">
        <f t="shared" si="8"/>
        <v>21.446761518006156</v>
      </c>
      <c r="G43" s="247">
        <f t="shared" si="1"/>
        <v>0.40436490228845606</v>
      </c>
      <c r="H43" s="246"/>
      <c r="J43" s="182"/>
      <c r="K43" s="182"/>
      <c r="L43" s="182"/>
      <c r="M43" s="182"/>
      <c r="N43" s="163"/>
      <c r="O43" s="259">
        <f>IF($O$24="Y",IFERROR(E43*($E$6/SUMIF($G$3:$G$14,"Y",$E$3:$E$14))*$O$16*'Emissions Factors'!B28,""),"")</f>
        <v>2.2721612520336976</v>
      </c>
      <c r="P43" s="259">
        <f>IF($P$24="Y",IFERROR($E43*(SUM($E$3,$E$4,$E$5,$E$7)/SUMIF($G$3:$G$14,"Y",$E$3:$E$14))*('Emissions Factors'!$T$143*$P$16)/10^6,""),"")</f>
        <v>25.884238338441381</v>
      </c>
      <c r="Q43" s="259"/>
      <c r="R43" s="258"/>
      <c r="T43" s="180">
        <f t="shared" si="2"/>
        <v>28.156399590475079</v>
      </c>
      <c r="U43" s="180">
        <f t="shared" si="3"/>
        <v>0</v>
      </c>
      <c r="V43" s="177"/>
      <c r="X43" s="180">
        <f t="shared" si="4"/>
        <v>28.156399590475079</v>
      </c>
      <c r="Y43" s="180">
        <f t="shared" si="5"/>
        <v>0</v>
      </c>
    </row>
    <row r="44" spans="1:25" ht="15.6" x14ac:dyDescent="0.3">
      <c r="A44" s="152">
        <v>2032</v>
      </c>
      <c r="B44" s="178">
        <f t="shared" si="0"/>
        <v>0</v>
      </c>
      <c r="C44" s="182">
        <f t="shared" si="7"/>
        <v>0</v>
      </c>
      <c r="D44" s="183"/>
      <c r="E44" s="179">
        <f t="shared" si="6"/>
        <v>170.22135113152925</v>
      </c>
      <c r="F44" s="183">
        <f t="shared" si="8"/>
        <v>23.12031983102969</v>
      </c>
      <c r="G44" s="247">
        <f t="shared" si="1"/>
        <v>0.40860858634140451</v>
      </c>
      <c r="H44" s="246"/>
      <c r="J44" s="182"/>
      <c r="K44" s="182"/>
      <c r="L44" s="182"/>
      <c r="M44" s="182"/>
      <c r="N44" s="163"/>
      <c r="O44" s="259">
        <f>IF($O$24="Y",IFERROR(E44*($E$6/SUMIF($G$3:$G$14,"Y",$E$3:$E$14))*$O$16*'Emissions Factors'!B29,""),"")</f>
        <v>2.6153186068406615</v>
      </c>
      <c r="P44" s="259">
        <f>IF($P$24="Y",IFERROR($E44*(SUM($E$3,$E$4,$E$5,$E$7)/SUMIF($G$3:$G$14,"Y",$E$3:$E$14))*('Emissions Factors'!$T$143*$P$16)/10^6,""),"")</f>
        <v>29.952543391618349</v>
      </c>
      <c r="Q44" s="259"/>
      <c r="R44" s="258"/>
      <c r="T44" s="180">
        <f t="shared" si="2"/>
        <v>32.567861998459009</v>
      </c>
      <c r="U44" s="180">
        <f t="shared" si="3"/>
        <v>0</v>
      </c>
      <c r="V44" s="177"/>
      <c r="X44" s="180">
        <f t="shared" si="4"/>
        <v>32.567861998459009</v>
      </c>
      <c r="Y44" s="180">
        <f t="shared" si="5"/>
        <v>0</v>
      </c>
    </row>
    <row r="45" spans="1:25" ht="15.6" x14ac:dyDescent="0.3">
      <c r="A45" s="152">
        <v>2033</v>
      </c>
      <c r="B45" s="178">
        <f t="shared" si="0"/>
        <v>0</v>
      </c>
      <c r="C45" s="182">
        <f t="shared" si="7"/>
        <v>0</v>
      </c>
      <c r="D45" s="183"/>
      <c r="E45" s="179">
        <f t="shared" si="6"/>
        <v>194.74965904085789</v>
      </c>
      <c r="F45" s="183">
        <f t="shared" si="8"/>
        <v>24.528307909328646</v>
      </c>
      <c r="G45" s="247">
        <f t="shared" si="1"/>
        <v>0.41268069522867357</v>
      </c>
      <c r="H45" s="246"/>
      <c r="J45" s="182"/>
      <c r="K45" s="182"/>
      <c r="L45" s="182"/>
      <c r="M45" s="182"/>
      <c r="N45" s="163"/>
      <c r="O45" s="259">
        <f>IF($O$24="Y",IFERROR(E45*($E$6/SUMIF($G$3:$G$14,"Y",$E$3:$E$14))*$O$16*'Emissions Factors'!B30,""),"")</f>
        <v>2.9763306172502082</v>
      </c>
      <c r="P45" s="259">
        <f>IF($P$24="Y",IFERROR($E45*(SUM($E$3,$E$4,$E$5,$E$7)/SUMIF($G$3:$G$14,"Y",$E$3:$E$14))*('Emissions Factors'!$T$143*$P$16)/10^6,""),"")</f>
        <v>34.268601289722177</v>
      </c>
      <c r="Q45" s="259"/>
      <c r="R45" s="258"/>
      <c r="T45" s="180">
        <f t="shared" si="2"/>
        <v>37.244931906972383</v>
      </c>
      <c r="U45" s="180">
        <f t="shared" si="3"/>
        <v>0</v>
      </c>
      <c r="V45" s="177"/>
      <c r="X45" s="180">
        <f t="shared" si="4"/>
        <v>37.244931906972383</v>
      </c>
      <c r="Y45" s="180">
        <f t="shared" si="5"/>
        <v>0</v>
      </c>
    </row>
    <row r="46" spans="1:25" ht="15.6" x14ac:dyDescent="0.3">
      <c r="A46" s="152">
        <v>2034</v>
      </c>
      <c r="B46" s="178">
        <f t="shared" si="0"/>
        <v>0</v>
      </c>
      <c r="C46" s="182">
        <f t="shared" si="7"/>
        <v>0</v>
      </c>
      <c r="D46" s="183"/>
      <c r="E46" s="179">
        <f t="shared" si="6"/>
        <v>220.35268483483091</v>
      </c>
      <c r="F46" s="183">
        <f t="shared" si="8"/>
        <v>25.603025793973018</v>
      </c>
      <c r="G46" s="247">
        <f t="shared" si="1"/>
        <v>0.41656398703918351</v>
      </c>
      <c r="H46" s="246"/>
      <c r="J46" s="182"/>
      <c r="K46" s="182"/>
      <c r="L46" s="182"/>
      <c r="M46" s="182"/>
      <c r="N46" s="163"/>
      <c r="O46" s="259">
        <f>IF($O$24="Y",IFERROR(E46*($E$6/SUMIF($G$3:$G$14,"Y",$E$3:$E$14))*$O$16*'Emissions Factors'!B31,""),"")</f>
        <v>3.3498098772270297</v>
      </c>
      <c r="P46" s="259">
        <f>IF($P$24="Y",IFERROR($E46*(SUM($E$3,$E$4,$E$5,$E$7)/SUMIF($G$3:$G$14,"Y",$E$3:$E$14))*('Emissions Factors'!$T$143*$P$16)/10^6,""),"")</f>
        <v>38.773769037204922</v>
      </c>
      <c r="Q46" s="259"/>
      <c r="R46" s="258"/>
      <c r="T46" s="180">
        <f t="shared" si="2"/>
        <v>42.123578914431953</v>
      </c>
      <c r="U46" s="180">
        <f t="shared" si="3"/>
        <v>0</v>
      </c>
      <c r="V46" s="177"/>
      <c r="X46" s="180">
        <f t="shared" si="4"/>
        <v>42.123578914431953</v>
      </c>
      <c r="Y46" s="180">
        <f t="shared" si="5"/>
        <v>0</v>
      </c>
    </row>
    <row r="47" spans="1:25" ht="15.6" x14ac:dyDescent="0.3">
      <c r="A47" s="152">
        <v>2035</v>
      </c>
      <c r="B47" s="178">
        <f t="shared" si="0"/>
        <v>0</v>
      </c>
      <c r="C47" s="182">
        <f t="shared" si="7"/>
        <v>0</v>
      </c>
      <c r="D47" s="183"/>
      <c r="E47" s="179">
        <f t="shared" si="6"/>
        <v>246.79343398670957</v>
      </c>
      <c r="F47" s="183">
        <f t="shared" si="8"/>
        <v>26.440749151878663</v>
      </c>
      <c r="G47" s="247">
        <f t="shared" si="1"/>
        <v>0.42028818116131489</v>
      </c>
      <c r="H47" s="246"/>
      <c r="J47" s="182"/>
      <c r="K47" s="182"/>
      <c r="L47" s="182"/>
      <c r="M47" s="182"/>
      <c r="N47" s="163"/>
      <c r="O47" s="259">
        <f>IF($O$24="Y",IFERROR(E47*($E$6/SUMIF($G$3:$G$14,"Y",$E$3:$E$14))*$O$16*'Emissions Factors'!B32,""),"")</f>
        <v>3.7313797214683952</v>
      </c>
      <c r="P47" s="259">
        <f>IF($P$24="Y",IFERROR($E47*(SUM($E$3,$E$4,$E$5,$E$7)/SUMIF($G$3:$G$14,"Y",$E$3:$E$14))*('Emissions Factors'!$T$143*$P$16)/10^6,""),"")</f>
        <v>43.426344527964545</v>
      </c>
      <c r="Q47" s="259"/>
      <c r="R47" s="258"/>
      <c r="T47" s="180">
        <f t="shared" si="2"/>
        <v>47.157724249432938</v>
      </c>
      <c r="U47" s="180">
        <f t="shared" si="3"/>
        <v>0</v>
      </c>
      <c r="V47" s="177"/>
      <c r="X47" s="180">
        <f t="shared" si="4"/>
        <v>47.157724249432938</v>
      </c>
      <c r="Y47" s="180">
        <f t="shared" si="5"/>
        <v>0</v>
      </c>
    </row>
    <row r="48" spans="1:25" ht="15.6" x14ac:dyDescent="0.3">
      <c r="A48" s="152">
        <v>2036</v>
      </c>
      <c r="B48" s="178">
        <f t="shared" si="0"/>
        <v>0</v>
      </c>
      <c r="C48" s="182">
        <f t="shared" si="7"/>
        <v>0</v>
      </c>
      <c r="D48" s="183"/>
      <c r="E48" s="179">
        <f t="shared" si="6"/>
        <v>273.99636426624079</v>
      </c>
      <c r="F48" s="183">
        <f t="shared" si="8"/>
        <v>27.202930279531216</v>
      </c>
      <c r="G48" s="247">
        <f t="shared" si="1"/>
        <v>0.42391722177530072</v>
      </c>
      <c r="H48" s="246"/>
      <c r="J48" s="182"/>
      <c r="K48" s="182"/>
      <c r="L48" s="182"/>
      <c r="M48" s="182"/>
      <c r="N48" s="163"/>
      <c r="O48" s="259">
        <f>IF($O$24="Y",IFERROR(E48*($E$6/SUMIF($G$3:$G$14,"Y",$E$3:$E$14))*$O$16*'Emissions Factors'!B33,""),"")</f>
        <v>4.1212144374772599</v>
      </c>
      <c r="P48" s="259">
        <f>IF($P$24="Y",IFERROR($E48*(SUM($E$3,$E$4,$E$5,$E$7)/SUMIF($G$3:$G$14,"Y",$E$3:$E$14))*('Emissions Factors'!$T$143*$P$16)/10^6,""),"")</f>
        <v>48.213035176115014</v>
      </c>
      <c r="Q48" s="259"/>
      <c r="R48" s="258"/>
      <c r="T48" s="180">
        <f t="shared" si="2"/>
        <v>52.334249613592277</v>
      </c>
      <c r="U48" s="180">
        <f t="shared" si="3"/>
        <v>0</v>
      </c>
      <c r="V48" s="177"/>
      <c r="X48" s="180">
        <f t="shared" si="4"/>
        <v>52.334249613592277</v>
      </c>
      <c r="Y48" s="180">
        <f t="shared" si="5"/>
        <v>0</v>
      </c>
    </row>
    <row r="49" spans="1:25" ht="15.6" x14ac:dyDescent="0.3">
      <c r="A49" s="152">
        <v>2037</v>
      </c>
      <c r="B49" s="178">
        <f t="shared" si="0"/>
        <v>0</v>
      </c>
      <c r="C49" s="182">
        <f t="shared" si="7"/>
        <v>0</v>
      </c>
      <c r="D49" s="183"/>
      <c r="E49" s="179">
        <f t="shared" si="6"/>
        <v>302.06384284208065</v>
      </c>
      <c r="F49" s="183">
        <f t="shared" si="8"/>
        <v>28.067478575839857</v>
      </c>
      <c r="G49" s="247">
        <f t="shared" si="1"/>
        <v>0.42751963994289882</v>
      </c>
      <c r="H49" s="246"/>
      <c r="J49" s="182"/>
      <c r="K49" s="182"/>
      <c r="L49" s="182"/>
      <c r="M49" s="182"/>
      <c r="N49" s="163"/>
      <c r="O49" s="259">
        <f>IF($O$24="Y",IFERROR(E49*($E$6/SUMIF($G$3:$G$14,"Y",$E$3:$E$14))*$O$16*'Emissions Factors'!B34,""),"")</f>
        <v>4.5191553426773146</v>
      </c>
      <c r="P49" s="259">
        <f>IF($P$24="Y",IFERROR($E49*(SUM($E$3,$E$4,$E$5,$E$7)/SUMIF($G$3:$G$14,"Y",$E$3:$E$14))*('Emissions Factors'!$T$143*$P$16)/10^6,""),"")</f>
        <v>53.15185374586401</v>
      </c>
      <c r="Q49" s="259"/>
      <c r="R49" s="258"/>
      <c r="T49" s="180">
        <f t="shared" si="2"/>
        <v>57.671009088541325</v>
      </c>
      <c r="U49" s="180">
        <f t="shared" si="3"/>
        <v>0</v>
      </c>
      <c r="V49" s="177"/>
      <c r="X49" s="180">
        <f t="shared" si="4"/>
        <v>57.671009088541325</v>
      </c>
      <c r="Y49" s="180">
        <f t="shared" si="5"/>
        <v>0</v>
      </c>
    </row>
    <row r="50" spans="1:25" ht="15.6" x14ac:dyDescent="0.3">
      <c r="A50" s="152">
        <v>2038</v>
      </c>
      <c r="B50" s="178">
        <f t="shared" si="0"/>
        <v>0</v>
      </c>
      <c r="C50" s="182">
        <f t="shared" si="7"/>
        <v>0</v>
      </c>
      <c r="D50" s="183"/>
      <c r="E50" s="179">
        <f t="shared" si="6"/>
        <v>331.16280942108517</v>
      </c>
      <c r="F50" s="183">
        <f t="shared" si="8"/>
        <v>29.098966579004525</v>
      </c>
      <c r="G50" s="247">
        <f t="shared" si="1"/>
        <v>0.43113897419747005</v>
      </c>
      <c r="H50" s="246"/>
      <c r="J50" s="182"/>
      <c r="K50" s="182"/>
      <c r="L50" s="182"/>
      <c r="M50" s="182"/>
      <c r="N50" s="163"/>
      <c r="O50" s="259">
        <f>IF($O$24="Y",IFERROR(E50*($E$6/SUMIF($G$3:$G$14,"Y",$E$3:$E$14))*$O$16*'Emissions Factors'!B35,""),"")</f>
        <v>4.9279691019267675</v>
      </c>
      <c r="P50" s="259">
        <f>IF($P$24="Y",IFERROR($E50*(SUM($E$3,$E$4,$E$5,$E$7)/SUMIF($G$3:$G$14,"Y",$E$3:$E$14))*('Emissions Factors'!$T$143*$P$16)/10^6,""),"")</f>
        <v>58.272175334872038</v>
      </c>
      <c r="Q50" s="259"/>
      <c r="R50" s="258"/>
      <c r="T50" s="180">
        <f t="shared" si="2"/>
        <v>63.200144436798809</v>
      </c>
      <c r="U50" s="180">
        <f t="shared" si="3"/>
        <v>0</v>
      </c>
      <c r="V50" s="177"/>
      <c r="X50" s="180">
        <f t="shared" si="4"/>
        <v>63.200144436798809</v>
      </c>
      <c r="Y50" s="180">
        <f t="shared" si="5"/>
        <v>0</v>
      </c>
    </row>
    <row r="51" spans="1:25" ht="15.6" x14ac:dyDescent="0.3">
      <c r="A51" s="152">
        <v>2039</v>
      </c>
      <c r="B51" s="178">
        <f t="shared" si="0"/>
        <v>0</v>
      </c>
      <c r="C51" s="182">
        <f t="shared" si="7"/>
        <v>0</v>
      </c>
      <c r="D51" s="183"/>
      <c r="E51" s="179">
        <f t="shared" si="6"/>
        <v>361.55670663095242</v>
      </c>
      <c r="F51" s="183">
        <f t="shared" si="8"/>
        <v>30.393897209867248</v>
      </c>
      <c r="G51" s="247">
        <f t="shared" si="1"/>
        <v>0.43480808081908323</v>
      </c>
      <c r="H51" s="246"/>
      <c r="J51" s="182"/>
      <c r="K51" s="182"/>
      <c r="L51" s="182"/>
      <c r="M51" s="182"/>
      <c r="N51" s="163"/>
      <c r="O51" s="259">
        <f>IF($O$24="Y",IFERROR(E51*($E$6/SUMIF($G$3:$G$14,"Y",$E$3:$E$14))*$O$16*'Emissions Factors'!B36,""),"")</f>
        <v>5.3511421004591488</v>
      </c>
      <c r="P51" s="259">
        <f>IF($P$24="Y",IFERROR($E51*(SUM($E$3,$E$4,$E$5,$E$7)/SUMIF($G$3:$G$14,"Y",$E$3:$E$14))*('Emissions Factors'!$T$143*$P$16)/10^6,""),"")</f>
        <v>63.620355918372958</v>
      </c>
      <c r="Q51" s="259"/>
      <c r="R51" s="258"/>
      <c r="T51" s="180">
        <f t="shared" si="2"/>
        <v>68.971498018832108</v>
      </c>
      <c r="U51" s="180">
        <f t="shared" si="3"/>
        <v>0</v>
      </c>
      <c r="V51" s="177"/>
      <c r="X51" s="180">
        <f t="shared" si="4"/>
        <v>68.971498018832108</v>
      </c>
      <c r="Y51" s="180">
        <f t="shared" si="5"/>
        <v>0</v>
      </c>
    </row>
    <row r="52" spans="1:25" ht="15.6" x14ac:dyDescent="0.3">
      <c r="A52" s="152">
        <v>2040</v>
      </c>
      <c r="B52" s="178">
        <f t="shared" si="0"/>
        <v>0</v>
      </c>
      <c r="C52" s="182">
        <f t="shared" si="7"/>
        <v>0</v>
      </c>
      <c r="D52" s="183"/>
      <c r="E52" s="179">
        <f t="shared" si="6"/>
        <v>393.38417510496078</v>
      </c>
      <c r="F52" s="183">
        <f t="shared" si="8"/>
        <v>31.827468474008356</v>
      </c>
      <c r="G52" s="247">
        <f t="shared" si="1"/>
        <v>0.43861010084206609</v>
      </c>
      <c r="H52" s="246"/>
      <c r="J52" s="182"/>
      <c r="K52" s="182"/>
      <c r="L52" s="182"/>
      <c r="M52" s="182"/>
      <c r="N52" s="163"/>
      <c r="O52" s="259">
        <f>IF($O$24="Y",IFERROR(E52*($E$6/SUMIF($G$3:$G$14,"Y",$E$3:$E$14))*$O$16*'Emissions Factors'!B37,""),"")</f>
        <v>5.78820027890412</v>
      </c>
      <c r="P52" s="259">
        <f>IF($P$24="Y",IFERROR($E52*(SUM($E$3,$E$4,$E$5,$E$7)/SUMIF($G$3:$G$14,"Y",$E$3:$E$14))*('Emissions Factors'!$T$143*$P$16)/10^6,""),"")</f>
        <v>69.220791023464315</v>
      </c>
      <c r="Q52" s="259"/>
      <c r="R52" s="258"/>
      <c r="T52" s="180">
        <f t="shared" si="2"/>
        <v>75.008991302368429</v>
      </c>
      <c r="U52" s="180">
        <f t="shared" si="3"/>
        <v>0</v>
      </c>
      <c r="V52" s="177"/>
      <c r="X52" s="180">
        <f t="shared" si="4"/>
        <v>75.008991302368429</v>
      </c>
      <c r="Y52" s="180">
        <f t="shared" si="5"/>
        <v>0</v>
      </c>
    </row>
    <row r="53" spans="1:25" ht="15.6" x14ac:dyDescent="0.3">
      <c r="A53" s="152">
        <v>2041</v>
      </c>
      <c r="B53" s="178">
        <f t="shared" si="0"/>
        <v>0</v>
      </c>
      <c r="C53" s="182">
        <f t="shared" si="7"/>
        <v>0</v>
      </c>
      <c r="D53" s="183"/>
      <c r="E53" s="179">
        <f t="shared" si="6"/>
        <v>427.05119073798903</v>
      </c>
      <c r="F53" s="183">
        <f t="shared" si="8"/>
        <v>33.667015633028257</v>
      </c>
      <c r="G53" s="247">
        <f t="shared" si="1"/>
        <v>0.44235758967270372</v>
      </c>
      <c r="H53" s="246"/>
      <c r="J53" s="182"/>
      <c r="K53" s="182"/>
      <c r="L53" s="182"/>
      <c r="M53" s="182"/>
      <c r="N53" s="163"/>
      <c r="O53" s="259">
        <f>IF($O$24="Y",IFERROR(E53*($E$6/SUMIF($G$3:$G$14,"Y",$E$3:$E$14))*$O$16*'Emissions Factors'!B38,""),"")</f>
        <v>6.251672153973125</v>
      </c>
      <c r="P53" s="259">
        <f>IF($P$24="Y",IFERROR($E53*(SUM($E$3,$E$4,$E$5,$E$7)/SUMIF($G$3:$G$14,"Y",$E$3:$E$14))*('Emissions Factors'!$T$143*$P$16)/10^6,""),"")</f>
        <v>75.144917109359255</v>
      </c>
      <c r="Q53" s="259"/>
      <c r="R53" s="258"/>
      <c r="T53" s="180">
        <f t="shared" si="2"/>
        <v>81.396589263332373</v>
      </c>
      <c r="U53" s="180">
        <f t="shared" si="3"/>
        <v>0</v>
      </c>
      <c r="V53" s="177"/>
      <c r="X53" s="180">
        <f t="shared" si="4"/>
        <v>81.396589263332373</v>
      </c>
      <c r="Y53" s="180">
        <f t="shared" si="5"/>
        <v>0</v>
      </c>
    </row>
    <row r="54" spans="1:25" ht="15.6" x14ac:dyDescent="0.3">
      <c r="A54" s="152">
        <v>2042</v>
      </c>
      <c r="B54" s="178">
        <f t="shared" si="0"/>
        <v>0</v>
      </c>
      <c r="C54" s="182">
        <f t="shared" si="7"/>
        <v>0</v>
      </c>
      <c r="D54" s="183"/>
      <c r="E54" s="179">
        <f t="shared" si="6"/>
        <v>462.3340325891528</v>
      </c>
      <c r="F54" s="183">
        <f t="shared" si="8"/>
        <v>35.282841851163766</v>
      </c>
      <c r="G54" s="247">
        <f t="shared" si="1"/>
        <v>0.44624771359224397</v>
      </c>
      <c r="H54" s="246"/>
      <c r="J54" s="182"/>
      <c r="K54" s="182"/>
      <c r="L54" s="182"/>
      <c r="M54" s="182"/>
      <c r="N54" s="163"/>
      <c r="O54" s="259">
        <f>IF($O$24="Y",IFERROR(E54*($E$6/SUMIF($G$3:$G$14,"Y",$E$3:$E$14))*$O$16*'Emissions Factors'!B39,""),"")</f>
        <v>6.7308102442603124</v>
      </c>
      <c r="P54" s="259">
        <f>IF($P$24="Y",IFERROR($E54*(SUM($E$3,$E$4,$E$5,$E$7)/SUMIF($G$3:$G$14,"Y",$E$3:$E$14))*('Emissions Factors'!$T$143*$P$16)/10^6,""),"")</f>
        <v>81.353367720880939</v>
      </c>
      <c r="Q54" s="259"/>
      <c r="R54" s="258"/>
      <c r="T54" s="180">
        <f t="shared" si="2"/>
        <v>88.084177965141251</v>
      </c>
      <c r="U54" s="180">
        <f t="shared" si="3"/>
        <v>0</v>
      </c>
      <c r="V54" s="177"/>
      <c r="X54" s="180">
        <f t="shared" si="4"/>
        <v>88.084177965141251</v>
      </c>
      <c r="Y54" s="180">
        <f t="shared" si="5"/>
        <v>0</v>
      </c>
    </row>
    <row r="55" spans="1:25" ht="15.6" x14ac:dyDescent="0.3">
      <c r="A55" s="152">
        <v>2043</v>
      </c>
      <c r="B55" s="178">
        <f t="shared" si="0"/>
        <v>0</v>
      </c>
      <c r="C55" s="182">
        <f t="shared" si="7"/>
        <v>0</v>
      </c>
      <c r="D55" s="183"/>
      <c r="E55" s="179">
        <f t="shared" si="6"/>
        <v>499.54467026092158</v>
      </c>
      <c r="F55" s="183">
        <f t="shared" si="8"/>
        <v>37.210637671768779</v>
      </c>
      <c r="G55" s="247">
        <f t="shared" si="1"/>
        <v>0.45023908320243899</v>
      </c>
      <c r="H55" s="246"/>
      <c r="J55" s="182"/>
      <c r="K55" s="182"/>
      <c r="L55" s="182"/>
      <c r="M55" s="182"/>
      <c r="N55" s="163"/>
      <c r="O55" s="259">
        <f>IF($O$24="Y",IFERROR(E55*($E$6/SUMIF($G$3:$G$14,"Y",$E$3:$E$14))*$O$16*'Emissions Factors'!B40,""),"")</f>
        <v>7.2319594684149235</v>
      </c>
      <c r="P55" s="259">
        <f>IF($P$24="Y",IFERROR($E55*(SUM($E$3,$E$4,$E$5,$E$7)/SUMIF($G$3:$G$14,"Y",$E$3:$E$14))*('Emissions Factors'!$T$143*$P$16)/10^6,""),"")</f>
        <v>87.90103775219346</v>
      </c>
      <c r="Q55" s="259"/>
      <c r="R55" s="258"/>
      <c r="T55" s="180">
        <f t="shared" si="2"/>
        <v>95.132997220608388</v>
      </c>
      <c r="U55" s="180">
        <f t="shared" si="3"/>
        <v>0</v>
      </c>
      <c r="V55" s="177"/>
      <c r="X55" s="180">
        <f t="shared" si="4"/>
        <v>95.132997220608388</v>
      </c>
      <c r="Y55" s="180">
        <f t="shared" si="5"/>
        <v>0</v>
      </c>
    </row>
    <row r="56" spans="1:25" ht="15.6" x14ac:dyDescent="0.3">
      <c r="A56" s="152">
        <v>2044</v>
      </c>
      <c r="B56" s="178">
        <f t="shared" si="0"/>
        <v>0</v>
      </c>
      <c r="C56" s="182">
        <f t="shared" si="7"/>
        <v>0</v>
      </c>
      <c r="D56" s="183"/>
      <c r="E56" s="179">
        <f t="shared" si="6"/>
        <v>538.92747396714003</v>
      </c>
      <c r="F56" s="183">
        <f t="shared" si="8"/>
        <v>39.382803706218453</v>
      </c>
      <c r="G56" s="247">
        <f t="shared" si="1"/>
        <v>0.45435225091498505</v>
      </c>
      <c r="H56" s="246"/>
      <c r="J56" s="182"/>
      <c r="K56" s="182"/>
      <c r="L56" s="182"/>
      <c r="M56" s="182"/>
      <c r="N56" s="163"/>
      <c r="O56" s="259">
        <f>IF($O$24="Y",IFERROR(E56*($E$6/SUMIF($G$3:$G$14,"Y",$E$3:$E$14))*$O$16*'Emissions Factors'!B41,""),"")</f>
        <v>7.7580783964269555</v>
      </c>
      <c r="P56" s="259">
        <f>IF($P$24="Y",IFERROR($E56*(SUM($E$3,$E$4,$E$5,$E$7)/SUMIF($G$3:$G$14,"Y",$E$3:$E$14))*('Emissions Factors'!$T$143*$P$16)/10^6,""),"")</f>
        <v>94.8309271523934</v>
      </c>
      <c r="Q56" s="259"/>
      <c r="R56" s="258"/>
      <c r="T56" s="180">
        <f t="shared" si="2"/>
        <v>102.58900554882035</v>
      </c>
      <c r="U56" s="180">
        <f t="shared" si="3"/>
        <v>0</v>
      </c>
      <c r="V56" s="177"/>
      <c r="X56" s="180">
        <f t="shared" si="4"/>
        <v>102.58900554882035</v>
      </c>
      <c r="Y56" s="180">
        <f t="shared" si="5"/>
        <v>0</v>
      </c>
    </row>
    <row r="57" spans="1:25" ht="15.6" x14ac:dyDescent="0.3">
      <c r="A57" s="152">
        <v>2045</v>
      </c>
      <c r="B57" s="178">
        <f t="shared" si="0"/>
        <v>0</v>
      </c>
      <c r="C57" s="182">
        <f t="shared" si="7"/>
        <v>0</v>
      </c>
      <c r="D57" s="183"/>
      <c r="E57" s="179">
        <f t="shared" si="6"/>
        <v>580.70975216027637</v>
      </c>
      <c r="F57" s="183">
        <f t="shared" si="8"/>
        <v>41.782278193136335</v>
      </c>
      <c r="G57" s="247">
        <f t="shared" si="1"/>
        <v>0.45859206803964958</v>
      </c>
      <c r="H57" s="246"/>
      <c r="J57" s="182"/>
      <c r="K57" s="182"/>
      <c r="L57" s="182"/>
      <c r="M57" s="182"/>
      <c r="N57" s="163"/>
      <c r="O57" s="259">
        <f>IF($O$24="Y",IFERROR(E57*($E$6/SUMIF($G$3:$G$14,"Y",$E$3:$E$14))*$O$16*'Emissions Factors'!B42,""),"")</f>
        <v>8.3100761980551088</v>
      </c>
      <c r="P57" s="259">
        <f>IF($P$24="Y",IFERROR($E57*(SUM($E$3,$E$4,$E$5,$E$7)/SUMIF($G$3:$G$14,"Y",$E$3:$E$14))*('Emissions Factors'!$T$143*$P$16)/10^6,""),"")</f>
        <v>102.18303364350903</v>
      </c>
      <c r="Q57" s="259"/>
      <c r="R57" s="258"/>
      <c r="T57" s="180">
        <f t="shared" si="2"/>
        <v>110.49310984156415</v>
      </c>
      <c r="U57" s="180">
        <f t="shared" si="3"/>
        <v>0</v>
      </c>
      <c r="V57" s="177"/>
      <c r="X57" s="180">
        <f t="shared" si="4"/>
        <v>110.49310984156415</v>
      </c>
      <c r="Y57" s="180">
        <f t="shared" si="5"/>
        <v>0</v>
      </c>
    </row>
    <row r="58" spans="1:25" ht="15.6" x14ac:dyDescent="0.3">
      <c r="A58" s="152">
        <v>2046</v>
      </c>
      <c r="B58" s="178">
        <f t="shared" si="0"/>
        <v>0</v>
      </c>
      <c r="C58" s="182">
        <f t="shared" si="7"/>
        <v>0</v>
      </c>
      <c r="D58" s="183"/>
      <c r="E58" s="179">
        <f t="shared" si="6"/>
        <v>625.05200739823113</v>
      </c>
      <c r="F58" s="183">
        <f t="shared" si="8"/>
        <v>44.34225523795476</v>
      </c>
      <c r="G58" s="247">
        <f t="shared" si="1"/>
        <v>0.46294164551511835</v>
      </c>
      <c r="H58" s="246"/>
      <c r="J58" s="182"/>
      <c r="K58" s="182"/>
      <c r="L58" s="182"/>
      <c r="M58" s="182"/>
      <c r="N58" s="163"/>
      <c r="O58" s="259">
        <f>IF($O$24="Y",IFERROR(E58*($E$6/SUMIF($G$3:$G$14,"Y",$E$3:$E$14))*$O$16*'Emissions Factors'!B43,""),"")</f>
        <v>8.8946458130322483</v>
      </c>
      <c r="P58" s="259">
        <f>IF($P$24="Y",IFERROR($E58*(SUM($E$3,$E$4,$E$5,$E$7)/SUMIF($G$3:$G$14,"Y",$E$3:$E$14))*('Emissions Factors'!$T$143*$P$16)/10^6,""),"")</f>
        <v>109.98559962755404</v>
      </c>
      <c r="Q58" s="259"/>
      <c r="R58" s="258"/>
      <c r="T58" s="180">
        <f t="shared" si="2"/>
        <v>118.88024544058629</v>
      </c>
      <c r="U58" s="180">
        <f t="shared" si="3"/>
        <v>0</v>
      </c>
      <c r="V58" s="177"/>
      <c r="X58" s="180">
        <f t="shared" si="4"/>
        <v>118.88024544058629</v>
      </c>
      <c r="Y58" s="180">
        <f t="shared" si="5"/>
        <v>0</v>
      </c>
    </row>
    <row r="59" spans="1:25" ht="15.6" x14ac:dyDescent="0.3">
      <c r="A59" s="152">
        <v>2047</v>
      </c>
      <c r="B59" s="178">
        <f t="shared" si="0"/>
        <v>0</v>
      </c>
      <c r="C59" s="182">
        <f t="shared" si="7"/>
        <v>0</v>
      </c>
      <c r="D59" s="183"/>
      <c r="E59" s="179">
        <f t="shared" si="6"/>
        <v>672.10282670269783</v>
      </c>
      <c r="F59" s="183">
        <f t="shared" si="8"/>
        <v>47.0508193044667</v>
      </c>
      <c r="G59" s="247">
        <f t="shared" si="1"/>
        <v>0.46738163025502316</v>
      </c>
      <c r="H59" s="246"/>
      <c r="J59" s="182"/>
      <c r="K59" s="182"/>
      <c r="L59" s="182"/>
      <c r="M59" s="182"/>
      <c r="N59" s="163"/>
      <c r="O59" s="259">
        <f>IF($O$24="Y",IFERROR(E59*($E$6/SUMIF($G$3:$G$14,"Y",$E$3:$E$14))*$O$16*'Emissions Factors'!B44,""),"")</f>
        <v>9.5079914004675175</v>
      </c>
      <c r="P59" s="259">
        <f>IF($P$24="Y",IFERROR($E59*(SUM($E$3,$E$4,$E$5,$E$7)/SUMIF($G$3:$G$14,"Y",$E$3:$E$14))*('Emissions Factors'!$T$143*$P$16)/10^6,""),"")</f>
        <v>118.26477082117992</v>
      </c>
      <c r="Q59" s="259"/>
      <c r="R59" s="258"/>
      <c r="T59" s="180">
        <f t="shared" si="2"/>
        <v>127.77276222164744</v>
      </c>
      <c r="U59" s="180">
        <f t="shared" si="3"/>
        <v>0</v>
      </c>
      <c r="V59" s="177"/>
      <c r="X59" s="180">
        <f t="shared" si="4"/>
        <v>127.77276222164744</v>
      </c>
      <c r="Y59" s="180">
        <f t="shared" si="5"/>
        <v>0</v>
      </c>
    </row>
    <row r="60" spans="1:25" ht="15.6" x14ac:dyDescent="0.3">
      <c r="A60" s="152">
        <v>2048</v>
      </c>
      <c r="B60" s="178">
        <f t="shared" si="0"/>
        <v>0</v>
      </c>
      <c r="C60" s="182">
        <f t="shared" si="7"/>
        <v>0</v>
      </c>
      <c r="D60" s="183"/>
      <c r="E60" s="179">
        <f t="shared" si="6"/>
        <v>722.06811515797256</v>
      </c>
      <c r="F60" s="183">
        <f t="shared" si="8"/>
        <v>49.965288455274731</v>
      </c>
      <c r="G60" s="247">
        <f t="shared" si="1"/>
        <v>0.4719051596297506</v>
      </c>
      <c r="H60" s="246"/>
      <c r="J60" s="182"/>
      <c r="K60" s="182"/>
      <c r="L60" s="182"/>
      <c r="M60" s="182"/>
      <c r="N60" s="163"/>
      <c r="O60" s="259">
        <f>IF($O$24="Y",IFERROR(E60*($E$6/SUMIF($G$3:$G$14,"Y",$E$3:$E$14))*$O$16*'Emissions Factors'!B45,""),"")</f>
        <v>10.153877730165993</v>
      </c>
      <c r="P60" s="259">
        <f>IF($P$24="Y",IFERROR($E60*(SUM($E$3,$E$4,$E$5,$E$7)/SUMIF($G$3:$G$14,"Y",$E$3:$E$14))*('Emissions Factors'!$T$143*$P$16)/10^6,""),"")</f>
        <v>127.05677876015427</v>
      </c>
      <c r="Q60" s="259"/>
      <c r="R60" s="258"/>
      <c r="T60" s="180">
        <f t="shared" si="2"/>
        <v>137.21065649032028</v>
      </c>
      <c r="U60" s="180">
        <f t="shared" si="3"/>
        <v>0</v>
      </c>
      <c r="V60" s="177"/>
      <c r="X60" s="180">
        <f t="shared" si="4"/>
        <v>137.21065649032028</v>
      </c>
      <c r="Y60" s="180">
        <f t="shared" si="5"/>
        <v>0</v>
      </c>
    </row>
    <row r="61" spans="1:25" ht="15.6" x14ac:dyDescent="0.3">
      <c r="A61" s="152">
        <v>2049</v>
      </c>
      <c r="B61" s="178">
        <f t="shared" si="0"/>
        <v>0</v>
      </c>
      <c r="C61" s="182">
        <f t="shared" si="7"/>
        <v>0</v>
      </c>
      <c r="D61" s="183"/>
      <c r="E61" s="179">
        <f t="shared" si="6"/>
        <v>775.1634302991597</v>
      </c>
      <c r="F61" s="183">
        <f t="shared" si="8"/>
        <v>53.095315141187143</v>
      </c>
      <c r="G61" s="247">
        <f t="shared" si="1"/>
        <v>0.47650440389705789</v>
      </c>
      <c r="H61" s="246"/>
      <c r="J61" s="182"/>
      <c r="K61" s="182"/>
      <c r="L61" s="182"/>
      <c r="M61" s="182"/>
      <c r="N61" s="163"/>
      <c r="O61" s="259">
        <f>IF($O$24="Y",IFERROR(E61*($E$6/SUMIF($G$3:$G$14,"Y",$E$3:$E$14))*$O$16*'Emissions Factors'!B46,""),"")</f>
        <v>10.844330374397432</v>
      </c>
      <c r="P61" s="259">
        <f>IF($P$24="Y",IFERROR($E61*(SUM($E$3,$E$4,$E$5,$E$7)/SUMIF($G$3:$G$14,"Y",$E$3:$E$14))*('Emissions Factors'!$T$143*$P$16)/10^6,""),"")</f>
        <v>136.39955344785614</v>
      </c>
      <c r="Q61" s="259"/>
      <c r="R61" s="258"/>
      <c r="T61" s="180">
        <f t="shared" si="2"/>
        <v>147.24388382225357</v>
      </c>
      <c r="U61" s="180">
        <f t="shared" si="3"/>
        <v>0</v>
      </c>
      <c r="V61" s="177"/>
      <c r="X61" s="180">
        <f t="shared" si="4"/>
        <v>147.24388382225357</v>
      </c>
      <c r="Y61" s="180">
        <f t="shared" si="5"/>
        <v>0</v>
      </c>
    </row>
    <row r="62" spans="1:25" ht="15.6" x14ac:dyDescent="0.3">
      <c r="A62" s="152">
        <v>2050</v>
      </c>
      <c r="B62" s="178">
        <f t="shared" si="0"/>
        <v>0</v>
      </c>
      <c r="C62" s="182">
        <f t="shared" si="7"/>
        <v>0</v>
      </c>
      <c r="D62" s="183"/>
      <c r="E62" s="179">
        <f t="shared" si="6"/>
        <v>831.69956834265213</v>
      </c>
      <c r="F62" s="183">
        <f t="shared" si="8"/>
        <v>56.536138043492429</v>
      </c>
      <c r="G62" s="247">
        <f t="shared" si="1"/>
        <v>0.48112523717875694</v>
      </c>
      <c r="H62" s="246"/>
      <c r="J62" s="182"/>
      <c r="K62" s="182"/>
      <c r="L62" s="182"/>
      <c r="M62" s="182"/>
      <c r="N62" s="163"/>
      <c r="O62" s="259">
        <f>IF($O$24="Y",IFERROR(E62*($E$6/SUMIF($G$3:$G$14,"Y",$E$3:$E$14))*$O$16*'Emissions Factors'!B47,""),"")</f>
        <v>11.595243155771287</v>
      </c>
      <c r="P62" s="259">
        <f>IF($P$24="Y",IFERROR($E62*(SUM($E$3,$E$4,$E$5,$E$7)/SUMIF($G$3:$G$14,"Y",$E$3:$E$14))*('Emissions Factors'!$T$143*$P$16)/10^6,""),"")</f>
        <v>146.34778330671648</v>
      </c>
      <c r="Q62" s="259"/>
      <c r="R62" s="258"/>
      <c r="T62" s="180">
        <f t="shared" si="2"/>
        <v>157.94302646248778</v>
      </c>
      <c r="U62" s="180">
        <f t="shared" si="3"/>
        <v>0</v>
      </c>
      <c r="V62" s="177"/>
      <c r="X62" s="180">
        <f t="shared" si="4"/>
        <v>157.94302646248778</v>
      </c>
      <c r="Y62" s="180">
        <f t="shared" si="5"/>
        <v>0</v>
      </c>
    </row>
    <row r="63" spans="1:25" ht="15.6" x14ac:dyDescent="0.3">
      <c r="A63" s="152">
        <v>2051</v>
      </c>
      <c r="B63" s="178">
        <f t="shared" si="0"/>
        <v>0</v>
      </c>
      <c r="C63" s="182">
        <f t="shared" si="7"/>
        <v>0</v>
      </c>
      <c r="D63" s="183"/>
      <c r="E63" s="179">
        <f t="shared" si="6"/>
        <v>891.48847076619347</v>
      </c>
      <c r="F63" s="183">
        <f t="shared" si="8"/>
        <v>59.788902423541344</v>
      </c>
      <c r="G63" s="247">
        <f t="shared" si="1"/>
        <v>0.4858697140285228</v>
      </c>
      <c r="H63" s="246"/>
      <c r="J63" s="182"/>
      <c r="K63" s="182"/>
      <c r="L63" s="182"/>
      <c r="M63" s="182"/>
      <c r="N63" s="163"/>
      <c r="O63" s="259">
        <f>IF($O$24="Y",IFERROR(E63*($E$6/SUMIF($G$3:$G$14,"Y",$E$3:$E$14))*$O$16*'Emissions Factors'!B48,""),"")</f>
        <v>12.381293945895175</v>
      </c>
      <c r="P63" s="259">
        <f>IF($P$24="Y",IFERROR($E63*(SUM($E$3,$E$4,$E$5,$E$7)/SUMIF($G$3:$G$14,"Y",$E$3:$E$14))*('Emissions Factors'!$T$143*$P$16)/10^6,""),"")</f>
        <v>156.8683771233793</v>
      </c>
      <c r="Q63" s="259"/>
      <c r="R63" s="258"/>
      <c r="T63" s="180" t="str">
        <f t="shared" si="2"/>
        <v/>
      </c>
      <c r="U63" s="180" t="str">
        <f t="shared" si="3"/>
        <v/>
      </c>
      <c r="V63" s="177"/>
      <c r="X63" s="180">
        <f t="shared" si="4"/>
        <v>169.24967106927448</v>
      </c>
      <c r="Y63" s="180">
        <f t="shared" si="5"/>
        <v>0</v>
      </c>
    </row>
    <row r="64" spans="1:25" ht="15.6" x14ac:dyDescent="0.3">
      <c r="A64" s="152">
        <v>2052</v>
      </c>
      <c r="B64" s="178">
        <f t="shared" si="0"/>
        <v>0</v>
      </c>
      <c r="C64" s="182">
        <f t="shared" si="7"/>
        <v>0</v>
      </c>
      <c r="D64" s="183"/>
      <c r="E64" s="179">
        <f t="shared" si="6"/>
        <v>955.00155867005139</v>
      </c>
      <c r="F64" s="183">
        <f t="shared" si="8"/>
        <v>63.513087903857922</v>
      </c>
      <c r="G64" s="247">
        <f t="shared" si="1"/>
        <v>0.49059246695874714</v>
      </c>
      <c r="H64" s="246"/>
      <c r="J64" s="182"/>
      <c r="K64" s="182"/>
      <c r="L64" s="182"/>
      <c r="M64" s="182"/>
      <c r="N64" s="163"/>
      <c r="O64" s="259">
        <f>IF($O$24="Y",IFERROR(E64*($E$6/SUMIF($G$3:$G$14,"Y",$E$3:$E$14))*$O$16*'Emissions Factors'!B49,""),"")</f>
        <v>13.214408524902325</v>
      </c>
      <c r="P64" s="259">
        <f>IF($P$24="Y",IFERROR($E64*(SUM($E$3,$E$4,$E$5,$E$7)/SUMIF($G$3:$G$14,"Y",$E$3:$E$14))*('Emissions Factors'!$T$143*$P$16)/10^6,""),"")</f>
        <v>168.04428724705124</v>
      </c>
      <c r="Q64" s="259"/>
      <c r="R64" s="258"/>
      <c r="T64" s="180" t="str">
        <f t="shared" si="2"/>
        <v/>
      </c>
      <c r="U64" s="180" t="str">
        <f t="shared" si="3"/>
        <v/>
      </c>
      <c r="V64" s="177"/>
      <c r="X64" s="180">
        <f t="shared" si="4"/>
        <v>181.25869577195357</v>
      </c>
      <c r="Y64" s="180">
        <f t="shared" si="5"/>
        <v>0</v>
      </c>
    </row>
    <row r="65" spans="1:25" ht="15.6" x14ac:dyDescent="0.3">
      <c r="A65" s="152">
        <v>2053</v>
      </c>
      <c r="B65" s="178">
        <f t="shared" si="0"/>
        <v>0</v>
      </c>
      <c r="C65" s="182">
        <f t="shared" si="7"/>
        <v>0</v>
      </c>
      <c r="D65" s="183"/>
      <c r="E65" s="179">
        <f t="shared" si="6"/>
        <v>1022.2173716108659</v>
      </c>
      <c r="F65" s="183">
        <f t="shared" si="8"/>
        <v>67.215812940814544</v>
      </c>
      <c r="G65" s="247">
        <f t="shared" si="1"/>
        <v>0.49530671043206193</v>
      </c>
      <c r="H65" s="246"/>
      <c r="J65" s="182"/>
      <c r="K65" s="182"/>
      <c r="L65" s="182"/>
      <c r="M65" s="182"/>
      <c r="N65" s="163"/>
      <c r="O65" s="259">
        <f>IF($O$24="Y",IFERROR(E65*($E$6/SUMIF($G$3:$G$14,"Y",$E$3:$E$14))*$O$16*'Emissions Factors'!B50,""),"")</f>
        <v>14.090954990542256</v>
      </c>
      <c r="P65" s="259">
        <f>IF($P$24="Y",IFERROR($E65*(SUM($E$3,$E$4,$E$5,$E$7)/SUMIF($G$3:$G$14,"Y",$E$3:$E$14))*('Emissions Factors'!$T$143*$P$16)/10^6,""),"")</f>
        <v>179.87173744838935</v>
      </c>
      <c r="Q65" s="259"/>
      <c r="R65" s="258"/>
      <c r="T65" s="180" t="str">
        <f t="shared" si="2"/>
        <v/>
      </c>
      <c r="U65" s="180" t="str">
        <f t="shared" si="3"/>
        <v/>
      </c>
      <c r="V65" s="177"/>
      <c r="X65" s="180">
        <f t="shared" si="4"/>
        <v>193.96269243893161</v>
      </c>
      <c r="Y65" s="180">
        <f t="shared" si="5"/>
        <v>0</v>
      </c>
    </row>
    <row r="66" spans="1:25" ht="15.6" x14ac:dyDescent="0.3">
      <c r="A66" s="152">
        <v>2054</v>
      </c>
      <c r="B66" s="178">
        <f t="shared" si="0"/>
        <v>0</v>
      </c>
      <c r="C66" s="182">
        <f t="shared" si="7"/>
        <v>0</v>
      </c>
      <c r="D66" s="183"/>
      <c r="E66" s="179">
        <f t="shared" si="6"/>
        <v>1093.2033406482212</v>
      </c>
      <c r="F66" s="183">
        <f t="shared" si="8"/>
        <v>70.985969037355289</v>
      </c>
      <c r="G66" s="247">
        <f t="shared" si="1"/>
        <v>0.49998622861357533</v>
      </c>
      <c r="H66" s="246"/>
      <c r="J66" s="182"/>
      <c r="K66" s="182"/>
      <c r="L66" s="182"/>
      <c r="M66" s="182"/>
      <c r="N66" s="163"/>
      <c r="O66" s="259">
        <f>IF($O$24="Y",IFERROR(E66*($E$6/SUMIF($G$3:$G$14,"Y",$E$3:$E$14))*$O$16*'Emissions Factors'!B51,""),"")</f>
        <v>15.011001808579124</v>
      </c>
      <c r="P66" s="259">
        <f>IF($P$24="Y",IFERROR($E66*(SUM($E$3,$E$4,$E$5,$E$7)/SUMIF($G$3:$G$14,"Y",$E$3:$E$14))*('Emissions Factors'!$T$143*$P$16)/10^6,""),"")</f>
        <v>192.36259305289306</v>
      </c>
      <c r="Q66" s="259"/>
      <c r="R66" s="258"/>
      <c r="T66" s="180" t="str">
        <f t="shared" si="2"/>
        <v/>
      </c>
      <c r="U66" s="180" t="str">
        <f t="shared" si="3"/>
        <v/>
      </c>
      <c r="V66" s="177"/>
      <c r="X66" s="180">
        <f t="shared" si="4"/>
        <v>207.37359486147218</v>
      </c>
      <c r="Y66" s="180">
        <f t="shared" si="5"/>
        <v>0</v>
      </c>
    </row>
    <row r="67" spans="1:25" ht="15.6" x14ac:dyDescent="0.3">
      <c r="A67" s="152">
        <v>2055</v>
      </c>
      <c r="B67" s="178">
        <f t="shared" si="0"/>
        <v>0</v>
      </c>
      <c r="C67" s="182">
        <f t="shared" si="7"/>
        <v>0</v>
      </c>
      <c r="D67" s="183"/>
      <c r="E67" s="179">
        <f t="shared" si="6"/>
        <v>1168.0257906888662</v>
      </c>
      <c r="F67" s="183">
        <f t="shared" si="8"/>
        <v>74.822450040644981</v>
      </c>
      <c r="G67" s="247">
        <f t="shared" si="1"/>
        <v>0.50461085631207769</v>
      </c>
      <c r="H67" s="246"/>
      <c r="J67" s="182"/>
      <c r="K67" s="182"/>
      <c r="L67" s="182"/>
      <c r="M67" s="182"/>
      <c r="N67" s="163"/>
      <c r="O67" s="259">
        <f>IF($O$24="Y",IFERROR(E67*($E$6/SUMIF($G$3:$G$14,"Y",$E$3:$E$14))*$O$16*'Emissions Factors'!B52,""),"")</f>
        <v>15.973220979086671</v>
      </c>
      <c r="P67" s="259">
        <f>IF($P$24="Y",IFERROR($E67*(SUM($E$3,$E$4,$E$5,$E$7)/SUMIF($G$3:$G$14,"Y",$E$3:$E$14))*('Emissions Factors'!$T$143*$P$16)/10^6,""),"")</f>
        <v>205.52852474484581</v>
      </c>
      <c r="Q67" s="259"/>
      <c r="R67" s="258"/>
      <c r="T67" s="180" t="str">
        <f t="shared" si="2"/>
        <v/>
      </c>
      <c r="U67" s="180" t="str">
        <f t="shared" si="3"/>
        <v/>
      </c>
      <c r="V67" s="177"/>
      <c r="X67" s="180">
        <f t="shared" si="4"/>
        <v>221.50174572393249</v>
      </c>
      <c r="Y67" s="180">
        <f t="shared" si="5"/>
        <v>0</v>
      </c>
    </row>
    <row r="68" spans="1:25" ht="15.6" x14ac:dyDescent="0.3">
      <c r="A68" s="152">
        <v>2056</v>
      </c>
      <c r="B68" s="178">
        <f t="shared" si="0"/>
        <v>0</v>
      </c>
      <c r="C68" s="182">
        <f t="shared" si="7"/>
        <v>0</v>
      </c>
      <c r="D68" s="183"/>
      <c r="E68" s="179">
        <f t="shared" si="6"/>
        <v>1246.8004451161062</v>
      </c>
      <c r="F68" s="183">
        <f t="shared" si="8"/>
        <v>78.774654427239966</v>
      </c>
      <c r="G68" s="247">
        <f t="shared" si="1"/>
        <v>0.50917339245503312</v>
      </c>
      <c r="H68" s="246"/>
      <c r="J68" s="182"/>
      <c r="K68" s="182"/>
      <c r="L68" s="182"/>
      <c r="M68" s="182"/>
      <c r="N68" s="163"/>
      <c r="O68" s="259">
        <f>IF($O$24="Y",IFERROR(E68*($E$6/SUMIF($G$3:$G$14,"Y",$E$3:$E$14))*$O$16*'Emissions Factors'!B53,""),"")</f>
        <v>16.982225114968696</v>
      </c>
      <c r="P68" s="259">
        <f>IF($P$24="Y",IFERROR($E68*(SUM($E$3,$E$4,$E$5,$E$7)/SUMIF($G$3:$G$14,"Y",$E$3:$E$14))*('Emissions Factors'!$T$143*$P$16)/10^6,""),"")</f>
        <v>219.38989547893468</v>
      </c>
      <c r="Q68" s="259"/>
      <c r="R68" s="258"/>
      <c r="T68" s="180" t="str">
        <f t="shared" si="2"/>
        <v/>
      </c>
      <c r="U68" s="180" t="str">
        <f t="shared" si="3"/>
        <v/>
      </c>
      <c r="V68" s="177"/>
      <c r="X68" s="180">
        <f t="shared" si="4"/>
        <v>236.37212059390336</v>
      </c>
      <c r="Y68" s="180">
        <f t="shared" si="5"/>
        <v>0</v>
      </c>
    </row>
    <row r="69" spans="1:25" ht="15.6" x14ac:dyDescent="0.3">
      <c r="A69" s="152">
        <v>2057</v>
      </c>
      <c r="B69" s="178">
        <f t="shared" si="0"/>
        <v>0</v>
      </c>
      <c r="C69" s="182">
        <f t="shared" si="7"/>
        <v>0</v>
      </c>
      <c r="D69" s="183"/>
      <c r="E69" s="179">
        <f t="shared" si="6"/>
        <v>1329.6204310596756</v>
      </c>
      <c r="F69" s="183">
        <f t="shared" si="8"/>
        <v>82.819985943569463</v>
      </c>
      <c r="G69" s="247">
        <f t="shared" si="1"/>
        <v>0.51366617883318599</v>
      </c>
      <c r="H69" s="246"/>
      <c r="J69" s="182"/>
      <c r="K69" s="182"/>
      <c r="L69" s="182"/>
      <c r="M69" s="182"/>
      <c r="N69" s="163"/>
      <c r="O69" s="259">
        <f>IF($O$24="Y",IFERROR(E69*($E$6/SUMIF($G$3:$G$14,"Y",$E$3:$E$14))*$O$16*'Emissions Factors'!B54,""),"")</f>
        <v>18.034273854854668</v>
      </c>
      <c r="P69" s="259">
        <f>IF($P$24="Y",IFERROR($E69*(SUM($E$3,$E$4,$E$5,$E$7)/SUMIF($G$3:$G$14,"Y",$E$3:$E$14))*('Emissions Factors'!$T$143*$P$16)/10^6,""),"")</f>
        <v>233.96309212070724</v>
      </c>
      <c r="Q69" s="259"/>
      <c r="R69" s="258"/>
      <c r="T69" s="180" t="str">
        <f t="shared" si="2"/>
        <v/>
      </c>
      <c r="U69" s="180" t="str">
        <f t="shared" si="3"/>
        <v/>
      </c>
      <c r="V69" s="177"/>
      <c r="X69" s="180">
        <f t="shared" si="4"/>
        <v>251.99736597556191</v>
      </c>
      <c r="Y69" s="180">
        <f t="shared" si="5"/>
        <v>0</v>
      </c>
    </row>
    <row r="70" spans="1:25" ht="15.6" x14ac:dyDescent="0.3">
      <c r="A70" s="152">
        <v>2058</v>
      </c>
      <c r="B70" s="178">
        <f t="shared" si="0"/>
        <v>0</v>
      </c>
      <c r="C70" s="182">
        <f t="shared" si="7"/>
        <v>0</v>
      </c>
      <c r="D70" s="183"/>
      <c r="E70" s="179">
        <f t="shared" si="6"/>
        <v>1416.4939563123162</v>
      </c>
      <c r="F70" s="183">
        <f t="shared" si="8"/>
        <v>86.873525252640547</v>
      </c>
      <c r="G70" s="247">
        <f t="shared" si="1"/>
        <v>0.5180747137698577</v>
      </c>
      <c r="H70" s="246"/>
      <c r="J70" s="182"/>
      <c r="K70" s="182"/>
      <c r="L70" s="182"/>
      <c r="M70" s="182"/>
      <c r="N70" s="163"/>
      <c r="O70" s="259">
        <f>IF($O$24="Y",IFERROR(E70*($E$6/SUMIF($G$3:$G$14,"Y",$E$3:$E$14))*$O$16*'Emissions Factors'!B55,""),"")</f>
        <v>19.129737798282111</v>
      </c>
      <c r="P70" s="259">
        <f>IF($P$24="Y",IFERROR($E70*(SUM($E$3,$E$4,$E$5,$E$7)/SUMIF($G$3:$G$14,"Y",$E$3:$E$14))*('Emissions Factors'!$T$143*$P$16)/10^6,""),"")</f>
        <v>249.2495589323938</v>
      </c>
      <c r="Q70" s="259"/>
      <c r="R70" s="258"/>
      <c r="T70" s="180" t="str">
        <f t="shared" si="2"/>
        <v/>
      </c>
      <c r="U70" s="180" t="str">
        <f t="shared" si="3"/>
        <v/>
      </c>
      <c r="V70" s="177"/>
      <c r="X70" s="180">
        <f t="shared" si="4"/>
        <v>268.37929673067589</v>
      </c>
      <c r="Y70" s="180">
        <f t="shared" si="5"/>
        <v>0</v>
      </c>
    </row>
    <row r="71" spans="1:25" ht="15.6" x14ac:dyDescent="0.3">
      <c r="A71" s="152">
        <v>2059</v>
      </c>
      <c r="B71" s="178">
        <f t="shared" si="0"/>
        <v>0</v>
      </c>
      <c r="C71" s="182">
        <f t="shared" si="7"/>
        <v>0</v>
      </c>
      <c r="D71" s="183"/>
      <c r="E71" s="179">
        <f t="shared" si="6"/>
        <v>1507.3921073214585</v>
      </c>
      <c r="F71" s="183">
        <f t="shared" si="8"/>
        <v>90.898151009142339</v>
      </c>
      <c r="G71" s="247">
        <f t="shared" si="1"/>
        <v>0.52238528760186587</v>
      </c>
      <c r="H71" s="246"/>
      <c r="J71" s="182"/>
      <c r="K71" s="182"/>
      <c r="L71" s="182"/>
      <c r="M71" s="182"/>
      <c r="N71" s="163"/>
      <c r="O71" s="259">
        <f>IF($O$24="Y",IFERROR(E71*($E$6/SUMIF($G$3:$G$14,"Y",$E$3:$E$14))*$O$16*'Emissions Factors'!B56,""),"")</f>
        <v>20.26711399081525</v>
      </c>
      <c r="P71" s="259">
        <f>IF($P$24="Y",IFERROR($E71*(SUM($E$3,$E$4,$E$5,$E$7)/SUMIF($G$3:$G$14,"Y",$E$3:$E$14))*('Emissions Factors'!$T$143*$P$16)/10^6,""),"")</f>
        <v>265.2442082182842</v>
      </c>
      <c r="Q71" s="259"/>
      <c r="R71" s="258"/>
      <c r="T71" s="180" t="str">
        <f t="shared" si="2"/>
        <v/>
      </c>
      <c r="U71" s="180" t="str">
        <f t="shared" si="3"/>
        <v/>
      </c>
      <c r="V71" s="177"/>
      <c r="X71" s="180">
        <f t="shared" si="4"/>
        <v>285.51132220909943</v>
      </c>
      <c r="Y71" s="180">
        <f t="shared" si="5"/>
        <v>0</v>
      </c>
    </row>
    <row r="72" spans="1:25" ht="15.6" x14ac:dyDescent="0.3">
      <c r="A72" s="152">
        <v>2060</v>
      </c>
      <c r="B72" s="178">
        <f t="shared" si="0"/>
        <v>0</v>
      </c>
      <c r="C72" s="182">
        <f t="shared" si="7"/>
        <v>0</v>
      </c>
      <c r="D72" s="183"/>
      <c r="E72" s="179">
        <f t="shared" si="6"/>
        <v>1602.2610874928166</v>
      </c>
      <c r="F72" s="183">
        <f t="shared" si="8"/>
        <v>94.868980171358089</v>
      </c>
      <c r="G72" s="247">
        <f t="shared" si="1"/>
        <v>0.52660068561057061</v>
      </c>
      <c r="H72" s="246"/>
      <c r="J72" s="182"/>
      <c r="K72" s="182"/>
      <c r="L72" s="182"/>
      <c r="M72" s="182"/>
      <c r="N72" s="163"/>
      <c r="O72" s="259">
        <f>IF($O$24="Y",IFERROR(E72*($E$6/SUMIF($G$3:$G$14,"Y",$E$3:$E$14))*$O$16*'Emissions Factors'!B57,""),"")</f>
        <v>21.451707811676616</v>
      </c>
      <c r="P72" s="259">
        <f>IF($P$24="Y",IFERROR($E72*(SUM($E$3,$E$4,$E$5,$E$7)/SUMIF($G$3:$G$14,"Y",$E$3:$E$14))*('Emissions Factors'!$T$143*$P$16)/10^6,""),"")</f>
        <v>281.93757380498732</v>
      </c>
      <c r="Q72" s="259"/>
      <c r="R72" s="258"/>
      <c r="T72" s="180" t="str">
        <f t="shared" si="2"/>
        <v/>
      </c>
      <c r="U72" s="180" t="str">
        <f t="shared" si="3"/>
        <v/>
      </c>
      <c r="V72" s="177"/>
      <c r="X72" s="180">
        <f t="shared" si="4"/>
        <v>303.38928161666394</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10669.145582940017</v>
      </c>
      <c r="C85" s="253">
        <f>(C137/Population_Tables!P3)*Population_Tables!D3</f>
        <v>2962.2634881396102</v>
      </c>
      <c r="D85" s="253">
        <f>(D137/Population_Tables!Q3)*Population_Tables!E3</f>
        <v>561.00796532589561</v>
      </c>
      <c r="E85" s="253">
        <f>(E137/Population_Tables!R3)*Population_Tables!F3</f>
        <v>4099.2983700311743</v>
      </c>
      <c r="F85" s="253">
        <f>(F137/Population_Tables!S3)*Population_Tables!G3</f>
        <v>1033.9245823814495</v>
      </c>
      <c r="G85" s="253">
        <f>(G137/Population_Tables!T3)*Population_Tables!H3</f>
        <v>434.4641222560158</v>
      </c>
      <c r="H85" s="253">
        <f>(H137/Population_Tables!U3)*Population_Tables!I3</f>
        <v>2772.4656256795697</v>
      </c>
      <c r="I85" s="253">
        <f>(I137/Population_Tables!V3)*Population_Tables!J3</f>
        <v>797.27770738276251</v>
      </c>
      <c r="J85" s="253">
        <f>(J137/Population_Tables!W3)*Population_Tables!K3</f>
        <v>1198.7745876608387</v>
      </c>
      <c r="K85" s="253">
        <f>(K137/Population_Tables!X3)*Population_Tables!L3</f>
        <v>1260.2456881434907</v>
      </c>
      <c r="N85" s="195">
        <f t="shared" ref="N85:N131" si="9">SUMIF($C$83:$G$83,"Y",C85:G85)-H85</f>
        <v>2360.7573267330536</v>
      </c>
      <c r="O85" s="195">
        <f>H85</f>
        <v>2772.4656256795697</v>
      </c>
      <c r="P85" s="195">
        <f t="shared" ref="P85:P131" si="10">SUMIF($C$83:$G$83,"N",C85:G85)-(IF($E$83="N",H85))</f>
        <v>3957.7355757215219</v>
      </c>
      <c r="Q85" s="195">
        <f>N85+P85+O85</f>
        <v>9090.958528134146</v>
      </c>
      <c r="R85" s="196">
        <f>N85/Q85</f>
        <v>0.25968189376589118</v>
      </c>
      <c r="U85" s="197">
        <v>0</v>
      </c>
      <c r="V85" s="195">
        <f>O85-O137</f>
        <v>0</v>
      </c>
      <c r="W85" s="197">
        <v>0</v>
      </c>
      <c r="X85" s="195">
        <f>U85+V85+W85</f>
        <v>0</v>
      </c>
      <c r="Y85" s="196">
        <v>0</v>
      </c>
      <c r="AC85" s="251">
        <f>(B85-B137)/((SUM(C85:G85)-SUM(C137:G137)))</f>
        <v>1.4117007243021611</v>
      </c>
      <c r="AF85" s="250">
        <f>B85</f>
        <v>10669.145582940017</v>
      </c>
      <c r="AG85" s="250">
        <f>SUM(C85:G85)</f>
        <v>9090.958528134146</v>
      </c>
      <c r="AH85" s="250">
        <f>AG85-AF85</f>
        <v>-1578.1870548058705</v>
      </c>
      <c r="AI85" s="251">
        <f>AH85/AG85</f>
        <v>-0.17359963197739745</v>
      </c>
    </row>
    <row r="86" spans="1:35" ht="15.6" x14ac:dyDescent="0.3">
      <c r="A86" s="194">
        <v>2015</v>
      </c>
      <c r="B86" s="253">
        <f>(B138/Population_Tables!O4)*Population_Tables!C4</f>
        <v>10860.439596621532</v>
      </c>
      <c r="C86" s="253">
        <f>(C138/Population_Tables!P4)*Population_Tables!D4</f>
        <v>2984.7776194551593</v>
      </c>
      <c r="D86" s="253">
        <f>(D138/Population_Tables!Q4)*Population_Tables!E4</f>
        <v>566.16297082614608</v>
      </c>
      <c r="E86" s="253">
        <f>(E138/Population_Tables!R4)*Population_Tables!F4</f>
        <v>4189.7460256711947</v>
      </c>
      <c r="F86" s="253">
        <f>(F138/Population_Tables!S4)*Population_Tables!G4</f>
        <v>1064.7080576803551</v>
      </c>
      <c r="G86" s="253">
        <f>(G138/Population_Tables!T4)*Population_Tables!H4</f>
        <v>442.18091606363572</v>
      </c>
      <c r="H86" s="253">
        <f>(H138/Population_Tables!U4)*Population_Tables!I4</f>
        <v>2824.5848925825117</v>
      </c>
      <c r="I86" s="253">
        <f>(I138/Population_Tables!V4)*Population_Tables!J4</f>
        <v>823.13304978916142</v>
      </c>
      <c r="J86" s="253">
        <f>(J138/Population_Tables!W4)*Population_Tables!K4</f>
        <v>1204.6046569365531</v>
      </c>
      <c r="K86" s="253">
        <f>(K138/Population_Tables!X4)*Population_Tables!L4</f>
        <v>1271.7141402766044</v>
      </c>
      <c r="N86" s="195">
        <f t="shared" si="9"/>
        <v>2429.8691907690377</v>
      </c>
      <c r="O86" s="195">
        <f t="shared" ref="O86:O131" si="11">H86</f>
        <v>2824.5848925825117</v>
      </c>
      <c r="P86" s="195">
        <f t="shared" si="10"/>
        <v>3993.1215063449413</v>
      </c>
      <c r="Q86" s="195">
        <f t="shared" ref="Q86:Q131" si="12">N86+P86+O86</f>
        <v>9247.5755896964911</v>
      </c>
      <c r="R86" s="196">
        <f t="shared" ref="R86:R130" si="13">N86/Q86</f>
        <v>0.26275742946901254</v>
      </c>
      <c r="U86" s="197">
        <v>0</v>
      </c>
      <c r="V86" s="195">
        <f t="shared" ref="V86:W131" si="14">O86-O138</f>
        <v>0</v>
      </c>
      <c r="W86" s="197">
        <v>0</v>
      </c>
      <c r="X86" s="195">
        <f>U86+V86+W86</f>
        <v>0</v>
      </c>
      <c r="Y86" s="196">
        <v>0</v>
      </c>
      <c r="AC86" s="251">
        <f t="shared" ref="AC86:AC131" si="15">(B86-B138)/((SUM(C86:G86)-SUM(C138:G138)))</f>
        <v>1.4034385307016275</v>
      </c>
    </row>
    <row r="87" spans="1:35" ht="15.6" x14ac:dyDescent="0.3">
      <c r="A87" s="194">
        <v>2016</v>
      </c>
      <c r="B87" s="253">
        <f>(B139/Population_Tables!O5)*Population_Tables!C5</f>
        <v>11054.057299759004</v>
      </c>
      <c r="C87" s="253">
        <f>(C139/Population_Tables!P5)*Population_Tables!D5</f>
        <v>3006.9946364122961</v>
      </c>
      <c r="D87" s="253">
        <f>(D139/Population_Tables!Q5)*Population_Tables!E5</f>
        <v>571.2518041859604</v>
      </c>
      <c r="E87" s="253">
        <f>(E139/Population_Tables!R5)*Population_Tables!F5</f>
        <v>4281.9336024340946</v>
      </c>
      <c r="F87" s="253">
        <f>(F139/Population_Tables!S5)*Population_Tables!G5</f>
        <v>1095.8595126476475</v>
      </c>
      <c r="G87" s="253">
        <f>(G139/Population_Tables!T5)*Population_Tables!H5</f>
        <v>449.94159290558815</v>
      </c>
      <c r="H87" s="253">
        <f>(H139/Population_Tables!U5)*Population_Tables!I5</f>
        <v>2875.9835064689428</v>
      </c>
      <c r="I87" s="253">
        <f>(I139/Population_Tables!V5)*Population_Tables!J5</f>
        <v>850.73944588485108</v>
      </c>
      <c r="J87" s="253">
        <f>(J139/Population_Tables!W5)*Population_Tables!K5</f>
        <v>1210.5271675056538</v>
      </c>
      <c r="K87" s="253">
        <f>(K139/Population_Tables!X5)*Population_Tables!L5</f>
        <v>1283.2556960917091</v>
      </c>
      <c r="N87" s="195">
        <f t="shared" si="9"/>
        <v>2501.8096086127994</v>
      </c>
      <c r="O87" s="195">
        <f t="shared" si="11"/>
        <v>2875.9835064689428</v>
      </c>
      <c r="P87" s="195">
        <f t="shared" si="10"/>
        <v>4028.1880335038445</v>
      </c>
      <c r="Q87" s="195">
        <f t="shared" si="12"/>
        <v>9405.9811485855862</v>
      </c>
      <c r="R87" s="196">
        <f t="shared" si="13"/>
        <v>0.26598071685365926</v>
      </c>
      <c r="U87" s="195">
        <f>N87-N139</f>
        <v>-1.2843755974245141E-2</v>
      </c>
      <c r="V87" s="195">
        <f>O87-O139</f>
        <v>0</v>
      </c>
      <c r="W87" s="195">
        <f>P87-P139</f>
        <v>0</v>
      </c>
      <c r="X87" s="195">
        <f>U87+V87+W87</f>
        <v>-1.2843755974245141E-2</v>
      </c>
      <c r="Y87" s="196">
        <f t="shared" ref="Y87:Y131" si="16">U87/X87</f>
        <v>1</v>
      </c>
      <c r="AC87" s="251">
        <f>(B87-B139)/((SUM(C87:G87)-SUM(C139:G139)))</f>
        <v>1.3951072583132389</v>
      </c>
    </row>
    <row r="88" spans="1:35" ht="15.6" x14ac:dyDescent="0.3">
      <c r="A88" s="194">
        <v>2017</v>
      </c>
      <c r="B88" s="253">
        <f>(B140/Population_Tables!O6)*Population_Tables!C6</f>
        <v>11249.901575234304</v>
      </c>
      <c r="C88" s="253">
        <f>(C140/Population_Tables!P6)*Population_Tables!D6</f>
        <v>3028.9036455887704</v>
      </c>
      <c r="D88" s="253">
        <f>(D140/Population_Tables!Q6)*Population_Tables!E6</f>
        <v>576.28086964978638</v>
      </c>
      <c r="E88" s="253">
        <f>(E140/Population_Tables!R6)*Population_Tables!F6</f>
        <v>4375.8070940247426</v>
      </c>
      <c r="F88" s="253">
        <f>(F140/Population_Tables!S6)*Population_Tables!G6</f>
        <v>1127.4088627010092</v>
      </c>
      <c r="G88" s="253">
        <f>(G140/Population_Tables!T6)*Population_Tables!H6</f>
        <v>457.74012685120721</v>
      </c>
      <c r="H88" s="253">
        <f>(H140/Population_Tables!U6)*Population_Tables!I6</f>
        <v>2926.6562715642963</v>
      </c>
      <c r="I88" s="253">
        <f>(I140/Population_Tables!V6)*Population_Tables!J6</f>
        <v>880.07661127494384</v>
      </c>
      <c r="J88" s="253">
        <f>(J140/Population_Tables!W6)*Population_Tables!K6</f>
        <v>1216.5030856255191</v>
      </c>
      <c r="K88" s="253">
        <f>(K140/Population_Tables!X6)*Population_Tables!L6</f>
        <v>1294.8511756329619</v>
      </c>
      <c r="N88" s="195">
        <f t="shared" si="9"/>
        <v>2576.559685161455</v>
      </c>
      <c r="O88" s="195">
        <f>H88</f>
        <v>2926.6562715642963</v>
      </c>
      <c r="P88" s="195">
        <f t="shared" si="10"/>
        <v>4062.9246420897639</v>
      </c>
      <c r="Q88" s="195">
        <f t="shared" si="12"/>
        <v>9566.1405988155147</v>
      </c>
      <c r="R88" s="196">
        <f t="shared" si="13"/>
        <v>0.26934160736467599</v>
      </c>
      <c r="U88" s="195">
        <f>N88-N140</f>
        <v>-1.2784964567345014E-2</v>
      </c>
      <c r="V88" s="195">
        <f t="shared" si="14"/>
        <v>0</v>
      </c>
      <c r="W88" s="195">
        <f t="shared" si="14"/>
        <v>0</v>
      </c>
      <c r="X88" s="195">
        <f t="shared" ref="X88:X131" si="17">U88+V88+W88</f>
        <v>-1.2784964567345014E-2</v>
      </c>
      <c r="Y88" s="196">
        <f t="shared" si="16"/>
        <v>1</v>
      </c>
      <c r="AC88" s="251">
        <f t="shared" si="15"/>
        <v>1.3867245642330972</v>
      </c>
    </row>
    <row r="89" spans="1:35" ht="15.6" x14ac:dyDescent="0.3">
      <c r="A89" s="194">
        <v>2018</v>
      </c>
      <c r="B89" s="253">
        <f>(B141/Population_Tables!O7)*Population_Tables!C7</f>
        <v>11447.835810203958</v>
      </c>
      <c r="C89" s="253">
        <f>(C141/Population_Tables!P7)*Population_Tables!D7</f>
        <v>3050.518087988808</v>
      </c>
      <c r="D89" s="253">
        <f>(D141/Population_Tables!Q7)*Population_Tables!E7</f>
        <v>581.25451522808532</v>
      </c>
      <c r="E89" s="253">
        <f>(E141/Population_Tables!R7)*Population_Tables!F7</f>
        <v>4471.2605966667188</v>
      </c>
      <c r="F89" s="253">
        <f>(F141/Population_Tables!S7)*Population_Tables!G7</f>
        <v>1159.4009509941495</v>
      </c>
      <c r="G89" s="253">
        <f>(G141/Population_Tables!T7)*Population_Tables!H7</f>
        <v>465.57199611251008</v>
      </c>
      <c r="H89" s="253">
        <f>(H141/Population_Tables!U7)*Population_Tables!I7</f>
        <v>2976.5428784934634</v>
      </c>
      <c r="I89" s="253">
        <f>(I141/Population_Tables!V7)*Population_Tables!J7</f>
        <v>911.11698008629878</v>
      </c>
      <c r="J89" s="253">
        <f>(J141/Population_Tables!W7)*Population_Tables!K7</f>
        <v>1222.4889134080465</v>
      </c>
      <c r="K89" s="253">
        <f>(K141/Population_Tables!X7)*Population_Tables!L7</f>
        <v>1306.4949307079983</v>
      </c>
      <c r="N89" s="195">
        <f t="shared" si="9"/>
        <v>2654.1186691674052</v>
      </c>
      <c r="O89" s="195">
        <f t="shared" si="11"/>
        <v>2976.5428784934634</v>
      </c>
      <c r="P89" s="195">
        <f t="shared" si="10"/>
        <v>4097.3445993294035</v>
      </c>
      <c r="Q89" s="195">
        <f t="shared" si="12"/>
        <v>9728.0061469902721</v>
      </c>
      <c r="R89" s="196">
        <f t="shared" si="13"/>
        <v>0.27283275000690221</v>
      </c>
      <c r="U89" s="195">
        <f t="shared" ref="U89:U131" si="18">N89-N141</f>
        <v>-1.268436608279444E-2</v>
      </c>
      <c r="V89" s="195">
        <f t="shared" si="14"/>
        <v>0</v>
      </c>
      <c r="W89" s="195">
        <f t="shared" si="14"/>
        <v>0</v>
      </c>
      <c r="X89" s="195">
        <f t="shared" si="17"/>
        <v>-1.268436608279444E-2</v>
      </c>
      <c r="Y89" s="196">
        <f t="shared" si="16"/>
        <v>1</v>
      </c>
      <c r="AC89" s="251">
        <f t="shared" si="15"/>
        <v>1.3782950125220412</v>
      </c>
    </row>
    <row r="90" spans="1:35" ht="16.2" thickBot="1" x14ac:dyDescent="0.35">
      <c r="A90" s="198">
        <v>2019</v>
      </c>
      <c r="B90" s="253">
        <f>(B142/Population_Tables!O8)*Population_Tables!C8</f>
        <v>11647.677264399586</v>
      </c>
      <c r="C90" s="253">
        <f>(C142/Population_Tables!P8)*Population_Tables!D8</f>
        <v>3071.858541823382</v>
      </c>
      <c r="D90" s="253">
        <f>(D142/Population_Tables!Q8)*Population_Tables!E8</f>
        <v>586.18739306907651</v>
      </c>
      <c r="E90" s="253">
        <f>(E142/Population_Tables!R8)*Population_Tables!F8</f>
        <v>4568.1560342689736</v>
      </c>
      <c r="F90" s="253">
        <f>(F142/Population_Tables!S8)*Population_Tables!G8</f>
        <v>1191.884575411955</v>
      </c>
      <c r="G90" s="253">
        <f>(G142/Population_Tables!T8)*Population_Tables!H8</f>
        <v>473.43060538527675</v>
      </c>
      <c r="H90" s="253">
        <f>(H142/Population_Tables!U8)*Population_Tables!I8</f>
        <v>3025.556954519966</v>
      </c>
      <c r="I90" s="253">
        <f>(I142/Population_Tables!V8)*Population_Tables!J8</f>
        <v>943.81847222022338</v>
      </c>
      <c r="J90" s="253">
        <f>(J142/Population_Tables!W8)*Population_Tables!K8</f>
        <v>1228.4097258576392</v>
      </c>
      <c r="K90" s="253">
        <f>(K142/Population_Tables!X8)*Population_Tables!L8</f>
        <v>1318.1721103766361</v>
      </c>
      <c r="N90" s="195">
        <f t="shared" si="9"/>
        <v>2734.4836551609624</v>
      </c>
      <c r="O90" s="195">
        <f t="shared" si="11"/>
        <v>3025.556954519966</v>
      </c>
      <c r="P90" s="195">
        <f t="shared" si="10"/>
        <v>4131.4765402777357</v>
      </c>
      <c r="Q90" s="195">
        <f t="shared" si="12"/>
        <v>9891.517149958665</v>
      </c>
      <c r="R90" s="199">
        <f t="shared" si="13"/>
        <v>0.27644734510442509</v>
      </c>
      <c r="U90" s="200">
        <f t="shared" si="18"/>
        <v>-1.2607735514393426E-2</v>
      </c>
      <c r="V90" s="195">
        <f t="shared" si="14"/>
        <v>0</v>
      </c>
      <c r="W90" s="200">
        <f t="shared" si="14"/>
        <v>0</v>
      </c>
      <c r="X90" s="195">
        <f t="shared" si="17"/>
        <v>-1.2607735514393426E-2</v>
      </c>
      <c r="Y90" s="199">
        <f t="shared" si="16"/>
        <v>1</v>
      </c>
      <c r="AC90" s="251">
        <f t="shared" si="15"/>
        <v>1.3698176415836791</v>
      </c>
    </row>
    <row r="91" spans="1:35" ht="15.6" x14ac:dyDescent="0.3">
      <c r="A91" s="201">
        <v>2020</v>
      </c>
      <c r="B91" s="253">
        <f>(B143/Population_Tables!O9)*Population_Tables!C9</f>
        <v>11848.142843251464</v>
      </c>
      <c r="C91" s="253">
        <f>(C143/Population_Tables!P9)*Population_Tables!D9</f>
        <v>3092.9002848549044</v>
      </c>
      <c r="D91" s="253">
        <f>(D143/Population_Tables!Q9)*Population_Tables!E9</f>
        <v>591.17910841278604</v>
      </c>
      <c r="E91" s="253">
        <f>(E143/Population_Tables!R9)*Population_Tables!F9</f>
        <v>4665.6943312590702</v>
      </c>
      <c r="F91" s="253">
        <f>(F143/Population_Tables!S9)*Population_Tables!G9</f>
        <v>1225.0536978455232</v>
      </c>
      <c r="G91" s="253">
        <f>(G143/Population_Tables!T9)*Population_Tables!H9</f>
        <v>481.31117568573507</v>
      </c>
      <c r="H91" s="253">
        <f>(H143/Population_Tables!U9)*Population_Tables!I9</f>
        <v>3073.0263648771311</v>
      </c>
      <c r="I91" s="253">
        <f>(I143/Population_Tables!V9)*Population_Tables!J9</f>
        <v>978.32220859366828</v>
      </c>
      <c r="J91" s="253">
        <f>(J143/Population_Tables!W9)*Population_Tables!K9</f>
        <v>1234.0135482317764</v>
      </c>
      <c r="K91" s="253">
        <f>(K143/Population_Tables!X9)*Population_Tables!L9</f>
        <v>1329.8951388151481</v>
      </c>
      <c r="L91" s="202"/>
      <c r="M91" s="202"/>
      <c r="N91" s="195">
        <f t="shared" si="9"/>
        <v>2817.721664227462</v>
      </c>
      <c r="O91" s="195">
        <f t="shared" si="11"/>
        <v>3073.0263648771311</v>
      </c>
      <c r="P91" s="195">
        <f t="shared" si="10"/>
        <v>4165.3905689534258</v>
      </c>
      <c r="Q91" s="195">
        <f t="shared" si="12"/>
        <v>10056.138598058018</v>
      </c>
      <c r="R91" s="203">
        <f t="shared" si="13"/>
        <v>0.28019916757825947</v>
      </c>
      <c r="S91" s="202"/>
      <c r="T91" s="202"/>
      <c r="U91" s="204">
        <f>N91-N143</f>
        <v>-1.2557549820485292E-2</v>
      </c>
      <c r="V91" s="195">
        <f t="shared" si="14"/>
        <v>0</v>
      </c>
      <c r="W91" s="204">
        <f t="shared" si="14"/>
        <v>0</v>
      </c>
      <c r="X91" s="195">
        <f t="shared" si="17"/>
        <v>-1.2557549820485292E-2</v>
      </c>
      <c r="Y91" s="205">
        <f>U91/X91</f>
        <v>1</v>
      </c>
      <c r="AC91" s="251">
        <f t="shared" si="15"/>
        <v>1.3612550687501233</v>
      </c>
    </row>
    <row r="92" spans="1:35" ht="15.6" x14ac:dyDescent="0.3">
      <c r="A92" s="206">
        <v>2021</v>
      </c>
      <c r="B92" s="253">
        <f>(B144/Population_Tables!O10)*Population_Tables!C10</f>
        <v>12067.887831350625</v>
      </c>
      <c r="C92" s="253">
        <f>(C144/Population_Tables!P10)*Population_Tables!D10</f>
        <v>3117.0040801484079</v>
      </c>
      <c r="D92" s="253">
        <f>(D144/Population_Tables!Q10)*Population_Tables!E10</f>
        <v>596.66971513941724</v>
      </c>
      <c r="E92" s="253">
        <f>(E144/Population_Tables!R10)*Population_Tables!F10</f>
        <v>4771.5905246415123</v>
      </c>
      <c r="F92" s="253">
        <f>(F144/Population_Tables!S10)*Population_Tables!G10</f>
        <v>1260.1912872481237</v>
      </c>
      <c r="G92" s="253">
        <f>(G144/Population_Tables!T10)*Population_Tables!H10</f>
        <v>490.13592098786722</v>
      </c>
      <c r="H92" s="253">
        <f>(H144/Population_Tables!U10)*Population_Tables!I10</f>
        <v>3124.0344839713016</v>
      </c>
      <c r="I92" s="253">
        <f>(I144/Population_Tables!V10)*Population_Tables!J10</f>
        <v>1015.2514548514401</v>
      </c>
      <c r="J92" s="253">
        <f>(J144/Population_Tables!W10)*Population_Tables!K10</f>
        <v>1241.1658503758106</v>
      </c>
      <c r="K92" s="253">
        <f>(K144/Population_Tables!X10)*Population_Tables!L10</f>
        <v>1343.0071967936171</v>
      </c>
      <c r="L92" s="170"/>
      <c r="M92" s="170"/>
      <c r="N92" s="195">
        <f t="shared" si="9"/>
        <v>2907.7473279183341</v>
      </c>
      <c r="O92" s="195">
        <f t="shared" si="11"/>
        <v>3124.0344839713016</v>
      </c>
      <c r="P92" s="195">
        <f t="shared" si="10"/>
        <v>4203.8097162756922</v>
      </c>
      <c r="Q92" s="195">
        <f t="shared" si="12"/>
        <v>10235.591528165329</v>
      </c>
      <c r="R92" s="196">
        <f t="shared" si="13"/>
        <v>0.28408200150592872</v>
      </c>
      <c r="S92" s="170"/>
      <c r="T92" s="170"/>
      <c r="U92" s="195">
        <f t="shared" si="18"/>
        <v>4.1028342768636321</v>
      </c>
      <c r="V92" s="195">
        <f t="shared" si="14"/>
        <v>3.2747830248558785</v>
      </c>
      <c r="W92" s="195">
        <f t="shared" si="14"/>
        <v>4.8631818368012318</v>
      </c>
      <c r="X92" s="195">
        <f t="shared" si="17"/>
        <v>12.240799138520742</v>
      </c>
      <c r="Y92" s="207">
        <f t="shared" si="16"/>
        <v>0.33517699542608825</v>
      </c>
      <c r="AC92" s="251">
        <f t="shared" si="15"/>
        <v>1.245129694222409</v>
      </c>
    </row>
    <row r="93" spans="1:35" ht="15.6" x14ac:dyDescent="0.3">
      <c r="A93" s="206">
        <v>2022</v>
      </c>
      <c r="B93" s="253">
        <f>(B145/Population_Tables!O11)*Population_Tables!C11</f>
        <v>12292.408250104709</v>
      </c>
      <c r="C93" s="253">
        <f>(C145/Population_Tables!P11)*Population_Tables!D11</f>
        <v>3141.7565074167401</v>
      </c>
      <c r="D93" s="253">
        <f>(D145/Population_Tables!Q11)*Population_Tables!E11</f>
        <v>602.34332946971278</v>
      </c>
      <c r="E93" s="253">
        <f>(E145/Population_Tables!R11)*Population_Tables!F11</f>
        <v>4880.1672897688604</v>
      </c>
      <c r="F93" s="253">
        <f>(F145/Population_Tables!S11)*Population_Tables!G11</f>
        <v>1296.4478798167529</v>
      </c>
      <c r="G93" s="253">
        <f>(G145/Population_Tables!T11)*Population_Tables!H11</f>
        <v>499.03933031550298</v>
      </c>
      <c r="H93" s="253">
        <f>(H145/Population_Tables!U11)*Population_Tables!I11</f>
        <v>3174.3618293771192</v>
      </c>
      <c r="I93" s="253">
        <f>(I145/Population_Tables!V11)*Population_Tables!J11</f>
        <v>1054.5396086861249</v>
      </c>
      <c r="J93" s="253">
        <f>(J145/Population_Tables!W11)*Population_Tables!K11</f>
        <v>1248.3300606780829</v>
      </c>
      <c r="K93" s="253">
        <f>(K145/Population_Tables!X11)*Population_Tables!L11</f>
        <v>1356.6416572059211</v>
      </c>
      <c r="L93" s="170"/>
      <c r="M93" s="170"/>
      <c r="N93" s="195">
        <f t="shared" si="9"/>
        <v>3002.2533402084941</v>
      </c>
      <c r="O93" s="195">
        <f t="shared" si="11"/>
        <v>3174.3618293771192</v>
      </c>
      <c r="P93" s="195">
        <f t="shared" si="10"/>
        <v>4243.1391672019563</v>
      </c>
      <c r="Q93" s="195">
        <f t="shared" si="12"/>
        <v>10419.75433678757</v>
      </c>
      <c r="R93" s="196">
        <f t="shared" si="13"/>
        <v>0.28813091395147944</v>
      </c>
      <c r="S93" s="170"/>
      <c r="T93" s="170"/>
      <c r="U93" s="195">
        <f t="shared" si="18"/>
        <v>9.8163755647728976</v>
      </c>
      <c r="V93" s="195">
        <f t="shared" si="14"/>
        <v>7.4116929520951089</v>
      </c>
      <c r="W93" s="195">
        <f t="shared" si="14"/>
        <v>10.859546746726664</v>
      </c>
      <c r="X93" s="195">
        <f t="shared" si="17"/>
        <v>28.087615263594671</v>
      </c>
      <c r="Y93" s="207">
        <f t="shared" si="16"/>
        <v>0.34949124276478682</v>
      </c>
      <c r="AC93" s="251">
        <f t="shared" si="15"/>
        <v>1.2344741800027534</v>
      </c>
    </row>
    <row r="94" spans="1:35" ht="15.6" x14ac:dyDescent="0.3">
      <c r="A94" s="206">
        <v>2023</v>
      </c>
      <c r="B94" s="253">
        <f>(B146/Population_Tables!O12)*Population_Tables!C12</f>
        <v>12522.466306556717</v>
      </c>
      <c r="C94" s="253">
        <f>(C146/Population_Tables!P12)*Population_Tables!D12</f>
        <v>3167.0900015861048</v>
      </c>
      <c r="D94" s="253">
        <f>(D146/Population_Tables!Q12)*Population_Tables!E12</f>
        <v>608.10268786045322</v>
      </c>
      <c r="E94" s="253">
        <f>(E146/Population_Tables!R12)*Population_Tables!F12</f>
        <v>4991.8525506551214</v>
      </c>
      <c r="F94" s="253">
        <f>(F146/Population_Tables!S12)*Population_Tables!G12</f>
        <v>1333.6941848188483</v>
      </c>
      <c r="G94" s="253">
        <f>(G146/Population_Tables!T12)*Population_Tables!H12</f>
        <v>508.04516710531715</v>
      </c>
      <c r="H94" s="253">
        <f>(H146/Population_Tables!U12)*Population_Tables!I12</f>
        <v>3224.5391176745679</v>
      </c>
      <c r="I94" s="253">
        <f>(I146/Population_Tables!V12)*Population_Tables!J12</f>
        <v>1095.9420603978626</v>
      </c>
      <c r="J94" s="253">
        <f>(J146/Population_Tables!W12)*Population_Tables!K12</f>
        <v>1255.6598137828437</v>
      </c>
      <c r="K94" s="253">
        <f>(K146/Population_Tables!X12)*Population_Tables!L12</f>
        <v>1370.6859382790381</v>
      </c>
      <c r="L94" s="170"/>
      <c r="M94" s="170"/>
      <c r="N94" s="195">
        <f t="shared" si="9"/>
        <v>3101.0076177994015</v>
      </c>
      <c r="O94" s="195">
        <f t="shared" si="11"/>
        <v>3224.5391176745679</v>
      </c>
      <c r="P94" s="195">
        <f t="shared" si="10"/>
        <v>4283.2378565518748</v>
      </c>
      <c r="Q94" s="195">
        <f t="shared" si="12"/>
        <v>10608.784592025844</v>
      </c>
      <c r="R94" s="196">
        <f t="shared" si="13"/>
        <v>0.29230564452503749</v>
      </c>
      <c r="S94" s="170"/>
      <c r="T94" s="170"/>
      <c r="U94" s="195">
        <f>N94-N146</f>
        <v>16.95890019034232</v>
      </c>
      <c r="V94" s="195">
        <f t="shared" si="14"/>
        <v>12.305777964558729</v>
      </c>
      <c r="W94" s="195">
        <f t="shared" si="14"/>
        <v>17.867802395318904</v>
      </c>
      <c r="X94" s="195">
        <f t="shared" si="17"/>
        <v>47.132480550219952</v>
      </c>
      <c r="Y94" s="207">
        <f t="shared" si="16"/>
        <v>0.35981344483391886</v>
      </c>
      <c r="AC94" s="251">
        <f t="shared" si="15"/>
        <v>1.2272621171069085</v>
      </c>
    </row>
    <row r="95" spans="1:35" ht="15.6" x14ac:dyDescent="0.3">
      <c r="A95" s="206">
        <v>2024</v>
      </c>
      <c r="B95" s="253">
        <f>(B147/Population_Tables!O13)*Population_Tables!C13</f>
        <v>12757.964356877794</v>
      </c>
      <c r="C95" s="253">
        <f>(C147/Population_Tables!P13)*Population_Tables!D13</f>
        <v>3192.9257627934767</v>
      </c>
      <c r="D95" s="253">
        <f>(D147/Population_Tables!Q13)*Population_Tables!E13</f>
        <v>613.9384674771992</v>
      </c>
      <c r="E95" s="253">
        <f>(E147/Population_Tables!R13)*Population_Tables!F13</f>
        <v>5106.4725442215413</v>
      </c>
      <c r="F95" s="253">
        <f>(F147/Population_Tables!S13)*Population_Tables!G13</f>
        <v>1371.9807217626335</v>
      </c>
      <c r="G95" s="253">
        <f>(G147/Population_Tables!T13)*Population_Tables!H13</f>
        <v>517.21460004993719</v>
      </c>
      <c r="H95" s="253">
        <f>(H147/Population_Tables!U13)*Population_Tables!I13</f>
        <v>3274.5251335499984</v>
      </c>
      <c r="I95" s="253">
        <f>(I147/Population_Tables!V13)*Population_Tables!J13</f>
        <v>1139.4152980633037</v>
      </c>
      <c r="J95" s="253">
        <f>(J147/Population_Tables!W13)*Population_Tables!K13</f>
        <v>1263.1256967008526</v>
      </c>
      <c r="K95" s="253">
        <f>(K147/Population_Tables!X13)*Population_Tables!L13</f>
        <v>1385.060860114118</v>
      </c>
      <c r="L95" s="170"/>
      <c r="M95" s="170"/>
      <c r="N95" s="195">
        <f t="shared" si="9"/>
        <v>3203.9281324341769</v>
      </c>
      <c r="O95" s="195">
        <f t="shared" si="11"/>
        <v>3274.5251335499984</v>
      </c>
      <c r="P95" s="195">
        <f t="shared" si="10"/>
        <v>4324.0788303206127</v>
      </c>
      <c r="Q95" s="195">
        <f t="shared" si="12"/>
        <v>10802.532096304787</v>
      </c>
      <c r="R95" s="196">
        <f t="shared" si="13"/>
        <v>0.29659047562840768</v>
      </c>
      <c r="S95" s="170"/>
      <c r="T95" s="170"/>
      <c r="U95" s="195">
        <f t="shared" si="18"/>
        <v>25.442305048441995</v>
      </c>
      <c r="V95" s="195">
        <f t="shared" si="14"/>
        <v>17.871819458121536</v>
      </c>
      <c r="W95" s="195">
        <f t="shared" si="14"/>
        <v>25.82729973446294</v>
      </c>
      <c r="X95" s="195">
        <f t="shared" si="17"/>
        <v>69.141424241026471</v>
      </c>
      <c r="Y95" s="207">
        <f t="shared" si="16"/>
        <v>0.36797484760727978</v>
      </c>
      <c r="AC95" s="251">
        <f t="shared" si="15"/>
        <v>1.223154248819633</v>
      </c>
    </row>
    <row r="96" spans="1:35" ht="15.6" x14ac:dyDescent="0.3">
      <c r="A96" s="206">
        <v>2025</v>
      </c>
      <c r="B96" s="253">
        <f>(B148/Population_Tables!O14)*Population_Tables!C14</f>
        <v>12998.84893977369</v>
      </c>
      <c r="C96" s="253">
        <f>(C148/Population_Tables!P14)*Population_Tables!D14</f>
        <v>3219.2015792784873</v>
      </c>
      <c r="D96" s="253">
        <f>(D148/Population_Tables!Q14)*Population_Tables!E14</f>
        <v>619.84552315747521</v>
      </c>
      <c r="E96" s="253">
        <f>(E148/Population_Tables!R14)*Population_Tables!F14</f>
        <v>5223.897731554699</v>
      </c>
      <c r="F96" s="253">
        <f>(F148/Population_Tables!S14)*Population_Tables!G14</f>
        <v>1411.3608046263421</v>
      </c>
      <c r="G96" s="253">
        <f>(G148/Population_Tables!T14)*Population_Tables!H14</f>
        <v>526.5936004838677</v>
      </c>
      <c r="H96" s="253">
        <f>(H148/Population_Tables!U14)*Population_Tables!I14</f>
        <v>3324.2931770522609</v>
      </c>
      <c r="I96" s="253">
        <f>(I148/Population_Tables!V14)*Population_Tables!J14</f>
        <v>1184.9286003333305</v>
      </c>
      <c r="J96" s="253">
        <f>(J148/Population_Tables!W14)*Population_Tables!K14</f>
        <v>1270.7047938899591</v>
      </c>
      <c r="K96" s="253">
        <f>(K148/Population_Tables!X14)*Population_Tables!L14</f>
        <v>1399.7060935142301</v>
      </c>
      <c r="L96" s="170"/>
      <c r="M96" s="170"/>
      <c r="N96" s="195">
        <f t="shared" si="9"/>
        <v>3310.9653591287806</v>
      </c>
      <c r="O96" s="195">
        <f t="shared" si="11"/>
        <v>3324.2931770522609</v>
      </c>
      <c r="P96" s="195">
        <f t="shared" si="10"/>
        <v>4365.6407029198308</v>
      </c>
      <c r="Q96" s="195">
        <f t="shared" si="12"/>
        <v>11000.899239100872</v>
      </c>
      <c r="R96" s="196">
        <f t="shared" si="13"/>
        <v>0.300972246646938</v>
      </c>
      <c r="S96" s="170"/>
      <c r="T96" s="170"/>
      <c r="U96" s="195">
        <f t="shared" si="18"/>
        <v>35.210804831415317</v>
      </c>
      <c r="V96" s="195">
        <f t="shared" si="14"/>
        <v>24.045746236620744</v>
      </c>
      <c r="W96" s="195">
        <f t="shared" si="14"/>
        <v>34.691594006410014</v>
      </c>
      <c r="X96" s="195">
        <f t="shared" si="17"/>
        <v>93.948145074446074</v>
      </c>
      <c r="Y96" s="207">
        <f t="shared" si="16"/>
        <v>0.37478978220925691</v>
      </c>
      <c r="AC96" s="251">
        <f t="shared" si="15"/>
        <v>1.2212296858191796</v>
      </c>
    </row>
    <row r="97" spans="1:29" ht="15.6" x14ac:dyDescent="0.3">
      <c r="A97" s="206">
        <v>2026</v>
      </c>
      <c r="B97" s="253">
        <f>(B149/Population_Tables!O15)*Population_Tables!C15</f>
        <v>13244.997578483086</v>
      </c>
      <c r="C97" s="253">
        <f>(C149/Population_Tables!P15)*Population_Tables!D15</f>
        <v>3245.8708465434911</v>
      </c>
      <c r="D97" s="253">
        <f>(D149/Population_Tables!Q15)*Population_Tables!E15</f>
        <v>625.82965628746877</v>
      </c>
      <c r="E97" s="253">
        <f>(E149/Population_Tables!R15)*Population_Tables!F15</f>
        <v>5344.0167699889216</v>
      </c>
      <c r="F97" s="253">
        <f>(F149/Population_Tables!S15)*Population_Tables!G15</f>
        <v>1451.8822415401123</v>
      </c>
      <c r="G97" s="253">
        <f>(G149/Population_Tables!T15)*Population_Tables!H15</f>
        <v>536.1856974371052</v>
      </c>
      <c r="H97" s="253">
        <f>(H149/Population_Tables!U15)*Population_Tables!I15</f>
        <v>3373.8145245671976</v>
      </c>
      <c r="I97" s="253">
        <f>(I149/Population_Tables!V15)*Population_Tables!J15</f>
        <v>1232.4574364359896</v>
      </c>
      <c r="J97" s="253">
        <f>(J149/Population_Tables!W15)*Population_Tables!K15</f>
        <v>1278.3752597246864</v>
      </c>
      <c r="K97" s="253">
        <f>(K149/Population_Tables!X15)*Population_Tables!L15</f>
        <v>1414.5873828873248</v>
      </c>
      <c r="L97" s="170"/>
      <c r="M97" s="170"/>
      <c r="N97" s="195">
        <f t="shared" si="9"/>
        <v>3422.0844869618368</v>
      </c>
      <c r="O97" s="195">
        <f t="shared" si="11"/>
        <v>3373.8145245671976</v>
      </c>
      <c r="P97" s="195">
        <f t="shared" si="10"/>
        <v>4407.8862002680653</v>
      </c>
      <c r="Q97" s="195">
        <f t="shared" si="12"/>
        <v>11203.7852117971</v>
      </c>
      <c r="R97" s="196">
        <f t="shared" si="13"/>
        <v>0.30544002962128641</v>
      </c>
      <c r="S97" s="170"/>
      <c r="T97" s="170"/>
      <c r="U97" s="195">
        <f>N97-N149</f>
        <v>46.22491913943486</v>
      </c>
      <c r="V97" s="195">
        <f t="shared" si="14"/>
        <v>30.787143037162423</v>
      </c>
      <c r="W97" s="195">
        <f t="shared" si="14"/>
        <v>44.411295587186032</v>
      </c>
      <c r="X97" s="195">
        <f t="shared" si="17"/>
        <v>121.42335776378332</v>
      </c>
      <c r="Y97" s="207">
        <f t="shared" si="16"/>
        <v>0.38069215009982427</v>
      </c>
      <c r="AC97" s="251">
        <f t="shared" si="15"/>
        <v>1.220464474513135</v>
      </c>
    </row>
    <row r="98" spans="1:29" ht="15.6" x14ac:dyDescent="0.3">
      <c r="A98" s="206">
        <v>2027</v>
      </c>
      <c r="B98" s="253">
        <f>(B150/Population_Tables!O16)*Population_Tables!C16</f>
        <v>13496.277976710735</v>
      </c>
      <c r="C98" s="253">
        <f>(C150/Population_Tables!P16)*Population_Tables!D16</f>
        <v>3272.8972519878221</v>
      </c>
      <c r="D98" s="253">
        <f>(D150/Population_Tables!Q16)*Population_Tables!E16</f>
        <v>631.89954885404745</v>
      </c>
      <c r="E98" s="253">
        <f>(E150/Population_Tables!R16)*Population_Tables!F16</f>
        <v>5466.7663154162283</v>
      </c>
      <c r="F98" s="253">
        <f>(F150/Population_Tables!S16)*Population_Tables!G16</f>
        <v>1493.585830716424</v>
      </c>
      <c r="G98" s="253">
        <f>(G150/Population_Tables!T16)*Population_Tables!H16</f>
        <v>545.96620353743663</v>
      </c>
      <c r="H98" s="253">
        <f>(H150/Population_Tables!U16)*Population_Tables!I16</f>
        <v>3423.0780952523842</v>
      </c>
      <c r="I98" s="253">
        <f>(I150/Population_Tables!V16)*Population_Tables!J16</f>
        <v>1281.9916068267974</v>
      </c>
      <c r="J98" s="253">
        <f>(J150/Population_Tables!W16)*Population_Tables!K16</f>
        <v>1286.1229226951148</v>
      </c>
      <c r="K98" s="253">
        <f>(K150/Population_Tables!X16)*Population_Tables!L16</f>
        <v>1429.6914820938885</v>
      </c>
      <c r="L98" s="170"/>
      <c r="M98" s="170"/>
      <c r="N98" s="195">
        <f t="shared" si="9"/>
        <v>3537.2740508802685</v>
      </c>
      <c r="O98" s="195">
        <f t="shared" si="11"/>
        <v>3423.0780952523842</v>
      </c>
      <c r="P98" s="195">
        <f t="shared" si="10"/>
        <v>4450.763004379306</v>
      </c>
      <c r="Q98" s="195">
        <f t="shared" si="12"/>
        <v>11411.115150511958</v>
      </c>
      <c r="R98" s="196">
        <f t="shared" si="13"/>
        <v>0.30998495801889875</v>
      </c>
      <c r="S98" s="170"/>
      <c r="T98" s="170"/>
      <c r="U98" s="195">
        <f t="shared" si="18"/>
        <v>58.467624676794003</v>
      </c>
      <c r="V98" s="195">
        <f t="shared" si="14"/>
        <v>38.080020090221296</v>
      </c>
      <c r="W98" s="195">
        <f t="shared" si="14"/>
        <v>54.937285048125887</v>
      </c>
      <c r="X98" s="195">
        <f t="shared" si="17"/>
        <v>151.48492981514119</v>
      </c>
      <c r="Y98" s="207">
        <f t="shared" si="16"/>
        <v>0.38596330835115228</v>
      </c>
      <c r="AC98" s="251">
        <f t="shared" si="15"/>
        <v>1.2200915467794637</v>
      </c>
    </row>
    <row r="99" spans="1:29" ht="15.6" x14ac:dyDescent="0.3">
      <c r="A99" s="206">
        <v>2028</v>
      </c>
      <c r="B99" s="253">
        <f>(B151/Population_Tables!O17)*Population_Tables!C17</f>
        <v>13752.734368916894</v>
      </c>
      <c r="C99" s="253">
        <f>(C151/Population_Tables!P17)*Population_Tables!D17</f>
        <v>3300.2605916830789</v>
      </c>
      <c r="D99" s="253">
        <f>(D151/Population_Tables!Q17)*Population_Tables!E17</f>
        <v>638.05787988147324</v>
      </c>
      <c r="E99" s="253">
        <f>(E151/Population_Tables!R17)*Population_Tables!F17</f>
        <v>5592.1742233474242</v>
      </c>
      <c r="F99" s="253">
        <f>(F151/Population_Tables!S17)*Population_Tables!G17</f>
        <v>1536.5215884696431</v>
      </c>
      <c r="G99" s="253">
        <f>(G151/Population_Tables!T17)*Population_Tables!H17</f>
        <v>555.92569979388054</v>
      </c>
      <c r="H99" s="253">
        <f>(H151/Population_Tables!U17)*Population_Tables!I17</f>
        <v>3472.1154022971059</v>
      </c>
      <c r="I99" s="253">
        <f>(I151/Population_Tables!V17)*Population_Tables!J17</f>
        <v>1333.5496103553071</v>
      </c>
      <c r="J99" s="253">
        <f>(J151/Population_Tables!W17)*Population_Tables!K17</f>
        <v>1293.9498453185963</v>
      </c>
      <c r="K99" s="253">
        <f>(K151/Population_Tables!X17)*Population_Tables!L17</f>
        <v>1445.0145300860274</v>
      </c>
      <c r="L99" s="170"/>
      <c r="M99" s="170"/>
      <c r="N99" s="195">
        <f t="shared" si="9"/>
        <v>3656.5804095199619</v>
      </c>
      <c r="O99" s="195">
        <f t="shared" si="11"/>
        <v>3472.1154022971059</v>
      </c>
      <c r="P99" s="195">
        <f t="shared" si="10"/>
        <v>4494.2441713584321</v>
      </c>
      <c r="Q99" s="195">
        <f t="shared" si="12"/>
        <v>11622.9399831755</v>
      </c>
      <c r="R99" s="196">
        <f t="shared" si="13"/>
        <v>0.31460030033820657</v>
      </c>
      <c r="S99" s="170"/>
      <c r="T99" s="170"/>
      <c r="U99" s="195">
        <f t="shared" si="18"/>
        <v>71.976830151806098</v>
      </c>
      <c r="V99" s="195">
        <f t="shared" si="14"/>
        <v>45.930735464432473</v>
      </c>
      <c r="W99" s="195">
        <f t="shared" si="14"/>
        <v>66.252083713445245</v>
      </c>
      <c r="X99" s="195">
        <f t="shared" si="17"/>
        <v>184.15964932968382</v>
      </c>
      <c r="Y99" s="207">
        <f t="shared" si="16"/>
        <v>0.39083930933726257</v>
      </c>
      <c r="AC99" s="251">
        <f t="shared" si="15"/>
        <v>1.219828559264045</v>
      </c>
    </row>
    <row r="100" spans="1:29" ht="15.6" x14ac:dyDescent="0.3">
      <c r="A100" s="206">
        <v>2029</v>
      </c>
      <c r="B100" s="253">
        <f>(B152/Population_Tables!O18)*Population_Tables!C18</f>
        <v>14014.460615058963</v>
      </c>
      <c r="C100" s="253">
        <f>(C152/Population_Tables!P18)*Population_Tables!D18</f>
        <v>3327.9479227345078</v>
      </c>
      <c r="D100" s="253">
        <f>(D152/Population_Tables!Q18)*Population_Tables!E18</f>
        <v>644.30621070278482</v>
      </c>
      <c r="E100" s="253">
        <f>(E152/Population_Tables!R18)*Population_Tables!F18</f>
        <v>5720.3194349324076</v>
      </c>
      <c r="F100" s="253">
        <f>(F152/Population_Tables!S18)*Population_Tables!G18</f>
        <v>1580.7391945394013</v>
      </c>
      <c r="G100" s="253">
        <f>(G152/Population_Tables!T18)*Population_Tables!H18</f>
        <v>566.04808332201981</v>
      </c>
      <c r="H100" s="253">
        <f>(H152/Population_Tables!U18)*Population_Tables!I18</f>
        <v>3520.9789107511683</v>
      </c>
      <c r="I100" s="253">
        <f>(I152/Population_Tables!V18)*Population_Tables!J18</f>
        <v>1387.1678340421556</v>
      </c>
      <c r="J100" s="253">
        <f>(J152/Population_Tables!W18)*Population_Tables!K18</f>
        <v>1301.864937208195</v>
      </c>
      <c r="K100" s="253">
        <f>(K152/Population_Tables!X18)*Population_Tables!L18</f>
        <v>1460.5638379512307</v>
      </c>
      <c r="L100" s="170"/>
      <c r="M100" s="170"/>
      <c r="N100" s="195">
        <f t="shared" si="9"/>
        <v>3780.0797187206404</v>
      </c>
      <c r="O100" s="195">
        <f t="shared" si="11"/>
        <v>3520.9789107511683</v>
      </c>
      <c r="P100" s="195">
        <f t="shared" si="10"/>
        <v>4538.3022167593126</v>
      </c>
      <c r="Q100" s="195">
        <f t="shared" si="12"/>
        <v>11839.36084623112</v>
      </c>
      <c r="R100" s="196">
        <f t="shared" si="13"/>
        <v>0.31928072535469437</v>
      </c>
      <c r="S100" s="170"/>
      <c r="T100" s="170"/>
      <c r="U100" s="195">
        <f t="shared" si="18"/>
        <v>86.819270431373297</v>
      </c>
      <c r="V100" s="195">
        <f t="shared" si="14"/>
        <v>54.363099310078724</v>
      </c>
      <c r="W100" s="195">
        <f t="shared" si="14"/>
        <v>78.345567881430725</v>
      </c>
      <c r="X100" s="195">
        <f t="shared" si="17"/>
        <v>219.52793762288275</v>
      </c>
      <c r="Y100" s="207">
        <f t="shared" si="16"/>
        <v>0.39548164744532993</v>
      </c>
      <c r="AC100" s="251">
        <f t="shared" si="15"/>
        <v>1.219459411930111</v>
      </c>
    </row>
    <row r="101" spans="1:29" ht="15.6" x14ac:dyDescent="0.3">
      <c r="A101" s="206">
        <v>2030</v>
      </c>
      <c r="B101" s="253">
        <f>(B153/Population_Tables!O19)*Population_Tables!C19</f>
        <v>14286.132564361684</v>
      </c>
      <c r="C101" s="253">
        <f>(C153/Population_Tables!P19)*Population_Tables!D19</f>
        <v>3356.0361946270536</v>
      </c>
      <c r="D101" s="253">
        <f>(D153/Population_Tables!Q19)*Population_Tables!E19</f>
        <v>650.28804400404761</v>
      </c>
      <c r="E101" s="253">
        <f>(E153/Population_Tables!R19)*Population_Tables!F19</f>
        <v>5854.0999926570421</v>
      </c>
      <c r="F101" s="253">
        <f>(F153/Population_Tables!S19)*Population_Tables!G19</f>
        <v>1625.6837217478344</v>
      </c>
      <c r="G101" s="253">
        <f>(G153/Population_Tables!T19)*Population_Tables!H19</f>
        <v>576.31781756475232</v>
      </c>
      <c r="H101" s="253">
        <f>(H153/Population_Tables!U19)*Population_Tables!I19</f>
        <v>3572.1977341558309</v>
      </c>
      <c r="I101" s="253">
        <f>(I153/Population_Tables!V19)*Population_Tables!J19</f>
        <v>1442.163934687341</v>
      </c>
      <c r="J101" s="253">
        <f>(J153/Population_Tables!W19)*Population_Tables!K19</f>
        <v>1310.2819813803831</v>
      </c>
      <c r="K101" s="253">
        <f>(K153/Population_Tables!X19)*Population_Tables!L19</f>
        <v>1476.2416558326274</v>
      </c>
      <c r="L101" s="170"/>
      <c r="M101" s="170"/>
      <c r="N101" s="195">
        <f t="shared" si="9"/>
        <v>3907.5859802490454</v>
      </c>
      <c r="O101" s="195">
        <f t="shared" si="11"/>
        <v>3572.1977341558309</v>
      </c>
      <c r="P101" s="195">
        <f t="shared" si="10"/>
        <v>4582.6420561958539</v>
      </c>
      <c r="Q101" s="195">
        <f t="shared" si="12"/>
        <v>12062.42577060073</v>
      </c>
      <c r="R101" s="196">
        <f t="shared" si="13"/>
        <v>0.32394694521336237</v>
      </c>
      <c r="S101" s="170"/>
      <c r="T101" s="170"/>
      <c r="U101" s="195">
        <f t="shared" si="18"/>
        <v>103.07275929080015</v>
      </c>
      <c r="V101" s="195">
        <f t="shared" si="14"/>
        <v>63.442824268515778</v>
      </c>
      <c r="W101" s="195">
        <f t="shared" si="14"/>
        <v>91.205513016922851</v>
      </c>
      <c r="X101" s="195">
        <f t="shared" si="17"/>
        <v>257.72109657623878</v>
      </c>
      <c r="Y101" s="207">
        <f t="shared" si="16"/>
        <v>0.39993916159793025</v>
      </c>
      <c r="AC101" s="251">
        <f t="shared" si="15"/>
        <v>1.2190832053693628</v>
      </c>
    </row>
    <row r="102" spans="1:29" ht="15.6" x14ac:dyDescent="0.3">
      <c r="A102" s="206">
        <v>2031</v>
      </c>
      <c r="B102" s="253">
        <f>(B154/Population_Tables!O20)*Population_Tables!C20</f>
        <v>14554.058902139855</v>
      </c>
      <c r="C102" s="253">
        <f>(C154/Population_Tables!P20)*Population_Tables!D20</f>
        <v>3384.2381142528238</v>
      </c>
      <c r="D102" s="253">
        <f>(D154/Population_Tables!Q20)*Population_Tables!E20</f>
        <v>657.08873172267192</v>
      </c>
      <c r="E102" s="253">
        <f>(E154/Population_Tables!R20)*Population_Tables!F20</f>
        <v>5985.0459432290181</v>
      </c>
      <c r="F102" s="253">
        <f>(F154/Population_Tables!S20)*Population_Tables!G20</f>
        <v>1673.2302776725778</v>
      </c>
      <c r="G102" s="253">
        <f>(G154/Population_Tables!T20)*Population_Tables!H20</f>
        <v>586.74210696855573</v>
      </c>
      <c r="H102" s="253">
        <f>(H154/Population_Tables!U20)*Population_Tables!I20</f>
        <v>3618.3418747040887</v>
      </c>
      <c r="I102" s="253">
        <f>(I154/Population_Tables!V20)*Population_Tables!J20</f>
        <v>1500.7114484106612</v>
      </c>
      <c r="J102" s="253">
        <f>(J154/Population_Tables!W20)*Population_Tables!K20</f>
        <v>1317.9776557898695</v>
      </c>
      <c r="K102" s="253">
        <f>(K154/Population_Tables!X20)*Population_Tables!L20</f>
        <v>1492.3466108018956</v>
      </c>
      <c r="L102" s="170"/>
      <c r="M102" s="170"/>
      <c r="N102" s="195">
        <f t="shared" si="9"/>
        <v>4039.9343461975077</v>
      </c>
      <c r="O102" s="195">
        <f t="shared" si="11"/>
        <v>3618.3418747040887</v>
      </c>
      <c r="P102" s="195">
        <f t="shared" si="10"/>
        <v>4628.0689529440515</v>
      </c>
      <c r="Q102" s="195">
        <f t="shared" si="12"/>
        <v>12286.345173845648</v>
      </c>
      <c r="R102" s="196">
        <f t="shared" si="13"/>
        <v>0.3288149802918976</v>
      </c>
      <c r="S102" s="170"/>
      <c r="T102" s="170"/>
      <c r="U102" s="195">
        <f t="shared" si="18"/>
        <v>120.74787844678121</v>
      </c>
      <c r="V102" s="195">
        <f t="shared" si="14"/>
        <v>73.034469109807105</v>
      </c>
      <c r="W102" s="195">
        <f t="shared" si="14"/>
        <v>104.8288270617395</v>
      </c>
      <c r="X102" s="195">
        <f t="shared" si="17"/>
        <v>298.61117461832782</v>
      </c>
      <c r="Y102" s="207">
        <f t="shared" si="16"/>
        <v>0.40436490228845606</v>
      </c>
      <c r="AC102" s="251">
        <f t="shared" si="15"/>
        <v>1.2182494068857255</v>
      </c>
    </row>
    <row r="103" spans="1:29" ht="15.6" x14ac:dyDescent="0.3">
      <c r="A103" s="206">
        <v>2032</v>
      </c>
      <c r="B103" s="253">
        <f>(B155/Population_Tables!O21)*Population_Tables!C21</f>
        <v>14831.762936631814</v>
      </c>
      <c r="C103" s="253">
        <f>(C155/Population_Tables!P21)*Population_Tables!D21</f>
        <v>3412.7521946183592</v>
      </c>
      <c r="D103" s="253">
        <f>(D155/Population_Tables!Q21)*Population_Tables!E21</f>
        <v>663.62861886697306</v>
      </c>
      <c r="E103" s="253">
        <f>(E155/Population_Tables!R21)*Population_Tables!F21</f>
        <v>6121.5115564420848</v>
      </c>
      <c r="F103" s="253">
        <f>(F155/Population_Tables!S21)*Population_Tables!G21</f>
        <v>1721.5856083102151</v>
      </c>
      <c r="G103" s="253">
        <f>(G155/Population_Tables!T21)*Population_Tables!H21</f>
        <v>597.30807721983831</v>
      </c>
      <c r="H103" s="253">
        <f>(H155/Population_Tables!U21)*Population_Tables!I21</f>
        <v>3666.8209659016493</v>
      </c>
      <c r="I103" s="253">
        <f>(I155/Population_Tables!V21)*Population_Tables!J21</f>
        <v>1560.6228003497811</v>
      </c>
      <c r="J103" s="253">
        <f>(J155/Population_Tables!W21)*Population_Tables!K21</f>
        <v>1326.1488661321193</v>
      </c>
      <c r="K103" s="253">
        <f>(K155/Population_Tables!X21)*Population_Tables!L21</f>
        <v>1508.533755358497</v>
      </c>
      <c r="L103" s="170"/>
      <c r="M103" s="170"/>
      <c r="N103" s="195">
        <f t="shared" si="9"/>
        <v>4176.2761988506509</v>
      </c>
      <c r="O103" s="195">
        <f t="shared" si="11"/>
        <v>3666.8209659016493</v>
      </c>
      <c r="P103" s="195">
        <f t="shared" si="10"/>
        <v>4673.6888907051707</v>
      </c>
      <c r="Q103" s="195">
        <f t="shared" si="12"/>
        <v>12516.786055457473</v>
      </c>
      <c r="R103" s="196">
        <f t="shared" si="13"/>
        <v>0.33365403709442992</v>
      </c>
      <c r="S103" s="170"/>
      <c r="T103" s="170"/>
      <c r="U103" s="195">
        <f t="shared" si="18"/>
        <v>139.80673328498551</v>
      </c>
      <c r="V103" s="195">
        <f t="shared" si="14"/>
        <v>83.220171967410806</v>
      </c>
      <c r="W103" s="195">
        <f t="shared" si="14"/>
        <v>119.12628965910972</v>
      </c>
      <c r="X103" s="195">
        <f t="shared" si="17"/>
        <v>342.15319491150603</v>
      </c>
      <c r="Y103" s="207">
        <f t="shared" si="16"/>
        <v>0.40860858634140451</v>
      </c>
      <c r="AC103" s="251">
        <f t="shared" si="15"/>
        <v>1.2175475896754291</v>
      </c>
    </row>
    <row r="104" spans="1:29" ht="15.6" x14ac:dyDescent="0.3">
      <c r="A104" s="206">
        <v>2033</v>
      </c>
      <c r="B104" s="253">
        <f>(B156/Population_Tables!O22)*Population_Tables!C22</f>
        <v>15114.115270363074</v>
      </c>
      <c r="C104" s="253">
        <f>(C156/Population_Tables!P22)*Population_Tables!D22</f>
        <v>3441.3545109864722</v>
      </c>
      <c r="D104" s="253">
        <f>(D156/Population_Tables!Q22)*Population_Tables!E22</f>
        <v>670.26018052421955</v>
      </c>
      <c r="E104" s="253">
        <f>(E156/Population_Tables!R22)*Population_Tables!F22</f>
        <v>6260.4202692566487</v>
      </c>
      <c r="F104" s="253">
        <f>(F156/Population_Tables!S22)*Population_Tables!G22</f>
        <v>1771.338220617047</v>
      </c>
      <c r="G104" s="253">
        <f>(G156/Population_Tables!T22)*Population_Tables!H22</f>
        <v>607.99235616726287</v>
      </c>
      <c r="H104" s="253">
        <f>(H156/Population_Tables!U22)*Population_Tables!I22</f>
        <v>3715.0715106292173</v>
      </c>
      <c r="I104" s="253">
        <f>(I156/Population_Tables!V22)*Population_Tables!J22</f>
        <v>1622.5456133393611</v>
      </c>
      <c r="J104" s="253">
        <f>(J156/Population_Tables!W22)*Population_Tables!K22</f>
        <v>1334.3471327872176</v>
      </c>
      <c r="K104" s="253">
        <f>(K156/Population_Tables!X22)*Population_Tables!L22</f>
        <v>1524.8491432428657</v>
      </c>
      <c r="L104" s="170"/>
      <c r="M104" s="170"/>
      <c r="N104" s="195">
        <f t="shared" si="9"/>
        <v>4316.6869792444786</v>
      </c>
      <c r="O104" s="195">
        <f t="shared" si="11"/>
        <v>3715.0715106292173</v>
      </c>
      <c r="P104" s="195">
        <f t="shared" si="10"/>
        <v>4719.6070476779551</v>
      </c>
      <c r="Q104" s="195">
        <f t="shared" si="12"/>
        <v>12751.365537551652</v>
      </c>
      <c r="R104" s="196">
        <f t="shared" si="13"/>
        <v>0.33852742802582314</v>
      </c>
      <c r="S104" s="170"/>
      <c r="T104" s="170"/>
      <c r="U104" s="195">
        <f t="shared" si="18"/>
        <v>160.05313288427988</v>
      </c>
      <c r="V104" s="195">
        <f t="shared" si="14"/>
        <v>93.846892974890579</v>
      </c>
      <c r="W104" s="195">
        <f t="shared" si="14"/>
        <v>133.93767707867028</v>
      </c>
      <c r="X104" s="195">
        <f t="shared" si="17"/>
        <v>387.83770293784073</v>
      </c>
      <c r="Y104" s="207">
        <f t="shared" si="16"/>
        <v>0.41268069522867357</v>
      </c>
      <c r="AC104" s="251">
        <f t="shared" si="15"/>
        <v>1.2167812996304477</v>
      </c>
    </row>
    <row r="105" spans="1:29" ht="15.6" x14ac:dyDescent="0.3">
      <c r="A105" s="206">
        <v>2034</v>
      </c>
      <c r="B105" s="253">
        <f>(B157/Population_Tables!O23)*Population_Tables!C23</f>
        <v>15400.361347242435</v>
      </c>
      <c r="C105" s="253">
        <f>(C157/Population_Tables!P23)*Population_Tables!D23</f>
        <v>3469.8718095117147</v>
      </c>
      <c r="D105" s="253">
        <f>(D157/Population_Tables!Q23)*Population_Tables!E23</f>
        <v>676.97111868069521</v>
      </c>
      <c r="E105" s="253">
        <f>(E157/Population_Tables!R23)*Population_Tables!F23</f>
        <v>6401.4247215026944</v>
      </c>
      <c r="F105" s="253">
        <f>(F157/Population_Tables!S23)*Population_Tables!G23</f>
        <v>1822.4464353232072</v>
      </c>
      <c r="G105" s="253">
        <f>(G157/Population_Tables!T23)*Population_Tables!H23</f>
        <v>618.76073034846183</v>
      </c>
      <c r="H105" s="253">
        <f>(H157/Population_Tables!U23)*Population_Tables!I23</f>
        <v>3762.9748608090072</v>
      </c>
      <c r="I105" s="253">
        <f>(I157/Population_Tables!V23)*Population_Tables!J23</f>
        <v>1686.3718478286007</v>
      </c>
      <c r="J105" s="253">
        <f>(J157/Population_Tables!W23)*Population_Tables!K23</f>
        <v>1342.5164462450985</v>
      </c>
      <c r="K105" s="253">
        <f>(K157/Population_Tables!X23)*Population_Tables!L23</f>
        <v>1541.2202057971622</v>
      </c>
      <c r="L105" s="170"/>
      <c r="M105" s="170"/>
      <c r="N105" s="195">
        <f t="shared" si="9"/>
        <v>4460.8962960168956</v>
      </c>
      <c r="O105" s="195">
        <f t="shared" si="11"/>
        <v>3762.9748608090072</v>
      </c>
      <c r="P105" s="195">
        <f t="shared" si="10"/>
        <v>4765.6036585408719</v>
      </c>
      <c r="Q105" s="195">
        <f t="shared" si="12"/>
        <v>12989.474815366773</v>
      </c>
      <c r="R105" s="196">
        <f t="shared" si="13"/>
        <v>0.34342391508697317</v>
      </c>
      <c r="S105" s="170"/>
      <c r="T105" s="170"/>
      <c r="U105" s="195">
        <f t="shared" si="18"/>
        <v>181.21981003048222</v>
      </c>
      <c r="V105" s="195">
        <f t="shared" si="14"/>
        <v>104.76708411920981</v>
      </c>
      <c r="W105" s="195">
        <f t="shared" si="14"/>
        <v>149.04785601807998</v>
      </c>
      <c r="X105" s="195">
        <f t="shared" si="17"/>
        <v>435.03475016777202</v>
      </c>
      <c r="Y105" s="207">
        <f t="shared" si="16"/>
        <v>0.41656398703918351</v>
      </c>
      <c r="AC105" s="251">
        <f t="shared" si="15"/>
        <v>1.2159414845306784</v>
      </c>
    </row>
    <row r="106" spans="1:29" ht="15.6" x14ac:dyDescent="0.3">
      <c r="A106" s="206">
        <v>2035</v>
      </c>
      <c r="B106" s="253">
        <f>(B158/Population_Tables!O24)*Population_Tables!C24</f>
        <v>15689.949539014828</v>
      </c>
      <c r="C106" s="253">
        <f>(C158/Population_Tables!P24)*Population_Tables!D24</f>
        <v>3498.1710118034575</v>
      </c>
      <c r="D106" s="253">
        <f>(D158/Population_Tables!Q24)*Population_Tables!E24</f>
        <v>683.75359285854177</v>
      </c>
      <c r="E106" s="253">
        <f>(E158/Population_Tables!R24)*Population_Tables!F24</f>
        <v>6544.2592684439151</v>
      </c>
      <c r="F106" s="253">
        <f>(F158/Population_Tables!S24)*Population_Tables!G24</f>
        <v>1874.8936321861256</v>
      </c>
      <c r="G106" s="253">
        <f>(G158/Population_Tables!T24)*Population_Tables!H24</f>
        <v>629.58736266143728</v>
      </c>
      <c r="H106" s="253">
        <f>(H158/Population_Tables!U24)*Population_Tables!I24</f>
        <v>3810.4407014853205</v>
      </c>
      <c r="I106" s="253">
        <f>(I158/Population_Tables!V24)*Population_Tables!J24</f>
        <v>1752.0160180621187</v>
      </c>
      <c r="J106" s="253">
        <f>(J158/Population_Tables!W24)*Population_Tables!K24</f>
        <v>1350.6141800224873</v>
      </c>
      <c r="K106" s="253">
        <f>(K158/Population_Tables!X24)*Population_Tables!L24</f>
        <v>1557.5918633421668</v>
      </c>
      <c r="L106" s="170"/>
      <c r="M106" s="170"/>
      <c r="N106" s="195">
        <f t="shared" si="9"/>
        <v>4608.7121991447202</v>
      </c>
      <c r="O106" s="195">
        <f t="shared" si="11"/>
        <v>3810.4407014853205</v>
      </c>
      <c r="P106" s="195">
        <f t="shared" si="10"/>
        <v>4811.5119673234367</v>
      </c>
      <c r="Q106" s="195">
        <f t="shared" si="12"/>
        <v>13230.664867953477</v>
      </c>
      <c r="R106" s="196">
        <f t="shared" si="13"/>
        <v>0.34833564640486558</v>
      </c>
      <c r="S106" s="170"/>
      <c r="T106" s="170"/>
      <c r="U106" s="195">
        <f t="shared" si="18"/>
        <v>203.11457687828079</v>
      </c>
      <c r="V106" s="195">
        <f t="shared" si="14"/>
        <v>115.86661400921457</v>
      </c>
      <c r="W106" s="195">
        <f t="shared" si="14"/>
        <v>164.29334782793285</v>
      </c>
      <c r="X106" s="195">
        <f t="shared" si="17"/>
        <v>483.27453871542821</v>
      </c>
      <c r="Y106" s="207">
        <f t="shared" si="16"/>
        <v>0.42028818116131489</v>
      </c>
      <c r="AC106" s="251">
        <f t="shared" si="15"/>
        <v>1.2150454082604025</v>
      </c>
    </row>
    <row r="107" spans="1:29" ht="15.6" x14ac:dyDescent="0.3">
      <c r="A107" s="206">
        <v>2036</v>
      </c>
      <c r="B107" s="253">
        <f>(B159/Population_Tables!O25)*Population_Tables!C25</f>
        <v>15982.656164246438</v>
      </c>
      <c r="C107" s="253">
        <f>(C159/Population_Tables!P25)*Population_Tables!D25</f>
        <v>3526.1821302671783</v>
      </c>
      <c r="D107" s="253">
        <f>(D159/Population_Tables!Q25)*Population_Tables!E25</f>
        <v>690.60428429750959</v>
      </c>
      <c r="E107" s="253">
        <f>(E159/Population_Tables!R25)*Population_Tables!F25</f>
        <v>6688.7992365149958</v>
      </c>
      <c r="F107" s="253">
        <f>(F159/Population_Tables!S25)*Population_Tables!G25</f>
        <v>1928.704347142628</v>
      </c>
      <c r="G107" s="253">
        <f>(G159/Population_Tables!T25)*Population_Tables!H25</f>
        <v>640.45922097934329</v>
      </c>
      <c r="H107" s="253">
        <f>(H159/Population_Tables!U25)*Population_Tables!I25</f>
        <v>3857.4290923710851</v>
      </c>
      <c r="I107" s="253">
        <f>(I159/Population_Tables!V25)*Population_Tables!J25</f>
        <v>1819.440576889551</v>
      </c>
      <c r="J107" s="253">
        <f>(J159/Population_Tables!W25)*Population_Tables!K25</f>
        <v>1358.6176265024221</v>
      </c>
      <c r="K107" s="253">
        <f>(K159/Population_Tables!X25)*Population_Tables!L25</f>
        <v>1573.9383134550203</v>
      </c>
      <c r="L107" s="170"/>
      <c r="M107" s="170"/>
      <c r="N107" s="195">
        <f t="shared" si="9"/>
        <v>4760.0744912865393</v>
      </c>
      <c r="O107" s="195">
        <f t="shared" si="11"/>
        <v>3857.4290923710851</v>
      </c>
      <c r="P107" s="195">
        <f t="shared" si="10"/>
        <v>4857.2456355440318</v>
      </c>
      <c r="Q107" s="195">
        <f t="shared" si="12"/>
        <v>13474.749219201656</v>
      </c>
      <c r="R107" s="196">
        <f t="shared" si="13"/>
        <v>0.35325885579401983</v>
      </c>
      <c r="S107" s="170"/>
      <c r="T107" s="170"/>
      <c r="U107" s="195">
        <f t="shared" si="18"/>
        <v>225.67373851002594</v>
      </c>
      <c r="V107" s="195">
        <f t="shared" si="14"/>
        <v>127.08862960081933</v>
      </c>
      <c r="W107" s="195">
        <f t="shared" si="14"/>
        <v>179.59094739008833</v>
      </c>
      <c r="X107" s="195">
        <f t="shared" si="17"/>
        <v>532.3533155009336</v>
      </c>
      <c r="Y107" s="207">
        <f t="shared" si="16"/>
        <v>0.42391722177530078</v>
      </c>
      <c r="AC107" s="251">
        <f t="shared" si="15"/>
        <v>1.214126047963122</v>
      </c>
    </row>
    <row r="108" spans="1:29" ht="15.6" x14ac:dyDescent="0.3">
      <c r="A108" s="206">
        <v>2037</v>
      </c>
      <c r="B108" s="253">
        <f>(B160/Population_Tables!O26)*Population_Tables!C26</f>
        <v>16278.636516386436</v>
      </c>
      <c r="C108" s="253">
        <f>(C160/Population_Tables!P26)*Population_Tables!D26</f>
        <v>3553.9077898134251</v>
      </c>
      <c r="D108" s="253">
        <f>(D160/Population_Tables!Q26)*Population_Tables!E26</f>
        <v>697.53112818909244</v>
      </c>
      <c r="E108" s="253">
        <f>(E160/Population_Tables!R26)*Population_Tables!F26</f>
        <v>6835.0877999531458</v>
      </c>
      <c r="F108" s="253">
        <f>(F160/Population_Tables!S26)*Population_Tables!G26</f>
        <v>1983.9465303418369</v>
      </c>
      <c r="G108" s="253">
        <f>(G160/Population_Tables!T26)*Population_Tables!H26</f>
        <v>651.37941699470491</v>
      </c>
      <c r="H108" s="253">
        <f>(H160/Population_Tables!U26)*Population_Tables!I26</f>
        <v>3903.9602304991436</v>
      </c>
      <c r="I108" s="253">
        <f>(I160/Population_Tables!V26)*Population_Tables!J26</f>
        <v>1888.6622543629146</v>
      </c>
      <c r="J108" s="253">
        <f>(J160/Population_Tables!W26)*Population_Tables!K26</f>
        <v>1366.5297871690159</v>
      </c>
      <c r="K108" s="253">
        <f>(K160/Population_Tables!X26)*Population_Tables!L26</f>
        <v>1590.2627672442945</v>
      </c>
      <c r="L108" s="170"/>
      <c r="M108" s="170"/>
      <c r="N108" s="195">
        <f t="shared" si="9"/>
        <v>4915.0740997958383</v>
      </c>
      <c r="O108" s="195">
        <f t="shared" si="11"/>
        <v>3903.9602304991436</v>
      </c>
      <c r="P108" s="195">
        <f t="shared" si="10"/>
        <v>4902.8183349972223</v>
      </c>
      <c r="Q108" s="195">
        <f t="shared" si="12"/>
        <v>13721.852665292205</v>
      </c>
      <c r="R108" s="196">
        <f t="shared" si="13"/>
        <v>0.35819318423582364</v>
      </c>
      <c r="S108" s="170"/>
      <c r="T108" s="170"/>
      <c r="U108" s="195">
        <f t="shared" si="18"/>
        <v>248.97716292422592</v>
      </c>
      <c r="V108" s="195">
        <f t="shared" si="14"/>
        <v>138.44507372842691</v>
      </c>
      <c r="W108" s="195">
        <f t="shared" si="14"/>
        <v>194.95372847840008</v>
      </c>
      <c r="X108" s="195">
        <f t="shared" si="17"/>
        <v>582.37596513105291</v>
      </c>
      <c r="Y108" s="207">
        <f t="shared" si="16"/>
        <v>0.42751963994289882</v>
      </c>
      <c r="AC108" s="251">
        <f t="shared" si="15"/>
        <v>1.2132190731645929</v>
      </c>
    </row>
    <row r="109" spans="1:29" ht="15.6" x14ac:dyDescent="0.3">
      <c r="A109" s="206">
        <v>2038</v>
      </c>
      <c r="B109" s="253">
        <f>(B161/Population_Tables!O27)*Population_Tables!C27</f>
        <v>16578.199472702614</v>
      </c>
      <c r="C109" s="253">
        <f>(C161/Population_Tables!P27)*Population_Tables!D27</f>
        <v>3581.3799609429998</v>
      </c>
      <c r="D109" s="253">
        <f>(D161/Population_Tables!Q27)*Population_Tables!E27</f>
        <v>704.55088313400097</v>
      </c>
      <c r="E109" s="253">
        <f>(E161/Population_Tables!R27)*Population_Tables!F27</f>
        <v>6983.2368680732434</v>
      </c>
      <c r="F109" s="253">
        <f>(F161/Population_Tables!S27)*Population_Tables!G27</f>
        <v>2040.702415617814</v>
      </c>
      <c r="G109" s="253">
        <f>(G161/Population_Tables!T27)*Population_Tables!H27</f>
        <v>662.36024199796873</v>
      </c>
      <c r="H109" s="253">
        <f>(H161/Population_Tables!U27)*Population_Tables!I27</f>
        <v>3950.0784188556795</v>
      </c>
      <c r="I109" s="253">
        <f>(I161/Population_Tables!V27)*Population_Tables!J27</f>
        <v>1959.7162786837832</v>
      </c>
      <c r="J109" s="253">
        <f>(J161/Population_Tables!W27)*Population_Tables!K27</f>
        <v>1374.3642145507774</v>
      </c>
      <c r="K109" s="253">
        <f>(K161/Population_Tables!X27)*Population_Tables!L27</f>
        <v>1606.5767582027152</v>
      </c>
      <c r="L109" s="170"/>
      <c r="M109" s="170"/>
      <c r="N109" s="195">
        <f t="shared" si="9"/>
        <v>5073.8608648353784</v>
      </c>
      <c r="O109" s="195">
        <f t="shared" si="11"/>
        <v>3950.0784188556795</v>
      </c>
      <c r="P109" s="195">
        <f t="shared" si="10"/>
        <v>4948.2910860749698</v>
      </c>
      <c r="Q109" s="195">
        <f t="shared" si="12"/>
        <v>13972.230369766028</v>
      </c>
      <c r="R109" s="196">
        <f t="shared" si="13"/>
        <v>0.36313893562866745</v>
      </c>
      <c r="S109" s="170"/>
      <c r="T109" s="170"/>
      <c r="U109" s="195">
        <f t="shared" si="18"/>
        <v>273.15737948883088</v>
      </c>
      <c r="V109" s="195">
        <f t="shared" si="14"/>
        <v>149.97684011943556</v>
      </c>
      <c r="W109" s="195">
        <f t="shared" si="14"/>
        <v>210.43731030802337</v>
      </c>
      <c r="X109" s="195">
        <f t="shared" si="17"/>
        <v>633.57152991628982</v>
      </c>
      <c r="Y109" s="207">
        <f t="shared" si="16"/>
        <v>0.43113897419747005</v>
      </c>
      <c r="AC109" s="251">
        <f t="shared" si="15"/>
        <v>1.212351685467195</v>
      </c>
    </row>
    <row r="110" spans="1:29" ht="15.6" x14ac:dyDescent="0.3">
      <c r="A110" s="206">
        <v>2039</v>
      </c>
      <c r="B110" s="253">
        <f>(B162/Population_Tables!O28)*Population_Tables!C28</f>
        <v>16881.859867632811</v>
      </c>
      <c r="C110" s="253">
        <f>(C162/Population_Tables!P28)*Population_Tables!D28</f>
        <v>3608.6693570260059</v>
      </c>
      <c r="D110" s="253">
        <f>(D162/Population_Tables!Q28)*Population_Tables!E28</f>
        <v>711.68826757912268</v>
      </c>
      <c r="E110" s="253">
        <f>(E162/Population_Tables!R28)*Population_Tables!F28</f>
        <v>7133.4557769241219</v>
      </c>
      <c r="F110" s="253">
        <f>(F162/Population_Tables!S28)*Population_Tables!G28</f>
        <v>2099.0762920392076</v>
      </c>
      <c r="G110" s="253">
        <f>(G162/Population_Tables!T28)*Population_Tables!H28</f>
        <v>673.42298902838183</v>
      </c>
      <c r="H110" s="253">
        <f>(H162/Population_Tables!U28)*Population_Tables!I28</f>
        <v>3995.8625055670291</v>
      </c>
      <c r="I110" s="253">
        <f>(I162/Population_Tables!V28)*Population_Tables!J28</f>
        <v>2032.670996774174</v>
      </c>
      <c r="J110" s="253">
        <f>(J162/Population_Tables!W28)*Population_Tables!K28</f>
        <v>1382.1488035729167</v>
      </c>
      <c r="K110" s="253">
        <f>(K162/Population_Tables!X28)*Population_Tables!L28</f>
        <v>1622.9066031904674</v>
      </c>
      <c r="L110" s="170"/>
      <c r="M110" s="170"/>
      <c r="N110" s="195">
        <f t="shared" si="9"/>
        <v>5236.6695633963009</v>
      </c>
      <c r="O110" s="195">
        <f t="shared" si="11"/>
        <v>3995.8625055670291</v>
      </c>
      <c r="P110" s="195">
        <f t="shared" si="10"/>
        <v>4993.7806136335112</v>
      </c>
      <c r="Q110" s="195">
        <f t="shared" si="12"/>
        <v>14226.312682596841</v>
      </c>
      <c r="R110" s="196">
        <f t="shared" si="13"/>
        <v>0.368097459983595</v>
      </c>
      <c r="S110" s="170"/>
      <c r="T110" s="170"/>
      <c r="U110" s="195">
        <f t="shared" si="18"/>
        <v>298.42700351854819</v>
      </c>
      <c r="V110" s="195">
        <f t="shared" si="14"/>
        <v>161.76460535457682</v>
      </c>
      <c r="W110" s="195">
        <f t="shared" si="14"/>
        <v>226.15028927278127</v>
      </c>
      <c r="X110" s="195">
        <f t="shared" si="17"/>
        <v>686.34189814590627</v>
      </c>
      <c r="Y110" s="207">
        <f t="shared" si="16"/>
        <v>0.43480808081908323</v>
      </c>
      <c r="AC110" s="251">
        <f t="shared" si="15"/>
        <v>1.2115415239508647</v>
      </c>
    </row>
    <row r="111" spans="1:29" ht="15.6" x14ac:dyDescent="0.3">
      <c r="A111" s="206">
        <v>2040</v>
      </c>
      <c r="B111" s="253">
        <f>(B163/Population_Tables!O29)*Population_Tables!C29</f>
        <v>17183.183147714997</v>
      </c>
      <c r="C111" s="253">
        <f>(C163/Population_Tables!P29)*Population_Tables!D29</f>
        <v>3635.8303545032709</v>
      </c>
      <c r="D111" s="253">
        <f>(D163/Population_Tables!Q29)*Population_Tables!E29</f>
        <v>719.51973287181306</v>
      </c>
      <c r="E111" s="253">
        <f>(E163/Population_Tables!R29)*Population_Tables!F29</f>
        <v>7281.5533592615257</v>
      </c>
      <c r="F111" s="253">
        <f>(F163/Population_Tables!S29)*Population_Tables!G29</f>
        <v>2160.1038653914593</v>
      </c>
      <c r="G111" s="253">
        <f>(G163/Population_Tables!T29)*Population_Tables!H29</f>
        <v>684.59019823900132</v>
      </c>
      <c r="H111" s="253">
        <f>(H163/Population_Tables!U29)*Population_Tables!I29</f>
        <v>4037.5606217236054</v>
      </c>
      <c r="I111" s="253">
        <f>(I163/Population_Tables!V29)*Population_Tables!J29</f>
        <v>2108.707966938543</v>
      </c>
      <c r="J111" s="253">
        <f>(J163/Population_Tables!W29)*Population_Tables!K29</f>
        <v>1389.885464585979</v>
      </c>
      <c r="K111" s="253">
        <f>(K163/Population_Tables!X29)*Population_Tables!L29</f>
        <v>1639.4352861637039</v>
      </c>
      <c r="L111" s="170"/>
      <c r="M111" s="170"/>
      <c r="N111" s="195">
        <f t="shared" si="9"/>
        <v>5404.0966029293795</v>
      </c>
      <c r="O111" s="195">
        <f t="shared" si="11"/>
        <v>4037.5606217236054</v>
      </c>
      <c r="P111" s="195">
        <f t="shared" si="10"/>
        <v>5039.940285614085</v>
      </c>
      <c r="Q111" s="195">
        <f t="shared" si="12"/>
        <v>14481.597510267071</v>
      </c>
      <c r="R111" s="196">
        <f>N111/Q111</f>
        <v>0.37316992128099247</v>
      </c>
      <c r="S111" s="170"/>
      <c r="T111" s="170"/>
      <c r="U111" s="195">
        <f t="shared" si="18"/>
        <v>324.95556803724867</v>
      </c>
      <c r="V111" s="195">
        <f t="shared" si="14"/>
        <v>173.71311807036136</v>
      </c>
      <c r="W111" s="195">
        <f t="shared" si="14"/>
        <v>242.20701970350183</v>
      </c>
      <c r="X111" s="195">
        <f t="shared" si="17"/>
        <v>740.87570581111186</v>
      </c>
      <c r="Y111" s="207">
        <f t="shared" si="16"/>
        <v>0.43861010084206609</v>
      </c>
      <c r="AC111" s="251">
        <f t="shared" si="15"/>
        <v>1.2105783491602415</v>
      </c>
    </row>
    <row r="112" spans="1:29" ht="15.6" x14ac:dyDescent="0.3">
      <c r="A112" s="206">
        <v>2041</v>
      </c>
      <c r="B112" s="253">
        <f>(B164/Population_Tables!O30)*Population_Tables!C30</f>
        <v>17502.96208848829</v>
      </c>
      <c r="C112" s="253">
        <f>(C164/Population_Tables!P30)*Population_Tables!D30</f>
        <v>3662.8763578757284</v>
      </c>
      <c r="D112" s="253">
        <f>(D164/Population_Tables!Q30)*Population_Tables!E30</f>
        <v>726.38569144250221</v>
      </c>
      <c r="E112" s="253">
        <f>(E164/Population_Tables!R30)*Population_Tables!F30</f>
        <v>7440.7053560495197</v>
      </c>
      <c r="F112" s="253">
        <f>(F164/Population_Tables!S30)*Population_Tables!G30</f>
        <v>2221.0365078877157</v>
      </c>
      <c r="G112" s="253">
        <f>(G164/Population_Tables!T30)*Population_Tables!H30</f>
        <v>695.85316817406226</v>
      </c>
      <c r="H112" s="253">
        <f>(H164/Population_Tables!U30)*Population_Tables!I30</f>
        <v>4086.6452324300976</v>
      </c>
      <c r="I112" s="253">
        <f>(I164/Population_Tables!V30)*Population_Tables!J30</f>
        <v>2184.5040094897299</v>
      </c>
      <c r="J112" s="253">
        <f>(J164/Population_Tables!W30)*Population_Tables!K30</f>
        <v>1397.6379091070694</v>
      </c>
      <c r="K112" s="253">
        <f>(K164/Population_Tables!X30)*Population_Tables!L30</f>
        <v>1655.6879498621176</v>
      </c>
      <c r="L112" s="170"/>
      <c r="M112" s="170"/>
      <c r="N112" s="195">
        <f t="shared" si="9"/>
        <v>5575.0966315071382</v>
      </c>
      <c r="O112" s="195">
        <f t="shared" si="11"/>
        <v>4086.6452324300976</v>
      </c>
      <c r="P112" s="195">
        <f t="shared" si="10"/>
        <v>5085.1152174922927</v>
      </c>
      <c r="Q112" s="195">
        <f t="shared" si="12"/>
        <v>14746.857081429529</v>
      </c>
      <c r="R112" s="196">
        <f t="shared" si="13"/>
        <v>0.37805320826820543</v>
      </c>
      <c r="S112" s="170"/>
      <c r="T112" s="170"/>
      <c r="U112" s="195">
        <f t="shared" si="18"/>
        <v>352.90489373703349</v>
      </c>
      <c r="V112" s="195">
        <f t="shared" si="14"/>
        <v>186.32746769855521</v>
      </c>
      <c r="W112" s="195">
        <f t="shared" si="14"/>
        <v>258.54957330671914</v>
      </c>
      <c r="X112" s="195">
        <f t="shared" si="17"/>
        <v>797.78193474230784</v>
      </c>
      <c r="Y112" s="207">
        <f t="shared" si="16"/>
        <v>0.44235758967270372</v>
      </c>
      <c r="AC112" s="251">
        <f t="shared" si="15"/>
        <v>1.2101027736277448</v>
      </c>
    </row>
    <row r="113" spans="1:29" ht="15.6" x14ac:dyDescent="0.3">
      <c r="A113" s="206">
        <v>2042</v>
      </c>
      <c r="B113" s="253">
        <f>(B165/Population_Tables!O31)*Population_Tables!C31</f>
        <v>17820.619588932423</v>
      </c>
      <c r="C113" s="253">
        <f>(C165/Population_Tables!P31)*Population_Tables!D31</f>
        <v>3689.7892226094241</v>
      </c>
      <c r="D113" s="253">
        <f>(D165/Population_Tables!Q31)*Population_Tables!E31</f>
        <v>733.95650519574519</v>
      </c>
      <c r="E113" s="253">
        <f>(E165/Population_Tables!R31)*Population_Tables!F31</f>
        <v>7597.8033097138805</v>
      </c>
      <c r="F113" s="253">
        <f>(F165/Population_Tables!S31)*Population_Tables!G31</f>
        <v>2284.7467894281313</v>
      </c>
      <c r="G113" s="253">
        <f>(G165/Population_Tables!T31)*Population_Tables!H31</f>
        <v>707.22410819210813</v>
      </c>
      <c r="H113" s="253">
        <f>(H165/Population_Tables!U31)*Population_Tables!I31</f>
        <v>4131.6584176428833</v>
      </c>
      <c r="I113" s="253">
        <f>(I165/Population_Tables!V31)*Population_Tables!J31</f>
        <v>2263.4289103113279</v>
      </c>
      <c r="J113" s="253">
        <f>(J165/Population_Tables!W31)*Population_Tables!K31</f>
        <v>1405.3418926194925</v>
      </c>
      <c r="K113" s="253">
        <f>(K165/Population_Tables!X31)*Population_Tables!L31</f>
        <v>1672.146012794409</v>
      </c>
      <c r="L113" s="170"/>
      <c r="M113" s="170"/>
      <c r="N113" s="195">
        <f t="shared" si="9"/>
        <v>5750.8916814991289</v>
      </c>
      <c r="O113" s="195">
        <f t="shared" si="11"/>
        <v>4131.6584176428833</v>
      </c>
      <c r="P113" s="195">
        <f t="shared" si="10"/>
        <v>5130.9698359972781</v>
      </c>
      <c r="Q113" s="195">
        <f t="shared" si="12"/>
        <v>15013.519935139291</v>
      </c>
      <c r="R113" s="196">
        <f t="shared" si="13"/>
        <v>0.38304752691866151</v>
      </c>
      <c r="S113" s="170"/>
      <c r="T113" s="170"/>
      <c r="U113" s="195">
        <f t="shared" si="18"/>
        <v>382.266043237747</v>
      </c>
      <c r="V113" s="195">
        <f t="shared" si="14"/>
        <v>199.11206867583132</v>
      </c>
      <c r="W113" s="195">
        <f t="shared" si="14"/>
        <v>275.24486136856649</v>
      </c>
      <c r="X113" s="195">
        <f t="shared" si="17"/>
        <v>856.62297328214481</v>
      </c>
      <c r="Y113" s="207">
        <f t="shared" si="16"/>
        <v>0.44624771359224397</v>
      </c>
      <c r="AC113" s="251">
        <f t="shared" si="15"/>
        <v>1.2094561909638655</v>
      </c>
    </row>
    <row r="114" spans="1:29" ht="15.6" x14ac:dyDescent="0.3">
      <c r="A114" s="206">
        <v>2043</v>
      </c>
      <c r="B114" s="253">
        <f>(B166/Population_Tables!O32)*Population_Tables!C32</f>
        <v>18143.341920925322</v>
      </c>
      <c r="C114" s="253">
        <f>(C166/Population_Tables!P32)*Population_Tables!D32</f>
        <v>3716.5837814224824</v>
      </c>
      <c r="D114" s="253">
        <f>(D166/Population_Tables!Q32)*Population_Tables!E32</f>
        <v>741.68278041184578</v>
      </c>
      <c r="E114" s="253">
        <f>(E166/Population_Tables!R32)*Population_Tables!F32</f>
        <v>7757.359498387138</v>
      </c>
      <c r="F114" s="253">
        <f>(F166/Population_Tables!S32)*Population_Tables!G32</f>
        <v>2350.3819291914674</v>
      </c>
      <c r="G114" s="253">
        <f>(G166/Population_Tables!T32)*Population_Tables!H32</f>
        <v>718.70767364147503</v>
      </c>
      <c r="H114" s="253">
        <f>(H166/Population_Tables!U32)*Population_Tables!I32</f>
        <v>4176.4708491912952</v>
      </c>
      <c r="I114" s="253">
        <f>(I166/Population_Tables!V32)*Population_Tables!J32</f>
        <v>2344.4371878522365</v>
      </c>
      <c r="J114" s="253">
        <f>(J166/Population_Tables!W32)*Population_Tables!K32</f>
        <v>1413.0201935386142</v>
      </c>
      <c r="K114" s="253">
        <f>(K166/Population_Tables!X32)*Population_Tables!L32</f>
        <v>1688.6672932476076</v>
      </c>
      <c r="L114" s="170"/>
      <c r="M114" s="170"/>
      <c r="N114" s="195">
        <f t="shared" si="9"/>
        <v>5931.2705783873098</v>
      </c>
      <c r="O114" s="195">
        <f t="shared" si="11"/>
        <v>4176.4708491912952</v>
      </c>
      <c r="P114" s="195">
        <f t="shared" si="10"/>
        <v>5176.9742354758027</v>
      </c>
      <c r="Q114" s="195">
        <f t="shared" si="12"/>
        <v>15284.715663054407</v>
      </c>
      <c r="R114" s="196">
        <f t="shared" si="13"/>
        <v>0.38805239882375669</v>
      </c>
      <c r="S114" s="170"/>
      <c r="T114" s="170"/>
      <c r="U114" s="195">
        <f t="shared" si="18"/>
        <v>413.23633198477819</v>
      </c>
      <c r="V114" s="195">
        <f t="shared" si="14"/>
        <v>212.27785520077578</v>
      </c>
      <c r="W114" s="195">
        <f t="shared" si="14"/>
        <v>292.30114116295499</v>
      </c>
      <c r="X114" s="195">
        <f t="shared" si="17"/>
        <v>917.81532834850896</v>
      </c>
      <c r="Y114" s="207">
        <f t="shared" si="16"/>
        <v>0.45023908320243899</v>
      </c>
      <c r="AC114" s="251">
        <f t="shared" si="15"/>
        <v>1.2088595111218878</v>
      </c>
    </row>
    <row r="115" spans="1:29" ht="15.6" x14ac:dyDescent="0.3">
      <c r="A115" s="206">
        <v>2044</v>
      </c>
      <c r="B115" s="253">
        <f>(B167/Population_Tables!O33)*Population_Tables!C33</f>
        <v>18471.476252229091</v>
      </c>
      <c r="C115" s="253">
        <f>(C167/Population_Tables!P33)*Population_Tables!D33</f>
        <v>3743.2732392723779</v>
      </c>
      <c r="D115" s="253">
        <f>(D167/Population_Tables!Q33)*Population_Tables!E33</f>
        <v>749.56971793423986</v>
      </c>
      <c r="E115" s="253">
        <f>(E167/Population_Tables!R33)*Population_Tables!F33</f>
        <v>7919.5398241228149</v>
      </c>
      <c r="F115" s="253">
        <f>(F167/Population_Tables!S33)*Population_Tables!G33</f>
        <v>2418.0324817064611</v>
      </c>
      <c r="G115" s="253">
        <f>(G167/Population_Tables!T33)*Population_Tables!H33</f>
        <v>730.31389291406208</v>
      </c>
      <c r="H115" s="253">
        <f>(H167/Population_Tables!U33)*Population_Tables!I33</f>
        <v>4221.1445658930961</v>
      </c>
      <c r="I115" s="253">
        <f>(I167/Population_Tables!V33)*Population_Tables!J33</f>
        <v>2427.6175919446978</v>
      </c>
      <c r="J115" s="253">
        <f>(J167/Population_Tables!W33)*Population_Tables!K33</f>
        <v>1420.674763022578</v>
      </c>
      <c r="K115" s="253">
        <f>(K167/Population_Tables!X33)*Population_Tables!L33</f>
        <v>1705.273513858845</v>
      </c>
      <c r="L115" s="170"/>
      <c r="M115" s="170"/>
      <c r="N115" s="195">
        <f t="shared" si="9"/>
        <v>6116.427739936179</v>
      </c>
      <c r="O115" s="195">
        <f t="shared" si="11"/>
        <v>4221.1445658930961</v>
      </c>
      <c r="P115" s="195">
        <f t="shared" si="10"/>
        <v>5223.1568501206802</v>
      </c>
      <c r="Q115" s="195">
        <f t="shared" si="12"/>
        <v>15560.729155949957</v>
      </c>
      <c r="R115" s="196">
        <f t="shared" si="13"/>
        <v>0.39306819613896049</v>
      </c>
      <c r="S115" s="170"/>
      <c r="T115" s="170"/>
      <c r="U115" s="195">
        <f t="shared" si="18"/>
        <v>446.01598233236928</v>
      </c>
      <c r="V115" s="195">
        <f t="shared" si="14"/>
        <v>225.88220109398526</v>
      </c>
      <c r="W115" s="195">
        <f t="shared" si="14"/>
        <v>309.75422708591213</v>
      </c>
      <c r="X115" s="195">
        <f t="shared" si="17"/>
        <v>981.65241051226667</v>
      </c>
      <c r="Y115" s="207">
        <f t="shared" si="16"/>
        <v>0.45435225091498505</v>
      </c>
      <c r="AC115" s="251">
        <f t="shared" si="15"/>
        <v>1.2083142652173655</v>
      </c>
    </row>
    <row r="116" spans="1:29" ht="15.6" x14ac:dyDescent="0.3">
      <c r="A116" s="206">
        <v>2045</v>
      </c>
      <c r="B116" s="253">
        <f>(B168/Population_Tables!O34)*Population_Tables!C34</f>
        <v>18805.346608453288</v>
      </c>
      <c r="C116" s="253">
        <f>(C168/Population_Tables!P34)*Population_Tables!D34</f>
        <v>3769.8775684143175</v>
      </c>
      <c r="D116" s="253">
        <f>(D168/Population_Tables!Q34)*Population_Tables!E34</f>
        <v>757.62294011138181</v>
      </c>
      <c r="E116" s="253">
        <f>(E168/Population_Tables!R34)*Population_Tables!F34</f>
        <v>8084.4983849065093</v>
      </c>
      <c r="F116" s="253">
        <f>(F168/Population_Tables!S34)*Population_Tables!G34</f>
        <v>2487.7870431194897</v>
      </c>
      <c r="G116" s="253">
        <f>(G168/Population_Tables!T34)*Population_Tables!H34</f>
        <v>742.05220973837356</v>
      </c>
      <c r="H116" s="253">
        <f>(H168/Population_Tables!U34)*Population_Tables!I34</f>
        <v>4265.731326713556</v>
      </c>
      <c r="I116" s="253">
        <f>(I168/Population_Tables!V34)*Population_Tables!J34</f>
        <v>2513.0574396801394</v>
      </c>
      <c r="J116" s="253">
        <f>(J168/Population_Tables!W34)*Population_Tables!K34</f>
        <v>1428.310423575045</v>
      </c>
      <c r="K116" s="253">
        <f>(K168/Population_Tables!X34)*Population_Tables!L34</f>
        <v>1721.9865354093072</v>
      </c>
      <c r="L116" s="170"/>
      <c r="M116" s="170"/>
      <c r="N116" s="195">
        <f t="shared" si="9"/>
        <v>6306.5541013124439</v>
      </c>
      <c r="O116" s="195">
        <f t="shared" si="11"/>
        <v>4265.731326713556</v>
      </c>
      <c r="P116" s="195">
        <f t="shared" si="10"/>
        <v>5269.5527182640726</v>
      </c>
      <c r="Q116" s="195">
        <f t="shared" si="12"/>
        <v>15841.838146290072</v>
      </c>
      <c r="R116" s="196">
        <f t="shared" si="13"/>
        <v>0.39809484499684444</v>
      </c>
      <c r="S116" s="170"/>
      <c r="T116" s="170"/>
      <c r="U116" s="195">
        <f t="shared" si="18"/>
        <v>480.79539113244118</v>
      </c>
      <c r="V116" s="195">
        <f t="shared" si="14"/>
        <v>239.97667195534359</v>
      </c>
      <c r="W116" s="195">
        <f t="shared" si="14"/>
        <v>327.64421935622795</v>
      </c>
      <c r="X116" s="195">
        <f t="shared" si="17"/>
        <v>1048.4162824440127</v>
      </c>
      <c r="Y116" s="207">
        <f t="shared" si="16"/>
        <v>0.45859206803964958</v>
      </c>
      <c r="AC116" s="251">
        <f t="shared" si="15"/>
        <v>1.2078105632262874</v>
      </c>
    </row>
    <row r="117" spans="1:29" ht="15.6" x14ac:dyDescent="0.3">
      <c r="A117" s="206">
        <v>2046</v>
      </c>
      <c r="B117" s="253">
        <f>(B169/Population_Tables!O35)*Population_Tables!C35</f>
        <v>19145.184792929031</v>
      </c>
      <c r="C117" s="253">
        <f>(C169/Population_Tables!P35)*Population_Tables!D35</f>
        <v>3796.4123620706555</v>
      </c>
      <c r="D117" s="253">
        <f>(D169/Population_Tables!Q35)*Population_Tables!E35</f>
        <v>765.84980334374097</v>
      </c>
      <c r="E117" s="253">
        <f>(E169/Population_Tables!R35)*Population_Tables!F35</f>
        <v>8252.3373873489818</v>
      </c>
      <c r="F117" s="253">
        <f>(F169/Population_Tables!S35)*Population_Tables!G35</f>
        <v>2559.72519857517</v>
      </c>
      <c r="G117" s="253">
        <f>(G169/Population_Tables!T35)*Population_Tables!H35</f>
        <v>753.92933348553299</v>
      </c>
      <c r="H117" s="253">
        <f>(H169/Population_Tables!U35)*Population_Tables!I35</f>
        <v>4310.2643756707848</v>
      </c>
      <c r="I117" s="253">
        <f>(I169/Population_Tables!V35)*Population_Tables!J35</f>
        <v>2600.8156232578467</v>
      </c>
      <c r="J117" s="253">
        <f>(J169/Population_Tables!W35)*Population_Tables!K35</f>
        <v>1435.933293958381</v>
      </c>
      <c r="K117" s="253">
        <f>(K169/Population_Tables!X35)*Population_Tables!L35</f>
        <v>1738.8202085901726</v>
      </c>
      <c r="L117" s="170"/>
      <c r="M117" s="170"/>
      <c r="N117" s="195">
        <f t="shared" si="9"/>
        <v>6501.798210253367</v>
      </c>
      <c r="O117" s="195">
        <f t="shared" si="11"/>
        <v>4310.2643756707848</v>
      </c>
      <c r="P117" s="195">
        <f t="shared" si="10"/>
        <v>5316.1914988999297</v>
      </c>
      <c r="Q117" s="195">
        <f t="shared" si="12"/>
        <v>16128.254084824082</v>
      </c>
      <c r="R117" s="196">
        <f t="shared" si="13"/>
        <v>0.40313093878966411</v>
      </c>
      <c r="S117" s="170"/>
      <c r="T117" s="170"/>
      <c r="U117" s="195">
        <f t="shared" si="18"/>
        <v>517.71352535065944</v>
      </c>
      <c r="V117" s="195">
        <f t="shared" si="14"/>
        <v>254.59641306948197</v>
      </c>
      <c r="W117" s="195">
        <f t="shared" si="14"/>
        <v>346.00276981459956</v>
      </c>
      <c r="X117" s="195">
        <f t="shared" si="17"/>
        <v>1118.312708234741</v>
      </c>
      <c r="Y117" s="207">
        <f t="shared" si="16"/>
        <v>0.46294164551511835</v>
      </c>
      <c r="AC117" s="251">
        <f t="shared" si="15"/>
        <v>1.2073318095656616</v>
      </c>
    </row>
    <row r="118" spans="1:29" ht="15.6" x14ac:dyDescent="0.3">
      <c r="A118" s="206">
        <v>2047</v>
      </c>
      <c r="B118" s="253">
        <f>(B170/Population_Tables!O36)*Population_Tables!C36</f>
        <v>19491.203687732595</v>
      </c>
      <c r="C118" s="253">
        <f>(C170/Population_Tables!P36)*Population_Tables!D36</f>
        <v>3822.9095931725815</v>
      </c>
      <c r="D118" s="253">
        <f>(D170/Population_Tables!Q36)*Population_Tables!E36</f>
        <v>774.25694844483462</v>
      </c>
      <c r="E118" s="253">
        <f>(E170/Population_Tables!R36)*Population_Tables!F36</f>
        <v>8423.148259647809</v>
      </c>
      <c r="F118" s="253">
        <f>(F170/Population_Tables!S36)*Population_Tables!G36</f>
        <v>2633.9241700157713</v>
      </c>
      <c r="G118" s="253">
        <f>(G170/Population_Tables!T36)*Population_Tables!H36</f>
        <v>765.95166981335854</v>
      </c>
      <c r="H118" s="253">
        <f>(H170/Population_Tables!U36)*Population_Tables!I36</f>
        <v>4354.7561124988906</v>
      </c>
      <c r="I118" s="253">
        <f>(I170/Population_Tables!V36)*Population_Tables!J36</f>
        <v>2690.9525480423958</v>
      </c>
      <c r="J118" s="253">
        <f>(J170/Population_Tables!W36)*Population_Tables!K36</f>
        <v>1443.5545862206047</v>
      </c>
      <c r="K118" s="253">
        <f>(K170/Population_Tables!X36)*Population_Tables!L36</f>
        <v>1755.7921502185968</v>
      </c>
      <c r="L118" s="170"/>
      <c r="M118" s="170"/>
      <c r="N118" s="195">
        <f t="shared" si="9"/>
        <v>6702.3163171646893</v>
      </c>
      <c r="O118" s="195">
        <f t="shared" si="11"/>
        <v>4354.7561124988906</v>
      </c>
      <c r="P118" s="195">
        <f t="shared" si="10"/>
        <v>5363.1182114307749</v>
      </c>
      <c r="Q118" s="195">
        <f t="shared" si="12"/>
        <v>16420.190641094356</v>
      </c>
      <c r="R118" s="196">
        <f t="shared" si="13"/>
        <v>0.40817530463933765</v>
      </c>
      <c r="S118" s="170"/>
      <c r="T118" s="170"/>
      <c r="U118" s="195">
        <f t="shared" si="18"/>
        <v>556.90523112932624</v>
      </c>
      <c r="V118" s="195">
        <f t="shared" si="14"/>
        <v>269.76541739363574</v>
      </c>
      <c r="W118" s="195">
        <f t="shared" si="14"/>
        <v>364.87218302875135</v>
      </c>
      <c r="X118" s="195">
        <f t="shared" si="17"/>
        <v>1191.5428315517133</v>
      </c>
      <c r="Y118" s="207">
        <f t="shared" si="16"/>
        <v>0.46738163025502316</v>
      </c>
      <c r="AC118" s="251">
        <f t="shared" si="15"/>
        <v>1.2068531396980526</v>
      </c>
    </row>
    <row r="119" spans="1:29" ht="15.6" x14ac:dyDescent="0.3">
      <c r="A119" s="206">
        <v>2048</v>
      </c>
      <c r="B119" s="253">
        <f>(B171/Population_Tables!O37)*Population_Tables!C37</f>
        <v>19843.689104299872</v>
      </c>
      <c r="C119" s="253">
        <f>(C171/Population_Tables!P37)*Population_Tables!D37</f>
        <v>3849.4285127173689</v>
      </c>
      <c r="D119" s="253">
        <f>(D171/Population_Tables!Q37)*Population_Tables!E37</f>
        <v>782.84730044704361</v>
      </c>
      <c r="E119" s="253">
        <f>(E171/Population_Tables!R37)*Population_Tables!F37</f>
        <v>8597.0673781507103</v>
      </c>
      <c r="F119" s="253">
        <f>(F171/Population_Tables!S37)*Population_Tables!G37</f>
        <v>2710.4684784049309</v>
      </c>
      <c r="G119" s="253">
        <f>(G171/Population_Tables!T37)*Population_Tables!H37</f>
        <v>778.12734223021221</v>
      </c>
      <c r="H119" s="253">
        <f>(H171/Population_Tables!U37)*Population_Tables!I37</f>
        <v>4399.2116547899823</v>
      </c>
      <c r="I119" s="253">
        <f>(I171/Population_Tables!V37)*Population_Tables!J37</f>
        <v>2783.5655161958248</v>
      </c>
      <c r="J119" s="253">
        <f>(J171/Population_Tables!W37)*Population_Tables!K37</f>
        <v>1451.1909348736265</v>
      </c>
      <c r="K119" s="253">
        <f>(K171/Population_Tables!X37)*Population_Tables!L37</f>
        <v>1772.9336287542324</v>
      </c>
      <c r="L119" s="170"/>
      <c r="M119" s="170"/>
      <c r="N119" s="195">
        <f t="shared" si="9"/>
        <v>6908.3242017656594</v>
      </c>
      <c r="O119" s="195">
        <f t="shared" si="11"/>
        <v>4399.2116547899823</v>
      </c>
      <c r="P119" s="195">
        <f t="shared" si="10"/>
        <v>5410.4031553946243</v>
      </c>
      <c r="Q119" s="195">
        <f t="shared" si="12"/>
        <v>16717.939011950264</v>
      </c>
      <c r="R119" s="196">
        <f t="shared" si="13"/>
        <v>0.41322822130332409</v>
      </c>
      <c r="S119" s="170"/>
      <c r="T119" s="170"/>
      <c r="U119" s="195">
        <f t="shared" si="18"/>
        <v>598.55895302996942</v>
      </c>
      <c r="V119" s="195">
        <f t="shared" si="14"/>
        <v>285.51167011242433</v>
      </c>
      <c r="W119" s="195">
        <f t="shared" si="14"/>
        <v>384.317612959092</v>
      </c>
      <c r="X119" s="195">
        <f t="shared" si="17"/>
        <v>1268.3882361014857</v>
      </c>
      <c r="Y119" s="207">
        <f t="shared" si="16"/>
        <v>0.4719051596297506</v>
      </c>
      <c r="AC119" s="251">
        <f t="shared" si="15"/>
        <v>1.2063441896621689</v>
      </c>
    </row>
    <row r="120" spans="1:29" ht="15.6" x14ac:dyDescent="0.3">
      <c r="A120" s="206">
        <v>2049</v>
      </c>
      <c r="B120" s="253">
        <f>(B172/Population_Tables!O38)*Population_Tables!C38</f>
        <v>20202.937775591115</v>
      </c>
      <c r="C120" s="253">
        <f>(C172/Population_Tables!P38)*Population_Tables!D38</f>
        <v>3876.0434090176955</v>
      </c>
      <c r="D120" s="253">
        <f>(D172/Population_Tables!Q38)*Population_Tables!E38</f>
        <v>791.62279316349793</v>
      </c>
      <c r="E120" s="253">
        <f>(E172/Population_Tables!R38)*Population_Tables!F38</f>
        <v>8774.2383319513301</v>
      </c>
      <c r="F120" s="253">
        <f>(F172/Population_Tables!S38)*Population_Tables!G38</f>
        <v>2789.4437251935387</v>
      </c>
      <c r="G120" s="253">
        <f>(G172/Population_Tables!T38)*Population_Tables!H38</f>
        <v>790.46498688084091</v>
      </c>
      <c r="H120" s="253">
        <f>(H172/Population_Tables!U38)*Population_Tables!I38</f>
        <v>4443.6242462986347</v>
      </c>
      <c r="I120" s="253">
        <f>(I172/Population_Tables!V38)*Population_Tables!J38</f>
        <v>2878.7648360015983</v>
      </c>
      <c r="J120" s="253">
        <f>(J172/Population_Tables!W38)*Population_Tables!K38</f>
        <v>1458.86340477727</v>
      </c>
      <c r="K120" s="253">
        <f>(K172/Population_Tables!X38)*Population_Tables!L38</f>
        <v>1790.2809913636372</v>
      </c>
      <c r="L120" s="170"/>
      <c r="M120" s="170"/>
      <c r="N120" s="195">
        <f t="shared" si="9"/>
        <v>7120.057810846235</v>
      </c>
      <c r="O120" s="195">
        <f t="shared" si="11"/>
        <v>4443.6242462986347</v>
      </c>
      <c r="P120" s="195">
        <f t="shared" si="10"/>
        <v>5458.1311890620345</v>
      </c>
      <c r="Q120" s="195">
        <f t="shared" si="12"/>
        <v>17021.813246206904</v>
      </c>
      <c r="R120" s="196">
        <f t="shared" si="13"/>
        <v>0.41829020844373616</v>
      </c>
      <c r="S120" s="170"/>
      <c r="T120" s="170"/>
      <c r="U120" s="195">
        <f t="shared" si="18"/>
        <v>642.87688144115236</v>
      </c>
      <c r="V120" s="195">
        <f t="shared" si="14"/>
        <v>301.85878773061449</v>
      </c>
      <c r="W120" s="195">
        <f t="shared" si="14"/>
        <v>404.41635583246989</v>
      </c>
      <c r="X120" s="195">
        <f t="shared" si="17"/>
        <v>1349.1520250042367</v>
      </c>
      <c r="Y120" s="207">
        <f t="shared" si="16"/>
        <v>0.47650440389705789</v>
      </c>
      <c r="AC120" s="251">
        <f t="shared" si="15"/>
        <v>1.2057727578591049</v>
      </c>
    </row>
    <row r="121" spans="1:29" ht="16.2" thickBot="1" x14ac:dyDescent="0.35">
      <c r="A121" s="208">
        <v>2050</v>
      </c>
      <c r="B121" s="253">
        <f>(B173/Population_Tables!O39)*Population_Tables!C39</f>
        <v>20573.826087812857</v>
      </c>
      <c r="C121" s="253">
        <f>(C173/Population_Tables!P39)*Population_Tables!D39</f>
        <v>3902.7250329328745</v>
      </c>
      <c r="D121" s="253">
        <f>(D173/Population_Tables!Q39)*Population_Tables!E39</f>
        <v>800.20250915190695</v>
      </c>
      <c r="E121" s="253">
        <f>(E173/Population_Tables!R39)*Population_Tables!F39</f>
        <v>8957.8120946438285</v>
      </c>
      <c r="F121" s="253">
        <f>(F173/Population_Tables!S39)*Population_Tables!G39</f>
        <v>2870.288922839437</v>
      </c>
      <c r="G121" s="253">
        <f>(G173/Population_Tables!T39)*Population_Tables!H39</f>
        <v>802.96941515316723</v>
      </c>
      <c r="H121" s="253">
        <f>(H173/Population_Tables!U39)*Population_Tables!I39</f>
        <v>4490.612859824837</v>
      </c>
      <c r="I121" s="253">
        <f>(I173/Population_Tables!V39)*Population_Tables!J39</f>
        <v>2975.8804019151739</v>
      </c>
      <c r="J121" s="253">
        <f>(J173/Population_Tables!W39)*Population_Tables!K39</f>
        <v>1466.1881497226939</v>
      </c>
      <c r="K121" s="253">
        <f>(K173/Population_Tables!X39)*Population_Tables!L39</f>
        <v>1807.7560804051122</v>
      </c>
      <c r="L121" s="209"/>
      <c r="M121" s="209"/>
      <c r="N121" s="195">
        <f t="shared" si="9"/>
        <v>7337.4881576584294</v>
      </c>
      <c r="O121" s="195">
        <f t="shared" si="11"/>
        <v>4490.612859824837</v>
      </c>
      <c r="P121" s="195">
        <f t="shared" si="10"/>
        <v>5505.8969572379492</v>
      </c>
      <c r="Q121" s="195">
        <f t="shared" si="12"/>
        <v>17333.997974721216</v>
      </c>
      <c r="R121" s="210">
        <f t="shared" si="13"/>
        <v>0.42330039315563256</v>
      </c>
      <c r="S121" s="209"/>
      <c r="T121" s="209"/>
      <c r="U121" s="211">
        <f t="shared" si="18"/>
        <v>690.07133721495211</v>
      </c>
      <c r="V121" s="195">
        <f t="shared" si="14"/>
        <v>319.0159552197465</v>
      </c>
      <c r="W121" s="211">
        <f t="shared" si="14"/>
        <v>425.19900952988428</v>
      </c>
      <c r="X121" s="195">
        <f t="shared" si="17"/>
        <v>1434.2863019645829</v>
      </c>
      <c r="Y121" s="212">
        <f t="shared" si="16"/>
        <v>0.48112523717875694</v>
      </c>
      <c r="AC121" s="251">
        <f t="shared" si="15"/>
        <v>1.2052370870804419</v>
      </c>
    </row>
    <row r="122" spans="1:29" ht="15.6" x14ac:dyDescent="0.3">
      <c r="A122" s="213">
        <v>2051</v>
      </c>
      <c r="B122" s="253">
        <f>(B174/Population_Tables!O40)*Population_Tables!C40</f>
        <v>20942.755402283732</v>
      </c>
      <c r="C122" s="253">
        <f>(C174/Population_Tables!P40)*Population_Tables!D40</f>
        <v>3929.7805983612716</v>
      </c>
      <c r="D122" s="253">
        <f>(D174/Population_Tables!Q40)*Population_Tables!E40</f>
        <v>809.74215463991163</v>
      </c>
      <c r="E122" s="253">
        <f>(E174/Population_Tables!R40)*Population_Tables!F40</f>
        <v>9138.8285141192846</v>
      </c>
      <c r="F122" s="253">
        <f>(F174/Population_Tables!S40)*Population_Tables!G40</f>
        <v>2955.0227137795782</v>
      </c>
      <c r="G122" s="253">
        <f>(G174/Population_Tables!T40)*Population_Tables!H40</f>
        <v>815.65560928304831</v>
      </c>
      <c r="H122" s="253">
        <f>(H174/Population_Tables!U40)*Population_Tables!I40</f>
        <v>4532.3319740611278</v>
      </c>
      <c r="I122" s="253">
        <f>(I174/Population_Tables!V40)*Population_Tables!J40</f>
        <v>3077.3030424514159</v>
      </c>
      <c r="J122" s="253">
        <f>(J174/Population_Tables!W40)*Population_Tables!K40</f>
        <v>1474.3848490170285</v>
      </c>
      <c r="K122" s="253">
        <f>(K174/Population_Tables!X40)*Population_Tables!L40</f>
        <v>1825.7057370695613</v>
      </c>
      <c r="N122" s="195">
        <f t="shared" si="9"/>
        <v>7561.519253837736</v>
      </c>
      <c r="O122" s="195">
        <f t="shared" si="11"/>
        <v>4532.3319740611278</v>
      </c>
      <c r="P122" s="195">
        <f t="shared" si="10"/>
        <v>5555.1783622842322</v>
      </c>
      <c r="Q122" s="195">
        <f t="shared" si="12"/>
        <v>17649.029590183098</v>
      </c>
      <c r="R122" s="214">
        <f t="shared" si="13"/>
        <v>0.42843824444850342</v>
      </c>
      <c r="U122" s="215">
        <f t="shared" si="18"/>
        <v>740.21500608121187</v>
      </c>
      <c r="V122" s="195">
        <f t="shared" si="14"/>
        <v>336.45213268171847</v>
      </c>
      <c r="W122" s="215">
        <f t="shared" si="14"/>
        <v>446.81741832917487</v>
      </c>
      <c r="X122" s="195">
        <f t="shared" si="17"/>
        <v>1523.4845570921052</v>
      </c>
      <c r="Y122" s="214">
        <f t="shared" si="16"/>
        <v>0.4858697140285228</v>
      </c>
      <c r="AC122" s="251">
        <f t="shared" si="15"/>
        <v>1.2043642231543539</v>
      </c>
    </row>
    <row r="123" spans="1:29" ht="15.6" x14ac:dyDescent="0.3">
      <c r="A123" s="194">
        <v>2052</v>
      </c>
      <c r="B123" s="253">
        <f>(B175/Population_Tables!O41)*Population_Tables!C41</f>
        <v>21323.727162740357</v>
      </c>
      <c r="C123" s="253">
        <f>(C175/Population_Tables!P41)*Population_Tables!D41</f>
        <v>3956.9541472597639</v>
      </c>
      <c r="D123" s="253">
        <f>(D175/Population_Tables!Q41)*Population_Tables!E41</f>
        <v>819.09735973616375</v>
      </c>
      <c r="E123" s="253">
        <f>(E175/Population_Tables!R41)*Population_Tables!F41</f>
        <v>9326.4324178405186</v>
      </c>
      <c r="F123" s="253">
        <f>(F175/Population_Tables!S41)*Population_Tables!G41</f>
        <v>3041.7880613931225</v>
      </c>
      <c r="G123" s="253">
        <f>(G175/Population_Tables!T41)*Population_Tables!H41</f>
        <v>828.51943531799793</v>
      </c>
      <c r="H123" s="253">
        <f>(H175/Population_Tables!U41)*Population_Tables!I41</f>
        <v>4576.666601473612</v>
      </c>
      <c r="I123" s="253">
        <f>(I175/Population_Tables!V41)*Population_Tables!J41</f>
        <v>3180.7786694532988</v>
      </c>
      <c r="J123" s="253">
        <f>(J175/Population_Tables!W41)*Population_Tables!K41</f>
        <v>1482.2551765548208</v>
      </c>
      <c r="K123" s="253">
        <f>(K175/Population_Tables!X41)*Population_Tables!L41</f>
        <v>1843.8134984802189</v>
      </c>
      <c r="N123" s="195">
        <f t="shared" si="9"/>
        <v>7791.5538777600295</v>
      </c>
      <c r="O123" s="195">
        <f t="shared" si="11"/>
        <v>4576.666601473612</v>
      </c>
      <c r="P123" s="195">
        <f t="shared" si="10"/>
        <v>5604.5709423139251</v>
      </c>
      <c r="Q123" s="195">
        <f t="shared" si="12"/>
        <v>17972.791421547565</v>
      </c>
      <c r="R123" s="196">
        <f t="shared" si="13"/>
        <v>0.43351940691965868</v>
      </c>
      <c r="U123" s="195">
        <f t="shared" si="18"/>
        <v>793.51089045922254</v>
      </c>
      <c r="V123" s="195">
        <f t="shared" si="14"/>
        <v>354.75043166007072</v>
      </c>
      <c r="W123" s="195">
        <f t="shared" si="14"/>
        <v>469.19296815611597</v>
      </c>
      <c r="X123" s="195">
        <f t="shared" si="17"/>
        <v>1617.4542902754092</v>
      </c>
      <c r="Y123" s="196">
        <f t="shared" si="16"/>
        <v>0.49059246695874714</v>
      </c>
      <c r="AC123" s="251">
        <f t="shared" si="15"/>
        <v>1.2035141170115153</v>
      </c>
    </row>
    <row r="124" spans="1:29" ht="15.6" x14ac:dyDescent="0.3">
      <c r="A124" s="194">
        <v>2053</v>
      </c>
      <c r="B124" s="253">
        <f>(B176/Population_Tables!O42)*Population_Tables!C42</f>
        <v>21712.252065397759</v>
      </c>
      <c r="C124" s="253">
        <f>(C176/Population_Tables!P42)*Population_Tables!D42</f>
        <v>3984.375439402153</v>
      </c>
      <c r="D124" s="253">
        <f>(D176/Population_Tables!Q42)*Population_Tables!E42</f>
        <v>828.65572323794299</v>
      </c>
      <c r="E124" s="253">
        <f>(E176/Population_Tables!R42)*Population_Tables!F42</f>
        <v>9517.6315127097259</v>
      </c>
      <c r="F124" s="253">
        <f>(F176/Population_Tables!S42)*Population_Tables!G42</f>
        <v>3131.306810108536</v>
      </c>
      <c r="G124" s="253">
        <f>(G176/Population_Tables!T42)*Population_Tables!H42</f>
        <v>841.56815344649453</v>
      </c>
      <c r="H124" s="253">
        <f>(H176/Population_Tables!U42)*Population_Tables!I42</f>
        <v>4620.9645891717637</v>
      </c>
      <c r="I124" s="253">
        <f>(I176/Population_Tables!V42)*Population_Tables!J42</f>
        <v>3287.1178894369746</v>
      </c>
      <c r="J124" s="253">
        <f>(J176/Population_Tables!W42)*Population_Tables!K42</f>
        <v>1490.2178645549229</v>
      </c>
      <c r="K124" s="253">
        <f>(K176/Population_Tables!X42)*Population_Tables!L42</f>
        <v>1862.2128225301706</v>
      </c>
      <c r="N124" s="195">
        <f t="shared" si="9"/>
        <v>8027.9737336464977</v>
      </c>
      <c r="O124" s="195">
        <f t="shared" si="11"/>
        <v>4620.9645891717637</v>
      </c>
      <c r="P124" s="195">
        <f t="shared" si="10"/>
        <v>5654.599316086591</v>
      </c>
      <c r="Q124" s="195">
        <f t="shared" si="12"/>
        <v>18303.537638904851</v>
      </c>
      <c r="R124" s="196">
        <f t="shared" si="13"/>
        <v>0.43860230147983748</v>
      </c>
      <c r="U124" s="195">
        <f t="shared" si="18"/>
        <v>850.03789255372703</v>
      </c>
      <c r="V124" s="195">
        <f t="shared" si="14"/>
        <v>373.73530138652222</v>
      </c>
      <c r="W124" s="195">
        <f t="shared" si="14"/>
        <v>492.41169645267291</v>
      </c>
      <c r="X124" s="195">
        <f t="shared" si="17"/>
        <v>1716.1848903929222</v>
      </c>
      <c r="Y124" s="196">
        <f t="shared" si="16"/>
        <v>0.49530671043206193</v>
      </c>
      <c r="AC124" s="251">
        <f t="shared" si="15"/>
        <v>1.2025550632100288</v>
      </c>
    </row>
    <row r="125" spans="1:29" ht="15.6" x14ac:dyDescent="0.3">
      <c r="A125" s="194">
        <v>2054</v>
      </c>
      <c r="B125" s="253">
        <f>(B177/Population_Tables!O43)*Population_Tables!C43</f>
        <v>22108.405113524597</v>
      </c>
      <c r="C125" s="253">
        <f>(C177/Population_Tables!P43)*Population_Tables!D43</f>
        <v>4012.0799890330586</v>
      </c>
      <c r="D125" s="253">
        <f>(D177/Population_Tables!Q43)*Population_Tables!E43</f>
        <v>838.42131105060139</v>
      </c>
      <c r="E125" s="253">
        <f>(E177/Population_Tables!R43)*Population_Tables!F43</f>
        <v>9712.4249591925909</v>
      </c>
      <c r="F125" s="253">
        <f>(F177/Population_Tables!S43)*Population_Tables!G43</f>
        <v>3223.6532889261021</v>
      </c>
      <c r="G125" s="253">
        <f>(G177/Population_Tables!T43)*Population_Tables!H43</f>
        <v>854.80456661637197</v>
      </c>
      <c r="H125" s="253">
        <f>(H177/Population_Tables!U43)*Population_Tables!I43</f>
        <v>4665.1803577123246</v>
      </c>
      <c r="I125" s="253">
        <f>(I177/Population_Tables!V43)*Population_Tables!J43</f>
        <v>3396.3430780617832</v>
      </c>
      <c r="J125" s="253">
        <f>(J177/Population_Tables!W43)*Population_Tables!K43</f>
        <v>1498.2890359287767</v>
      </c>
      <c r="K125" s="253">
        <f>(K177/Population_Tables!X43)*Population_Tables!L43</f>
        <v>1880.9274040024759</v>
      </c>
      <c r="N125" s="195">
        <f t="shared" si="9"/>
        <v>8270.8978904063679</v>
      </c>
      <c r="O125" s="195">
        <f t="shared" si="11"/>
        <v>4665.1803577123246</v>
      </c>
      <c r="P125" s="195">
        <f t="shared" si="10"/>
        <v>5705.3058667000314</v>
      </c>
      <c r="Q125" s="195">
        <f t="shared" si="12"/>
        <v>18641.384114818724</v>
      </c>
      <c r="R125" s="196">
        <f t="shared" si="13"/>
        <v>0.44368475213337438</v>
      </c>
      <c r="U125" s="195">
        <f t="shared" si="18"/>
        <v>909.88052484583113</v>
      </c>
      <c r="V125" s="195">
        <f t="shared" si="14"/>
        <v>393.41012278846847</v>
      </c>
      <c r="W125" s="195">
        <f t="shared" si="14"/>
        <v>516.52052470311082</v>
      </c>
      <c r="X125" s="195">
        <f t="shared" si="17"/>
        <v>1819.8111723374104</v>
      </c>
      <c r="Y125" s="196">
        <f t="shared" si="16"/>
        <v>0.49998622861357539</v>
      </c>
      <c r="AC125" s="251">
        <f t="shared" si="15"/>
        <v>1.2014800963384205</v>
      </c>
    </row>
    <row r="126" spans="1:29" ht="15.6" x14ac:dyDescent="0.3">
      <c r="A126" s="194">
        <v>2055</v>
      </c>
      <c r="B126" s="253">
        <f>(B178/Population_Tables!O44)*Population_Tables!C44</f>
        <v>22512.268512676947</v>
      </c>
      <c r="C126" s="253">
        <f>(C178/Population_Tables!P44)*Population_Tables!D44</f>
        <v>4040.0964564984729</v>
      </c>
      <c r="D126" s="253">
        <f>(D178/Population_Tables!Q44)*Population_Tables!E44</f>
        <v>848.39869456616191</v>
      </c>
      <c r="E126" s="253">
        <f>(E178/Population_Tables!R44)*Population_Tables!F44</f>
        <v>9910.81863519539</v>
      </c>
      <c r="F126" s="253">
        <f>(F178/Population_Tables!S44)*Population_Tables!G44</f>
        <v>3318.902776011646</v>
      </c>
      <c r="G126" s="253">
        <f>(G178/Population_Tables!T44)*Population_Tables!H44</f>
        <v>868.23128998109655</v>
      </c>
      <c r="H126" s="253">
        <f>(H178/Population_Tables!U44)*Population_Tables!I44</f>
        <v>4709.2846589557566</v>
      </c>
      <c r="I126" s="253">
        <f>(I178/Population_Tables!V44)*Population_Tables!J44</f>
        <v>3508.4763625823039</v>
      </c>
      <c r="J126" s="253">
        <f>(J178/Population_Tables!W44)*Population_Tables!K44</f>
        <v>1506.4833267024194</v>
      </c>
      <c r="K126" s="253">
        <f>(K178/Population_Tables!X44)*Population_Tables!L44</f>
        <v>1899.9750143714716</v>
      </c>
      <c r="N126" s="195">
        <f t="shared" si="9"/>
        <v>8520.4367522512803</v>
      </c>
      <c r="O126" s="195">
        <f t="shared" si="11"/>
        <v>4709.2846589557566</v>
      </c>
      <c r="P126" s="195">
        <f t="shared" si="10"/>
        <v>5756.7264410457319</v>
      </c>
      <c r="Q126" s="195">
        <f t="shared" si="12"/>
        <v>18986.447852252768</v>
      </c>
      <c r="R126" s="196">
        <f t="shared" si="13"/>
        <v>0.44876413000235421</v>
      </c>
      <c r="U126" s="195">
        <f t="shared" si="18"/>
        <v>973.12144470661406</v>
      </c>
      <c r="V126" s="195">
        <f t="shared" si="14"/>
        <v>413.77888392971636</v>
      </c>
      <c r="W126" s="195">
        <f t="shared" si="14"/>
        <v>541.5588642922994</v>
      </c>
      <c r="X126" s="195">
        <f t="shared" si="17"/>
        <v>1928.4591929286298</v>
      </c>
      <c r="Y126" s="196">
        <f t="shared" si="16"/>
        <v>0.50461085631207769</v>
      </c>
      <c r="AC126" s="251">
        <f t="shared" si="15"/>
        <v>1.2002877924872104</v>
      </c>
    </row>
    <row r="127" spans="1:29" ht="15.6" x14ac:dyDescent="0.3">
      <c r="A127" s="194">
        <v>2056</v>
      </c>
      <c r="B127" s="253">
        <f>(B179/Population_Tables!O45)*Population_Tables!C45</f>
        <v>22923.996665766026</v>
      </c>
      <c r="C127" s="253">
        <f>(C179/Population_Tables!P45)*Population_Tables!D45</f>
        <v>4068.4469633194808</v>
      </c>
      <c r="D127" s="253">
        <f>(D179/Population_Tables!Q45)*Population_Tables!E45</f>
        <v>858.59399270735014</v>
      </c>
      <c r="E127" s="253">
        <f>(E179/Population_Tables!R45)*Population_Tables!F45</f>
        <v>10112.872283922619</v>
      </c>
      <c r="F127" s="253">
        <f>(F179/Population_Tables!S45)*Population_Tables!G45</f>
        <v>3417.1376914431285</v>
      </c>
      <c r="G127" s="253">
        <f>(G179/Population_Tables!T45)*Population_Tables!H45</f>
        <v>881.85237628456218</v>
      </c>
      <c r="H127" s="253">
        <f>(H179/Population_Tables!U45)*Population_Tables!I45</f>
        <v>4753.276834753714</v>
      </c>
      <c r="I127" s="253">
        <f>(I179/Population_Tables!V45)*Population_Tables!J45</f>
        <v>3623.570208798626</v>
      </c>
      <c r="J127" s="253">
        <f>(J179/Population_Tables!W45)*Population_Tables!K45</f>
        <v>1514.8126605285472</v>
      </c>
      <c r="K127" s="253">
        <f>(K179/Population_Tables!X45)*Population_Tables!L45</f>
        <v>1919.3677861197839</v>
      </c>
      <c r="N127" s="195">
        <f t="shared" si="9"/>
        <v>8776.7331406120356</v>
      </c>
      <c r="O127" s="195">
        <f t="shared" si="11"/>
        <v>4753.276834753714</v>
      </c>
      <c r="P127" s="195">
        <f t="shared" si="10"/>
        <v>5808.8933323113934</v>
      </c>
      <c r="Q127" s="195">
        <f t="shared" si="12"/>
        <v>19338.903307677141</v>
      </c>
      <c r="R127" s="196">
        <f t="shared" si="13"/>
        <v>0.45383820379968787</v>
      </c>
      <c r="U127" s="195">
        <f t="shared" si="18"/>
        <v>1039.8823996564952</v>
      </c>
      <c r="V127" s="195">
        <f t="shared" si="14"/>
        <v>434.85469142400052</v>
      </c>
      <c r="W127" s="195">
        <f t="shared" si="14"/>
        <v>567.55815660044209</v>
      </c>
      <c r="X127" s="195">
        <f t="shared" si="17"/>
        <v>2042.2952476809378</v>
      </c>
      <c r="Y127" s="196">
        <f t="shared" si="16"/>
        <v>0.50917339245503312</v>
      </c>
      <c r="AC127" s="251">
        <f t="shared" si="15"/>
        <v>1.1989821594518406</v>
      </c>
    </row>
    <row r="128" spans="1:29" ht="15.6" x14ac:dyDescent="0.3">
      <c r="A128" s="194">
        <v>2057</v>
      </c>
      <c r="B128" s="253">
        <f>(B180/Population_Tables!O46)*Population_Tables!C46</f>
        <v>23343.731975690804</v>
      </c>
      <c r="C128" s="253">
        <f>(C180/Population_Tables!P46)*Population_Tables!D46</f>
        <v>4097.1391120766175</v>
      </c>
      <c r="D128" s="253">
        <f>(D180/Population_Tables!Q46)*Population_Tables!E46</f>
        <v>869.01381626520265</v>
      </c>
      <c r="E128" s="253">
        <f>(E180/Population_Tables!R46)*Population_Tables!F46</f>
        <v>10318.642776921783</v>
      </c>
      <c r="F128" s="253">
        <f>(F180/Population_Tables!S46)*Population_Tables!G46</f>
        <v>3518.4393255525606</v>
      </c>
      <c r="G128" s="253">
        <f>(G180/Population_Tables!T46)*Population_Tables!H46</f>
        <v>895.67046082280308</v>
      </c>
      <c r="H128" s="253">
        <f>(H180/Population_Tables!U46)*Population_Tables!I46</f>
        <v>4797.1870678156292</v>
      </c>
      <c r="I128" s="253">
        <f>(I180/Population_Tables!V46)*Population_Tables!J46</f>
        <v>3741.6676941466721</v>
      </c>
      <c r="J128" s="253">
        <f>(J180/Population_Tables!W46)*Population_Tables!K46</f>
        <v>1523.2856532291839</v>
      </c>
      <c r="K128" s="253">
        <f>(K180/Population_Tables!X46)*Population_Tables!L46</f>
        <v>1939.1068052986702</v>
      </c>
      <c r="N128" s="195">
        <f t="shared" si="9"/>
        <v>9039.8950346587153</v>
      </c>
      <c r="O128" s="195">
        <f t="shared" si="11"/>
        <v>4797.1870678156292</v>
      </c>
      <c r="P128" s="195">
        <f t="shared" si="10"/>
        <v>5861.8233891646232</v>
      </c>
      <c r="Q128" s="195">
        <f t="shared" si="12"/>
        <v>19698.905491638969</v>
      </c>
      <c r="R128" s="196">
        <f t="shared" si="13"/>
        <v>0.45890341666422135</v>
      </c>
      <c r="U128" s="195">
        <f t="shared" si="18"/>
        <v>1110.2639899967035</v>
      </c>
      <c r="V128" s="195">
        <f t="shared" si="14"/>
        <v>456.65213604206565</v>
      </c>
      <c r="W128" s="195">
        <f t="shared" si="14"/>
        <v>594.53431735759023</v>
      </c>
      <c r="X128" s="195">
        <f t="shared" si="17"/>
        <v>2161.4504433963593</v>
      </c>
      <c r="Y128" s="196">
        <f t="shared" si="16"/>
        <v>0.51366617883318599</v>
      </c>
      <c r="AC128" s="251">
        <f t="shared" si="15"/>
        <v>1.1975714271914948</v>
      </c>
    </row>
    <row r="129" spans="1:29" ht="15.6" x14ac:dyDescent="0.3">
      <c r="A129" s="194">
        <v>2058</v>
      </c>
      <c r="B129" s="253">
        <f>(B181/Population_Tables!O47)*Population_Tables!C47</f>
        <v>23771.51192216299</v>
      </c>
      <c r="C129" s="253">
        <f>(C181/Population_Tables!P47)*Population_Tables!D47</f>
        <v>4126.1607165724645</v>
      </c>
      <c r="D129" s="253">
        <f>(D181/Population_Tables!Q47)*Population_Tables!E47</f>
        <v>879.6617338791765</v>
      </c>
      <c r="E129" s="253">
        <f>(E181/Population_Tables!R47)*Population_Tables!F47</f>
        <v>10528.118789746251</v>
      </c>
      <c r="F129" s="253">
        <f>(F181/Population_Tables!S47)*Population_Tables!G47</f>
        <v>3622.8802605787937</v>
      </c>
      <c r="G129" s="253">
        <f>(G181/Population_Tables!T47)*Population_Tables!H47</f>
        <v>909.68457397215843</v>
      </c>
      <c r="H129" s="253">
        <f>(H181/Population_Tables!U47)*Population_Tables!I47</f>
        <v>4841.0544815124003</v>
      </c>
      <c r="I129" s="253">
        <f>(I181/Population_Tables!V47)*Population_Tables!J47</f>
        <v>3862.7612340447808</v>
      </c>
      <c r="J129" s="253">
        <f>(J181/Population_Tables!W47)*Population_Tables!K47</f>
        <v>1531.9053237958142</v>
      </c>
      <c r="K129" s="253">
        <f>(K181/Population_Tables!X47)*Population_Tables!L47</f>
        <v>1959.1824988159681</v>
      </c>
      <c r="N129" s="195">
        <f t="shared" si="9"/>
        <v>9309.9445688126434</v>
      </c>
      <c r="O129" s="195">
        <f t="shared" si="11"/>
        <v>4841.0544815124003</v>
      </c>
      <c r="P129" s="195">
        <f t="shared" si="10"/>
        <v>5915.5070244237995</v>
      </c>
      <c r="Q129" s="195">
        <f t="shared" si="12"/>
        <v>20066.506074748842</v>
      </c>
      <c r="R129" s="196">
        <f t="shared" si="13"/>
        <v>0.46395443901058742</v>
      </c>
      <c r="U129" s="195">
        <f t="shared" si="18"/>
        <v>1184.2922746599761</v>
      </c>
      <c r="V129" s="195">
        <f t="shared" si="14"/>
        <v>479.17546218302869</v>
      </c>
      <c r="W129" s="195">
        <f t="shared" si="14"/>
        <v>622.48107166431328</v>
      </c>
      <c r="X129" s="195">
        <f t="shared" si="17"/>
        <v>2285.9488085073181</v>
      </c>
      <c r="Y129" s="196">
        <f t="shared" si="16"/>
        <v>0.5180747137698577</v>
      </c>
      <c r="AC129" s="251">
        <f t="shared" si="15"/>
        <v>1.1960678851164579</v>
      </c>
    </row>
    <row r="130" spans="1:29" ht="15.6" x14ac:dyDescent="0.3">
      <c r="A130" s="194">
        <v>2059</v>
      </c>
      <c r="B130" s="253">
        <f>(B182/Population_Tables!O48)*Population_Tables!C48</f>
        <v>24207.333943640777</v>
      </c>
      <c r="C130" s="253">
        <f>(C182/Population_Tables!P48)*Population_Tables!D48</f>
        <v>4155.4867398873785</v>
      </c>
      <c r="D130" s="253">
        <f>(D182/Population_Tables!Q48)*Population_Tables!E48</f>
        <v>890.54087858568903</v>
      </c>
      <c r="E130" s="253">
        <f>(E182/Population_Tables!R48)*Population_Tables!F48</f>
        <v>10741.263197760836</v>
      </c>
      <c r="F130" s="253">
        <f>(F182/Population_Tables!S48)*Population_Tables!G48</f>
        <v>3730.5298618833999</v>
      </c>
      <c r="G130" s="253">
        <f>(G182/Population_Tables!T48)*Population_Tables!H48</f>
        <v>923.89205300772312</v>
      </c>
      <c r="H130" s="253">
        <f>(H182/Population_Tables!U48)*Population_Tables!I48</f>
        <v>4884.9327332598041</v>
      </c>
      <c r="I130" s="253">
        <f>(I182/Population_Tables!V48)*Population_Tables!J48</f>
        <v>3986.820135581871</v>
      </c>
      <c r="J130" s="253">
        <f>(J182/Population_Tables!W48)*Population_Tables!K48</f>
        <v>1540.6717658647271</v>
      </c>
      <c r="K130" s="253">
        <f>(K182/Population_Tables!X48)*Population_Tables!L48</f>
        <v>1979.5768555725483</v>
      </c>
      <c r="N130" s="195">
        <f t="shared" si="9"/>
        <v>9586.8603263844325</v>
      </c>
      <c r="O130" s="195">
        <f t="shared" si="11"/>
        <v>4884.9327332598041</v>
      </c>
      <c r="P130" s="195">
        <f t="shared" si="10"/>
        <v>5969.9196714807904</v>
      </c>
      <c r="Q130" s="195">
        <f t="shared" si="12"/>
        <v>20441.712731125026</v>
      </c>
      <c r="R130" s="196">
        <f t="shared" si="13"/>
        <v>0.46898518008166978</v>
      </c>
      <c r="U130" s="195">
        <f t="shared" si="18"/>
        <v>1261.9586276986065</v>
      </c>
      <c r="V130" s="195">
        <f t="shared" si="14"/>
        <v>502.42539996221876</v>
      </c>
      <c r="W130" s="195">
        <f t="shared" si="14"/>
        <v>651.37816482343896</v>
      </c>
      <c r="X130" s="195">
        <f t="shared" si="17"/>
        <v>2415.7621924842642</v>
      </c>
      <c r="Y130" s="196">
        <f t="shared" si="16"/>
        <v>0.52238528760186587</v>
      </c>
      <c r="AC130" s="251">
        <f t="shared" si="15"/>
        <v>1.1944861536946272</v>
      </c>
    </row>
    <row r="131" spans="1:29" ht="15.6" x14ac:dyDescent="0.3">
      <c r="A131" s="194">
        <v>2060</v>
      </c>
      <c r="B131" s="253">
        <f>(B183/Population_Tables!O49)*Population_Tables!C49</f>
        <v>24650.048234572616</v>
      </c>
      <c r="C131" s="253">
        <f>(C183/Population_Tables!P49)*Population_Tables!D49</f>
        <v>4185.1409725360663</v>
      </c>
      <c r="D131" s="253">
        <f>(D183/Population_Tables!Q49)*Population_Tables!E49</f>
        <v>901.75556335212809</v>
      </c>
      <c r="E131" s="253">
        <f>(E183/Population_Tables!R49)*Population_Tables!F49</f>
        <v>10957.257989472551</v>
      </c>
      <c r="F131" s="253">
        <f>(F183/Population_Tables!S49)*Population_Tables!G49</f>
        <v>3841.6291108321202</v>
      </c>
      <c r="G131" s="253">
        <f>(G183/Population_Tables!T49)*Population_Tables!H49</f>
        <v>938.29169943258057</v>
      </c>
      <c r="H131" s="253">
        <f>(H183/Population_Tables!U49)*Population_Tables!I49</f>
        <v>4928.1878258091519</v>
      </c>
      <c r="I131" s="253">
        <f>(I183/Population_Tables!V49)*Population_Tables!J49</f>
        <v>4114.0250391696927</v>
      </c>
      <c r="J131" s="253">
        <f>(J183/Population_Tables!W49)*Population_Tables!K49</f>
        <v>1549.7974944997279</v>
      </c>
      <c r="K131" s="253">
        <f>(K183/Population_Tables!X49)*Population_Tables!L49</f>
        <v>2000.3016216242247</v>
      </c>
      <c r="N131" s="195">
        <f t="shared" si="9"/>
        <v>9870.6992744955205</v>
      </c>
      <c r="O131" s="195">
        <f t="shared" si="11"/>
        <v>4928.1878258091519</v>
      </c>
      <c r="P131" s="195">
        <f t="shared" si="10"/>
        <v>6025.1882353207748</v>
      </c>
      <c r="Q131" s="195">
        <f t="shared" si="12"/>
        <v>20824.075335625446</v>
      </c>
      <c r="R131" s="196">
        <f>N131/Q131</f>
        <v>0.47400420500827278</v>
      </c>
      <c r="U131" s="195">
        <f t="shared" si="18"/>
        <v>1343.2603781255384</v>
      </c>
      <c r="V131" s="195">
        <f t="shared" si="14"/>
        <v>526.33064913949329</v>
      </c>
      <c r="W131" s="195">
        <f t="shared" si="14"/>
        <v>681.22292879369706</v>
      </c>
      <c r="X131" s="195">
        <f t="shared" si="17"/>
        <v>2550.8139560587288</v>
      </c>
      <c r="Y131" s="196">
        <f t="shared" si="16"/>
        <v>0.52660068561057061</v>
      </c>
      <c r="AC131" s="251">
        <f t="shared" si="15"/>
        <v>1.1928149698934052</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10669.163628480179</v>
      </c>
      <c r="C137" s="229">
        <v>2962.2634881396102</v>
      </c>
      <c r="D137" s="229">
        <v>561.00796532589561</v>
      </c>
      <c r="E137" s="229">
        <v>4099.311152868112</v>
      </c>
      <c r="F137" s="229">
        <v>1033.9245823814495</v>
      </c>
      <c r="G137" s="229">
        <v>434.4641222560158</v>
      </c>
      <c r="H137" s="229">
        <v>2772.4656256795697</v>
      </c>
      <c r="I137" s="229">
        <v>797.27770738276263</v>
      </c>
      <c r="J137" s="229">
        <v>1198.7745876608387</v>
      </c>
      <c r="K137" s="229">
        <v>1260.2456881434907</v>
      </c>
      <c r="N137" s="195">
        <f t="shared" ref="N137:N183" si="19">SUMIF($C$83:$G$83,"Y",C137:G137)-H137</f>
        <v>2360.7701095699922</v>
      </c>
      <c r="O137" s="195">
        <f>H137</f>
        <v>2772.4656256795697</v>
      </c>
      <c r="P137" s="195">
        <f t="shared" ref="P137:P183" si="20">SUMIF($C$83:$G$83,"N",C137:G137)-(IF($E$83="N",H137))</f>
        <v>3957.7355757215219</v>
      </c>
      <c r="Q137" s="195">
        <f>N137+P137+O137</f>
        <v>9090.9713109710829</v>
      </c>
      <c r="R137" s="196">
        <f>N137/Q137</f>
        <v>0.25968293472898646</v>
      </c>
      <c r="AC137" s="251"/>
    </row>
    <row r="138" spans="1:29" ht="15.6" x14ac:dyDescent="0.3">
      <c r="A138" s="194">
        <v>2015</v>
      </c>
      <c r="B138" s="229">
        <v>10860.457643494979</v>
      </c>
      <c r="C138" s="229">
        <v>2984.7776194551593</v>
      </c>
      <c r="D138" s="229">
        <v>566.16297082614608</v>
      </c>
      <c r="E138" s="229">
        <v>4189.7588847120796</v>
      </c>
      <c r="F138" s="229">
        <v>1064.7080576803551</v>
      </c>
      <c r="G138" s="229">
        <v>442.18091606363572</v>
      </c>
      <c r="H138" s="229">
        <v>2824.5848925825117</v>
      </c>
      <c r="I138" s="229">
        <v>823.13304978916142</v>
      </c>
      <c r="J138" s="229">
        <v>1204.6046569365531</v>
      </c>
      <c r="K138" s="229">
        <v>1271.7141402766044</v>
      </c>
      <c r="N138" s="195">
        <f t="shared" si="19"/>
        <v>2429.8820498099235</v>
      </c>
      <c r="O138" s="195">
        <f t="shared" ref="O138:O183" si="21">H138</f>
        <v>2824.5848925825117</v>
      </c>
      <c r="P138" s="195">
        <f t="shared" si="20"/>
        <v>3993.1215063449413</v>
      </c>
      <c r="Q138" s="195">
        <f t="shared" ref="Q138:Q183" si="22">N138+P138+O138</f>
        <v>9247.5884487373769</v>
      </c>
      <c r="R138" s="196">
        <f t="shared" ref="R138:R182" si="23">N138/Q138</f>
        <v>0.26275845462626402</v>
      </c>
      <c r="AC138" s="251"/>
    </row>
    <row r="139" spans="1:29" ht="15.6" x14ac:dyDescent="0.3">
      <c r="A139" s="194">
        <v>2016</v>
      </c>
      <c r="B139" s="229">
        <v>11054.075218176185</v>
      </c>
      <c r="C139" s="229">
        <v>3006.9946364122961</v>
      </c>
      <c r="D139" s="229">
        <v>571.2518041859604</v>
      </c>
      <c r="E139" s="229">
        <v>4281.9464461900689</v>
      </c>
      <c r="F139" s="229">
        <v>1095.8595126476475</v>
      </c>
      <c r="G139" s="229">
        <v>449.94159290558815</v>
      </c>
      <c r="H139" s="229">
        <v>2875.9835064689428</v>
      </c>
      <c r="I139" s="229">
        <v>850.73944588485097</v>
      </c>
      <c r="J139" s="229">
        <v>1210.5271675056538</v>
      </c>
      <c r="K139" s="229">
        <v>1283.2556960917091</v>
      </c>
      <c r="N139" s="195">
        <f t="shared" si="19"/>
        <v>2501.8224523687736</v>
      </c>
      <c r="O139" s="195">
        <f t="shared" si="21"/>
        <v>2875.9835064689428</v>
      </c>
      <c r="P139" s="195">
        <f t="shared" si="20"/>
        <v>4028.1880335038445</v>
      </c>
      <c r="Q139" s="195">
        <f t="shared" si="22"/>
        <v>9405.9939923415604</v>
      </c>
      <c r="R139" s="196">
        <f t="shared" si="23"/>
        <v>0.26598171914693741</v>
      </c>
      <c r="AC139" s="251"/>
    </row>
    <row r="140" spans="1:29" ht="15.6" x14ac:dyDescent="0.3">
      <c r="A140" s="194">
        <v>2017</v>
      </c>
      <c r="B140" s="229">
        <v>11249.919304458719</v>
      </c>
      <c r="C140" s="229">
        <v>3028.9036455887704</v>
      </c>
      <c r="D140" s="229">
        <v>576.28086964978638</v>
      </c>
      <c r="E140" s="229">
        <v>4375.8198789893086</v>
      </c>
      <c r="F140" s="229">
        <v>1127.4088627010092</v>
      </c>
      <c r="G140" s="229">
        <v>457.74012685120726</v>
      </c>
      <c r="H140" s="229">
        <v>2926.6562715642958</v>
      </c>
      <c r="I140" s="229">
        <v>880.07661127494384</v>
      </c>
      <c r="J140" s="229">
        <v>1216.5030856255191</v>
      </c>
      <c r="K140" s="229">
        <v>1294.8511756329619</v>
      </c>
      <c r="N140" s="195">
        <f t="shared" si="19"/>
        <v>2576.5724701260224</v>
      </c>
      <c r="O140" s="195">
        <f t="shared" si="21"/>
        <v>2926.6562715642958</v>
      </c>
      <c r="P140" s="195">
        <f t="shared" si="20"/>
        <v>4062.9246420897639</v>
      </c>
      <c r="Q140" s="195">
        <f t="shared" si="22"/>
        <v>9566.1533837800816</v>
      </c>
      <c r="R140" s="196">
        <f t="shared" si="23"/>
        <v>0.26934258387438542</v>
      </c>
      <c r="AC140" s="251"/>
    </row>
    <row r="141" spans="1:29" ht="15.6" x14ac:dyDescent="0.3">
      <c r="A141" s="194">
        <v>2018</v>
      </c>
      <c r="B141" s="229">
        <v>11447.853293002468</v>
      </c>
      <c r="C141" s="229">
        <v>3050.518087988808</v>
      </c>
      <c r="D141" s="229">
        <v>581.25451522808532</v>
      </c>
      <c r="E141" s="229">
        <v>4471.2732810328016</v>
      </c>
      <c r="F141" s="229">
        <v>1159.4009509941495</v>
      </c>
      <c r="G141" s="229">
        <v>465.57199611251008</v>
      </c>
      <c r="H141" s="229">
        <v>2976.5428784934634</v>
      </c>
      <c r="I141" s="229">
        <v>911.11698008629878</v>
      </c>
      <c r="J141" s="229">
        <v>1222.4889134080465</v>
      </c>
      <c r="K141" s="229">
        <v>1306.4949307079983</v>
      </c>
      <c r="N141" s="195">
        <f t="shared" si="19"/>
        <v>2654.131353533488</v>
      </c>
      <c r="O141" s="195">
        <f t="shared" si="21"/>
        <v>2976.5428784934634</v>
      </c>
      <c r="P141" s="195">
        <f t="shared" si="20"/>
        <v>4097.3445993294035</v>
      </c>
      <c r="Q141" s="195">
        <f t="shared" si="22"/>
        <v>9728.018831356354</v>
      </c>
      <c r="R141" s="196">
        <f t="shared" si="23"/>
        <v>0.27283369816045361</v>
      </c>
      <c r="AC141" s="251"/>
    </row>
    <row r="142" spans="1:29" ht="16.2" thickBot="1" x14ac:dyDescent="0.35">
      <c r="A142" s="198">
        <v>2019</v>
      </c>
      <c r="B142" s="230">
        <v>11647.694534698112</v>
      </c>
      <c r="C142" s="230">
        <v>3071.858541823382</v>
      </c>
      <c r="D142" s="230">
        <v>586.18739306907651</v>
      </c>
      <c r="E142" s="230">
        <v>4568.168642004488</v>
      </c>
      <c r="F142" s="230">
        <v>1191.884575411955</v>
      </c>
      <c r="G142" s="230">
        <v>473.43060538527675</v>
      </c>
      <c r="H142" s="230">
        <v>3025.556954519966</v>
      </c>
      <c r="I142" s="230">
        <v>943.81847222022338</v>
      </c>
      <c r="J142" s="230">
        <v>1228.4097258576392</v>
      </c>
      <c r="K142" s="230">
        <v>1318.1721103766361</v>
      </c>
      <c r="N142" s="195">
        <f t="shared" si="19"/>
        <v>2734.4962628964768</v>
      </c>
      <c r="O142" s="195">
        <f t="shared" si="21"/>
        <v>3025.556954519966</v>
      </c>
      <c r="P142" s="195">
        <f t="shared" si="20"/>
        <v>4131.4765402777357</v>
      </c>
      <c r="Q142" s="195">
        <f t="shared" si="22"/>
        <v>9891.5297576941775</v>
      </c>
      <c r="R142" s="199">
        <f t="shared" si="23"/>
        <v>0.27644826734403088</v>
      </c>
      <c r="AC142" s="251"/>
    </row>
    <row r="143" spans="1:29" ht="15.6" x14ac:dyDescent="0.3">
      <c r="A143" s="201">
        <v>2020</v>
      </c>
      <c r="B143" s="228">
        <v>11848.159937279808</v>
      </c>
      <c r="C143" s="228">
        <v>3092.9002848549044</v>
      </c>
      <c r="D143" s="228">
        <v>591.17910841278604</v>
      </c>
      <c r="E143" s="228">
        <v>4665.7068888088907</v>
      </c>
      <c r="F143" s="228">
        <v>1225.0536978455232</v>
      </c>
      <c r="G143" s="228">
        <v>481.31117568573507</v>
      </c>
      <c r="H143" s="228">
        <v>3073.0263648771311</v>
      </c>
      <c r="I143" s="228">
        <v>978.32220859366828</v>
      </c>
      <c r="J143" s="228">
        <v>1234.0135482317764</v>
      </c>
      <c r="K143" s="228">
        <v>1329.8951388151481</v>
      </c>
      <c r="L143" s="202"/>
      <c r="M143" s="202"/>
      <c r="N143" s="195">
        <f t="shared" si="19"/>
        <v>2817.7342217772825</v>
      </c>
      <c r="O143" s="195">
        <f t="shared" si="21"/>
        <v>3073.0263648771311</v>
      </c>
      <c r="P143" s="195">
        <f t="shared" si="20"/>
        <v>4165.3905689534258</v>
      </c>
      <c r="Q143" s="195">
        <f t="shared" si="22"/>
        <v>10056.151155607839</v>
      </c>
      <c r="R143" s="220">
        <f t="shared" si="23"/>
        <v>0.2802000664246147</v>
      </c>
      <c r="AC143" s="251"/>
    </row>
    <row r="144" spans="1:29" ht="15.6" x14ac:dyDescent="0.3">
      <c r="A144" s="206">
        <v>2021</v>
      </c>
      <c r="B144" s="229">
        <v>12052.646448862241</v>
      </c>
      <c r="C144" s="229">
        <v>3113.7743830455843</v>
      </c>
      <c r="D144" s="229">
        <v>595.96268690959073</v>
      </c>
      <c r="E144" s="229">
        <v>4765.9002322972046</v>
      </c>
      <c r="F144" s="229">
        <v>1258.503962290712</v>
      </c>
      <c r="G144" s="229">
        <v>489.20946448371581</v>
      </c>
      <c r="H144" s="229">
        <v>3120.7597009464457</v>
      </c>
      <c r="I144" s="229">
        <v>1014.0848034797253</v>
      </c>
      <c r="J144" s="229">
        <v>1239.8830830032753</v>
      </c>
      <c r="K144" s="229">
        <v>1341.5898401105972</v>
      </c>
      <c r="L144" s="170"/>
      <c r="M144" s="170"/>
      <c r="N144" s="195">
        <f t="shared" si="19"/>
        <v>2903.6444936414705</v>
      </c>
      <c r="O144" s="195">
        <f t="shared" si="21"/>
        <v>3120.7597009464457</v>
      </c>
      <c r="P144" s="195">
        <f t="shared" si="20"/>
        <v>4198.9465344388909</v>
      </c>
      <c r="Q144" s="195">
        <f t="shared" si="22"/>
        <v>10223.350729026808</v>
      </c>
      <c r="R144" s="221">
        <f t="shared" si="23"/>
        <v>0.28402082356396641</v>
      </c>
      <c r="AC144" s="251"/>
    </row>
    <row r="145" spans="1:29" ht="15.6" x14ac:dyDescent="0.3">
      <c r="A145" s="206">
        <v>2022</v>
      </c>
      <c r="B145" s="229">
        <v>12257.734814283951</v>
      </c>
      <c r="C145" s="229">
        <v>3134.3561488512978</v>
      </c>
      <c r="D145" s="229">
        <v>600.79636268955494</v>
      </c>
      <c r="E145" s="229">
        <v>4866.6724753115623</v>
      </c>
      <c r="F145" s="229">
        <v>1292.7146257571831</v>
      </c>
      <c r="G145" s="229">
        <v>497.12710891437678</v>
      </c>
      <c r="H145" s="229">
        <v>3166.9501364250241</v>
      </c>
      <c r="I145" s="229">
        <v>1051.6324787740957</v>
      </c>
      <c r="J145" s="229">
        <v>1245.4493216179308</v>
      </c>
      <c r="K145" s="229">
        <v>1353.3325212735874</v>
      </c>
      <c r="L145" s="170"/>
      <c r="M145" s="170"/>
      <c r="N145" s="195">
        <f t="shared" si="19"/>
        <v>2992.4369646437212</v>
      </c>
      <c r="O145" s="195">
        <f t="shared" si="21"/>
        <v>3166.9501364250241</v>
      </c>
      <c r="P145" s="195">
        <f t="shared" si="20"/>
        <v>4232.2796204552296</v>
      </c>
      <c r="Q145" s="195">
        <f t="shared" si="22"/>
        <v>10391.666721523976</v>
      </c>
      <c r="R145" s="221">
        <f t="shared" si="23"/>
        <v>0.28796506324106491</v>
      </c>
      <c r="AC145" s="251"/>
    </row>
    <row r="146" spans="1:29" ht="15.6" x14ac:dyDescent="0.3">
      <c r="A146" s="206">
        <v>2023</v>
      </c>
      <c r="B146" s="229">
        <v>12464.622398692152</v>
      </c>
      <c r="C146" s="229">
        <v>3154.7145867797863</v>
      </c>
      <c r="D146" s="229">
        <v>605.59352753747294</v>
      </c>
      <c r="E146" s="229">
        <v>4968.7182311045763</v>
      </c>
      <c r="F146" s="229">
        <v>1327.5638262144921</v>
      </c>
      <c r="G146" s="229">
        <v>505.06193983929626</v>
      </c>
      <c r="H146" s="229">
        <v>3212.2333397100092</v>
      </c>
      <c r="I146" s="229">
        <v>1090.7841327665567</v>
      </c>
      <c r="J146" s="229">
        <v>1250.9108587180312</v>
      </c>
      <c r="K146" s="229">
        <v>1365.0796798916326</v>
      </c>
      <c r="L146" s="170"/>
      <c r="M146" s="170"/>
      <c r="N146" s="195">
        <f t="shared" si="19"/>
        <v>3084.0487176090592</v>
      </c>
      <c r="O146" s="195">
        <f t="shared" si="21"/>
        <v>3212.2333397100092</v>
      </c>
      <c r="P146" s="195">
        <f t="shared" si="20"/>
        <v>4265.3700541565559</v>
      </c>
      <c r="Q146" s="195">
        <f>N146+P146+O146</f>
        <v>10561.652111475625</v>
      </c>
      <c r="R146" s="221">
        <f t="shared" si="23"/>
        <v>0.29200438388404465</v>
      </c>
      <c r="AC146" s="251"/>
    </row>
    <row r="147" spans="1:29" ht="15.6" x14ac:dyDescent="0.3">
      <c r="A147" s="206">
        <v>2024</v>
      </c>
      <c r="B147" s="229">
        <v>12673.393730047939</v>
      </c>
      <c r="C147" s="229">
        <v>3174.8818289614219</v>
      </c>
      <c r="D147" s="229">
        <v>610.35679366372642</v>
      </c>
      <c r="E147" s="229">
        <v>5072.0655957041427</v>
      </c>
      <c r="F147" s="229">
        <v>1363.0735457734686</v>
      </c>
      <c r="G147" s="229">
        <v>513.01290796100182</v>
      </c>
      <c r="H147" s="229">
        <v>3256.6533140918768</v>
      </c>
      <c r="I147" s="229">
        <v>1131.5391293386178</v>
      </c>
      <c r="J147" s="229">
        <v>1256.2748072793991</v>
      </c>
      <c r="K147" s="229">
        <v>1376.8076143210972</v>
      </c>
      <c r="L147" s="170"/>
      <c r="M147" s="170"/>
      <c r="N147" s="195">
        <f t="shared" si="19"/>
        <v>3178.4858273857349</v>
      </c>
      <c r="O147" s="195">
        <f t="shared" si="21"/>
        <v>3256.6533140918768</v>
      </c>
      <c r="P147" s="195">
        <f t="shared" si="20"/>
        <v>4298.2515305861498</v>
      </c>
      <c r="Q147" s="195">
        <f t="shared" si="22"/>
        <v>10733.390672063761</v>
      </c>
      <c r="R147" s="221">
        <f t="shared" si="23"/>
        <v>0.29613063797803535</v>
      </c>
      <c r="AC147" s="251"/>
    </row>
    <row r="148" spans="1:29" ht="15.6" x14ac:dyDescent="0.3">
      <c r="A148" s="206">
        <v>2025</v>
      </c>
      <c r="B148" s="229">
        <v>12884.116676081132</v>
      </c>
      <c r="C148" s="229">
        <v>3194.8810536454739</v>
      </c>
      <c r="D148" s="229">
        <v>615.08905789635878</v>
      </c>
      <c r="E148" s="229">
        <v>5176.7317845530479</v>
      </c>
      <c r="F148" s="229">
        <v>1399.2702005599576</v>
      </c>
      <c r="G148" s="229">
        <v>520.97899737158787</v>
      </c>
      <c r="H148" s="229">
        <v>3300.2474308156402</v>
      </c>
      <c r="I148" s="229">
        <v>1173.8944685670513</v>
      </c>
      <c r="J148" s="229">
        <v>1261.546560702071</v>
      </c>
      <c r="K148" s="229">
        <v>1388.4977974726221</v>
      </c>
      <c r="L148" s="170"/>
      <c r="M148" s="170"/>
      <c r="N148" s="195">
        <f t="shared" si="19"/>
        <v>3275.7545542973653</v>
      </c>
      <c r="O148" s="195">
        <f t="shared" si="21"/>
        <v>3300.2474308156402</v>
      </c>
      <c r="P148" s="195">
        <f t="shared" si="20"/>
        <v>4330.9491089134208</v>
      </c>
      <c r="Q148" s="195">
        <f t="shared" si="22"/>
        <v>10906.951094026426</v>
      </c>
      <c r="R148" s="221">
        <f t="shared" si="23"/>
        <v>0.30033641171192627</v>
      </c>
      <c r="AC148" s="251"/>
    </row>
    <row r="149" spans="1:29" ht="15.6" x14ac:dyDescent="0.3">
      <c r="A149" s="206">
        <v>2026</v>
      </c>
      <c r="B149" s="229">
        <v>13096.804683956288</v>
      </c>
      <c r="C149" s="229">
        <v>3214.7231499314425</v>
      </c>
      <c r="D149" s="229">
        <v>619.79322885066108</v>
      </c>
      <c r="E149" s="229">
        <v>5282.6988621264827</v>
      </c>
      <c r="F149" s="229">
        <v>1436.1880872259542</v>
      </c>
      <c r="G149" s="229">
        <v>528.95852589877586</v>
      </c>
      <c r="H149" s="229">
        <v>3343.0273815300352</v>
      </c>
      <c r="I149" s="229">
        <v>1217.8409996843106</v>
      </c>
      <c r="J149" s="229">
        <v>1266.7235569575073</v>
      </c>
      <c r="K149" s="229">
        <v>1400.1430121567628</v>
      </c>
      <c r="L149" s="170"/>
      <c r="M149" s="170"/>
      <c r="N149" s="195">
        <f t="shared" si="19"/>
        <v>3375.8595678224019</v>
      </c>
      <c r="O149" s="195">
        <f t="shared" si="21"/>
        <v>3343.0273815300352</v>
      </c>
      <c r="P149" s="195">
        <f t="shared" si="20"/>
        <v>4363.4749046808793</v>
      </c>
      <c r="Q149" s="195">
        <f t="shared" si="22"/>
        <v>11082.361854033315</v>
      </c>
      <c r="R149" s="221">
        <f t="shared" si="23"/>
        <v>0.30461553342925646</v>
      </c>
      <c r="AC149" s="251"/>
    </row>
    <row r="150" spans="1:29" ht="15.6" x14ac:dyDescent="0.3">
      <c r="A150" s="206">
        <v>2027</v>
      </c>
      <c r="B150" s="229">
        <v>13311.452494378802</v>
      </c>
      <c r="C150" s="229">
        <v>3234.402997550068</v>
      </c>
      <c r="D150" s="229">
        <v>624.47263712527672</v>
      </c>
      <c r="E150" s="229">
        <v>5389.9351630512028</v>
      </c>
      <c r="F150" s="229">
        <v>1473.8693383144348</v>
      </c>
      <c r="G150" s="229">
        <v>536.95008465583578</v>
      </c>
      <c r="H150" s="229">
        <v>3384.9980751621629</v>
      </c>
      <c r="I150" s="229">
        <v>1263.3649883246628</v>
      </c>
      <c r="J150" s="229">
        <v>1271.8022886745662</v>
      </c>
      <c r="K150" s="229">
        <v>1411.7427217978031</v>
      </c>
      <c r="L150" s="170"/>
      <c r="M150" s="170"/>
      <c r="N150" s="195">
        <f t="shared" si="19"/>
        <v>3478.8064262034745</v>
      </c>
      <c r="O150" s="195">
        <f t="shared" si="21"/>
        <v>3384.9980751621629</v>
      </c>
      <c r="P150" s="195">
        <f t="shared" si="20"/>
        <v>4395.8257193311802</v>
      </c>
      <c r="Q150" s="195">
        <f t="shared" si="22"/>
        <v>11259.630220696818</v>
      </c>
      <c r="R150" s="221">
        <f t="shared" si="23"/>
        <v>0.30896275970137355</v>
      </c>
      <c r="AC150" s="251"/>
    </row>
    <row r="151" spans="1:29" ht="15.6" x14ac:dyDescent="0.3">
      <c r="A151" s="206">
        <v>2028</v>
      </c>
      <c r="B151" s="229">
        <v>13528.091169200494</v>
      </c>
      <c r="C151" s="229">
        <v>3253.9071989655163</v>
      </c>
      <c r="D151" s="229">
        <v>629.13147837210158</v>
      </c>
      <c r="E151" s="229">
        <v>5498.4304017878749</v>
      </c>
      <c r="F151" s="229">
        <v>1512.3578444129539</v>
      </c>
      <c r="G151" s="229">
        <v>544.95341030736972</v>
      </c>
      <c r="H151" s="229">
        <v>3426.1846668326734</v>
      </c>
      <c r="I151" s="229">
        <v>1310.4538059216361</v>
      </c>
      <c r="J151" s="229">
        <v>1276.7868732086799</v>
      </c>
      <c r="K151" s="229">
        <v>1423.2935632090928</v>
      </c>
      <c r="L151" s="170"/>
      <c r="M151" s="170"/>
      <c r="N151" s="195">
        <f t="shared" si="19"/>
        <v>3584.6035793681558</v>
      </c>
      <c r="O151" s="195">
        <f t="shared" si="21"/>
        <v>3426.1846668326734</v>
      </c>
      <c r="P151" s="195">
        <f t="shared" si="20"/>
        <v>4427.9920876449869</v>
      </c>
      <c r="Q151" s="195">
        <f t="shared" si="22"/>
        <v>11438.780333845816</v>
      </c>
      <c r="R151" s="221">
        <f t="shared" si="23"/>
        <v>0.31337288371224287</v>
      </c>
      <c r="AC151" s="251"/>
    </row>
    <row r="152" spans="1:29" ht="15.6" x14ac:dyDescent="0.3">
      <c r="A152" s="206">
        <v>2029</v>
      </c>
      <c r="B152" s="229">
        <v>13746.755205343132</v>
      </c>
      <c r="C152" s="229">
        <v>3273.2135030756754</v>
      </c>
      <c r="D152" s="229">
        <v>633.77447386459085</v>
      </c>
      <c r="E152" s="229">
        <v>5608.1752181966358</v>
      </c>
      <c r="F152" s="229">
        <v>1551.7010415337211</v>
      </c>
      <c r="G152" s="229">
        <v>552.96867193761591</v>
      </c>
      <c r="H152" s="229">
        <v>3466.6158114410896</v>
      </c>
      <c r="I152" s="229">
        <v>1359.0933192308232</v>
      </c>
      <c r="J152" s="229">
        <v>1281.6831671399368</v>
      </c>
      <c r="K152" s="229">
        <v>1434.7942400817919</v>
      </c>
      <c r="L152" s="170"/>
      <c r="M152" s="170"/>
      <c r="N152" s="195">
        <f t="shared" si="19"/>
        <v>3693.2604482892671</v>
      </c>
      <c r="O152" s="195">
        <f t="shared" si="21"/>
        <v>3466.6158114410896</v>
      </c>
      <c r="P152" s="195">
        <f t="shared" si="20"/>
        <v>4459.9566488778819</v>
      </c>
      <c r="Q152" s="195">
        <f t="shared" si="22"/>
        <v>11619.832908608239</v>
      </c>
      <c r="R152" s="221">
        <f t="shared" si="23"/>
        <v>0.31784109783138231</v>
      </c>
      <c r="AC152" s="251"/>
    </row>
    <row r="153" spans="1:29" ht="15.6" x14ac:dyDescent="0.3">
      <c r="A153" s="206">
        <v>2030</v>
      </c>
      <c r="B153" s="229">
        <v>13971.949103856216</v>
      </c>
      <c r="C153" s="229">
        <v>3292.3902655823763</v>
      </c>
      <c r="D153" s="229">
        <v>638.05323800544897</v>
      </c>
      <c r="E153" s="229">
        <v>5721.9181438101732</v>
      </c>
      <c r="F153" s="229">
        <v>1591.3499870353874</v>
      </c>
      <c r="G153" s="229">
        <v>560.9930395911058</v>
      </c>
      <c r="H153" s="229">
        <v>3508.7549098873151</v>
      </c>
      <c r="I153" s="229">
        <v>1408.5664075933269</v>
      </c>
      <c r="J153" s="229">
        <v>1286.8945763955126</v>
      </c>
      <c r="K153" s="229">
        <v>1446.142711985804</v>
      </c>
      <c r="L153" s="170"/>
      <c r="M153" s="170"/>
      <c r="N153" s="195">
        <f t="shared" si="19"/>
        <v>3804.5132209582453</v>
      </c>
      <c r="O153" s="195">
        <f t="shared" si="21"/>
        <v>3508.7549098873151</v>
      </c>
      <c r="P153" s="195">
        <f t="shared" si="20"/>
        <v>4491.4365431789311</v>
      </c>
      <c r="Q153" s="195">
        <f t="shared" si="22"/>
        <v>11804.704674024491</v>
      </c>
      <c r="R153" s="221">
        <f t="shared" si="23"/>
        <v>0.32228787809743659</v>
      </c>
      <c r="AC153" s="251"/>
    </row>
    <row r="154" spans="1:29" ht="15.6" x14ac:dyDescent="0.3">
      <c r="A154" s="206">
        <v>2031</v>
      </c>
      <c r="B154" s="229">
        <v>14190.276015771631</v>
      </c>
      <c r="C154" s="229">
        <v>3311.1741946264387</v>
      </c>
      <c r="D154" s="229">
        <v>643.03207417988017</v>
      </c>
      <c r="E154" s="229">
        <v>5831.3671595207034</v>
      </c>
      <c r="F154" s="229">
        <v>1633.1267138243049</v>
      </c>
      <c r="G154" s="229">
        <v>569.03385707599352</v>
      </c>
      <c r="H154" s="229">
        <v>3545.3074055942816</v>
      </c>
      <c r="I154" s="229">
        <v>1460.9742499585159</v>
      </c>
      <c r="J154" s="229">
        <v>1291.2250137081189</v>
      </c>
      <c r="K154" s="229">
        <v>1457.6393635556342</v>
      </c>
      <c r="L154" s="170"/>
      <c r="M154" s="170"/>
      <c r="N154" s="195">
        <f t="shared" si="19"/>
        <v>3919.1864677507265</v>
      </c>
      <c r="O154" s="195">
        <f t="shared" si="21"/>
        <v>3545.3074055942816</v>
      </c>
      <c r="P154" s="195">
        <f t="shared" si="20"/>
        <v>4523.240125882312</v>
      </c>
      <c r="Q154" s="195">
        <f t="shared" si="22"/>
        <v>11987.733999227319</v>
      </c>
      <c r="R154" s="221">
        <f t="shared" si="23"/>
        <v>0.32693305240200871</v>
      </c>
      <c r="AC154" s="251"/>
    </row>
    <row r="155" spans="1:29" ht="15.6" x14ac:dyDescent="0.3">
      <c r="A155" s="206">
        <v>2032</v>
      </c>
      <c r="B155" s="229">
        <v>14415.175138867564</v>
      </c>
      <c r="C155" s="229">
        <v>3329.824826350592</v>
      </c>
      <c r="D155" s="229">
        <v>647.65604195498531</v>
      </c>
      <c r="E155" s="229">
        <v>5944.7851535228356</v>
      </c>
      <c r="F155" s="229">
        <v>1675.2851059770687</v>
      </c>
      <c r="G155" s="229">
        <v>577.08173274048363</v>
      </c>
      <c r="H155" s="229">
        <v>3583.6007939342385</v>
      </c>
      <c r="I155" s="229">
        <v>1514.1960342712223</v>
      </c>
      <c r="J155" s="229">
        <v>1295.8705218309299</v>
      </c>
      <c r="K155" s="229">
        <v>1468.9789297958969</v>
      </c>
      <c r="L155" s="170"/>
      <c r="M155" s="170"/>
      <c r="N155" s="195">
        <f t="shared" si="19"/>
        <v>4036.4694655656654</v>
      </c>
      <c r="O155" s="195">
        <f t="shared" si="21"/>
        <v>3583.6007939342385</v>
      </c>
      <c r="P155" s="195">
        <f t="shared" si="20"/>
        <v>4554.562601046061</v>
      </c>
      <c r="Q155" s="195">
        <f t="shared" si="22"/>
        <v>12174.632860545964</v>
      </c>
      <c r="R155" s="221">
        <f t="shared" si="23"/>
        <v>0.33154753098523027</v>
      </c>
      <c r="AC155" s="251"/>
    </row>
    <row r="156" spans="1:29" ht="15.6" x14ac:dyDescent="0.3">
      <c r="A156" s="206">
        <v>2033</v>
      </c>
      <c r="B156" s="229">
        <v>14642.201606136683</v>
      </c>
      <c r="C156" s="229">
        <v>3348.2428546481869</v>
      </c>
      <c r="D156" s="229">
        <v>652.28884312375646</v>
      </c>
      <c r="E156" s="229">
        <v>6059.3932557044291</v>
      </c>
      <c r="F156" s="229">
        <v>1718.4652083100966</v>
      </c>
      <c r="G156" s="229">
        <v>585.13767282734159</v>
      </c>
      <c r="H156" s="229">
        <v>3621.2246176543267</v>
      </c>
      <c r="I156" s="229">
        <v>1568.9216086969516</v>
      </c>
      <c r="J156" s="229">
        <v>1300.4293594688843</v>
      </c>
      <c r="K156" s="229">
        <v>1480.2691946853183</v>
      </c>
      <c r="L156" s="170"/>
      <c r="M156" s="170"/>
      <c r="N156" s="195">
        <f t="shared" si="19"/>
        <v>4156.6338463601987</v>
      </c>
      <c r="O156" s="195">
        <f t="shared" si="21"/>
        <v>3621.2246176543267</v>
      </c>
      <c r="P156" s="195">
        <f t="shared" si="20"/>
        <v>4585.6693705992848</v>
      </c>
      <c r="Q156" s="195">
        <f t="shared" si="22"/>
        <v>12363.527834613811</v>
      </c>
      <c r="R156" s="221">
        <f t="shared" si="23"/>
        <v>0.33620127701116109</v>
      </c>
      <c r="AC156" s="251"/>
    </row>
    <row r="157" spans="1:29" ht="15.6" x14ac:dyDescent="0.3">
      <c r="A157" s="206">
        <v>2034</v>
      </c>
      <c r="B157" s="229">
        <v>14871.384547301004</v>
      </c>
      <c r="C157" s="229">
        <v>3366.4134567711903</v>
      </c>
      <c r="D157" s="229">
        <v>656.9426803093645</v>
      </c>
      <c r="E157" s="229">
        <v>6175.1701415813604</v>
      </c>
      <c r="F157" s="229">
        <v>1762.7141210948505</v>
      </c>
      <c r="G157" s="229">
        <v>593.19966544223735</v>
      </c>
      <c r="H157" s="229">
        <v>3658.2077766897974</v>
      </c>
      <c r="I157" s="229">
        <v>1625.1361107900443</v>
      </c>
      <c r="J157" s="229">
        <v>1304.8975740764297</v>
      </c>
      <c r="K157" s="229">
        <v>1491.5196078866352</v>
      </c>
      <c r="L157" s="170"/>
      <c r="M157" s="170"/>
      <c r="N157" s="195">
        <f t="shared" si="19"/>
        <v>4279.6764859864134</v>
      </c>
      <c r="O157" s="195">
        <f t="shared" si="21"/>
        <v>3658.2077766897974</v>
      </c>
      <c r="P157" s="195">
        <f t="shared" si="20"/>
        <v>4616.555802522792</v>
      </c>
      <c r="Q157" s="195">
        <f t="shared" si="22"/>
        <v>12554.440065199004</v>
      </c>
      <c r="R157" s="221">
        <f t="shared" si="23"/>
        <v>0.34088947525821617</v>
      </c>
      <c r="AC157" s="251"/>
    </row>
    <row r="158" spans="1:29" ht="15.6" x14ac:dyDescent="0.3">
      <c r="A158" s="206">
        <v>2035</v>
      </c>
      <c r="B158" s="229">
        <v>15102.749029819483</v>
      </c>
      <c r="C158" s="229">
        <v>3384.32471331139</v>
      </c>
      <c r="D158" s="229">
        <v>661.62795276212796</v>
      </c>
      <c r="E158" s="229">
        <v>6292.0958140206021</v>
      </c>
      <c r="F158" s="229">
        <v>1808.0758957219432</v>
      </c>
      <c r="G158" s="229">
        <v>601.26595342198596</v>
      </c>
      <c r="H158" s="229">
        <v>3694.5740874761059</v>
      </c>
      <c r="I158" s="229">
        <v>1682.8264706538375</v>
      </c>
      <c r="J158" s="229">
        <v>1309.2720863388854</v>
      </c>
      <c r="K158" s="229">
        <v>1502.7371119854874</v>
      </c>
      <c r="L158" s="170"/>
      <c r="M158" s="170"/>
      <c r="N158" s="195">
        <f t="shared" si="19"/>
        <v>4405.5976222664394</v>
      </c>
      <c r="O158" s="195">
        <f t="shared" si="21"/>
        <v>3694.5740874761059</v>
      </c>
      <c r="P158" s="195">
        <f t="shared" si="20"/>
        <v>4647.2186194955038</v>
      </c>
      <c r="Q158" s="195">
        <f t="shared" si="22"/>
        <v>12747.390329238049</v>
      </c>
      <c r="R158" s="221">
        <f t="shared" si="23"/>
        <v>0.34560780743973463</v>
      </c>
      <c r="AC158" s="251"/>
    </row>
    <row r="159" spans="1:29" ht="15.6" x14ac:dyDescent="0.3">
      <c r="A159" s="206">
        <v>2036</v>
      </c>
      <c r="B159" s="229">
        <v>15336.312137177225</v>
      </c>
      <c r="C159" s="229">
        <v>3401.9690544857372</v>
      </c>
      <c r="D159" s="229">
        <v>666.35030685687218</v>
      </c>
      <c r="E159" s="229">
        <v>6410.1501939327354</v>
      </c>
      <c r="F159" s="229">
        <v>1854.591021614043</v>
      </c>
      <c r="G159" s="229">
        <v>609.33532681133374</v>
      </c>
      <c r="H159" s="229">
        <v>3730.3404627702657</v>
      </c>
      <c r="I159" s="229">
        <v>1741.9806195866427</v>
      </c>
      <c r="J159" s="229">
        <v>1313.5517239288433</v>
      </c>
      <c r="K159" s="229">
        <v>1513.9251908991339</v>
      </c>
      <c r="L159" s="170"/>
      <c r="M159" s="170"/>
      <c r="N159" s="195">
        <f t="shared" si="19"/>
        <v>4534.4007527765134</v>
      </c>
      <c r="O159" s="195">
        <f t="shared" si="21"/>
        <v>3730.3404627702657</v>
      </c>
      <c r="P159" s="195">
        <f t="shared" si="20"/>
        <v>4677.6546881539434</v>
      </c>
      <c r="Q159" s="195">
        <f t="shared" si="22"/>
        <v>12942.395903700723</v>
      </c>
      <c r="R159" s="221">
        <f t="shared" si="23"/>
        <v>0.35035249937609741</v>
      </c>
      <c r="AC159" s="251"/>
    </row>
    <row r="160" spans="1:29" ht="15.6" x14ac:dyDescent="0.3">
      <c r="A160" s="206">
        <v>2037</v>
      </c>
      <c r="B160" s="229">
        <v>15572.086887736801</v>
      </c>
      <c r="C160" s="229">
        <v>3419.3440835606998</v>
      </c>
      <c r="D160" s="229">
        <v>671.11349048866464</v>
      </c>
      <c r="E160" s="229">
        <v>6529.3175867817272</v>
      </c>
      <c r="F160" s="229">
        <v>1902.2945068606014</v>
      </c>
      <c r="G160" s="229">
        <v>617.40703246945714</v>
      </c>
      <c r="H160" s="229">
        <v>3765.5151567707167</v>
      </c>
      <c r="I160" s="229">
        <v>1802.5908673054209</v>
      </c>
      <c r="J160" s="229">
        <v>1317.7369309301287</v>
      </c>
      <c r="K160" s="229">
        <v>1525.0823114633051</v>
      </c>
      <c r="L160" s="170"/>
      <c r="M160" s="170"/>
      <c r="N160" s="195">
        <f t="shared" si="19"/>
        <v>4666.0969368716123</v>
      </c>
      <c r="O160" s="195">
        <f t="shared" si="21"/>
        <v>3765.5151567707167</v>
      </c>
      <c r="P160" s="195">
        <f t="shared" si="20"/>
        <v>4707.8646065188223</v>
      </c>
      <c r="Q160" s="195">
        <f t="shared" si="22"/>
        <v>13139.476700161151</v>
      </c>
      <c r="R160" s="221">
        <f t="shared" si="23"/>
        <v>0.35512045444050178</v>
      </c>
      <c r="AC160" s="251"/>
    </row>
    <row r="161" spans="1:29" ht="15.6" x14ac:dyDescent="0.3">
      <c r="A161" s="206">
        <v>2038</v>
      </c>
      <c r="B161" s="229">
        <v>15810.087960544573</v>
      </c>
      <c r="C161" s="229">
        <v>3436.4498556340841</v>
      </c>
      <c r="D161" s="229">
        <v>675.92356566433727</v>
      </c>
      <c r="E161" s="229">
        <v>6649.5873146595623</v>
      </c>
      <c r="F161" s="229">
        <v>1951.217749423229</v>
      </c>
      <c r="G161" s="229">
        <v>625.48035446852475</v>
      </c>
      <c r="H161" s="229">
        <v>3800.1015787362439</v>
      </c>
      <c r="I161" s="229">
        <v>1864.6541863667289</v>
      </c>
      <c r="J161" s="229">
        <v>1321.8279977745669</v>
      </c>
      <c r="K161" s="229">
        <v>1536.2045549602567</v>
      </c>
      <c r="L161" s="170"/>
      <c r="M161" s="170"/>
      <c r="N161" s="195">
        <f t="shared" si="19"/>
        <v>4800.7034853465475</v>
      </c>
      <c r="O161" s="195">
        <f t="shared" si="21"/>
        <v>3800.1015787362439</v>
      </c>
      <c r="P161" s="195">
        <f t="shared" si="20"/>
        <v>4737.8537757669465</v>
      </c>
      <c r="Q161" s="195">
        <f t="shared" si="22"/>
        <v>13338.658839849737</v>
      </c>
      <c r="R161" s="221">
        <f t="shared" si="23"/>
        <v>0.35990900906800827</v>
      </c>
      <c r="AC161" s="251"/>
    </row>
    <row r="162" spans="1:29" ht="15.6" x14ac:dyDescent="0.3">
      <c r="A162" s="206">
        <v>2039</v>
      </c>
      <c r="B162" s="229">
        <v>16050.32815840179</v>
      </c>
      <c r="C162" s="229">
        <v>3453.2891925476511</v>
      </c>
      <c r="D162" s="229">
        <v>680.78638065749419</v>
      </c>
      <c r="E162" s="229">
        <v>6770.9514388401258</v>
      </c>
      <c r="F162" s="229">
        <v>2001.3890212500787</v>
      </c>
      <c r="G162" s="229">
        <v>633.55475115558409</v>
      </c>
      <c r="H162" s="229">
        <v>3834.0979002124523</v>
      </c>
      <c r="I162" s="229">
        <v>1928.1706955810851</v>
      </c>
      <c r="J162" s="229">
        <v>1325.8257840477695</v>
      </c>
      <c r="K162" s="229">
        <v>1547.2856650835415</v>
      </c>
      <c r="L162" s="170"/>
      <c r="M162" s="170"/>
      <c r="N162" s="195">
        <f t="shared" si="19"/>
        <v>4938.2425598777527</v>
      </c>
      <c r="O162" s="195">
        <f t="shared" si="21"/>
        <v>3834.0979002124523</v>
      </c>
      <c r="P162" s="195">
        <f t="shared" si="20"/>
        <v>4767.6303243607299</v>
      </c>
      <c r="Q162" s="195">
        <f t="shared" si="22"/>
        <v>13539.970784450936</v>
      </c>
      <c r="R162" s="221">
        <f t="shared" si="23"/>
        <v>0.36471589477495353</v>
      </c>
      <c r="AC162" s="251"/>
    </row>
    <row r="163" spans="1:29" ht="15.6" x14ac:dyDescent="0.3">
      <c r="A163" s="206">
        <v>2040</v>
      </c>
      <c r="B163" s="229">
        <v>16286.295058841253</v>
      </c>
      <c r="C163" s="229">
        <v>3469.8626585698557</v>
      </c>
      <c r="D163" s="229">
        <v>686.23699906113927</v>
      </c>
      <c r="E163" s="229">
        <v>6889.2583016495464</v>
      </c>
      <c r="F163" s="229">
        <v>2053.730236895829</v>
      </c>
      <c r="G163" s="229">
        <v>641.63360827958763</v>
      </c>
      <c r="H163" s="229">
        <v>3863.8475036532441</v>
      </c>
      <c r="I163" s="229">
        <v>1994.1939398847849</v>
      </c>
      <c r="J163" s="229">
        <v>1329.7119059009494</v>
      </c>
      <c r="K163" s="229">
        <v>1558.4740097507215</v>
      </c>
      <c r="L163" s="170"/>
      <c r="M163" s="170"/>
      <c r="N163" s="195">
        <f t="shared" si="19"/>
        <v>5079.1410348921308</v>
      </c>
      <c r="O163" s="195">
        <f t="shared" si="21"/>
        <v>3863.8475036532441</v>
      </c>
      <c r="P163" s="195">
        <f t="shared" si="20"/>
        <v>4797.7332659105832</v>
      </c>
      <c r="Q163" s="195">
        <f t="shared" si="22"/>
        <v>13740.721804455958</v>
      </c>
      <c r="R163" s="221">
        <f t="shared" si="23"/>
        <v>0.36964150116517341</v>
      </c>
      <c r="AC163" s="251"/>
    </row>
    <row r="164" spans="1:29" ht="15.6" x14ac:dyDescent="0.3">
      <c r="A164" s="206">
        <v>2041</v>
      </c>
      <c r="B164" s="229">
        <v>16537.563956506514</v>
      </c>
      <c r="C164" s="229">
        <v>3486.1734847954349</v>
      </c>
      <c r="D164" s="229">
        <v>690.68833202153235</v>
      </c>
      <c r="E164" s="229">
        <v>7016.9088614534667</v>
      </c>
      <c r="F164" s="229">
        <v>2105.6006410481805</v>
      </c>
      <c r="G164" s="229">
        <v>649.70382736860643</v>
      </c>
      <c r="H164" s="229">
        <v>3900.3177647315424</v>
      </c>
      <c r="I164" s="229">
        <v>2059.5513187594211</v>
      </c>
      <c r="J164" s="229">
        <v>1333.5432010100542</v>
      </c>
      <c r="K164" s="229">
        <v>1569.3133653333136</v>
      </c>
      <c r="L164" s="170"/>
      <c r="M164" s="170"/>
      <c r="N164" s="195">
        <f t="shared" si="19"/>
        <v>5222.1917377701047</v>
      </c>
      <c r="O164" s="195">
        <f t="shared" si="21"/>
        <v>3900.3177647315424</v>
      </c>
      <c r="P164" s="195">
        <f t="shared" si="20"/>
        <v>4826.5656441855735</v>
      </c>
      <c r="Q164" s="195">
        <f>N164+P164+O164</f>
        <v>13949.075146687221</v>
      </c>
      <c r="R164" s="221">
        <f>N164/Q164</f>
        <v>0.37437548244984026</v>
      </c>
      <c r="AC164" s="251"/>
    </row>
    <row r="165" spans="1:29" ht="15.6" x14ac:dyDescent="0.3">
      <c r="A165" s="206">
        <v>2042</v>
      </c>
      <c r="B165" s="229">
        <v>16784.571630574461</v>
      </c>
      <c r="C165" s="229">
        <v>3502.215212343368</v>
      </c>
      <c r="D165" s="229">
        <v>695.7334016258709</v>
      </c>
      <c r="E165" s="229">
        <v>7141.4589945789521</v>
      </c>
      <c r="F165" s="229">
        <v>2159.7129926494817</v>
      </c>
      <c r="G165" s="229">
        <v>657.77636065947274</v>
      </c>
      <c r="H165" s="229">
        <v>3932.5463489670519</v>
      </c>
      <c r="I165" s="229">
        <v>2127.3991687501648</v>
      </c>
      <c r="J165" s="229">
        <v>1337.262435549145</v>
      </c>
      <c r="K165" s="229">
        <v>1580.2645720177329</v>
      </c>
      <c r="L165" s="170"/>
      <c r="M165" s="170"/>
      <c r="N165" s="195">
        <f t="shared" si="19"/>
        <v>5368.6256382613819</v>
      </c>
      <c r="O165" s="195">
        <f t="shared" si="21"/>
        <v>3932.5463489670519</v>
      </c>
      <c r="P165" s="195">
        <f t="shared" si="20"/>
        <v>4855.7249746287116</v>
      </c>
      <c r="Q165" s="195">
        <f t="shared" si="22"/>
        <v>14156.896961857146</v>
      </c>
      <c r="R165" s="221">
        <f t="shared" si="23"/>
        <v>0.3792233321133891</v>
      </c>
      <c r="AC165" s="251"/>
    </row>
    <row r="166" spans="1:29" ht="15.6" x14ac:dyDescent="0.3">
      <c r="A166" s="206">
        <v>2043</v>
      </c>
      <c r="B166" s="229">
        <v>17033.832131797768</v>
      </c>
      <c r="C166" s="229">
        <v>3517.98485782631</v>
      </c>
      <c r="D166" s="229">
        <v>700.84168508846506</v>
      </c>
      <c r="E166" s="229">
        <v>7267.0188106202886</v>
      </c>
      <c r="F166" s="229">
        <v>2215.2084297727633</v>
      </c>
      <c r="G166" s="229">
        <v>665.84655139807239</v>
      </c>
      <c r="H166" s="229">
        <v>3964.1929939905194</v>
      </c>
      <c r="I166" s="229">
        <v>2196.6715744658463</v>
      </c>
      <c r="J166" s="229">
        <v>1340.8856363958328</v>
      </c>
      <c r="K166" s="229">
        <v>1591.181322142033</v>
      </c>
      <c r="L166" s="170"/>
      <c r="M166" s="170"/>
      <c r="N166" s="195">
        <f t="shared" si="19"/>
        <v>5518.0342464025316</v>
      </c>
      <c r="O166" s="195">
        <f t="shared" si="21"/>
        <v>3964.1929939905194</v>
      </c>
      <c r="P166" s="195">
        <f t="shared" si="20"/>
        <v>4884.6730943128478</v>
      </c>
      <c r="Q166" s="195">
        <f t="shared" si="22"/>
        <v>14366.900334705901</v>
      </c>
      <c r="R166" s="221">
        <f t="shared" si="23"/>
        <v>0.38407966352162276</v>
      </c>
      <c r="AC166" s="251"/>
    </row>
    <row r="167" spans="1:29" ht="15.6" x14ac:dyDescent="0.3">
      <c r="A167" s="206">
        <v>2044</v>
      </c>
      <c r="B167" s="229">
        <v>17285.331641122102</v>
      </c>
      <c r="C167" s="229">
        <v>3533.4772510364774</v>
      </c>
      <c r="D167" s="229">
        <v>706.01148442904639</v>
      </c>
      <c r="E167" s="229">
        <v>7393.5543594889314</v>
      </c>
      <c r="F167" s="229">
        <v>2272.1197629139888</v>
      </c>
      <c r="G167" s="229">
        <v>673.91388756924391</v>
      </c>
      <c r="H167" s="229">
        <v>3995.2623647991109</v>
      </c>
      <c r="I167" s="229">
        <v>2267.3564249932724</v>
      </c>
      <c r="J167" s="229">
        <v>1344.4091197296821</v>
      </c>
      <c r="K167" s="229">
        <v>1602.0714145394768</v>
      </c>
      <c r="L167" s="170"/>
      <c r="M167" s="170"/>
      <c r="N167" s="195">
        <f t="shared" si="19"/>
        <v>5670.4117576038097</v>
      </c>
      <c r="O167" s="195">
        <f t="shared" si="21"/>
        <v>3995.2623647991109</v>
      </c>
      <c r="P167" s="195">
        <f t="shared" si="20"/>
        <v>4913.4026230347681</v>
      </c>
      <c r="Q167" s="195">
        <f t="shared" si="22"/>
        <v>14579.076745437689</v>
      </c>
      <c r="R167" s="221">
        <f t="shared" si="23"/>
        <v>0.38894175924948626</v>
      </c>
      <c r="AC167" s="251"/>
    </row>
    <row r="168" spans="1:29" ht="15.6" x14ac:dyDescent="0.3">
      <c r="A168" s="206">
        <v>2045</v>
      </c>
      <c r="B168" s="229">
        <v>17539.058347858976</v>
      </c>
      <c r="C168" s="229">
        <v>3548.6895573249481</v>
      </c>
      <c r="D168" s="229">
        <v>711.24130166583086</v>
      </c>
      <c r="E168" s="229">
        <v>7521.0328049955569</v>
      </c>
      <c r="F168" s="229">
        <v>2330.4805599426577</v>
      </c>
      <c r="G168" s="229">
        <v>681.97763991706563</v>
      </c>
      <c r="H168" s="229">
        <v>4025.7546547582124</v>
      </c>
      <c r="I168" s="229">
        <v>2339.442569355775</v>
      </c>
      <c r="J168" s="229">
        <v>1347.8306213931451</v>
      </c>
      <c r="K168" s="229">
        <v>1612.9414618030355</v>
      </c>
      <c r="L168" s="170"/>
      <c r="M168" s="170"/>
      <c r="N168" s="195">
        <f t="shared" si="19"/>
        <v>5825.7587101800027</v>
      </c>
      <c r="O168" s="195">
        <f t="shared" si="21"/>
        <v>4025.7546547582124</v>
      </c>
      <c r="P168" s="195">
        <f t="shared" si="20"/>
        <v>4941.9084989078447</v>
      </c>
      <c r="Q168" s="195">
        <f t="shared" si="22"/>
        <v>14793.421863846059</v>
      </c>
      <c r="R168" s="221">
        <f t="shared" si="23"/>
        <v>0.39380738032068779</v>
      </c>
      <c r="AC168" s="251"/>
    </row>
    <row r="169" spans="1:29" ht="15.6" x14ac:dyDescent="0.3">
      <c r="A169" s="206">
        <v>2046</v>
      </c>
      <c r="B169" s="229">
        <v>17795.010287235702</v>
      </c>
      <c r="C169" s="229">
        <v>3563.6197408812218</v>
      </c>
      <c r="D169" s="229">
        <v>716.53212193694617</v>
      </c>
      <c r="E169" s="229">
        <v>7649.4271838729892</v>
      </c>
      <c r="F169" s="229">
        <v>2390.3254636310203</v>
      </c>
      <c r="G169" s="229">
        <v>690.0368662671624</v>
      </c>
      <c r="H169" s="229">
        <v>4055.6679626013029</v>
      </c>
      <c r="I169" s="229">
        <v>2412.9200403122718</v>
      </c>
      <c r="J169" s="229">
        <v>1351.1498963043268</v>
      </c>
      <c r="K169" s="229">
        <v>1623.7950947346098</v>
      </c>
      <c r="L169" s="170"/>
      <c r="M169" s="170"/>
      <c r="N169" s="195">
        <f t="shared" si="19"/>
        <v>5984.0846849027075</v>
      </c>
      <c r="O169" s="195">
        <f t="shared" si="21"/>
        <v>4055.6679626013029</v>
      </c>
      <c r="P169" s="195">
        <f t="shared" si="20"/>
        <v>4970.1887290853301</v>
      </c>
      <c r="Q169" s="195">
        <f t="shared" si="22"/>
        <v>15009.941376589341</v>
      </c>
      <c r="R169" s="221">
        <f t="shared" si="23"/>
        <v>0.39867475393581125</v>
      </c>
      <c r="AC169" s="251"/>
    </row>
    <row r="170" spans="1:29" ht="15.6" x14ac:dyDescent="0.3">
      <c r="A170" s="206">
        <v>2047</v>
      </c>
      <c r="B170" s="229">
        <v>18053.186480389701</v>
      </c>
      <c r="C170" s="229">
        <v>3578.271571971668</v>
      </c>
      <c r="D170" s="229">
        <v>721.88421565017006</v>
      </c>
      <c r="E170" s="229">
        <v>7778.7114446075011</v>
      </c>
      <c r="F170" s="229">
        <v>2451.6903365331168</v>
      </c>
      <c r="G170" s="229">
        <v>698.09024078018592</v>
      </c>
      <c r="H170" s="229">
        <v>4084.9906951052549</v>
      </c>
      <c r="I170" s="229">
        <v>2487.7814698747698</v>
      </c>
      <c r="J170" s="229">
        <v>1354.3689610647805</v>
      </c>
      <c r="K170" s="229">
        <v>1634.6343487792406</v>
      </c>
      <c r="L170" s="170"/>
      <c r="M170" s="170"/>
      <c r="N170" s="195">
        <f t="shared" si="19"/>
        <v>6145.411086035363</v>
      </c>
      <c r="O170" s="195">
        <f t="shared" si="21"/>
        <v>4084.9906951052549</v>
      </c>
      <c r="P170" s="195">
        <f t="shared" si="20"/>
        <v>4998.2460284020235</v>
      </c>
      <c r="Q170" s="195">
        <f t="shared" si="22"/>
        <v>15228.647809542641</v>
      </c>
      <c r="R170" s="221">
        <f t="shared" si="23"/>
        <v>0.4035427940085724</v>
      </c>
      <c r="AC170" s="251"/>
    </row>
    <row r="171" spans="1:29" ht="15.6" x14ac:dyDescent="0.3">
      <c r="A171" s="206">
        <v>2048</v>
      </c>
      <c r="B171" s="229">
        <v>18313.576325443002</v>
      </c>
      <c r="C171" s="229">
        <v>3592.6553460603618</v>
      </c>
      <c r="D171" s="229">
        <v>727.29404745928343</v>
      </c>
      <c r="E171" s="229">
        <v>7908.8535864744645</v>
      </c>
      <c r="F171" s="229">
        <v>2514.611646938783</v>
      </c>
      <c r="G171" s="229">
        <v>706.13614891588725</v>
      </c>
      <c r="H171" s="229">
        <v>4113.6999846775579</v>
      </c>
      <c r="I171" s="229">
        <v>2564.0212235039394</v>
      </c>
      <c r="J171" s="229">
        <v>1357.4906848676628</v>
      </c>
      <c r="K171" s="229">
        <v>1645.4625272497351</v>
      </c>
      <c r="L171" s="170"/>
      <c r="M171" s="170"/>
      <c r="N171" s="195">
        <f t="shared" si="19"/>
        <v>6309.76524873569</v>
      </c>
      <c r="O171" s="195">
        <f t="shared" si="21"/>
        <v>4113.6999846775579</v>
      </c>
      <c r="P171" s="195">
        <f t="shared" si="20"/>
        <v>5026.0855424355323</v>
      </c>
      <c r="Q171" s="195">
        <f t="shared" si="22"/>
        <v>15449.55077584878</v>
      </c>
      <c r="R171" s="221">
        <f t="shared" si="23"/>
        <v>0.40841092018023667</v>
      </c>
      <c r="AC171" s="251"/>
    </row>
    <row r="172" spans="1:29" ht="15.6" x14ac:dyDescent="0.3">
      <c r="A172" s="206">
        <v>2049</v>
      </c>
      <c r="B172" s="229">
        <v>18576.16701763056</v>
      </c>
      <c r="C172" s="229">
        <v>3606.7854724921699</v>
      </c>
      <c r="D172" s="229">
        <v>732.75664872457821</v>
      </c>
      <c r="E172" s="229">
        <v>8039.8198448558023</v>
      </c>
      <c r="F172" s="229">
        <v>2579.1265431173006</v>
      </c>
      <c r="G172" s="229">
        <v>714.17271201281596</v>
      </c>
      <c r="H172" s="229">
        <v>4141.7654585680202</v>
      </c>
      <c r="I172" s="229">
        <v>2641.6350631433779</v>
      </c>
      <c r="J172" s="229">
        <v>1360.519194625874</v>
      </c>
      <c r="K172" s="229">
        <v>1656.2827381164159</v>
      </c>
      <c r="L172" s="170"/>
      <c r="M172" s="170"/>
      <c r="N172" s="195">
        <f t="shared" si="19"/>
        <v>6477.1809294050827</v>
      </c>
      <c r="O172" s="195">
        <f t="shared" si="21"/>
        <v>4141.7654585680202</v>
      </c>
      <c r="P172" s="195">
        <f t="shared" si="20"/>
        <v>5053.7148332295646</v>
      </c>
      <c r="Q172" s="195">
        <f t="shared" si="22"/>
        <v>15672.661221202667</v>
      </c>
      <c r="R172" s="221">
        <f t="shared" si="23"/>
        <v>0.41327894720537101</v>
      </c>
      <c r="AC172" s="251"/>
    </row>
    <row r="173" spans="1:29" ht="16.2" thickBot="1" x14ac:dyDescent="0.35">
      <c r="A173" s="208">
        <v>2050</v>
      </c>
      <c r="B173" s="231">
        <v>18845.171043193688</v>
      </c>
      <c r="C173" s="231">
        <v>3620.5880267991215</v>
      </c>
      <c r="D173" s="231">
        <v>737.91448727042882</v>
      </c>
      <c r="E173" s="231">
        <v>8174.3363645415175</v>
      </c>
      <c r="F173" s="231">
        <v>2644.6773605070512</v>
      </c>
      <c r="G173" s="231">
        <v>722.1954336385146</v>
      </c>
      <c r="H173" s="231">
        <v>4171.5969046050905</v>
      </c>
      <c r="I173" s="231">
        <v>2719.9134562579338</v>
      </c>
      <c r="J173" s="231">
        <v>1363.0841768187715</v>
      </c>
      <c r="K173" s="231">
        <v>1666.9968811511571</v>
      </c>
      <c r="L173" s="209"/>
      <c r="M173" s="209"/>
      <c r="N173" s="195">
        <f t="shared" si="19"/>
        <v>6647.4168204434773</v>
      </c>
      <c r="O173" s="195">
        <f t="shared" si="21"/>
        <v>4171.5969046050905</v>
      </c>
      <c r="P173" s="195">
        <f t="shared" si="20"/>
        <v>5080.6979477080649</v>
      </c>
      <c r="Q173" s="195">
        <f t="shared" si="22"/>
        <v>15899.711672756634</v>
      </c>
      <c r="R173" s="222">
        <f t="shared" si="23"/>
        <v>0.41808411103664828</v>
      </c>
      <c r="AC173" s="251"/>
    </row>
    <row r="174" spans="1:29" ht="15.6" x14ac:dyDescent="0.3">
      <c r="A174" s="213">
        <v>2051</v>
      </c>
      <c r="B174" s="227">
        <v>19107.925107193845</v>
      </c>
      <c r="C174" s="227">
        <v>3634.3227628957184</v>
      </c>
      <c r="D174" s="227">
        <v>743.82730911910801</v>
      </c>
      <c r="E174" s="227">
        <v>8304.0993656387182</v>
      </c>
      <c r="F174" s="227">
        <v>2713.0847234972152</v>
      </c>
      <c r="G174" s="227">
        <v>730.21087194023153</v>
      </c>
      <c r="H174" s="227">
        <v>4195.8798413794093</v>
      </c>
      <c r="I174" s="227">
        <v>2800.9596602196229</v>
      </c>
      <c r="J174" s="227">
        <v>1366.3107336746339</v>
      </c>
      <c r="K174" s="227">
        <v>1677.9109459529291</v>
      </c>
      <c r="N174" s="195">
        <f t="shared" si="19"/>
        <v>6821.3042477565241</v>
      </c>
      <c r="O174" s="195">
        <f t="shared" si="21"/>
        <v>4195.8798413794093</v>
      </c>
      <c r="P174" s="195">
        <f t="shared" si="20"/>
        <v>5108.3609439550573</v>
      </c>
      <c r="Q174" s="195">
        <f t="shared" si="22"/>
        <v>16125.545033090992</v>
      </c>
      <c r="R174" s="214">
        <f t="shared" si="23"/>
        <v>0.4230123219871717</v>
      </c>
      <c r="AC174" s="251"/>
    </row>
    <row r="175" spans="1:29" ht="15.6" x14ac:dyDescent="0.3">
      <c r="A175" s="194">
        <v>2052</v>
      </c>
      <c r="B175" s="229">
        <v>19377.098090773063</v>
      </c>
      <c r="C175" s="229">
        <v>3647.7338413065622</v>
      </c>
      <c r="D175" s="229">
        <v>749.43452003275229</v>
      </c>
      <c r="E175" s="229">
        <v>8437.3583638727887</v>
      </c>
      <c r="F175" s="229">
        <v>2782.6007932415596</v>
      </c>
      <c r="G175" s="229">
        <v>738.2096128184952</v>
      </c>
      <c r="H175" s="229">
        <v>4221.9161698135413</v>
      </c>
      <c r="I175" s="229">
        <v>2882.6514143984027</v>
      </c>
      <c r="J175" s="229">
        <v>1369.0784668116057</v>
      </c>
      <c r="K175" s="229">
        <v>1688.7241613187853</v>
      </c>
      <c r="N175" s="195">
        <f t="shared" si="19"/>
        <v>6998.042987300807</v>
      </c>
      <c r="O175" s="195">
        <f t="shared" si="21"/>
        <v>4221.9161698135413</v>
      </c>
      <c r="P175" s="195">
        <f t="shared" si="20"/>
        <v>5135.3779741578091</v>
      </c>
      <c r="Q175" s="195">
        <f t="shared" si="22"/>
        <v>16355.337131272157</v>
      </c>
      <c r="R175" s="196">
        <f t="shared" si="23"/>
        <v>0.42787519029003851</v>
      </c>
      <c r="AC175" s="251"/>
    </row>
    <row r="176" spans="1:29" ht="15.6" x14ac:dyDescent="0.3">
      <c r="A176" s="194">
        <v>2053</v>
      </c>
      <c r="B176" s="229">
        <v>19648.445236051204</v>
      </c>
      <c r="C176" s="229">
        <v>3660.9068997338418</v>
      </c>
      <c r="D176" s="229">
        <v>755.08806962539734</v>
      </c>
      <c r="E176" s="229">
        <v>8571.3087888530099</v>
      </c>
      <c r="F176" s="229">
        <v>2853.8563400250032</v>
      </c>
      <c r="G176" s="229">
        <v>746.19265027467941</v>
      </c>
      <c r="H176" s="229">
        <v>4247.2292877852415</v>
      </c>
      <c r="I176" s="229">
        <v>2965.6783119097508</v>
      </c>
      <c r="J176" s="229">
        <v>1371.7645446404545</v>
      </c>
      <c r="K176" s="229">
        <v>1699.5449070255122</v>
      </c>
      <c r="N176" s="195">
        <f t="shared" si="19"/>
        <v>7177.9358410927707</v>
      </c>
      <c r="O176" s="195">
        <f t="shared" si="21"/>
        <v>4247.2292877852415</v>
      </c>
      <c r="P176" s="195">
        <f t="shared" si="20"/>
        <v>5162.1876196339181</v>
      </c>
      <c r="Q176" s="195">
        <f t="shared" si="22"/>
        <v>16587.35274851193</v>
      </c>
      <c r="R176" s="196">
        <f t="shared" si="23"/>
        <v>0.43273546719121359</v>
      </c>
      <c r="AC176" s="251"/>
    </row>
    <row r="177" spans="1:29" ht="15.6" x14ac:dyDescent="0.3">
      <c r="A177" s="194">
        <v>2054</v>
      </c>
      <c r="B177" s="229">
        <v>19921.938210866912</v>
      </c>
      <c r="C177" s="229">
        <v>3673.840762049063</v>
      </c>
      <c r="D177" s="229">
        <v>760.7863521383199</v>
      </c>
      <c r="E177" s="229">
        <v>8705.9002270767123</v>
      </c>
      <c r="F177" s="229">
        <v>2926.8873734076806</v>
      </c>
      <c r="G177" s="229">
        <v>754.15822780953761</v>
      </c>
      <c r="H177" s="229">
        <v>4271.7702349238562</v>
      </c>
      <c r="I177" s="229">
        <v>3050.0240090914285</v>
      </c>
      <c r="J177" s="229">
        <v>1374.3721096013367</v>
      </c>
      <c r="K177" s="229">
        <v>1710.3814804508143</v>
      </c>
      <c r="N177" s="195">
        <f t="shared" si="19"/>
        <v>7361.0173655605367</v>
      </c>
      <c r="O177" s="195">
        <f t="shared" si="21"/>
        <v>4271.7702349238562</v>
      </c>
      <c r="P177" s="195">
        <f t="shared" si="20"/>
        <v>5188.7853419969206</v>
      </c>
      <c r="Q177" s="195">
        <f t="shared" si="22"/>
        <v>16821.572942481314</v>
      </c>
      <c r="R177" s="196">
        <f t="shared" si="23"/>
        <v>0.43759387964076613</v>
      </c>
      <c r="AC177" s="251"/>
    </row>
    <row r="178" spans="1:29" ht="15.6" x14ac:dyDescent="0.3">
      <c r="A178" s="194">
        <v>2055</v>
      </c>
      <c r="B178" s="229">
        <v>20197.562485094975</v>
      </c>
      <c r="C178" s="229">
        <v>3686.534507048988</v>
      </c>
      <c r="D178" s="229">
        <v>766.52844282405363</v>
      </c>
      <c r="E178" s="229">
        <v>8841.0906461803097</v>
      </c>
      <c r="F178" s="229">
        <v>3001.7304363903977</v>
      </c>
      <c r="G178" s="229">
        <v>762.10462688039161</v>
      </c>
      <c r="H178" s="229">
        <v>4295.5057750260403</v>
      </c>
      <c r="I178" s="229">
        <v>3135.6734849752193</v>
      </c>
      <c r="J178" s="229">
        <v>1376.9044827105918</v>
      </c>
      <c r="K178" s="229">
        <v>1721.2397733450041</v>
      </c>
      <c r="N178" s="195">
        <f t="shared" si="19"/>
        <v>7547.3153075446662</v>
      </c>
      <c r="O178" s="195">
        <f t="shared" si="21"/>
        <v>4295.5057750260403</v>
      </c>
      <c r="P178" s="195">
        <f t="shared" si="20"/>
        <v>5215.1675767534325</v>
      </c>
      <c r="Q178" s="195">
        <f t="shared" si="22"/>
        <v>17057.988659324139</v>
      </c>
      <c r="R178" s="196">
        <f t="shared" si="23"/>
        <v>0.44245048219206057</v>
      </c>
      <c r="AC178" s="251"/>
    </row>
    <row r="179" spans="1:29" ht="15.6" x14ac:dyDescent="0.3">
      <c r="A179" s="194">
        <v>2056</v>
      </c>
      <c r="B179" s="229">
        <v>20475.321099463305</v>
      </c>
      <c r="C179" s="229">
        <v>3698.9901611117648</v>
      </c>
      <c r="D179" s="229">
        <v>772.31471680839115</v>
      </c>
      <c r="E179" s="229">
        <v>8976.8500865281712</v>
      </c>
      <c r="F179" s="229">
        <v>3078.4227977570822</v>
      </c>
      <c r="G179" s="229">
        <v>770.03029779079475</v>
      </c>
      <c r="H179" s="229">
        <v>4318.4221433297134</v>
      </c>
      <c r="I179" s="229">
        <v>3222.6160374287101</v>
      </c>
      <c r="J179" s="229">
        <v>1379.3653413249217</v>
      </c>
      <c r="K179" s="229">
        <v>1732.1221651901219</v>
      </c>
      <c r="N179" s="195">
        <f t="shared" si="19"/>
        <v>7736.8507409555405</v>
      </c>
      <c r="O179" s="195">
        <f t="shared" si="21"/>
        <v>4318.4221433297134</v>
      </c>
      <c r="P179" s="195">
        <f t="shared" si="20"/>
        <v>5241.3351757109513</v>
      </c>
      <c r="Q179" s="195">
        <f t="shared" si="22"/>
        <v>17296.608059996204</v>
      </c>
      <c r="R179" s="196">
        <f t="shared" si="23"/>
        <v>0.44730450699460655</v>
      </c>
      <c r="AC179" s="251"/>
    </row>
    <row r="180" spans="1:29" ht="15.6" x14ac:dyDescent="0.3">
      <c r="A180" s="194">
        <v>2057</v>
      </c>
      <c r="B180" s="229">
        <v>20755.240683388936</v>
      </c>
      <c r="C180" s="229">
        <v>3711.2091600725803</v>
      </c>
      <c r="D180" s="229">
        <v>778.1462425021507</v>
      </c>
      <c r="E180" s="229">
        <v>9113.1635074254009</v>
      </c>
      <c r="F180" s="229">
        <v>3157.0024690101736</v>
      </c>
      <c r="G180" s="229">
        <v>777.93366923230235</v>
      </c>
      <c r="H180" s="229">
        <v>4340.5349317735636</v>
      </c>
      <c r="I180" s="229">
        <v>3310.8424535074791</v>
      </c>
      <c r="J180" s="229">
        <v>1381.7584633526096</v>
      </c>
      <c r="K180" s="229">
        <v>1743.027312100633</v>
      </c>
      <c r="N180" s="195">
        <f t="shared" si="19"/>
        <v>7929.6310446620118</v>
      </c>
      <c r="O180" s="195">
        <f t="shared" si="21"/>
        <v>4340.5349317735636</v>
      </c>
      <c r="P180" s="195">
        <f t="shared" si="20"/>
        <v>5267.289071807033</v>
      </c>
      <c r="Q180" s="195">
        <f t="shared" si="22"/>
        <v>17537.455048242609</v>
      </c>
      <c r="R180" s="196">
        <f t="shared" si="23"/>
        <v>0.4521540339147796</v>
      </c>
      <c r="AC180" s="251"/>
    </row>
    <row r="181" spans="1:29" ht="15.6" x14ac:dyDescent="0.3">
      <c r="A181" s="194">
        <v>2058</v>
      </c>
      <c r="B181" s="229">
        <v>21037.361965287157</v>
      </c>
      <c r="C181" s="229">
        <v>3723.1889705469075</v>
      </c>
      <c r="D181" s="229">
        <v>784.02400307166317</v>
      </c>
      <c r="E181" s="229">
        <v>9250.023480920885</v>
      </c>
      <c r="F181" s="229">
        <v>3237.5078325611548</v>
      </c>
      <c r="G181" s="229">
        <v>785.81297914091544</v>
      </c>
      <c r="H181" s="229">
        <v>4361.8790193293717</v>
      </c>
      <c r="I181" s="229">
        <v>3400.3408651530444</v>
      </c>
      <c r="J181" s="229">
        <v>1384.0875543495281</v>
      </c>
      <c r="K181" s="229">
        <v>1753.9523813004394</v>
      </c>
      <c r="N181" s="195">
        <f t="shared" si="19"/>
        <v>8125.6522941526673</v>
      </c>
      <c r="O181" s="195">
        <f t="shared" si="21"/>
        <v>4361.8790193293717</v>
      </c>
      <c r="P181" s="195">
        <f t="shared" si="20"/>
        <v>5293.0259527594862</v>
      </c>
      <c r="Q181" s="195">
        <f t="shared" si="22"/>
        <v>17780.557266241525</v>
      </c>
      <c r="R181" s="196">
        <f t="shared" si="23"/>
        <v>0.45699649186924934</v>
      </c>
      <c r="AC181" s="251"/>
    </row>
    <row r="182" spans="1:29" ht="15.6" x14ac:dyDescent="0.3">
      <c r="A182" s="194">
        <v>2059</v>
      </c>
      <c r="B182" s="229">
        <v>21321.739454099348</v>
      </c>
      <c r="C182" s="229">
        <v>3734.9257290492537</v>
      </c>
      <c r="D182" s="229">
        <v>789.94936254966456</v>
      </c>
      <c r="E182" s="229">
        <v>9387.4313186523614</v>
      </c>
      <c r="F182" s="229">
        <v>3319.9777133310481</v>
      </c>
      <c r="G182" s="229">
        <v>793.66641505843313</v>
      </c>
      <c r="H182" s="229">
        <v>4382.5073332975853</v>
      </c>
      <c r="I182" s="229">
        <v>3491.0993473658227</v>
      </c>
      <c r="J182" s="229">
        <v>1386.3563105177191</v>
      </c>
      <c r="K182" s="229">
        <v>1764.8925362313576</v>
      </c>
      <c r="N182" s="195">
        <f t="shared" si="19"/>
        <v>8324.901698685826</v>
      </c>
      <c r="O182" s="195">
        <f t="shared" si="21"/>
        <v>4382.5073332975853</v>
      </c>
      <c r="P182" s="195">
        <f t="shared" si="20"/>
        <v>5318.5415066573514</v>
      </c>
      <c r="Q182" s="195">
        <f t="shared" si="22"/>
        <v>18025.950538640762</v>
      </c>
      <c r="R182" s="196">
        <f t="shared" si="23"/>
        <v>0.46182872192178781</v>
      </c>
      <c r="AC182" s="251"/>
    </row>
    <row r="183" spans="1:29" ht="15.6" x14ac:dyDescent="0.3">
      <c r="A183" s="194">
        <v>2060</v>
      </c>
      <c r="B183" s="229">
        <v>21607.399162372749</v>
      </c>
      <c r="C183" s="229">
        <v>3746.4595693426004</v>
      </c>
      <c r="D183" s="229">
        <v>796.0128216032798</v>
      </c>
      <c r="E183" s="229">
        <v>9524.6964071183556</v>
      </c>
      <c r="F183" s="229">
        <v>3404.5996659212847</v>
      </c>
      <c r="G183" s="229">
        <v>801.49291558119785</v>
      </c>
      <c r="H183" s="229">
        <v>4401.8571766696587</v>
      </c>
      <c r="I183" s="229">
        <v>3583.2828172470854</v>
      </c>
      <c r="J183" s="229">
        <v>1388.7589750599511</v>
      </c>
      <c r="K183" s="229">
        <v>1775.868678363599</v>
      </c>
      <c r="N183" s="195">
        <f t="shared" si="19"/>
        <v>8527.4388963699821</v>
      </c>
      <c r="O183" s="195">
        <f t="shared" si="21"/>
        <v>4401.8571766696587</v>
      </c>
      <c r="P183" s="195">
        <f t="shared" si="20"/>
        <v>5343.9653065270777</v>
      </c>
      <c r="Q183" s="195">
        <f t="shared" si="22"/>
        <v>18273.26137956672</v>
      </c>
      <c r="R183" s="196">
        <f>N183/Q183</f>
        <v>0.46666212009123997</v>
      </c>
      <c r="AC183" s="251"/>
    </row>
  </sheetData>
  <mergeCells count="14">
    <mergeCell ref="U23:V23"/>
    <mergeCell ref="Y23:Z23"/>
    <mergeCell ref="C1:G1"/>
    <mergeCell ref="I1:T1"/>
    <mergeCell ref="D2:E2"/>
    <mergeCell ref="I2:L3"/>
    <mergeCell ref="S3:W5"/>
    <mergeCell ref="I5:L6"/>
    <mergeCell ref="J24:M24"/>
    <mergeCell ref="O23:R23"/>
    <mergeCell ref="O22:R22"/>
    <mergeCell ref="B23:D23"/>
    <mergeCell ref="E23:H23"/>
    <mergeCell ref="J23:M23"/>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6"/>
  </sheetPr>
  <dimension ref="A1:EG183"/>
  <sheetViews>
    <sheetView showGridLines="0" topLeftCell="K25" zoomScale="96" zoomScaleNormal="96" zoomScalePageLayoutView="80" workbookViewId="0">
      <selection activeCell="N35" sqref="N35"/>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45.5" style="153" bestFit="1"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SpaceHeating_cluster_mdc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61</v>
      </c>
      <c r="E3" s="249">
        <v>7.0203526166084745E-2</v>
      </c>
      <c r="F3" s="167" t="s">
        <v>211</v>
      </c>
      <c r="G3" s="167" t="s">
        <v>213</v>
      </c>
      <c r="I3" s="618"/>
      <c r="J3" s="618"/>
      <c r="K3" s="618"/>
      <c r="L3" s="618"/>
      <c r="M3" s="166"/>
      <c r="N3" s="164">
        <f ca="1">SUM(OFFSET(O27,B3-2015,0,B4-B3+1,4))/1000</f>
        <v>2.2040768538917925</v>
      </c>
      <c r="O3" s="165" t="s">
        <v>209</v>
      </c>
      <c r="Q3" s="165"/>
      <c r="S3" s="671" t="s">
        <v>210</v>
      </c>
      <c r="T3" s="671"/>
      <c r="U3" s="671"/>
      <c r="V3" s="671"/>
      <c r="W3" s="671"/>
    </row>
    <row r="4" spans="1:137" ht="13.8" x14ac:dyDescent="0.25">
      <c r="A4" s="153" t="s">
        <v>215</v>
      </c>
      <c r="B4" s="234">
        <v>2050</v>
      </c>
      <c r="D4" s="248" t="s">
        <v>167</v>
      </c>
      <c r="E4" s="249">
        <v>0.12506188666733994</v>
      </c>
      <c r="F4" s="167" t="s">
        <v>211</v>
      </c>
      <c r="G4" s="167" t="s">
        <v>213</v>
      </c>
      <c r="I4" s="168"/>
      <c r="J4" s="168"/>
      <c r="K4" s="168"/>
      <c r="L4" s="168"/>
      <c r="M4" s="168"/>
      <c r="N4" s="168"/>
      <c r="S4" s="671"/>
      <c r="T4" s="671"/>
      <c r="U4" s="671"/>
      <c r="V4" s="671"/>
      <c r="W4" s="671"/>
    </row>
    <row r="5" spans="1:137" ht="12.75" customHeight="1" x14ac:dyDescent="0.25">
      <c r="D5" s="248" t="s">
        <v>23</v>
      </c>
      <c r="E5" s="249">
        <v>0.36850010350773055</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298</v>
      </c>
      <c r="E6" s="249">
        <v>0.13962505099647438</v>
      </c>
      <c r="F6" s="167" t="s">
        <v>211</v>
      </c>
      <c r="G6" s="167" t="s">
        <v>213</v>
      </c>
      <c r="I6" s="618"/>
      <c r="J6" s="618"/>
      <c r="K6" s="618"/>
      <c r="L6" s="618"/>
      <c r="M6" s="163"/>
      <c r="N6" s="164">
        <f>SUM(O27:R72)/1000</f>
        <v>4.443731637812208</v>
      </c>
      <c r="O6" s="165" t="s">
        <v>209</v>
      </c>
    </row>
    <row r="7" spans="1:137" ht="13.8" x14ac:dyDescent="0.25">
      <c r="D7" s="248" t="s">
        <v>195</v>
      </c>
      <c r="E7" s="249">
        <v>0.13690815606061812</v>
      </c>
      <c r="F7" s="167" t="s">
        <v>211</v>
      </c>
      <c r="G7" s="167" t="s">
        <v>213</v>
      </c>
      <c r="I7" s="321"/>
      <c r="J7" s="321"/>
      <c r="K7" s="321"/>
      <c r="L7" s="321"/>
      <c r="M7" s="321"/>
      <c r="N7" s="321"/>
      <c r="O7" s="321"/>
      <c r="P7" s="165"/>
    </row>
    <row r="8" spans="1:137" ht="13.8" x14ac:dyDescent="0.25">
      <c r="D8" s="248" t="s">
        <v>176</v>
      </c>
      <c r="E8" s="249">
        <v>0.15970127660175235</v>
      </c>
      <c r="F8" s="167" t="s">
        <v>211</v>
      </c>
      <c r="G8" s="167" t="s">
        <v>213</v>
      </c>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326</v>
      </c>
      <c r="P15" s="260" t="s">
        <v>268</v>
      </c>
    </row>
    <row r="16" spans="1:137" ht="13.8" x14ac:dyDescent="0.25">
      <c r="F16" s="153" t="s">
        <v>217</v>
      </c>
      <c r="O16" s="261">
        <v>0.19850287660945262</v>
      </c>
      <c r="P16" s="261">
        <v>2885.3896418976587</v>
      </c>
    </row>
    <row r="17" spans="1:26" x14ac:dyDescent="0.25">
      <c r="D17" s="171" t="s">
        <v>216</v>
      </c>
      <c r="E17" s="233">
        <v>1</v>
      </c>
      <c r="F17" s="167" t="s">
        <v>211</v>
      </c>
    </row>
    <row r="22" spans="1:26" x14ac:dyDescent="0.25">
      <c r="D22" s="170"/>
      <c r="I22" s="321"/>
      <c r="J22" s="321"/>
      <c r="K22" s="321"/>
      <c r="L22" s="321"/>
      <c r="M22" s="321"/>
      <c r="N22" s="321"/>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320"/>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IFERROR(IF($F$17="Y",$E$17,1-$Y85)*(SUMIF($G$3:$G$14,"Y",$E$3:$E$14))*(B85-B137),0)</f>
        <v>-1.8045540162347606E-2</v>
      </c>
      <c r="F26" s="183" t="str">
        <f>IFERROR(E26-E25,"")</f>
        <v/>
      </c>
      <c r="G26" s="247">
        <f t="shared" ref="G26:G72" si="1">IFERROR(E26/(B85-B137),"")</f>
        <v>1</v>
      </c>
      <c r="H26" s="245" t="s">
        <v>264</v>
      </c>
      <c r="J26" s="182"/>
      <c r="K26" s="182"/>
      <c r="L26" s="182"/>
      <c r="M26" s="182"/>
      <c r="N26" s="163"/>
      <c r="O26" s="259">
        <f>IF($O$24="Y",IFERROR(E26*($E$6/SUMIF($G$3:$G$14,"Y",$E$3:$E$14))*$O$16*'Emissions Factors'!B12,""),"")</f>
        <v>-3.0878325234920059E-4</v>
      </c>
      <c r="P26" s="259">
        <f>IF($P$24="Y",IFERROR($E26*(SUM($E$3,$E$4,$E$5,$E$7)/SUMIF($G$3:$G$14,"Y",$E$3:$E$14))*('Emissions Factors'!$T$143*$P$16)/10^6,""),"")</f>
        <v>-3.1753350631100255E-3</v>
      </c>
      <c r="Q26" s="259"/>
      <c r="R26" s="245" t="s">
        <v>264</v>
      </c>
      <c r="T26" s="180" t="str">
        <f t="shared" ref="T26:T72" si="2">IF(AND(A26&gt;=$B$3,A26&lt;=$B$4),SUM(O26:R26),"")</f>
        <v/>
      </c>
      <c r="U26" s="180" t="str">
        <f t="shared" ref="U26:U72" si="3">IF(AND(A26&gt;=$B$3,A26&lt;=$B$4),SUM(J26:M26),"")</f>
        <v/>
      </c>
      <c r="V26" s="177"/>
      <c r="X26" s="180">
        <f t="shared" ref="X26:X72" si="4">SUM(O26:R26)</f>
        <v>-3.484118315459226E-3</v>
      </c>
      <c r="Y26" s="180">
        <f t="shared" ref="Y26:Y72" si="5">SUM(J26:M26)</f>
        <v>0</v>
      </c>
    </row>
    <row r="27" spans="1:26" ht="15.6" x14ac:dyDescent="0.3">
      <c r="A27" s="152">
        <v>2015</v>
      </c>
      <c r="B27" s="178">
        <f t="shared" si="0"/>
        <v>0</v>
      </c>
      <c r="C27" s="182">
        <f>IFERROR(B27-B26,"")</f>
        <v>0</v>
      </c>
      <c r="D27" s="183"/>
      <c r="E27" s="179">
        <f t="shared" ref="E27:E72" si="6">IFERROR(IF($F$17="Y",$E$17,1-$Y86)*(SUMIF($G$3:$G$14,"Y",$E$3:$E$14))*(B86-B138),0)</f>
        <v>-1.8046873447019607E-2</v>
      </c>
      <c r="F27" s="183">
        <f>IFERROR(E27-E26,"")</f>
        <v>-1.3332846720004454E-6</v>
      </c>
      <c r="G27" s="247">
        <f t="shared" si="1"/>
        <v>1</v>
      </c>
      <c r="H27" s="246"/>
      <c r="J27" s="182"/>
      <c r="K27" s="182"/>
      <c r="L27" s="182"/>
      <c r="M27" s="182"/>
      <c r="N27" s="163"/>
      <c r="O27" s="259">
        <f>IF($O$24="Y",IFERROR(E27*($E$6/SUMIF($G$3:$G$14,"Y",$E$3:$E$14))*$O$16*'Emissions Factors'!B12,""),"")</f>
        <v>-3.0880606662761088E-4</v>
      </c>
      <c r="P27" s="259">
        <f>IF($P$24="Y",IFERROR($E27*(SUM($E$3,$E$4,$E$5,$E$7)/SUMIF($G$3:$G$14,"Y",$E$3:$E$14))*('Emissions Factors'!$T$143*$P$16)/10^6,""),"")</f>
        <v>-3.1755696709704732E-3</v>
      </c>
      <c r="Q27" s="259"/>
      <c r="R27" s="258"/>
      <c r="T27" s="180" t="str">
        <f t="shared" si="2"/>
        <v/>
      </c>
      <c r="U27" s="180" t="str">
        <f t="shared" si="3"/>
        <v/>
      </c>
      <c r="V27" s="177"/>
      <c r="X27" s="180">
        <f t="shared" si="4"/>
        <v>-3.4843757375980842E-3</v>
      </c>
      <c r="Y27" s="180">
        <f t="shared" si="5"/>
        <v>0</v>
      </c>
    </row>
    <row r="28" spans="1:26" ht="15.6" x14ac:dyDescent="0.3">
      <c r="A28" s="152">
        <v>2016</v>
      </c>
      <c r="B28" s="178">
        <f t="shared" si="0"/>
        <v>0</v>
      </c>
      <c r="C28" s="182">
        <f t="shared" ref="C28:C72" si="7">IFERROR(B28-B27,"")</f>
        <v>0</v>
      </c>
      <c r="D28" s="183"/>
      <c r="E28" s="179">
        <f t="shared" si="6"/>
        <v>0</v>
      </c>
      <c r="F28" s="183">
        <f t="shared" ref="F28:F72" si="8">IFERROR(E28-E27,"")</f>
        <v>1.8046873447019607E-2</v>
      </c>
      <c r="G28" s="247">
        <f t="shared" si="1"/>
        <v>0</v>
      </c>
      <c r="H28" s="246"/>
      <c r="J28" s="182"/>
      <c r="K28" s="182"/>
      <c r="L28" s="182"/>
      <c r="M28" s="182"/>
      <c r="N28" s="163"/>
      <c r="O28" s="259">
        <f>IF($O$24="Y",IFERROR(E28*($E$6/SUMIF($G$3:$G$14,"Y",$E$3:$E$14))*$O$16*'Emissions Factors'!B13,""),"")</f>
        <v>0</v>
      </c>
      <c r="P28" s="259">
        <f>IF($P$24="Y",IFERROR($E28*(SUM($E$3,$E$4,$E$5,$E$7)/SUMIF($G$3:$G$14,"Y",$E$3:$E$14))*('Emissions Factors'!$T$143*$P$16)/10^6,""),"")</f>
        <v>0</v>
      </c>
      <c r="Q28" s="259"/>
      <c r="R28" s="258"/>
      <c r="T28" s="180" t="str">
        <f t="shared" si="2"/>
        <v/>
      </c>
      <c r="U28" s="180" t="str">
        <f t="shared" si="3"/>
        <v/>
      </c>
      <c r="V28" s="177"/>
      <c r="X28" s="180">
        <f t="shared" si="4"/>
        <v>0</v>
      </c>
      <c r="Y28" s="180">
        <f t="shared" si="5"/>
        <v>0</v>
      </c>
    </row>
    <row r="29" spans="1:26" ht="15.6" x14ac:dyDescent="0.3">
      <c r="A29" s="152">
        <v>2017</v>
      </c>
      <c r="B29" s="178">
        <f t="shared" si="0"/>
        <v>0</v>
      </c>
      <c r="C29" s="182">
        <f>IFERROR(B29-B28,"")</f>
        <v>0</v>
      </c>
      <c r="D29" s="183"/>
      <c r="E29" s="179">
        <f t="shared" si="6"/>
        <v>0</v>
      </c>
      <c r="F29" s="183">
        <f>IFERROR(E29-E28,"")</f>
        <v>0</v>
      </c>
      <c r="G29" s="247">
        <f t="shared" si="1"/>
        <v>0</v>
      </c>
      <c r="H29" s="246"/>
      <c r="J29" s="182"/>
      <c r="K29" s="182"/>
      <c r="L29" s="182"/>
      <c r="M29" s="182"/>
      <c r="N29" s="163"/>
      <c r="O29" s="259">
        <f>IF($O$24="Y",IFERROR(E29*($E$6/SUMIF($G$3:$G$14,"Y",$E$3:$E$14))*$O$16*'Emissions Factors'!B14,""),"")</f>
        <v>0</v>
      </c>
      <c r="P29" s="259">
        <f>IF($P$24="Y",IFERROR($E29*(SUM($E$3,$E$4,$E$5,$E$7)/SUMIF($G$3:$G$14,"Y",$E$3:$E$14))*('Emissions Factors'!$T$143*$P$16)/10^6,""),"")</f>
        <v>0</v>
      </c>
      <c r="Q29" s="259"/>
      <c r="R29" s="258"/>
      <c r="T29" s="180" t="str">
        <f t="shared" si="2"/>
        <v/>
      </c>
      <c r="U29" s="180" t="str">
        <f t="shared" si="3"/>
        <v/>
      </c>
      <c r="V29" s="177"/>
      <c r="X29" s="180">
        <f t="shared" si="4"/>
        <v>0</v>
      </c>
      <c r="Y29" s="180">
        <f t="shared" si="5"/>
        <v>0</v>
      </c>
    </row>
    <row r="30" spans="1:26" ht="15.6" x14ac:dyDescent="0.3">
      <c r="A30" s="152">
        <v>2018</v>
      </c>
      <c r="B30" s="178">
        <f t="shared" si="0"/>
        <v>0</v>
      </c>
      <c r="C30" s="182">
        <f t="shared" si="7"/>
        <v>0</v>
      </c>
      <c r="D30" s="183"/>
      <c r="E30" s="179">
        <f t="shared" si="6"/>
        <v>0</v>
      </c>
      <c r="F30" s="183">
        <f t="shared" si="8"/>
        <v>0</v>
      </c>
      <c r="G30" s="247">
        <f t="shared" si="1"/>
        <v>0</v>
      </c>
      <c r="H30" s="246"/>
      <c r="J30" s="182"/>
      <c r="K30" s="182"/>
      <c r="L30" s="182"/>
      <c r="M30" s="182"/>
      <c r="N30" s="163"/>
      <c r="O30" s="259">
        <f>IF($O$24="Y",IFERROR(E30*($E$6/SUMIF($G$3:$G$14,"Y",$E$3:$E$14))*$O$16*'Emissions Factors'!B15,""),"")</f>
        <v>0</v>
      </c>
      <c r="P30" s="259">
        <f>IF($P$24="Y",IFERROR($E30*(SUM($E$3,$E$4,$E$5,$E$7)/SUMIF($G$3:$G$14,"Y",$E$3:$E$14))*('Emissions Factors'!$T$143*$P$16)/10^6,""),"")</f>
        <v>0</v>
      </c>
      <c r="Q30" s="259"/>
      <c r="R30" s="258"/>
      <c r="T30" s="180" t="str">
        <f t="shared" si="2"/>
        <v/>
      </c>
      <c r="U30" s="180" t="str">
        <f t="shared" si="3"/>
        <v/>
      </c>
      <c r="V30" s="177"/>
      <c r="X30" s="180">
        <f t="shared" si="4"/>
        <v>0</v>
      </c>
      <c r="Y30" s="180">
        <f t="shared" si="5"/>
        <v>0</v>
      </c>
    </row>
    <row r="31" spans="1:26" ht="15.6" x14ac:dyDescent="0.3">
      <c r="A31" s="152">
        <v>2019</v>
      </c>
      <c r="B31" s="178">
        <f t="shared" si="0"/>
        <v>0</v>
      </c>
      <c r="C31" s="182">
        <f t="shared" si="7"/>
        <v>0</v>
      </c>
      <c r="D31" s="183"/>
      <c r="E31" s="179">
        <f t="shared" si="6"/>
        <v>0</v>
      </c>
      <c r="F31" s="183">
        <f t="shared" si="8"/>
        <v>0</v>
      </c>
      <c r="G31" s="247">
        <f t="shared" si="1"/>
        <v>0</v>
      </c>
      <c r="H31" s="246"/>
      <c r="J31" s="182"/>
      <c r="K31" s="182"/>
      <c r="L31" s="182"/>
      <c r="M31" s="182"/>
      <c r="N31" s="163"/>
      <c r="O31" s="259">
        <f>IF($O$24="Y",IFERROR(E31*($E$6/SUMIF($G$3:$G$14,"Y",$E$3:$E$14))*$O$16*'Emissions Factors'!B16,""),"")</f>
        <v>0</v>
      </c>
      <c r="P31" s="259">
        <f>IF($P$24="Y",IFERROR($E31*(SUM($E$3,$E$4,$E$5,$E$7)/SUMIF($G$3:$G$14,"Y",$E$3:$E$14))*('Emissions Factors'!$T$143*$P$16)/10^6,""),"")</f>
        <v>0</v>
      </c>
      <c r="Q31" s="259"/>
      <c r="R31" s="258"/>
      <c r="T31" s="180" t="str">
        <f t="shared" si="2"/>
        <v/>
      </c>
      <c r="U31" s="180" t="str">
        <f t="shared" si="3"/>
        <v/>
      </c>
      <c r="V31" s="177"/>
      <c r="X31" s="180">
        <f t="shared" si="4"/>
        <v>0</v>
      </c>
      <c r="Y31" s="180">
        <f t="shared" si="5"/>
        <v>0</v>
      </c>
    </row>
    <row r="32" spans="1:26" ht="15.6" x14ac:dyDescent="0.3">
      <c r="A32" s="152">
        <v>2020</v>
      </c>
      <c r="B32" s="178">
        <f t="shared" si="0"/>
        <v>0</v>
      </c>
      <c r="C32" s="182">
        <f t="shared" si="7"/>
        <v>0</v>
      </c>
      <c r="D32" s="183"/>
      <c r="E32" s="179">
        <f t="shared" si="6"/>
        <v>0</v>
      </c>
      <c r="F32" s="183">
        <f t="shared" si="8"/>
        <v>0</v>
      </c>
      <c r="G32" s="247">
        <f t="shared" si="1"/>
        <v>0</v>
      </c>
      <c r="H32" s="246"/>
      <c r="J32" s="182"/>
      <c r="K32" s="182"/>
      <c r="L32" s="182"/>
      <c r="M32" s="182"/>
      <c r="N32" s="163"/>
      <c r="O32" s="259">
        <f>IF($O$24="Y",IFERROR(E32*($E$6/SUMIF($G$3:$G$14,"Y",$E$3:$E$14))*$O$16*'Emissions Factors'!B17,""),"")</f>
        <v>0</v>
      </c>
      <c r="P32" s="259">
        <f>IF($P$24="Y",IFERROR($E32*(SUM($E$3,$E$4,$E$5,$E$7)/SUMIF($G$3:$G$14,"Y",$E$3:$E$14))*('Emissions Factors'!$T$143*$P$16)/10^6,""),"")</f>
        <v>0</v>
      </c>
      <c r="Q32" s="259"/>
      <c r="R32" s="258"/>
      <c r="T32" s="180">
        <f t="shared" si="2"/>
        <v>0</v>
      </c>
      <c r="U32" s="180">
        <f t="shared" si="3"/>
        <v>0</v>
      </c>
      <c r="V32" s="177"/>
      <c r="X32" s="180">
        <f t="shared" si="4"/>
        <v>0</v>
      </c>
      <c r="Y32" s="180">
        <f t="shared" si="5"/>
        <v>0</v>
      </c>
    </row>
    <row r="33" spans="1:25" ht="15.6" x14ac:dyDescent="0.3">
      <c r="A33" s="152">
        <v>2021</v>
      </c>
      <c r="B33" s="178">
        <f t="shared" si="0"/>
        <v>0</v>
      </c>
      <c r="C33" s="182">
        <f t="shared" si="7"/>
        <v>0</v>
      </c>
      <c r="D33" s="183"/>
      <c r="E33" s="179">
        <f t="shared" si="6"/>
        <v>10.132821699787828</v>
      </c>
      <c r="F33" s="183">
        <f t="shared" si="8"/>
        <v>10.132821699787828</v>
      </c>
      <c r="G33" s="247">
        <f t="shared" si="1"/>
        <v>0.66482300457391175</v>
      </c>
      <c r="H33" s="246"/>
      <c r="J33" s="182"/>
      <c r="K33" s="182"/>
      <c r="L33" s="182"/>
      <c r="M33" s="182"/>
      <c r="N33" s="163"/>
      <c r="O33" s="259">
        <f>IF($O$24="Y",IFERROR(E33*($E$6/SUMIF($G$3:$G$14,"Y",$E$3:$E$14))*$O$16*'Emissions Factors'!B18,""),"")</f>
        <v>0.16552607450552032</v>
      </c>
      <c r="P33" s="259">
        <f>IF($P$24="Y",IFERROR($E33*(SUM($E$3,$E$4,$E$5,$E$7)/SUMIF($G$3:$G$14,"Y",$E$3:$E$14))*('Emissions Factors'!$T$143*$P$16)/10^6,""),"")</f>
        <v>1.7829947866405487</v>
      </c>
      <c r="Q33" s="259"/>
      <c r="R33" s="258"/>
      <c r="T33" s="180">
        <f t="shared" si="2"/>
        <v>1.9485208611460689</v>
      </c>
      <c r="U33" s="180">
        <f t="shared" si="3"/>
        <v>0</v>
      </c>
      <c r="V33" s="177"/>
      <c r="X33" s="180">
        <f t="shared" si="4"/>
        <v>1.9485208611460689</v>
      </c>
      <c r="Y33" s="180">
        <f t="shared" si="5"/>
        <v>0</v>
      </c>
    </row>
    <row r="34" spans="1:25" ht="15.6" x14ac:dyDescent="0.3">
      <c r="A34" s="152">
        <v>2022</v>
      </c>
      <c r="B34" s="178">
        <f t="shared" si="0"/>
        <v>0</v>
      </c>
      <c r="C34" s="182">
        <f t="shared" si="7"/>
        <v>0</v>
      </c>
      <c r="D34" s="183"/>
      <c r="E34" s="179">
        <f t="shared" si="6"/>
        <v>22.555373644836035</v>
      </c>
      <c r="F34" s="183">
        <f t="shared" si="8"/>
        <v>12.422551945048207</v>
      </c>
      <c r="G34" s="247">
        <f t="shared" si="1"/>
        <v>0.65050875723521318</v>
      </c>
      <c r="H34" s="246"/>
      <c r="J34" s="182"/>
      <c r="K34" s="182"/>
      <c r="L34" s="182"/>
      <c r="M34" s="182"/>
      <c r="N34" s="163"/>
      <c r="O34" s="259">
        <f>IF($O$24="Y",IFERROR(E34*($E$6/SUMIF($G$3:$G$14,"Y",$E$3:$E$14))*$O$16*'Emissions Factors'!B19,""),"")</f>
        <v>0.36626567230702967</v>
      </c>
      <c r="P34" s="259">
        <f>IF($P$24="Y",IFERROR($E34*(SUM($E$3,$E$4,$E$5,$E$7)/SUMIF($G$3:$G$14,"Y",$E$3:$E$14))*('Emissions Factors'!$T$143*$P$16)/10^6,""),"")</f>
        <v>3.9688958131291669</v>
      </c>
      <c r="Q34" s="259"/>
      <c r="R34" s="258"/>
      <c r="T34" s="180">
        <f t="shared" si="2"/>
        <v>4.3351614854361964</v>
      </c>
      <c r="U34" s="180">
        <f t="shared" si="3"/>
        <v>0</v>
      </c>
      <c r="V34" s="177"/>
      <c r="X34" s="180">
        <f t="shared" si="4"/>
        <v>4.3351614854361964</v>
      </c>
      <c r="Y34" s="180">
        <f t="shared" si="5"/>
        <v>0</v>
      </c>
    </row>
    <row r="35" spans="1:25" ht="15.6" x14ac:dyDescent="0.3">
      <c r="A35" s="152">
        <v>2023</v>
      </c>
      <c r="B35" s="178">
        <f t="shared" si="0"/>
        <v>0</v>
      </c>
      <c r="C35" s="182">
        <f t="shared" si="7"/>
        <v>0</v>
      </c>
      <c r="D35" s="183"/>
      <c r="E35" s="179">
        <f t="shared" si="6"/>
        <v>37.030892113159574</v>
      </c>
      <c r="F35" s="183">
        <f t="shared" si="8"/>
        <v>14.475518468323539</v>
      </c>
      <c r="G35" s="247">
        <f t="shared" si="1"/>
        <v>0.64018655516608114</v>
      </c>
      <c r="H35" s="246"/>
      <c r="J35" s="182"/>
      <c r="K35" s="182"/>
      <c r="L35" s="182"/>
      <c r="M35" s="182"/>
      <c r="N35" s="163"/>
      <c r="O35" s="259">
        <f>IF($O$24="Y",IFERROR(E35*($E$6/SUMIF($G$3:$G$14,"Y",$E$3:$E$14))*$O$16*'Emissions Factors'!B20,""),"")</f>
        <v>0.59781645005268635</v>
      </c>
      <c r="P35" s="259">
        <f>IF($P$24="Y",IFERROR($E35*(SUM($E$3,$E$4,$E$5,$E$7)/SUMIF($G$3:$G$14,"Y",$E$3:$E$14))*('Emissions Factors'!$T$143*$P$16)/10^6,""),"")</f>
        <v>6.5160415863031176</v>
      </c>
      <c r="Q35" s="259"/>
      <c r="R35" s="258"/>
      <c r="T35" s="180">
        <f t="shared" si="2"/>
        <v>7.1138580363558042</v>
      </c>
      <c r="U35" s="180">
        <f t="shared" si="3"/>
        <v>0</v>
      </c>
      <c r="V35" s="177"/>
      <c r="X35" s="180">
        <f t="shared" si="4"/>
        <v>7.1138580363558042</v>
      </c>
      <c r="Y35" s="180">
        <f t="shared" si="5"/>
        <v>0</v>
      </c>
    </row>
    <row r="36" spans="1:25" ht="15.6" x14ac:dyDescent="0.3">
      <c r="A36" s="152">
        <v>2024</v>
      </c>
      <c r="B36" s="178">
        <f t="shared" si="0"/>
        <v>0</v>
      </c>
      <c r="C36" s="182">
        <f t="shared" si="7"/>
        <v>0</v>
      </c>
      <c r="D36" s="183"/>
      <c r="E36" s="179">
        <f t="shared" si="6"/>
        <v>53.450763310086678</v>
      </c>
      <c r="F36" s="183">
        <f t="shared" si="8"/>
        <v>16.419871196927105</v>
      </c>
      <c r="G36" s="247">
        <f t="shared" si="1"/>
        <v>0.63202515239272028</v>
      </c>
      <c r="H36" s="246"/>
      <c r="J36" s="182"/>
      <c r="K36" s="182"/>
      <c r="L36" s="182"/>
      <c r="M36" s="182"/>
      <c r="N36" s="163"/>
      <c r="O36" s="259">
        <f>IF($O$24="Y",IFERROR(E36*($E$6/SUMIF($G$3:$G$14,"Y",$E$3:$E$14))*$O$16*'Emissions Factors'!B21,""),"")</f>
        <v>0.85794116326897829</v>
      </c>
      <c r="P36" s="259">
        <f>IF($P$24="Y",IFERROR($E36*(SUM($E$3,$E$4,$E$5,$E$7)/SUMIF($G$3:$G$14,"Y",$E$3:$E$14))*('Emissions Factors'!$T$143*$P$16)/10^6,""),"")</f>
        <v>9.4053201711659451</v>
      </c>
      <c r="Q36" s="259"/>
      <c r="R36" s="258"/>
      <c r="T36" s="180">
        <f t="shared" si="2"/>
        <v>10.263261334434924</v>
      </c>
      <c r="U36" s="180">
        <f t="shared" si="3"/>
        <v>0</v>
      </c>
      <c r="V36" s="177"/>
      <c r="X36" s="180">
        <f t="shared" si="4"/>
        <v>10.263261334434924</v>
      </c>
      <c r="Y36" s="180">
        <f t="shared" si="5"/>
        <v>0</v>
      </c>
    </row>
    <row r="37" spans="1:25" ht="15.6" x14ac:dyDescent="0.3">
      <c r="A37" s="152">
        <v>2025</v>
      </c>
      <c r="B37" s="178">
        <f t="shared" si="0"/>
        <v>0</v>
      </c>
      <c r="C37" s="182">
        <f t="shared" si="7"/>
        <v>0</v>
      </c>
      <c r="D37" s="183"/>
      <c r="E37" s="179">
        <f t="shared" si="6"/>
        <v>71.731783570849316</v>
      </c>
      <c r="F37" s="183">
        <f t="shared" si="8"/>
        <v>18.281020260762638</v>
      </c>
      <c r="G37" s="247">
        <f t="shared" si="1"/>
        <v>0.62521021779074304</v>
      </c>
      <c r="H37" s="246"/>
      <c r="J37" s="182"/>
      <c r="K37" s="182"/>
      <c r="L37" s="182"/>
      <c r="M37" s="182"/>
      <c r="N37" s="163"/>
      <c r="O37" s="259">
        <f>IF($O$24="Y",IFERROR(E37*($E$6/SUMIF($G$3:$G$14,"Y",$E$3:$E$14))*$O$16*'Emissions Factors'!B22,""),"")</f>
        <v>1.1455142701429706</v>
      </c>
      <c r="P37" s="259">
        <f>IF($P$24="Y",IFERROR($E37*(SUM($E$3,$E$4,$E$5,$E$7)/SUMIF($G$3:$G$14,"Y",$E$3:$E$14))*('Emissions Factors'!$T$143*$P$16)/10^6,""),"")</f>
        <v>12.622090858060844</v>
      </c>
      <c r="Q37" s="259"/>
      <c r="R37" s="258"/>
      <c r="T37" s="180">
        <f t="shared" si="2"/>
        <v>13.767605128203815</v>
      </c>
      <c r="U37" s="180">
        <f t="shared" si="3"/>
        <v>0</v>
      </c>
      <c r="V37" s="177"/>
      <c r="X37" s="180">
        <f t="shared" si="4"/>
        <v>13.767605128203815</v>
      </c>
      <c r="Y37" s="180">
        <f t="shared" si="5"/>
        <v>0</v>
      </c>
    </row>
    <row r="38" spans="1:25" ht="15.6" x14ac:dyDescent="0.3">
      <c r="A38" s="152">
        <v>2026</v>
      </c>
      <c r="B38" s="178">
        <f t="shared" si="0"/>
        <v>0</v>
      </c>
      <c r="C38" s="182">
        <f t="shared" si="7"/>
        <v>0</v>
      </c>
      <c r="D38" s="183"/>
      <c r="E38" s="179">
        <f t="shared" si="6"/>
        <v>91.777022879874366</v>
      </c>
      <c r="F38" s="183">
        <f t="shared" si="8"/>
        <v>20.04523930902505</v>
      </c>
      <c r="G38" s="247">
        <f t="shared" si="1"/>
        <v>0.61930784990017573</v>
      </c>
      <c r="H38" s="246"/>
      <c r="J38" s="182"/>
      <c r="K38" s="182"/>
      <c r="L38" s="182"/>
      <c r="M38" s="182"/>
      <c r="N38" s="163"/>
      <c r="O38" s="259">
        <f>IF($O$24="Y",IFERROR(E38*($E$6/SUMIF($G$3:$G$14,"Y",$E$3:$E$14))*$O$16*'Emissions Factors'!B23,""),"")</f>
        <v>1.4566196187079883</v>
      </c>
      <c r="P38" s="259">
        <f>IF($P$24="Y",IFERROR($E38*(SUM($E$3,$E$4,$E$5,$E$7)/SUMIF($G$3:$G$14,"Y",$E$3:$E$14))*('Emissions Factors'!$T$143*$P$16)/10^6,""),"")</f>
        <v>16.14929761683587</v>
      </c>
      <c r="Q38" s="259"/>
      <c r="R38" s="258"/>
      <c r="T38" s="180">
        <f t="shared" si="2"/>
        <v>17.60591723554386</v>
      </c>
      <c r="U38" s="180">
        <f t="shared" si="3"/>
        <v>0</v>
      </c>
      <c r="V38" s="177"/>
      <c r="X38" s="180">
        <f t="shared" si="4"/>
        <v>17.60591723554386</v>
      </c>
      <c r="Y38" s="180">
        <f t="shared" si="5"/>
        <v>0</v>
      </c>
    </row>
    <row r="39" spans="1:25" ht="15.6" x14ac:dyDescent="0.3">
      <c r="A39" s="152">
        <v>2027</v>
      </c>
      <c r="B39" s="178">
        <f t="shared" si="0"/>
        <v>0</v>
      </c>
      <c r="C39" s="182">
        <f t="shared" si="7"/>
        <v>0</v>
      </c>
      <c r="D39" s="183"/>
      <c r="E39" s="179">
        <f t="shared" si="6"/>
        <v>113.48962770350272</v>
      </c>
      <c r="F39" s="183">
        <f t="shared" si="8"/>
        <v>21.712604823628354</v>
      </c>
      <c r="G39" s="247">
        <f t="shared" si="1"/>
        <v>0.61403669164884778</v>
      </c>
      <c r="H39" s="246"/>
      <c r="J39" s="182"/>
      <c r="K39" s="182"/>
      <c r="L39" s="182"/>
      <c r="M39" s="182"/>
      <c r="N39" s="163"/>
      <c r="O39" s="259">
        <f>IF($O$24="Y",IFERROR(E39*($E$6/SUMIF($G$3:$G$14,"Y",$E$3:$E$14))*$O$16*'Emissions Factors'!B24,""),"")</f>
        <v>1.791300083892343</v>
      </c>
      <c r="P39" s="259">
        <f>IF($P$24="Y",IFERROR($E39*(SUM($E$3,$E$4,$E$5,$E$7)/SUMIF($G$3:$G$14,"Y",$E$3:$E$14))*('Emissions Factors'!$T$143*$P$16)/10^6,""),"")</f>
        <v>19.96989787527389</v>
      </c>
      <c r="Q39" s="259"/>
      <c r="R39" s="258"/>
      <c r="T39" s="180">
        <f t="shared" si="2"/>
        <v>21.761197959166232</v>
      </c>
      <c r="U39" s="180">
        <f t="shared" si="3"/>
        <v>0</v>
      </c>
      <c r="V39" s="177"/>
      <c r="X39" s="180">
        <f t="shared" si="4"/>
        <v>21.761197959166232</v>
      </c>
      <c r="Y39" s="180">
        <f t="shared" si="5"/>
        <v>0</v>
      </c>
    </row>
    <row r="40" spans="1:25" ht="15.6" x14ac:dyDescent="0.3">
      <c r="A40" s="152">
        <v>2028</v>
      </c>
      <c r="B40" s="178">
        <f t="shared" si="0"/>
        <v>0</v>
      </c>
      <c r="C40" s="182">
        <f t="shared" si="7"/>
        <v>0</v>
      </c>
      <c r="D40" s="183"/>
      <c r="E40" s="179">
        <f t="shared" si="6"/>
        <v>136.84380669192944</v>
      </c>
      <c r="F40" s="183">
        <f t="shared" si="8"/>
        <v>23.354178988426725</v>
      </c>
      <c r="G40" s="247">
        <f t="shared" si="1"/>
        <v>0.60916069066273726</v>
      </c>
      <c r="H40" s="246"/>
      <c r="J40" s="182"/>
      <c r="K40" s="182"/>
      <c r="L40" s="182"/>
      <c r="M40" s="182"/>
      <c r="N40" s="163"/>
      <c r="O40" s="259">
        <f>IF($O$24="Y",IFERROR(E40*($E$6/SUMIF($G$3:$G$14,"Y",$E$3:$E$14))*$O$16*'Emissions Factors'!B25,""),"")</f>
        <v>2.1481384852853345</v>
      </c>
      <c r="P40" s="259">
        <f>IF($P$24="Y",IFERROR($E40*(SUM($E$3,$E$4,$E$5,$E$7)/SUMIF($G$3:$G$14,"Y",$E$3:$E$14))*('Emissions Factors'!$T$143*$P$16)/10^6,""),"")</f>
        <v>24.079353327698065</v>
      </c>
      <c r="Q40" s="259"/>
      <c r="R40" s="258"/>
      <c r="T40" s="180">
        <f t="shared" si="2"/>
        <v>26.227491812983398</v>
      </c>
      <c r="U40" s="180">
        <f t="shared" si="3"/>
        <v>0</v>
      </c>
      <c r="V40" s="177"/>
      <c r="X40" s="180">
        <f t="shared" si="4"/>
        <v>26.227491812983398</v>
      </c>
      <c r="Y40" s="180">
        <f t="shared" si="5"/>
        <v>0</v>
      </c>
    </row>
    <row r="41" spans="1:25" ht="15.6" x14ac:dyDescent="0.3">
      <c r="A41" s="152">
        <v>2029</v>
      </c>
      <c r="B41" s="178">
        <f t="shared" si="0"/>
        <v>0</v>
      </c>
      <c r="C41" s="182">
        <f t="shared" si="7"/>
        <v>0</v>
      </c>
      <c r="D41" s="183"/>
      <c r="E41" s="179">
        <f t="shared" si="6"/>
        <v>161.83283325138692</v>
      </c>
      <c r="F41" s="183">
        <f t="shared" si="8"/>
        <v>24.989026559457471</v>
      </c>
      <c r="G41" s="247">
        <f t="shared" si="1"/>
        <v>0.60451835255467001</v>
      </c>
      <c r="H41" s="246"/>
      <c r="J41" s="182"/>
      <c r="K41" s="182"/>
      <c r="L41" s="182"/>
      <c r="M41" s="182"/>
      <c r="N41" s="163"/>
      <c r="O41" s="259">
        <f>IF($O$24="Y",IFERROR(E41*($E$6/SUMIF($G$3:$G$14,"Y",$E$3:$E$14))*$O$16*'Emissions Factors'!B26,""),"")</f>
        <v>2.5266773072298863</v>
      </c>
      <c r="P41" s="259">
        <f>IF($P$24="Y",IFERROR($E41*(SUM($E$3,$E$4,$E$5,$E$7)/SUMIF($G$3:$G$14,"Y",$E$3:$E$14))*('Emissions Factors'!$T$143*$P$16)/10^6,""),"")</f>
        <v>28.476480347081804</v>
      </c>
      <c r="Q41" s="259"/>
      <c r="R41" s="258"/>
      <c r="T41" s="180">
        <f t="shared" si="2"/>
        <v>31.003157654311689</v>
      </c>
      <c r="U41" s="180">
        <f t="shared" si="3"/>
        <v>0</v>
      </c>
      <c r="V41" s="177"/>
      <c r="X41" s="180">
        <f t="shared" si="4"/>
        <v>31.003157654311689</v>
      </c>
      <c r="Y41" s="180">
        <f t="shared" si="5"/>
        <v>0</v>
      </c>
    </row>
    <row r="42" spans="1:25" ht="15.6" x14ac:dyDescent="0.3">
      <c r="A42" s="152">
        <v>2030</v>
      </c>
      <c r="B42" s="178">
        <f t="shared" si="0"/>
        <v>0</v>
      </c>
      <c r="C42" s="182">
        <f t="shared" si="7"/>
        <v>0</v>
      </c>
      <c r="D42" s="183"/>
      <c r="E42" s="179">
        <f t="shared" si="6"/>
        <v>188.52919072297487</v>
      </c>
      <c r="F42" s="183">
        <f t="shared" si="8"/>
        <v>26.696357471587959</v>
      </c>
      <c r="G42" s="247">
        <f t="shared" si="1"/>
        <v>0.60006083840206981</v>
      </c>
      <c r="H42" s="246"/>
      <c r="J42" s="182"/>
      <c r="K42" s="182"/>
      <c r="L42" s="182"/>
      <c r="M42" s="182"/>
      <c r="N42" s="163"/>
      <c r="O42" s="259">
        <f>IF($O$24="Y",IFERROR(E42*($E$6/SUMIF($G$3:$G$14,"Y",$E$3:$E$14))*$O$16*'Emissions Factors'!B27,""),"")</f>
        <v>2.9283725553796458</v>
      </c>
      <c r="P42" s="259">
        <f>IF($P$24="Y",IFERROR($E42*(SUM($E$3,$E$4,$E$5,$E$7)/SUMIF($G$3:$G$14,"Y",$E$3:$E$14))*('Emissions Factors'!$T$143*$P$16)/10^6,""),"")</f>
        <v>33.174033270087492</v>
      </c>
      <c r="Q42" s="259"/>
      <c r="R42" s="258"/>
      <c r="T42" s="180">
        <f t="shared" si="2"/>
        <v>36.102405825467137</v>
      </c>
      <c r="U42" s="180">
        <f t="shared" si="3"/>
        <v>0</v>
      </c>
      <c r="V42" s="177"/>
      <c r="X42" s="180">
        <f t="shared" si="4"/>
        <v>36.102405825467137</v>
      </c>
      <c r="Y42" s="180">
        <f t="shared" si="5"/>
        <v>0</v>
      </c>
    </row>
    <row r="43" spans="1:25" ht="15.6" x14ac:dyDescent="0.3">
      <c r="A43" s="152">
        <v>2031</v>
      </c>
      <c r="B43" s="178">
        <f t="shared" si="0"/>
        <v>0</v>
      </c>
      <c r="C43" s="182">
        <f t="shared" si="7"/>
        <v>0</v>
      </c>
      <c r="D43" s="183"/>
      <c r="E43" s="179">
        <f t="shared" si="6"/>
        <v>216.68185506772477</v>
      </c>
      <c r="F43" s="183">
        <f t="shared" si="8"/>
        <v>28.152664344749894</v>
      </c>
      <c r="G43" s="247">
        <f t="shared" si="1"/>
        <v>0.59563509771154388</v>
      </c>
      <c r="H43" s="246"/>
      <c r="J43" s="182"/>
      <c r="K43" s="182"/>
      <c r="L43" s="182"/>
      <c r="M43" s="182"/>
      <c r="N43" s="163"/>
      <c r="O43" s="259">
        <f>IF($O$24="Y",IFERROR(E43*($E$6/SUMIF($G$3:$G$14,"Y",$E$3:$E$14))*$O$16*'Emissions Factors'!B28,""),"")</f>
        <v>3.3469249722520042</v>
      </c>
      <c r="P43" s="259">
        <f>IF($P$24="Y",IFERROR($E43*(SUM($E$3,$E$4,$E$5,$E$7)/SUMIF($G$3:$G$14,"Y",$E$3:$E$14))*('Emissions Factors'!$T$143*$P$16)/10^6,""),"")</f>
        <v>38.127841325131172</v>
      </c>
      <c r="Q43" s="259"/>
      <c r="R43" s="258"/>
      <c r="T43" s="180">
        <f t="shared" si="2"/>
        <v>41.474766297383177</v>
      </c>
      <c r="U43" s="180">
        <f t="shared" si="3"/>
        <v>0</v>
      </c>
      <c r="V43" s="177"/>
      <c r="X43" s="180">
        <f t="shared" si="4"/>
        <v>41.474766297383177</v>
      </c>
      <c r="Y43" s="180">
        <f t="shared" si="5"/>
        <v>0</v>
      </c>
    </row>
    <row r="44" spans="1:25" ht="15.6" x14ac:dyDescent="0.3">
      <c r="A44" s="152">
        <v>2032</v>
      </c>
      <c r="B44" s="178">
        <f t="shared" si="0"/>
        <v>0</v>
      </c>
      <c r="C44" s="182">
        <f t="shared" si="7"/>
        <v>0</v>
      </c>
      <c r="D44" s="183"/>
      <c r="E44" s="179">
        <f t="shared" si="6"/>
        <v>246.36644663272111</v>
      </c>
      <c r="F44" s="183">
        <f t="shared" si="8"/>
        <v>29.684591564996339</v>
      </c>
      <c r="G44" s="247">
        <f t="shared" si="1"/>
        <v>0.59139141365859549</v>
      </c>
      <c r="H44" s="246"/>
      <c r="J44" s="182"/>
      <c r="K44" s="182"/>
      <c r="L44" s="182"/>
      <c r="M44" s="182"/>
      <c r="N44" s="163"/>
      <c r="O44" s="259">
        <f>IF($O$24="Y",IFERROR(E44*($E$6/SUMIF($G$3:$G$14,"Y",$E$3:$E$14))*$O$16*'Emissions Factors'!B29,""),"")</f>
        <v>3.7852287489006242</v>
      </c>
      <c r="P44" s="259">
        <f>IF($P$24="Y",IFERROR($E44*(SUM($E$3,$E$4,$E$5,$E$7)/SUMIF($G$3:$G$14,"Y",$E$3:$E$14))*('Emissions Factors'!$T$143*$P$16)/10^6,""),"")</f>
        <v>43.35121084371756</v>
      </c>
      <c r="Q44" s="259"/>
      <c r="R44" s="258"/>
      <c r="T44" s="180">
        <f t="shared" si="2"/>
        <v>47.136439592618181</v>
      </c>
      <c r="U44" s="180">
        <f t="shared" si="3"/>
        <v>0</v>
      </c>
      <c r="V44" s="177"/>
      <c r="X44" s="180">
        <f t="shared" si="4"/>
        <v>47.136439592618181</v>
      </c>
      <c r="Y44" s="180">
        <f t="shared" si="5"/>
        <v>0</v>
      </c>
    </row>
    <row r="45" spans="1:25" ht="15.6" x14ac:dyDescent="0.3">
      <c r="A45" s="152">
        <v>2033</v>
      </c>
      <c r="B45" s="178">
        <f t="shared" si="0"/>
        <v>0</v>
      </c>
      <c r="C45" s="182">
        <f t="shared" si="7"/>
        <v>0</v>
      </c>
      <c r="D45" s="183"/>
      <c r="E45" s="179">
        <f t="shared" si="6"/>
        <v>277.1640051855332</v>
      </c>
      <c r="F45" s="183">
        <f t="shared" si="8"/>
        <v>30.797558552812092</v>
      </c>
      <c r="G45" s="247">
        <f t="shared" si="1"/>
        <v>0.58731930477132643</v>
      </c>
      <c r="H45" s="246"/>
      <c r="J45" s="182"/>
      <c r="K45" s="182"/>
      <c r="L45" s="182"/>
      <c r="M45" s="182"/>
      <c r="N45" s="163"/>
      <c r="O45" s="259">
        <f>IF($O$24="Y",IFERROR(E45*($E$6/SUMIF($G$3:$G$14,"Y",$E$3:$E$14))*$O$16*'Emissions Factors'!B30,""),"")</f>
        <v>4.2358570417847554</v>
      </c>
      <c r="P45" s="259">
        <f>IF($P$24="Y",IFERROR($E45*(SUM($E$3,$E$4,$E$5,$E$7)/SUMIF($G$3:$G$14,"Y",$E$3:$E$14))*('Emissions Factors'!$T$143*$P$16)/10^6,""),"")</f>
        <v>48.770420612509881</v>
      </c>
      <c r="Q45" s="259"/>
      <c r="R45" s="258"/>
      <c r="T45" s="180">
        <f t="shared" si="2"/>
        <v>53.006277654294635</v>
      </c>
      <c r="U45" s="180">
        <f t="shared" si="3"/>
        <v>0</v>
      </c>
      <c r="V45" s="177"/>
      <c r="X45" s="180">
        <f t="shared" si="4"/>
        <v>53.006277654294635</v>
      </c>
      <c r="Y45" s="180">
        <f t="shared" si="5"/>
        <v>0</v>
      </c>
    </row>
    <row r="46" spans="1:25" ht="15.6" x14ac:dyDescent="0.3">
      <c r="A46" s="152">
        <v>2034</v>
      </c>
      <c r="B46" s="178">
        <f t="shared" si="0"/>
        <v>0</v>
      </c>
      <c r="C46" s="182">
        <f t="shared" si="7"/>
        <v>0</v>
      </c>
      <c r="D46" s="183"/>
      <c r="E46" s="179">
        <f t="shared" si="6"/>
        <v>308.62411510659979</v>
      </c>
      <c r="F46" s="183">
        <f t="shared" si="8"/>
        <v>31.460109921066589</v>
      </c>
      <c r="G46" s="247">
        <f t="shared" si="1"/>
        <v>0.58343601296081649</v>
      </c>
      <c r="H46" s="246"/>
      <c r="J46" s="182"/>
      <c r="K46" s="182"/>
      <c r="L46" s="182"/>
      <c r="M46" s="182"/>
      <c r="N46" s="163"/>
      <c r="O46" s="259">
        <f>IF($O$24="Y",IFERROR(E46*($E$6/SUMIF($G$3:$G$14,"Y",$E$3:$E$14))*$O$16*'Emissions Factors'!B31,""),"")</f>
        <v>4.6917155101126449</v>
      </c>
      <c r="P46" s="259">
        <f>IF($P$24="Y",IFERROR($E46*(SUM($E$3,$E$4,$E$5,$E$7)/SUMIF($G$3:$G$14,"Y",$E$3:$E$14))*('Emissions Factors'!$T$143*$P$16)/10^6,""),"")</f>
        <v>54.306214455361662</v>
      </c>
      <c r="Q46" s="259"/>
      <c r="R46" s="258"/>
      <c r="T46" s="180">
        <f t="shared" si="2"/>
        <v>58.997929965474306</v>
      </c>
      <c r="U46" s="180">
        <f t="shared" si="3"/>
        <v>0</v>
      </c>
      <c r="V46" s="177"/>
      <c r="X46" s="180">
        <f t="shared" si="4"/>
        <v>58.997929965474306</v>
      </c>
      <c r="Y46" s="180">
        <f t="shared" si="5"/>
        <v>0</v>
      </c>
    </row>
    <row r="47" spans="1:25" ht="15.6" x14ac:dyDescent="0.3">
      <c r="A47" s="152">
        <v>2035</v>
      </c>
      <c r="B47" s="178">
        <f t="shared" si="0"/>
        <v>0</v>
      </c>
      <c r="C47" s="182">
        <f t="shared" si="7"/>
        <v>0</v>
      </c>
      <c r="D47" s="183"/>
      <c r="E47" s="179">
        <f t="shared" si="6"/>
        <v>340.4070752086356</v>
      </c>
      <c r="F47" s="183">
        <f t="shared" si="8"/>
        <v>31.782960102035815</v>
      </c>
      <c r="G47" s="247">
        <f t="shared" si="1"/>
        <v>0.57971181883868517</v>
      </c>
      <c r="H47" s="246"/>
      <c r="J47" s="182"/>
      <c r="K47" s="182"/>
      <c r="L47" s="182"/>
      <c r="M47" s="182"/>
      <c r="N47" s="163"/>
      <c r="O47" s="259">
        <f>IF($O$24="Y",IFERROR(E47*($E$6/SUMIF($G$3:$G$14,"Y",$E$3:$E$14))*$O$16*'Emissions Factors'!B32,""),"")</f>
        <v>5.1467660097726604</v>
      </c>
      <c r="P47" s="259">
        <f>IF($P$24="Y",IFERROR($E47*(SUM($E$3,$E$4,$E$5,$E$7)/SUMIF($G$3:$G$14,"Y",$E$3:$E$14))*('Emissions Factors'!$T$143*$P$16)/10^6,""),"")</f>
        <v>59.898817764183427</v>
      </c>
      <c r="Q47" s="259"/>
      <c r="R47" s="258"/>
      <c r="T47" s="180">
        <f t="shared" si="2"/>
        <v>65.045583773956082</v>
      </c>
      <c r="U47" s="180">
        <f t="shared" si="3"/>
        <v>0</v>
      </c>
      <c r="V47" s="177"/>
      <c r="X47" s="180">
        <f t="shared" si="4"/>
        <v>65.045583773956082</v>
      </c>
      <c r="Y47" s="180">
        <f t="shared" si="5"/>
        <v>0</v>
      </c>
    </row>
    <row r="48" spans="1:25" ht="15.6" x14ac:dyDescent="0.3">
      <c r="A48" s="152">
        <v>2036</v>
      </c>
      <c r="B48" s="178">
        <f t="shared" si="0"/>
        <v>0</v>
      </c>
      <c r="C48" s="182">
        <f t="shared" si="7"/>
        <v>0</v>
      </c>
      <c r="D48" s="183"/>
      <c r="E48" s="179">
        <f t="shared" si="6"/>
        <v>372.34766280297276</v>
      </c>
      <c r="F48" s="183">
        <f t="shared" si="8"/>
        <v>31.94058759433716</v>
      </c>
      <c r="G48" s="247">
        <f t="shared" si="1"/>
        <v>0.57608277822469922</v>
      </c>
      <c r="H48" s="246"/>
      <c r="J48" s="182"/>
      <c r="K48" s="182"/>
      <c r="L48" s="182"/>
      <c r="M48" s="182"/>
      <c r="N48" s="163"/>
      <c r="O48" s="259">
        <f>IF($O$24="Y",IFERROR(E48*($E$6/SUMIF($G$3:$G$14,"Y",$E$3:$E$14))*$O$16*'Emissions Factors'!B33,""),"")</f>
        <v>5.600528926046028</v>
      </c>
      <c r="P48" s="259">
        <f>IF($P$24="Y",IFERROR($E48*(SUM($E$3,$E$4,$E$5,$E$7)/SUMIF($G$3:$G$14,"Y",$E$3:$E$14))*('Emissions Factors'!$T$143*$P$16)/10^6,""),"")</f>
        <v>65.519157571813864</v>
      </c>
      <c r="Q48" s="259"/>
      <c r="R48" s="258"/>
      <c r="T48" s="180">
        <f t="shared" si="2"/>
        <v>71.119686497859888</v>
      </c>
      <c r="U48" s="180">
        <f t="shared" si="3"/>
        <v>0</v>
      </c>
      <c r="V48" s="177"/>
      <c r="X48" s="180">
        <f t="shared" si="4"/>
        <v>71.119686497859888</v>
      </c>
      <c r="Y48" s="180">
        <f t="shared" si="5"/>
        <v>0</v>
      </c>
    </row>
    <row r="49" spans="1:25" ht="15.6" x14ac:dyDescent="0.3">
      <c r="A49" s="152">
        <v>2037</v>
      </c>
      <c r="B49" s="178">
        <f t="shared" si="0"/>
        <v>0</v>
      </c>
      <c r="C49" s="182">
        <f t="shared" si="7"/>
        <v>0</v>
      </c>
      <c r="D49" s="183"/>
      <c r="E49" s="179">
        <f t="shared" si="6"/>
        <v>404.4857858075539</v>
      </c>
      <c r="F49" s="183">
        <f t="shared" si="8"/>
        <v>32.138123004581132</v>
      </c>
      <c r="G49" s="247">
        <f t="shared" si="1"/>
        <v>0.57248036005710112</v>
      </c>
      <c r="H49" s="246"/>
      <c r="J49" s="182"/>
      <c r="K49" s="182"/>
      <c r="L49" s="182"/>
      <c r="M49" s="182"/>
      <c r="N49" s="163"/>
      <c r="O49" s="259">
        <f>IF($O$24="Y",IFERROR(E49*($E$6/SUMIF($G$3:$G$14,"Y",$E$3:$E$14))*$O$16*'Emissions Factors'!B34,""),"")</f>
        <v>6.0514826361554492</v>
      </c>
      <c r="P49" s="259">
        <f>IF($P$24="Y",IFERROR($E49*(SUM($E$3,$E$4,$E$5,$E$7)/SUMIF($G$3:$G$14,"Y",$E$3:$E$14))*('Emissions Factors'!$T$143*$P$16)/10^6,""),"")</f>
        <v>71.174256167970995</v>
      </c>
      <c r="Q49" s="259"/>
      <c r="R49" s="258"/>
      <c r="T49" s="180">
        <f t="shared" si="2"/>
        <v>77.225738804126451</v>
      </c>
      <c r="U49" s="180">
        <f t="shared" si="3"/>
        <v>0</v>
      </c>
      <c r="V49" s="177"/>
      <c r="X49" s="180">
        <f t="shared" si="4"/>
        <v>77.225738804126451</v>
      </c>
      <c r="Y49" s="180">
        <f t="shared" si="5"/>
        <v>0</v>
      </c>
    </row>
    <row r="50" spans="1:25" ht="15.6" x14ac:dyDescent="0.3">
      <c r="A50" s="152">
        <v>2038</v>
      </c>
      <c r="B50" s="178">
        <f t="shared" si="0"/>
        <v>0</v>
      </c>
      <c r="C50" s="182">
        <f t="shared" si="7"/>
        <v>0</v>
      </c>
      <c r="D50" s="183"/>
      <c r="E50" s="179">
        <f t="shared" si="6"/>
        <v>436.9487027369554</v>
      </c>
      <c r="F50" s="183">
        <f t="shared" si="8"/>
        <v>32.462916929401501</v>
      </c>
      <c r="G50" s="247">
        <f t="shared" si="1"/>
        <v>0.56886102580252995</v>
      </c>
      <c r="H50" s="246"/>
      <c r="J50" s="182"/>
      <c r="K50" s="182"/>
      <c r="L50" s="182"/>
      <c r="M50" s="182"/>
      <c r="N50" s="163"/>
      <c r="O50" s="259">
        <f>IF($O$24="Y",IFERROR(E50*($E$6/SUMIF($G$3:$G$14,"Y",$E$3:$E$14))*$O$16*'Emissions Factors'!B35,""),"")</f>
        <v>6.5021483238981164</v>
      </c>
      <c r="P50" s="259">
        <f>IF($P$24="Y",IFERROR($E50*(SUM($E$3,$E$4,$E$5,$E$7)/SUMIF($G$3:$G$14,"Y",$E$3:$E$14))*('Emissions Factors'!$T$143*$P$16)/10^6,""),"")</f>
        <v>76.886506255770342</v>
      </c>
      <c r="Q50" s="259"/>
      <c r="R50" s="258"/>
      <c r="T50" s="180">
        <f t="shared" si="2"/>
        <v>83.388654579668454</v>
      </c>
      <c r="U50" s="180">
        <f t="shared" si="3"/>
        <v>0</v>
      </c>
      <c r="V50" s="177"/>
      <c r="X50" s="180">
        <f t="shared" si="4"/>
        <v>83.388654579668454</v>
      </c>
      <c r="Y50" s="180">
        <f t="shared" si="5"/>
        <v>0</v>
      </c>
    </row>
    <row r="51" spans="1:25" ht="15.6" x14ac:dyDescent="0.3">
      <c r="A51" s="152">
        <v>2039</v>
      </c>
      <c r="B51" s="178">
        <f t="shared" si="0"/>
        <v>0</v>
      </c>
      <c r="C51" s="182">
        <f t="shared" si="7"/>
        <v>0</v>
      </c>
      <c r="D51" s="183"/>
      <c r="E51" s="179">
        <f t="shared" si="6"/>
        <v>469.97500260006905</v>
      </c>
      <c r="F51" s="183">
        <f t="shared" si="8"/>
        <v>33.02629986311365</v>
      </c>
      <c r="G51" s="247">
        <f t="shared" si="1"/>
        <v>0.56519191918091671</v>
      </c>
      <c r="H51" s="246"/>
      <c r="J51" s="182"/>
      <c r="K51" s="182"/>
      <c r="L51" s="182"/>
      <c r="M51" s="182"/>
      <c r="N51" s="163"/>
      <c r="O51" s="259">
        <f>IF($O$24="Y",IFERROR(E51*($E$6/SUMIF($G$3:$G$14,"Y",$E$3:$E$14))*$O$16*'Emissions Factors'!B36,""),"")</f>
        <v>6.955763719641455</v>
      </c>
      <c r="P51" s="259">
        <f>IF($P$24="Y",IFERROR($E51*(SUM($E$3,$E$4,$E$5,$E$7)/SUMIF($G$3:$G$14,"Y",$E$3:$E$14))*('Emissions Factors'!$T$143*$P$16)/10^6,""),"")</f>
        <v>82.697890510088385</v>
      </c>
      <c r="Q51" s="259"/>
      <c r="R51" s="258"/>
      <c r="T51" s="180">
        <f t="shared" si="2"/>
        <v>89.653654229729838</v>
      </c>
      <c r="U51" s="180">
        <f t="shared" si="3"/>
        <v>0</v>
      </c>
      <c r="V51" s="177"/>
      <c r="X51" s="180">
        <f t="shared" si="4"/>
        <v>89.653654229729838</v>
      </c>
      <c r="Y51" s="180">
        <f t="shared" si="5"/>
        <v>0</v>
      </c>
    </row>
    <row r="52" spans="1:25" ht="15.6" x14ac:dyDescent="0.3">
      <c r="A52" s="152">
        <v>2040</v>
      </c>
      <c r="B52" s="178">
        <f t="shared" si="0"/>
        <v>0</v>
      </c>
      <c r="C52" s="182">
        <f t="shared" si="7"/>
        <v>0</v>
      </c>
      <c r="D52" s="183"/>
      <c r="E52" s="179">
        <f t="shared" si="6"/>
        <v>503.50391376878321</v>
      </c>
      <c r="F52" s="183">
        <f t="shared" si="8"/>
        <v>33.52891116871416</v>
      </c>
      <c r="G52" s="247">
        <f t="shared" si="1"/>
        <v>0.56138989915793391</v>
      </c>
      <c r="H52" s="246"/>
      <c r="J52" s="182"/>
      <c r="K52" s="182"/>
      <c r="L52" s="182"/>
      <c r="M52" s="182"/>
      <c r="N52" s="163"/>
      <c r="O52" s="259">
        <f>IF($O$24="Y",IFERROR(E52*($E$6/SUMIF($G$3:$G$14,"Y",$E$3:$E$14))*$O$16*'Emissions Factors'!B37,""),"")</f>
        <v>7.408486864852116</v>
      </c>
      <c r="P52" s="259">
        <f>IF($P$24="Y",IFERROR($E52*(SUM($E$3,$E$4,$E$5,$E$7)/SUMIF($G$3:$G$14,"Y",$E$3:$E$14))*('Emissions Factors'!$T$143*$P$16)/10^6,""),"")</f>
        <v>88.597715414419142</v>
      </c>
      <c r="Q52" s="259"/>
      <c r="R52" s="258"/>
      <c r="T52" s="180">
        <f t="shared" si="2"/>
        <v>96.006202279271264</v>
      </c>
      <c r="U52" s="180">
        <f t="shared" si="3"/>
        <v>0</v>
      </c>
      <c r="V52" s="177"/>
      <c r="X52" s="180">
        <f t="shared" si="4"/>
        <v>96.006202279271264</v>
      </c>
      <c r="Y52" s="180">
        <f t="shared" si="5"/>
        <v>0</v>
      </c>
    </row>
    <row r="53" spans="1:25" ht="15.6" x14ac:dyDescent="0.3">
      <c r="A53" s="152">
        <v>2041</v>
      </c>
      <c r="B53" s="178">
        <f t="shared" si="0"/>
        <v>0</v>
      </c>
      <c r="C53" s="182">
        <f t="shared" si="7"/>
        <v>0</v>
      </c>
      <c r="D53" s="183"/>
      <c r="E53" s="179">
        <f t="shared" si="6"/>
        <v>538.34694124378677</v>
      </c>
      <c r="F53" s="183">
        <f t="shared" si="8"/>
        <v>34.843027475003566</v>
      </c>
      <c r="G53" s="247">
        <f t="shared" si="1"/>
        <v>0.55764241032729633</v>
      </c>
      <c r="H53" s="246"/>
      <c r="J53" s="182"/>
      <c r="K53" s="182"/>
      <c r="L53" s="182"/>
      <c r="M53" s="182"/>
      <c r="N53" s="163"/>
      <c r="O53" s="259">
        <f>IF($O$24="Y",IFERROR(E53*($E$6/SUMIF($G$3:$G$14,"Y",$E$3:$E$14))*$O$16*'Emissions Factors'!B38,""),"")</f>
        <v>7.8809488294233168</v>
      </c>
      <c r="P53" s="259">
        <f>IF($P$24="Y",IFERROR($E53*(SUM($E$3,$E$4,$E$5,$E$7)/SUMIF($G$3:$G$14,"Y",$E$3:$E$14))*('Emissions Factors'!$T$143*$P$16)/10^6,""),"")</f>
        <v>94.728775269149011</v>
      </c>
      <c r="Q53" s="259"/>
      <c r="R53" s="258"/>
      <c r="T53" s="180">
        <f t="shared" si="2"/>
        <v>102.60972409857233</v>
      </c>
      <c r="U53" s="180">
        <f t="shared" si="3"/>
        <v>0</v>
      </c>
      <c r="V53" s="177"/>
      <c r="X53" s="180">
        <f t="shared" si="4"/>
        <v>102.60972409857233</v>
      </c>
      <c r="Y53" s="180">
        <f t="shared" si="5"/>
        <v>0</v>
      </c>
    </row>
    <row r="54" spans="1:25" ht="15.6" x14ac:dyDescent="0.3">
      <c r="A54" s="152">
        <v>2042</v>
      </c>
      <c r="B54" s="178">
        <f t="shared" si="0"/>
        <v>0</v>
      </c>
      <c r="C54" s="182">
        <f t="shared" si="7"/>
        <v>0</v>
      </c>
      <c r="D54" s="183"/>
      <c r="E54" s="179">
        <f t="shared" si="6"/>
        <v>573.71392576880885</v>
      </c>
      <c r="F54" s="183">
        <f t="shared" si="8"/>
        <v>35.366984525022076</v>
      </c>
      <c r="G54" s="247">
        <f t="shared" si="1"/>
        <v>0.55375228640775598</v>
      </c>
      <c r="H54" s="246"/>
      <c r="J54" s="182"/>
      <c r="K54" s="182"/>
      <c r="L54" s="182"/>
      <c r="M54" s="182"/>
      <c r="N54" s="163"/>
      <c r="O54" s="259">
        <f>IF($O$24="Y",IFERROR(E54*($E$6/SUMIF($G$3:$G$14,"Y",$E$3:$E$14))*$O$16*'Emissions Factors'!B39,""),"")</f>
        <v>8.352315202093342</v>
      </c>
      <c r="P54" s="259">
        <f>IF($P$24="Y",IFERROR($E54*(SUM($E$3,$E$4,$E$5,$E$7)/SUMIF($G$3:$G$14,"Y",$E$3:$E$14))*('Emissions Factors'!$T$143*$P$16)/10^6,""),"")</f>
        <v>100.95203182054294</v>
      </c>
      <c r="Q54" s="259"/>
      <c r="R54" s="258"/>
      <c r="T54" s="180">
        <f t="shared" si="2"/>
        <v>109.30434702263628</v>
      </c>
      <c r="U54" s="180">
        <f t="shared" si="3"/>
        <v>0</v>
      </c>
      <c r="V54" s="177"/>
      <c r="X54" s="180">
        <f t="shared" si="4"/>
        <v>109.30434702263628</v>
      </c>
      <c r="Y54" s="180">
        <f t="shared" si="5"/>
        <v>0</v>
      </c>
    </row>
    <row r="55" spans="1:25" ht="15.6" x14ac:dyDescent="0.3">
      <c r="A55" s="152">
        <v>2043</v>
      </c>
      <c r="B55" s="178">
        <f t="shared" si="0"/>
        <v>0</v>
      </c>
      <c r="C55" s="182">
        <f t="shared" si="7"/>
        <v>0</v>
      </c>
      <c r="D55" s="183"/>
      <c r="E55" s="179">
        <f t="shared" si="6"/>
        <v>609.96511886663302</v>
      </c>
      <c r="F55" s="183">
        <f t="shared" si="8"/>
        <v>36.251193097824171</v>
      </c>
      <c r="G55" s="247">
        <f t="shared" si="1"/>
        <v>0.54976091679756101</v>
      </c>
      <c r="H55" s="246"/>
      <c r="J55" s="182"/>
      <c r="K55" s="182"/>
      <c r="L55" s="182"/>
      <c r="M55" s="182"/>
      <c r="N55" s="163"/>
      <c r="O55" s="259">
        <f>IF($O$24="Y",IFERROR(E55*($E$6/SUMIF($G$3:$G$14,"Y",$E$3:$E$14))*$O$16*'Emissions Factors'!B40,""),"")</f>
        <v>8.8305276372707677</v>
      </c>
      <c r="P55" s="259">
        <f>IF($P$24="Y",IFERROR($E55*(SUM($E$3,$E$4,$E$5,$E$7)/SUMIF($G$3:$G$14,"Y",$E$3:$E$14))*('Emissions Factors'!$T$143*$P$16)/10^6,""),"")</f>
        <v>107.33087576134511</v>
      </c>
      <c r="Q55" s="259"/>
      <c r="R55" s="258"/>
      <c r="T55" s="180">
        <f t="shared" si="2"/>
        <v>116.16140339861587</v>
      </c>
      <c r="U55" s="180">
        <f t="shared" si="3"/>
        <v>0</v>
      </c>
      <c r="V55" s="177"/>
      <c r="X55" s="180">
        <f t="shared" si="4"/>
        <v>116.16140339861587</v>
      </c>
      <c r="Y55" s="180">
        <f t="shared" si="5"/>
        <v>0</v>
      </c>
    </row>
    <row r="56" spans="1:25" ht="15.6" x14ac:dyDescent="0.3">
      <c r="A56" s="152">
        <v>2044</v>
      </c>
      <c r="B56" s="178">
        <f t="shared" si="0"/>
        <v>0</v>
      </c>
      <c r="C56" s="182">
        <f t="shared" si="7"/>
        <v>0</v>
      </c>
      <c r="D56" s="183"/>
      <c r="E56" s="179">
        <f t="shared" si="6"/>
        <v>647.21713713984889</v>
      </c>
      <c r="F56" s="183">
        <f t="shared" si="8"/>
        <v>37.252018273215867</v>
      </c>
      <c r="G56" s="247">
        <f t="shared" si="1"/>
        <v>0.5456477490850149</v>
      </c>
      <c r="H56" s="246"/>
      <c r="J56" s="182"/>
      <c r="K56" s="182"/>
      <c r="L56" s="182"/>
      <c r="M56" s="182"/>
      <c r="N56" s="163"/>
      <c r="O56" s="259">
        <f>IF($O$24="Y",IFERROR(E56*($E$6/SUMIF($G$3:$G$14,"Y",$E$3:$E$14))*$O$16*'Emissions Factors'!B41,""),"")</f>
        <v>9.3169517829186024</v>
      </c>
      <c r="P56" s="259">
        <f>IF($P$24="Y",IFERROR($E56*(SUM($E$3,$E$4,$E$5,$E$7)/SUMIF($G$3:$G$14,"Y",$E$3:$E$14))*('Emissions Factors'!$T$143*$P$16)/10^6,""),"")</f>
        <v>113.88582721917776</v>
      </c>
      <c r="Q56" s="259"/>
      <c r="R56" s="258"/>
      <c r="T56" s="180">
        <f t="shared" si="2"/>
        <v>123.20277900209636</v>
      </c>
      <c r="U56" s="180">
        <f t="shared" si="3"/>
        <v>0</v>
      </c>
      <c r="V56" s="177"/>
      <c r="X56" s="180">
        <f t="shared" si="4"/>
        <v>123.20277900209636</v>
      </c>
      <c r="Y56" s="180">
        <f t="shared" si="5"/>
        <v>0</v>
      </c>
    </row>
    <row r="57" spans="1:25" ht="15.6" x14ac:dyDescent="0.3">
      <c r="A57" s="152">
        <v>2045</v>
      </c>
      <c r="B57" s="178">
        <f t="shared" si="0"/>
        <v>0</v>
      </c>
      <c r="C57" s="182">
        <f t="shared" si="7"/>
        <v>0</v>
      </c>
      <c r="D57" s="183"/>
      <c r="E57" s="179">
        <f t="shared" si="6"/>
        <v>685.57850843403594</v>
      </c>
      <c r="F57" s="183">
        <f t="shared" si="8"/>
        <v>38.361371294187052</v>
      </c>
      <c r="G57" s="247">
        <f t="shared" si="1"/>
        <v>0.54140793196035042</v>
      </c>
      <c r="H57" s="246"/>
      <c r="J57" s="182"/>
      <c r="K57" s="182"/>
      <c r="L57" s="182"/>
      <c r="M57" s="182"/>
      <c r="N57" s="163"/>
      <c r="O57" s="259">
        <f>IF($O$24="Y",IFERROR(E57*($E$6/SUMIF($G$3:$G$14,"Y",$E$3:$E$14))*$O$16*'Emissions Factors'!B42,""),"")</f>
        <v>9.8107697066250932</v>
      </c>
      <c r="P57" s="259">
        <f>IF($P$24="Y",IFERROR($E57*(SUM($E$3,$E$4,$E$5,$E$7)/SUMIF($G$3:$G$14,"Y",$E$3:$E$14))*('Emissions Factors'!$T$143*$P$16)/10^6,""),"")</f>
        <v>120.63598300523586</v>
      </c>
      <c r="Q57" s="259"/>
      <c r="R57" s="258"/>
      <c r="T57" s="180">
        <f t="shared" si="2"/>
        <v>130.44675271186094</v>
      </c>
      <c r="U57" s="180">
        <f t="shared" si="3"/>
        <v>0</v>
      </c>
      <c r="V57" s="177"/>
      <c r="X57" s="180">
        <f t="shared" si="4"/>
        <v>130.44675271186094</v>
      </c>
      <c r="Y57" s="180">
        <f t="shared" si="5"/>
        <v>0</v>
      </c>
    </row>
    <row r="58" spans="1:25" ht="15.6" x14ac:dyDescent="0.3">
      <c r="A58" s="152">
        <v>2046</v>
      </c>
      <c r="B58" s="178">
        <f t="shared" si="0"/>
        <v>0</v>
      </c>
      <c r="C58" s="182">
        <f t="shared" si="7"/>
        <v>0</v>
      </c>
      <c r="D58" s="183"/>
      <c r="E58" s="179">
        <f t="shared" si="6"/>
        <v>725.12249829509767</v>
      </c>
      <c r="F58" s="183">
        <f t="shared" si="8"/>
        <v>39.543989861061732</v>
      </c>
      <c r="G58" s="247">
        <f t="shared" si="1"/>
        <v>0.53705835448488171</v>
      </c>
      <c r="H58" s="246"/>
      <c r="J58" s="182"/>
      <c r="K58" s="182"/>
      <c r="L58" s="182"/>
      <c r="M58" s="182"/>
      <c r="N58" s="163"/>
      <c r="O58" s="259">
        <f>IF($O$24="Y",IFERROR(E58*($E$6/SUMIF($G$3:$G$14,"Y",$E$3:$E$14))*$O$16*'Emissions Factors'!B43,""),"")</f>
        <v>10.318673833626708</v>
      </c>
      <c r="P58" s="259">
        <f>IF($P$24="Y",IFERROR($E58*(SUM($E$3,$E$4,$E$5,$E$7)/SUMIF($G$3:$G$14,"Y",$E$3:$E$14))*('Emissions Factors'!$T$143*$P$16)/10^6,""),"")</f>
        <v>127.59423509475167</v>
      </c>
      <c r="Q58" s="259"/>
      <c r="R58" s="258"/>
      <c r="T58" s="180">
        <f t="shared" si="2"/>
        <v>137.91290892837839</v>
      </c>
      <c r="U58" s="180">
        <f t="shared" si="3"/>
        <v>0</v>
      </c>
      <c r="V58" s="177"/>
      <c r="X58" s="180">
        <f t="shared" si="4"/>
        <v>137.91290892837839</v>
      </c>
      <c r="Y58" s="180">
        <f t="shared" si="5"/>
        <v>0</v>
      </c>
    </row>
    <row r="59" spans="1:25" ht="15.6" x14ac:dyDescent="0.3">
      <c r="A59" s="152">
        <v>2047</v>
      </c>
      <c r="B59" s="178">
        <f t="shared" si="0"/>
        <v>0</v>
      </c>
      <c r="C59" s="182">
        <f t="shared" si="7"/>
        <v>0</v>
      </c>
      <c r="D59" s="183"/>
      <c r="E59" s="179">
        <f t="shared" si="6"/>
        <v>765.91438064019701</v>
      </c>
      <c r="F59" s="183">
        <f t="shared" si="8"/>
        <v>40.791882345099339</v>
      </c>
      <c r="G59" s="247">
        <f t="shared" si="1"/>
        <v>0.53261836974497689</v>
      </c>
      <c r="H59" s="246"/>
      <c r="J59" s="182"/>
      <c r="K59" s="182"/>
      <c r="L59" s="182"/>
      <c r="M59" s="182"/>
      <c r="N59" s="163"/>
      <c r="O59" s="259">
        <f>IF($O$24="Y",IFERROR(E59*($E$6/SUMIF($G$3:$G$14,"Y",$E$3:$E$14))*$O$16*'Emissions Factors'!B44,""),"")</f>
        <v>10.83510893764281</v>
      </c>
      <c r="P59" s="259">
        <f>IF($P$24="Y",IFERROR($E59*(SUM($E$3,$E$4,$E$5,$E$7)/SUMIF($G$3:$G$14,"Y",$E$3:$E$14))*('Emissions Factors'!$T$143*$P$16)/10^6,""),"")</f>
        <v>134.77206923744555</v>
      </c>
      <c r="Q59" s="259"/>
      <c r="R59" s="258"/>
      <c r="T59" s="180">
        <f t="shared" si="2"/>
        <v>145.60717817508836</v>
      </c>
      <c r="U59" s="180">
        <f t="shared" si="3"/>
        <v>0</v>
      </c>
      <c r="V59" s="177"/>
      <c r="X59" s="180">
        <f t="shared" si="4"/>
        <v>145.60717817508836</v>
      </c>
      <c r="Y59" s="180">
        <f t="shared" si="5"/>
        <v>0</v>
      </c>
    </row>
    <row r="60" spans="1:25" ht="15.6" x14ac:dyDescent="0.3">
      <c r="A60" s="152">
        <v>2048</v>
      </c>
      <c r="B60" s="178">
        <f t="shared" si="0"/>
        <v>0</v>
      </c>
      <c r="C60" s="182">
        <f t="shared" si="7"/>
        <v>0</v>
      </c>
      <c r="D60" s="183"/>
      <c r="E60" s="179">
        <f t="shared" si="6"/>
        <v>808.04466369889758</v>
      </c>
      <c r="F60" s="183">
        <f t="shared" si="8"/>
        <v>42.13028305870057</v>
      </c>
      <c r="G60" s="247">
        <f t="shared" si="1"/>
        <v>0.52809484037024945</v>
      </c>
      <c r="H60" s="246"/>
      <c r="J60" s="182"/>
      <c r="K60" s="182"/>
      <c r="L60" s="182"/>
      <c r="M60" s="182"/>
      <c r="N60" s="163"/>
      <c r="O60" s="259">
        <f>IF($O$24="Y",IFERROR(E60*($E$6/SUMIF($G$3:$G$14,"Y",$E$3:$E$14))*$O$16*'Emissions Factors'!B45,""),"")</f>
        <v>11.362898518122048</v>
      </c>
      <c r="P60" s="259">
        <f>IF($P$24="Y",IFERROR($E60*(SUM($E$3,$E$4,$E$5,$E$7)/SUMIF($G$3:$G$14,"Y",$E$3:$E$14))*('Emissions Factors'!$T$143*$P$16)/10^6,""),"")</f>
        <v>142.18541147112236</v>
      </c>
      <c r="Q60" s="259"/>
      <c r="R60" s="258"/>
      <c r="T60" s="180">
        <f t="shared" si="2"/>
        <v>153.54830998924442</v>
      </c>
      <c r="U60" s="180">
        <f t="shared" si="3"/>
        <v>0</v>
      </c>
      <c r="V60" s="177"/>
      <c r="X60" s="180">
        <f t="shared" si="4"/>
        <v>153.54830998924442</v>
      </c>
      <c r="Y60" s="180">
        <f t="shared" si="5"/>
        <v>0</v>
      </c>
    </row>
    <row r="61" spans="1:25" ht="15.6" x14ac:dyDescent="0.3">
      <c r="A61" s="152">
        <v>2049</v>
      </c>
      <c r="B61" s="178">
        <f t="shared" si="0"/>
        <v>0</v>
      </c>
      <c r="C61" s="182">
        <f t="shared" si="7"/>
        <v>0</v>
      </c>
      <c r="D61" s="183"/>
      <c r="E61" s="179">
        <f t="shared" si="6"/>
        <v>851.6073276613962</v>
      </c>
      <c r="F61" s="183">
        <f t="shared" si="8"/>
        <v>43.562663962498618</v>
      </c>
      <c r="G61" s="247">
        <f t="shared" si="1"/>
        <v>0.52349559610294216</v>
      </c>
      <c r="H61" s="246"/>
      <c r="J61" s="182"/>
      <c r="K61" s="182"/>
      <c r="L61" s="182"/>
      <c r="M61" s="182"/>
      <c r="N61" s="163"/>
      <c r="O61" s="259">
        <f>IF($O$24="Y",IFERROR(E61*($E$6/SUMIF($G$3:$G$14,"Y",$E$3:$E$14))*$O$16*'Emissions Factors'!B46,""),"")</f>
        <v>11.913760181970643</v>
      </c>
      <c r="P61" s="259">
        <f>IF($P$24="Y",IFERROR($E61*(SUM($E$3,$E$4,$E$5,$E$7)/SUMIF($G$3:$G$14,"Y",$E$3:$E$14))*('Emissions Factors'!$T$143*$P$16)/10^6,""),"")</f>
        <v>149.85079876782524</v>
      </c>
      <c r="Q61" s="259"/>
      <c r="R61" s="258"/>
      <c r="T61" s="180">
        <f t="shared" si="2"/>
        <v>161.76455894979588</v>
      </c>
      <c r="U61" s="180">
        <f t="shared" si="3"/>
        <v>0</v>
      </c>
      <c r="V61" s="177"/>
      <c r="X61" s="180">
        <f t="shared" si="4"/>
        <v>161.76455894979588</v>
      </c>
      <c r="Y61" s="180">
        <f t="shared" si="5"/>
        <v>0</v>
      </c>
    </row>
    <row r="62" spans="1:25" ht="15.6" x14ac:dyDescent="0.3">
      <c r="A62" s="152">
        <v>2050</v>
      </c>
      <c r="B62" s="178">
        <f t="shared" si="0"/>
        <v>0</v>
      </c>
      <c r="C62" s="182">
        <f t="shared" si="7"/>
        <v>0</v>
      </c>
      <c r="D62" s="183"/>
      <c r="E62" s="179">
        <f t="shared" si="6"/>
        <v>896.95547627651661</v>
      </c>
      <c r="F62" s="183">
        <f t="shared" si="8"/>
        <v>45.348148615120408</v>
      </c>
      <c r="G62" s="247">
        <f t="shared" si="1"/>
        <v>0.51887476282124312</v>
      </c>
      <c r="H62" s="246"/>
      <c r="J62" s="182"/>
      <c r="K62" s="182"/>
      <c r="L62" s="182"/>
      <c r="M62" s="182"/>
      <c r="N62" s="163"/>
      <c r="O62" s="259">
        <f>IF($O$24="Y",IFERROR(E62*($E$6/SUMIF($G$3:$G$14,"Y",$E$3:$E$14))*$O$16*'Emissions Factors'!B47,""),"")</f>
        <v>12.505016526643171</v>
      </c>
      <c r="P62" s="259">
        <f>IF($P$24="Y",IFERROR($E62*(SUM($E$3,$E$4,$E$5,$E$7)/SUMIF($G$3:$G$14,"Y",$E$3:$E$14))*('Emissions Factors'!$T$143*$P$16)/10^6,""),"")</f>
        <v>157.83036408142922</v>
      </c>
      <c r="Q62" s="259"/>
      <c r="R62" s="258"/>
      <c r="T62" s="180">
        <f t="shared" si="2"/>
        <v>170.3353806080724</v>
      </c>
      <c r="U62" s="180">
        <f t="shared" si="3"/>
        <v>0</v>
      </c>
      <c r="V62" s="177"/>
      <c r="X62" s="180">
        <f t="shared" si="4"/>
        <v>170.3353806080724</v>
      </c>
      <c r="Y62" s="180">
        <f t="shared" si="5"/>
        <v>0</v>
      </c>
    </row>
    <row r="63" spans="1:25" ht="15.6" x14ac:dyDescent="0.3">
      <c r="A63" s="152">
        <v>2051</v>
      </c>
      <c r="B63" s="178">
        <f t="shared" si="0"/>
        <v>0</v>
      </c>
      <c r="C63" s="182">
        <f t="shared" si="7"/>
        <v>0</v>
      </c>
      <c r="D63" s="183"/>
      <c r="E63" s="179">
        <f t="shared" si="6"/>
        <v>943.34182432369334</v>
      </c>
      <c r="F63" s="183">
        <f t="shared" si="8"/>
        <v>46.386348047176739</v>
      </c>
      <c r="G63" s="247">
        <f t="shared" si="1"/>
        <v>0.51413028597147714</v>
      </c>
      <c r="H63" s="246"/>
      <c r="J63" s="182"/>
      <c r="K63" s="182"/>
      <c r="L63" s="182"/>
      <c r="M63" s="182"/>
      <c r="N63" s="163"/>
      <c r="O63" s="259">
        <f>IF($O$24="Y",IFERROR(E63*($E$6/SUMIF($G$3:$G$14,"Y",$E$3:$E$14))*$O$16*'Emissions Factors'!B48,""),"")</f>
        <v>13.101450889623292</v>
      </c>
      <c r="P63" s="259">
        <f>IF($P$24="Y",IFERROR($E63*(SUM($E$3,$E$4,$E$5,$E$7)/SUMIF($G$3:$G$14,"Y",$E$3:$E$14))*('Emissions Factors'!$T$143*$P$16)/10^6,""),"")</f>
        <v>165.99261337287209</v>
      </c>
      <c r="Q63" s="259"/>
      <c r="R63" s="258"/>
      <c r="T63" s="180" t="str">
        <f t="shared" si="2"/>
        <v/>
      </c>
      <c r="U63" s="180" t="str">
        <f t="shared" si="3"/>
        <v/>
      </c>
      <c r="V63" s="177"/>
      <c r="X63" s="180">
        <f t="shared" si="4"/>
        <v>179.09406426249538</v>
      </c>
      <c r="Y63" s="180">
        <f t="shared" si="5"/>
        <v>0</v>
      </c>
    </row>
    <row r="64" spans="1:25" ht="15.6" x14ac:dyDescent="0.3">
      <c r="A64" s="152">
        <v>2052</v>
      </c>
      <c r="B64" s="178">
        <f t="shared" si="0"/>
        <v>0</v>
      </c>
      <c r="C64" s="182">
        <f t="shared" si="7"/>
        <v>0</v>
      </c>
      <c r="D64" s="183"/>
      <c r="E64" s="179">
        <f t="shared" si="6"/>
        <v>991.6275132972429</v>
      </c>
      <c r="F64" s="183">
        <f t="shared" si="8"/>
        <v>48.285688973549554</v>
      </c>
      <c r="G64" s="247">
        <f t="shared" si="1"/>
        <v>0.50940753304125286</v>
      </c>
      <c r="H64" s="246"/>
      <c r="J64" s="182"/>
      <c r="K64" s="182"/>
      <c r="L64" s="182"/>
      <c r="M64" s="182"/>
      <c r="N64" s="163"/>
      <c r="O64" s="259">
        <f>IF($O$24="Y",IFERROR(E64*($E$6/SUMIF($G$3:$G$14,"Y",$E$3:$E$14))*$O$16*'Emissions Factors'!B49,""),"")</f>
        <v>13.721203851741642</v>
      </c>
      <c r="P64" s="259">
        <f>IF($P$24="Y",IFERROR($E64*(SUM($E$3,$E$4,$E$5,$E$7)/SUMIF($G$3:$G$14,"Y",$E$3:$E$14))*('Emissions Factors'!$T$143*$P$16)/10^6,""),"")</f>
        <v>174.48907509497943</v>
      </c>
      <c r="Q64" s="259"/>
      <c r="R64" s="258"/>
      <c r="T64" s="180" t="str">
        <f t="shared" si="2"/>
        <v/>
      </c>
      <c r="U64" s="180" t="str">
        <f t="shared" si="3"/>
        <v/>
      </c>
      <c r="V64" s="177"/>
      <c r="X64" s="180">
        <f t="shared" si="4"/>
        <v>188.21027894672108</v>
      </c>
      <c r="Y64" s="180">
        <f t="shared" si="5"/>
        <v>0</v>
      </c>
    </row>
    <row r="65" spans="1:25" ht="15.6" x14ac:dyDescent="0.3">
      <c r="A65" s="152">
        <v>2053</v>
      </c>
      <c r="B65" s="178">
        <f t="shared" si="0"/>
        <v>0</v>
      </c>
      <c r="C65" s="182">
        <f t="shared" si="7"/>
        <v>0</v>
      </c>
      <c r="D65" s="183"/>
      <c r="E65" s="179">
        <f t="shared" si="6"/>
        <v>1041.5894577356892</v>
      </c>
      <c r="F65" s="183">
        <f t="shared" si="8"/>
        <v>49.961944438446267</v>
      </c>
      <c r="G65" s="247">
        <f t="shared" si="1"/>
        <v>0.50469328956793813</v>
      </c>
      <c r="H65" s="246"/>
      <c r="J65" s="182"/>
      <c r="K65" s="182"/>
      <c r="L65" s="182"/>
      <c r="M65" s="182"/>
      <c r="N65" s="163"/>
      <c r="O65" s="259">
        <f>IF($O$24="Y",IFERROR(E65*($E$6/SUMIF($G$3:$G$14,"Y",$E$3:$E$14))*$O$16*'Emissions Factors'!B50,""),"")</f>
        <v>14.357993294956541</v>
      </c>
      <c r="P65" s="259">
        <f>IF($P$24="Y",IFERROR($E65*(SUM($E$3,$E$4,$E$5,$E$7)/SUMIF($G$3:$G$14,"Y",$E$3:$E$14))*('Emissions Factors'!$T$143*$P$16)/10^6,""),"")</f>
        <v>183.2804946130037</v>
      </c>
      <c r="Q65" s="259"/>
      <c r="R65" s="258"/>
      <c r="T65" s="180" t="str">
        <f t="shared" si="2"/>
        <v/>
      </c>
      <c r="U65" s="180" t="str">
        <f t="shared" si="3"/>
        <v/>
      </c>
      <c r="V65" s="177"/>
      <c r="X65" s="180">
        <f t="shared" si="4"/>
        <v>197.63848790796024</v>
      </c>
      <c r="Y65" s="180">
        <f t="shared" si="5"/>
        <v>0</v>
      </c>
    </row>
    <row r="66" spans="1:25" ht="15.6" x14ac:dyDescent="0.3">
      <c r="A66" s="152">
        <v>2054</v>
      </c>
      <c r="B66" s="178">
        <f t="shared" si="0"/>
        <v>0</v>
      </c>
      <c r="C66" s="182">
        <f t="shared" si="7"/>
        <v>0</v>
      </c>
      <c r="D66" s="183"/>
      <c r="E66" s="179">
        <f t="shared" si="6"/>
        <v>1093.2635620094634</v>
      </c>
      <c r="F66" s="183">
        <f t="shared" si="8"/>
        <v>51.674104273774219</v>
      </c>
      <c r="G66" s="247">
        <f t="shared" si="1"/>
        <v>0.50001377138642455</v>
      </c>
      <c r="H66" s="246"/>
      <c r="J66" s="182"/>
      <c r="K66" s="182"/>
      <c r="L66" s="182"/>
      <c r="M66" s="182"/>
      <c r="N66" s="163"/>
      <c r="O66" s="259">
        <f>IF($O$24="Y",IFERROR(E66*($E$6/SUMIF($G$3:$G$14,"Y",$E$3:$E$14))*$O$16*'Emissions Factors'!B51,""),"")</f>
        <v>15.011828720580681</v>
      </c>
      <c r="P66" s="259">
        <f>IF($P$24="Y",IFERROR($E66*(SUM($E$3,$E$4,$E$5,$E$7)/SUMIF($G$3:$G$14,"Y",$E$3:$E$14))*('Emissions Factors'!$T$143*$P$16)/10^6,""),"")</f>
        <v>192.3731897431656</v>
      </c>
      <c r="Q66" s="259"/>
      <c r="R66" s="258"/>
      <c r="T66" s="180" t="str">
        <f t="shared" si="2"/>
        <v/>
      </c>
      <c r="U66" s="180" t="str">
        <f t="shared" si="3"/>
        <v/>
      </c>
      <c r="V66" s="177"/>
      <c r="X66" s="180">
        <f t="shared" si="4"/>
        <v>207.38501846374629</v>
      </c>
      <c r="Y66" s="180">
        <f t="shared" si="5"/>
        <v>0</v>
      </c>
    </row>
    <row r="67" spans="1:25" ht="15.6" x14ac:dyDescent="0.3">
      <c r="A67" s="152">
        <v>2055</v>
      </c>
      <c r="B67" s="178">
        <f t="shared" si="0"/>
        <v>0</v>
      </c>
      <c r="C67" s="182">
        <f t="shared" si="7"/>
        <v>0</v>
      </c>
      <c r="D67" s="183"/>
      <c r="E67" s="179">
        <f t="shared" si="6"/>
        <v>1146.6802368931051</v>
      </c>
      <c r="F67" s="183">
        <f t="shared" si="8"/>
        <v>53.41667488364169</v>
      </c>
      <c r="G67" s="247">
        <f t="shared" si="1"/>
        <v>0.49538914368792231</v>
      </c>
      <c r="H67" s="246"/>
      <c r="J67" s="182"/>
      <c r="K67" s="182"/>
      <c r="L67" s="182"/>
      <c r="M67" s="182"/>
      <c r="N67" s="163"/>
      <c r="O67" s="259">
        <f>IF($O$24="Y",IFERROR(E67*($E$6/SUMIF($G$3:$G$14,"Y",$E$3:$E$14))*$O$16*'Emissions Factors'!B52,""),"")</f>
        <v>15.681311972951123</v>
      </c>
      <c r="P67" s="259">
        <f>IF($P$24="Y",IFERROR($E67*(SUM($E$3,$E$4,$E$5,$E$7)/SUMIF($G$3:$G$14,"Y",$E$3:$E$14))*('Emissions Factors'!$T$143*$P$16)/10^6,""),"")</f>
        <v>201.77251163582267</v>
      </c>
      <c r="Q67" s="259"/>
      <c r="R67" s="258"/>
      <c r="T67" s="180" t="str">
        <f t="shared" si="2"/>
        <v/>
      </c>
      <c r="U67" s="180" t="str">
        <f t="shared" si="3"/>
        <v/>
      </c>
      <c r="V67" s="177"/>
      <c r="X67" s="180">
        <f t="shared" si="4"/>
        <v>217.4538236087738</v>
      </c>
      <c r="Y67" s="180">
        <f t="shared" si="5"/>
        <v>0</v>
      </c>
    </row>
    <row r="68" spans="1:25" ht="15.6" x14ac:dyDescent="0.3">
      <c r="A68" s="152">
        <v>2056</v>
      </c>
      <c r="B68" s="178">
        <f t="shared" si="0"/>
        <v>0</v>
      </c>
      <c r="C68" s="182">
        <f t="shared" si="7"/>
        <v>0</v>
      </c>
      <c r="D68" s="183"/>
      <c r="E68" s="179">
        <f t="shared" si="6"/>
        <v>1201.8751211866154</v>
      </c>
      <c r="F68" s="183">
        <f t="shared" si="8"/>
        <v>55.194884293510313</v>
      </c>
      <c r="G68" s="247">
        <f t="shared" si="1"/>
        <v>0.49082660754496688</v>
      </c>
      <c r="H68" s="246"/>
      <c r="J68" s="182"/>
      <c r="K68" s="182"/>
      <c r="L68" s="182"/>
      <c r="M68" s="182"/>
      <c r="N68" s="163"/>
      <c r="O68" s="259">
        <f>IF($O$24="Y",IFERROR(E68*($E$6/SUMIF($G$3:$G$14,"Y",$E$3:$E$14))*$O$16*'Emissions Factors'!B53,""),"")</f>
        <v>16.37031326706872</v>
      </c>
      <c r="P68" s="259">
        <f>IF($P$24="Y",IFERROR($E68*(SUM($E$3,$E$4,$E$5,$E$7)/SUMIF($G$3:$G$14,"Y",$E$3:$E$14))*('Emissions Factors'!$T$143*$P$16)/10^6,""),"")</f>
        <v>211.4847313768073</v>
      </c>
      <c r="Q68" s="259"/>
      <c r="R68" s="258"/>
      <c r="T68" s="180" t="str">
        <f t="shared" si="2"/>
        <v/>
      </c>
      <c r="U68" s="180" t="str">
        <f t="shared" si="3"/>
        <v/>
      </c>
      <c r="V68" s="177"/>
      <c r="X68" s="180">
        <f t="shared" si="4"/>
        <v>227.85504464387603</v>
      </c>
      <c r="Y68" s="180">
        <f t="shared" si="5"/>
        <v>0</v>
      </c>
    </row>
    <row r="69" spans="1:25" ht="15.6" x14ac:dyDescent="0.3">
      <c r="A69" s="152">
        <v>2057</v>
      </c>
      <c r="B69" s="178">
        <f t="shared" si="0"/>
        <v>0</v>
      </c>
      <c r="C69" s="182">
        <f t="shared" si="7"/>
        <v>0</v>
      </c>
      <c r="D69" s="183"/>
      <c r="E69" s="179">
        <f t="shared" si="6"/>
        <v>1258.8708612421917</v>
      </c>
      <c r="F69" s="183">
        <f t="shared" si="8"/>
        <v>56.995740055576334</v>
      </c>
      <c r="G69" s="247">
        <f t="shared" si="1"/>
        <v>0.48633382116681406</v>
      </c>
      <c r="H69" s="246"/>
      <c r="J69" s="182"/>
      <c r="K69" s="182"/>
      <c r="L69" s="182"/>
      <c r="M69" s="182"/>
      <c r="N69" s="163"/>
      <c r="O69" s="259">
        <f>IF($O$24="Y",IFERROR(E69*($E$6/SUMIF($G$3:$G$14,"Y",$E$3:$E$14))*$O$16*'Emissions Factors'!B54,""),"")</f>
        <v>17.074663813224372</v>
      </c>
      <c r="P69" s="259">
        <f>IF($P$24="Y",IFERROR($E69*(SUM($E$3,$E$4,$E$5,$E$7)/SUMIF($G$3:$G$14,"Y",$E$3:$E$14))*('Emissions Factors'!$T$143*$P$16)/10^6,""),"")</f>
        <v>221.51383387072966</v>
      </c>
      <c r="Q69" s="259"/>
      <c r="R69" s="258"/>
      <c r="T69" s="180" t="str">
        <f t="shared" si="2"/>
        <v/>
      </c>
      <c r="U69" s="180" t="str">
        <f t="shared" si="3"/>
        <v/>
      </c>
      <c r="V69" s="177"/>
      <c r="X69" s="180">
        <f t="shared" si="4"/>
        <v>238.58849768395402</v>
      </c>
      <c r="Y69" s="180">
        <f t="shared" si="5"/>
        <v>0</v>
      </c>
    </row>
    <row r="70" spans="1:25" ht="15.6" x14ac:dyDescent="0.3">
      <c r="A70" s="152">
        <v>2058</v>
      </c>
      <c r="B70" s="178">
        <f t="shared" si="0"/>
        <v>0</v>
      </c>
      <c r="C70" s="182">
        <f t="shared" si="7"/>
        <v>0</v>
      </c>
      <c r="D70" s="183"/>
      <c r="E70" s="179">
        <f t="shared" si="6"/>
        <v>1317.6560005635174</v>
      </c>
      <c r="F70" s="183">
        <f t="shared" si="8"/>
        <v>58.785139321325687</v>
      </c>
      <c r="G70" s="247">
        <f t="shared" si="1"/>
        <v>0.4819252862301423</v>
      </c>
      <c r="H70" s="246"/>
      <c r="J70" s="182"/>
      <c r="K70" s="182"/>
      <c r="L70" s="182"/>
      <c r="M70" s="182"/>
      <c r="N70" s="163"/>
      <c r="O70" s="259">
        <f>IF($O$24="Y",IFERROR(E70*($E$6/SUMIF($G$3:$G$14,"Y",$E$3:$E$14))*$O$16*'Emissions Factors'!B55,""),"")</f>
        <v>17.7949321186906</v>
      </c>
      <c r="P70" s="259">
        <f>IF($P$24="Y",IFERROR($E70*(SUM($E$3,$E$4,$E$5,$E$7)/SUMIF($G$3:$G$14,"Y",$E$3:$E$14))*('Emissions Factors'!$T$143*$P$16)/10^6,""),"")</f>
        <v>231.85780320595015</v>
      </c>
      <c r="Q70" s="259"/>
      <c r="R70" s="258"/>
      <c r="T70" s="180" t="str">
        <f t="shared" si="2"/>
        <v/>
      </c>
      <c r="U70" s="180" t="str">
        <f t="shared" si="3"/>
        <v/>
      </c>
      <c r="V70" s="177"/>
      <c r="X70" s="180">
        <f t="shared" si="4"/>
        <v>249.65273532464076</v>
      </c>
      <c r="Y70" s="180">
        <f t="shared" si="5"/>
        <v>0</v>
      </c>
    </row>
    <row r="71" spans="1:25" ht="15.6" x14ac:dyDescent="0.3">
      <c r="A71" s="152">
        <v>2059</v>
      </c>
      <c r="B71" s="178">
        <f t="shared" si="0"/>
        <v>0</v>
      </c>
      <c r="C71" s="182">
        <f t="shared" si="7"/>
        <v>0</v>
      </c>
      <c r="D71" s="183"/>
      <c r="E71" s="179">
        <f t="shared" si="6"/>
        <v>1378.2023822199701</v>
      </c>
      <c r="F71" s="183">
        <f t="shared" si="8"/>
        <v>60.546381656452695</v>
      </c>
      <c r="G71" s="247">
        <f t="shared" si="1"/>
        <v>0.47761471239813413</v>
      </c>
      <c r="H71" s="246"/>
      <c r="J71" s="182"/>
      <c r="K71" s="182"/>
      <c r="L71" s="182"/>
      <c r="M71" s="182"/>
      <c r="N71" s="163"/>
      <c r="O71" s="259">
        <f>IF($O$24="Y",IFERROR(E71*($E$6/SUMIF($G$3:$G$14,"Y",$E$3:$E$14))*$O$16*'Emissions Factors'!B56,""),"")</f>
        <v>18.530138672743224</v>
      </c>
      <c r="P71" s="259">
        <f>IF($P$24="Y",IFERROR($E71*(SUM($E$3,$E$4,$E$5,$E$7)/SUMIF($G$3:$G$14,"Y",$E$3:$E$14))*('Emissions Factors'!$T$143*$P$16)/10^6,""),"")</f>
        <v>242.51168482370963</v>
      </c>
      <c r="Q71" s="259"/>
      <c r="R71" s="258"/>
      <c r="T71" s="180" t="str">
        <f t="shared" si="2"/>
        <v/>
      </c>
      <c r="U71" s="180" t="str">
        <f t="shared" si="3"/>
        <v/>
      </c>
      <c r="V71" s="177"/>
      <c r="X71" s="180">
        <f t="shared" si="4"/>
        <v>261.04182349645288</v>
      </c>
      <c r="Y71" s="180">
        <f t="shared" si="5"/>
        <v>0</v>
      </c>
    </row>
    <row r="72" spans="1:25" ht="15.6" x14ac:dyDescent="0.3">
      <c r="A72" s="152">
        <v>2060</v>
      </c>
      <c r="B72" s="178">
        <f t="shared" si="0"/>
        <v>0</v>
      </c>
      <c r="C72" s="182">
        <f t="shared" si="7"/>
        <v>0</v>
      </c>
      <c r="D72" s="183"/>
      <c r="E72" s="179">
        <f t="shared" si="6"/>
        <v>1440.3879847070505</v>
      </c>
      <c r="F72" s="183">
        <f t="shared" si="8"/>
        <v>62.185602487080359</v>
      </c>
      <c r="G72" s="247">
        <f t="shared" si="1"/>
        <v>0.47339931438942939</v>
      </c>
      <c r="H72" s="246"/>
      <c r="J72" s="182"/>
      <c r="K72" s="182"/>
      <c r="L72" s="182"/>
      <c r="M72" s="182"/>
      <c r="N72" s="163"/>
      <c r="O72" s="259">
        <f>IF($O$24="Y",IFERROR(E72*($E$6/SUMIF($G$3:$G$14,"Y",$E$3:$E$14))*$O$16*'Emissions Factors'!B57,""),"")</f>
        <v>19.284486420209522</v>
      </c>
      <c r="P72" s="259">
        <f>IF($P$24="Y",IFERROR($E72*(SUM($E$3,$E$4,$E$5,$E$7)/SUMIF($G$3:$G$14,"Y",$E$3:$E$14))*('Emissions Factors'!$T$143*$P$16)/10^6,""),"")</f>
        <v>253.45400753732133</v>
      </c>
      <c r="Q72" s="259"/>
      <c r="R72" s="258"/>
      <c r="T72" s="180" t="str">
        <f t="shared" si="2"/>
        <v/>
      </c>
      <c r="U72" s="180" t="str">
        <f t="shared" si="3"/>
        <v/>
      </c>
      <c r="V72" s="177"/>
      <c r="X72" s="180">
        <f t="shared" si="4"/>
        <v>272.73849395753086</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10669.145582940017</v>
      </c>
      <c r="C85" s="253">
        <f>(C137/Population_Tables!P3)*Population_Tables!D3</f>
        <v>2962.2634881396102</v>
      </c>
      <c r="D85" s="253">
        <f>(D137/Population_Tables!Q3)*Population_Tables!E3</f>
        <v>561.00796532589561</v>
      </c>
      <c r="E85" s="253">
        <f>(E137/Population_Tables!R3)*Population_Tables!F3</f>
        <v>4099.2983700311743</v>
      </c>
      <c r="F85" s="253">
        <f>(F137/Population_Tables!S3)*Population_Tables!G3</f>
        <v>1033.9245823814495</v>
      </c>
      <c r="G85" s="253">
        <f>(G137/Population_Tables!T3)*Population_Tables!H3</f>
        <v>434.4641222560158</v>
      </c>
      <c r="H85" s="253">
        <f>(H137/Population_Tables!U3)*Population_Tables!I3</f>
        <v>2772.4656256795697</v>
      </c>
      <c r="I85" s="253">
        <f>(I137/Population_Tables!V3)*Population_Tables!J3</f>
        <v>797.27770738276251</v>
      </c>
      <c r="J85" s="253">
        <f>(J137/Population_Tables!W3)*Population_Tables!K3</f>
        <v>1198.7745876608387</v>
      </c>
      <c r="K85" s="253">
        <f>(K137/Population_Tables!X3)*Population_Tables!L3</f>
        <v>1260.2456881434907</v>
      </c>
      <c r="N85" s="195">
        <f t="shared" ref="N85:N131" si="9">SUMIF($C$83:$G$83,"Y",C85:G85)-H85</f>
        <v>2360.7573267330536</v>
      </c>
      <c r="O85" s="195">
        <f>H85</f>
        <v>2772.4656256795697</v>
      </c>
      <c r="P85" s="195">
        <f t="shared" ref="P85:P131" si="10">SUMIF($C$83:$G$83,"N",C85:G85)-(IF($E$83="N",H85))</f>
        <v>3957.7355757215219</v>
      </c>
      <c r="Q85" s="195">
        <f>N85+P85+O85</f>
        <v>9090.958528134146</v>
      </c>
      <c r="R85" s="196">
        <f>N85/Q85</f>
        <v>0.25968189376589118</v>
      </c>
      <c r="U85" s="197">
        <v>0</v>
      </c>
      <c r="V85" s="195">
        <f>O85-O137</f>
        <v>0</v>
      </c>
      <c r="W85" s="197">
        <v>0</v>
      </c>
      <c r="X85" s="195">
        <f>U85+V85+W85</f>
        <v>0</v>
      </c>
      <c r="Y85" s="196">
        <v>0</v>
      </c>
      <c r="AC85" s="251">
        <f>(B85-B137)/((SUM(C85:G85)-SUM(C137:G137)))</f>
        <v>1.4117007243021611</v>
      </c>
      <c r="AF85" s="250">
        <f>B85</f>
        <v>10669.145582940017</v>
      </c>
      <c r="AG85" s="250">
        <f>SUM(C85:G85)</f>
        <v>9090.958528134146</v>
      </c>
      <c r="AH85" s="250">
        <f>AG85-AF85</f>
        <v>-1578.1870548058705</v>
      </c>
      <c r="AI85" s="251">
        <f>AH85/AG85</f>
        <v>-0.17359963197739745</v>
      </c>
    </row>
    <row r="86" spans="1:35" ht="15.6" x14ac:dyDescent="0.3">
      <c r="A86" s="194">
        <v>2015</v>
      </c>
      <c r="B86" s="253">
        <f>(B138/Population_Tables!O4)*Population_Tables!C4</f>
        <v>10860.439596621532</v>
      </c>
      <c r="C86" s="253">
        <f>(C138/Population_Tables!P4)*Population_Tables!D4</f>
        <v>2984.7776194551593</v>
      </c>
      <c r="D86" s="253">
        <f>(D138/Population_Tables!Q4)*Population_Tables!E4</f>
        <v>566.16297082614608</v>
      </c>
      <c r="E86" s="253">
        <f>(E138/Population_Tables!R4)*Population_Tables!F4</f>
        <v>4189.7460256711947</v>
      </c>
      <c r="F86" s="253">
        <f>(F138/Population_Tables!S4)*Population_Tables!G4</f>
        <v>1064.7080576803551</v>
      </c>
      <c r="G86" s="253">
        <f>(G138/Population_Tables!T4)*Population_Tables!H4</f>
        <v>442.18091606363572</v>
      </c>
      <c r="H86" s="253">
        <f>(H138/Population_Tables!U4)*Population_Tables!I4</f>
        <v>2824.5848925825117</v>
      </c>
      <c r="I86" s="253">
        <f>(I138/Population_Tables!V4)*Population_Tables!J4</f>
        <v>823.13304978916142</v>
      </c>
      <c r="J86" s="253">
        <f>(J138/Population_Tables!W4)*Population_Tables!K4</f>
        <v>1204.6046569365531</v>
      </c>
      <c r="K86" s="253">
        <f>(K138/Population_Tables!X4)*Population_Tables!L4</f>
        <v>1271.7141402766044</v>
      </c>
      <c r="N86" s="195">
        <f t="shared" si="9"/>
        <v>2429.8691907690377</v>
      </c>
      <c r="O86" s="195">
        <f t="shared" ref="O86:O131" si="11">H86</f>
        <v>2824.5848925825117</v>
      </c>
      <c r="P86" s="195">
        <f t="shared" si="10"/>
        <v>3993.1215063449413</v>
      </c>
      <c r="Q86" s="195">
        <f t="shared" ref="Q86:Q131" si="12">N86+P86+O86</f>
        <v>9247.5755896964911</v>
      </c>
      <c r="R86" s="196">
        <f t="shared" ref="R86:R130" si="13">N86/Q86</f>
        <v>0.26275742946901254</v>
      </c>
      <c r="U86" s="197">
        <v>0</v>
      </c>
      <c r="V86" s="195">
        <f t="shared" ref="V86:W131" si="14">O86-O138</f>
        <v>0</v>
      </c>
      <c r="W86" s="197">
        <v>0</v>
      </c>
      <c r="X86" s="195">
        <f>U86+V86+W86</f>
        <v>0</v>
      </c>
      <c r="Y86" s="196">
        <v>0</v>
      </c>
      <c r="AC86" s="251">
        <f t="shared" ref="AC86:AC131" si="15">(B86-B138)/((SUM(C86:G86)-SUM(C138:G138)))</f>
        <v>1.4034385307016275</v>
      </c>
    </row>
    <row r="87" spans="1:35" ht="15.6" x14ac:dyDescent="0.3">
      <c r="A87" s="194">
        <v>2016</v>
      </c>
      <c r="B87" s="253">
        <f>(B139/Population_Tables!O5)*Population_Tables!C5</f>
        <v>11054.057299759004</v>
      </c>
      <c r="C87" s="253">
        <f>(C139/Population_Tables!P5)*Population_Tables!D5</f>
        <v>3006.9946364122961</v>
      </c>
      <c r="D87" s="253">
        <f>(D139/Population_Tables!Q5)*Population_Tables!E5</f>
        <v>571.2518041859604</v>
      </c>
      <c r="E87" s="253">
        <f>(E139/Population_Tables!R5)*Population_Tables!F5</f>
        <v>4281.9336024340946</v>
      </c>
      <c r="F87" s="253">
        <f>(F139/Population_Tables!S5)*Population_Tables!G5</f>
        <v>1095.8595126476475</v>
      </c>
      <c r="G87" s="253">
        <f>(G139/Population_Tables!T5)*Population_Tables!H5</f>
        <v>449.94159290558815</v>
      </c>
      <c r="H87" s="253">
        <f>(H139/Population_Tables!U5)*Population_Tables!I5</f>
        <v>2875.9835064689428</v>
      </c>
      <c r="I87" s="253">
        <f>(I139/Population_Tables!V5)*Population_Tables!J5</f>
        <v>850.73944588485108</v>
      </c>
      <c r="J87" s="253">
        <f>(J139/Population_Tables!W5)*Population_Tables!K5</f>
        <v>1210.5271675056538</v>
      </c>
      <c r="K87" s="253">
        <f>(K139/Population_Tables!X5)*Population_Tables!L5</f>
        <v>1283.2556960917091</v>
      </c>
      <c r="N87" s="195">
        <f t="shared" si="9"/>
        <v>2501.8096086127994</v>
      </c>
      <c r="O87" s="195">
        <f t="shared" si="11"/>
        <v>2875.9835064689428</v>
      </c>
      <c r="P87" s="195">
        <f t="shared" si="10"/>
        <v>4028.1880335038445</v>
      </c>
      <c r="Q87" s="195">
        <f t="shared" si="12"/>
        <v>9405.9811485855862</v>
      </c>
      <c r="R87" s="196">
        <f t="shared" si="13"/>
        <v>0.26598071685365926</v>
      </c>
      <c r="U87" s="195">
        <f>N87-N139</f>
        <v>-1.2843755974245141E-2</v>
      </c>
      <c r="V87" s="195">
        <f>O87-O139</f>
        <v>0</v>
      </c>
      <c r="W87" s="195">
        <f>P87-P139</f>
        <v>0</v>
      </c>
      <c r="X87" s="195">
        <f>U87+V87+W87</f>
        <v>-1.2843755974245141E-2</v>
      </c>
      <c r="Y87" s="196">
        <f t="shared" ref="Y87:Y131" si="16">U87/X87</f>
        <v>1</v>
      </c>
      <c r="AC87" s="251">
        <f>(B87-B139)/((SUM(C87:G87)-SUM(C139:G139)))</f>
        <v>1.3951072583132389</v>
      </c>
    </row>
    <row r="88" spans="1:35" ht="15.6" x14ac:dyDescent="0.3">
      <c r="A88" s="194">
        <v>2017</v>
      </c>
      <c r="B88" s="253">
        <f>(B140/Population_Tables!O6)*Population_Tables!C6</f>
        <v>11249.901575234304</v>
      </c>
      <c r="C88" s="253">
        <f>(C140/Population_Tables!P6)*Population_Tables!D6</f>
        <v>3028.9036455887704</v>
      </c>
      <c r="D88" s="253">
        <f>(D140/Population_Tables!Q6)*Population_Tables!E6</f>
        <v>576.28086964978638</v>
      </c>
      <c r="E88" s="253">
        <f>(E140/Population_Tables!R6)*Population_Tables!F6</f>
        <v>4375.8070940247426</v>
      </c>
      <c r="F88" s="253">
        <f>(F140/Population_Tables!S6)*Population_Tables!G6</f>
        <v>1127.4088627010092</v>
      </c>
      <c r="G88" s="253">
        <f>(G140/Population_Tables!T6)*Population_Tables!H6</f>
        <v>457.74012685120721</v>
      </c>
      <c r="H88" s="253">
        <f>(H140/Population_Tables!U6)*Population_Tables!I6</f>
        <v>2926.6562715642963</v>
      </c>
      <c r="I88" s="253">
        <f>(I140/Population_Tables!V6)*Population_Tables!J6</f>
        <v>880.07661127494384</v>
      </c>
      <c r="J88" s="253">
        <f>(J140/Population_Tables!W6)*Population_Tables!K6</f>
        <v>1216.5030856255191</v>
      </c>
      <c r="K88" s="253">
        <f>(K140/Population_Tables!X6)*Population_Tables!L6</f>
        <v>1294.8511756329619</v>
      </c>
      <c r="N88" s="195">
        <f t="shared" si="9"/>
        <v>2576.559685161455</v>
      </c>
      <c r="O88" s="195">
        <f>H88</f>
        <v>2926.6562715642963</v>
      </c>
      <c r="P88" s="195">
        <f t="shared" si="10"/>
        <v>4062.9246420897639</v>
      </c>
      <c r="Q88" s="195">
        <f t="shared" si="12"/>
        <v>9566.1405988155147</v>
      </c>
      <c r="R88" s="196">
        <f t="shared" si="13"/>
        <v>0.26934160736467599</v>
      </c>
      <c r="U88" s="195">
        <f>N88-N140</f>
        <v>-1.2784964567345014E-2</v>
      </c>
      <c r="V88" s="195">
        <f t="shared" si="14"/>
        <v>0</v>
      </c>
      <c r="W88" s="195">
        <f t="shared" si="14"/>
        <v>0</v>
      </c>
      <c r="X88" s="195">
        <f t="shared" ref="X88:X131" si="17">U88+V88+W88</f>
        <v>-1.2784964567345014E-2</v>
      </c>
      <c r="Y88" s="196">
        <f t="shared" si="16"/>
        <v>1</v>
      </c>
      <c r="AC88" s="251">
        <f t="shared" si="15"/>
        <v>1.3867245642330972</v>
      </c>
    </row>
    <row r="89" spans="1:35" ht="15.6" x14ac:dyDescent="0.3">
      <c r="A89" s="194">
        <v>2018</v>
      </c>
      <c r="B89" s="253">
        <f>(B141/Population_Tables!O7)*Population_Tables!C7</f>
        <v>11447.835810203958</v>
      </c>
      <c r="C89" s="253">
        <f>(C141/Population_Tables!P7)*Population_Tables!D7</f>
        <v>3050.518087988808</v>
      </c>
      <c r="D89" s="253">
        <f>(D141/Population_Tables!Q7)*Population_Tables!E7</f>
        <v>581.25451522808532</v>
      </c>
      <c r="E89" s="253">
        <f>(E141/Population_Tables!R7)*Population_Tables!F7</f>
        <v>4471.2605966667188</v>
      </c>
      <c r="F89" s="253">
        <f>(F141/Population_Tables!S7)*Population_Tables!G7</f>
        <v>1159.4009509941495</v>
      </c>
      <c r="G89" s="253">
        <f>(G141/Population_Tables!T7)*Population_Tables!H7</f>
        <v>465.57199611251008</v>
      </c>
      <c r="H89" s="253">
        <f>(H141/Population_Tables!U7)*Population_Tables!I7</f>
        <v>2976.5428784934634</v>
      </c>
      <c r="I89" s="253">
        <f>(I141/Population_Tables!V7)*Population_Tables!J7</f>
        <v>911.11698008629878</v>
      </c>
      <c r="J89" s="253">
        <f>(J141/Population_Tables!W7)*Population_Tables!K7</f>
        <v>1222.4889134080465</v>
      </c>
      <c r="K89" s="253">
        <f>(K141/Population_Tables!X7)*Population_Tables!L7</f>
        <v>1306.4949307079983</v>
      </c>
      <c r="N89" s="195">
        <f t="shared" si="9"/>
        <v>2654.1186691674052</v>
      </c>
      <c r="O89" s="195">
        <f t="shared" si="11"/>
        <v>2976.5428784934634</v>
      </c>
      <c r="P89" s="195">
        <f t="shared" si="10"/>
        <v>4097.3445993294035</v>
      </c>
      <c r="Q89" s="195">
        <f t="shared" si="12"/>
        <v>9728.0061469902721</v>
      </c>
      <c r="R89" s="196">
        <f t="shared" si="13"/>
        <v>0.27283275000690221</v>
      </c>
      <c r="U89" s="195">
        <f t="shared" ref="U89:U131" si="18">N89-N141</f>
        <v>-1.268436608279444E-2</v>
      </c>
      <c r="V89" s="195">
        <f t="shared" si="14"/>
        <v>0</v>
      </c>
      <c r="W89" s="195">
        <f t="shared" si="14"/>
        <v>0</v>
      </c>
      <c r="X89" s="195">
        <f t="shared" si="17"/>
        <v>-1.268436608279444E-2</v>
      </c>
      <c r="Y89" s="196">
        <f t="shared" si="16"/>
        <v>1</v>
      </c>
      <c r="AC89" s="251">
        <f t="shared" si="15"/>
        <v>1.3782950125220412</v>
      </c>
    </row>
    <row r="90" spans="1:35" ht="16.2" thickBot="1" x14ac:dyDescent="0.35">
      <c r="A90" s="198">
        <v>2019</v>
      </c>
      <c r="B90" s="253">
        <f>(B142/Population_Tables!O8)*Population_Tables!C8</f>
        <v>11647.677264399586</v>
      </c>
      <c r="C90" s="253">
        <f>(C142/Population_Tables!P8)*Population_Tables!D8</f>
        <v>3071.858541823382</v>
      </c>
      <c r="D90" s="253">
        <f>(D142/Population_Tables!Q8)*Population_Tables!E8</f>
        <v>586.18739306907651</v>
      </c>
      <c r="E90" s="253">
        <f>(E142/Population_Tables!R8)*Population_Tables!F8</f>
        <v>4568.1560342689736</v>
      </c>
      <c r="F90" s="253">
        <f>(F142/Population_Tables!S8)*Population_Tables!G8</f>
        <v>1191.884575411955</v>
      </c>
      <c r="G90" s="253">
        <f>(G142/Population_Tables!T8)*Population_Tables!H8</f>
        <v>473.43060538527675</v>
      </c>
      <c r="H90" s="253">
        <f>(H142/Population_Tables!U8)*Population_Tables!I8</f>
        <v>3025.556954519966</v>
      </c>
      <c r="I90" s="253">
        <f>(I142/Population_Tables!V8)*Population_Tables!J8</f>
        <v>943.81847222022338</v>
      </c>
      <c r="J90" s="253">
        <f>(J142/Population_Tables!W8)*Population_Tables!K8</f>
        <v>1228.4097258576392</v>
      </c>
      <c r="K90" s="253">
        <f>(K142/Population_Tables!X8)*Population_Tables!L8</f>
        <v>1318.1721103766361</v>
      </c>
      <c r="N90" s="195">
        <f t="shared" si="9"/>
        <v>2734.4836551609624</v>
      </c>
      <c r="O90" s="195">
        <f t="shared" si="11"/>
        <v>3025.556954519966</v>
      </c>
      <c r="P90" s="195">
        <f t="shared" si="10"/>
        <v>4131.4765402777357</v>
      </c>
      <c r="Q90" s="195">
        <f t="shared" si="12"/>
        <v>9891.517149958665</v>
      </c>
      <c r="R90" s="199">
        <f t="shared" si="13"/>
        <v>0.27644734510442509</v>
      </c>
      <c r="U90" s="200">
        <f t="shared" si="18"/>
        <v>-1.2607735514393426E-2</v>
      </c>
      <c r="V90" s="195">
        <f t="shared" si="14"/>
        <v>0</v>
      </c>
      <c r="W90" s="200">
        <f t="shared" si="14"/>
        <v>0</v>
      </c>
      <c r="X90" s="195">
        <f t="shared" si="17"/>
        <v>-1.2607735514393426E-2</v>
      </c>
      <c r="Y90" s="199">
        <f t="shared" si="16"/>
        <v>1</v>
      </c>
      <c r="AC90" s="251">
        <f t="shared" si="15"/>
        <v>1.3698176415836791</v>
      </c>
    </row>
    <row r="91" spans="1:35" ht="15.6" x14ac:dyDescent="0.3">
      <c r="A91" s="201">
        <v>2020</v>
      </c>
      <c r="B91" s="253">
        <f>(B143/Population_Tables!O9)*Population_Tables!C9</f>
        <v>11848.142843251464</v>
      </c>
      <c r="C91" s="253">
        <f>(C143/Population_Tables!P9)*Population_Tables!D9</f>
        <v>3092.9002848549044</v>
      </c>
      <c r="D91" s="253">
        <f>(D143/Population_Tables!Q9)*Population_Tables!E9</f>
        <v>591.17910841278604</v>
      </c>
      <c r="E91" s="253">
        <f>(E143/Population_Tables!R9)*Population_Tables!F9</f>
        <v>4665.6943312590702</v>
      </c>
      <c r="F91" s="253">
        <f>(F143/Population_Tables!S9)*Population_Tables!G9</f>
        <v>1225.0536978455232</v>
      </c>
      <c r="G91" s="253">
        <f>(G143/Population_Tables!T9)*Population_Tables!H9</f>
        <v>481.31117568573507</v>
      </c>
      <c r="H91" s="253">
        <f>(H143/Population_Tables!U9)*Population_Tables!I9</f>
        <v>3073.0263648771311</v>
      </c>
      <c r="I91" s="253">
        <f>(I143/Population_Tables!V9)*Population_Tables!J9</f>
        <v>978.32220859366828</v>
      </c>
      <c r="J91" s="253">
        <f>(J143/Population_Tables!W9)*Population_Tables!K9</f>
        <v>1234.0135482317764</v>
      </c>
      <c r="K91" s="253">
        <f>(K143/Population_Tables!X9)*Population_Tables!L9</f>
        <v>1329.8951388151481</v>
      </c>
      <c r="L91" s="202"/>
      <c r="M91" s="202"/>
      <c r="N91" s="195">
        <f t="shared" si="9"/>
        <v>2817.721664227462</v>
      </c>
      <c r="O91" s="195">
        <f t="shared" si="11"/>
        <v>3073.0263648771311</v>
      </c>
      <c r="P91" s="195">
        <f t="shared" si="10"/>
        <v>4165.3905689534258</v>
      </c>
      <c r="Q91" s="195">
        <f t="shared" si="12"/>
        <v>10056.138598058018</v>
      </c>
      <c r="R91" s="203">
        <f t="shared" si="13"/>
        <v>0.28019916757825947</v>
      </c>
      <c r="S91" s="202"/>
      <c r="T91" s="202"/>
      <c r="U91" s="204">
        <f>N91-N143</f>
        <v>-1.2557549820485292E-2</v>
      </c>
      <c r="V91" s="195">
        <f t="shared" si="14"/>
        <v>0</v>
      </c>
      <c r="W91" s="204">
        <f t="shared" si="14"/>
        <v>0</v>
      </c>
      <c r="X91" s="195">
        <f t="shared" si="17"/>
        <v>-1.2557549820485292E-2</v>
      </c>
      <c r="Y91" s="205">
        <f>U91/X91</f>
        <v>1</v>
      </c>
      <c r="AC91" s="251">
        <f t="shared" si="15"/>
        <v>1.3612550687501233</v>
      </c>
    </row>
    <row r="92" spans="1:35" ht="15.6" x14ac:dyDescent="0.3">
      <c r="A92" s="206">
        <v>2021</v>
      </c>
      <c r="B92" s="253">
        <f>(B144/Population_Tables!O10)*Population_Tables!C10</f>
        <v>12067.887831350625</v>
      </c>
      <c r="C92" s="253">
        <f>(C144/Population_Tables!P10)*Population_Tables!D10</f>
        <v>3117.0040801484079</v>
      </c>
      <c r="D92" s="253">
        <f>(D144/Population_Tables!Q10)*Population_Tables!E10</f>
        <v>596.66971513941724</v>
      </c>
      <c r="E92" s="253">
        <f>(E144/Population_Tables!R10)*Population_Tables!F10</f>
        <v>4771.5905246415123</v>
      </c>
      <c r="F92" s="253">
        <f>(F144/Population_Tables!S10)*Population_Tables!G10</f>
        <v>1260.1912872481237</v>
      </c>
      <c r="G92" s="253">
        <f>(G144/Population_Tables!T10)*Population_Tables!H10</f>
        <v>490.13592098786722</v>
      </c>
      <c r="H92" s="253">
        <f>(H144/Population_Tables!U10)*Population_Tables!I10</f>
        <v>3124.0344839713016</v>
      </c>
      <c r="I92" s="253">
        <f>(I144/Population_Tables!V10)*Population_Tables!J10</f>
        <v>1015.2514548514401</v>
      </c>
      <c r="J92" s="253">
        <f>(J144/Population_Tables!W10)*Population_Tables!K10</f>
        <v>1241.1658503758106</v>
      </c>
      <c r="K92" s="253">
        <f>(K144/Population_Tables!X10)*Population_Tables!L10</f>
        <v>1343.0071967936171</v>
      </c>
      <c r="L92" s="170"/>
      <c r="M92" s="170"/>
      <c r="N92" s="195">
        <f t="shared" si="9"/>
        <v>2907.7473279183341</v>
      </c>
      <c r="O92" s="195">
        <f t="shared" si="11"/>
        <v>3124.0344839713016</v>
      </c>
      <c r="P92" s="195">
        <f t="shared" si="10"/>
        <v>4203.8097162756922</v>
      </c>
      <c r="Q92" s="195">
        <f t="shared" si="12"/>
        <v>10235.591528165329</v>
      </c>
      <c r="R92" s="196">
        <f t="shared" si="13"/>
        <v>0.28408200150592872</v>
      </c>
      <c r="S92" s="170"/>
      <c r="T92" s="170"/>
      <c r="U92" s="195">
        <f t="shared" si="18"/>
        <v>4.1028342768636321</v>
      </c>
      <c r="V92" s="195">
        <f t="shared" si="14"/>
        <v>3.2747830248558785</v>
      </c>
      <c r="W92" s="195">
        <f t="shared" si="14"/>
        <v>4.8631818368012318</v>
      </c>
      <c r="X92" s="195">
        <f t="shared" si="17"/>
        <v>12.240799138520742</v>
      </c>
      <c r="Y92" s="207">
        <f t="shared" si="16"/>
        <v>0.33517699542608825</v>
      </c>
      <c r="AC92" s="251">
        <f t="shared" si="15"/>
        <v>1.245129694222409</v>
      </c>
    </row>
    <row r="93" spans="1:35" ht="15.6" x14ac:dyDescent="0.3">
      <c r="A93" s="206">
        <v>2022</v>
      </c>
      <c r="B93" s="253">
        <f>(B145/Population_Tables!O11)*Population_Tables!C11</f>
        <v>12292.408250104709</v>
      </c>
      <c r="C93" s="253">
        <f>(C145/Population_Tables!P11)*Population_Tables!D11</f>
        <v>3141.7565074167401</v>
      </c>
      <c r="D93" s="253">
        <f>(D145/Population_Tables!Q11)*Population_Tables!E11</f>
        <v>602.34332946971278</v>
      </c>
      <c r="E93" s="253">
        <f>(E145/Population_Tables!R11)*Population_Tables!F11</f>
        <v>4880.1672897688604</v>
      </c>
      <c r="F93" s="253">
        <f>(F145/Population_Tables!S11)*Population_Tables!G11</f>
        <v>1296.4478798167529</v>
      </c>
      <c r="G93" s="253">
        <f>(G145/Population_Tables!T11)*Population_Tables!H11</f>
        <v>499.03933031550298</v>
      </c>
      <c r="H93" s="253">
        <f>(H145/Population_Tables!U11)*Population_Tables!I11</f>
        <v>3174.3618293771192</v>
      </c>
      <c r="I93" s="253">
        <f>(I145/Population_Tables!V11)*Population_Tables!J11</f>
        <v>1054.5396086861249</v>
      </c>
      <c r="J93" s="253">
        <f>(J145/Population_Tables!W11)*Population_Tables!K11</f>
        <v>1248.3300606780829</v>
      </c>
      <c r="K93" s="253">
        <f>(K145/Population_Tables!X11)*Population_Tables!L11</f>
        <v>1356.6416572059211</v>
      </c>
      <c r="L93" s="170"/>
      <c r="M93" s="170"/>
      <c r="N93" s="195">
        <f t="shared" si="9"/>
        <v>3002.2533402084941</v>
      </c>
      <c r="O93" s="195">
        <f t="shared" si="11"/>
        <v>3174.3618293771192</v>
      </c>
      <c r="P93" s="195">
        <f t="shared" si="10"/>
        <v>4243.1391672019563</v>
      </c>
      <c r="Q93" s="195">
        <f t="shared" si="12"/>
        <v>10419.75433678757</v>
      </c>
      <c r="R93" s="196">
        <f t="shared" si="13"/>
        <v>0.28813091395147944</v>
      </c>
      <c r="S93" s="170"/>
      <c r="T93" s="170"/>
      <c r="U93" s="195">
        <f t="shared" si="18"/>
        <v>9.8163755647728976</v>
      </c>
      <c r="V93" s="195">
        <f t="shared" si="14"/>
        <v>7.4116929520951089</v>
      </c>
      <c r="W93" s="195">
        <f t="shared" si="14"/>
        <v>10.859546746726664</v>
      </c>
      <c r="X93" s="195">
        <f t="shared" si="17"/>
        <v>28.087615263594671</v>
      </c>
      <c r="Y93" s="207">
        <f t="shared" si="16"/>
        <v>0.34949124276478682</v>
      </c>
      <c r="AC93" s="251">
        <f t="shared" si="15"/>
        <v>1.2344741800027534</v>
      </c>
    </row>
    <row r="94" spans="1:35" ht="15.6" x14ac:dyDescent="0.3">
      <c r="A94" s="206">
        <v>2023</v>
      </c>
      <c r="B94" s="253">
        <f>(B146/Population_Tables!O12)*Population_Tables!C12</f>
        <v>12522.466306556717</v>
      </c>
      <c r="C94" s="253">
        <f>(C146/Population_Tables!P12)*Population_Tables!D12</f>
        <v>3167.0900015861048</v>
      </c>
      <c r="D94" s="253">
        <f>(D146/Population_Tables!Q12)*Population_Tables!E12</f>
        <v>608.10268786045322</v>
      </c>
      <c r="E94" s="253">
        <f>(E146/Population_Tables!R12)*Population_Tables!F12</f>
        <v>4991.8525506551214</v>
      </c>
      <c r="F94" s="253">
        <f>(F146/Population_Tables!S12)*Population_Tables!G12</f>
        <v>1333.6941848188483</v>
      </c>
      <c r="G94" s="253">
        <f>(G146/Population_Tables!T12)*Population_Tables!H12</f>
        <v>508.04516710531715</v>
      </c>
      <c r="H94" s="253">
        <f>(H146/Population_Tables!U12)*Population_Tables!I12</f>
        <v>3224.5391176745679</v>
      </c>
      <c r="I94" s="253">
        <f>(I146/Population_Tables!V12)*Population_Tables!J12</f>
        <v>1095.9420603978626</v>
      </c>
      <c r="J94" s="253">
        <f>(J146/Population_Tables!W12)*Population_Tables!K12</f>
        <v>1255.6598137828437</v>
      </c>
      <c r="K94" s="253">
        <f>(K146/Population_Tables!X12)*Population_Tables!L12</f>
        <v>1370.6859382790381</v>
      </c>
      <c r="L94" s="170"/>
      <c r="M94" s="170"/>
      <c r="N94" s="195">
        <f t="shared" si="9"/>
        <v>3101.0076177994015</v>
      </c>
      <c r="O94" s="195">
        <f t="shared" si="11"/>
        <v>3224.5391176745679</v>
      </c>
      <c r="P94" s="195">
        <f t="shared" si="10"/>
        <v>4283.2378565518748</v>
      </c>
      <c r="Q94" s="195">
        <f t="shared" si="12"/>
        <v>10608.784592025844</v>
      </c>
      <c r="R94" s="196">
        <f t="shared" si="13"/>
        <v>0.29230564452503749</v>
      </c>
      <c r="S94" s="170"/>
      <c r="T94" s="170"/>
      <c r="U94" s="195">
        <f>N94-N146</f>
        <v>16.95890019034232</v>
      </c>
      <c r="V94" s="195">
        <f t="shared" si="14"/>
        <v>12.305777964558729</v>
      </c>
      <c r="W94" s="195">
        <f t="shared" si="14"/>
        <v>17.867802395318904</v>
      </c>
      <c r="X94" s="195">
        <f t="shared" si="17"/>
        <v>47.132480550219952</v>
      </c>
      <c r="Y94" s="207">
        <f t="shared" si="16"/>
        <v>0.35981344483391886</v>
      </c>
      <c r="AC94" s="251">
        <f t="shared" si="15"/>
        <v>1.2272621171069085</v>
      </c>
    </row>
    <row r="95" spans="1:35" ht="15.6" x14ac:dyDescent="0.3">
      <c r="A95" s="206">
        <v>2024</v>
      </c>
      <c r="B95" s="253">
        <f>(B147/Population_Tables!O13)*Population_Tables!C13</f>
        <v>12757.964356877794</v>
      </c>
      <c r="C95" s="253">
        <f>(C147/Population_Tables!P13)*Population_Tables!D13</f>
        <v>3192.9257627934767</v>
      </c>
      <c r="D95" s="253">
        <f>(D147/Population_Tables!Q13)*Population_Tables!E13</f>
        <v>613.9384674771992</v>
      </c>
      <c r="E95" s="253">
        <f>(E147/Population_Tables!R13)*Population_Tables!F13</f>
        <v>5106.4725442215413</v>
      </c>
      <c r="F95" s="253">
        <f>(F147/Population_Tables!S13)*Population_Tables!G13</f>
        <v>1371.9807217626335</v>
      </c>
      <c r="G95" s="253">
        <f>(G147/Population_Tables!T13)*Population_Tables!H13</f>
        <v>517.21460004993719</v>
      </c>
      <c r="H95" s="253">
        <f>(H147/Population_Tables!U13)*Population_Tables!I13</f>
        <v>3274.5251335499984</v>
      </c>
      <c r="I95" s="253">
        <f>(I147/Population_Tables!V13)*Population_Tables!J13</f>
        <v>1139.4152980633037</v>
      </c>
      <c r="J95" s="253">
        <f>(J147/Population_Tables!W13)*Population_Tables!K13</f>
        <v>1263.1256967008526</v>
      </c>
      <c r="K95" s="253">
        <f>(K147/Population_Tables!X13)*Population_Tables!L13</f>
        <v>1385.060860114118</v>
      </c>
      <c r="L95" s="170"/>
      <c r="M95" s="170"/>
      <c r="N95" s="195">
        <f t="shared" si="9"/>
        <v>3203.9281324341769</v>
      </c>
      <c r="O95" s="195">
        <f t="shared" si="11"/>
        <v>3274.5251335499984</v>
      </c>
      <c r="P95" s="195">
        <f t="shared" si="10"/>
        <v>4324.0788303206127</v>
      </c>
      <c r="Q95" s="195">
        <f t="shared" si="12"/>
        <v>10802.532096304787</v>
      </c>
      <c r="R95" s="196">
        <f t="shared" si="13"/>
        <v>0.29659047562840768</v>
      </c>
      <c r="S95" s="170"/>
      <c r="T95" s="170"/>
      <c r="U95" s="195">
        <f t="shared" si="18"/>
        <v>25.442305048441995</v>
      </c>
      <c r="V95" s="195">
        <f t="shared" si="14"/>
        <v>17.871819458121536</v>
      </c>
      <c r="W95" s="195">
        <f t="shared" si="14"/>
        <v>25.82729973446294</v>
      </c>
      <c r="X95" s="195">
        <f t="shared" si="17"/>
        <v>69.141424241026471</v>
      </c>
      <c r="Y95" s="207">
        <f t="shared" si="16"/>
        <v>0.36797484760727978</v>
      </c>
      <c r="AC95" s="251">
        <f t="shared" si="15"/>
        <v>1.223154248819633</v>
      </c>
    </row>
    <row r="96" spans="1:35" ht="15.6" x14ac:dyDescent="0.3">
      <c r="A96" s="206">
        <v>2025</v>
      </c>
      <c r="B96" s="253">
        <f>(B148/Population_Tables!O14)*Population_Tables!C14</f>
        <v>12998.84893977369</v>
      </c>
      <c r="C96" s="253">
        <f>(C148/Population_Tables!P14)*Population_Tables!D14</f>
        <v>3219.2015792784873</v>
      </c>
      <c r="D96" s="253">
        <f>(D148/Population_Tables!Q14)*Population_Tables!E14</f>
        <v>619.84552315747521</v>
      </c>
      <c r="E96" s="253">
        <f>(E148/Population_Tables!R14)*Population_Tables!F14</f>
        <v>5223.897731554699</v>
      </c>
      <c r="F96" s="253">
        <f>(F148/Population_Tables!S14)*Population_Tables!G14</f>
        <v>1411.3608046263421</v>
      </c>
      <c r="G96" s="253">
        <f>(G148/Population_Tables!T14)*Population_Tables!H14</f>
        <v>526.5936004838677</v>
      </c>
      <c r="H96" s="253">
        <f>(H148/Population_Tables!U14)*Population_Tables!I14</f>
        <v>3324.2931770522609</v>
      </c>
      <c r="I96" s="253">
        <f>(I148/Population_Tables!V14)*Population_Tables!J14</f>
        <v>1184.9286003333305</v>
      </c>
      <c r="J96" s="253">
        <f>(J148/Population_Tables!W14)*Population_Tables!K14</f>
        <v>1270.7047938899591</v>
      </c>
      <c r="K96" s="253">
        <f>(K148/Population_Tables!X14)*Population_Tables!L14</f>
        <v>1399.7060935142301</v>
      </c>
      <c r="L96" s="170"/>
      <c r="M96" s="170"/>
      <c r="N96" s="195">
        <f t="shared" si="9"/>
        <v>3310.9653591287806</v>
      </c>
      <c r="O96" s="195">
        <f t="shared" si="11"/>
        <v>3324.2931770522609</v>
      </c>
      <c r="P96" s="195">
        <f t="shared" si="10"/>
        <v>4365.6407029198308</v>
      </c>
      <c r="Q96" s="195">
        <f t="shared" si="12"/>
        <v>11000.899239100872</v>
      </c>
      <c r="R96" s="196">
        <f t="shared" si="13"/>
        <v>0.300972246646938</v>
      </c>
      <c r="S96" s="170"/>
      <c r="T96" s="170"/>
      <c r="U96" s="195">
        <f t="shared" si="18"/>
        <v>35.210804831415317</v>
      </c>
      <c r="V96" s="195">
        <f t="shared" si="14"/>
        <v>24.045746236620744</v>
      </c>
      <c r="W96" s="195">
        <f t="shared" si="14"/>
        <v>34.691594006410014</v>
      </c>
      <c r="X96" s="195">
        <f t="shared" si="17"/>
        <v>93.948145074446074</v>
      </c>
      <c r="Y96" s="207">
        <f t="shared" si="16"/>
        <v>0.37478978220925691</v>
      </c>
      <c r="AC96" s="251">
        <f t="shared" si="15"/>
        <v>1.2212296858191796</v>
      </c>
    </row>
    <row r="97" spans="1:29" ht="15.6" x14ac:dyDescent="0.3">
      <c r="A97" s="206">
        <v>2026</v>
      </c>
      <c r="B97" s="253">
        <f>(B149/Population_Tables!O15)*Population_Tables!C15</f>
        <v>13244.997578483086</v>
      </c>
      <c r="C97" s="253">
        <f>(C149/Population_Tables!P15)*Population_Tables!D15</f>
        <v>3245.8708465434911</v>
      </c>
      <c r="D97" s="253">
        <f>(D149/Population_Tables!Q15)*Population_Tables!E15</f>
        <v>625.82965628746877</v>
      </c>
      <c r="E97" s="253">
        <f>(E149/Population_Tables!R15)*Population_Tables!F15</f>
        <v>5344.0167699889216</v>
      </c>
      <c r="F97" s="253">
        <f>(F149/Population_Tables!S15)*Population_Tables!G15</f>
        <v>1451.8822415401123</v>
      </c>
      <c r="G97" s="253">
        <f>(G149/Population_Tables!T15)*Population_Tables!H15</f>
        <v>536.1856974371052</v>
      </c>
      <c r="H97" s="253">
        <f>(H149/Population_Tables!U15)*Population_Tables!I15</f>
        <v>3373.8145245671976</v>
      </c>
      <c r="I97" s="253">
        <f>(I149/Population_Tables!V15)*Population_Tables!J15</f>
        <v>1232.4574364359896</v>
      </c>
      <c r="J97" s="253">
        <f>(J149/Population_Tables!W15)*Population_Tables!K15</f>
        <v>1278.3752597246864</v>
      </c>
      <c r="K97" s="253">
        <f>(K149/Population_Tables!X15)*Population_Tables!L15</f>
        <v>1414.5873828873248</v>
      </c>
      <c r="L97" s="170"/>
      <c r="M97" s="170"/>
      <c r="N97" s="195">
        <f t="shared" si="9"/>
        <v>3422.0844869618368</v>
      </c>
      <c r="O97" s="195">
        <f t="shared" si="11"/>
        <v>3373.8145245671976</v>
      </c>
      <c r="P97" s="195">
        <f t="shared" si="10"/>
        <v>4407.8862002680653</v>
      </c>
      <c r="Q97" s="195">
        <f t="shared" si="12"/>
        <v>11203.7852117971</v>
      </c>
      <c r="R97" s="196">
        <f t="shared" si="13"/>
        <v>0.30544002962128641</v>
      </c>
      <c r="S97" s="170"/>
      <c r="T97" s="170"/>
      <c r="U97" s="195">
        <f>N97-N149</f>
        <v>46.22491913943486</v>
      </c>
      <c r="V97" s="195">
        <f t="shared" si="14"/>
        <v>30.787143037162423</v>
      </c>
      <c r="W97" s="195">
        <f t="shared" si="14"/>
        <v>44.411295587186032</v>
      </c>
      <c r="X97" s="195">
        <f t="shared" si="17"/>
        <v>121.42335776378332</v>
      </c>
      <c r="Y97" s="207">
        <f t="shared" si="16"/>
        <v>0.38069215009982427</v>
      </c>
      <c r="AC97" s="251">
        <f t="shared" si="15"/>
        <v>1.220464474513135</v>
      </c>
    </row>
    <row r="98" spans="1:29" ht="15.6" x14ac:dyDescent="0.3">
      <c r="A98" s="206">
        <v>2027</v>
      </c>
      <c r="B98" s="253">
        <f>(B150/Population_Tables!O16)*Population_Tables!C16</f>
        <v>13496.277976710735</v>
      </c>
      <c r="C98" s="253">
        <f>(C150/Population_Tables!P16)*Population_Tables!D16</f>
        <v>3272.8972519878221</v>
      </c>
      <c r="D98" s="253">
        <f>(D150/Population_Tables!Q16)*Population_Tables!E16</f>
        <v>631.89954885404745</v>
      </c>
      <c r="E98" s="253">
        <f>(E150/Population_Tables!R16)*Population_Tables!F16</f>
        <v>5466.7663154162283</v>
      </c>
      <c r="F98" s="253">
        <f>(F150/Population_Tables!S16)*Population_Tables!G16</f>
        <v>1493.585830716424</v>
      </c>
      <c r="G98" s="253">
        <f>(G150/Population_Tables!T16)*Population_Tables!H16</f>
        <v>545.96620353743663</v>
      </c>
      <c r="H98" s="253">
        <f>(H150/Population_Tables!U16)*Population_Tables!I16</f>
        <v>3423.0780952523842</v>
      </c>
      <c r="I98" s="253">
        <f>(I150/Population_Tables!V16)*Population_Tables!J16</f>
        <v>1281.9916068267974</v>
      </c>
      <c r="J98" s="253">
        <f>(J150/Population_Tables!W16)*Population_Tables!K16</f>
        <v>1286.1229226951148</v>
      </c>
      <c r="K98" s="253">
        <f>(K150/Population_Tables!X16)*Population_Tables!L16</f>
        <v>1429.6914820938885</v>
      </c>
      <c r="L98" s="170"/>
      <c r="M98" s="170"/>
      <c r="N98" s="195">
        <f t="shared" si="9"/>
        <v>3537.2740508802685</v>
      </c>
      <c r="O98" s="195">
        <f t="shared" si="11"/>
        <v>3423.0780952523842</v>
      </c>
      <c r="P98" s="195">
        <f t="shared" si="10"/>
        <v>4450.763004379306</v>
      </c>
      <c r="Q98" s="195">
        <f t="shared" si="12"/>
        <v>11411.115150511958</v>
      </c>
      <c r="R98" s="196">
        <f t="shared" si="13"/>
        <v>0.30998495801889875</v>
      </c>
      <c r="S98" s="170"/>
      <c r="T98" s="170"/>
      <c r="U98" s="195">
        <f t="shared" si="18"/>
        <v>58.467624676794003</v>
      </c>
      <c r="V98" s="195">
        <f t="shared" si="14"/>
        <v>38.080020090221296</v>
      </c>
      <c r="W98" s="195">
        <f t="shared" si="14"/>
        <v>54.937285048125887</v>
      </c>
      <c r="X98" s="195">
        <f t="shared" si="17"/>
        <v>151.48492981514119</v>
      </c>
      <c r="Y98" s="207">
        <f t="shared" si="16"/>
        <v>0.38596330835115228</v>
      </c>
      <c r="AC98" s="251">
        <f t="shared" si="15"/>
        <v>1.2200915467794637</v>
      </c>
    </row>
    <row r="99" spans="1:29" ht="15.6" x14ac:dyDescent="0.3">
      <c r="A99" s="206">
        <v>2028</v>
      </c>
      <c r="B99" s="253">
        <f>(B151/Population_Tables!O17)*Population_Tables!C17</f>
        <v>13752.734368916894</v>
      </c>
      <c r="C99" s="253">
        <f>(C151/Population_Tables!P17)*Population_Tables!D17</f>
        <v>3300.2605916830789</v>
      </c>
      <c r="D99" s="253">
        <f>(D151/Population_Tables!Q17)*Population_Tables!E17</f>
        <v>638.05787988147324</v>
      </c>
      <c r="E99" s="253">
        <f>(E151/Population_Tables!R17)*Population_Tables!F17</f>
        <v>5592.1742233474242</v>
      </c>
      <c r="F99" s="253">
        <f>(F151/Population_Tables!S17)*Population_Tables!G17</f>
        <v>1536.5215884696431</v>
      </c>
      <c r="G99" s="253">
        <f>(G151/Population_Tables!T17)*Population_Tables!H17</f>
        <v>555.92569979388054</v>
      </c>
      <c r="H99" s="253">
        <f>(H151/Population_Tables!U17)*Population_Tables!I17</f>
        <v>3472.1154022971059</v>
      </c>
      <c r="I99" s="253">
        <f>(I151/Population_Tables!V17)*Population_Tables!J17</f>
        <v>1333.5496103553071</v>
      </c>
      <c r="J99" s="253">
        <f>(J151/Population_Tables!W17)*Population_Tables!K17</f>
        <v>1293.9498453185963</v>
      </c>
      <c r="K99" s="253">
        <f>(K151/Population_Tables!X17)*Population_Tables!L17</f>
        <v>1445.0145300860274</v>
      </c>
      <c r="L99" s="170"/>
      <c r="M99" s="170"/>
      <c r="N99" s="195">
        <f t="shared" si="9"/>
        <v>3656.5804095199619</v>
      </c>
      <c r="O99" s="195">
        <f t="shared" si="11"/>
        <v>3472.1154022971059</v>
      </c>
      <c r="P99" s="195">
        <f t="shared" si="10"/>
        <v>4494.2441713584321</v>
      </c>
      <c r="Q99" s="195">
        <f t="shared" si="12"/>
        <v>11622.9399831755</v>
      </c>
      <c r="R99" s="196">
        <f t="shared" si="13"/>
        <v>0.31460030033820657</v>
      </c>
      <c r="S99" s="170"/>
      <c r="T99" s="170"/>
      <c r="U99" s="195">
        <f t="shared" si="18"/>
        <v>71.976830151806098</v>
      </c>
      <c r="V99" s="195">
        <f t="shared" si="14"/>
        <v>45.930735464432473</v>
      </c>
      <c r="W99" s="195">
        <f t="shared" si="14"/>
        <v>66.252083713445245</v>
      </c>
      <c r="X99" s="195">
        <f t="shared" si="17"/>
        <v>184.15964932968382</v>
      </c>
      <c r="Y99" s="207">
        <f t="shared" si="16"/>
        <v>0.39083930933726257</v>
      </c>
      <c r="AC99" s="251">
        <f t="shared" si="15"/>
        <v>1.219828559264045</v>
      </c>
    </row>
    <row r="100" spans="1:29" ht="15.6" x14ac:dyDescent="0.3">
      <c r="A100" s="206">
        <v>2029</v>
      </c>
      <c r="B100" s="253">
        <f>(B152/Population_Tables!O18)*Population_Tables!C18</f>
        <v>14014.460615058963</v>
      </c>
      <c r="C100" s="253">
        <f>(C152/Population_Tables!P18)*Population_Tables!D18</f>
        <v>3327.9479227345078</v>
      </c>
      <c r="D100" s="253">
        <f>(D152/Population_Tables!Q18)*Population_Tables!E18</f>
        <v>644.30621070278482</v>
      </c>
      <c r="E100" s="253">
        <f>(E152/Population_Tables!R18)*Population_Tables!F18</f>
        <v>5720.3194349324076</v>
      </c>
      <c r="F100" s="253">
        <f>(F152/Population_Tables!S18)*Population_Tables!G18</f>
        <v>1580.7391945394013</v>
      </c>
      <c r="G100" s="253">
        <f>(G152/Population_Tables!T18)*Population_Tables!H18</f>
        <v>566.04808332201981</v>
      </c>
      <c r="H100" s="253">
        <f>(H152/Population_Tables!U18)*Population_Tables!I18</f>
        <v>3520.9789107511683</v>
      </c>
      <c r="I100" s="253">
        <f>(I152/Population_Tables!V18)*Population_Tables!J18</f>
        <v>1387.1678340421556</v>
      </c>
      <c r="J100" s="253">
        <f>(J152/Population_Tables!W18)*Population_Tables!K18</f>
        <v>1301.864937208195</v>
      </c>
      <c r="K100" s="253">
        <f>(K152/Population_Tables!X18)*Population_Tables!L18</f>
        <v>1460.5638379512307</v>
      </c>
      <c r="L100" s="170"/>
      <c r="M100" s="170"/>
      <c r="N100" s="195">
        <f t="shared" si="9"/>
        <v>3780.0797187206404</v>
      </c>
      <c r="O100" s="195">
        <f t="shared" si="11"/>
        <v>3520.9789107511683</v>
      </c>
      <c r="P100" s="195">
        <f t="shared" si="10"/>
        <v>4538.3022167593126</v>
      </c>
      <c r="Q100" s="195">
        <f t="shared" si="12"/>
        <v>11839.36084623112</v>
      </c>
      <c r="R100" s="196">
        <f t="shared" si="13"/>
        <v>0.31928072535469437</v>
      </c>
      <c r="S100" s="170"/>
      <c r="T100" s="170"/>
      <c r="U100" s="195">
        <f t="shared" si="18"/>
        <v>86.819270431373297</v>
      </c>
      <c r="V100" s="195">
        <f t="shared" si="14"/>
        <v>54.363099310078724</v>
      </c>
      <c r="W100" s="195">
        <f t="shared" si="14"/>
        <v>78.345567881430725</v>
      </c>
      <c r="X100" s="195">
        <f t="shared" si="17"/>
        <v>219.52793762288275</v>
      </c>
      <c r="Y100" s="207">
        <f t="shared" si="16"/>
        <v>0.39548164744532993</v>
      </c>
      <c r="AC100" s="251">
        <f t="shared" si="15"/>
        <v>1.219459411930111</v>
      </c>
    </row>
    <row r="101" spans="1:29" ht="15.6" x14ac:dyDescent="0.3">
      <c r="A101" s="206">
        <v>2030</v>
      </c>
      <c r="B101" s="253">
        <f>(B153/Population_Tables!O19)*Population_Tables!C19</f>
        <v>14286.132564361684</v>
      </c>
      <c r="C101" s="253">
        <f>(C153/Population_Tables!P19)*Population_Tables!D19</f>
        <v>3356.0361946270536</v>
      </c>
      <c r="D101" s="253">
        <f>(D153/Population_Tables!Q19)*Population_Tables!E19</f>
        <v>650.28804400404761</v>
      </c>
      <c r="E101" s="253">
        <f>(E153/Population_Tables!R19)*Population_Tables!F19</f>
        <v>5854.0999926570421</v>
      </c>
      <c r="F101" s="253">
        <f>(F153/Population_Tables!S19)*Population_Tables!G19</f>
        <v>1625.6837217478344</v>
      </c>
      <c r="G101" s="253">
        <f>(G153/Population_Tables!T19)*Population_Tables!H19</f>
        <v>576.31781756475232</v>
      </c>
      <c r="H101" s="253">
        <f>(H153/Population_Tables!U19)*Population_Tables!I19</f>
        <v>3572.1977341558309</v>
      </c>
      <c r="I101" s="253">
        <f>(I153/Population_Tables!V19)*Population_Tables!J19</f>
        <v>1442.163934687341</v>
      </c>
      <c r="J101" s="253">
        <f>(J153/Population_Tables!W19)*Population_Tables!K19</f>
        <v>1310.2819813803831</v>
      </c>
      <c r="K101" s="253">
        <f>(K153/Population_Tables!X19)*Population_Tables!L19</f>
        <v>1476.2416558326274</v>
      </c>
      <c r="L101" s="170"/>
      <c r="M101" s="170"/>
      <c r="N101" s="195">
        <f t="shared" si="9"/>
        <v>3907.5859802490454</v>
      </c>
      <c r="O101" s="195">
        <f t="shared" si="11"/>
        <v>3572.1977341558309</v>
      </c>
      <c r="P101" s="195">
        <f t="shared" si="10"/>
        <v>4582.6420561958539</v>
      </c>
      <c r="Q101" s="195">
        <f t="shared" si="12"/>
        <v>12062.42577060073</v>
      </c>
      <c r="R101" s="196">
        <f t="shared" si="13"/>
        <v>0.32394694521336237</v>
      </c>
      <c r="S101" s="170"/>
      <c r="T101" s="170"/>
      <c r="U101" s="195">
        <f t="shared" si="18"/>
        <v>103.07275929080015</v>
      </c>
      <c r="V101" s="195">
        <f t="shared" si="14"/>
        <v>63.442824268515778</v>
      </c>
      <c r="W101" s="195">
        <f t="shared" si="14"/>
        <v>91.205513016922851</v>
      </c>
      <c r="X101" s="195">
        <f t="shared" si="17"/>
        <v>257.72109657623878</v>
      </c>
      <c r="Y101" s="207">
        <f t="shared" si="16"/>
        <v>0.39993916159793025</v>
      </c>
      <c r="AC101" s="251">
        <f t="shared" si="15"/>
        <v>1.2190832053693628</v>
      </c>
    </row>
    <row r="102" spans="1:29" ht="15.6" x14ac:dyDescent="0.3">
      <c r="A102" s="206">
        <v>2031</v>
      </c>
      <c r="B102" s="253">
        <f>(B154/Population_Tables!O20)*Population_Tables!C20</f>
        <v>14554.058902139855</v>
      </c>
      <c r="C102" s="253">
        <f>(C154/Population_Tables!P20)*Population_Tables!D20</f>
        <v>3384.2381142528238</v>
      </c>
      <c r="D102" s="253">
        <f>(D154/Population_Tables!Q20)*Population_Tables!E20</f>
        <v>657.08873172267192</v>
      </c>
      <c r="E102" s="253">
        <f>(E154/Population_Tables!R20)*Population_Tables!F20</f>
        <v>5985.0459432290181</v>
      </c>
      <c r="F102" s="253">
        <f>(F154/Population_Tables!S20)*Population_Tables!G20</f>
        <v>1673.2302776725778</v>
      </c>
      <c r="G102" s="253">
        <f>(G154/Population_Tables!T20)*Population_Tables!H20</f>
        <v>586.74210696855573</v>
      </c>
      <c r="H102" s="253">
        <f>(H154/Population_Tables!U20)*Population_Tables!I20</f>
        <v>3618.3418747040887</v>
      </c>
      <c r="I102" s="253">
        <f>(I154/Population_Tables!V20)*Population_Tables!J20</f>
        <v>1500.7114484106612</v>
      </c>
      <c r="J102" s="253">
        <f>(J154/Population_Tables!W20)*Population_Tables!K20</f>
        <v>1317.9776557898695</v>
      </c>
      <c r="K102" s="253">
        <f>(K154/Population_Tables!X20)*Population_Tables!L20</f>
        <v>1492.3466108018956</v>
      </c>
      <c r="L102" s="170"/>
      <c r="M102" s="170"/>
      <c r="N102" s="195">
        <f t="shared" si="9"/>
        <v>4039.9343461975077</v>
      </c>
      <c r="O102" s="195">
        <f t="shared" si="11"/>
        <v>3618.3418747040887</v>
      </c>
      <c r="P102" s="195">
        <f t="shared" si="10"/>
        <v>4628.0689529440515</v>
      </c>
      <c r="Q102" s="195">
        <f t="shared" si="12"/>
        <v>12286.345173845648</v>
      </c>
      <c r="R102" s="196">
        <f t="shared" si="13"/>
        <v>0.3288149802918976</v>
      </c>
      <c r="S102" s="170"/>
      <c r="T102" s="170"/>
      <c r="U102" s="195">
        <f t="shared" si="18"/>
        <v>120.74787844678121</v>
      </c>
      <c r="V102" s="195">
        <f t="shared" si="14"/>
        <v>73.034469109807105</v>
      </c>
      <c r="W102" s="195">
        <f t="shared" si="14"/>
        <v>104.8288270617395</v>
      </c>
      <c r="X102" s="195">
        <f t="shared" si="17"/>
        <v>298.61117461832782</v>
      </c>
      <c r="Y102" s="207">
        <f t="shared" si="16"/>
        <v>0.40436490228845606</v>
      </c>
      <c r="AC102" s="251">
        <f t="shared" si="15"/>
        <v>1.2182494068857255</v>
      </c>
    </row>
    <row r="103" spans="1:29" ht="15.6" x14ac:dyDescent="0.3">
      <c r="A103" s="206">
        <v>2032</v>
      </c>
      <c r="B103" s="253">
        <f>(B155/Population_Tables!O21)*Population_Tables!C21</f>
        <v>14831.762936631814</v>
      </c>
      <c r="C103" s="253">
        <f>(C155/Population_Tables!P21)*Population_Tables!D21</f>
        <v>3412.7521946183592</v>
      </c>
      <c r="D103" s="253">
        <f>(D155/Population_Tables!Q21)*Population_Tables!E21</f>
        <v>663.62861886697306</v>
      </c>
      <c r="E103" s="253">
        <f>(E155/Population_Tables!R21)*Population_Tables!F21</f>
        <v>6121.5115564420848</v>
      </c>
      <c r="F103" s="253">
        <f>(F155/Population_Tables!S21)*Population_Tables!G21</f>
        <v>1721.5856083102151</v>
      </c>
      <c r="G103" s="253">
        <f>(G155/Population_Tables!T21)*Population_Tables!H21</f>
        <v>597.30807721983831</v>
      </c>
      <c r="H103" s="253">
        <f>(H155/Population_Tables!U21)*Population_Tables!I21</f>
        <v>3666.8209659016493</v>
      </c>
      <c r="I103" s="253">
        <f>(I155/Population_Tables!V21)*Population_Tables!J21</f>
        <v>1560.6228003497811</v>
      </c>
      <c r="J103" s="253">
        <f>(J155/Population_Tables!W21)*Population_Tables!K21</f>
        <v>1326.1488661321193</v>
      </c>
      <c r="K103" s="253">
        <f>(K155/Population_Tables!X21)*Population_Tables!L21</f>
        <v>1508.533755358497</v>
      </c>
      <c r="L103" s="170"/>
      <c r="M103" s="170"/>
      <c r="N103" s="195">
        <f t="shared" si="9"/>
        <v>4176.2761988506509</v>
      </c>
      <c r="O103" s="195">
        <f t="shared" si="11"/>
        <v>3666.8209659016493</v>
      </c>
      <c r="P103" s="195">
        <f t="shared" si="10"/>
        <v>4673.6888907051707</v>
      </c>
      <c r="Q103" s="195">
        <f t="shared" si="12"/>
        <v>12516.786055457473</v>
      </c>
      <c r="R103" s="196">
        <f t="shared" si="13"/>
        <v>0.33365403709442992</v>
      </c>
      <c r="S103" s="170"/>
      <c r="T103" s="170"/>
      <c r="U103" s="195">
        <f t="shared" si="18"/>
        <v>139.80673328498551</v>
      </c>
      <c r="V103" s="195">
        <f t="shared" si="14"/>
        <v>83.220171967410806</v>
      </c>
      <c r="W103" s="195">
        <f t="shared" si="14"/>
        <v>119.12628965910972</v>
      </c>
      <c r="X103" s="195">
        <f t="shared" si="17"/>
        <v>342.15319491150603</v>
      </c>
      <c r="Y103" s="207">
        <f t="shared" si="16"/>
        <v>0.40860858634140451</v>
      </c>
      <c r="AC103" s="251">
        <f t="shared" si="15"/>
        <v>1.2175475896754291</v>
      </c>
    </row>
    <row r="104" spans="1:29" ht="15.6" x14ac:dyDescent="0.3">
      <c r="A104" s="206">
        <v>2033</v>
      </c>
      <c r="B104" s="253">
        <f>(B156/Population_Tables!O22)*Population_Tables!C22</f>
        <v>15114.115270363074</v>
      </c>
      <c r="C104" s="253">
        <f>(C156/Population_Tables!P22)*Population_Tables!D22</f>
        <v>3441.3545109864722</v>
      </c>
      <c r="D104" s="253">
        <f>(D156/Population_Tables!Q22)*Population_Tables!E22</f>
        <v>670.26018052421955</v>
      </c>
      <c r="E104" s="253">
        <f>(E156/Population_Tables!R22)*Population_Tables!F22</f>
        <v>6260.4202692566487</v>
      </c>
      <c r="F104" s="253">
        <f>(F156/Population_Tables!S22)*Population_Tables!G22</f>
        <v>1771.338220617047</v>
      </c>
      <c r="G104" s="253">
        <f>(G156/Population_Tables!T22)*Population_Tables!H22</f>
        <v>607.99235616726287</v>
      </c>
      <c r="H104" s="253">
        <f>(H156/Population_Tables!U22)*Population_Tables!I22</f>
        <v>3715.0715106292173</v>
      </c>
      <c r="I104" s="253">
        <f>(I156/Population_Tables!V22)*Population_Tables!J22</f>
        <v>1622.5456133393611</v>
      </c>
      <c r="J104" s="253">
        <f>(J156/Population_Tables!W22)*Population_Tables!K22</f>
        <v>1334.3471327872176</v>
      </c>
      <c r="K104" s="253">
        <f>(K156/Population_Tables!X22)*Population_Tables!L22</f>
        <v>1524.8491432428657</v>
      </c>
      <c r="L104" s="170"/>
      <c r="M104" s="170"/>
      <c r="N104" s="195">
        <f t="shared" si="9"/>
        <v>4316.6869792444786</v>
      </c>
      <c r="O104" s="195">
        <f t="shared" si="11"/>
        <v>3715.0715106292173</v>
      </c>
      <c r="P104" s="195">
        <f t="shared" si="10"/>
        <v>4719.6070476779551</v>
      </c>
      <c r="Q104" s="195">
        <f t="shared" si="12"/>
        <v>12751.365537551652</v>
      </c>
      <c r="R104" s="196">
        <f t="shared" si="13"/>
        <v>0.33852742802582314</v>
      </c>
      <c r="S104" s="170"/>
      <c r="T104" s="170"/>
      <c r="U104" s="195">
        <f t="shared" si="18"/>
        <v>160.05313288427988</v>
      </c>
      <c r="V104" s="195">
        <f t="shared" si="14"/>
        <v>93.846892974890579</v>
      </c>
      <c r="W104" s="195">
        <f t="shared" si="14"/>
        <v>133.93767707867028</v>
      </c>
      <c r="X104" s="195">
        <f t="shared" si="17"/>
        <v>387.83770293784073</v>
      </c>
      <c r="Y104" s="207">
        <f t="shared" si="16"/>
        <v>0.41268069522867357</v>
      </c>
      <c r="AC104" s="251">
        <f t="shared" si="15"/>
        <v>1.2167812996304477</v>
      </c>
    </row>
    <row r="105" spans="1:29" ht="15.6" x14ac:dyDescent="0.3">
      <c r="A105" s="206">
        <v>2034</v>
      </c>
      <c r="B105" s="253">
        <f>(B157/Population_Tables!O23)*Population_Tables!C23</f>
        <v>15400.361347242435</v>
      </c>
      <c r="C105" s="253">
        <f>(C157/Population_Tables!P23)*Population_Tables!D23</f>
        <v>3469.8718095117147</v>
      </c>
      <c r="D105" s="253">
        <f>(D157/Population_Tables!Q23)*Population_Tables!E23</f>
        <v>676.97111868069521</v>
      </c>
      <c r="E105" s="253">
        <f>(E157/Population_Tables!R23)*Population_Tables!F23</f>
        <v>6401.4247215026944</v>
      </c>
      <c r="F105" s="253">
        <f>(F157/Population_Tables!S23)*Population_Tables!G23</f>
        <v>1822.4464353232072</v>
      </c>
      <c r="G105" s="253">
        <f>(G157/Population_Tables!T23)*Population_Tables!H23</f>
        <v>618.76073034846183</v>
      </c>
      <c r="H105" s="253">
        <f>(H157/Population_Tables!U23)*Population_Tables!I23</f>
        <v>3762.9748608090072</v>
      </c>
      <c r="I105" s="253">
        <f>(I157/Population_Tables!V23)*Population_Tables!J23</f>
        <v>1686.3718478286007</v>
      </c>
      <c r="J105" s="253">
        <f>(J157/Population_Tables!W23)*Population_Tables!K23</f>
        <v>1342.5164462450985</v>
      </c>
      <c r="K105" s="253">
        <f>(K157/Population_Tables!X23)*Population_Tables!L23</f>
        <v>1541.2202057971622</v>
      </c>
      <c r="L105" s="170"/>
      <c r="M105" s="170"/>
      <c r="N105" s="195">
        <f t="shared" si="9"/>
        <v>4460.8962960168956</v>
      </c>
      <c r="O105" s="195">
        <f t="shared" si="11"/>
        <v>3762.9748608090072</v>
      </c>
      <c r="P105" s="195">
        <f t="shared" si="10"/>
        <v>4765.6036585408719</v>
      </c>
      <c r="Q105" s="195">
        <f t="shared" si="12"/>
        <v>12989.474815366773</v>
      </c>
      <c r="R105" s="196">
        <f t="shared" si="13"/>
        <v>0.34342391508697317</v>
      </c>
      <c r="S105" s="170"/>
      <c r="T105" s="170"/>
      <c r="U105" s="195">
        <f t="shared" si="18"/>
        <v>181.21981003048222</v>
      </c>
      <c r="V105" s="195">
        <f t="shared" si="14"/>
        <v>104.76708411920981</v>
      </c>
      <c r="W105" s="195">
        <f t="shared" si="14"/>
        <v>149.04785601807998</v>
      </c>
      <c r="X105" s="195">
        <f t="shared" si="17"/>
        <v>435.03475016777202</v>
      </c>
      <c r="Y105" s="207">
        <f t="shared" si="16"/>
        <v>0.41656398703918351</v>
      </c>
      <c r="AC105" s="251">
        <f t="shared" si="15"/>
        <v>1.2159414845306784</v>
      </c>
    </row>
    <row r="106" spans="1:29" ht="15.6" x14ac:dyDescent="0.3">
      <c r="A106" s="206">
        <v>2035</v>
      </c>
      <c r="B106" s="253">
        <f>(B158/Population_Tables!O24)*Population_Tables!C24</f>
        <v>15689.949539014828</v>
      </c>
      <c r="C106" s="253">
        <f>(C158/Population_Tables!P24)*Population_Tables!D24</f>
        <v>3498.1710118034575</v>
      </c>
      <c r="D106" s="253">
        <f>(D158/Population_Tables!Q24)*Population_Tables!E24</f>
        <v>683.75359285854177</v>
      </c>
      <c r="E106" s="253">
        <f>(E158/Population_Tables!R24)*Population_Tables!F24</f>
        <v>6544.2592684439151</v>
      </c>
      <c r="F106" s="253">
        <f>(F158/Population_Tables!S24)*Population_Tables!G24</f>
        <v>1874.8936321861256</v>
      </c>
      <c r="G106" s="253">
        <f>(G158/Population_Tables!T24)*Population_Tables!H24</f>
        <v>629.58736266143728</v>
      </c>
      <c r="H106" s="253">
        <f>(H158/Population_Tables!U24)*Population_Tables!I24</f>
        <v>3810.4407014853205</v>
      </c>
      <c r="I106" s="253">
        <f>(I158/Population_Tables!V24)*Population_Tables!J24</f>
        <v>1752.0160180621187</v>
      </c>
      <c r="J106" s="253">
        <f>(J158/Population_Tables!W24)*Population_Tables!K24</f>
        <v>1350.6141800224873</v>
      </c>
      <c r="K106" s="253">
        <f>(K158/Population_Tables!X24)*Population_Tables!L24</f>
        <v>1557.5918633421668</v>
      </c>
      <c r="L106" s="170"/>
      <c r="M106" s="170"/>
      <c r="N106" s="195">
        <f t="shared" si="9"/>
        <v>4608.7121991447202</v>
      </c>
      <c r="O106" s="195">
        <f t="shared" si="11"/>
        <v>3810.4407014853205</v>
      </c>
      <c r="P106" s="195">
        <f t="shared" si="10"/>
        <v>4811.5119673234367</v>
      </c>
      <c r="Q106" s="195">
        <f t="shared" si="12"/>
        <v>13230.664867953477</v>
      </c>
      <c r="R106" s="196">
        <f t="shared" si="13"/>
        <v>0.34833564640486558</v>
      </c>
      <c r="S106" s="170"/>
      <c r="T106" s="170"/>
      <c r="U106" s="195">
        <f t="shared" si="18"/>
        <v>203.11457687828079</v>
      </c>
      <c r="V106" s="195">
        <f t="shared" si="14"/>
        <v>115.86661400921457</v>
      </c>
      <c r="W106" s="195">
        <f t="shared" si="14"/>
        <v>164.29334782793285</v>
      </c>
      <c r="X106" s="195">
        <f t="shared" si="17"/>
        <v>483.27453871542821</v>
      </c>
      <c r="Y106" s="207">
        <f t="shared" si="16"/>
        <v>0.42028818116131489</v>
      </c>
      <c r="AC106" s="251">
        <f t="shared" si="15"/>
        <v>1.2150454082604025</v>
      </c>
    </row>
    <row r="107" spans="1:29" ht="15.6" x14ac:dyDescent="0.3">
      <c r="A107" s="206">
        <v>2036</v>
      </c>
      <c r="B107" s="253">
        <f>(B159/Population_Tables!O25)*Population_Tables!C25</f>
        <v>15982.656164246438</v>
      </c>
      <c r="C107" s="253">
        <f>(C159/Population_Tables!P25)*Population_Tables!D25</f>
        <v>3526.1821302671783</v>
      </c>
      <c r="D107" s="253">
        <f>(D159/Population_Tables!Q25)*Population_Tables!E25</f>
        <v>690.60428429750959</v>
      </c>
      <c r="E107" s="253">
        <f>(E159/Population_Tables!R25)*Population_Tables!F25</f>
        <v>6688.7992365149958</v>
      </c>
      <c r="F107" s="253">
        <f>(F159/Population_Tables!S25)*Population_Tables!G25</f>
        <v>1928.704347142628</v>
      </c>
      <c r="G107" s="253">
        <f>(G159/Population_Tables!T25)*Population_Tables!H25</f>
        <v>640.45922097934329</v>
      </c>
      <c r="H107" s="253">
        <f>(H159/Population_Tables!U25)*Population_Tables!I25</f>
        <v>3857.4290923710851</v>
      </c>
      <c r="I107" s="253">
        <f>(I159/Population_Tables!V25)*Population_Tables!J25</f>
        <v>1819.440576889551</v>
      </c>
      <c r="J107" s="253">
        <f>(J159/Population_Tables!W25)*Population_Tables!K25</f>
        <v>1358.6176265024221</v>
      </c>
      <c r="K107" s="253">
        <f>(K159/Population_Tables!X25)*Population_Tables!L25</f>
        <v>1573.9383134550203</v>
      </c>
      <c r="L107" s="170"/>
      <c r="M107" s="170"/>
      <c r="N107" s="195">
        <f t="shared" si="9"/>
        <v>4760.0744912865393</v>
      </c>
      <c r="O107" s="195">
        <f t="shared" si="11"/>
        <v>3857.4290923710851</v>
      </c>
      <c r="P107" s="195">
        <f t="shared" si="10"/>
        <v>4857.2456355440318</v>
      </c>
      <c r="Q107" s="195">
        <f t="shared" si="12"/>
        <v>13474.749219201656</v>
      </c>
      <c r="R107" s="196">
        <f t="shared" si="13"/>
        <v>0.35325885579401983</v>
      </c>
      <c r="S107" s="170"/>
      <c r="T107" s="170"/>
      <c r="U107" s="195">
        <f t="shared" si="18"/>
        <v>225.67373851002594</v>
      </c>
      <c r="V107" s="195">
        <f t="shared" si="14"/>
        <v>127.08862960081933</v>
      </c>
      <c r="W107" s="195">
        <f t="shared" si="14"/>
        <v>179.59094739008833</v>
      </c>
      <c r="X107" s="195">
        <f t="shared" si="17"/>
        <v>532.3533155009336</v>
      </c>
      <c r="Y107" s="207">
        <f t="shared" si="16"/>
        <v>0.42391722177530078</v>
      </c>
      <c r="AC107" s="251">
        <f t="shared" si="15"/>
        <v>1.214126047963122</v>
      </c>
    </row>
    <row r="108" spans="1:29" ht="15.6" x14ac:dyDescent="0.3">
      <c r="A108" s="206">
        <v>2037</v>
      </c>
      <c r="B108" s="253">
        <f>(B160/Population_Tables!O26)*Population_Tables!C26</f>
        <v>16278.636516386436</v>
      </c>
      <c r="C108" s="253">
        <f>(C160/Population_Tables!P26)*Population_Tables!D26</f>
        <v>3553.9077898134251</v>
      </c>
      <c r="D108" s="253">
        <f>(D160/Population_Tables!Q26)*Population_Tables!E26</f>
        <v>697.53112818909244</v>
      </c>
      <c r="E108" s="253">
        <f>(E160/Population_Tables!R26)*Population_Tables!F26</f>
        <v>6835.0877999531458</v>
      </c>
      <c r="F108" s="253">
        <f>(F160/Population_Tables!S26)*Population_Tables!G26</f>
        <v>1983.9465303418369</v>
      </c>
      <c r="G108" s="253">
        <f>(G160/Population_Tables!T26)*Population_Tables!H26</f>
        <v>651.37941699470491</v>
      </c>
      <c r="H108" s="253">
        <f>(H160/Population_Tables!U26)*Population_Tables!I26</f>
        <v>3903.9602304991436</v>
      </c>
      <c r="I108" s="253">
        <f>(I160/Population_Tables!V26)*Population_Tables!J26</f>
        <v>1888.6622543629146</v>
      </c>
      <c r="J108" s="253">
        <f>(J160/Population_Tables!W26)*Population_Tables!K26</f>
        <v>1366.5297871690159</v>
      </c>
      <c r="K108" s="253">
        <f>(K160/Population_Tables!X26)*Population_Tables!L26</f>
        <v>1590.2627672442945</v>
      </c>
      <c r="L108" s="170"/>
      <c r="M108" s="170"/>
      <c r="N108" s="195">
        <f t="shared" si="9"/>
        <v>4915.0740997958383</v>
      </c>
      <c r="O108" s="195">
        <f t="shared" si="11"/>
        <v>3903.9602304991436</v>
      </c>
      <c r="P108" s="195">
        <f t="shared" si="10"/>
        <v>4902.8183349972223</v>
      </c>
      <c r="Q108" s="195">
        <f t="shared" si="12"/>
        <v>13721.852665292205</v>
      </c>
      <c r="R108" s="196">
        <f t="shared" si="13"/>
        <v>0.35819318423582364</v>
      </c>
      <c r="S108" s="170"/>
      <c r="T108" s="170"/>
      <c r="U108" s="195">
        <f t="shared" si="18"/>
        <v>248.97716292422592</v>
      </c>
      <c r="V108" s="195">
        <f t="shared" si="14"/>
        <v>138.44507372842691</v>
      </c>
      <c r="W108" s="195">
        <f t="shared" si="14"/>
        <v>194.95372847840008</v>
      </c>
      <c r="X108" s="195">
        <f t="shared" si="17"/>
        <v>582.37596513105291</v>
      </c>
      <c r="Y108" s="207">
        <f t="shared" si="16"/>
        <v>0.42751963994289882</v>
      </c>
      <c r="AC108" s="251">
        <f t="shared" si="15"/>
        <v>1.2132190731645929</v>
      </c>
    </row>
    <row r="109" spans="1:29" ht="15.6" x14ac:dyDescent="0.3">
      <c r="A109" s="206">
        <v>2038</v>
      </c>
      <c r="B109" s="253">
        <f>(B161/Population_Tables!O27)*Population_Tables!C27</f>
        <v>16578.199472702614</v>
      </c>
      <c r="C109" s="253">
        <f>(C161/Population_Tables!P27)*Population_Tables!D27</f>
        <v>3581.3799609429998</v>
      </c>
      <c r="D109" s="253">
        <f>(D161/Population_Tables!Q27)*Population_Tables!E27</f>
        <v>704.55088313400097</v>
      </c>
      <c r="E109" s="253">
        <f>(E161/Population_Tables!R27)*Population_Tables!F27</f>
        <v>6983.2368680732434</v>
      </c>
      <c r="F109" s="253">
        <f>(F161/Population_Tables!S27)*Population_Tables!G27</f>
        <v>2040.702415617814</v>
      </c>
      <c r="G109" s="253">
        <f>(G161/Population_Tables!T27)*Population_Tables!H27</f>
        <v>662.36024199796873</v>
      </c>
      <c r="H109" s="253">
        <f>(H161/Population_Tables!U27)*Population_Tables!I27</f>
        <v>3950.0784188556795</v>
      </c>
      <c r="I109" s="253">
        <f>(I161/Population_Tables!V27)*Population_Tables!J27</f>
        <v>1959.7162786837832</v>
      </c>
      <c r="J109" s="253">
        <f>(J161/Population_Tables!W27)*Population_Tables!K27</f>
        <v>1374.3642145507774</v>
      </c>
      <c r="K109" s="253">
        <f>(K161/Population_Tables!X27)*Population_Tables!L27</f>
        <v>1606.5767582027152</v>
      </c>
      <c r="L109" s="170"/>
      <c r="M109" s="170"/>
      <c r="N109" s="195">
        <f t="shared" si="9"/>
        <v>5073.8608648353784</v>
      </c>
      <c r="O109" s="195">
        <f t="shared" si="11"/>
        <v>3950.0784188556795</v>
      </c>
      <c r="P109" s="195">
        <f t="shared" si="10"/>
        <v>4948.2910860749698</v>
      </c>
      <c r="Q109" s="195">
        <f t="shared" si="12"/>
        <v>13972.230369766028</v>
      </c>
      <c r="R109" s="196">
        <f t="shared" si="13"/>
        <v>0.36313893562866745</v>
      </c>
      <c r="S109" s="170"/>
      <c r="T109" s="170"/>
      <c r="U109" s="195">
        <f t="shared" si="18"/>
        <v>273.15737948883088</v>
      </c>
      <c r="V109" s="195">
        <f t="shared" si="14"/>
        <v>149.97684011943556</v>
      </c>
      <c r="W109" s="195">
        <f t="shared" si="14"/>
        <v>210.43731030802337</v>
      </c>
      <c r="X109" s="195">
        <f t="shared" si="17"/>
        <v>633.57152991628982</v>
      </c>
      <c r="Y109" s="207">
        <f t="shared" si="16"/>
        <v>0.43113897419747005</v>
      </c>
      <c r="AC109" s="251">
        <f t="shared" si="15"/>
        <v>1.212351685467195</v>
      </c>
    </row>
    <row r="110" spans="1:29" ht="15.6" x14ac:dyDescent="0.3">
      <c r="A110" s="206">
        <v>2039</v>
      </c>
      <c r="B110" s="253">
        <f>(B162/Population_Tables!O28)*Population_Tables!C28</f>
        <v>16881.859867632811</v>
      </c>
      <c r="C110" s="253">
        <f>(C162/Population_Tables!P28)*Population_Tables!D28</f>
        <v>3608.6693570260059</v>
      </c>
      <c r="D110" s="253">
        <f>(D162/Population_Tables!Q28)*Population_Tables!E28</f>
        <v>711.68826757912268</v>
      </c>
      <c r="E110" s="253">
        <f>(E162/Population_Tables!R28)*Population_Tables!F28</f>
        <v>7133.4557769241219</v>
      </c>
      <c r="F110" s="253">
        <f>(F162/Population_Tables!S28)*Population_Tables!G28</f>
        <v>2099.0762920392076</v>
      </c>
      <c r="G110" s="253">
        <f>(G162/Population_Tables!T28)*Population_Tables!H28</f>
        <v>673.42298902838183</v>
      </c>
      <c r="H110" s="253">
        <f>(H162/Population_Tables!U28)*Population_Tables!I28</f>
        <v>3995.8625055670291</v>
      </c>
      <c r="I110" s="253">
        <f>(I162/Population_Tables!V28)*Population_Tables!J28</f>
        <v>2032.670996774174</v>
      </c>
      <c r="J110" s="253">
        <f>(J162/Population_Tables!W28)*Population_Tables!K28</f>
        <v>1382.1488035729167</v>
      </c>
      <c r="K110" s="253">
        <f>(K162/Population_Tables!X28)*Population_Tables!L28</f>
        <v>1622.9066031904674</v>
      </c>
      <c r="L110" s="170"/>
      <c r="M110" s="170"/>
      <c r="N110" s="195">
        <f t="shared" si="9"/>
        <v>5236.6695633963009</v>
      </c>
      <c r="O110" s="195">
        <f t="shared" si="11"/>
        <v>3995.8625055670291</v>
      </c>
      <c r="P110" s="195">
        <f t="shared" si="10"/>
        <v>4993.7806136335112</v>
      </c>
      <c r="Q110" s="195">
        <f t="shared" si="12"/>
        <v>14226.312682596841</v>
      </c>
      <c r="R110" s="196">
        <f t="shared" si="13"/>
        <v>0.368097459983595</v>
      </c>
      <c r="S110" s="170"/>
      <c r="T110" s="170"/>
      <c r="U110" s="195">
        <f t="shared" si="18"/>
        <v>298.42700351854819</v>
      </c>
      <c r="V110" s="195">
        <f t="shared" si="14"/>
        <v>161.76460535457682</v>
      </c>
      <c r="W110" s="195">
        <f t="shared" si="14"/>
        <v>226.15028927278127</v>
      </c>
      <c r="X110" s="195">
        <f t="shared" si="17"/>
        <v>686.34189814590627</v>
      </c>
      <c r="Y110" s="207">
        <f t="shared" si="16"/>
        <v>0.43480808081908323</v>
      </c>
      <c r="AC110" s="251">
        <f t="shared" si="15"/>
        <v>1.2115415239508647</v>
      </c>
    </row>
    <row r="111" spans="1:29" ht="15.6" x14ac:dyDescent="0.3">
      <c r="A111" s="206">
        <v>2040</v>
      </c>
      <c r="B111" s="253">
        <f>(B163/Population_Tables!O29)*Population_Tables!C29</f>
        <v>17183.183147714997</v>
      </c>
      <c r="C111" s="253">
        <f>(C163/Population_Tables!P29)*Population_Tables!D29</f>
        <v>3635.8303545032709</v>
      </c>
      <c r="D111" s="253">
        <f>(D163/Population_Tables!Q29)*Population_Tables!E29</f>
        <v>719.51973287181306</v>
      </c>
      <c r="E111" s="253">
        <f>(E163/Population_Tables!R29)*Population_Tables!F29</f>
        <v>7281.5533592615257</v>
      </c>
      <c r="F111" s="253">
        <f>(F163/Population_Tables!S29)*Population_Tables!G29</f>
        <v>2160.1038653914593</v>
      </c>
      <c r="G111" s="253">
        <f>(G163/Population_Tables!T29)*Population_Tables!H29</f>
        <v>684.59019823900132</v>
      </c>
      <c r="H111" s="253">
        <f>(H163/Population_Tables!U29)*Population_Tables!I29</f>
        <v>4037.5606217236054</v>
      </c>
      <c r="I111" s="253">
        <f>(I163/Population_Tables!V29)*Population_Tables!J29</f>
        <v>2108.707966938543</v>
      </c>
      <c r="J111" s="253">
        <f>(J163/Population_Tables!W29)*Population_Tables!K29</f>
        <v>1389.885464585979</v>
      </c>
      <c r="K111" s="253">
        <f>(K163/Population_Tables!X29)*Population_Tables!L29</f>
        <v>1639.4352861637039</v>
      </c>
      <c r="L111" s="170"/>
      <c r="M111" s="170"/>
      <c r="N111" s="195">
        <f t="shared" si="9"/>
        <v>5404.0966029293795</v>
      </c>
      <c r="O111" s="195">
        <f t="shared" si="11"/>
        <v>4037.5606217236054</v>
      </c>
      <c r="P111" s="195">
        <f t="shared" si="10"/>
        <v>5039.940285614085</v>
      </c>
      <c r="Q111" s="195">
        <f t="shared" si="12"/>
        <v>14481.597510267071</v>
      </c>
      <c r="R111" s="196">
        <f>N111/Q111</f>
        <v>0.37316992128099247</v>
      </c>
      <c r="S111" s="170"/>
      <c r="T111" s="170"/>
      <c r="U111" s="195">
        <f t="shared" si="18"/>
        <v>324.95556803724867</v>
      </c>
      <c r="V111" s="195">
        <f t="shared" si="14"/>
        <v>173.71311807036136</v>
      </c>
      <c r="W111" s="195">
        <f t="shared" si="14"/>
        <v>242.20701970350183</v>
      </c>
      <c r="X111" s="195">
        <f t="shared" si="17"/>
        <v>740.87570581111186</v>
      </c>
      <c r="Y111" s="207">
        <f t="shared" si="16"/>
        <v>0.43861010084206609</v>
      </c>
      <c r="AC111" s="251">
        <f t="shared" si="15"/>
        <v>1.2105783491602415</v>
      </c>
    </row>
    <row r="112" spans="1:29" ht="15.6" x14ac:dyDescent="0.3">
      <c r="A112" s="206">
        <v>2041</v>
      </c>
      <c r="B112" s="253">
        <f>(B164/Population_Tables!O30)*Population_Tables!C30</f>
        <v>17502.96208848829</v>
      </c>
      <c r="C112" s="253">
        <f>(C164/Population_Tables!P30)*Population_Tables!D30</f>
        <v>3662.8763578757284</v>
      </c>
      <c r="D112" s="253">
        <f>(D164/Population_Tables!Q30)*Population_Tables!E30</f>
        <v>726.38569144250221</v>
      </c>
      <c r="E112" s="253">
        <f>(E164/Population_Tables!R30)*Population_Tables!F30</f>
        <v>7440.7053560495197</v>
      </c>
      <c r="F112" s="253">
        <f>(F164/Population_Tables!S30)*Population_Tables!G30</f>
        <v>2221.0365078877157</v>
      </c>
      <c r="G112" s="253">
        <f>(G164/Population_Tables!T30)*Population_Tables!H30</f>
        <v>695.85316817406226</v>
      </c>
      <c r="H112" s="253">
        <f>(H164/Population_Tables!U30)*Population_Tables!I30</f>
        <v>4086.6452324300976</v>
      </c>
      <c r="I112" s="253">
        <f>(I164/Population_Tables!V30)*Population_Tables!J30</f>
        <v>2184.5040094897299</v>
      </c>
      <c r="J112" s="253">
        <f>(J164/Population_Tables!W30)*Population_Tables!K30</f>
        <v>1397.6379091070694</v>
      </c>
      <c r="K112" s="253">
        <f>(K164/Population_Tables!X30)*Population_Tables!L30</f>
        <v>1655.6879498621176</v>
      </c>
      <c r="L112" s="170"/>
      <c r="M112" s="170"/>
      <c r="N112" s="195">
        <f t="shared" si="9"/>
        <v>5575.0966315071382</v>
      </c>
      <c r="O112" s="195">
        <f t="shared" si="11"/>
        <v>4086.6452324300976</v>
      </c>
      <c r="P112" s="195">
        <f t="shared" si="10"/>
        <v>5085.1152174922927</v>
      </c>
      <c r="Q112" s="195">
        <f t="shared" si="12"/>
        <v>14746.857081429529</v>
      </c>
      <c r="R112" s="196">
        <f t="shared" si="13"/>
        <v>0.37805320826820543</v>
      </c>
      <c r="S112" s="170"/>
      <c r="T112" s="170"/>
      <c r="U112" s="195">
        <f t="shared" si="18"/>
        <v>352.90489373703349</v>
      </c>
      <c r="V112" s="195">
        <f t="shared" si="14"/>
        <v>186.32746769855521</v>
      </c>
      <c r="W112" s="195">
        <f t="shared" si="14"/>
        <v>258.54957330671914</v>
      </c>
      <c r="X112" s="195">
        <f t="shared" si="17"/>
        <v>797.78193474230784</v>
      </c>
      <c r="Y112" s="207">
        <f t="shared" si="16"/>
        <v>0.44235758967270372</v>
      </c>
      <c r="AC112" s="251">
        <f t="shared" si="15"/>
        <v>1.2101027736277448</v>
      </c>
    </row>
    <row r="113" spans="1:29" ht="15.6" x14ac:dyDescent="0.3">
      <c r="A113" s="206">
        <v>2042</v>
      </c>
      <c r="B113" s="253">
        <f>(B165/Population_Tables!O31)*Population_Tables!C31</f>
        <v>17820.619588932423</v>
      </c>
      <c r="C113" s="253">
        <f>(C165/Population_Tables!P31)*Population_Tables!D31</f>
        <v>3689.7892226094241</v>
      </c>
      <c r="D113" s="253">
        <f>(D165/Population_Tables!Q31)*Population_Tables!E31</f>
        <v>733.95650519574519</v>
      </c>
      <c r="E113" s="253">
        <f>(E165/Population_Tables!R31)*Population_Tables!F31</f>
        <v>7597.8033097138805</v>
      </c>
      <c r="F113" s="253">
        <f>(F165/Population_Tables!S31)*Population_Tables!G31</f>
        <v>2284.7467894281313</v>
      </c>
      <c r="G113" s="253">
        <f>(G165/Population_Tables!T31)*Population_Tables!H31</f>
        <v>707.22410819210813</v>
      </c>
      <c r="H113" s="253">
        <f>(H165/Population_Tables!U31)*Population_Tables!I31</f>
        <v>4131.6584176428833</v>
      </c>
      <c r="I113" s="253">
        <f>(I165/Population_Tables!V31)*Population_Tables!J31</f>
        <v>2263.4289103113279</v>
      </c>
      <c r="J113" s="253">
        <f>(J165/Population_Tables!W31)*Population_Tables!K31</f>
        <v>1405.3418926194925</v>
      </c>
      <c r="K113" s="253">
        <f>(K165/Population_Tables!X31)*Population_Tables!L31</f>
        <v>1672.146012794409</v>
      </c>
      <c r="L113" s="170"/>
      <c r="M113" s="170"/>
      <c r="N113" s="195">
        <f t="shared" si="9"/>
        <v>5750.8916814991289</v>
      </c>
      <c r="O113" s="195">
        <f t="shared" si="11"/>
        <v>4131.6584176428833</v>
      </c>
      <c r="P113" s="195">
        <f t="shared" si="10"/>
        <v>5130.9698359972781</v>
      </c>
      <c r="Q113" s="195">
        <f t="shared" si="12"/>
        <v>15013.519935139291</v>
      </c>
      <c r="R113" s="196">
        <f t="shared" si="13"/>
        <v>0.38304752691866151</v>
      </c>
      <c r="S113" s="170"/>
      <c r="T113" s="170"/>
      <c r="U113" s="195">
        <f t="shared" si="18"/>
        <v>382.266043237747</v>
      </c>
      <c r="V113" s="195">
        <f t="shared" si="14"/>
        <v>199.11206867583132</v>
      </c>
      <c r="W113" s="195">
        <f t="shared" si="14"/>
        <v>275.24486136856649</v>
      </c>
      <c r="X113" s="195">
        <f t="shared" si="17"/>
        <v>856.62297328214481</v>
      </c>
      <c r="Y113" s="207">
        <f t="shared" si="16"/>
        <v>0.44624771359224397</v>
      </c>
      <c r="AC113" s="251">
        <f t="shared" si="15"/>
        <v>1.2094561909638655</v>
      </c>
    </row>
    <row r="114" spans="1:29" ht="15.6" x14ac:dyDescent="0.3">
      <c r="A114" s="206">
        <v>2043</v>
      </c>
      <c r="B114" s="253">
        <f>(B166/Population_Tables!O32)*Population_Tables!C32</f>
        <v>18143.341920925322</v>
      </c>
      <c r="C114" s="253">
        <f>(C166/Population_Tables!P32)*Population_Tables!D32</f>
        <v>3716.5837814224824</v>
      </c>
      <c r="D114" s="253">
        <f>(D166/Population_Tables!Q32)*Population_Tables!E32</f>
        <v>741.68278041184578</v>
      </c>
      <c r="E114" s="253">
        <f>(E166/Population_Tables!R32)*Population_Tables!F32</f>
        <v>7757.359498387138</v>
      </c>
      <c r="F114" s="253">
        <f>(F166/Population_Tables!S32)*Population_Tables!G32</f>
        <v>2350.3819291914674</v>
      </c>
      <c r="G114" s="253">
        <f>(G166/Population_Tables!T32)*Population_Tables!H32</f>
        <v>718.70767364147503</v>
      </c>
      <c r="H114" s="253">
        <f>(H166/Population_Tables!U32)*Population_Tables!I32</f>
        <v>4176.4708491912952</v>
      </c>
      <c r="I114" s="253">
        <f>(I166/Population_Tables!V32)*Population_Tables!J32</f>
        <v>2344.4371878522365</v>
      </c>
      <c r="J114" s="253">
        <f>(J166/Population_Tables!W32)*Population_Tables!K32</f>
        <v>1413.0201935386142</v>
      </c>
      <c r="K114" s="253">
        <f>(K166/Population_Tables!X32)*Population_Tables!L32</f>
        <v>1688.6672932476076</v>
      </c>
      <c r="L114" s="170"/>
      <c r="M114" s="170"/>
      <c r="N114" s="195">
        <f t="shared" si="9"/>
        <v>5931.2705783873098</v>
      </c>
      <c r="O114" s="195">
        <f t="shared" si="11"/>
        <v>4176.4708491912952</v>
      </c>
      <c r="P114" s="195">
        <f t="shared" si="10"/>
        <v>5176.9742354758027</v>
      </c>
      <c r="Q114" s="195">
        <f t="shared" si="12"/>
        <v>15284.715663054407</v>
      </c>
      <c r="R114" s="196">
        <f t="shared" si="13"/>
        <v>0.38805239882375669</v>
      </c>
      <c r="S114" s="170"/>
      <c r="T114" s="170"/>
      <c r="U114" s="195">
        <f t="shared" si="18"/>
        <v>413.23633198477819</v>
      </c>
      <c r="V114" s="195">
        <f t="shared" si="14"/>
        <v>212.27785520077578</v>
      </c>
      <c r="W114" s="195">
        <f t="shared" si="14"/>
        <v>292.30114116295499</v>
      </c>
      <c r="X114" s="195">
        <f t="shared" si="17"/>
        <v>917.81532834850896</v>
      </c>
      <c r="Y114" s="207">
        <f t="shared" si="16"/>
        <v>0.45023908320243899</v>
      </c>
      <c r="AC114" s="251">
        <f t="shared" si="15"/>
        <v>1.2088595111218878</v>
      </c>
    </row>
    <row r="115" spans="1:29" ht="15.6" x14ac:dyDescent="0.3">
      <c r="A115" s="206">
        <v>2044</v>
      </c>
      <c r="B115" s="253">
        <f>(B167/Population_Tables!O33)*Population_Tables!C33</f>
        <v>18471.476252229091</v>
      </c>
      <c r="C115" s="253">
        <f>(C167/Population_Tables!P33)*Population_Tables!D33</f>
        <v>3743.2732392723779</v>
      </c>
      <c r="D115" s="253">
        <f>(D167/Population_Tables!Q33)*Population_Tables!E33</f>
        <v>749.56971793423986</v>
      </c>
      <c r="E115" s="253">
        <f>(E167/Population_Tables!R33)*Population_Tables!F33</f>
        <v>7919.5398241228149</v>
      </c>
      <c r="F115" s="253">
        <f>(F167/Population_Tables!S33)*Population_Tables!G33</f>
        <v>2418.0324817064611</v>
      </c>
      <c r="G115" s="253">
        <f>(G167/Population_Tables!T33)*Population_Tables!H33</f>
        <v>730.31389291406208</v>
      </c>
      <c r="H115" s="253">
        <f>(H167/Population_Tables!U33)*Population_Tables!I33</f>
        <v>4221.1445658930961</v>
      </c>
      <c r="I115" s="253">
        <f>(I167/Population_Tables!V33)*Population_Tables!J33</f>
        <v>2427.6175919446978</v>
      </c>
      <c r="J115" s="253">
        <f>(J167/Population_Tables!W33)*Population_Tables!K33</f>
        <v>1420.674763022578</v>
      </c>
      <c r="K115" s="253">
        <f>(K167/Population_Tables!X33)*Population_Tables!L33</f>
        <v>1705.273513858845</v>
      </c>
      <c r="L115" s="170"/>
      <c r="M115" s="170"/>
      <c r="N115" s="195">
        <f t="shared" si="9"/>
        <v>6116.427739936179</v>
      </c>
      <c r="O115" s="195">
        <f t="shared" si="11"/>
        <v>4221.1445658930961</v>
      </c>
      <c r="P115" s="195">
        <f t="shared" si="10"/>
        <v>5223.1568501206802</v>
      </c>
      <c r="Q115" s="195">
        <f t="shared" si="12"/>
        <v>15560.729155949957</v>
      </c>
      <c r="R115" s="196">
        <f t="shared" si="13"/>
        <v>0.39306819613896049</v>
      </c>
      <c r="S115" s="170"/>
      <c r="T115" s="170"/>
      <c r="U115" s="195">
        <f t="shared" si="18"/>
        <v>446.01598233236928</v>
      </c>
      <c r="V115" s="195">
        <f t="shared" si="14"/>
        <v>225.88220109398526</v>
      </c>
      <c r="W115" s="195">
        <f t="shared" si="14"/>
        <v>309.75422708591213</v>
      </c>
      <c r="X115" s="195">
        <f t="shared" si="17"/>
        <v>981.65241051226667</v>
      </c>
      <c r="Y115" s="207">
        <f t="shared" si="16"/>
        <v>0.45435225091498505</v>
      </c>
      <c r="AC115" s="251">
        <f t="shared" si="15"/>
        <v>1.2083142652173655</v>
      </c>
    </row>
    <row r="116" spans="1:29" ht="15.6" x14ac:dyDescent="0.3">
      <c r="A116" s="206">
        <v>2045</v>
      </c>
      <c r="B116" s="253">
        <f>(B168/Population_Tables!O34)*Population_Tables!C34</f>
        <v>18805.346608453288</v>
      </c>
      <c r="C116" s="253">
        <f>(C168/Population_Tables!P34)*Population_Tables!D34</f>
        <v>3769.8775684143175</v>
      </c>
      <c r="D116" s="253">
        <f>(D168/Population_Tables!Q34)*Population_Tables!E34</f>
        <v>757.62294011138181</v>
      </c>
      <c r="E116" s="253">
        <f>(E168/Population_Tables!R34)*Population_Tables!F34</f>
        <v>8084.4983849065093</v>
      </c>
      <c r="F116" s="253">
        <f>(F168/Population_Tables!S34)*Population_Tables!G34</f>
        <v>2487.7870431194897</v>
      </c>
      <c r="G116" s="253">
        <f>(G168/Population_Tables!T34)*Population_Tables!H34</f>
        <v>742.05220973837356</v>
      </c>
      <c r="H116" s="253">
        <f>(H168/Population_Tables!U34)*Population_Tables!I34</f>
        <v>4265.731326713556</v>
      </c>
      <c r="I116" s="253">
        <f>(I168/Population_Tables!V34)*Population_Tables!J34</f>
        <v>2513.0574396801394</v>
      </c>
      <c r="J116" s="253">
        <f>(J168/Population_Tables!W34)*Population_Tables!K34</f>
        <v>1428.310423575045</v>
      </c>
      <c r="K116" s="253">
        <f>(K168/Population_Tables!X34)*Population_Tables!L34</f>
        <v>1721.9865354093072</v>
      </c>
      <c r="L116" s="170"/>
      <c r="M116" s="170"/>
      <c r="N116" s="195">
        <f t="shared" si="9"/>
        <v>6306.5541013124439</v>
      </c>
      <c r="O116" s="195">
        <f t="shared" si="11"/>
        <v>4265.731326713556</v>
      </c>
      <c r="P116" s="195">
        <f t="shared" si="10"/>
        <v>5269.5527182640726</v>
      </c>
      <c r="Q116" s="195">
        <f t="shared" si="12"/>
        <v>15841.838146290072</v>
      </c>
      <c r="R116" s="196">
        <f t="shared" si="13"/>
        <v>0.39809484499684444</v>
      </c>
      <c r="S116" s="170"/>
      <c r="T116" s="170"/>
      <c r="U116" s="195">
        <f t="shared" si="18"/>
        <v>480.79539113244118</v>
      </c>
      <c r="V116" s="195">
        <f t="shared" si="14"/>
        <v>239.97667195534359</v>
      </c>
      <c r="W116" s="195">
        <f t="shared" si="14"/>
        <v>327.64421935622795</v>
      </c>
      <c r="X116" s="195">
        <f t="shared" si="17"/>
        <v>1048.4162824440127</v>
      </c>
      <c r="Y116" s="207">
        <f t="shared" si="16"/>
        <v>0.45859206803964958</v>
      </c>
      <c r="AC116" s="251">
        <f t="shared" si="15"/>
        <v>1.2078105632262874</v>
      </c>
    </row>
    <row r="117" spans="1:29" ht="15.6" x14ac:dyDescent="0.3">
      <c r="A117" s="206">
        <v>2046</v>
      </c>
      <c r="B117" s="253">
        <f>(B169/Population_Tables!O35)*Population_Tables!C35</f>
        <v>19145.184792929031</v>
      </c>
      <c r="C117" s="253">
        <f>(C169/Population_Tables!P35)*Population_Tables!D35</f>
        <v>3796.4123620706555</v>
      </c>
      <c r="D117" s="253">
        <f>(D169/Population_Tables!Q35)*Population_Tables!E35</f>
        <v>765.84980334374097</v>
      </c>
      <c r="E117" s="253">
        <f>(E169/Population_Tables!R35)*Population_Tables!F35</f>
        <v>8252.3373873489818</v>
      </c>
      <c r="F117" s="253">
        <f>(F169/Population_Tables!S35)*Population_Tables!G35</f>
        <v>2559.72519857517</v>
      </c>
      <c r="G117" s="253">
        <f>(G169/Population_Tables!T35)*Population_Tables!H35</f>
        <v>753.92933348553299</v>
      </c>
      <c r="H117" s="253">
        <f>(H169/Population_Tables!U35)*Population_Tables!I35</f>
        <v>4310.2643756707848</v>
      </c>
      <c r="I117" s="253">
        <f>(I169/Population_Tables!V35)*Population_Tables!J35</f>
        <v>2600.8156232578467</v>
      </c>
      <c r="J117" s="253">
        <f>(J169/Population_Tables!W35)*Population_Tables!K35</f>
        <v>1435.933293958381</v>
      </c>
      <c r="K117" s="253">
        <f>(K169/Population_Tables!X35)*Population_Tables!L35</f>
        <v>1738.8202085901726</v>
      </c>
      <c r="L117" s="170"/>
      <c r="M117" s="170"/>
      <c r="N117" s="195">
        <f t="shared" si="9"/>
        <v>6501.798210253367</v>
      </c>
      <c r="O117" s="195">
        <f t="shared" si="11"/>
        <v>4310.2643756707848</v>
      </c>
      <c r="P117" s="195">
        <f t="shared" si="10"/>
        <v>5316.1914988999297</v>
      </c>
      <c r="Q117" s="195">
        <f t="shared" si="12"/>
        <v>16128.254084824082</v>
      </c>
      <c r="R117" s="196">
        <f t="shared" si="13"/>
        <v>0.40313093878966411</v>
      </c>
      <c r="S117" s="170"/>
      <c r="T117" s="170"/>
      <c r="U117" s="195">
        <f t="shared" si="18"/>
        <v>517.71352535065944</v>
      </c>
      <c r="V117" s="195">
        <f t="shared" si="14"/>
        <v>254.59641306948197</v>
      </c>
      <c r="W117" s="195">
        <f t="shared" si="14"/>
        <v>346.00276981459956</v>
      </c>
      <c r="X117" s="195">
        <f t="shared" si="17"/>
        <v>1118.312708234741</v>
      </c>
      <c r="Y117" s="207">
        <f t="shared" si="16"/>
        <v>0.46294164551511835</v>
      </c>
      <c r="AC117" s="251">
        <f t="shared" si="15"/>
        <v>1.2073318095656616</v>
      </c>
    </row>
    <row r="118" spans="1:29" ht="15.6" x14ac:dyDescent="0.3">
      <c r="A118" s="206">
        <v>2047</v>
      </c>
      <c r="B118" s="253">
        <f>(B170/Population_Tables!O36)*Population_Tables!C36</f>
        <v>19491.203687732595</v>
      </c>
      <c r="C118" s="253">
        <f>(C170/Population_Tables!P36)*Population_Tables!D36</f>
        <v>3822.9095931725815</v>
      </c>
      <c r="D118" s="253">
        <f>(D170/Population_Tables!Q36)*Population_Tables!E36</f>
        <v>774.25694844483462</v>
      </c>
      <c r="E118" s="253">
        <f>(E170/Population_Tables!R36)*Population_Tables!F36</f>
        <v>8423.148259647809</v>
      </c>
      <c r="F118" s="253">
        <f>(F170/Population_Tables!S36)*Population_Tables!G36</f>
        <v>2633.9241700157713</v>
      </c>
      <c r="G118" s="253">
        <f>(G170/Population_Tables!T36)*Population_Tables!H36</f>
        <v>765.95166981335854</v>
      </c>
      <c r="H118" s="253">
        <f>(H170/Population_Tables!U36)*Population_Tables!I36</f>
        <v>4354.7561124988906</v>
      </c>
      <c r="I118" s="253">
        <f>(I170/Population_Tables!V36)*Population_Tables!J36</f>
        <v>2690.9525480423958</v>
      </c>
      <c r="J118" s="253">
        <f>(J170/Population_Tables!W36)*Population_Tables!K36</f>
        <v>1443.5545862206047</v>
      </c>
      <c r="K118" s="253">
        <f>(K170/Population_Tables!X36)*Population_Tables!L36</f>
        <v>1755.7921502185968</v>
      </c>
      <c r="L118" s="170"/>
      <c r="M118" s="170"/>
      <c r="N118" s="195">
        <f t="shared" si="9"/>
        <v>6702.3163171646893</v>
      </c>
      <c r="O118" s="195">
        <f t="shared" si="11"/>
        <v>4354.7561124988906</v>
      </c>
      <c r="P118" s="195">
        <f t="shared" si="10"/>
        <v>5363.1182114307749</v>
      </c>
      <c r="Q118" s="195">
        <f t="shared" si="12"/>
        <v>16420.190641094356</v>
      </c>
      <c r="R118" s="196">
        <f t="shared" si="13"/>
        <v>0.40817530463933765</v>
      </c>
      <c r="S118" s="170"/>
      <c r="T118" s="170"/>
      <c r="U118" s="195">
        <f t="shared" si="18"/>
        <v>556.90523112932624</v>
      </c>
      <c r="V118" s="195">
        <f t="shared" si="14"/>
        <v>269.76541739363574</v>
      </c>
      <c r="W118" s="195">
        <f t="shared" si="14"/>
        <v>364.87218302875135</v>
      </c>
      <c r="X118" s="195">
        <f t="shared" si="17"/>
        <v>1191.5428315517133</v>
      </c>
      <c r="Y118" s="207">
        <f t="shared" si="16"/>
        <v>0.46738163025502316</v>
      </c>
      <c r="AC118" s="251">
        <f t="shared" si="15"/>
        <v>1.2068531396980526</v>
      </c>
    </row>
    <row r="119" spans="1:29" ht="15.6" x14ac:dyDescent="0.3">
      <c r="A119" s="206">
        <v>2048</v>
      </c>
      <c r="B119" s="253">
        <f>(B171/Population_Tables!O37)*Population_Tables!C37</f>
        <v>19843.689104299872</v>
      </c>
      <c r="C119" s="253">
        <f>(C171/Population_Tables!P37)*Population_Tables!D37</f>
        <v>3849.4285127173689</v>
      </c>
      <c r="D119" s="253">
        <f>(D171/Population_Tables!Q37)*Population_Tables!E37</f>
        <v>782.84730044704361</v>
      </c>
      <c r="E119" s="253">
        <f>(E171/Population_Tables!R37)*Population_Tables!F37</f>
        <v>8597.0673781507103</v>
      </c>
      <c r="F119" s="253">
        <f>(F171/Population_Tables!S37)*Population_Tables!G37</f>
        <v>2710.4684784049309</v>
      </c>
      <c r="G119" s="253">
        <f>(G171/Population_Tables!T37)*Population_Tables!H37</f>
        <v>778.12734223021221</v>
      </c>
      <c r="H119" s="253">
        <f>(H171/Population_Tables!U37)*Population_Tables!I37</f>
        <v>4399.2116547899823</v>
      </c>
      <c r="I119" s="253">
        <f>(I171/Population_Tables!V37)*Population_Tables!J37</f>
        <v>2783.5655161958248</v>
      </c>
      <c r="J119" s="253">
        <f>(J171/Population_Tables!W37)*Population_Tables!K37</f>
        <v>1451.1909348736265</v>
      </c>
      <c r="K119" s="253">
        <f>(K171/Population_Tables!X37)*Population_Tables!L37</f>
        <v>1772.9336287542324</v>
      </c>
      <c r="L119" s="170"/>
      <c r="M119" s="170"/>
      <c r="N119" s="195">
        <f t="shared" si="9"/>
        <v>6908.3242017656594</v>
      </c>
      <c r="O119" s="195">
        <f t="shared" si="11"/>
        <v>4399.2116547899823</v>
      </c>
      <c r="P119" s="195">
        <f t="shared" si="10"/>
        <v>5410.4031553946243</v>
      </c>
      <c r="Q119" s="195">
        <f t="shared" si="12"/>
        <v>16717.939011950264</v>
      </c>
      <c r="R119" s="196">
        <f t="shared" si="13"/>
        <v>0.41322822130332409</v>
      </c>
      <c r="S119" s="170"/>
      <c r="T119" s="170"/>
      <c r="U119" s="195">
        <f t="shared" si="18"/>
        <v>598.55895302996942</v>
      </c>
      <c r="V119" s="195">
        <f t="shared" si="14"/>
        <v>285.51167011242433</v>
      </c>
      <c r="W119" s="195">
        <f t="shared" si="14"/>
        <v>384.317612959092</v>
      </c>
      <c r="X119" s="195">
        <f t="shared" si="17"/>
        <v>1268.3882361014857</v>
      </c>
      <c r="Y119" s="207">
        <f t="shared" si="16"/>
        <v>0.4719051596297506</v>
      </c>
      <c r="AC119" s="251">
        <f t="shared" si="15"/>
        <v>1.2063441896621689</v>
      </c>
    </row>
    <row r="120" spans="1:29" ht="15.6" x14ac:dyDescent="0.3">
      <c r="A120" s="206">
        <v>2049</v>
      </c>
      <c r="B120" s="253">
        <f>(B172/Population_Tables!O38)*Population_Tables!C38</f>
        <v>20202.937775591115</v>
      </c>
      <c r="C120" s="253">
        <f>(C172/Population_Tables!P38)*Population_Tables!D38</f>
        <v>3876.0434090176955</v>
      </c>
      <c r="D120" s="253">
        <f>(D172/Population_Tables!Q38)*Population_Tables!E38</f>
        <v>791.62279316349793</v>
      </c>
      <c r="E120" s="253">
        <f>(E172/Population_Tables!R38)*Population_Tables!F38</f>
        <v>8774.2383319513301</v>
      </c>
      <c r="F120" s="253">
        <f>(F172/Population_Tables!S38)*Population_Tables!G38</f>
        <v>2789.4437251935387</v>
      </c>
      <c r="G120" s="253">
        <f>(G172/Population_Tables!T38)*Population_Tables!H38</f>
        <v>790.46498688084091</v>
      </c>
      <c r="H120" s="253">
        <f>(H172/Population_Tables!U38)*Population_Tables!I38</f>
        <v>4443.6242462986347</v>
      </c>
      <c r="I120" s="253">
        <f>(I172/Population_Tables!V38)*Population_Tables!J38</f>
        <v>2878.7648360015983</v>
      </c>
      <c r="J120" s="253">
        <f>(J172/Population_Tables!W38)*Population_Tables!K38</f>
        <v>1458.86340477727</v>
      </c>
      <c r="K120" s="253">
        <f>(K172/Population_Tables!X38)*Population_Tables!L38</f>
        <v>1790.2809913636372</v>
      </c>
      <c r="L120" s="170"/>
      <c r="M120" s="170"/>
      <c r="N120" s="195">
        <f t="shared" si="9"/>
        <v>7120.057810846235</v>
      </c>
      <c r="O120" s="195">
        <f t="shared" si="11"/>
        <v>4443.6242462986347</v>
      </c>
      <c r="P120" s="195">
        <f t="shared" si="10"/>
        <v>5458.1311890620345</v>
      </c>
      <c r="Q120" s="195">
        <f t="shared" si="12"/>
        <v>17021.813246206904</v>
      </c>
      <c r="R120" s="196">
        <f t="shared" si="13"/>
        <v>0.41829020844373616</v>
      </c>
      <c r="S120" s="170"/>
      <c r="T120" s="170"/>
      <c r="U120" s="195">
        <f t="shared" si="18"/>
        <v>642.87688144115236</v>
      </c>
      <c r="V120" s="195">
        <f t="shared" si="14"/>
        <v>301.85878773061449</v>
      </c>
      <c r="W120" s="195">
        <f t="shared" si="14"/>
        <v>404.41635583246989</v>
      </c>
      <c r="X120" s="195">
        <f t="shared" si="17"/>
        <v>1349.1520250042367</v>
      </c>
      <c r="Y120" s="207">
        <f t="shared" si="16"/>
        <v>0.47650440389705789</v>
      </c>
      <c r="AC120" s="251">
        <f t="shared" si="15"/>
        <v>1.2057727578591049</v>
      </c>
    </row>
    <row r="121" spans="1:29" ht="16.2" thickBot="1" x14ac:dyDescent="0.35">
      <c r="A121" s="208">
        <v>2050</v>
      </c>
      <c r="B121" s="253">
        <f>(B173/Population_Tables!O39)*Population_Tables!C39</f>
        <v>20573.826087812857</v>
      </c>
      <c r="C121" s="253">
        <f>(C173/Population_Tables!P39)*Population_Tables!D39</f>
        <v>3902.7250329328745</v>
      </c>
      <c r="D121" s="253">
        <f>(D173/Population_Tables!Q39)*Population_Tables!E39</f>
        <v>800.20250915190695</v>
      </c>
      <c r="E121" s="253">
        <f>(E173/Population_Tables!R39)*Population_Tables!F39</f>
        <v>8957.8120946438285</v>
      </c>
      <c r="F121" s="253">
        <f>(F173/Population_Tables!S39)*Population_Tables!G39</f>
        <v>2870.288922839437</v>
      </c>
      <c r="G121" s="253">
        <f>(G173/Population_Tables!T39)*Population_Tables!H39</f>
        <v>802.96941515316723</v>
      </c>
      <c r="H121" s="253">
        <f>(H173/Population_Tables!U39)*Population_Tables!I39</f>
        <v>4490.612859824837</v>
      </c>
      <c r="I121" s="253">
        <f>(I173/Population_Tables!V39)*Population_Tables!J39</f>
        <v>2975.8804019151739</v>
      </c>
      <c r="J121" s="253">
        <f>(J173/Population_Tables!W39)*Population_Tables!K39</f>
        <v>1466.1881497226939</v>
      </c>
      <c r="K121" s="253">
        <f>(K173/Population_Tables!X39)*Population_Tables!L39</f>
        <v>1807.7560804051122</v>
      </c>
      <c r="L121" s="209"/>
      <c r="M121" s="209"/>
      <c r="N121" s="195">
        <f t="shared" si="9"/>
        <v>7337.4881576584294</v>
      </c>
      <c r="O121" s="195">
        <f t="shared" si="11"/>
        <v>4490.612859824837</v>
      </c>
      <c r="P121" s="195">
        <f t="shared" si="10"/>
        <v>5505.8969572379492</v>
      </c>
      <c r="Q121" s="195">
        <f t="shared" si="12"/>
        <v>17333.997974721216</v>
      </c>
      <c r="R121" s="210">
        <f t="shared" si="13"/>
        <v>0.42330039315563256</v>
      </c>
      <c r="S121" s="209"/>
      <c r="T121" s="209"/>
      <c r="U121" s="211">
        <f t="shared" si="18"/>
        <v>690.07133721495211</v>
      </c>
      <c r="V121" s="195">
        <f t="shared" si="14"/>
        <v>319.0159552197465</v>
      </c>
      <c r="W121" s="211">
        <f t="shared" si="14"/>
        <v>425.19900952988428</v>
      </c>
      <c r="X121" s="195">
        <f t="shared" si="17"/>
        <v>1434.2863019645829</v>
      </c>
      <c r="Y121" s="212">
        <f t="shared" si="16"/>
        <v>0.48112523717875694</v>
      </c>
      <c r="AC121" s="251">
        <f t="shared" si="15"/>
        <v>1.2052370870804419</v>
      </c>
    </row>
    <row r="122" spans="1:29" ht="15.6" x14ac:dyDescent="0.3">
      <c r="A122" s="213">
        <v>2051</v>
      </c>
      <c r="B122" s="253">
        <f>(B174/Population_Tables!O40)*Population_Tables!C40</f>
        <v>20942.755402283732</v>
      </c>
      <c r="C122" s="253">
        <f>(C174/Population_Tables!P40)*Population_Tables!D40</f>
        <v>3929.7805983612716</v>
      </c>
      <c r="D122" s="253">
        <f>(D174/Population_Tables!Q40)*Population_Tables!E40</f>
        <v>809.74215463991163</v>
      </c>
      <c r="E122" s="253">
        <f>(E174/Population_Tables!R40)*Population_Tables!F40</f>
        <v>9138.8285141192846</v>
      </c>
      <c r="F122" s="253">
        <f>(F174/Population_Tables!S40)*Population_Tables!G40</f>
        <v>2955.0227137795782</v>
      </c>
      <c r="G122" s="253">
        <f>(G174/Population_Tables!T40)*Population_Tables!H40</f>
        <v>815.65560928304831</v>
      </c>
      <c r="H122" s="253">
        <f>(H174/Population_Tables!U40)*Population_Tables!I40</f>
        <v>4532.3319740611278</v>
      </c>
      <c r="I122" s="253">
        <f>(I174/Population_Tables!V40)*Population_Tables!J40</f>
        <v>3077.3030424514159</v>
      </c>
      <c r="J122" s="253">
        <f>(J174/Population_Tables!W40)*Population_Tables!K40</f>
        <v>1474.3848490170285</v>
      </c>
      <c r="K122" s="253">
        <f>(K174/Population_Tables!X40)*Population_Tables!L40</f>
        <v>1825.7057370695613</v>
      </c>
      <c r="N122" s="195">
        <f t="shared" si="9"/>
        <v>7561.519253837736</v>
      </c>
      <c r="O122" s="195">
        <f t="shared" si="11"/>
        <v>4532.3319740611278</v>
      </c>
      <c r="P122" s="195">
        <f t="shared" si="10"/>
        <v>5555.1783622842322</v>
      </c>
      <c r="Q122" s="195">
        <f t="shared" si="12"/>
        <v>17649.029590183098</v>
      </c>
      <c r="R122" s="214">
        <f t="shared" si="13"/>
        <v>0.42843824444850342</v>
      </c>
      <c r="U122" s="215">
        <f t="shared" si="18"/>
        <v>740.21500608121187</v>
      </c>
      <c r="V122" s="195">
        <f t="shared" si="14"/>
        <v>336.45213268171847</v>
      </c>
      <c r="W122" s="215">
        <f t="shared" si="14"/>
        <v>446.81741832917487</v>
      </c>
      <c r="X122" s="195">
        <f t="shared" si="17"/>
        <v>1523.4845570921052</v>
      </c>
      <c r="Y122" s="214">
        <f t="shared" si="16"/>
        <v>0.4858697140285228</v>
      </c>
      <c r="AC122" s="251">
        <f t="shared" si="15"/>
        <v>1.2043642231543539</v>
      </c>
    </row>
    <row r="123" spans="1:29" ht="15.6" x14ac:dyDescent="0.3">
      <c r="A123" s="194">
        <v>2052</v>
      </c>
      <c r="B123" s="253">
        <f>(B175/Population_Tables!O41)*Population_Tables!C41</f>
        <v>21323.727162740357</v>
      </c>
      <c r="C123" s="253">
        <f>(C175/Population_Tables!P41)*Population_Tables!D41</f>
        <v>3956.9541472597639</v>
      </c>
      <c r="D123" s="253">
        <f>(D175/Population_Tables!Q41)*Population_Tables!E41</f>
        <v>819.09735973616375</v>
      </c>
      <c r="E123" s="253">
        <f>(E175/Population_Tables!R41)*Population_Tables!F41</f>
        <v>9326.4324178405186</v>
      </c>
      <c r="F123" s="253">
        <f>(F175/Population_Tables!S41)*Population_Tables!G41</f>
        <v>3041.7880613931225</v>
      </c>
      <c r="G123" s="253">
        <f>(G175/Population_Tables!T41)*Population_Tables!H41</f>
        <v>828.51943531799793</v>
      </c>
      <c r="H123" s="253">
        <f>(H175/Population_Tables!U41)*Population_Tables!I41</f>
        <v>4576.666601473612</v>
      </c>
      <c r="I123" s="253">
        <f>(I175/Population_Tables!V41)*Population_Tables!J41</f>
        <v>3180.7786694532988</v>
      </c>
      <c r="J123" s="253">
        <f>(J175/Population_Tables!W41)*Population_Tables!K41</f>
        <v>1482.2551765548208</v>
      </c>
      <c r="K123" s="253">
        <f>(K175/Population_Tables!X41)*Population_Tables!L41</f>
        <v>1843.8134984802189</v>
      </c>
      <c r="N123" s="195">
        <f t="shared" si="9"/>
        <v>7791.5538777600295</v>
      </c>
      <c r="O123" s="195">
        <f t="shared" si="11"/>
        <v>4576.666601473612</v>
      </c>
      <c r="P123" s="195">
        <f t="shared" si="10"/>
        <v>5604.5709423139251</v>
      </c>
      <c r="Q123" s="195">
        <f t="shared" si="12"/>
        <v>17972.791421547565</v>
      </c>
      <c r="R123" s="196">
        <f t="shared" si="13"/>
        <v>0.43351940691965868</v>
      </c>
      <c r="U123" s="195">
        <f t="shared" si="18"/>
        <v>793.51089045922254</v>
      </c>
      <c r="V123" s="195">
        <f t="shared" si="14"/>
        <v>354.75043166007072</v>
      </c>
      <c r="W123" s="195">
        <f t="shared" si="14"/>
        <v>469.19296815611597</v>
      </c>
      <c r="X123" s="195">
        <f t="shared" si="17"/>
        <v>1617.4542902754092</v>
      </c>
      <c r="Y123" s="196">
        <f t="shared" si="16"/>
        <v>0.49059246695874714</v>
      </c>
      <c r="AC123" s="251">
        <f t="shared" si="15"/>
        <v>1.2035141170115153</v>
      </c>
    </row>
    <row r="124" spans="1:29" ht="15.6" x14ac:dyDescent="0.3">
      <c r="A124" s="194">
        <v>2053</v>
      </c>
      <c r="B124" s="253">
        <f>(B176/Population_Tables!O42)*Population_Tables!C42</f>
        <v>21712.252065397759</v>
      </c>
      <c r="C124" s="253">
        <f>(C176/Population_Tables!P42)*Population_Tables!D42</f>
        <v>3984.375439402153</v>
      </c>
      <c r="D124" s="253">
        <f>(D176/Population_Tables!Q42)*Population_Tables!E42</f>
        <v>828.65572323794299</v>
      </c>
      <c r="E124" s="253">
        <f>(E176/Population_Tables!R42)*Population_Tables!F42</f>
        <v>9517.6315127097259</v>
      </c>
      <c r="F124" s="253">
        <f>(F176/Population_Tables!S42)*Population_Tables!G42</f>
        <v>3131.306810108536</v>
      </c>
      <c r="G124" s="253">
        <f>(G176/Population_Tables!T42)*Population_Tables!H42</f>
        <v>841.56815344649453</v>
      </c>
      <c r="H124" s="253">
        <f>(H176/Population_Tables!U42)*Population_Tables!I42</f>
        <v>4620.9645891717637</v>
      </c>
      <c r="I124" s="253">
        <f>(I176/Population_Tables!V42)*Population_Tables!J42</f>
        <v>3287.1178894369746</v>
      </c>
      <c r="J124" s="253">
        <f>(J176/Population_Tables!W42)*Population_Tables!K42</f>
        <v>1490.2178645549229</v>
      </c>
      <c r="K124" s="253">
        <f>(K176/Population_Tables!X42)*Population_Tables!L42</f>
        <v>1862.2128225301706</v>
      </c>
      <c r="N124" s="195">
        <f t="shared" si="9"/>
        <v>8027.9737336464977</v>
      </c>
      <c r="O124" s="195">
        <f t="shared" si="11"/>
        <v>4620.9645891717637</v>
      </c>
      <c r="P124" s="195">
        <f t="shared" si="10"/>
        <v>5654.599316086591</v>
      </c>
      <c r="Q124" s="195">
        <f t="shared" si="12"/>
        <v>18303.537638904851</v>
      </c>
      <c r="R124" s="196">
        <f t="shared" si="13"/>
        <v>0.43860230147983748</v>
      </c>
      <c r="U124" s="195">
        <f t="shared" si="18"/>
        <v>850.03789255372703</v>
      </c>
      <c r="V124" s="195">
        <f t="shared" si="14"/>
        <v>373.73530138652222</v>
      </c>
      <c r="W124" s="195">
        <f t="shared" si="14"/>
        <v>492.41169645267291</v>
      </c>
      <c r="X124" s="195">
        <f t="shared" si="17"/>
        <v>1716.1848903929222</v>
      </c>
      <c r="Y124" s="196">
        <f t="shared" si="16"/>
        <v>0.49530671043206193</v>
      </c>
      <c r="AC124" s="251">
        <f t="shared" si="15"/>
        <v>1.2025550632100288</v>
      </c>
    </row>
    <row r="125" spans="1:29" ht="15.6" x14ac:dyDescent="0.3">
      <c r="A125" s="194">
        <v>2054</v>
      </c>
      <c r="B125" s="253">
        <f>(B177/Population_Tables!O43)*Population_Tables!C43</f>
        <v>22108.405113524597</v>
      </c>
      <c r="C125" s="253">
        <f>(C177/Population_Tables!P43)*Population_Tables!D43</f>
        <v>4012.0799890330586</v>
      </c>
      <c r="D125" s="253">
        <f>(D177/Population_Tables!Q43)*Population_Tables!E43</f>
        <v>838.42131105060139</v>
      </c>
      <c r="E125" s="253">
        <f>(E177/Population_Tables!R43)*Population_Tables!F43</f>
        <v>9712.4249591925909</v>
      </c>
      <c r="F125" s="253">
        <f>(F177/Population_Tables!S43)*Population_Tables!G43</f>
        <v>3223.6532889261021</v>
      </c>
      <c r="G125" s="253">
        <f>(G177/Population_Tables!T43)*Population_Tables!H43</f>
        <v>854.80456661637197</v>
      </c>
      <c r="H125" s="253">
        <f>(H177/Population_Tables!U43)*Population_Tables!I43</f>
        <v>4665.1803577123246</v>
      </c>
      <c r="I125" s="253">
        <f>(I177/Population_Tables!V43)*Population_Tables!J43</f>
        <v>3396.3430780617832</v>
      </c>
      <c r="J125" s="253">
        <f>(J177/Population_Tables!W43)*Population_Tables!K43</f>
        <v>1498.2890359287767</v>
      </c>
      <c r="K125" s="253">
        <f>(K177/Population_Tables!X43)*Population_Tables!L43</f>
        <v>1880.9274040024759</v>
      </c>
      <c r="N125" s="195">
        <f t="shared" si="9"/>
        <v>8270.8978904063679</v>
      </c>
      <c r="O125" s="195">
        <f t="shared" si="11"/>
        <v>4665.1803577123246</v>
      </c>
      <c r="P125" s="195">
        <f t="shared" si="10"/>
        <v>5705.3058667000314</v>
      </c>
      <c r="Q125" s="195">
        <f t="shared" si="12"/>
        <v>18641.384114818724</v>
      </c>
      <c r="R125" s="196">
        <f t="shared" si="13"/>
        <v>0.44368475213337438</v>
      </c>
      <c r="U125" s="195">
        <f t="shared" si="18"/>
        <v>909.88052484583113</v>
      </c>
      <c r="V125" s="195">
        <f t="shared" si="14"/>
        <v>393.41012278846847</v>
      </c>
      <c r="W125" s="195">
        <f t="shared" si="14"/>
        <v>516.52052470311082</v>
      </c>
      <c r="X125" s="195">
        <f t="shared" si="17"/>
        <v>1819.8111723374104</v>
      </c>
      <c r="Y125" s="196">
        <f t="shared" si="16"/>
        <v>0.49998622861357539</v>
      </c>
      <c r="AC125" s="251">
        <f t="shared" si="15"/>
        <v>1.2014800963384205</v>
      </c>
    </row>
    <row r="126" spans="1:29" ht="15.6" x14ac:dyDescent="0.3">
      <c r="A126" s="194">
        <v>2055</v>
      </c>
      <c r="B126" s="253">
        <f>(B178/Population_Tables!O44)*Population_Tables!C44</f>
        <v>22512.268512676947</v>
      </c>
      <c r="C126" s="253">
        <f>(C178/Population_Tables!P44)*Population_Tables!D44</f>
        <v>4040.0964564984729</v>
      </c>
      <c r="D126" s="253">
        <f>(D178/Population_Tables!Q44)*Population_Tables!E44</f>
        <v>848.39869456616191</v>
      </c>
      <c r="E126" s="253">
        <f>(E178/Population_Tables!R44)*Population_Tables!F44</f>
        <v>9910.81863519539</v>
      </c>
      <c r="F126" s="253">
        <f>(F178/Population_Tables!S44)*Population_Tables!G44</f>
        <v>3318.902776011646</v>
      </c>
      <c r="G126" s="253">
        <f>(G178/Population_Tables!T44)*Population_Tables!H44</f>
        <v>868.23128998109655</v>
      </c>
      <c r="H126" s="253">
        <f>(H178/Population_Tables!U44)*Population_Tables!I44</f>
        <v>4709.2846589557566</v>
      </c>
      <c r="I126" s="253">
        <f>(I178/Population_Tables!V44)*Population_Tables!J44</f>
        <v>3508.4763625823039</v>
      </c>
      <c r="J126" s="253">
        <f>(J178/Population_Tables!W44)*Population_Tables!K44</f>
        <v>1506.4833267024194</v>
      </c>
      <c r="K126" s="253">
        <f>(K178/Population_Tables!X44)*Population_Tables!L44</f>
        <v>1899.9750143714716</v>
      </c>
      <c r="N126" s="195">
        <f t="shared" si="9"/>
        <v>8520.4367522512803</v>
      </c>
      <c r="O126" s="195">
        <f t="shared" si="11"/>
        <v>4709.2846589557566</v>
      </c>
      <c r="P126" s="195">
        <f t="shared" si="10"/>
        <v>5756.7264410457319</v>
      </c>
      <c r="Q126" s="195">
        <f t="shared" si="12"/>
        <v>18986.447852252768</v>
      </c>
      <c r="R126" s="196">
        <f t="shared" si="13"/>
        <v>0.44876413000235421</v>
      </c>
      <c r="U126" s="195">
        <f t="shared" si="18"/>
        <v>973.12144470661406</v>
      </c>
      <c r="V126" s="195">
        <f t="shared" si="14"/>
        <v>413.77888392971636</v>
      </c>
      <c r="W126" s="195">
        <f t="shared" si="14"/>
        <v>541.5588642922994</v>
      </c>
      <c r="X126" s="195">
        <f t="shared" si="17"/>
        <v>1928.4591929286298</v>
      </c>
      <c r="Y126" s="196">
        <f t="shared" si="16"/>
        <v>0.50461085631207769</v>
      </c>
      <c r="AC126" s="251">
        <f t="shared" si="15"/>
        <v>1.2002877924872104</v>
      </c>
    </row>
    <row r="127" spans="1:29" ht="15.6" x14ac:dyDescent="0.3">
      <c r="A127" s="194">
        <v>2056</v>
      </c>
      <c r="B127" s="253">
        <f>(B179/Population_Tables!O45)*Population_Tables!C45</f>
        <v>22923.996665766026</v>
      </c>
      <c r="C127" s="253">
        <f>(C179/Population_Tables!P45)*Population_Tables!D45</f>
        <v>4068.4469633194808</v>
      </c>
      <c r="D127" s="253">
        <f>(D179/Population_Tables!Q45)*Population_Tables!E45</f>
        <v>858.59399270735014</v>
      </c>
      <c r="E127" s="253">
        <f>(E179/Population_Tables!R45)*Population_Tables!F45</f>
        <v>10112.872283922619</v>
      </c>
      <c r="F127" s="253">
        <f>(F179/Population_Tables!S45)*Population_Tables!G45</f>
        <v>3417.1376914431285</v>
      </c>
      <c r="G127" s="253">
        <f>(G179/Population_Tables!T45)*Population_Tables!H45</f>
        <v>881.85237628456218</v>
      </c>
      <c r="H127" s="253">
        <f>(H179/Population_Tables!U45)*Population_Tables!I45</f>
        <v>4753.276834753714</v>
      </c>
      <c r="I127" s="253">
        <f>(I179/Population_Tables!V45)*Population_Tables!J45</f>
        <v>3623.570208798626</v>
      </c>
      <c r="J127" s="253">
        <f>(J179/Population_Tables!W45)*Population_Tables!K45</f>
        <v>1514.8126605285472</v>
      </c>
      <c r="K127" s="253">
        <f>(K179/Population_Tables!X45)*Population_Tables!L45</f>
        <v>1919.3677861197839</v>
      </c>
      <c r="N127" s="195">
        <f t="shared" si="9"/>
        <v>8776.7331406120356</v>
      </c>
      <c r="O127" s="195">
        <f t="shared" si="11"/>
        <v>4753.276834753714</v>
      </c>
      <c r="P127" s="195">
        <f t="shared" si="10"/>
        <v>5808.8933323113934</v>
      </c>
      <c r="Q127" s="195">
        <f t="shared" si="12"/>
        <v>19338.903307677141</v>
      </c>
      <c r="R127" s="196">
        <f t="shared" si="13"/>
        <v>0.45383820379968787</v>
      </c>
      <c r="U127" s="195">
        <f t="shared" si="18"/>
        <v>1039.8823996564952</v>
      </c>
      <c r="V127" s="195">
        <f t="shared" si="14"/>
        <v>434.85469142400052</v>
      </c>
      <c r="W127" s="195">
        <f t="shared" si="14"/>
        <v>567.55815660044209</v>
      </c>
      <c r="X127" s="195">
        <f t="shared" si="17"/>
        <v>2042.2952476809378</v>
      </c>
      <c r="Y127" s="196">
        <f t="shared" si="16"/>
        <v>0.50917339245503312</v>
      </c>
      <c r="AC127" s="251">
        <f t="shared" si="15"/>
        <v>1.1989821594518406</v>
      </c>
    </row>
    <row r="128" spans="1:29" ht="15.6" x14ac:dyDescent="0.3">
      <c r="A128" s="194">
        <v>2057</v>
      </c>
      <c r="B128" s="253">
        <f>(B180/Population_Tables!O46)*Population_Tables!C46</f>
        <v>23343.731975690804</v>
      </c>
      <c r="C128" s="253">
        <f>(C180/Population_Tables!P46)*Population_Tables!D46</f>
        <v>4097.1391120766175</v>
      </c>
      <c r="D128" s="253">
        <f>(D180/Population_Tables!Q46)*Population_Tables!E46</f>
        <v>869.01381626520265</v>
      </c>
      <c r="E128" s="253">
        <f>(E180/Population_Tables!R46)*Population_Tables!F46</f>
        <v>10318.642776921783</v>
      </c>
      <c r="F128" s="253">
        <f>(F180/Population_Tables!S46)*Population_Tables!G46</f>
        <v>3518.4393255525606</v>
      </c>
      <c r="G128" s="253">
        <f>(G180/Population_Tables!T46)*Population_Tables!H46</f>
        <v>895.67046082280308</v>
      </c>
      <c r="H128" s="253">
        <f>(H180/Population_Tables!U46)*Population_Tables!I46</f>
        <v>4797.1870678156292</v>
      </c>
      <c r="I128" s="253">
        <f>(I180/Population_Tables!V46)*Population_Tables!J46</f>
        <v>3741.6676941466721</v>
      </c>
      <c r="J128" s="253">
        <f>(J180/Population_Tables!W46)*Population_Tables!K46</f>
        <v>1523.2856532291839</v>
      </c>
      <c r="K128" s="253">
        <f>(K180/Population_Tables!X46)*Population_Tables!L46</f>
        <v>1939.1068052986702</v>
      </c>
      <c r="N128" s="195">
        <f t="shared" si="9"/>
        <v>9039.8950346587153</v>
      </c>
      <c r="O128" s="195">
        <f t="shared" si="11"/>
        <v>4797.1870678156292</v>
      </c>
      <c r="P128" s="195">
        <f t="shared" si="10"/>
        <v>5861.8233891646232</v>
      </c>
      <c r="Q128" s="195">
        <f t="shared" si="12"/>
        <v>19698.905491638969</v>
      </c>
      <c r="R128" s="196">
        <f t="shared" si="13"/>
        <v>0.45890341666422135</v>
      </c>
      <c r="U128" s="195">
        <f t="shared" si="18"/>
        <v>1110.2639899967035</v>
      </c>
      <c r="V128" s="195">
        <f t="shared" si="14"/>
        <v>456.65213604206565</v>
      </c>
      <c r="W128" s="195">
        <f t="shared" si="14"/>
        <v>594.53431735759023</v>
      </c>
      <c r="X128" s="195">
        <f t="shared" si="17"/>
        <v>2161.4504433963593</v>
      </c>
      <c r="Y128" s="196">
        <f t="shared" si="16"/>
        <v>0.51366617883318599</v>
      </c>
      <c r="AC128" s="251">
        <f t="shared" si="15"/>
        <v>1.1975714271914948</v>
      </c>
    </row>
    <row r="129" spans="1:29" ht="15.6" x14ac:dyDescent="0.3">
      <c r="A129" s="194">
        <v>2058</v>
      </c>
      <c r="B129" s="253">
        <f>(B181/Population_Tables!O47)*Population_Tables!C47</f>
        <v>23771.51192216299</v>
      </c>
      <c r="C129" s="253">
        <f>(C181/Population_Tables!P47)*Population_Tables!D47</f>
        <v>4126.1607165724645</v>
      </c>
      <c r="D129" s="253">
        <f>(D181/Population_Tables!Q47)*Population_Tables!E47</f>
        <v>879.6617338791765</v>
      </c>
      <c r="E129" s="253">
        <f>(E181/Population_Tables!R47)*Population_Tables!F47</f>
        <v>10528.118789746251</v>
      </c>
      <c r="F129" s="253">
        <f>(F181/Population_Tables!S47)*Population_Tables!G47</f>
        <v>3622.8802605787937</v>
      </c>
      <c r="G129" s="253">
        <f>(G181/Population_Tables!T47)*Population_Tables!H47</f>
        <v>909.68457397215843</v>
      </c>
      <c r="H129" s="253">
        <f>(H181/Population_Tables!U47)*Population_Tables!I47</f>
        <v>4841.0544815124003</v>
      </c>
      <c r="I129" s="253">
        <f>(I181/Population_Tables!V47)*Population_Tables!J47</f>
        <v>3862.7612340447808</v>
      </c>
      <c r="J129" s="253">
        <f>(J181/Population_Tables!W47)*Population_Tables!K47</f>
        <v>1531.9053237958142</v>
      </c>
      <c r="K129" s="253">
        <f>(K181/Population_Tables!X47)*Population_Tables!L47</f>
        <v>1959.1824988159681</v>
      </c>
      <c r="N129" s="195">
        <f t="shared" si="9"/>
        <v>9309.9445688126434</v>
      </c>
      <c r="O129" s="195">
        <f t="shared" si="11"/>
        <v>4841.0544815124003</v>
      </c>
      <c r="P129" s="195">
        <f t="shared" si="10"/>
        <v>5915.5070244237995</v>
      </c>
      <c r="Q129" s="195">
        <f t="shared" si="12"/>
        <v>20066.506074748842</v>
      </c>
      <c r="R129" s="196">
        <f t="shared" si="13"/>
        <v>0.46395443901058742</v>
      </c>
      <c r="U129" s="195">
        <f t="shared" si="18"/>
        <v>1184.2922746599761</v>
      </c>
      <c r="V129" s="195">
        <f t="shared" si="14"/>
        <v>479.17546218302869</v>
      </c>
      <c r="W129" s="195">
        <f t="shared" si="14"/>
        <v>622.48107166431328</v>
      </c>
      <c r="X129" s="195">
        <f t="shared" si="17"/>
        <v>2285.9488085073181</v>
      </c>
      <c r="Y129" s="196">
        <f t="shared" si="16"/>
        <v>0.5180747137698577</v>
      </c>
      <c r="AC129" s="251">
        <f t="shared" si="15"/>
        <v>1.1960678851164579</v>
      </c>
    </row>
    <row r="130" spans="1:29" ht="15.6" x14ac:dyDescent="0.3">
      <c r="A130" s="194">
        <v>2059</v>
      </c>
      <c r="B130" s="253">
        <f>(B182/Population_Tables!O48)*Population_Tables!C48</f>
        <v>24207.333943640777</v>
      </c>
      <c r="C130" s="253">
        <f>(C182/Population_Tables!P48)*Population_Tables!D48</f>
        <v>4155.4867398873785</v>
      </c>
      <c r="D130" s="253">
        <f>(D182/Population_Tables!Q48)*Population_Tables!E48</f>
        <v>890.54087858568903</v>
      </c>
      <c r="E130" s="253">
        <f>(E182/Population_Tables!R48)*Population_Tables!F48</f>
        <v>10741.263197760836</v>
      </c>
      <c r="F130" s="253">
        <f>(F182/Population_Tables!S48)*Population_Tables!G48</f>
        <v>3730.5298618833999</v>
      </c>
      <c r="G130" s="253">
        <f>(G182/Population_Tables!T48)*Population_Tables!H48</f>
        <v>923.89205300772312</v>
      </c>
      <c r="H130" s="253">
        <f>(H182/Population_Tables!U48)*Population_Tables!I48</f>
        <v>4884.9327332598041</v>
      </c>
      <c r="I130" s="253">
        <f>(I182/Population_Tables!V48)*Population_Tables!J48</f>
        <v>3986.820135581871</v>
      </c>
      <c r="J130" s="253">
        <f>(J182/Population_Tables!W48)*Population_Tables!K48</f>
        <v>1540.6717658647271</v>
      </c>
      <c r="K130" s="253">
        <f>(K182/Population_Tables!X48)*Population_Tables!L48</f>
        <v>1979.5768555725483</v>
      </c>
      <c r="N130" s="195">
        <f t="shared" si="9"/>
        <v>9586.8603263844325</v>
      </c>
      <c r="O130" s="195">
        <f t="shared" si="11"/>
        <v>4884.9327332598041</v>
      </c>
      <c r="P130" s="195">
        <f t="shared" si="10"/>
        <v>5969.9196714807904</v>
      </c>
      <c r="Q130" s="195">
        <f t="shared" si="12"/>
        <v>20441.712731125026</v>
      </c>
      <c r="R130" s="196">
        <f t="shared" si="13"/>
        <v>0.46898518008166978</v>
      </c>
      <c r="U130" s="195">
        <f t="shared" si="18"/>
        <v>1261.9586276986065</v>
      </c>
      <c r="V130" s="195">
        <f t="shared" si="14"/>
        <v>502.42539996221876</v>
      </c>
      <c r="W130" s="195">
        <f t="shared" si="14"/>
        <v>651.37816482343896</v>
      </c>
      <c r="X130" s="195">
        <f t="shared" si="17"/>
        <v>2415.7621924842642</v>
      </c>
      <c r="Y130" s="196">
        <f t="shared" si="16"/>
        <v>0.52238528760186587</v>
      </c>
      <c r="AC130" s="251">
        <f t="shared" si="15"/>
        <v>1.1944861536946272</v>
      </c>
    </row>
    <row r="131" spans="1:29" ht="15.6" x14ac:dyDescent="0.3">
      <c r="A131" s="194">
        <v>2060</v>
      </c>
      <c r="B131" s="253">
        <f>(B183/Population_Tables!O49)*Population_Tables!C49</f>
        <v>24650.048234572616</v>
      </c>
      <c r="C131" s="253">
        <f>(C183/Population_Tables!P49)*Population_Tables!D49</f>
        <v>4185.1409725360663</v>
      </c>
      <c r="D131" s="253">
        <f>(D183/Population_Tables!Q49)*Population_Tables!E49</f>
        <v>901.75556335212809</v>
      </c>
      <c r="E131" s="253">
        <f>(E183/Population_Tables!R49)*Population_Tables!F49</f>
        <v>10957.257989472551</v>
      </c>
      <c r="F131" s="253">
        <f>(F183/Population_Tables!S49)*Population_Tables!G49</f>
        <v>3841.6291108321202</v>
      </c>
      <c r="G131" s="253">
        <f>(G183/Population_Tables!T49)*Population_Tables!H49</f>
        <v>938.29169943258057</v>
      </c>
      <c r="H131" s="253">
        <f>(H183/Population_Tables!U49)*Population_Tables!I49</f>
        <v>4928.1878258091519</v>
      </c>
      <c r="I131" s="253">
        <f>(I183/Population_Tables!V49)*Population_Tables!J49</f>
        <v>4114.0250391696927</v>
      </c>
      <c r="J131" s="253">
        <f>(J183/Population_Tables!W49)*Population_Tables!K49</f>
        <v>1549.7974944997279</v>
      </c>
      <c r="K131" s="253">
        <f>(K183/Population_Tables!X49)*Population_Tables!L49</f>
        <v>2000.3016216242247</v>
      </c>
      <c r="N131" s="195">
        <f t="shared" si="9"/>
        <v>9870.6992744955205</v>
      </c>
      <c r="O131" s="195">
        <f t="shared" si="11"/>
        <v>4928.1878258091519</v>
      </c>
      <c r="P131" s="195">
        <f t="shared" si="10"/>
        <v>6025.1882353207748</v>
      </c>
      <c r="Q131" s="195">
        <f t="shared" si="12"/>
        <v>20824.075335625446</v>
      </c>
      <c r="R131" s="196">
        <f>N131/Q131</f>
        <v>0.47400420500827278</v>
      </c>
      <c r="U131" s="195">
        <f t="shared" si="18"/>
        <v>1343.2603781255384</v>
      </c>
      <c r="V131" s="195">
        <f t="shared" si="14"/>
        <v>526.33064913949329</v>
      </c>
      <c r="W131" s="195">
        <f t="shared" si="14"/>
        <v>681.22292879369706</v>
      </c>
      <c r="X131" s="195">
        <f t="shared" si="17"/>
        <v>2550.8139560587288</v>
      </c>
      <c r="Y131" s="196">
        <f t="shared" si="16"/>
        <v>0.52660068561057061</v>
      </c>
      <c r="AC131" s="251">
        <f t="shared" si="15"/>
        <v>1.1928149698934052</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10669.163628480179</v>
      </c>
      <c r="C137" s="229">
        <v>2962.2634881396102</v>
      </c>
      <c r="D137" s="229">
        <v>561.00796532589561</v>
      </c>
      <c r="E137" s="229">
        <v>4099.311152868112</v>
      </c>
      <c r="F137" s="229">
        <v>1033.9245823814495</v>
      </c>
      <c r="G137" s="229">
        <v>434.4641222560158</v>
      </c>
      <c r="H137" s="229">
        <v>2772.4656256795697</v>
      </c>
      <c r="I137" s="229">
        <v>797.27770738276263</v>
      </c>
      <c r="J137" s="229">
        <v>1198.7745876608387</v>
      </c>
      <c r="K137" s="229">
        <v>1260.2456881434907</v>
      </c>
      <c r="N137" s="195">
        <f t="shared" ref="N137:N183" si="19">SUMIF($C$83:$G$83,"Y",C137:G137)-H137</f>
        <v>2360.7701095699922</v>
      </c>
      <c r="O137" s="195">
        <f>H137</f>
        <v>2772.4656256795697</v>
      </c>
      <c r="P137" s="195">
        <f t="shared" ref="P137:P183" si="20">SUMIF($C$83:$G$83,"N",C137:G137)-(IF($E$83="N",H137))</f>
        <v>3957.7355757215219</v>
      </c>
      <c r="Q137" s="195">
        <f>N137+P137+O137</f>
        <v>9090.9713109710829</v>
      </c>
      <c r="R137" s="196">
        <f>N137/Q137</f>
        <v>0.25968293472898646</v>
      </c>
      <c r="AC137" s="251"/>
    </row>
    <row r="138" spans="1:29" ht="15.6" x14ac:dyDescent="0.3">
      <c r="A138" s="194">
        <v>2015</v>
      </c>
      <c r="B138" s="229">
        <v>10860.457643494979</v>
      </c>
      <c r="C138" s="229">
        <v>2984.7776194551593</v>
      </c>
      <c r="D138" s="229">
        <v>566.16297082614608</v>
      </c>
      <c r="E138" s="229">
        <v>4189.7588847120796</v>
      </c>
      <c r="F138" s="229">
        <v>1064.7080576803551</v>
      </c>
      <c r="G138" s="229">
        <v>442.18091606363572</v>
      </c>
      <c r="H138" s="229">
        <v>2824.5848925825117</v>
      </c>
      <c r="I138" s="229">
        <v>823.13304978916142</v>
      </c>
      <c r="J138" s="229">
        <v>1204.6046569365531</v>
      </c>
      <c r="K138" s="229">
        <v>1271.7141402766044</v>
      </c>
      <c r="N138" s="195">
        <f t="shared" si="19"/>
        <v>2429.8820498099235</v>
      </c>
      <c r="O138" s="195">
        <f t="shared" ref="O138:O183" si="21">H138</f>
        <v>2824.5848925825117</v>
      </c>
      <c r="P138" s="195">
        <f t="shared" si="20"/>
        <v>3993.1215063449413</v>
      </c>
      <c r="Q138" s="195">
        <f t="shared" ref="Q138:Q183" si="22">N138+P138+O138</f>
        <v>9247.5884487373769</v>
      </c>
      <c r="R138" s="196">
        <f t="shared" ref="R138:R182" si="23">N138/Q138</f>
        <v>0.26275845462626402</v>
      </c>
      <c r="AC138" s="251"/>
    </row>
    <row r="139" spans="1:29" ht="15.6" x14ac:dyDescent="0.3">
      <c r="A139" s="194">
        <v>2016</v>
      </c>
      <c r="B139" s="229">
        <v>11054.075218176185</v>
      </c>
      <c r="C139" s="229">
        <v>3006.9946364122961</v>
      </c>
      <c r="D139" s="229">
        <v>571.2518041859604</v>
      </c>
      <c r="E139" s="229">
        <v>4281.9464461900689</v>
      </c>
      <c r="F139" s="229">
        <v>1095.8595126476475</v>
      </c>
      <c r="G139" s="229">
        <v>449.94159290558815</v>
      </c>
      <c r="H139" s="229">
        <v>2875.9835064689428</v>
      </c>
      <c r="I139" s="229">
        <v>850.73944588485097</v>
      </c>
      <c r="J139" s="229">
        <v>1210.5271675056538</v>
      </c>
      <c r="K139" s="229">
        <v>1283.2556960917091</v>
      </c>
      <c r="N139" s="195">
        <f t="shared" si="19"/>
        <v>2501.8224523687736</v>
      </c>
      <c r="O139" s="195">
        <f t="shared" si="21"/>
        <v>2875.9835064689428</v>
      </c>
      <c r="P139" s="195">
        <f t="shared" si="20"/>
        <v>4028.1880335038445</v>
      </c>
      <c r="Q139" s="195">
        <f t="shared" si="22"/>
        <v>9405.9939923415604</v>
      </c>
      <c r="R139" s="196">
        <f t="shared" si="23"/>
        <v>0.26598171914693741</v>
      </c>
      <c r="AC139" s="251"/>
    </row>
    <row r="140" spans="1:29" ht="15.6" x14ac:dyDescent="0.3">
      <c r="A140" s="194">
        <v>2017</v>
      </c>
      <c r="B140" s="229">
        <v>11249.919304458719</v>
      </c>
      <c r="C140" s="229">
        <v>3028.9036455887704</v>
      </c>
      <c r="D140" s="229">
        <v>576.28086964978638</v>
      </c>
      <c r="E140" s="229">
        <v>4375.8198789893086</v>
      </c>
      <c r="F140" s="229">
        <v>1127.4088627010092</v>
      </c>
      <c r="G140" s="229">
        <v>457.74012685120726</v>
      </c>
      <c r="H140" s="229">
        <v>2926.6562715642958</v>
      </c>
      <c r="I140" s="229">
        <v>880.07661127494384</v>
      </c>
      <c r="J140" s="229">
        <v>1216.5030856255191</v>
      </c>
      <c r="K140" s="229">
        <v>1294.8511756329619</v>
      </c>
      <c r="N140" s="195">
        <f t="shared" si="19"/>
        <v>2576.5724701260224</v>
      </c>
      <c r="O140" s="195">
        <f t="shared" si="21"/>
        <v>2926.6562715642958</v>
      </c>
      <c r="P140" s="195">
        <f t="shared" si="20"/>
        <v>4062.9246420897639</v>
      </c>
      <c r="Q140" s="195">
        <f t="shared" si="22"/>
        <v>9566.1533837800816</v>
      </c>
      <c r="R140" s="196">
        <f t="shared" si="23"/>
        <v>0.26934258387438542</v>
      </c>
      <c r="AC140" s="251"/>
    </row>
    <row r="141" spans="1:29" ht="15.6" x14ac:dyDescent="0.3">
      <c r="A141" s="194">
        <v>2018</v>
      </c>
      <c r="B141" s="229">
        <v>11447.853293002468</v>
      </c>
      <c r="C141" s="229">
        <v>3050.518087988808</v>
      </c>
      <c r="D141" s="229">
        <v>581.25451522808532</v>
      </c>
      <c r="E141" s="229">
        <v>4471.2732810328016</v>
      </c>
      <c r="F141" s="229">
        <v>1159.4009509941495</v>
      </c>
      <c r="G141" s="229">
        <v>465.57199611251008</v>
      </c>
      <c r="H141" s="229">
        <v>2976.5428784934634</v>
      </c>
      <c r="I141" s="229">
        <v>911.11698008629878</v>
      </c>
      <c r="J141" s="229">
        <v>1222.4889134080465</v>
      </c>
      <c r="K141" s="229">
        <v>1306.4949307079983</v>
      </c>
      <c r="N141" s="195">
        <f t="shared" si="19"/>
        <v>2654.131353533488</v>
      </c>
      <c r="O141" s="195">
        <f t="shared" si="21"/>
        <v>2976.5428784934634</v>
      </c>
      <c r="P141" s="195">
        <f t="shared" si="20"/>
        <v>4097.3445993294035</v>
      </c>
      <c r="Q141" s="195">
        <f t="shared" si="22"/>
        <v>9728.018831356354</v>
      </c>
      <c r="R141" s="196">
        <f t="shared" si="23"/>
        <v>0.27283369816045361</v>
      </c>
      <c r="AC141" s="251"/>
    </row>
    <row r="142" spans="1:29" ht="16.2" thickBot="1" x14ac:dyDescent="0.35">
      <c r="A142" s="198">
        <v>2019</v>
      </c>
      <c r="B142" s="230">
        <v>11647.694534698112</v>
      </c>
      <c r="C142" s="230">
        <v>3071.858541823382</v>
      </c>
      <c r="D142" s="230">
        <v>586.18739306907651</v>
      </c>
      <c r="E142" s="230">
        <v>4568.168642004488</v>
      </c>
      <c r="F142" s="230">
        <v>1191.884575411955</v>
      </c>
      <c r="G142" s="230">
        <v>473.43060538527675</v>
      </c>
      <c r="H142" s="230">
        <v>3025.556954519966</v>
      </c>
      <c r="I142" s="230">
        <v>943.81847222022338</v>
      </c>
      <c r="J142" s="230">
        <v>1228.4097258576392</v>
      </c>
      <c r="K142" s="230">
        <v>1318.1721103766361</v>
      </c>
      <c r="N142" s="195">
        <f t="shared" si="19"/>
        <v>2734.4962628964768</v>
      </c>
      <c r="O142" s="195">
        <f t="shared" si="21"/>
        <v>3025.556954519966</v>
      </c>
      <c r="P142" s="195">
        <f t="shared" si="20"/>
        <v>4131.4765402777357</v>
      </c>
      <c r="Q142" s="195">
        <f t="shared" si="22"/>
        <v>9891.5297576941775</v>
      </c>
      <c r="R142" s="199">
        <f t="shared" si="23"/>
        <v>0.27644826734403088</v>
      </c>
      <c r="AC142" s="251"/>
    </row>
    <row r="143" spans="1:29" ht="15.6" x14ac:dyDescent="0.3">
      <c r="A143" s="201">
        <v>2020</v>
      </c>
      <c r="B143" s="228">
        <v>11848.159937279808</v>
      </c>
      <c r="C143" s="228">
        <v>3092.9002848549044</v>
      </c>
      <c r="D143" s="228">
        <v>591.17910841278604</v>
      </c>
      <c r="E143" s="228">
        <v>4665.7068888088907</v>
      </c>
      <c r="F143" s="228">
        <v>1225.0536978455232</v>
      </c>
      <c r="G143" s="228">
        <v>481.31117568573507</v>
      </c>
      <c r="H143" s="228">
        <v>3073.0263648771311</v>
      </c>
      <c r="I143" s="228">
        <v>978.32220859366828</v>
      </c>
      <c r="J143" s="228">
        <v>1234.0135482317764</v>
      </c>
      <c r="K143" s="228">
        <v>1329.8951388151481</v>
      </c>
      <c r="L143" s="202"/>
      <c r="M143" s="202"/>
      <c r="N143" s="195">
        <f t="shared" si="19"/>
        <v>2817.7342217772825</v>
      </c>
      <c r="O143" s="195">
        <f t="shared" si="21"/>
        <v>3073.0263648771311</v>
      </c>
      <c r="P143" s="195">
        <f t="shared" si="20"/>
        <v>4165.3905689534258</v>
      </c>
      <c r="Q143" s="195">
        <f t="shared" si="22"/>
        <v>10056.151155607839</v>
      </c>
      <c r="R143" s="220">
        <f t="shared" si="23"/>
        <v>0.2802000664246147</v>
      </c>
      <c r="AC143" s="251"/>
    </row>
    <row r="144" spans="1:29" ht="15.6" x14ac:dyDescent="0.3">
      <c r="A144" s="206">
        <v>2021</v>
      </c>
      <c r="B144" s="229">
        <v>12052.646448862241</v>
      </c>
      <c r="C144" s="229">
        <v>3113.7743830455843</v>
      </c>
      <c r="D144" s="229">
        <v>595.96268690959073</v>
      </c>
      <c r="E144" s="229">
        <v>4765.9002322972046</v>
      </c>
      <c r="F144" s="229">
        <v>1258.503962290712</v>
      </c>
      <c r="G144" s="229">
        <v>489.20946448371581</v>
      </c>
      <c r="H144" s="229">
        <v>3120.7597009464457</v>
      </c>
      <c r="I144" s="229">
        <v>1014.0848034797253</v>
      </c>
      <c r="J144" s="229">
        <v>1239.8830830032753</v>
      </c>
      <c r="K144" s="229">
        <v>1341.5898401105972</v>
      </c>
      <c r="L144" s="170"/>
      <c r="M144" s="170"/>
      <c r="N144" s="195">
        <f t="shared" si="19"/>
        <v>2903.6444936414705</v>
      </c>
      <c r="O144" s="195">
        <f t="shared" si="21"/>
        <v>3120.7597009464457</v>
      </c>
      <c r="P144" s="195">
        <f t="shared" si="20"/>
        <v>4198.9465344388909</v>
      </c>
      <c r="Q144" s="195">
        <f t="shared" si="22"/>
        <v>10223.350729026808</v>
      </c>
      <c r="R144" s="221">
        <f t="shared" si="23"/>
        <v>0.28402082356396641</v>
      </c>
      <c r="AC144" s="251"/>
    </row>
    <row r="145" spans="1:29" ht="15.6" x14ac:dyDescent="0.3">
      <c r="A145" s="206">
        <v>2022</v>
      </c>
      <c r="B145" s="229">
        <v>12257.734814283951</v>
      </c>
      <c r="C145" s="229">
        <v>3134.3561488512978</v>
      </c>
      <c r="D145" s="229">
        <v>600.79636268955494</v>
      </c>
      <c r="E145" s="229">
        <v>4866.6724753115623</v>
      </c>
      <c r="F145" s="229">
        <v>1292.7146257571831</v>
      </c>
      <c r="G145" s="229">
        <v>497.12710891437678</v>
      </c>
      <c r="H145" s="229">
        <v>3166.9501364250241</v>
      </c>
      <c r="I145" s="229">
        <v>1051.6324787740957</v>
      </c>
      <c r="J145" s="229">
        <v>1245.4493216179308</v>
      </c>
      <c r="K145" s="229">
        <v>1353.3325212735874</v>
      </c>
      <c r="L145" s="170"/>
      <c r="M145" s="170"/>
      <c r="N145" s="195">
        <f t="shared" si="19"/>
        <v>2992.4369646437212</v>
      </c>
      <c r="O145" s="195">
        <f t="shared" si="21"/>
        <v>3166.9501364250241</v>
      </c>
      <c r="P145" s="195">
        <f t="shared" si="20"/>
        <v>4232.2796204552296</v>
      </c>
      <c r="Q145" s="195">
        <f t="shared" si="22"/>
        <v>10391.666721523976</v>
      </c>
      <c r="R145" s="221">
        <f t="shared" si="23"/>
        <v>0.28796506324106491</v>
      </c>
      <c r="AC145" s="251"/>
    </row>
    <row r="146" spans="1:29" ht="15.6" x14ac:dyDescent="0.3">
      <c r="A146" s="206">
        <v>2023</v>
      </c>
      <c r="B146" s="229">
        <v>12464.622398692152</v>
      </c>
      <c r="C146" s="229">
        <v>3154.7145867797863</v>
      </c>
      <c r="D146" s="229">
        <v>605.59352753747294</v>
      </c>
      <c r="E146" s="229">
        <v>4968.7182311045763</v>
      </c>
      <c r="F146" s="229">
        <v>1327.5638262144921</v>
      </c>
      <c r="G146" s="229">
        <v>505.06193983929626</v>
      </c>
      <c r="H146" s="229">
        <v>3212.2333397100092</v>
      </c>
      <c r="I146" s="229">
        <v>1090.7841327665567</v>
      </c>
      <c r="J146" s="229">
        <v>1250.9108587180312</v>
      </c>
      <c r="K146" s="229">
        <v>1365.0796798916326</v>
      </c>
      <c r="L146" s="170"/>
      <c r="M146" s="170"/>
      <c r="N146" s="195">
        <f t="shared" si="19"/>
        <v>3084.0487176090592</v>
      </c>
      <c r="O146" s="195">
        <f t="shared" si="21"/>
        <v>3212.2333397100092</v>
      </c>
      <c r="P146" s="195">
        <f t="shared" si="20"/>
        <v>4265.3700541565559</v>
      </c>
      <c r="Q146" s="195">
        <f>N146+P146+O146</f>
        <v>10561.652111475625</v>
      </c>
      <c r="R146" s="221">
        <f t="shared" si="23"/>
        <v>0.29200438388404465</v>
      </c>
      <c r="AC146" s="251"/>
    </row>
    <row r="147" spans="1:29" ht="15.6" x14ac:dyDescent="0.3">
      <c r="A147" s="206">
        <v>2024</v>
      </c>
      <c r="B147" s="229">
        <v>12673.393730047939</v>
      </c>
      <c r="C147" s="229">
        <v>3174.8818289614219</v>
      </c>
      <c r="D147" s="229">
        <v>610.35679366372642</v>
      </c>
      <c r="E147" s="229">
        <v>5072.0655957041427</v>
      </c>
      <c r="F147" s="229">
        <v>1363.0735457734686</v>
      </c>
      <c r="G147" s="229">
        <v>513.01290796100182</v>
      </c>
      <c r="H147" s="229">
        <v>3256.6533140918768</v>
      </c>
      <c r="I147" s="229">
        <v>1131.5391293386178</v>
      </c>
      <c r="J147" s="229">
        <v>1256.2748072793991</v>
      </c>
      <c r="K147" s="229">
        <v>1376.8076143210972</v>
      </c>
      <c r="L147" s="170"/>
      <c r="M147" s="170"/>
      <c r="N147" s="195">
        <f t="shared" si="19"/>
        <v>3178.4858273857349</v>
      </c>
      <c r="O147" s="195">
        <f t="shared" si="21"/>
        <v>3256.6533140918768</v>
      </c>
      <c r="P147" s="195">
        <f t="shared" si="20"/>
        <v>4298.2515305861498</v>
      </c>
      <c r="Q147" s="195">
        <f t="shared" si="22"/>
        <v>10733.390672063761</v>
      </c>
      <c r="R147" s="221">
        <f t="shared" si="23"/>
        <v>0.29613063797803535</v>
      </c>
      <c r="AC147" s="251"/>
    </row>
    <row r="148" spans="1:29" ht="15.6" x14ac:dyDescent="0.3">
      <c r="A148" s="206">
        <v>2025</v>
      </c>
      <c r="B148" s="229">
        <v>12884.116676081132</v>
      </c>
      <c r="C148" s="229">
        <v>3194.8810536454739</v>
      </c>
      <c r="D148" s="229">
        <v>615.08905789635878</v>
      </c>
      <c r="E148" s="229">
        <v>5176.7317845530479</v>
      </c>
      <c r="F148" s="229">
        <v>1399.2702005599576</v>
      </c>
      <c r="G148" s="229">
        <v>520.97899737158787</v>
      </c>
      <c r="H148" s="229">
        <v>3300.2474308156402</v>
      </c>
      <c r="I148" s="229">
        <v>1173.8944685670513</v>
      </c>
      <c r="J148" s="229">
        <v>1261.546560702071</v>
      </c>
      <c r="K148" s="229">
        <v>1388.4977974726221</v>
      </c>
      <c r="L148" s="170"/>
      <c r="M148" s="170"/>
      <c r="N148" s="195">
        <f t="shared" si="19"/>
        <v>3275.7545542973653</v>
      </c>
      <c r="O148" s="195">
        <f t="shared" si="21"/>
        <v>3300.2474308156402</v>
      </c>
      <c r="P148" s="195">
        <f t="shared" si="20"/>
        <v>4330.9491089134208</v>
      </c>
      <c r="Q148" s="195">
        <f t="shared" si="22"/>
        <v>10906.951094026426</v>
      </c>
      <c r="R148" s="221">
        <f t="shared" si="23"/>
        <v>0.30033641171192627</v>
      </c>
      <c r="AC148" s="251"/>
    </row>
    <row r="149" spans="1:29" ht="15.6" x14ac:dyDescent="0.3">
      <c r="A149" s="206">
        <v>2026</v>
      </c>
      <c r="B149" s="229">
        <v>13096.804683956288</v>
      </c>
      <c r="C149" s="229">
        <v>3214.7231499314425</v>
      </c>
      <c r="D149" s="229">
        <v>619.79322885066108</v>
      </c>
      <c r="E149" s="229">
        <v>5282.6988621264827</v>
      </c>
      <c r="F149" s="229">
        <v>1436.1880872259542</v>
      </c>
      <c r="G149" s="229">
        <v>528.95852589877586</v>
      </c>
      <c r="H149" s="229">
        <v>3343.0273815300352</v>
      </c>
      <c r="I149" s="229">
        <v>1217.8409996843106</v>
      </c>
      <c r="J149" s="229">
        <v>1266.7235569575073</v>
      </c>
      <c r="K149" s="229">
        <v>1400.1430121567628</v>
      </c>
      <c r="L149" s="170"/>
      <c r="M149" s="170"/>
      <c r="N149" s="195">
        <f t="shared" si="19"/>
        <v>3375.8595678224019</v>
      </c>
      <c r="O149" s="195">
        <f t="shared" si="21"/>
        <v>3343.0273815300352</v>
      </c>
      <c r="P149" s="195">
        <f t="shared" si="20"/>
        <v>4363.4749046808793</v>
      </c>
      <c r="Q149" s="195">
        <f t="shared" si="22"/>
        <v>11082.361854033315</v>
      </c>
      <c r="R149" s="221">
        <f t="shared" si="23"/>
        <v>0.30461553342925646</v>
      </c>
      <c r="AC149" s="251"/>
    </row>
    <row r="150" spans="1:29" ht="15.6" x14ac:dyDescent="0.3">
      <c r="A150" s="206">
        <v>2027</v>
      </c>
      <c r="B150" s="229">
        <v>13311.452494378802</v>
      </c>
      <c r="C150" s="229">
        <v>3234.402997550068</v>
      </c>
      <c r="D150" s="229">
        <v>624.47263712527672</v>
      </c>
      <c r="E150" s="229">
        <v>5389.9351630512028</v>
      </c>
      <c r="F150" s="229">
        <v>1473.8693383144348</v>
      </c>
      <c r="G150" s="229">
        <v>536.95008465583578</v>
      </c>
      <c r="H150" s="229">
        <v>3384.9980751621629</v>
      </c>
      <c r="I150" s="229">
        <v>1263.3649883246628</v>
      </c>
      <c r="J150" s="229">
        <v>1271.8022886745662</v>
      </c>
      <c r="K150" s="229">
        <v>1411.7427217978031</v>
      </c>
      <c r="L150" s="170"/>
      <c r="M150" s="170"/>
      <c r="N150" s="195">
        <f t="shared" si="19"/>
        <v>3478.8064262034745</v>
      </c>
      <c r="O150" s="195">
        <f t="shared" si="21"/>
        <v>3384.9980751621629</v>
      </c>
      <c r="P150" s="195">
        <f t="shared" si="20"/>
        <v>4395.8257193311802</v>
      </c>
      <c r="Q150" s="195">
        <f t="shared" si="22"/>
        <v>11259.630220696818</v>
      </c>
      <c r="R150" s="221">
        <f t="shared" si="23"/>
        <v>0.30896275970137355</v>
      </c>
      <c r="AC150" s="251"/>
    </row>
    <row r="151" spans="1:29" ht="15.6" x14ac:dyDescent="0.3">
      <c r="A151" s="206">
        <v>2028</v>
      </c>
      <c r="B151" s="229">
        <v>13528.091169200494</v>
      </c>
      <c r="C151" s="229">
        <v>3253.9071989655163</v>
      </c>
      <c r="D151" s="229">
        <v>629.13147837210158</v>
      </c>
      <c r="E151" s="229">
        <v>5498.4304017878749</v>
      </c>
      <c r="F151" s="229">
        <v>1512.3578444129539</v>
      </c>
      <c r="G151" s="229">
        <v>544.95341030736972</v>
      </c>
      <c r="H151" s="229">
        <v>3426.1846668326734</v>
      </c>
      <c r="I151" s="229">
        <v>1310.4538059216361</v>
      </c>
      <c r="J151" s="229">
        <v>1276.7868732086799</v>
      </c>
      <c r="K151" s="229">
        <v>1423.2935632090928</v>
      </c>
      <c r="L151" s="170"/>
      <c r="M151" s="170"/>
      <c r="N151" s="195">
        <f t="shared" si="19"/>
        <v>3584.6035793681558</v>
      </c>
      <c r="O151" s="195">
        <f t="shared" si="21"/>
        <v>3426.1846668326734</v>
      </c>
      <c r="P151" s="195">
        <f t="shared" si="20"/>
        <v>4427.9920876449869</v>
      </c>
      <c r="Q151" s="195">
        <f t="shared" si="22"/>
        <v>11438.780333845816</v>
      </c>
      <c r="R151" s="221">
        <f t="shared" si="23"/>
        <v>0.31337288371224287</v>
      </c>
      <c r="AC151" s="251"/>
    </row>
    <row r="152" spans="1:29" ht="15.6" x14ac:dyDescent="0.3">
      <c r="A152" s="206">
        <v>2029</v>
      </c>
      <c r="B152" s="229">
        <v>13746.755205343132</v>
      </c>
      <c r="C152" s="229">
        <v>3273.2135030756754</v>
      </c>
      <c r="D152" s="229">
        <v>633.77447386459085</v>
      </c>
      <c r="E152" s="229">
        <v>5608.1752181966358</v>
      </c>
      <c r="F152" s="229">
        <v>1551.7010415337211</v>
      </c>
      <c r="G152" s="229">
        <v>552.96867193761591</v>
      </c>
      <c r="H152" s="229">
        <v>3466.6158114410896</v>
      </c>
      <c r="I152" s="229">
        <v>1359.0933192308232</v>
      </c>
      <c r="J152" s="229">
        <v>1281.6831671399368</v>
      </c>
      <c r="K152" s="229">
        <v>1434.7942400817919</v>
      </c>
      <c r="L152" s="170"/>
      <c r="M152" s="170"/>
      <c r="N152" s="195">
        <f t="shared" si="19"/>
        <v>3693.2604482892671</v>
      </c>
      <c r="O152" s="195">
        <f t="shared" si="21"/>
        <v>3466.6158114410896</v>
      </c>
      <c r="P152" s="195">
        <f t="shared" si="20"/>
        <v>4459.9566488778819</v>
      </c>
      <c r="Q152" s="195">
        <f t="shared" si="22"/>
        <v>11619.832908608239</v>
      </c>
      <c r="R152" s="221">
        <f t="shared" si="23"/>
        <v>0.31784109783138231</v>
      </c>
      <c r="AC152" s="251"/>
    </row>
    <row r="153" spans="1:29" ht="15.6" x14ac:dyDescent="0.3">
      <c r="A153" s="206">
        <v>2030</v>
      </c>
      <c r="B153" s="229">
        <v>13971.949103856216</v>
      </c>
      <c r="C153" s="229">
        <v>3292.3902655823763</v>
      </c>
      <c r="D153" s="229">
        <v>638.05323800544897</v>
      </c>
      <c r="E153" s="229">
        <v>5721.9181438101732</v>
      </c>
      <c r="F153" s="229">
        <v>1591.3499870353874</v>
      </c>
      <c r="G153" s="229">
        <v>560.9930395911058</v>
      </c>
      <c r="H153" s="229">
        <v>3508.7549098873151</v>
      </c>
      <c r="I153" s="229">
        <v>1408.5664075933269</v>
      </c>
      <c r="J153" s="229">
        <v>1286.8945763955126</v>
      </c>
      <c r="K153" s="229">
        <v>1446.142711985804</v>
      </c>
      <c r="L153" s="170"/>
      <c r="M153" s="170"/>
      <c r="N153" s="195">
        <f t="shared" si="19"/>
        <v>3804.5132209582453</v>
      </c>
      <c r="O153" s="195">
        <f t="shared" si="21"/>
        <v>3508.7549098873151</v>
      </c>
      <c r="P153" s="195">
        <f t="shared" si="20"/>
        <v>4491.4365431789311</v>
      </c>
      <c r="Q153" s="195">
        <f t="shared" si="22"/>
        <v>11804.704674024491</v>
      </c>
      <c r="R153" s="221">
        <f t="shared" si="23"/>
        <v>0.32228787809743659</v>
      </c>
      <c r="AC153" s="251"/>
    </row>
    <row r="154" spans="1:29" ht="15.6" x14ac:dyDescent="0.3">
      <c r="A154" s="206">
        <v>2031</v>
      </c>
      <c r="B154" s="229">
        <v>14190.276015771631</v>
      </c>
      <c r="C154" s="229">
        <v>3311.1741946264387</v>
      </c>
      <c r="D154" s="229">
        <v>643.03207417988017</v>
      </c>
      <c r="E154" s="229">
        <v>5831.3671595207034</v>
      </c>
      <c r="F154" s="229">
        <v>1633.1267138243049</v>
      </c>
      <c r="G154" s="229">
        <v>569.03385707599352</v>
      </c>
      <c r="H154" s="229">
        <v>3545.3074055942816</v>
      </c>
      <c r="I154" s="229">
        <v>1460.9742499585159</v>
      </c>
      <c r="J154" s="229">
        <v>1291.2250137081189</v>
      </c>
      <c r="K154" s="229">
        <v>1457.6393635556342</v>
      </c>
      <c r="L154" s="170"/>
      <c r="M154" s="170"/>
      <c r="N154" s="195">
        <f t="shared" si="19"/>
        <v>3919.1864677507265</v>
      </c>
      <c r="O154" s="195">
        <f t="shared" si="21"/>
        <v>3545.3074055942816</v>
      </c>
      <c r="P154" s="195">
        <f t="shared" si="20"/>
        <v>4523.240125882312</v>
      </c>
      <c r="Q154" s="195">
        <f t="shared" si="22"/>
        <v>11987.733999227319</v>
      </c>
      <c r="R154" s="221">
        <f t="shared" si="23"/>
        <v>0.32693305240200871</v>
      </c>
      <c r="AC154" s="251"/>
    </row>
    <row r="155" spans="1:29" ht="15.6" x14ac:dyDescent="0.3">
      <c r="A155" s="206">
        <v>2032</v>
      </c>
      <c r="B155" s="229">
        <v>14415.175138867564</v>
      </c>
      <c r="C155" s="229">
        <v>3329.824826350592</v>
      </c>
      <c r="D155" s="229">
        <v>647.65604195498531</v>
      </c>
      <c r="E155" s="229">
        <v>5944.7851535228356</v>
      </c>
      <c r="F155" s="229">
        <v>1675.2851059770687</v>
      </c>
      <c r="G155" s="229">
        <v>577.08173274048363</v>
      </c>
      <c r="H155" s="229">
        <v>3583.6007939342385</v>
      </c>
      <c r="I155" s="229">
        <v>1514.1960342712223</v>
      </c>
      <c r="J155" s="229">
        <v>1295.8705218309299</v>
      </c>
      <c r="K155" s="229">
        <v>1468.9789297958969</v>
      </c>
      <c r="L155" s="170"/>
      <c r="M155" s="170"/>
      <c r="N155" s="195">
        <f t="shared" si="19"/>
        <v>4036.4694655656654</v>
      </c>
      <c r="O155" s="195">
        <f t="shared" si="21"/>
        <v>3583.6007939342385</v>
      </c>
      <c r="P155" s="195">
        <f t="shared" si="20"/>
        <v>4554.562601046061</v>
      </c>
      <c r="Q155" s="195">
        <f t="shared" si="22"/>
        <v>12174.632860545964</v>
      </c>
      <c r="R155" s="221">
        <f t="shared" si="23"/>
        <v>0.33154753098523027</v>
      </c>
      <c r="AC155" s="251"/>
    </row>
    <row r="156" spans="1:29" ht="15.6" x14ac:dyDescent="0.3">
      <c r="A156" s="206">
        <v>2033</v>
      </c>
      <c r="B156" s="229">
        <v>14642.201606136683</v>
      </c>
      <c r="C156" s="229">
        <v>3348.2428546481869</v>
      </c>
      <c r="D156" s="229">
        <v>652.28884312375646</v>
      </c>
      <c r="E156" s="229">
        <v>6059.3932557044291</v>
      </c>
      <c r="F156" s="229">
        <v>1718.4652083100966</v>
      </c>
      <c r="G156" s="229">
        <v>585.13767282734159</v>
      </c>
      <c r="H156" s="229">
        <v>3621.2246176543267</v>
      </c>
      <c r="I156" s="229">
        <v>1568.9216086969516</v>
      </c>
      <c r="J156" s="229">
        <v>1300.4293594688843</v>
      </c>
      <c r="K156" s="229">
        <v>1480.2691946853183</v>
      </c>
      <c r="L156" s="170"/>
      <c r="M156" s="170"/>
      <c r="N156" s="195">
        <f t="shared" si="19"/>
        <v>4156.6338463601987</v>
      </c>
      <c r="O156" s="195">
        <f t="shared" si="21"/>
        <v>3621.2246176543267</v>
      </c>
      <c r="P156" s="195">
        <f t="shared" si="20"/>
        <v>4585.6693705992848</v>
      </c>
      <c r="Q156" s="195">
        <f t="shared" si="22"/>
        <v>12363.527834613811</v>
      </c>
      <c r="R156" s="221">
        <f t="shared" si="23"/>
        <v>0.33620127701116109</v>
      </c>
      <c r="AC156" s="251"/>
    </row>
    <row r="157" spans="1:29" ht="15.6" x14ac:dyDescent="0.3">
      <c r="A157" s="206">
        <v>2034</v>
      </c>
      <c r="B157" s="229">
        <v>14871.384547301004</v>
      </c>
      <c r="C157" s="229">
        <v>3366.4134567711903</v>
      </c>
      <c r="D157" s="229">
        <v>656.9426803093645</v>
      </c>
      <c r="E157" s="229">
        <v>6175.1701415813604</v>
      </c>
      <c r="F157" s="229">
        <v>1762.7141210948505</v>
      </c>
      <c r="G157" s="229">
        <v>593.19966544223735</v>
      </c>
      <c r="H157" s="229">
        <v>3658.2077766897974</v>
      </c>
      <c r="I157" s="229">
        <v>1625.1361107900443</v>
      </c>
      <c r="J157" s="229">
        <v>1304.8975740764297</v>
      </c>
      <c r="K157" s="229">
        <v>1491.5196078866352</v>
      </c>
      <c r="L157" s="170"/>
      <c r="M157" s="170"/>
      <c r="N157" s="195">
        <f t="shared" si="19"/>
        <v>4279.6764859864134</v>
      </c>
      <c r="O157" s="195">
        <f t="shared" si="21"/>
        <v>3658.2077766897974</v>
      </c>
      <c r="P157" s="195">
        <f t="shared" si="20"/>
        <v>4616.555802522792</v>
      </c>
      <c r="Q157" s="195">
        <f t="shared" si="22"/>
        <v>12554.440065199004</v>
      </c>
      <c r="R157" s="221">
        <f t="shared" si="23"/>
        <v>0.34088947525821617</v>
      </c>
      <c r="AC157" s="251"/>
    </row>
    <row r="158" spans="1:29" ht="15.6" x14ac:dyDescent="0.3">
      <c r="A158" s="206">
        <v>2035</v>
      </c>
      <c r="B158" s="229">
        <v>15102.749029819483</v>
      </c>
      <c r="C158" s="229">
        <v>3384.32471331139</v>
      </c>
      <c r="D158" s="229">
        <v>661.62795276212796</v>
      </c>
      <c r="E158" s="229">
        <v>6292.0958140206021</v>
      </c>
      <c r="F158" s="229">
        <v>1808.0758957219432</v>
      </c>
      <c r="G158" s="229">
        <v>601.26595342198596</v>
      </c>
      <c r="H158" s="229">
        <v>3694.5740874761059</v>
      </c>
      <c r="I158" s="229">
        <v>1682.8264706538375</v>
      </c>
      <c r="J158" s="229">
        <v>1309.2720863388854</v>
      </c>
      <c r="K158" s="229">
        <v>1502.7371119854874</v>
      </c>
      <c r="L158" s="170"/>
      <c r="M158" s="170"/>
      <c r="N158" s="195">
        <f t="shared" si="19"/>
        <v>4405.5976222664394</v>
      </c>
      <c r="O158" s="195">
        <f t="shared" si="21"/>
        <v>3694.5740874761059</v>
      </c>
      <c r="P158" s="195">
        <f t="shared" si="20"/>
        <v>4647.2186194955038</v>
      </c>
      <c r="Q158" s="195">
        <f t="shared" si="22"/>
        <v>12747.390329238049</v>
      </c>
      <c r="R158" s="221">
        <f t="shared" si="23"/>
        <v>0.34560780743973463</v>
      </c>
      <c r="AC158" s="251"/>
    </row>
    <row r="159" spans="1:29" ht="15.6" x14ac:dyDescent="0.3">
      <c r="A159" s="206">
        <v>2036</v>
      </c>
      <c r="B159" s="229">
        <v>15336.312137177225</v>
      </c>
      <c r="C159" s="229">
        <v>3401.9690544857372</v>
      </c>
      <c r="D159" s="229">
        <v>666.35030685687218</v>
      </c>
      <c r="E159" s="229">
        <v>6410.1501939327354</v>
      </c>
      <c r="F159" s="229">
        <v>1854.591021614043</v>
      </c>
      <c r="G159" s="229">
        <v>609.33532681133374</v>
      </c>
      <c r="H159" s="229">
        <v>3730.3404627702657</v>
      </c>
      <c r="I159" s="229">
        <v>1741.9806195866427</v>
      </c>
      <c r="J159" s="229">
        <v>1313.5517239288433</v>
      </c>
      <c r="K159" s="229">
        <v>1513.9251908991339</v>
      </c>
      <c r="L159" s="170"/>
      <c r="M159" s="170"/>
      <c r="N159" s="195">
        <f t="shared" si="19"/>
        <v>4534.4007527765134</v>
      </c>
      <c r="O159" s="195">
        <f t="shared" si="21"/>
        <v>3730.3404627702657</v>
      </c>
      <c r="P159" s="195">
        <f t="shared" si="20"/>
        <v>4677.6546881539434</v>
      </c>
      <c r="Q159" s="195">
        <f t="shared" si="22"/>
        <v>12942.395903700723</v>
      </c>
      <c r="R159" s="221">
        <f t="shared" si="23"/>
        <v>0.35035249937609741</v>
      </c>
      <c r="AC159" s="251"/>
    </row>
    <row r="160" spans="1:29" ht="15.6" x14ac:dyDescent="0.3">
      <c r="A160" s="206">
        <v>2037</v>
      </c>
      <c r="B160" s="229">
        <v>15572.086887736801</v>
      </c>
      <c r="C160" s="229">
        <v>3419.3440835606998</v>
      </c>
      <c r="D160" s="229">
        <v>671.11349048866464</v>
      </c>
      <c r="E160" s="229">
        <v>6529.3175867817272</v>
      </c>
      <c r="F160" s="229">
        <v>1902.2945068606014</v>
      </c>
      <c r="G160" s="229">
        <v>617.40703246945714</v>
      </c>
      <c r="H160" s="229">
        <v>3765.5151567707167</v>
      </c>
      <c r="I160" s="229">
        <v>1802.5908673054209</v>
      </c>
      <c r="J160" s="229">
        <v>1317.7369309301287</v>
      </c>
      <c r="K160" s="229">
        <v>1525.0823114633051</v>
      </c>
      <c r="L160" s="170"/>
      <c r="M160" s="170"/>
      <c r="N160" s="195">
        <f t="shared" si="19"/>
        <v>4666.0969368716123</v>
      </c>
      <c r="O160" s="195">
        <f t="shared" si="21"/>
        <v>3765.5151567707167</v>
      </c>
      <c r="P160" s="195">
        <f t="shared" si="20"/>
        <v>4707.8646065188223</v>
      </c>
      <c r="Q160" s="195">
        <f t="shared" si="22"/>
        <v>13139.476700161151</v>
      </c>
      <c r="R160" s="221">
        <f t="shared" si="23"/>
        <v>0.35512045444050178</v>
      </c>
      <c r="AC160" s="251"/>
    </row>
    <row r="161" spans="1:29" ht="15.6" x14ac:dyDescent="0.3">
      <c r="A161" s="206">
        <v>2038</v>
      </c>
      <c r="B161" s="229">
        <v>15810.087960544573</v>
      </c>
      <c r="C161" s="229">
        <v>3436.4498556340841</v>
      </c>
      <c r="D161" s="229">
        <v>675.92356566433727</v>
      </c>
      <c r="E161" s="229">
        <v>6649.5873146595623</v>
      </c>
      <c r="F161" s="229">
        <v>1951.217749423229</v>
      </c>
      <c r="G161" s="229">
        <v>625.48035446852475</v>
      </c>
      <c r="H161" s="229">
        <v>3800.1015787362439</v>
      </c>
      <c r="I161" s="229">
        <v>1864.6541863667289</v>
      </c>
      <c r="J161" s="229">
        <v>1321.8279977745669</v>
      </c>
      <c r="K161" s="229">
        <v>1536.2045549602567</v>
      </c>
      <c r="L161" s="170"/>
      <c r="M161" s="170"/>
      <c r="N161" s="195">
        <f t="shared" si="19"/>
        <v>4800.7034853465475</v>
      </c>
      <c r="O161" s="195">
        <f t="shared" si="21"/>
        <v>3800.1015787362439</v>
      </c>
      <c r="P161" s="195">
        <f t="shared" si="20"/>
        <v>4737.8537757669465</v>
      </c>
      <c r="Q161" s="195">
        <f t="shared" si="22"/>
        <v>13338.658839849737</v>
      </c>
      <c r="R161" s="221">
        <f t="shared" si="23"/>
        <v>0.35990900906800827</v>
      </c>
      <c r="AC161" s="251"/>
    </row>
    <row r="162" spans="1:29" ht="15.6" x14ac:dyDescent="0.3">
      <c r="A162" s="206">
        <v>2039</v>
      </c>
      <c r="B162" s="229">
        <v>16050.32815840179</v>
      </c>
      <c r="C162" s="229">
        <v>3453.2891925476511</v>
      </c>
      <c r="D162" s="229">
        <v>680.78638065749419</v>
      </c>
      <c r="E162" s="229">
        <v>6770.9514388401258</v>
      </c>
      <c r="F162" s="229">
        <v>2001.3890212500787</v>
      </c>
      <c r="G162" s="229">
        <v>633.55475115558409</v>
      </c>
      <c r="H162" s="229">
        <v>3834.0979002124523</v>
      </c>
      <c r="I162" s="229">
        <v>1928.1706955810851</v>
      </c>
      <c r="J162" s="229">
        <v>1325.8257840477695</v>
      </c>
      <c r="K162" s="229">
        <v>1547.2856650835415</v>
      </c>
      <c r="L162" s="170"/>
      <c r="M162" s="170"/>
      <c r="N162" s="195">
        <f t="shared" si="19"/>
        <v>4938.2425598777527</v>
      </c>
      <c r="O162" s="195">
        <f t="shared" si="21"/>
        <v>3834.0979002124523</v>
      </c>
      <c r="P162" s="195">
        <f t="shared" si="20"/>
        <v>4767.6303243607299</v>
      </c>
      <c r="Q162" s="195">
        <f t="shared" si="22"/>
        <v>13539.970784450936</v>
      </c>
      <c r="R162" s="221">
        <f t="shared" si="23"/>
        <v>0.36471589477495353</v>
      </c>
      <c r="AC162" s="251"/>
    </row>
    <row r="163" spans="1:29" ht="15.6" x14ac:dyDescent="0.3">
      <c r="A163" s="206">
        <v>2040</v>
      </c>
      <c r="B163" s="229">
        <v>16286.295058841253</v>
      </c>
      <c r="C163" s="229">
        <v>3469.8626585698557</v>
      </c>
      <c r="D163" s="229">
        <v>686.23699906113927</v>
      </c>
      <c r="E163" s="229">
        <v>6889.2583016495464</v>
      </c>
      <c r="F163" s="229">
        <v>2053.730236895829</v>
      </c>
      <c r="G163" s="229">
        <v>641.63360827958763</v>
      </c>
      <c r="H163" s="229">
        <v>3863.8475036532441</v>
      </c>
      <c r="I163" s="229">
        <v>1994.1939398847849</v>
      </c>
      <c r="J163" s="229">
        <v>1329.7119059009494</v>
      </c>
      <c r="K163" s="229">
        <v>1558.4740097507215</v>
      </c>
      <c r="L163" s="170"/>
      <c r="M163" s="170"/>
      <c r="N163" s="195">
        <f t="shared" si="19"/>
        <v>5079.1410348921308</v>
      </c>
      <c r="O163" s="195">
        <f t="shared" si="21"/>
        <v>3863.8475036532441</v>
      </c>
      <c r="P163" s="195">
        <f t="shared" si="20"/>
        <v>4797.7332659105832</v>
      </c>
      <c r="Q163" s="195">
        <f t="shared" si="22"/>
        <v>13740.721804455958</v>
      </c>
      <c r="R163" s="221">
        <f t="shared" si="23"/>
        <v>0.36964150116517341</v>
      </c>
      <c r="AC163" s="251"/>
    </row>
    <row r="164" spans="1:29" ht="15.6" x14ac:dyDescent="0.3">
      <c r="A164" s="206">
        <v>2041</v>
      </c>
      <c r="B164" s="229">
        <v>16537.563956506514</v>
      </c>
      <c r="C164" s="229">
        <v>3486.1734847954349</v>
      </c>
      <c r="D164" s="229">
        <v>690.68833202153235</v>
      </c>
      <c r="E164" s="229">
        <v>7016.9088614534667</v>
      </c>
      <c r="F164" s="229">
        <v>2105.6006410481805</v>
      </c>
      <c r="G164" s="229">
        <v>649.70382736860643</v>
      </c>
      <c r="H164" s="229">
        <v>3900.3177647315424</v>
      </c>
      <c r="I164" s="229">
        <v>2059.5513187594211</v>
      </c>
      <c r="J164" s="229">
        <v>1333.5432010100542</v>
      </c>
      <c r="K164" s="229">
        <v>1569.3133653333136</v>
      </c>
      <c r="L164" s="170"/>
      <c r="M164" s="170"/>
      <c r="N164" s="195">
        <f t="shared" si="19"/>
        <v>5222.1917377701047</v>
      </c>
      <c r="O164" s="195">
        <f t="shared" si="21"/>
        <v>3900.3177647315424</v>
      </c>
      <c r="P164" s="195">
        <f t="shared" si="20"/>
        <v>4826.5656441855735</v>
      </c>
      <c r="Q164" s="195">
        <f>N164+P164+O164</f>
        <v>13949.075146687221</v>
      </c>
      <c r="R164" s="221">
        <f>N164/Q164</f>
        <v>0.37437548244984026</v>
      </c>
      <c r="AC164" s="251"/>
    </row>
    <row r="165" spans="1:29" ht="15.6" x14ac:dyDescent="0.3">
      <c r="A165" s="206">
        <v>2042</v>
      </c>
      <c r="B165" s="229">
        <v>16784.571630574461</v>
      </c>
      <c r="C165" s="229">
        <v>3502.215212343368</v>
      </c>
      <c r="D165" s="229">
        <v>695.7334016258709</v>
      </c>
      <c r="E165" s="229">
        <v>7141.4589945789521</v>
      </c>
      <c r="F165" s="229">
        <v>2159.7129926494817</v>
      </c>
      <c r="G165" s="229">
        <v>657.77636065947274</v>
      </c>
      <c r="H165" s="229">
        <v>3932.5463489670519</v>
      </c>
      <c r="I165" s="229">
        <v>2127.3991687501648</v>
      </c>
      <c r="J165" s="229">
        <v>1337.262435549145</v>
      </c>
      <c r="K165" s="229">
        <v>1580.2645720177329</v>
      </c>
      <c r="L165" s="170"/>
      <c r="M165" s="170"/>
      <c r="N165" s="195">
        <f t="shared" si="19"/>
        <v>5368.6256382613819</v>
      </c>
      <c r="O165" s="195">
        <f t="shared" si="21"/>
        <v>3932.5463489670519</v>
      </c>
      <c r="P165" s="195">
        <f t="shared" si="20"/>
        <v>4855.7249746287116</v>
      </c>
      <c r="Q165" s="195">
        <f t="shared" si="22"/>
        <v>14156.896961857146</v>
      </c>
      <c r="R165" s="221">
        <f t="shared" si="23"/>
        <v>0.3792233321133891</v>
      </c>
      <c r="AC165" s="251"/>
    </row>
    <row r="166" spans="1:29" ht="15.6" x14ac:dyDescent="0.3">
      <c r="A166" s="206">
        <v>2043</v>
      </c>
      <c r="B166" s="229">
        <v>17033.832131797768</v>
      </c>
      <c r="C166" s="229">
        <v>3517.98485782631</v>
      </c>
      <c r="D166" s="229">
        <v>700.84168508846506</v>
      </c>
      <c r="E166" s="229">
        <v>7267.0188106202886</v>
      </c>
      <c r="F166" s="229">
        <v>2215.2084297727633</v>
      </c>
      <c r="G166" s="229">
        <v>665.84655139807239</v>
      </c>
      <c r="H166" s="229">
        <v>3964.1929939905194</v>
      </c>
      <c r="I166" s="229">
        <v>2196.6715744658463</v>
      </c>
      <c r="J166" s="229">
        <v>1340.8856363958328</v>
      </c>
      <c r="K166" s="229">
        <v>1591.181322142033</v>
      </c>
      <c r="L166" s="170"/>
      <c r="M166" s="170"/>
      <c r="N166" s="195">
        <f t="shared" si="19"/>
        <v>5518.0342464025316</v>
      </c>
      <c r="O166" s="195">
        <f t="shared" si="21"/>
        <v>3964.1929939905194</v>
      </c>
      <c r="P166" s="195">
        <f t="shared" si="20"/>
        <v>4884.6730943128478</v>
      </c>
      <c r="Q166" s="195">
        <f t="shared" si="22"/>
        <v>14366.900334705901</v>
      </c>
      <c r="R166" s="221">
        <f t="shared" si="23"/>
        <v>0.38407966352162276</v>
      </c>
      <c r="AC166" s="251"/>
    </row>
    <row r="167" spans="1:29" ht="15.6" x14ac:dyDescent="0.3">
      <c r="A167" s="206">
        <v>2044</v>
      </c>
      <c r="B167" s="229">
        <v>17285.331641122102</v>
      </c>
      <c r="C167" s="229">
        <v>3533.4772510364774</v>
      </c>
      <c r="D167" s="229">
        <v>706.01148442904639</v>
      </c>
      <c r="E167" s="229">
        <v>7393.5543594889314</v>
      </c>
      <c r="F167" s="229">
        <v>2272.1197629139888</v>
      </c>
      <c r="G167" s="229">
        <v>673.91388756924391</v>
      </c>
      <c r="H167" s="229">
        <v>3995.2623647991109</v>
      </c>
      <c r="I167" s="229">
        <v>2267.3564249932724</v>
      </c>
      <c r="J167" s="229">
        <v>1344.4091197296821</v>
      </c>
      <c r="K167" s="229">
        <v>1602.0714145394768</v>
      </c>
      <c r="L167" s="170"/>
      <c r="M167" s="170"/>
      <c r="N167" s="195">
        <f t="shared" si="19"/>
        <v>5670.4117576038097</v>
      </c>
      <c r="O167" s="195">
        <f t="shared" si="21"/>
        <v>3995.2623647991109</v>
      </c>
      <c r="P167" s="195">
        <f t="shared" si="20"/>
        <v>4913.4026230347681</v>
      </c>
      <c r="Q167" s="195">
        <f t="shared" si="22"/>
        <v>14579.076745437689</v>
      </c>
      <c r="R167" s="221">
        <f t="shared" si="23"/>
        <v>0.38894175924948626</v>
      </c>
      <c r="AC167" s="251"/>
    </row>
    <row r="168" spans="1:29" ht="15.6" x14ac:dyDescent="0.3">
      <c r="A168" s="206">
        <v>2045</v>
      </c>
      <c r="B168" s="229">
        <v>17539.058347858976</v>
      </c>
      <c r="C168" s="229">
        <v>3548.6895573249481</v>
      </c>
      <c r="D168" s="229">
        <v>711.24130166583086</v>
      </c>
      <c r="E168" s="229">
        <v>7521.0328049955569</v>
      </c>
      <c r="F168" s="229">
        <v>2330.4805599426577</v>
      </c>
      <c r="G168" s="229">
        <v>681.97763991706563</v>
      </c>
      <c r="H168" s="229">
        <v>4025.7546547582124</v>
      </c>
      <c r="I168" s="229">
        <v>2339.442569355775</v>
      </c>
      <c r="J168" s="229">
        <v>1347.8306213931451</v>
      </c>
      <c r="K168" s="229">
        <v>1612.9414618030355</v>
      </c>
      <c r="L168" s="170"/>
      <c r="M168" s="170"/>
      <c r="N168" s="195">
        <f t="shared" si="19"/>
        <v>5825.7587101800027</v>
      </c>
      <c r="O168" s="195">
        <f t="shared" si="21"/>
        <v>4025.7546547582124</v>
      </c>
      <c r="P168" s="195">
        <f t="shared" si="20"/>
        <v>4941.9084989078447</v>
      </c>
      <c r="Q168" s="195">
        <f t="shared" si="22"/>
        <v>14793.421863846059</v>
      </c>
      <c r="R168" s="221">
        <f t="shared" si="23"/>
        <v>0.39380738032068779</v>
      </c>
      <c r="AC168" s="251"/>
    </row>
    <row r="169" spans="1:29" ht="15.6" x14ac:dyDescent="0.3">
      <c r="A169" s="206">
        <v>2046</v>
      </c>
      <c r="B169" s="229">
        <v>17795.010287235702</v>
      </c>
      <c r="C169" s="229">
        <v>3563.6197408812218</v>
      </c>
      <c r="D169" s="229">
        <v>716.53212193694617</v>
      </c>
      <c r="E169" s="229">
        <v>7649.4271838729892</v>
      </c>
      <c r="F169" s="229">
        <v>2390.3254636310203</v>
      </c>
      <c r="G169" s="229">
        <v>690.0368662671624</v>
      </c>
      <c r="H169" s="229">
        <v>4055.6679626013029</v>
      </c>
      <c r="I169" s="229">
        <v>2412.9200403122718</v>
      </c>
      <c r="J169" s="229">
        <v>1351.1498963043268</v>
      </c>
      <c r="K169" s="229">
        <v>1623.7950947346098</v>
      </c>
      <c r="L169" s="170"/>
      <c r="M169" s="170"/>
      <c r="N169" s="195">
        <f t="shared" si="19"/>
        <v>5984.0846849027075</v>
      </c>
      <c r="O169" s="195">
        <f t="shared" si="21"/>
        <v>4055.6679626013029</v>
      </c>
      <c r="P169" s="195">
        <f t="shared" si="20"/>
        <v>4970.1887290853301</v>
      </c>
      <c r="Q169" s="195">
        <f t="shared" si="22"/>
        <v>15009.941376589341</v>
      </c>
      <c r="R169" s="221">
        <f t="shared" si="23"/>
        <v>0.39867475393581125</v>
      </c>
      <c r="AC169" s="251"/>
    </row>
    <row r="170" spans="1:29" ht="15.6" x14ac:dyDescent="0.3">
      <c r="A170" s="206">
        <v>2047</v>
      </c>
      <c r="B170" s="229">
        <v>18053.186480389701</v>
      </c>
      <c r="C170" s="229">
        <v>3578.271571971668</v>
      </c>
      <c r="D170" s="229">
        <v>721.88421565017006</v>
      </c>
      <c r="E170" s="229">
        <v>7778.7114446075011</v>
      </c>
      <c r="F170" s="229">
        <v>2451.6903365331168</v>
      </c>
      <c r="G170" s="229">
        <v>698.09024078018592</v>
      </c>
      <c r="H170" s="229">
        <v>4084.9906951052549</v>
      </c>
      <c r="I170" s="229">
        <v>2487.7814698747698</v>
      </c>
      <c r="J170" s="229">
        <v>1354.3689610647805</v>
      </c>
      <c r="K170" s="229">
        <v>1634.6343487792406</v>
      </c>
      <c r="L170" s="170"/>
      <c r="M170" s="170"/>
      <c r="N170" s="195">
        <f t="shared" si="19"/>
        <v>6145.411086035363</v>
      </c>
      <c r="O170" s="195">
        <f t="shared" si="21"/>
        <v>4084.9906951052549</v>
      </c>
      <c r="P170" s="195">
        <f t="shared" si="20"/>
        <v>4998.2460284020235</v>
      </c>
      <c r="Q170" s="195">
        <f t="shared" si="22"/>
        <v>15228.647809542641</v>
      </c>
      <c r="R170" s="221">
        <f t="shared" si="23"/>
        <v>0.4035427940085724</v>
      </c>
      <c r="AC170" s="251"/>
    </row>
    <row r="171" spans="1:29" ht="15.6" x14ac:dyDescent="0.3">
      <c r="A171" s="206">
        <v>2048</v>
      </c>
      <c r="B171" s="229">
        <v>18313.576325443002</v>
      </c>
      <c r="C171" s="229">
        <v>3592.6553460603618</v>
      </c>
      <c r="D171" s="229">
        <v>727.29404745928343</v>
      </c>
      <c r="E171" s="229">
        <v>7908.8535864744645</v>
      </c>
      <c r="F171" s="229">
        <v>2514.611646938783</v>
      </c>
      <c r="G171" s="229">
        <v>706.13614891588725</v>
      </c>
      <c r="H171" s="229">
        <v>4113.6999846775579</v>
      </c>
      <c r="I171" s="229">
        <v>2564.0212235039394</v>
      </c>
      <c r="J171" s="229">
        <v>1357.4906848676628</v>
      </c>
      <c r="K171" s="229">
        <v>1645.4625272497351</v>
      </c>
      <c r="L171" s="170"/>
      <c r="M171" s="170"/>
      <c r="N171" s="195">
        <f t="shared" si="19"/>
        <v>6309.76524873569</v>
      </c>
      <c r="O171" s="195">
        <f t="shared" si="21"/>
        <v>4113.6999846775579</v>
      </c>
      <c r="P171" s="195">
        <f t="shared" si="20"/>
        <v>5026.0855424355323</v>
      </c>
      <c r="Q171" s="195">
        <f t="shared" si="22"/>
        <v>15449.55077584878</v>
      </c>
      <c r="R171" s="221">
        <f t="shared" si="23"/>
        <v>0.40841092018023667</v>
      </c>
      <c r="AC171" s="251"/>
    </row>
    <row r="172" spans="1:29" ht="15.6" x14ac:dyDescent="0.3">
      <c r="A172" s="206">
        <v>2049</v>
      </c>
      <c r="B172" s="229">
        <v>18576.16701763056</v>
      </c>
      <c r="C172" s="229">
        <v>3606.7854724921699</v>
      </c>
      <c r="D172" s="229">
        <v>732.75664872457821</v>
      </c>
      <c r="E172" s="229">
        <v>8039.8198448558023</v>
      </c>
      <c r="F172" s="229">
        <v>2579.1265431173006</v>
      </c>
      <c r="G172" s="229">
        <v>714.17271201281596</v>
      </c>
      <c r="H172" s="229">
        <v>4141.7654585680202</v>
      </c>
      <c r="I172" s="229">
        <v>2641.6350631433779</v>
      </c>
      <c r="J172" s="229">
        <v>1360.519194625874</v>
      </c>
      <c r="K172" s="229">
        <v>1656.2827381164159</v>
      </c>
      <c r="L172" s="170"/>
      <c r="M172" s="170"/>
      <c r="N172" s="195">
        <f t="shared" si="19"/>
        <v>6477.1809294050827</v>
      </c>
      <c r="O172" s="195">
        <f t="shared" si="21"/>
        <v>4141.7654585680202</v>
      </c>
      <c r="P172" s="195">
        <f t="shared" si="20"/>
        <v>5053.7148332295646</v>
      </c>
      <c r="Q172" s="195">
        <f t="shared" si="22"/>
        <v>15672.661221202667</v>
      </c>
      <c r="R172" s="221">
        <f t="shared" si="23"/>
        <v>0.41327894720537101</v>
      </c>
      <c r="AC172" s="251"/>
    </row>
    <row r="173" spans="1:29" ht="16.2" thickBot="1" x14ac:dyDescent="0.35">
      <c r="A173" s="208">
        <v>2050</v>
      </c>
      <c r="B173" s="231">
        <v>18845.171043193688</v>
      </c>
      <c r="C173" s="231">
        <v>3620.5880267991215</v>
      </c>
      <c r="D173" s="231">
        <v>737.91448727042882</v>
      </c>
      <c r="E173" s="231">
        <v>8174.3363645415175</v>
      </c>
      <c r="F173" s="231">
        <v>2644.6773605070512</v>
      </c>
      <c r="G173" s="231">
        <v>722.1954336385146</v>
      </c>
      <c r="H173" s="231">
        <v>4171.5969046050905</v>
      </c>
      <c r="I173" s="231">
        <v>2719.9134562579338</v>
      </c>
      <c r="J173" s="231">
        <v>1363.0841768187715</v>
      </c>
      <c r="K173" s="231">
        <v>1666.9968811511571</v>
      </c>
      <c r="L173" s="209"/>
      <c r="M173" s="209"/>
      <c r="N173" s="195">
        <f t="shared" si="19"/>
        <v>6647.4168204434773</v>
      </c>
      <c r="O173" s="195">
        <f t="shared" si="21"/>
        <v>4171.5969046050905</v>
      </c>
      <c r="P173" s="195">
        <f t="shared" si="20"/>
        <v>5080.6979477080649</v>
      </c>
      <c r="Q173" s="195">
        <f t="shared" si="22"/>
        <v>15899.711672756634</v>
      </c>
      <c r="R173" s="222">
        <f t="shared" si="23"/>
        <v>0.41808411103664828</v>
      </c>
      <c r="AC173" s="251"/>
    </row>
    <row r="174" spans="1:29" ht="15.6" x14ac:dyDescent="0.3">
      <c r="A174" s="213">
        <v>2051</v>
      </c>
      <c r="B174" s="227">
        <v>19107.925107193845</v>
      </c>
      <c r="C174" s="227">
        <v>3634.3227628957184</v>
      </c>
      <c r="D174" s="227">
        <v>743.82730911910801</v>
      </c>
      <c r="E174" s="227">
        <v>8304.0993656387182</v>
      </c>
      <c r="F174" s="227">
        <v>2713.0847234972152</v>
      </c>
      <c r="G174" s="227">
        <v>730.21087194023153</v>
      </c>
      <c r="H174" s="227">
        <v>4195.8798413794093</v>
      </c>
      <c r="I174" s="227">
        <v>2800.9596602196229</v>
      </c>
      <c r="J174" s="227">
        <v>1366.3107336746339</v>
      </c>
      <c r="K174" s="227">
        <v>1677.9109459529291</v>
      </c>
      <c r="N174" s="195">
        <f t="shared" si="19"/>
        <v>6821.3042477565241</v>
      </c>
      <c r="O174" s="195">
        <f t="shared" si="21"/>
        <v>4195.8798413794093</v>
      </c>
      <c r="P174" s="195">
        <f t="shared" si="20"/>
        <v>5108.3609439550573</v>
      </c>
      <c r="Q174" s="195">
        <f t="shared" si="22"/>
        <v>16125.545033090992</v>
      </c>
      <c r="R174" s="214">
        <f t="shared" si="23"/>
        <v>0.4230123219871717</v>
      </c>
      <c r="AC174" s="251"/>
    </row>
    <row r="175" spans="1:29" ht="15.6" x14ac:dyDescent="0.3">
      <c r="A175" s="194">
        <v>2052</v>
      </c>
      <c r="B175" s="229">
        <v>19377.098090773063</v>
      </c>
      <c r="C175" s="229">
        <v>3647.7338413065622</v>
      </c>
      <c r="D175" s="229">
        <v>749.43452003275229</v>
      </c>
      <c r="E175" s="229">
        <v>8437.3583638727887</v>
      </c>
      <c r="F175" s="229">
        <v>2782.6007932415596</v>
      </c>
      <c r="G175" s="229">
        <v>738.2096128184952</v>
      </c>
      <c r="H175" s="229">
        <v>4221.9161698135413</v>
      </c>
      <c r="I175" s="229">
        <v>2882.6514143984027</v>
      </c>
      <c r="J175" s="229">
        <v>1369.0784668116057</v>
      </c>
      <c r="K175" s="229">
        <v>1688.7241613187853</v>
      </c>
      <c r="N175" s="195">
        <f t="shared" si="19"/>
        <v>6998.042987300807</v>
      </c>
      <c r="O175" s="195">
        <f t="shared" si="21"/>
        <v>4221.9161698135413</v>
      </c>
      <c r="P175" s="195">
        <f t="shared" si="20"/>
        <v>5135.3779741578091</v>
      </c>
      <c r="Q175" s="195">
        <f t="shared" si="22"/>
        <v>16355.337131272157</v>
      </c>
      <c r="R175" s="196">
        <f t="shared" si="23"/>
        <v>0.42787519029003851</v>
      </c>
      <c r="AC175" s="251"/>
    </row>
    <row r="176" spans="1:29" ht="15.6" x14ac:dyDescent="0.3">
      <c r="A176" s="194">
        <v>2053</v>
      </c>
      <c r="B176" s="229">
        <v>19648.445236051204</v>
      </c>
      <c r="C176" s="229">
        <v>3660.9068997338418</v>
      </c>
      <c r="D176" s="229">
        <v>755.08806962539734</v>
      </c>
      <c r="E176" s="229">
        <v>8571.3087888530099</v>
      </c>
      <c r="F176" s="229">
        <v>2853.8563400250032</v>
      </c>
      <c r="G176" s="229">
        <v>746.19265027467941</v>
      </c>
      <c r="H176" s="229">
        <v>4247.2292877852415</v>
      </c>
      <c r="I176" s="229">
        <v>2965.6783119097508</v>
      </c>
      <c r="J176" s="229">
        <v>1371.7645446404545</v>
      </c>
      <c r="K176" s="229">
        <v>1699.5449070255122</v>
      </c>
      <c r="N176" s="195">
        <f t="shared" si="19"/>
        <v>7177.9358410927707</v>
      </c>
      <c r="O176" s="195">
        <f t="shared" si="21"/>
        <v>4247.2292877852415</v>
      </c>
      <c r="P176" s="195">
        <f t="shared" si="20"/>
        <v>5162.1876196339181</v>
      </c>
      <c r="Q176" s="195">
        <f t="shared" si="22"/>
        <v>16587.35274851193</v>
      </c>
      <c r="R176" s="196">
        <f t="shared" si="23"/>
        <v>0.43273546719121359</v>
      </c>
      <c r="AC176" s="251"/>
    </row>
    <row r="177" spans="1:29" ht="15.6" x14ac:dyDescent="0.3">
      <c r="A177" s="194">
        <v>2054</v>
      </c>
      <c r="B177" s="229">
        <v>19921.938210866912</v>
      </c>
      <c r="C177" s="229">
        <v>3673.840762049063</v>
      </c>
      <c r="D177" s="229">
        <v>760.7863521383199</v>
      </c>
      <c r="E177" s="229">
        <v>8705.9002270767123</v>
      </c>
      <c r="F177" s="229">
        <v>2926.8873734076806</v>
      </c>
      <c r="G177" s="229">
        <v>754.15822780953761</v>
      </c>
      <c r="H177" s="229">
        <v>4271.7702349238562</v>
      </c>
      <c r="I177" s="229">
        <v>3050.0240090914285</v>
      </c>
      <c r="J177" s="229">
        <v>1374.3721096013367</v>
      </c>
      <c r="K177" s="229">
        <v>1710.3814804508143</v>
      </c>
      <c r="N177" s="195">
        <f t="shared" si="19"/>
        <v>7361.0173655605367</v>
      </c>
      <c r="O177" s="195">
        <f t="shared" si="21"/>
        <v>4271.7702349238562</v>
      </c>
      <c r="P177" s="195">
        <f t="shared" si="20"/>
        <v>5188.7853419969206</v>
      </c>
      <c r="Q177" s="195">
        <f t="shared" si="22"/>
        <v>16821.572942481314</v>
      </c>
      <c r="R177" s="196">
        <f t="shared" si="23"/>
        <v>0.43759387964076613</v>
      </c>
      <c r="AC177" s="251"/>
    </row>
    <row r="178" spans="1:29" ht="15.6" x14ac:dyDescent="0.3">
      <c r="A178" s="194">
        <v>2055</v>
      </c>
      <c r="B178" s="229">
        <v>20197.562485094975</v>
      </c>
      <c r="C178" s="229">
        <v>3686.534507048988</v>
      </c>
      <c r="D178" s="229">
        <v>766.52844282405363</v>
      </c>
      <c r="E178" s="229">
        <v>8841.0906461803097</v>
      </c>
      <c r="F178" s="229">
        <v>3001.7304363903977</v>
      </c>
      <c r="G178" s="229">
        <v>762.10462688039161</v>
      </c>
      <c r="H178" s="229">
        <v>4295.5057750260403</v>
      </c>
      <c r="I178" s="229">
        <v>3135.6734849752193</v>
      </c>
      <c r="J178" s="229">
        <v>1376.9044827105918</v>
      </c>
      <c r="K178" s="229">
        <v>1721.2397733450041</v>
      </c>
      <c r="N178" s="195">
        <f t="shared" si="19"/>
        <v>7547.3153075446662</v>
      </c>
      <c r="O178" s="195">
        <f t="shared" si="21"/>
        <v>4295.5057750260403</v>
      </c>
      <c r="P178" s="195">
        <f t="shared" si="20"/>
        <v>5215.1675767534325</v>
      </c>
      <c r="Q178" s="195">
        <f t="shared" si="22"/>
        <v>17057.988659324139</v>
      </c>
      <c r="R178" s="196">
        <f t="shared" si="23"/>
        <v>0.44245048219206057</v>
      </c>
      <c r="AC178" s="251"/>
    </row>
    <row r="179" spans="1:29" ht="15.6" x14ac:dyDescent="0.3">
      <c r="A179" s="194">
        <v>2056</v>
      </c>
      <c r="B179" s="229">
        <v>20475.321099463305</v>
      </c>
      <c r="C179" s="229">
        <v>3698.9901611117648</v>
      </c>
      <c r="D179" s="229">
        <v>772.31471680839115</v>
      </c>
      <c r="E179" s="229">
        <v>8976.8500865281712</v>
      </c>
      <c r="F179" s="229">
        <v>3078.4227977570822</v>
      </c>
      <c r="G179" s="229">
        <v>770.03029779079475</v>
      </c>
      <c r="H179" s="229">
        <v>4318.4221433297134</v>
      </c>
      <c r="I179" s="229">
        <v>3222.6160374287101</v>
      </c>
      <c r="J179" s="229">
        <v>1379.3653413249217</v>
      </c>
      <c r="K179" s="229">
        <v>1732.1221651901219</v>
      </c>
      <c r="N179" s="195">
        <f t="shared" si="19"/>
        <v>7736.8507409555405</v>
      </c>
      <c r="O179" s="195">
        <f t="shared" si="21"/>
        <v>4318.4221433297134</v>
      </c>
      <c r="P179" s="195">
        <f t="shared" si="20"/>
        <v>5241.3351757109513</v>
      </c>
      <c r="Q179" s="195">
        <f t="shared" si="22"/>
        <v>17296.608059996204</v>
      </c>
      <c r="R179" s="196">
        <f t="shared" si="23"/>
        <v>0.44730450699460655</v>
      </c>
      <c r="AC179" s="251"/>
    </row>
    <row r="180" spans="1:29" ht="15.6" x14ac:dyDescent="0.3">
      <c r="A180" s="194">
        <v>2057</v>
      </c>
      <c r="B180" s="229">
        <v>20755.240683388936</v>
      </c>
      <c r="C180" s="229">
        <v>3711.2091600725803</v>
      </c>
      <c r="D180" s="229">
        <v>778.1462425021507</v>
      </c>
      <c r="E180" s="229">
        <v>9113.1635074254009</v>
      </c>
      <c r="F180" s="229">
        <v>3157.0024690101736</v>
      </c>
      <c r="G180" s="229">
        <v>777.93366923230235</v>
      </c>
      <c r="H180" s="229">
        <v>4340.5349317735636</v>
      </c>
      <c r="I180" s="229">
        <v>3310.8424535074791</v>
      </c>
      <c r="J180" s="229">
        <v>1381.7584633526096</v>
      </c>
      <c r="K180" s="229">
        <v>1743.027312100633</v>
      </c>
      <c r="N180" s="195">
        <f t="shared" si="19"/>
        <v>7929.6310446620118</v>
      </c>
      <c r="O180" s="195">
        <f t="shared" si="21"/>
        <v>4340.5349317735636</v>
      </c>
      <c r="P180" s="195">
        <f t="shared" si="20"/>
        <v>5267.289071807033</v>
      </c>
      <c r="Q180" s="195">
        <f t="shared" si="22"/>
        <v>17537.455048242609</v>
      </c>
      <c r="R180" s="196">
        <f t="shared" si="23"/>
        <v>0.4521540339147796</v>
      </c>
      <c r="AC180" s="251"/>
    </row>
    <row r="181" spans="1:29" ht="15.6" x14ac:dyDescent="0.3">
      <c r="A181" s="194">
        <v>2058</v>
      </c>
      <c r="B181" s="229">
        <v>21037.361965287157</v>
      </c>
      <c r="C181" s="229">
        <v>3723.1889705469075</v>
      </c>
      <c r="D181" s="229">
        <v>784.02400307166317</v>
      </c>
      <c r="E181" s="229">
        <v>9250.023480920885</v>
      </c>
      <c r="F181" s="229">
        <v>3237.5078325611548</v>
      </c>
      <c r="G181" s="229">
        <v>785.81297914091544</v>
      </c>
      <c r="H181" s="229">
        <v>4361.8790193293717</v>
      </c>
      <c r="I181" s="229">
        <v>3400.3408651530444</v>
      </c>
      <c r="J181" s="229">
        <v>1384.0875543495281</v>
      </c>
      <c r="K181" s="229">
        <v>1753.9523813004394</v>
      </c>
      <c r="N181" s="195">
        <f t="shared" si="19"/>
        <v>8125.6522941526673</v>
      </c>
      <c r="O181" s="195">
        <f t="shared" si="21"/>
        <v>4361.8790193293717</v>
      </c>
      <c r="P181" s="195">
        <f t="shared" si="20"/>
        <v>5293.0259527594862</v>
      </c>
      <c r="Q181" s="195">
        <f t="shared" si="22"/>
        <v>17780.557266241525</v>
      </c>
      <c r="R181" s="196">
        <f t="shared" si="23"/>
        <v>0.45699649186924934</v>
      </c>
      <c r="AC181" s="251"/>
    </row>
    <row r="182" spans="1:29" ht="15.6" x14ac:dyDescent="0.3">
      <c r="A182" s="194">
        <v>2059</v>
      </c>
      <c r="B182" s="229">
        <v>21321.739454099348</v>
      </c>
      <c r="C182" s="229">
        <v>3734.9257290492537</v>
      </c>
      <c r="D182" s="229">
        <v>789.94936254966456</v>
      </c>
      <c r="E182" s="229">
        <v>9387.4313186523614</v>
      </c>
      <c r="F182" s="229">
        <v>3319.9777133310481</v>
      </c>
      <c r="G182" s="229">
        <v>793.66641505843313</v>
      </c>
      <c r="H182" s="229">
        <v>4382.5073332975853</v>
      </c>
      <c r="I182" s="229">
        <v>3491.0993473658227</v>
      </c>
      <c r="J182" s="229">
        <v>1386.3563105177191</v>
      </c>
      <c r="K182" s="229">
        <v>1764.8925362313576</v>
      </c>
      <c r="N182" s="195">
        <f t="shared" si="19"/>
        <v>8324.901698685826</v>
      </c>
      <c r="O182" s="195">
        <f t="shared" si="21"/>
        <v>4382.5073332975853</v>
      </c>
      <c r="P182" s="195">
        <f t="shared" si="20"/>
        <v>5318.5415066573514</v>
      </c>
      <c r="Q182" s="195">
        <f t="shared" si="22"/>
        <v>18025.950538640762</v>
      </c>
      <c r="R182" s="196">
        <f t="shared" si="23"/>
        <v>0.46182872192178781</v>
      </c>
      <c r="AC182" s="251"/>
    </row>
    <row r="183" spans="1:29" ht="15.6" x14ac:dyDescent="0.3">
      <c r="A183" s="194">
        <v>2060</v>
      </c>
      <c r="B183" s="229">
        <v>21607.399162372749</v>
      </c>
      <c r="C183" s="229">
        <v>3746.4595693426004</v>
      </c>
      <c r="D183" s="229">
        <v>796.0128216032798</v>
      </c>
      <c r="E183" s="229">
        <v>9524.6964071183556</v>
      </c>
      <c r="F183" s="229">
        <v>3404.5996659212847</v>
      </c>
      <c r="G183" s="229">
        <v>801.49291558119785</v>
      </c>
      <c r="H183" s="229">
        <v>4401.8571766696587</v>
      </c>
      <c r="I183" s="229">
        <v>3583.2828172470854</v>
      </c>
      <c r="J183" s="229">
        <v>1388.7589750599511</v>
      </c>
      <c r="K183" s="229">
        <v>1775.868678363599</v>
      </c>
      <c r="N183" s="195">
        <f t="shared" si="19"/>
        <v>8527.4388963699821</v>
      </c>
      <c r="O183" s="195">
        <f t="shared" si="21"/>
        <v>4401.8571766696587</v>
      </c>
      <c r="P183" s="195">
        <f t="shared" si="20"/>
        <v>5343.9653065270777</v>
      </c>
      <c r="Q183" s="195">
        <f t="shared" si="22"/>
        <v>18273.26137956672</v>
      </c>
      <c r="R183" s="196">
        <f>N183/Q183</f>
        <v>0.46666212009123997</v>
      </c>
      <c r="AC183" s="251"/>
    </row>
  </sheetData>
  <mergeCells count="14">
    <mergeCell ref="C1:G1"/>
    <mergeCell ref="I1:T1"/>
    <mergeCell ref="D2:E2"/>
    <mergeCell ref="I2:L3"/>
    <mergeCell ref="S3:W5"/>
    <mergeCell ref="I5:L6"/>
    <mergeCell ref="Y23:Z23"/>
    <mergeCell ref="J24:M24"/>
    <mergeCell ref="O22:R22"/>
    <mergeCell ref="B23:D23"/>
    <mergeCell ref="E23:H23"/>
    <mergeCell ref="J23:M23"/>
    <mergeCell ref="O23:R23"/>
    <mergeCell ref="U23:V23"/>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2" tint="-0.249977111117893"/>
  </sheetPr>
  <dimension ref="A1:EX343"/>
  <sheetViews>
    <sheetView showGridLines="0" topLeftCell="A74" zoomScale="70" zoomScaleNormal="70" zoomScalePageLayoutView="80" workbookViewId="0">
      <selection activeCell="B79" sqref="B79"/>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8.796875"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8.7968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SpaceCooling_cluster</v>
      </c>
      <c r="B1" s="156"/>
      <c r="C1" s="157" t="s">
        <v>529</v>
      </c>
      <c r="D1" s="157" t="s">
        <v>523</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SUM(OFFSET(AV136,J2-2015,0,J3-J2+1,1))/1000</f>
        <v>0</v>
      </c>
      <c r="O4" s="164">
        <f>SUM(AV136:AV181)/1000</f>
        <v>0</v>
      </c>
    </row>
    <row r="5" spans="1:154" ht="12.75" customHeight="1" x14ac:dyDescent="0.25">
      <c r="E5" s="498"/>
      <c r="F5" s="499"/>
      <c r="G5" s="167"/>
      <c r="H5" s="167"/>
      <c r="L5" s="617"/>
      <c r="M5" s="153" t="s">
        <v>375</v>
      </c>
      <c r="N5" s="164">
        <f ca="1">SUM(OFFSET(AU136,J2-2015,0,J3-J2+1,1))/1000</f>
        <v>1.3443306265142878</v>
      </c>
      <c r="O5" s="164">
        <f>SUM(AU136:AU181)/1000</f>
        <v>3.1674586406386069</v>
      </c>
    </row>
    <row r="6" spans="1:154" ht="13.8" x14ac:dyDescent="0.25">
      <c r="E6" s="498"/>
      <c r="F6" s="499"/>
      <c r="G6" s="167"/>
      <c r="H6" s="167"/>
    </row>
    <row r="7" spans="1:154" ht="13.8" x14ac:dyDescent="0.25">
      <c r="A7" s="35" t="s">
        <v>491</v>
      </c>
      <c r="E7" s="498"/>
      <c r="F7" s="499"/>
      <c r="G7" s="167"/>
      <c r="H7" s="167"/>
      <c r="I7" s="516"/>
      <c r="J7" s="516"/>
      <c r="K7" s="516"/>
      <c r="L7" s="618" t="s">
        <v>369</v>
      </c>
      <c r="M7" s="497" t="s">
        <v>377</v>
      </c>
      <c r="N7" s="164">
        <f ca="1">SUM(OFFSET(AA195,J2-2015,0,J3-J2+1,1))/1000</f>
        <v>0</v>
      </c>
      <c r="O7" s="164">
        <f>SUM(AA195:AA240)/1000</f>
        <v>0</v>
      </c>
      <c r="P7" s="165"/>
    </row>
    <row r="8" spans="1:154" ht="13.8" x14ac:dyDescent="0.25">
      <c r="A8" s="486" t="s">
        <v>368</v>
      </c>
      <c r="B8" s="487" t="s">
        <v>492</v>
      </c>
      <c r="C8" s="487"/>
      <c r="E8" s="498"/>
      <c r="F8" s="499"/>
      <c r="G8" s="167"/>
      <c r="H8" s="167"/>
      <c r="L8" s="618"/>
      <c r="M8" s="153" t="s">
        <v>375</v>
      </c>
      <c r="N8" s="164">
        <f ca="1">SUM(OFFSET(Z195,J2-2015,0,J3-J2+1,1))/1000</f>
        <v>1.4945070279964847</v>
      </c>
      <c r="O8" s="164">
        <f>SUM(Z195:Z240)/1000</f>
        <v>2.969770141836416</v>
      </c>
    </row>
    <row r="9" spans="1:154" ht="13.8" x14ac:dyDescent="0.25">
      <c r="A9" s="488" t="s">
        <v>369</v>
      </c>
      <c r="B9" s="489" t="s">
        <v>455</v>
      </c>
      <c r="C9" s="489"/>
      <c r="E9" s="498"/>
      <c r="F9" s="499"/>
      <c r="G9" s="167"/>
      <c r="H9" s="167"/>
    </row>
    <row r="10" spans="1:154" ht="39.6" x14ac:dyDescent="0.25">
      <c r="A10" s="527" t="s">
        <v>592</v>
      </c>
      <c r="B10" s="490" t="s">
        <v>509</v>
      </c>
      <c r="C10" s="493" t="s">
        <v>512</v>
      </c>
      <c r="E10" s="498"/>
      <c r="F10" s="499"/>
      <c r="G10" s="167"/>
      <c r="H10" s="167"/>
    </row>
    <row r="11" spans="1:154" ht="39.6" x14ac:dyDescent="0.25">
      <c r="A11" s="527" t="s">
        <v>593</v>
      </c>
      <c r="B11" s="490" t="s">
        <v>507</v>
      </c>
      <c r="C11" s="493" t="s">
        <v>512</v>
      </c>
      <c r="E11" s="498"/>
      <c r="F11" s="499"/>
      <c r="G11" s="167"/>
      <c r="H11" s="167"/>
      <c r="L11" s="617" t="s">
        <v>522</v>
      </c>
      <c r="M11" s="497" t="s">
        <v>377</v>
      </c>
      <c r="N11" s="164">
        <f ca="1">N4+N7</f>
        <v>0</v>
      </c>
      <c r="O11" s="164">
        <f>O4+O7</f>
        <v>0</v>
      </c>
    </row>
    <row r="12" spans="1:154" ht="13.8" x14ac:dyDescent="0.25">
      <c r="A12" s="488" t="s">
        <v>493</v>
      </c>
      <c r="B12" s="489" t="s">
        <v>506</v>
      </c>
      <c r="C12" s="489"/>
      <c r="E12" s="498" t="s">
        <v>172</v>
      </c>
      <c r="F12" s="499">
        <v>0.95</v>
      </c>
      <c r="G12" s="167"/>
      <c r="H12" s="167" t="s">
        <v>213</v>
      </c>
      <c r="L12" s="617"/>
      <c r="M12" s="153" t="s">
        <v>375</v>
      </c>
      <c r="N12" s="164">
        <f ca="1">N5+N8</f>
        <v>2.8388376545107725</v>
      </c>
      <c r="O12" s="164">
        <f>O5+O8</f>
        <v>6.1372287824750229</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ht="13.8" x14ac:dyDescent="0.25">
      <c r="E21" s="500" t="s">
        <v>326</v>
      </c>
      <c r="F21" s="501">
        <f>1/3.7</f>
        <v>0.27027027027027023</v>
      </c>
    </row>
    <row r="22" spans="1:68" ht="13.8" x14ac:dyDescent="0.25">
      <c r="E22" s="500" t="s">
        <v>268</v>
      </c>
      <c r="F22" s="518">
        <v>1403.3616727979031</v>
      </c>
    </row>
    <row r="23" spans="1:68" x14ac:dyDescent="0.25">
      <c r="D23" s="443"/>
      <c r="E23" s="443" t="s">
        <v>527</v>
      </c>
      <c r="F23" s="420"/>
    </row>
    <row r="24" spans="1:68" ht="13.8" thickBot="1" x14ac:dyDescent="0.3">
      <c r="E24" s="443" t="s">
        <v>528</v>
      </c>
      <c r="F24" s="420"/>
    </row>
    <row r="25" spans="1:68" ht="15" customHeight="1" thickBot="1" x14ac:dyDescent="0.3">
      <c r="A25" s="646" t="str">
        <f>CONCATENATE("Table 2: REF2, ",C1," TAM ",D1)</f>
        <v>Table 2: REF2, Cooling Demand TAM (TWh)</v>
      </c>
      <c r="B25" s="647"/>
      <c r="C25" s="647"/>
      <c r="D25" s="647"/>
      <c r="E25" s="647"/>
      <c r="F25" s="699"/>
      <c r="G25" s="647"/>
      <c r="H25" s="647"/>
      <c r="I25" s="647"/>
      <c r="J25" s="647"/>
      <c r="K25" s="648"/>
      <c r="M25" s="638" t="str">
        <f>CONCATENATE("Table 3: REF1 ,",C1," TAM ",D1)</f>
        <v>Table 3: REF1 ,Cooling Demand TAM (TWh)</v>
      </c>
      <c r="N25" s="639"/>
      <c r="O25" s="639"/>
      <c r="P25" s="639"/>
      <c r="Q25" s="639"/>
      <c r="R25" s="639"/>
      <c r="S25" s="639"/>
      <c r="T25" s="639"/>
      <c r="U25" s="639"/>
      <c r="V25" s="639"/>
      <c r="W25" s="640"/>
      <c r="Y25" s="627" t="str">
        <f>CONCATENATE("Table 3: REF1 ",$C$1," TAM ",$D$1)</f>
        <v>Table 3: REF1 Cooling Demand TAM (TWh)</v>
      </c>
      <c r="Z25" s="627"/>
      <c r="AA25" s="627"/>
      <c r="AB25" s="627"/>
      <c r="AC25" s="627"/>
      <c r="AD25" s="627"/>
      <c r="AE25" s="627"/>
      <c r="AF25" s="627"/>
      <c r="AG25" s="627"/>
      <c r="AH25" s="627"/>
      <c r="AI25" s="627"/>
      <c r="AK25" s="628" t="str">
        <f>CONCATENATE("Table 3: REF1 ",$C$1," TAM ",$D$1)</f>
        <v>Table 3: REF1 Cooling Demand TAM (TWh)</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SpaceCooling_cluster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528" t="s">
        <v>594</v>
      </c>
      <c r="C27" s="460" t="s">
        <v>211</v>
      </c>
      <c r="D27" s="460" t="s">
        <v>211</v>
      </c>
      <c r="E27" s="460" t="s">
        <v>213</v>
      </c>
      <c r="F27" s="460" t="s">
        <v>213</v>
      </c>
      <c r="G27" s="460" t="s">
        <v>211</v>
      </c>
      <c r="H27" s="435"/>
      <c r="I27" s="435"/>
      <c r="J27" s="435"/>
      <c r="K27" s="435"/>
      <c r="M27" s="455"/>
      <c r="N27" s="461" t="str">
        <f>B27</f>
        <v>Regions included as LLDC</v>
      </c>
      <c r="O27" s="462" t="str">
        <f>C27</f>
        <v>N</v>
      </c>
      <c r="P27" s="462" t="str">
        <f t="shared" ref="P27:S27" si="0">D27</f>
        <v>N</v>
      </c>
      <c r="Q27" s="462" t="str">
        <f t="shared" si="0"/>
        <v>Y</v>
      </c>
      <c r="R27" s="462" t="str">
        <f t="shared" si="0"/>
        <v>Y</v>
      </c>
      <c r="S27" s="462" t="str">
        <f t="shared" si="0"/>
        <v>N</v>
      </c>
      <c r="T27" s="435"/>
      <c r="U27" s="435"/>
      <c r="V27" s="435"/>
      <c r="W27" s="435"/>
      <c r="Y27" s="455"/>
      <c r="Z27" s="461" t="str">
        <f>B27</f>
        <v>Regions included as LLDC</v>
      </c>
      <c r="AA27" s="462" t="str">
        <f>O27</f>
        <v>N</v>
      </c>
      <c r="AB27" s="462" t="str">
        <f t="shared" ref="AB27:AE27" si="1">P27</f>
        <v>N</v>
      </c>
      <c r="AC27" s="462" t="str">
        <f t="shared" si="1"/>
        <v>Y</v>
      </c>
      <c r="AD27" s="462" t="str">
        <f t="shared" si="1"/>
        <v>Y</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40.200000000000003" thickBot="1" x14ac:dyDescent="0.3">
      <c r="A28" s="213"/>
      <c r="B28" s="474" t="s">
        <v>4</v>
      </c>
      <c r="C28" s="475" t="s">
        <v>5</v>
      </c>
      <c r="D28" s="475" t="s">
        <v>6</v>
      </c>
      <c r="E28" s="475" t="s">
        <v>7</v>
      </c>
      <c r="F28" s="475" t="s">
        <v>8</v>
      </c>
      <c r="G28" s="475" t="s">
        <v>9</v>
      </c>
      <c r="H28" s="475" t="s">
        <v>10</v>
      </c>
      <c r="I28" s="475" t="s">
        <v>11</v>
      </c>
      <c r="J28" s="475" t="s">
        <v>12</v>
      </c>
      <c r="K28" s="476" t="s">
        <v>13</v>
      </c>
      <c r="M28" s="189"/>
      <c r="N28" s="190" t="s">
        <v>4</v>
      </c>
      <c r="O28" s="191" t="s">
        <v>5</v>
      </c>
      <c r="P28" s="191" t="s">
        <v>6</v>
      </c>
      <c r="Q28" s="191" t="s">
        <v>460</v>
      </c>
      <c r="R28" s="191" t="s">
        <v>8</v>
      </c>
      <c r="S28" s="191" t="s">
        <v>9</v>
      </c>
      <c r="T28" s="191" t="s">
        <v>10</v>
      </c>
      <c r="U28" s="191" t="s">
        <v>11</v>
      </c>
      <c r="V28" s="191" t="s">
        <v>12</v>
      </c>
      <c r="W28" s="192" t="s">
        <v>13</v>
      </c>
      <c r="Y28" s="456"/>
      <c r="Z28" s="457" t="s">
        <v>4</v>
      </c>
      <c r="AA28" s="458" t="s">
        <v>5</v>
      </c>
      <c r="AB28" s="458" t="s">
        <v>6</v>
      </c>
      <c r="AC28" s="458" t="s">
        <v>7</v>
      </c>
      <c r="AD28" s="458" t="s">
        <v>8</v>
      </c>
      <c r="AE28" s="458" t="s">
        <v>9</v>
      </c>
      <c r="AF28" s="458" t="s">
        <v>10</v>
      </c>
      <c r="AG28" s="458" t="s">
        <v>11</v>
      </c>
      <c r="AH28" s="458" t="s">
        <v>12</v>
      </c>
      <c r="AI28" s="458" t="s">
        <v>13</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9420.048251321914</v>
      </c>
      <c r="C29" s="229">
        <v>2629.4350904716298</v>
      </c>
      <c r="D29" s="229">
        <v>467.02649557183969</v>
      </c>
      <c r="E29" s="229">
        <v>3740.7188081675804</v>
      </c>
      <c r="F29" s="229">
        <v>871.70102318165959</v>
      </c>
      <c r="G29" s="229">
        <v>350.48342727572367</v>
      </c>
      <c r="H29" s="229">
        <v>2609.2302768909922</v>
      </c>
      <c r="I29" s="229">
        <v>737.63652435843073</v>
      </c>
      <c r="J29" s="229">
        <v>1087.5007224082237</v>
      </c>
      <c r="K29" s="229">
        <v>1156.6354982699991</v>
      </c>
      <c r="M29" s="194">
        <v>2014</v>
      </c>
      <c r="N29" s="419">
        <f t="shared" ref="N29:N75" si="2">SUM(O29:S29)</f>
        <v>1166.3091670478339</v>
      </c>
      <c r="O29" s="418">
        <f>(C29/Population_Tables!P3)*Population_Tables!D62</f>
        <v>0</v>
      </c>
      <c r="P29" s="418">
        <f>(D29/Population_Tables!Q3)*Population_Tables!E62</f>
        <v>0</v>
      </c>
      <c r="Q29" s="418">
        <f>((E29-H29)/Population_Tables!R3)*Population_Tables!F62</f>
        <v>574.46857617247076</v>
      </c>
      <c r="R29" s="418">
        <f>(F29/Population_Tables!S3)*Population_Tables!G62</f>
        <v>498.85846666461464</v>
      </c>
      <c r="S29" s="418">
        <f>(G29/Population_Tables!T3)*Population_Tables!H62</f>
        <v>92.982124210748566</v>
      </c>
      <c r="T29" s="418">
        <f>(H29/Population_Tables!U3)*Population_Tables!I62</f>
        <v>0</v>
      </c>
      <c r="U29" s="418">
        <f>(I29/Population_Tables!V3)*Population_Tables!J62</f>
        <v>0</v>
      </c>
      <c r="V29" s="418">
        <f>(J29/Population_Tables!W3)*Population_Tables!K62</f>
        <v>0</v>
      </c>
      <c r="W29" s="418">
        <f>(K29/Population_Tables!X3)*Population_Tables!L62</f>
        <v>0</v>
      </c>
      <c r="Y29" s="456">
        <v>2014</v>
      </c>
      <c r="Z29" s="459">
        <f>((B29/Population_Tables!O3)*Population_Tables!C3)-N29</f>
        <v>8253.7231514545092</v>
      </c>
      <c r="AA29" s="459">
        <f>((C29/Population_Tables!P3)*Population_Tables!D3)-O29</f>
        <v>2629.4350904716298</v>
      </c>
      <c r="AB29" s="459">
        <f>((D29/Population_Tables!Q3)*Population_Tables!E3)-P29</f>
        <v>467.02649557183969</v>
      </c>
      <c r="AC29" s="459">
        <f>((E29/Population_Tables!R3)*Population_Tables!F3)-Q29</f>
        <v>3166.2385673527415</v>
      </c>
      <c r="AD29" s="459">
        <f>((F29/Population_Tables!S3)*Population_Tables!G3)-R29</f>
        <v>372.84255651704507</v>
      </c>
      <c r="AE29" s="459">
        <f>((G29/Population_Tables!T3)*Population_Tables!H3)-S29</f>
        <v>257.5013030649751</v>
      </c>
      <c r="AF29" s="459">
        <f>(H29/Population_Tables!U3)*Population_Tables!I3</f>
        <v>2609.2302768909922</v>
      </c>
      <c r="AG29" s="459">
        <f>(I29/Population_Tables!V3)*Population_Tables!J3</f>
        <v>737.63652435843073</v>
      </c>
      <c r="AH29" s="459">
        <f>(J29/Population_Tables!W3)*Population_Tables!K3</f>
        <v>1087.5007224082237</v>
      </c>
      <c r="AI29" s="459">
        <f>(K29/Population_Tables!X3)*Population_Tables!L3</f>
        <v>1156.6354982699991</v>
      </c>
      <c r="AK29" s="456">
        <v>2014</v>
      </c>
      <c r="AL29" s="459">
        <f>Z29+N29</f>
        <v>9420.0323185023426</v>
      </c>
      <c r="AM29" s="459">
        <f t="shared" ref="AM29:AU44" si="3">AA29+O29</f>
        <v>2629.4350904716298</v>
      </c>
      <c r="AN29" s="459">
        <f t="shared" si="3"/>
        <v>467.02649557183969</v>
      </c>
      <c r="AO29" s="459">
        <f t="shared" si="3"/>
        <v>3740.7071435252124</v>
      </c>
      <c r="AP29" s="459">
        <f t="shared" si="3"/>
        <v>871.70102318165971</v>
      </c>
      <c r="AQ29" s="459">
        <f t="shared" si="3"/>
        <v>350.48342727572367</v>
      </c>
      <c r="AR29" s="459">
        <f t="shared" si="3"/>
        <v>2609.2302768909922</v>
      </c>
      <c r="AS29" s="459">
        <f t="shared" si="3"/>
        <v>737.63652435843073</v>
      </c>
      <c r="AT29" s="459">
        <f t="shared" si="3"/>
        <v>1087.5007224082237</v>
      </c>
      <c r="AU29" s="459">
        <f t="shared" si="3"/>
        <v>1156.6354982699991</v>
      </c>
      <c r="AW29" s="216">
        <f>(B29/Population_Tables!O3)*Population_Tables!C3</f>
        <v>9420.0323185023426</v>
      </c>
      <c r="AX29" s="153" t="str">
        <f>IF(AW29-AL29=0,"OK")</f>
        <v>OK</v>
      </c>
      <c r="AY29" s="421">
        <f t="shared" ref="AY29:AY75" si="4">SUM(BB29:BF29)</f>
        <v>8059.3531800260653</v>
      </c>
      <c r="AZ29" s="153" t="str">
        <f t="shared" ref="AZ29:AZ75" si="5">IF(AY29-(SUM(AM29:AQ29))=0,"OK")</f>
        <v>OK</v>
      </c>
      <c r="BB29" s="216">
        <f>(C29/Population_Tables!P3)*Population_Tables!D3</f>
        <v>2629.4350904716298</v>
      </c>
      <c r="BC29" s="216">
        <f>(D29/Population_Tables!Q3)*Population_Tables!E3</f>
        <v>467.02649557183969</v>
      </c>
      <c r="BD29" s="216">
        <f>(E29/Population_Tables!R3)*Population_Tables!F3</f>
        <v>3740.7071435252124</v>
      </c>
      <c r="BE29" s="216">
        <f>(F29/Population_Tables!S3)*Population_Tables!G3</f>
        <v>871.70102318165971</v>
      </c>
      <c r="BF29" s="216">
        <f>(G29/Population_Tables!T3)*Population_Tables!H3</f>
        <v>350.48342727572367</v>
      </c>
      <c r="BG29" s="216"/>
      <c r="BN29" s="216"/>
      <c r="BO29" s="216"/>
      <c r="BP29" s="216"/>
    </row>
    <row r="30" spans="1:68" ht="15.6" x14ac:dyDescent="0.3">
      <c r="A30" s="194">
        <v>2015</v>
      </c>
      <c r="B30" s="229">
        <v>9656.2092789826384</v>
      </c>
      <c r="C30" s="229">
        <v>2652.4042453043076</v>
      </c>
      <c r="D30" s="229">
        <v>473.74437880607616</v>
      </c>
      <c r="E30" s="229">
        <v>3858.4863101039646</v>
      </c>
      <c r="F30" s="229">
        <v>899.46205941002859</v>
      </c>
      <c r="G30" s="229">
        <v>357.27366553649546</v>
      </c>
      <c r="H30" s="229">
        <v>2684.7210625164607</v>
      </c>
      <c r="I30" s="229">
        <v>770.08082363718938</v>
      </c>
      <c r="J30" s="229">
        <v>1095.260534069424</v>
      </c>
      <c r="K30" s="229">
        <v>1168.6007941555526</v>
      </c>
      <c r="M30" s="194">
        <v>2015</v>
      </c>
      <c r="N30" s="419">
        <f t="shared" si="2"/>
        <v>1209.2450095660399</v>
      </c>
      <c r="O30" s="418">
        <f>(C30/Population_Tables!P4)*Population_Tables!D63</f>
        <v>0</v>
      </c>
      <c r="P30" s="418">
        <f>(D30/Population_Tables!Q4)*Population_Tables!E63</f>
        <v>0</v>
      </c>
      <c r="Q30" s="418">
        <f>((E30-H30)/Population_Tables!R4)*Population_Tables!F63</f>
        <v>597.66148535994671</v>
      </c>
      <c r="R30" s="418">
        <f>(F30/Population_Tables!S4)*Population_Tables!G63</f>
        <v>516.52998787824549</v>
      </c>
      <c r="S30" s="418">
        <f>(G30/Population_Tables!T4)*Population_Tables!H63</f>
        <v>95.053536327847794</v>
      </c>
      <c r="T30" s="418">
        <f>(H30/Population_Tables!U4)*Population_Tables!I63</f>
        <v>0</v>
      </c>
      <c r="U30" s="418">
        <f>(I30/Population_Tables!V4)*Population_Tables!J63</f>
        <v>0</v>
      </c>
      <c r="V30" s="418">
        <f>(J30/Population_Tables!W4)*Population_Tables!K63</f>
        <v>0</v>
      </c>
      <c r="W30" s="418">
        <f>(K30/Population_Tables!X4)*Population_Tables!L63</f>
        <v>0</v>
      </c>
      <c r="Y30" s="456">
        <v>2015</v>
      </c>
      <c r="Z30" s="459">
        <f>((B30/Population_Tables!O4)*Population_Tables!C4)-N30</f>
        <v>8446.9482236483109</v>
      </c>
      <c r="AA30" s="459">
        <f>((C30/Population_Tables!P4)*Population_Tables!D4)-O30</f>
        <v>2652.4042453043076</v>
      </c>
      <c r="AB30" s="459">
        <f>((D30/Population_Tables!Q4)*Population_Tables!E4)-P30</f>
        <v>473.74437880607616</v>
      </c>
      <c r="AC30" s="459">
        <f>((E30/Population_Tables!R4)*Population_Tables!F4)-Q30</f>
        <v>3260.812982431708</v>
      </c>
      <c r="AD30" s="459">
        <f>((F30/Population_Tables!S4)*Population_Tables!G4)-R30</f>
        <v>382.93207153178309</v>
      </c>
      <c r="AE30" s="459">
        <f>((G30/Population_Tables!T4)*Population_Tables!H4)-S30</f>
        <v>262.22012920864773</v>
      </c>
      <c r="AF30" s="459">
        <f>(H30/Population_Tables!U4)*Population_Tables!I4</f>
        <v>2684.7210625164607</v>
      </c>
      <c r="AG30" s="459">
        <f>(I30/Population_Tables!V4)*Population_Tables!J4</f>
        <v>770.08082363718938</v>
      </c>
      <c r="AH30" s="459">
        <f>(J30/Population_Tables!W4)*Population_Tables!K4</f>
        <v>1095.260534069424</v>
      </c>
      <c r="AI30" s="459">
        <f>(K30/Population_Tables!X4)*Population_Tables!L4</f>
        <v>1168.6007941555526</v>
      </c>
      <c r="AK30" s="456">
        <v>2015</v>
      </c>
      <c r="AL30" s="459">
        <f t="shared" ref="AL30:AU68" si="6">Z30+N30</f>
        <v>9656.1932332143515</v>
      </c>
      <c r="AM30" s="459">
        <f t="shared" si="3"/>
        <v>2652.4042453043076</v>
      </c>
      <c r="AN30" s="459">
        <f t="shared" si="3"/>
        <v>473.74437880607616</v>
      </c>
      <c r="AO30" s="459">
        <f t="shared" si="3"/>
        <v>3858.4744677916547</v>
      </c>
      <c r="AP30" s="459">
        <f t="shared" si="3"/>
        <v>899.46205941002859</v>
      </c>
      <c r="AQ30" s="459">
        <f t="shared" si="3"/>
        <v>357.27366553649551</v>
      </c>
      <c r="AR30" s="459">
        <f t="shared" si="3"/>
        <v>2684.7210625164607</v>
      </c>
      <c r="AS30" s="459">
        <f t="shared" si="3"/>
        <v>770.08082363718938</v>
      </c>
      <c r="AT30" s="459">
        <f t="shared" si="3"/>
        <v>1095.260534069424</v>
      </c>
      <c r="AU30" s="459">
        <f t="shared" si="3"/>
        <v>1168.6007941555526</v>
      </c>
      <c r="AW30" s="216">
        <f>(B30/Population_Tables!O4)*Population_Tables!C4</f>
        <v>9656.1932332143515</v>
      </c>
      <c r="AX30" s="153" t="str">
        <f t="shared" ref="AX30:AX75" si="7">IF(AW30-AL30=0,"OK")</f>
        <v>OK</v>
      </c>
      <c r="AY30" s="421">
        <f t="shared" si="4"/>
        <v>8241.3588168485621</v>
      </c>
      <c r="AZ30" s="153" t="str">
        <f t="shared" si="5"/>
        <v>OK</v>
      </c>
      <c r="BB30" s="216">
        <f>(C30/Population_Tables!P4)*Population_Tables!D4</f>
        <v>2652.4042453043076</v>
      </c>
      <c r="BC30" s="216">
        <f>(D30/Population_Tables!Q4)*Population_Tables!E4</f>
        <v>473.74437880607616</v>
      </c>
      <c r="BD30" s="216">
        <f>(E30/Population_Tables!R4)*Population_Tables!F4</f>
        <v>3858.4744677916547</v>
      </c>
      <c r="BE30" s="216">
        <f>(F30/Population_Tables!S4)*Population_Tables!G4</f>
        <v>899.46205941002859</v>
      </c>
      <c r="BF30" s="216">
        <f>(G30/Population_Tables!T4)*Population_Tables!H4</f>
        <v>357.27366553649551</v>
      </c>
      <c r="BG30" s="216"/>
      <c r="BN30" s="216"/>
      <c r="BO30" s="216"/>
      <c r="BP30" s="216"/>
    </row>
    <row r="31" spans="1:68" ht="15.6" x14ac:dyDescent="0.3">
      <c r="A31" s="194">
        <v>2016</v>
      </c>
      <c r="B31" s="229">
        <v>9897.405910873902</v>
      </c>
      <c r="C31" s="229">
        <v>2675.1602341720754</v>
      </c>
      <c r="D31" s="229">
        <v>480.46244846594254</v>
      </c>
      <c r="E31" s="229">
        <v>3979.7957882197779</v>
      </c>
      <c r="F31" s="229">
        <v>927.80773992512832</v>
      </c>
      <c r="G31" s="229">
        <v>364.19233776381185</v>
      </c>
      <c r="H31" s="229">
        <v>2759.2447388326059</v>
      </c>
      <c r="I31" s="229">
        <v>805.72206037947171</v>
      </c>
      <c r="J31" s="229">
        <v>1103.1102147588815</v>
      </c>
      <c r="K31" s="229">
        <v>1180.6873355601149</v>
      </c>
      <c r="M31" s="194">
        <v>2016</v>
      </c>
      <c r="N31" s="419">
        <f t="shared" si="2"/>
        <v>1255.0097394166853</v>
      </c>
      <c r="O31" s="418">
        <f>(C31/Population_Tables!P5)*Population_Tables!D64</f>
        <v>0</v>
      </c>
      <c r="P31" s="418">
        <f>(D31/Population_Tables!Q5)*Population_Tables!E64</f>
        <v>0</v>
      </c>
      <c r="Q31" s="418">
        <f>((E31-H31)/Population_Tables!R5)*Population_Tables!F64</f>
        <v>623.22716939376789</v>
      </c>
      <c r="R31" s="418">
        <f>(F31/Population_Tables!S5)*Population_Tables!G64</f>
        <v>534.61392837374819</v>
      </c>
      <c r="S31" s="418">
        <f>(G31/Population_Tables!T5)*Population_Tables!H64</f>
        <v>97.168641649169118</v>
      </c>
      <c r="T31" s="418">
        <f>(H31/Population_Tables!U5)*Population_Tables!I64</f>
        <v>0</v>
      </c>
      <c r="U31" s="418">
        <f>(I31/Population_Tables!V5)*Population_Tables!J64</f>
        <v>0</v>
      </c>
      <c r="V31" s="418">
        <f>(J31/Population_Tables!W5)*Population_Tables!K64</f>
        <v>0</v>
      </c>
      <c r="W31" s="418">
        <f>(K31/Population_Tables!X5)*Population_Tables!L64</f>
        <v>0</v>
      </c>
      <c r="Y31" s="456">
        <v>2016</v>
      </c>
      <c r="Z31" s="459">
        <f>((B31/Population_Tables!O5)*Population_Tables!C5)-N31</f>
        <v>8642.3801279760009</v>
      </c>
      <c r="AA31" s="459">
        <f>((C31/Population_Tables!P5)*Population_Tables!D5)-O31</f>
        <v>2675.1602341720754</v>
      </c>
      <c r="AB31" s="459">
        <f>((D31/Population_Tables!Q5)*Population_Tables!E5)-P31</f>
        <v>480.46244846594254</v>
      </c>
      <c r="AC31" s="459">
        <f>((E31/Population_Tables!R5)*Population_Tables!F5)-Q31</f>
        <v>3356.5566813750002</v>
      </c>
      <c r="AD31" s="459">
        <f>((F31/Population_Tables!S5)*Population_Tables!G5)-R31</f>
        <v>393.19381155138012</v>
      </c>
      <c r="AE31" s="459">
        <f>((G31/Population_Tables!T5)*Population_Tables!H5)-S31</f>
        <v>267.02369611464275</v>
      </c>
      <c r="AF31" s="459">
        <f>(H31/Population_Tables!U5)*Population_Tables!I5</f>
        <v>2759.2447388326059</v>
      </c>
      <c r="AG31" s="459">
        <f>(I31/Population_Tables!V5)*Population_Tables!J5</f>
        <v>805.72206037947171</v>
      </c>
      <c r="AH31" s="459">
        <f>(J31/Population_Tables!W5)*Population_Tables!K5</f>
        <v>1103.1102147588815</v>
      </c>
      <c r="AI31" s="459">
        <f>(K31/Population_Tables!X5)*Population_Tables!L5</f>
        <v>1180.6873355601149</v>
      </c>
      <c r="AK31" s="456">
        <v>2016</v>
      </c>
      <c r="AL31" s="459">
        <f t="shared" si="6"/>
        <v>9897.3898673926869</v>
      </c>
      <c r="AM31" s="459">
        <f t="shared" si="3"/>
        <v>2675.1602341720754</v>
      </c>
      <c r="AN31" s="459">
        <f t="shared" si="3"/>
        <v>480.46244846594254</v>
      </c>
      <c r="AO31" s="459">
        <f t="shared" si="3"/>
        <v>3979.7838507687679</v>
      </c>
      <c r="AP31" s="459">
        <f t="shared" si="3"/>
        <v>927.80773992512832</v>
      </c>
      <c r="AQ31" s="459">
        <f t="shared" si="3"/>
        <v>364.19233776381185</v>
      </c>
      <c r="AR31" s="459">
        <f t="shared" si="3"/>
        <v>2759.2447388326059</v>
      </c>
      <c r="AS31" s="459">
        <f t="shared" si="3"/>
        <v>805.72206037947171</v>
      </c>
      <c r="AT31" s="459">
        <f t="shared" si="3"/>
        <v>1103.1102147588815</v>
      </c>
      <c r="AU31" s="459">
        <f t="shared" si="3"/>
        <v>1180.6873355601149</v>
      </c>
      <c r="AW31" s="216">
        <f>(B31/Population_Tables!O5)*Population_Tables!C5</f>
        <v>9897.3898673926869</v>
      </c>
      <c r="AX31" s="153" t="str">
        <f t="shared" si="7"/>
        <v>OK</v>
      </c>
      <c r="AY31" s="421">
        <f t="shared" si="4"/>
        <v>8427.4066110957265</v>
      </c>
      <c r="AZ31" s="153" t="str">
        <f t="shared" si="5"/>
        <v>OK</v>
      </c>
      <c r="BB31" s="216">
        <f>(C31/Population_Tables!P5)*Population_Tables!D5</f>
        <v>2675.1602341720754</v>
      </c>
      <c r="BC31" s="216">
        <f>(D31/Population_Tables!Q5)*Population_Tables!E5</f>
        <v>480.46244846594254</v>
      </c>
      <c r="BD31" s="216">
        <f>(E31/Population_Tables!R5)*Population_Tables!F5</f>
        <v>3979.7838507687679</v>
      </c>
      <c r="BE31" s="216">
        <f>(F31/Population_Tables!S5)*Population_Tables!G5</f>
        <v>927.80773992512832</v>
      </c>
      <c r="BF31" s="216">
        <f>(G31/Population_Tables!T5)*Population_Tables!H5</f>
        <v>364.19233776381185</v>
      </c>
      <c r="BG31" s="216"/>
      <c r="BN31" s="216"/>
      <c r="BO31" s="216"/>
      <c r="BP31" s="216"/>
    </row>
    <row r="32" spans="1:68" ht="15.6" x14ac:dyDescent="0.3">
      <c r="A32" s="194">
        <v>2017</v>
      </c>
      <c r="B32" s="229">
        <v>10143.559473789928</v>
      </c>
      <c r="C32" s="229">
        <v>2697.6903467607099</v>
      </c>
      <c r="D32" s="229">
        <v>487.18599917044969</v>
      </c>
      <c r="E32" s="229">
        <v>4104.5758006553433</v>
      </c>
      <c r="F32" s="229">
        <v>956.80369136810032</v>
      </c>
      <c r="G32" s="229">
        <v>371.23308243580243</v>
      </c>
      <c r="H32" s="229">
        <v>2832.8021593047833</v>
      </c>
      <c r="I32" s="229">
        <v>844.53454489497062</v>
      </c>
      <c r="J32" s="229">
        <v>1111.0170546167001</v>
      </c>
      <c r="K32" s="229">
        <v>1192.8805409750839</v>
      </c>
      <c r="M32" s="194">
        <v>2017</v>
      </c>
      <c r="N32" s="419">
        <f t="shared" si="2"/>
        <v>1303.6369766303994</v>
      </c>
      <c r="O32" s="418">
        <f>(C32/Population_Tables!P6)*Population_Tables!D65</f>
        <v>0</v>
      </c>
      <c r="P32" s="418">
        <f>(D32/Population_Tables!Q6)*Population_Tables!E65</f>
        <v>0</v>
      </c>
      <c r="Q32" s="418">
        <f>((E32-H32)/Population_Tables!R6)*Population_Tables!F65</f>
        <v>651.15362056988829</v>
      </c>
      <c r="R32" s="418">
        <f>(F32/Population_Tables!S6)*Population_Tables!G65</f>
        <v>553.16018906662589</v>
      </c>
      <c r="S32" s="418">
        <f>(G32/Population_Tables!T6)*Population_Tables!H65</f>
        <v>99.323166993885238</v>
      </c>
      <c r="T32" s="418">
        <f>(H32/Population_Tables!U6)*Population_Tables!I65</f>
        <v>0</v>
      </c>
      <c r="U32" s="418">
        <f>(I32/Population_Tables!V6)*Population_Tables!J65</f>
        <v>0</v>
      </c>
      <c r="V32" s="418">
        <f>(J32/Population_Tables!W6)*Population_Tables!K65</f>
        <v>0</v>
      </c>
      <c r="W32" s="418">
        <f>(K32/Population_Tables!X6)*Population_Tables!L65</f>
        <v>0</v>
      </c>
      <c r="Y32" s="456">
        <v>2017</v>
      </c>
      <c r="Z32" s="459">
        <f>((B32/Population_Tables!O6)*Population_Tables!C6)-N32</f>
        <v>8839.9065114944406</v>
      </c>
      <c r="AA32" s="459">
        <f>((C32/Population_Tables!P6)*Population_Tables!D6)-O32</f>
        <v>2697.6903467607099</v>
      </c>
      <c r="AB32" s="459">
        <f>((D32/Population_Tables!Q6)*Population_Tables!E6)-P32</f>
        <v>487.18599917044963</v>
      </c>
      <c r="AC32" s="459">
        <f>((E32/Population_Tables!R6)*Population_Tables!F6)-Q32</f>
        <v>3453.4101876228724</v>
      </c>
      <c r="AD32" s="459">
        <f>((F32/Population_Tables!S6)*Population_Tables!G6)-R32</f>
        <v>403.64350230147443</v>
      </c>
      <c r="AE32" s="459">
        <f>((G32/Population_Tables!T6)*Population_Tables!H6)-S32</f>
        <v>271.90991544191718</v>
      </c>
      <c r="AF32" s="459">
        <f>(H32/Population_Tables!U6)*Population_Tables!I6</f>
        <v>2832.8021593047833</v>
      </c>
      <c r="AG32" s="459">
        <f>(I32/Population_Tables!V6)*Population_Tables!J6</f>
        <v>844.53454489497062</v>
      </c>
      <c r="AH32" s="459">
        <f>(J32/Population_Tables!W6)*Population_Tables!K6</f>
        <v>1111.0170546167001</v>
      </c>
      <c r="AI32" s="459">
        <f>(K32/Population_Tables!X6)*Population_Tables!L6</f>
        <v>1192.8805409750839</v>
      </c>
      <c r="AK32" s="456">
        <v>2017</v>
      </c>
      <c r="AL32" s="459">
        <f t="shared" si="6"/>
        <v>10143.54348812484</v>
      </c>
      <c r="AM32" s="459">
        <f t="shared" si="3"/>
        <v>2697.6903467607099</v>
      </c>
      <c r="AN32" s="459">
        <f t="shared" si="3"/>
        <v>487.18599917044963</v>
      </c>
      <c r="AO32" s="459">
        <f t="shared" si="3"/>
        <v>4104.5638081927609</v>
      </c>
      <c r="AP32" s="459">
        <f t="shared" si="3"/>
        <v>956.80369136810032</v>
      </c>
      <c r="AQ32" s="459">
        <f t="shared" si="3"/>
        <v>371.23308243580243</v>
      </c>
      <c r="AR32" s="459">
        <f t="shared" si="3"/>
        <v>2832.8021593047833</v>
      </c>
      <c r="AS32" s="459">
        <f t="shared" si="3"/>
        <v>844.53454489497062</v>
      </c>
      <c r="AT32" s="459">
        <f t="shared" si="3"/>
        <v>1111.0170546167001</v>
      </c>
      <c r="AU32" s="459">
        <f t="shared" si="3"/>
        <v>1192.8805409750839</v>
      </c>
      <c r="AW32" s="216">
        <f>(B32/Population_Tables!O6)*Population_Tables!C6</f>
        <v>10143.54348812484</v>
      </c>
      <c r="AX32" s="153" t="str">
        <f t="shared" si="7"/>
        <v>OK</v>
      </c>
      <c r="AY32" s="421">
        <f t="shared" si="4"/>
        <v>8617.4769279278244</v>
      </c>
      <c r="AZ32" s="153" t="str">
        <f t="shared" si="5"/>
        <v>OK</v>
      </c>
      <c r="BB32" s="216">
        <f>(C32/Population_Tables!P6)*Population_Tables!D6</f>
        <v>2697.6903467607099</v>
      </c>
      <c r="BC32" s="216">
        <f>(D32/Population_Tables!Q6)*Population_Tables!E6</f>
        <v>487.18599917044963</v>
      </c>
      <c r="BD32" s="216">
        <f>(E32/Population_Tables!R6)*Population_Tables!F6</f>
        <v>4104.5638081927609</v>
      </c>
      <c r="BE32" s="216">
        <f>(F32/Population_Tables!S6)*Population_Tables!G6</f>
        <v>956.80369136810032</v>
      </c>
      <c r="BF32" s="216">
        <f>(G32/Population_Tables!T6)*Population_Tables!H6</f>
        <v>371.23308243580243</v>
      </c>
      <c r="BG32" s="216"/>
      <c r="BN32" s="216"/>
      <c r="BO32" s="216"/>
      <c r="BP32" s="216"/>
    </row>
    <row r="33" spans="1:68" ht="15.6" x14ac:dyDescent="0.3">
      <c r="A33" s="194">
        <v>2018</v>
      </c>
      <c r="B33" s="229">
        <v>10394.560211666314</v>
      </c>
      <c r="C33" s="229">
        <v>2720.0017550399202</v>
      </c>
      <c r="D33" s="229">
        <v>493.91855706875924</v>
      </c>
      <c r="E33" s="229">
        <v>4232.7126420736204</v>
      </c>
      <c r="F33" s="229">
        <v>986.52686898869933</v>
      </c>
      <c r="G33" s="229">
        <v>378.39072654769217</v>
      </c>
      <c r="H33" s="229">
        <v>2905.3448801429599</v>
      </c>
      <c r="I33" s="229">
        <v>886.48701995570002</v>
      </c>
      <c r="J33" s="229">
        <v>1118.9437538443153</v>
      </c>
      <c r="K33" s="229">
        <v>1205.1763790426421</v>
      </c>
      <c r="M33" s="194">
        <v>2018</v>
      </c>
      <c r="N33" s="419">
        <f t="shared" si="2"/>
        <v>1355.1708049080726</v>
      </c>
      <c r="O33" s="418">
        <f>(C33/Population_Tables!P7)*Population_Tables!D66</f>
        <v>0</v>
      </c>
      <c r="P33" s="418">
        <f>(D33/Population_Tables!Q7)*Population_Tables!E66</f>
        <v>0</v>
      </c>
      <c r="Q33" s="418">
        <f>((E33-H33)/Population_Tables!R7)*Population_Tables!F66</f>
        <v>681.45878802934601</v>
      </c>
      <c r="R33" s="418">
        <f>(F33/Population_Tables!S7)*Population_Tables!G66</f>
        <v>572.19826325531346</v>
      </c>
      <c r="S33" s="418">
        <f>(G33/Population_Tables!T7)*Population_Tables!H66</f>
        <v>101.51375362341312</v>
      </c>
      <c r="T33" s="418">
        <f>(H33/Population_Tables!U7)*Population_Tables!I66</f>
        <v>0</v>
      </c>
      <c r="U33" s="418">
        <f>(I33/Population_Tables!V7)*Population_Tables!J66</f>
        <v>0</v>
      </c>
      <c r="V33" s="418">
        <f>(J33/Population_Tables!W7)*Population_Tables!K66</f>
        <v>0</v>
      </c>
      <c r="W33" s="418">
        <f>(K33/Population_Tables!X7)*Population_Tables!L66</f>
        <v>0</v>
      </c>
      <c r="Y33" s="456">
        <v>2018</v>
      </c>
      <c r="Z33" s="459">
        <f>((B33/Population_Tables!O7)*Population_Tables!C7)-N33</f>
        <v>9039.3735325155249</v>
      </c>
      <c r="AA33" s="459">
        <f>((C33/Population_Tables!P7)*Population_Tables!D7)-O33</f>
        <v>2720.0017550399202</v>
      </c>
      <c r="AB33" s="459">
        <f>((D33/Population_Tables!Q7)*Population_Tables!E7)-P33</f>
        <v>493.91855706875918</v>
      </c>
      <c r="AC33" s="459">
        <f>((E33/Population_Tables!R7)*Population_Tables!F7)-Q33</f>
        <v>3551.2418464407797</v>
      </c>
      <c r="AD33" s="459">
        <f>((F33/Population_Tables!S7)*Population_Tables!G7)-R33</f>
        <v>414.32860573338587</v>
      </c>
      <c r="AE33" s="459">
        <f>((G33/Population_Tables!T7)*Population_Tables!H7)-S33</f>
        <v>276.87697292427902</v>
      </c>
      <c r="AF33" s="459">
        <f>(H33/Population_Tables!U7)*Population_Tables!I7</f>
        <v>2905.3448801429599</v>
      </c>
      <c r="AG33" s="459">
        <f>(I33/Population_Tables!V7)*Population_Tables!J7</f>
        <v>886.48701995570002</v>
      </c>
      <c r="AH33" s="459">
        <f>(J33/Population_Tables!W7)*Population_Tables!K7</f>
        <v>1118.9437538443153</v>
      </c>
      <c r="AI33" s="459">
        <f>(K33/Population_Tables!X7)*Population_Tables!L7</f>
        <v>1205.1763790426421</v>
      </c>
      <c r="AK33" s="456">
        <v>2018</v>
      </c>
      <c r="AL33" s="459">
        <f t="shared" si="6"/>
        <v>10394.544337423598</v>
      </c>
      <c r="AM33" s="459">
        <f t="shared" si="3"/>
        <v>2720.0017550399202</v>
      </c>
      <c r="AN33" s="459">
        <f t="shared" si="3"/>
        <v>493.91855706875918</v>
      </c>
      <c r="AO33" s="459">
        <f t="shared" si="3"/>
        <v>4232.7006344701258</v>
      </c>
      <c r="AP33" s="459">
        <f t="shared" si="3"/>
        <v>986.52686898869933</v>
      </c>
      <c r="AQ33" s="459">
        <f t="shared" si="3"/>
        <v>378.39072654769211</v>
      </c>
      <c r="AR33" s="459">
        <f t="shared" si="3"/>
        <v>2905.3448801429599</v>
      </c>
      <c r="AS33" s="459">
        <f t="shared" si="3"/>
        <v>886.48701995570002</v>
      </c>
      <c r="AT33" s="459">
        <f t="shared" si="3"/>
        <v>1118.9437538443153</v>
      </c>
      <c r="AU33" s="459">
        <f t="shared" si="3"/>
        <v>1205.1763790426421</v>
      </c>
      <c r="AW33" s="216">
        <f>(B33/Population_Tables!O7)*Population_Tables!C7</f>
        <v>10394.544337423597</v>
      </c>
      <c r="AX33" s="153" t="b">
        <f t="shared" si="7"/>
        <v>0</v>
      </c>
      <c r="AY33" s="421">
        <f t="shared" si="4"/>
        <v>8811.5385421151968</v>
      </c>
      <c r="AZ33" s="153" t="str">
        <f t="shared" si="5"/>
        <v>OK</v>
      </c>
      <c r="BB33" s="216">
        <f>(C33/Population_Tables!P7)*Population_Tables!D7</f>
        <v>2720.0017550399202</v>
      </c>
      <c r="BC33" s="216">
        <f>(D33/Population_Tables!Q7)*Population_Tables!E7</f>
        <v>493.91855706875918</v>
      </c>
      <c r="BD33" s="216">
        <f>(E33/Population_Tables!R7)*Population_Tables!F7</f>
        <v>4232.7006344701258</v>
      </c>
      <c r="BE33" s="216">
        <f>(F33/Population_Tables!S7)*Population_Tables!G7</f>
        <v>986.52686898869933</v>
      </c>
      <c r="BF33" s="216">
        <f>(G33/Population_Tables!T7)*Population_Tables!H7</f>
        <v>378.39072654769217</v>
      </c>
      <c r="BG33" s="216"/>
      <c r="BN33" s="216"/>
      <c r="BO33" s="216"/>
      <c r="BP33" s="216"/>
    </row>
    <row r="34" spans="1:68" ht="16.2" thickBot="1" x14ac:dyDescent="0.35">
      <c r="A34" s="198">
        <v>2019</v>
      </c>
      <c r="B34" s="230">
        <v>10650.261250630272</v>
      </c>
      <c r="C34" s="230">
        <v>2742.1092280783487</v>
      </c>
      <c r="D34" s="230">
        <v>500.6717256054859</v>
      </c>
      <c r="E34" s="230">
        <v>4364.0640762054863</v>
      </c>
      <c r="F34" s="230">
        <v>1017.0572835957753</v>
      </c>
      <c r="G34" s="230">
        <v>385.65846512391283</v>
      </c>
      <c r="H34" s="230">
        <v>2976.7986834632438</v>
      </c>
      <c r="I34" s="230">
        <v>931.53709237213911</v>
      </c>
      <c r="J34" s="230">
        <v>1126.8264992002069</v>
      </c>
      <c r="K34" s="230">
        <v>1217.5639826387901</v>
      </c>
      <c r="M34" s="198">
        <v>2019</v>
      </c>
      <c r="N34" s="419">
        <f t="shared" si="2"/>
        <v>1409.6686364650081</v>
      </c>
      <c r="O34" s="418">
        <f>(C34/Population_Tables!P8)*Population_Tables!D67</f>
        <v>0</v>
      </c>
      <c r="P34" s="418">
        <f>(D34/Population_Tables!Q8)*Population_Tables!E67</f>
        <v>0</v>
      </c>
      <c r="Q34" s="418">
        <f>((E34-H34)/Population_Tables!R8)*Population_Tables!F67</f>
        <v>714.17397321862279</v>
      </c>
      <c r="R34" s="418">
        <f>(F34/Population_Tables!S8)*Population_Tables!G67</f>
        <v>591.75897907764363</v>
      </c>
      <c r="S34" s="418">
        <f>(G34/Population_Tables!T8)*Population_Tables!H67</f>
        <v>103.73568416874167</v>
      </c>
      <c r="T34" s="418">
        <f>(H34/Population_Tables!U8)*Population_Tables!I67</f>
        <v>0</v>
      </c>
      <c r="U34" s="418">
        <f>(I34/Population_Tables!V8)*Population_Tables!J67</f>
        <v>0</v>
      </c>
      <c r="V34" s="418">
        <f>(J34/Population_Tables!W8)*Population_Tables!K67</f>
        <v>0</v>
      </c>
      <c r="W34" s="418">
        <f>(K34/Population_Tables!X8)*Population_Tables!L67</f>
        <v>0</v>
      </c>
      <c r="Y34" s="456">
        <v>2019</v>
      </c>
      <c r="Z34" s="459">
        <f>((B34/Population_Tables!O8)*Population_Tables!C8)-N34</f>
        <v>9240.5768227834924</v>
      </c>
      <c r="AA34" s="459">
        <f>((C34/Population_Tables!P8)*Population_Tables!D8)-O34</f>
        <v>2742.1092280783487</v>
      </c>
      <c r="AB34" s="459">
        <f>((D34/Population_Tables!Q8)*Population_Tables!E8)-P34</f>
        <v>500.67172560548596</v>
      </c>
      <c r="AC34" s="459">
        <f>((E34/Population_Tables!R8)*Population_Tables!F8)-Q34</f>
        <v>3649.8780585616346</v>
      </c>
      <c r="AD34" s="459">
        <f>((F34/Population_Tables!S8)*Population_Tables!G8)-R34</f>
        <v>425.29830451813154</v>
      </c>
      <c r="AE34" s="459">
        <f>((G34/Population_Tables!T8)*Population_Tables!H8)-S34</f>
        <v>281.92278095517122</v>
      </c>
      <c r="AF34" s="459">
        <f>(H34/Population_Tables!U8)*Population_Tables!I8</f>
        <v>2976.7986834632438</v>
      </c>
      <c r="AG34" s="459">
        <f>(I34/Population_Tables!V8)*Population_Tables!J8</f>
        <v>931.53709237213911</v>
      </c>
      <c r="AH34" s="459">
        <f>(J34/Population_Tables!W8)*Population_Tables!K8</f>
        <v>1126.8264992002069</v>
      </c>
      <c r="AI34" s="459">
        <f>(K34/Population_Tables!X8)*Population_Tables!L8</f>
        <v>1217.5639826387901</v>
      </c>
      <c r="AK34" s="456">
        <v>2019</v>
      </c>
      <c r="AL34" s="459">
        <f t="shared" si="6"/>
        <v>10650.245459248501</v>
      </c>
      <c r="AM34" s="459">
        <f t="shared" si="3"/>
        <v>2742.1092280783487</v>
      </c>
      <c r="AN34" s="459">
        <f t="shared" si="3"/>
        <v>500.67172560548596</v>
      </c>
      <c r="AO34" s="459">
        <f t="shared" si="3"/>
        <v>4364.0520317802575</v>
      </c>
      <c r="AP34" s="459">
        <f t="shared" si="3"/>
        <v>1017.0572835957752</v>
      </c>
      <c r="AQ34" s="459">
        <f t="shared" si="3"/>
        <v>385.65846512391289</v>
      </c>
      <c r="AR34" s="459">
        <f t="shared" si="3"/>
        <v>2976.7986834632438</v>
      </c>
      <c r="AS34" s="459">
        <f t="shared" si="3"/>
        <v>931.53709237213911</v>
      </c>
      <c r="AT34" s="459">
        <f t="shared" si="3"/>
        <v>1126.8264992002069</v>
      </c>
      <c r="AU34" s="459">
        <f t="shared" si="3"/>
        <v>1217.5639826387901</v>
      </c>
      <c r="AW34" s="216">
        <f>(B34/Population_Tables!O8)*Population_Tables!C8</f>
        <v>10650.245459248501</v>
      </c>
      <c r="AX34" s="153" t="str">
        <f t="shared" si="7"/>
        <v>OK</v>
      </c>
      <c r="AY34" s="421">
        <f t="shared" si="4"/>
        <v>9009.5487341837816</v>
      </c>
      <c r="AZ34" s="153" t="str">
        <f t="shared" si="5"/>
        <v>OK</v>
      </c>
      <c r="BB34" s="216">
        <f>(C34/Population_Tables!P8)*Population_Tables!D8</f>
        <v>2742.1092280783487</v>
      </c>
      <c r="BC34" s="216">
        <f>(D34/Population_Tables!Q8)*Population_Tables!E8</f>
        <v>500.67172560548596</v>
      </c>
      <c r="BD34" s="216">
        <f>(E34/Population_Tables!R8)*Population_Tables!F8</f>
        <v>4364.0520317802575</v>
      </c>
      <c r="BE34" s="216">
        <f>(F34/Population_Tables!S8)*Population_Tables!G8</f>
        <v>1017.0572835957752</v>
      </c>
      <c r="BF34" s="216">
        <f>(G34/Population_Tables!T8)*Population_Tables!H8</f>
        <v>385.65846512391289</v>
      </c>
      <c r="BG34" s="216"/>
      <c r="BN34" s="216"/>
      <c r="BO34" s="216"/>
      <c r="BP34" s="216"/>
    </row>
    <row r="35" spans="1:68" ht="15.6" x14ac:dyDescent="0.3">
      <c r="A35" s="201">
        <v>2020</v>
      </c>
      <c r="B35" s="228">
        <v>10908.460354198847</v>
      </c>
      <c r="C35" s="228">
        <v>2763.9468054892232</v>
      </c>
      <c r="D35" s="228">
        <v>507.61530266510613</v>
      </c>
      <c r="E35" s="228">
        <v>4497.2552602930873</v>
      </c>
      <c r="F35" s="228">
        <v>1048.7428944153305</v>
      </c>
      <c r="G35" s="228">
        <v>393.03164346324149</v>
      </c>
      <c r="H35" s="228">
        <v>3045.9995826031782</v>
      </c>
      <c r="I35" s="228">
        <v>979.96817876905379</v>
      </c>
      <c r="J35" s="228">
        <v>1134.2595673351702</v>
      </c>
      <c r="K35" s="228">
        <v>1230.0799290821146</v>
      </c>
      <c r="M35" s="201">
        <v>2020</v>
      </c>
      <c r="N35" s="419">
        <f t="shared" si="2"/>
        <v>1467.2720773970264</v>
      </c>
      <c r="O35" s="418">
        <f>(C35/Population_Tables!P9)*Population_Tables!D68</f>
        <v>0</v>
      </c>
      <c r="P35" s="418">
        <f>(D35/Population_Tables!Q9)*Population_Tables!E68</f>
        <v>0</v>
      </c>
      <c r="Q35" s="418">
        <f>((E35-H35)/Population_Tables!R9)*Population_Tables!F68</f>
        <v>749.24963417253434</v>
      </c>
      <c r="R35" s="418">
        <f>(F35/Population_Tables!S9)*Population_Tables!G68</f>
        <v>612.0367969957839</v>
      </c>
      <c r="S35" s="418">
        <f>(G35/Population_Tables!T9)*Population_Tables!H68</f>
        <v>105.98564622870808</v>
      </c>
      <c r="T35" s="418">
        <f>(H35/Population_Tables!U9)*Population_Tables!I68</f>
        <v>0</v>
      </c>
      <c r="U35" s="418">
        <f>(I35/Population_Tables!V9)*Population_Tables!J68</f>
        <v>0</v>
      </c>
      <c r="V35" s="418">
        <f>(J35/Population_Tables!W9)*Population_Tables!K68</f>
        <v>0</v>
      </c>
      <c r="W35" s="418">
        <f>(K35/Population_Tables!X9)*Population_Tables!L68</f>
        <v>0</v>
      </c>
      <c r="Y35" s="456">
        <v>2020</v>
      </c>
      <c r="Z35" s="459">
        <f>((B35/Population_Tables!O9)*Population_Tables!C9)-N35</f>
        <v>9441.1725385326299</v>
      </c>
      <c r="AA35" s="459">
        <f>((C35/Population_Tables!P9)*Population_Tables!D9)-O35</f>
        <v>2763.9468054892232</v>
      </c>
      <c r="AB35" s="459">
        <f>((D35/Population_Tables!Q9)*Population_Tables!E9)-P35</f>
        <v>507.61530266510613</v>
      </c>
      <c r="AC35" s="459">
        <f>((E35/Population_Tables!R9)*Population_Tables!F9)-Q35</f>
        <v>3747.9935219510598</v>
      </c>
      <c r="AD35" s="459">
        <f>((F35/Population_Tables!S9)*Population_Tables!G9)-R35</f>
        <v>436.70609741954661</v>
      </c>
      <c r="AE35" s="459">
        <f>((G35/Population_Tables!T9)*Population_Tables!H9)-S35</f>
        <v>287.04599723453339</v>
      </c>
      <c r="AF35" s="459">
        <f>(H35/Population_Tables!U9)*Population_Tables!I9</f>
        <v>3045.9995826031782</v>
      </c>
      <c r="AG35" s="459">
        <f>(I35/Population_Tables!V9)*Population_Tables!J9</f>
        <v>979.96817876905391</v>
      </c>
      <c r="AH35" s="459">
        <f>(J35/Population_Tables!W9)*Population_Tables!K9</f>
        <v>1134.2595673351702</v>
      </c>
      <c r="AI35" s="459">
        <f>(K35/Population_Tables!X9)*Population_Tables!L9</f>
        <v>1230.0799290821146</v>
      </c>
      <c r="AK35" s="456">
        <v>2020</v>
      </c>
      <c r="AL35" s="459">
        <f t="shared" si="6"/>
        <v>10908.444615929657</v>
      </c>
      <c r="AM35" s="459">
        <f t="shared" si="3"/>
        <v>2763.9468054892232</v>
      </c>
      <c r="AN35" s="459">
        <f t="shared" si="3"/>
        <v>507.61530266510613</v>
      </c>
      <c r="AO35" s="459">
        <f t="shared" si="3"/>
        <v>4497.2431561235944</v>
      </c>
      <c r="AP35" s="459">
        <f t="shared" si="3"/>
        <v>1048.7428944153305</v>
      </c>
      <c r="AQ35" s="459">
        <f t="shared" si="3"/>
        <v>393.03164346324149</v>
      </c>
      <c r="AR35" s="459">
        <f t="shared" si="3"/>
        <v>3045.9995826031782</v>
      </c>
      <c r="AS35" s="459">
        <f t="shared" si="3"/>
        <v>979.96817876905391</v>
      </c>
      <c r="AT35" s="459">
        <f t="shared" si="3"/>
        <v>1134.2595673351702</v>
      </c>
      <c r="AU35" s="459">
        <f t="shared" si="3"/>
        <v>1230.0799290821146</v>
      </c>
      <c r="AW35" s="216">
        <f>(B35/Population_Tables!O9)*Population_Tables!C9</f>
        <v>10908.444615929657</v>
      </c>
      <c r="AX35" s="153" t="str">
        <f t="shared" si="7"/>
        <v>OK</v>
      </c>
      <c r="AY35" s="421">
        <f t="shared" si="4"/>
        <v>9210.579802156497</v>
      </c>
      <c r="AZ35" s="153" t="str">
        <f t="shared" si="5"/>
        <v>OK</v>
      </c>
      <c r="BB35" s="216">
        <f>(C35/Population_Tables!P9)*Population_Tables!D9</f>
        <v>2763.9468054892232</v>
      </c>
      <c r="BC35" s="216">
        <f>(D35/Population_Tables!Q9)*Population_Tables!E9</f>
        <v>507.61530266510613</v>
      </c>
      <c r="BD35" s="216">
        <f>(E35/Population_Tables!R9)*Population_Tables!F9</f>
        <v>4497.2431561235944</v>
      </c>
      <c r="BE35" s="216">
        <f>(F35/Population_Tables!S9)*Population_Tables!G9</f>
        <v>1048.7428944153305</v>
      </c>
      <c r="BF35" s="216">
        <f>(G35/Population_Tables!T9)*Population_Tables!H9</f>
        <v>393.03164346324144</v>
      </c>
      <c r="BG35" s="216"/>
      <c r="BN35" s="216"/>
      <c r="BO35" s="216"/>
      <c r="BP35" s="216"/>
    </row>
    <row r="36" spans="1:68" ht="15.6" x14ac:dyDescent="0.3">
      <c r="A36" s="206">
        <v>2021</v>
      </c>
      <c r="B36" s="229">
        <v>11175.394190832472</v>
      </c>
      <c r="C36" s="229">
        <v>2785.7461583305176</v>
      </c>
      <c r="D36" s="229">
        <v>514.26487845699648</v>
      </c>
      <c r="E36" s="229">
        <v>4635.981753747119</v>
      </c>
      <c r="F36" s="229">
        <v>1080.8457502610968</v>
      </c>
      <c r="G36" s="229">
        <v>400.50328074507274</v>
      </c>
      <c r="H36" s="229">
        <v>3116.262397727588</v>
      </c>
      <c r="I36" s="229">
        <v>1030.7967155859953</v>
      </c>
      <c r="J36" s="229">
        <v>1142.3091795671289</v>
      </c>
      <c r="K36" s="229">
        <v>1242.5873436600386</v>
      </c>
      <c r="M36" s="206">
        <v>2021</v>
      </c>
      <c r="N36" s="419">
        <f t="shared" si="2"/>
        <v>1530.0626773991469</v>
      </c>
      <c r="O36" s="418">
        <f>(C36/Population_Tables!P10)*Population_Tables!D69</f>
        <v>0</v>
      </c>
      <c r="P36" s="418">
        <f>(D36/Population_Tables!Q10)*Population_Tables!E69</f>
        <v>0</v>
      </c>
      <c r="Q36" s="418">
        <f>((E36-H36)/Population_Tables!R10)*Population_Tables!F69</f>
        <v>788.31041757989658</v>
      </c>
      <c r="R36" s="418">
        <f>(F36/Population_Tables!S10)*Population_Tables!G69</f>
        <v>633.24641361095894</v>
      </c>
      <c r="S36" s="418">
        <f>(G36/Population_Tables!T10)*Population_Tables!H69</f>
        <v>108.50584620829142</v>
      </c>
      <c r="T36" s="418">
        <f>(H36/Population_Tables!U10)*Population_Tables!I69</f>
        <v>0</v>
      </c>
      <c r="U36" s="418">
        <f>(I36/Population_Tables!V10)*Population_Tables!J69</f>
        <v>0</v>
      </c>
      <c r="V36" s="418">
        <f>(J36/Population_Tables!W10)*Population_Tables!K69</f>
        <v>0</v>
      </c>
      <c r="W36" s="418">
        <f>(K36/Population_Tables!X10)*Population_Tables!L69</f>
        <v>0</v>
      </c>
      <c r="Y36" s="456">
        <v>2021</v>
      </c>
      <c r="Z36" s="459">
        <f>((B36/Population_Tables!O10)*Population_Tables!C10)-N36</f>
        <v>9659.4635514088532</v>
      </c>
      <c r="AA36" s="459">
        <f>((C36/Population_Tables!P10)*Population_Tables!D10)-O36</f>
        <v>2788.6356150444499</v>
      </c>
      <c r="AB36" s="459">
        <f>((D36/Population_Tables!Q10)*Population_Tables!E10)-P36</f>
        <v>514.87498340930961</v>
      </c>
      <c r="AC36" s="459">
        <f>((E36/Population_Tables!R10)*Population_Tables!F10)-Q36</f>
        <v>3853.2065110965946</v>
      </c>
      <c r="AD36" s="459">
        <f>((F36/Population_Tables!S10)*Population_Tables!G10)-R36</f>
        <v>449.04846836856984</v>
      </c>
      <c r="AE36" s="459">
        <f>((G36/Population_Tables!T10)*Population_Tables!H10)-S36</f>
        <v>292.75590078962017</v>
      </c>
      <c r="AF36" s="459">
        <f>(H36/Population_Tables!U10)*Population_Tables!I10</f>
        <v>3119.5324614873771</v>
      </c>
      <c r="AG36" s="459">
        <f>(I36/Population_Tables!V10)*Population_Tables!J10</f>
        <v>1031.9825931359508</v>
      </c>
      <c r="AH36" s="459">
        <f>(J36/Population_Tables!W10)*Population_Tables!K10</f>
        <v>1143.4909982119539</v>
      </c>
      <c r="AI36" s="459">
        <f>(K36/Population_Tables!X10)*Population_Tables!L10</f>
        <v>1243.9001066395401</v>
      </c>
      <c r="AK36" s="456">
        <v>2021</v>
      </c>
      <c r="AL36" s="459">
        <f t="shared" si="6"/>
        <v>11189.526228807999</v>
      </c>
      <c r="AM36" s="459">
        <f t="shared" si="3"/>
        <v>2788.6356150444499</v>
      </c>
      <c r="AN36" s="459">
        <f t="shared" si="3"/>
        <v>514.87498340930961</v>
      </c>
      <c r="AO36" s="459">
        <f t="shared" si="3"/>
        <v>4641.5169286764913</v>
      </c>
      <c r="AP36" s="459">
        <f t="shared" si="3"/>
        <v>1082.2948819795288</v>
      </c>
      <c r="AQ36" s="459">
        <f t="shared" si="3"/>
        <v>401.26174699791159</v>
      </c>
      <c r="AR36" s="459">
        <f t="shared" si="3"/>
        <v>3119.5324614873771</v>
      </c>
      <c r="AS36" s="459">
        <f t="shared" si="3"/>
        <v>1031.9825931359508</v>
      </c>
      <c r="AT36" s="459">
        <f t="shared" si="3"/>
        <v>1143.4909982119539</v>
      </c>
      <c r="AU36" s="459">
        <f t="shared" si="3"/>
        <v>1243.9001066395401</v>
      </c>
      <c r="AW36" s="216">
        <f>(B36/Population_Tables!O10)*Population_Tables!C10</f>
        <v>11189.526228807999</v>
      </c>
      <c r="AX36" s="153" t="str">
        <f t="shared" si="7"/>
        <v>OK</v>
      </c>
      <c r="AY36" s="421">
        <f t="shared" si="4"/>
        <v>9428.5841561076923</v>
      </c>
      <c r="AZ36" s="153" t="str">
        <f t="shared" si="5"/>
        <v>OK</v>
      </c>
      <c r="BB36" s="216">
        <f>(C36/Population_Tables!P10)*Population_Tables!D10</f>
        <v>2788.6356150444499</v>
      </c>
      <c r="BC36" s="216">
        <f>(D36/Population_Tables!Q10)*Population_Tables!E10</f>
        <v>514.87498340930961</v>
      </c>
      <c r="BD36" s="216">
        <f>(E36/Population_Tables!R10)*Population_Tables!F10</f>
        <v>4641.5169286764913</v>
      </c>
      <c r="BE36" s="216">
        <f>(F36/Population_Tables!S10)*Population_Tables!G10</f>
        <v>1082.2948819795288</v>
      </c>
      <c r="BF36" s="216">
        <f>(G36/Population_Tables!T10)*Population_Tables!H10</f>
        <v>401.26174699791159</v>
      </c>
      <c r="BG36" s="216"/>
      <c r="BN36" s="216"/>
      <c r="BO36" s="216"/>
      <c r="BP36" s="216"/>
    </row>
    <row r="37" spans="1:68" ht="15.6" x14ac:dyDescent="0.3">
      <c r="A37" s="206">
        <v>2022</v>
      </c>
      <c r="B37" s="229">
        <v>11444.801627945155</v>
      </c>
      <c r="C37" s="229">
        <v>2807.2701850274329</v>
      </c>
      <c r="D37" s="229">
        <v>521.09767340243968</v>
      </c>
      <c r="E37" s="229">
        <v>4776.4432028281408</v>
      </c>
      <c r="F37" s="229">
        <v>1114.2457771801273</v>
      </c>
      <c r="G37" s="229">
        <v>408.07518162479823</v>
      </c>
      <c r="H37" s="229">
        <v>3184.2795208055895</v>
      </c>
      <c r="I37" s="229">
        <v>1084.9722148538242</v>
      </c>
      <c r="J37" s="229">
        <v>1149.9173414863878</v>
      </c>
      <c r="K37" s="229">
        <v>1255.2246381078508</v>
      </c>
      <c r="M37" s="206">
        <v>2022</v>
      </c>
      <c r="N37" s="419">
        <f t="shared" si="2"/>
        <v>1596.9835475943244</v>
      </c>
      <c r="O37" s="418">
        <f>(C37/Population_Tables!P11)*Population_Tables!D70</f>
        <v>0</v>
      </c>
      <c r="P37" s="418">
        <f>(D37/Population_Tables!Q11)*Population_Tables!E70</f>
        <v>0</v>
      </c>
      <c r="Q37" s="418">
        <f>((E37-H37)/Population_Tables!R11)*Population_Tables!F70</f>
        <v>830.29217081836134</v>
      </c>
      <c r="R37" s="418">
        <f>(F37/Population_Tables!S11)*Population_Tables!G70</f>
        <v>655.59994767637318</v>
      </c>
      <c r="S37" s="418">
        <f>(G37/Population_Tables!T11)*Population_Tables!H70</f>
        <v>111.09142909959002</v>
      </c>
      <c r="T37" s="418">
        <f>(H37/Population_Tables!U11)*Population_Tables!I70</f>
        <v>0</v>
      </c>
      <c r="U37" s="418">
        <f>(I37/Population_Tables!V11)*Population_Tables!J70</f>
        <v>0</v>
      </c>
      <c r="V37" s="418">
        <f>(J37/Population_Tables!W11)*Population_Tables!K70</f>
        <v>0</v>
      </c>
      <c r="W37" s="418">
        <f>(K37/Population_Tables!X11)*Population_Tables!L70</f>
        <v>0</v>
      </c>
      <c r="Y37" s="456">
        <v>2022</v>
      </c>
      <c r="Z37" s="459">
        <f>((B37/Population_Tables!O11)*Population_Tables!C11)-N37</f>
        <v>9880.1919733041559</v>
      </c>
      <c r="AA37" s="459">
        <f>((C37/Population_Tables!P11)*Population_Tables!D11)-O37</f>
        <v>2813.8982786366714</v>
      </c>
      <c r="AB37" s="459">
        <f>((D37/Population_Tables!Q11)*Population_Tables!E11)-P37</f>
        <v>522.43942718131154</v>
      </c>
      <c r="AC37" s="459">
        <f>((E37/Population_Tables!R11)*Population_Tables!F11)-Q37</f>
        <v>3959.3956493771857</v>
      </c>
      <c r="AD37" s="459">
        <f>((F37/Population_Tables!S11)*Population_Tables!G11)-R37</f>
        <v>461.86368013229458</v>
      </c>
      <c r="AE37" s="459">
        <f>((G37/Population_Tables!T11)*Population_Tables!H11)-S37</f>
        <v>298.55343175126262</v>
      </c>
      <c r="AF37" s="459">
        <f>(H37/Population_Tables!U11)*Population_Tables!I11</f>
        <v>3191.731770151232</v>
      </c>
      <c r="AG37" s="459">
        <f>(I37/Population_Tables!V11)*Population_Tables!J11</f>
        <v>1087.9715090399438</v>
      </c>
      <c r="AH37" s="459">
        <f>(J37/Population_Tables!W11)*Population_Tables!K11</f>
        <v>1152.5771139428557</v>
      </c>
      <c r="AI37" s="459">
        <f>(K37/Population_Tables!X11)*Population_Tables!L11</f>
        <v>1258.2938830183361</v>
      </c>
      <c r="AK37" s="456">
        <v>2022</v>
      </c>
      <c r="AL37" s="459">
        <f t="shared" si="6"/>
        <v>11477.17552089848</v>
      </c>
      <c r="AM37" s="459">
        <f t="shared" si="3"/>
        <v>2813.8982786366714</v>
      </c>
      <c r="AN37" s="459">
        <f t="shared" si="3"/>
        <v>522.43942718131154</v>
      </c>
      <c r="AO37" s="459">
        <f t="shared" si="3"/>
        <v>4789.6878201955469</v>
      </c>
      <c r="AP37" s="459">
        <f t="shared" si="3"/>
        <v>1117.4636278086678</v>
      </c>
      <c r="AQ37" s="459">
        <f t="shared" si="3"/>
        <v>409.64486085085264</v>
      </c>
      <c r="AR37" s="459">
        <f t="shared" si="3"/>
        <v>3191.731770151232</v>
      </c>
      <c r="AS37" s="459">
        <f t="shared" si="3"/>
        <v>1087.9715090399438</v>
      </c>
      <c r="AT37" s="459">
        <f t="shared" si="3"/>
        <v>1152.5771139428557</v>
      </c>
      <c r="AU37" s="459">
        <f t="shared" si="3"/>
        <v>1258.2938830183361</v>
      </c>
      <c r="AW37" s="216">
        <f>(B37/Population_Tables!O11)*Population_Tables!C11</f>
        <v>11477.17552089848</v>
      </c>
      <c r="AX37" s="153" t="str">
        <f t="shared" si="7"/>
        <v>OK</v>
      </c>
      <c r="AY37" s="421">
        <f t="shared" si="4"/>
        <v>9653.1340146730508</v>
      </c>
      <c r="AZ37" s="153" t="str">
        <f t="shared" si="5"/>
        <v>OK</v>
      </c>
      <c r="BB37" s="216">
        <f>(C37/Population_Tables!P11)*Population_Tables!D11</f>
        <v>2813.8982786366714</v>
      </c>
      <c r="BC37" s="216">
        <f>(D37/Population_Tables!Q11)*Population_Tables!E11</f>
        <v>522.43942718131154</v>
      </c>
      <c r="BD37" s="216">
        <f>(E37/Population_Tables!R11)*Population_Tables!F11</f>
        <v>4789.6878201955469</v>
      </c>
      <c r="BE37" s="216">
        <f>(F37/Population_Tables!S11)*Population_Tables!G11</f>
        <v>1117.4636278086678</v>
      </c>
      <c r="BF37" s="216">
        <f>(G37/Population_Tables!T11)*Population_Tables!H11</f>
        <v>409.64486085085264</v>
      </c>
      <c r="BG37" s="216"/>
      <c r="BN37" s="216"/>
      <c r="BO37" s="216"/>
      <c r="BP37" s="216"/>
    </row>
    <row r="38" spans="1:68" ht="15.6" x14ac:dyDescent="0.3">
      <c r="A38" s="206">
        <v>2023</v>
      </c>
      <c r="B38" s="229">
        <v>11718.807882126002</v>
      </c>
      <c r="C38" s="229">
        <v>2828.6166313422141</v>
      </c>
      <c r="D38" s="229">
        <v>527.95364034365525</v>
      </c>
      <c r="E38" s="229">
        <v>4919.8731126518278</v>
      </c>
      <c r="F38" s="229">
        <v>1148.7348110101193</v>
      </c>
      <c r="G38" s="229">
        <v>415.74339580225444</v>
      </c>
      <c r="H38" s="229">
        <v>3251.1830176750364</v>
      </c>
      <c r="I38" s="229">
        <v>1142.1600173801307</v>
      </c>
      <c r="J38" s="229">
        <v>1157.4418185136042</v>
      </c>
      <c r="K38" s="229">
        <v>1267.9309243923099</v>
      </c>
      <c r="M38" s="206">
        <v>2023</v>
      </c>
      <c r="N38" s="419">
        <f t="shared" si="2"/>
        <v>1667.9523283952344</v>
      </c>
      <c r="O38" s="418">
        <f>(C38/Population_Tables!P12)*Population_Tables!D71</f>
        <v>0</v>
      </c>
      <c r="P38" s="418">
        <f>(D38/Population_Tables!Q12)*Population_Tables!E71</f>
        <v>0</v>
      </c>
      <c r="Q38" s="418">
        <f>((E38-H38)/Population_Tables!R12)*Population_Tables!F71</f>
        <v>875.24454320290533</v>
      </c>
      <c r="R38" s="418">
        <f>(F38/Population_Tables!S12)*Population_Tables!G71</f>
        <v>678.96347377311588</v>
      </c>
      <c r="S38" s="418">
        <f>(G38/Population_Tables!T12)*Population_Tables!H71</f>
        <v>113.74431141921343</v>
      </c>
      <c r="T38" s="418">
        <f>(H38/Population_Tables!U12)*Population_Tables!I71</f>
        <v>0</v>
      </c>
      <c r="U38" s="418">
        <f>(I38/Population_Tables!V12)*Population_Tables!J71</f>
        <v>0</v>
      </c>
      <c r="V38" s="418">
        <f>(J38/Population_Tables!W12)*Population_Tables!K71</f>
        <v>0</v>
      </c>
      <c r="W38" s="418">
        <f>(K38/Population_Tables!X12)*Population_Tables!L71</f>
        <v>0</v>
      </c>
      <c r="Y38" s="456">
        <v>2023</v>
      </c>
      <c r="Z38" s="459">
        <f>((B38/Population_Tables!O12)*Population_Tables!C12)-N38</f>
        <v>10105.238399976262</v>
      </c>
      <c r="AA38" s="459">
        <f>((C38/Population_Tables!P12)*Population_Tables!D12)-O38</f>
        <v>2839.7128187081348</v>
      </c>
      <c r="AB38" s="459">
        <f>((D38/Population_Tables!Q12)*Population_Tables!E12)-P38</f>
        <v>530.14111472454897</v>
      </c>
      <c r="AC38" s="459">
        <f>((E38/Population_Tables!R12)*Population_Tables!F12)-Q38</f>
        <v>4067.5354664477727</v>
      </c>
      <c r="AD38" s="459">
        <f>((F38/Population_Tables!S12)*Population_Tables!G12)-R38</f>
        <v>475.07590805592974</v>
      </c>
      <c r="AE38" s="459">
        <f>((G38/Population_Tables!T12)*Population_Tables!H12)-S38</f>
        <v>304.45473771225454</v>
      </c>
      <c r="AF38" s="459">
        <f>(H38/Population_Tables!U12)*Population_Tables!I12</f>
        <v>3263.6380083642443</v>
      </c>
      <c r="AG38" s="459">
        <f>(I38/Population_Tables!V12)*Population_Tables!J12</f>
        <v>1147.5608831757086</v>
      </c>
      <c r="AH38" s="459">
        <f>(J38/Population_Tables!W12)*Population_Tables!K12</f>
        <v>1161.8359279323113</v>
      </c>
      <c r="AI38" s="459">
        <f>(K38/Population_Tables!X12)*Population_Tables!L12</f>
        <v>1273.1382016554871</v>
      </c>
      <c r="AK38" s="456">
        <v>2023</v>
      </c>
      <c r="AL38" s="459">
        <f t="shared" si="6"/>
        <v>11773.190728371497</v>
      </c>
      <c r="AM38" s="459">
        <f t="shared" si="3"/>
        <v>2839.7128187081348</v>
      </c>
      <c r="AN38" s="459">
        <f t="shared" si="3"/>
        <v>530.14111472454897</v>
      </c>
      <c r="AO38" s="459">
        <f t="shared" si="3"/>
        <v>4942.780009650678</v>
      </c>
      <c r="AP38" s="459">
        <f t="shared" si="3"/>
        <v>1154.0393818290456</v>
      </c>
      <c r="AQ38" s="459">
        <f t="shared" si="3"/>
        <v>418.19904913146797</v>
      </c>
      <c r="AR38" s="459">
        <f t="shared" si="3"/>
        <v>3263.6380083642443</v>
      </c>
      <c r="AS38" s="459">
        <f t="shared" si="3"/>
        <v>1147.5608831757086</v>
      </c>
      <c r="AT38" s="459">
        <f t="shared" si="3"/>
        <v>1161.8359279323113</v>
      </c>
      <c r="AU38" s="459">
        <f t="shared" si="3"/>
        <v>1273.1382016554871</v>
      </c>
      <c r="AW38" s="216">
        <f>(B38/Population_Tables!O12)*Population_Tables!C12</f>
        <v>11773.190728371497</v>
      </c>
      <c r="AX38" s="153" t="str">
        <f t="shared" si="7"/>
        <v>OK</v>
      </c>
      <c r="AY38" s="421">
        <f t="shared" si="4"/>
        <v>9884.8723740438745</v>
      </c>
      <c r="AZ38" s="153" t="str">
        <f t="shared" si="5"/>
        <v>OK</v>
      </c>
      <c r="BB38" s="216">
        <f>(C38/Population_Tables!P12)*Population_Tables!D12</f>
        <v>2839.7128187081348</v>
      </c>
      <c r="BC38" s="216">
        <f>(D38/Population_Tables!Q12)*Population_Tables!E12</f>
        <v>530.14111472454897</v>
      </c>
      <c r="BD38" s="216">
        <f>(E38/Population_Tables!R12)*Population_Tables!F12</f>
        <v>4942.780009650678</v>
      </c>
      <c r="BE38" s="216">
        <f>(F38/Population_Tables!S12)*Population_Tables!G12</f>
        <v>1154.0393818290456</v>
      </c>
      <c r="BF38" s="216">
        <f>(G38/Population_Tables!T12)*Population_Tables!H12</f>
        <v>418.19904913146797</v>
      </c>
      <c r="BG38" s="216"/>
      <c r="BN38" s="216"/>
      <c r="BO38" s="216"/>
      <c r="BP38" s="216"/>
    </row>
    <row r="39" spans="1:68" ht="15.6" x14ac:dyDescent="0.3">
      <c r="A39" s="206">
        <v>2024</v>
      </c>
      <c r="B39" s="229">
        <v>11997.472770419705</v>
      </c>
      <c r="C39" s="229">
        <v>2849.8108085586646</v>
      </c>
      <c r="D39" s="229">
        <v>534.83421175507567</v>
      </c>
      <c r="E39" s="229">
        <v>5066.2678792333772</v>
      </c>
      <c r="F39" s="229">
        <v>1184.3716128453843</v>
      </c>
      <c r="G39" s="229">
        <v>423.50554548043726</v>
      </c>
      <c r="H39" s="229">
        <v>3317.0099055863388</v>
      </c>
      <c r="I39" s="229">
        <v>1202.3494033962738</v>
      </c>
      <c r="J39" s="229">
        <v>1164.8866715567274</v>
      </c>
      <c r="K39" s="229">
        <v>1280.6869265186424</v>
      </c>
      <c r="M39" s="206">
        <v>2024</v>
      </c>
      <c r="N39" s="419">
        <f t="shared" si="2"/>
        <v>1743.012238924865</v>
      </c>
      <c r="O39" s="418">
        <f>(C39/Population_Tables!P13)*Population_Tables!D72</f>
        <v>0</v>
      </c>
      <c r="P39" s="418">
        <f>(D39/Population_Tables!Q13)*Population_Tables!E72</f>
        <v>0</v>
      </c>
      <c r="Q39" s="418">
        <f>((E39-H39)/Population_Tables!R13)*Population_Tables!F72</f>
        <v>923.15501849620182</v>
      </c>
      <c r="R39" s="418">
        <f>(F39/Population_Tables!S13)*Population_Tables!G72</f>
        <v>703.38107777207358</v>
      </c>
      <c r="S39" s="418">
        <f>(G39/Population_Tables!T13)*Population_Tables!H72</f>
        <v>116.47614265658976</v>
      </c>
      <c r="T39" s="418">
        <f>(H39/Population_Tables!U13)*Population_Tables!I72</f>
        <v>0</v>
      </c>
      <c r="U39" s="418">
        <f>(I39/Population_Tables!V13)*Population_Tables!J72</f>
        <v>0</v>
      </c>
      <c r="V39" s="418">
        <f>(J39/Population_Tables!W13)*Population_Tables!K72</f>
        <v>0</v>
      </c>
      <c r="W39" s="418">
        <f>(K39/Population_Tables!X13)*Population_Tables!L72</f>
        <v>0</v>
      </c>
      <c r="Y39" s="456">
        <v>2024</v>
      </c>
      <c r="Z39" s="459">
        <f>((B39/Population_Tables!O13)*Population_Tables!C13)-N39</f>
        <v>10334.520680668842</v>
      </c>
      <c r="AA39" s="459">
        <f>((C39/Population_Tables!P13)*Population_Tables!D13)-O39</f>
        <v>2866.0072531615579</v>
      </c>
      <c r="AB39" s="459">
        <f>((D39/Population_Tables!Q13)*Population_Tables!E13)-P39</f>
        <v>537.9727066660505</v>
      </c>
      <c r="AC39" s="459">
        <f>((E39/Population_Tables!R13)*Population_Tables!F13)-Q39</f>
        <v>4177.4804797687148</v>
      </c>
      <c r="AD39" s="459">
        <f>((F39/Population_Tables!S13)*Population_Tables!G13)-R39</f>
        <v>488.72996074472519</v>
      </c>
      <c r="AE39" s="459">
        <f>((G39/Population_Tables!T13)*Population_Tables!H13)-S39</f>
        <v>310.49800931006223</v>
      </c>
      <c r="AF39" s="459">
        <f>(H39/Population_Tables!U13)*Population_Tables!I13</f>
        <v>3335.2129491577643</v>
      </c>
      <c r="AG39" s="459">
        <f>(I39/Population_Tables!V13)*Population_Tables!J13</f>
        <v>1210.718452704104</v>
      </c>
      <c r="AH39" s="459">
        <f>(J39/Population_Tables!W13)*Population_Tables!K13</f>
        <v>1171.2391907102738</v>
      </c>
      <c r="AI39" s="459">
        <f>(K39/Population_Tables!X13)*Population_Tables!L13</f>
        <v>1288.3639787651023</v>
      </c>
      <c r="AK39" s="456">
        <v>2024</v>
      </c>
      <c r="AL39" s="459">
        <f t="shared" si="6"/>
        <v>12077.532919593707</v>
      </c>
      <c r="AM39" s="459">
        <f t="shared" si="3"/>
        <v>2866.0072531615579</v>
      </c>
      <c r="AN39" s="459">
        <f t="shared" si="3"/>
        <v>537.9727066660505</v>
      </c>
      <c r="AO39" s="459">
        <f t="shared" si="3"/>
        <v>5100.6354982649164</v>
      </c>
      <c r="AP39" s="459">
        <f t="shared" si="3"/>
        <v>1192.1110385167988</v>
      </c>
      <c r="AQ39" s="459">
        <f t="shared" si="3"/>
        <v>426.97415196665202</v>
      </c>
      <c r="AR39" s="459">
        <f t="shared" si="3"/>
        <v>3335.2129491577643</v>
      </c>
      <c r="AS39" s="459">
        <f t="shared" si="3"/>
        <v>1210.718452704104</v>
      </c>
      <c r="AT39" s="459">
        <f t="shared" si="3"/>
        <v>1171.2391907102738</v>
      </c>
      <c r="AU39" s="459">
        <f t="shared" si="3"/>
        <v>1288.3639787651023</v>
      </c>
      <c r="AW39" s="216">
        <f>(B39/Population_Tables!O13)*Population_Tables!C13</f>
        <v>12077.532919593707</v>
      </c>
      <c r="AX39" s="153" t="str">
        <f t="shared" si="7"/>
        <v>OK</v>
      </c>
      <c r="AY39" s="421">
        <f t="shared" si="4"/>
        <v>10123.700648575976</v>
      </c>
      <c r="AZ39" s="153" t="str">
        <f t="shared" si="5"/>
        <v>OK</v>
      </c>
      <c r="BB39" s="216">
        <f>(C39/Population_Tables!P13)*Population_Tables!D13</f>
        <v>2866.0072531615579</v>
      </c>
      <c r="BC39" s="216">
        <f>(D39/Population_Tables!Q13)*Population_Tables!E13</f>
        <v>537.9727066660505</v>
      </c>
      <c r="BD39" s="216">
        <f>(E39/Population_Tables!R13)*Population_Tables!F13</f>
        <v>5100.6354982649164</v>
      </c>
      <c r="BE39" s="216">
        <f>(F39/Population_Tables!S13)*Population_Tables!G13</f>
        <v>1192.1110385167988</v>
      </c>
      <c r="BF39" s="216">
        <f>(G39/Population_Tables!T13)*Population_Tables!H13</f>
        <v>426.97415196665202</v>
      </c>
      <c r="BG39" s="216"/>
      <c r="BN39" s="216"/>
      <c r="BO39" s="216"/>
      <c r="BP39" s="216"/>
    </row>
    <row r="40" spans="1:68" ht="15.6" x14ac:dyDescent="0.3">
      <c r="A40" s="206">
        <v>2025</v>
      </c>
      <c r="B40" s="229">
        <v>12280.843580199029</v>
      </c>
      <c r="C40" s="229">
        <v>2870.8698496803208</v>
      </c>
      <c r="D40" s="229">
        <v>541.74105764825583</v>
      </c>
      <c r="E40" s="229">
        <v>5215.6149943797473</v>
      </c>
      <c r="F40" s="229">
        <v>1221.2183740589126</v>
      </c>
      <c r="G40" s="229">
        <v>431.35925838882849</v>
      </c>
      <c r="H40" s="229">
        <v>3381.7922267177792</v>
      </c>
      <c r="I40" s="229">
        <v>1265.5278448412607</v>
      </c>
      <c r="J40" s="229">
        <v>1172.2546053886406</v>
      </c>
      <c r="K40" s="229">
        <v>1293.477706009819</v>
      </c>
      <c r="M40" s="206">
        <v>2025</v>
      </c>
      <c r="N40" s="419">
        <f t="shared" si="2"/>
        <v>1822.2185833867388</v>
      </c>
      <c r="O40" s="418">
        <f>(C40/Population_Tables!P14)*Population_Tables!D73</f>
        <v>0</v>
      </c>
      <c r="P40" s="418">
        <f>(D40/Population_Tables!Q14)*Population_Tables!E73</f>
        <v>0</v>
      </c>
      <c r="Q40" s="418">
        <f>((E40-H40)/Population_Tables!R14)*Population_Tables!F73</f>
        <v>974.01959082045994</v>
      </c>
      <c r="R40" s="418">
        <f>(F40/Population_Tables!S14)*Population_Tables!G73</f>
        <v>728.90246588850528</v>
      </c>
      <c r="S40" s="418">
        <f>(G40/Population_Tables!T14)*Population_Tables!H73</f>
        <v>119.29652667777376</v>
      </c>
      <c r="T40" s="418">
        <f>(H40/Population_Tables!U14)*Population_Tables!I73</f>
        <v>0</v>
      </c>
      <c r="U40" s="418">
        <f>(I40/Population_Tables!V14)*Population_Tables!J73</f>
        <v>0</v>
      </c>
      <c r="V40" s="418">
        <f>(J40/Population_Tables!W14)*Population_Tables!K73</f>
        <v>0</v>
      </c>
      <c r="W40" s="418">
        <f>(K40/Population_Tables!X14)*Population_Tables!L73</f>
        <v>0</v>
      </c>
      <c r="Y40" s="456">
        <v>2025</v>
      </c>
      <c r="Z40" s="459">
        <f>((B40/Population_Tables!O14)*Population_Tables!C14)-N40</f>
        <v>10567.985150824728</v>
      </c>
      <c r="AA40" s="459">
        <f>((C40/Population_Tables!P14)*Population_Tables!D14)-O40</f>
        <v>2892.723891378846</v>
      </c>
      <c r="AB40" s="459">
        <f>((D40/Population_Tables!Q14)*Population_Tables!E14)-P40</f>
        <v>545.93032502042649</v>
      </c>
      <c r="AC40" s="459">
        <f>((E40/Population_Tables!R14)*Population_Tables!F14)-Q40</f>
        <v>4289.1156210718073</v>
      </c>
      <c r="AD40" s="459">
        <f>((F40/Population_Tables!S14)*Population_Tables!G14)-R40</f>
        <v>502.86802872112798</v>
      </c>
      <c r="AE40" s="459">
        <f>((G40/Population_Tables!T14)*Population_Tables!H14)-S40</f>
        <v>316.71150075333765</v>
      </c>
      <c r="AF40" s="459">
        <f>(H40/Population_Tables!U14)*Population_Tables!I14</f>
        <v>3406.4321118819453</v>
      </c>
      <c r="AG40" s="459">
        <f>(I40/Population_Tables!V14)*Population_Tables!J14</f>
        <v>1277.4232931696947</v>
      </c>
      <c r="AH40" s="459">
        <f>(J40/Population_Tables!W14)*Population_Tables!K14</f>
        <v>1180.7646210837806</v>
      </c>
      <c r="AI40" s="459">
        <f>(K40/Population_Tables!X14)*Population_Tables!L14</f>
        <v>1303.9189764810919</v>
      </c>
      <c r="AK40" s="456">
        <v>2025</v>
      </c>
      <c r="AL40" s="459">
        <f t="shared" si="6"/>
        <v>12390.203734211467</v>
      </c>
      <c r="AM40" s="459">
        <f t="shared" si="3"/>
        <v>2892.723891378846</v>
      </c>
      <c r="AN40" s="459">
        <f t="shared" si="3"/>
        <v>545.93032502042649</v>
      </c>
      <c r="AO40" s="459">
        <f t="shared" si="3"/>
        <v>5263.1352118922669</v>
      </c>
      <c r="AP40" s="459">
        <f t="shared" si="3"/>
        <v>1231.7704946096333</v>
      </c>
      <c r="AQ40" s="459">
        <f t="shared" si="3"/>
        <v>436.00802743111137</v>
      </c>
      <c r="AR40" s="459">
        <f t="shared" si="3"/>
        <v>3406.4321118819453</v>
      </c>
      <c r="AS40" s="459">
        <f t="shared" si="3"/>
        <v>1277.4232931696947</v>
      </c>
      <c r="AT40" s="459">
        <f t="shared" si="3"/>
        <v>1180.7646210837806</v>
      </c>
      <c r="AU40" s="459">
        <f t="shared" si="3"/>
        <v>1303.9189764810919</v>
      </c>
      <c r="AW40" s="216">
        <f>(B40/Population_Tables!O14)*Population_Tables!C14</f>
        <v>12390.203734211467</v>
      </c>
      <c r="AX40" s="153" t="str">
        <f t="shared" si="7"/>
        <v>OK</v>
      </c>
      <c r="AY40" s="421">
        <f t="shared" si="4"/>
        <v>10369.567950332284</v>
      </c>
      <c r="AZ40" s="153" t="str">
        <f t="shared" si="5"/>
        <v>OK</v>
      </c>
      <c r="BB40" s="216">
        <f>(C40/Population_Tables!P14)*Population_Tables!D14</f>
        <v>2892.723891378846</v>
      </c>
      <c r="BC40" s="216">
        <f>(D40/Population_Tables!Q14)*Population_Tables!E14</f>
        <v>545.93032502042649</v>
      </c>
      <c r="BD40" s="216">
        <f>(E40/Population_Tables!R14)*Population_Tables!F14</f>
        <v>5263.1352118922669</v>
      </c>
      <c r="BE40" s="216">
        <f>(F40/Population_Tables!S14)*Population_Tables!G14</f>
        <v>1231.7704946096333</v>
      </c>
      <c r="BF40" s="216">
        <f>(G40/Population_Tables!T14)*Population_Tables!H14</f>
        <v>436.00802743111143</v>
      </c>
      <c r="BG40" s="216"/>
      <c r="BN40" s="216"/>
      <c r="BO40" s="216"/>
      <c r="BP40" s="216"/>
    </row>
    <row r="41" spans="1:68" ht="15.6" x14ac:dyDescent="0.3">
      <c r="A41" s="206">
        <v>2026</v>
      </c>
      <c r="B41" s="229">
        <v>12568.926319957438</v>
      </c>
      <c r="C41" s="229">
        <v>2891.7990258635537</v>
      </c>
      <c r="D41" s="229">
        <v>548.67604796358648</v>
      </c>
      <c r="E41" s="229">
        <v>5367.8731028084821</v>
      </c>
      <c r="F41" s="229">
        <v>1259.3435467914067</v>
      </c>
      <c r="G41" s="229">
        <v>439.30162084416645</v>
      </c>
      <c r="H41" s="229">
        <v>3445.5414547922865</v>
      </c>
      <c r="I41" s="229">
        <v>1331.6780233699201</v>
      </c>
      <c r="J41" s="229">
        <v>1179.5416926265009</v>
      </c>
      <c r="K41" s="229">
        <v>1306.2973508953919</v>
      </c>
      <c r="M41" s="206">
        <v>2026</v>
      </c>
      <c r="N41" s="419">
        <f t="shared" si="2"/>
        <v>1905.6273802152882</v>
      </c>
      <c r="O41" s="418">
        <f>(C41/Population_Tables!P15)*Population_Tables!D74</f>
        <v>0</v>
      </c>
      <c r="P41" s="418">
        <f>(D41/Population_Tables!Q15)*Population_Tables!E74</f>
        <v>0</v>
      </c>
      <c r="Q41" s="418">
        <f>((E41-H41)/Population_Tables!R15)*Population_Tables!F74</f>
        <v>1027.8419543735654</v>
      </c>
      <c r="R41" s="418">
        <f>(F41/Population_Tables!S15)*Population_Tables!G74</f>
        <v>755.57867549969444</v>
      </c>
      <c r="S41" s="418">
        <f>(G41/Population_Tables!T15)*Population_Tables!H74</f>
        <v>122.20675034202843</v>
      </c>
      <c r="T41" s="418">
        <f>(H41/Population_Tables!U15)*Population_Tables!I74</f>
        <v>0</v>
      </c>
      <c r="U41" s="418">
        <f>(I41/Population_Tables!V15)*Population_Tables!J74</f>
        <v>0</v>
      </c>
      <c r="V41" s="418">
        <f>(J41/Population_Tables!W15)*Population_Tables!K74</f>
        <v>0</v>
      </c>
      <c r="W41" s="418">
        <f>(K41/Population_Tables!X15)*Population_Tables!L74</f>
        <v>0</v>
      </c>
      <c r="Y41" s="456">
        <v>2026</v>
      </c>
      <c r="Z41" s="459">
        <f>((B41/Population_Tables!O15)*Population_Tables!C15)-N41</f>
        <v>10805.518787819312</v>
      </c>
      <c r="AA41" s="459">
        <f>((C41/Population_Tables!P15)*Population_Tables!D15)-O41</f>
        <v>2919.8178861260731</v>
      </c>
      <c r="AB41" s="459">
        <f>((D41/Population_Tables!Q15)*Population_Tables!E15)-P41</f>
        <v>554.01983520693602</v>
      </c>
      <c r="AC41" s="459">
        <f>((E41/Population_Tables!R15)*Population_Tables!F15)-Q41</f>
        <v>4402.3376998635895</v>
      </c>
      <c r="AD41" s="459">
        <f>((F41/Population_Tables!S15)*Population_Tables!G15)-R41</f>
        <v>517.52653115623536</v>
      </c>
      <c r="AE41" s="459">
        <f>((G41/Population_Tables!T15)*Population_Tables!H15)-S41</f>
        <v>323.09705784851326</v>
      </c>
      <c r="AF41" s="459">
        <f>(H41/Population_Tables!U15)*Population_Tables!I15</f>
        <v>3477.2726868471714</v>
      </c>
      <c r="AG41" s="459">
        <f>(I41/Population_Tables!V15)*Population_Tables!J15</f>
        <v>1347.6607235805657</v>
      </c>
      <c r="AH41" s="459">
        <f>(J41/Population_Tables!W15)*Population_Tables!K15</f>
        <v>1190.3914704872598</v>
      </c>
      <c r="AI41" s="459">
        <f>(K41/Population_Tables!X15)*Population_Tables!L15</f>
        <v>1319.7735765786663</v>
      </c>
      <c r="AK41" s="456">
        <v>2026</v>
      </c>
      <c r="AL41" s="459">
        <f t="shared" si="6"/>
        <v>12711.1461680346</v>
      </c>
      <c r="AM41" s="459">
        <f t="shared" si="3"/>
        <v>2919.8178861260731</v>
      </c>
      <c r="AN41" s="459">
        <f t="shared" si="3"/>
        <v>554.01983520693602</v>
      </c>
      <c r="AO41" s="459">
        <f t="shared" si="3"/>
        <v>5430.1796542371549</v>
      </c>
      <c r="AP41" s="459">
        <f t="shared" si="3"/>
        <v>1273.1052066559298</v>
      </c>
      <c r="AQ41" s="459">
        <f t="shared" si="3"/>
        <v>445.3038081905417</v>
      </c>
      <c r="AR41" s="459">
        <f t="shared" si="3"/>
        <v>3477.2726868471714</v>
      </c>
      <c r="AS41" s="459">
        <f t="shared" si="3"/>
        <v>1347.6607235805657</v>
      </c>
      <c r="AT41" s="459">
        <f t="shared" si="3"/>
        <v>1190.3914704872598</v>
      </c>
      <c r="AU41" s="459">
        <f t="shared" si="3"/>
        <v>1319.7735765786663</v>
      </c>
      <c r="AW41" s="216">
        <f>(B41/Population_Tables!O15)*Population_Tables!C15</f>
        <v>12711.1461680346</v>
      </c>
      <c r="AX41" s="153" t="str">
        <f t="shared" si="7"/>
        <v>OK</v>
      </c>
      <c r="AY41" s="421">
        <f t="shared" si="4"/>
        <v>10622.426390416635</v>
      </c>
      <c r="AZ41" s="153" t="str">
        <f t="shared" si="5"/>
        <v>OK</v>
      </c>
      <c r="BB41" s="216">
        <f>(C41/Population_Tables!P15)*Population_Tables!D15</f>
        <v>2919.8178861260731</v>
      </c>
      <c r="BC41" s="216">
        <f>(D41/Population_Tables!Q15)*Population_Tables!E15</f>
        <v>554.01983520693602</v>
      </c>
      <c r="BD41" s="216">
        <f>(E41/Population_Tables!R15)*Population_Tables!F15</f>
        <v>5430.1796542371549</v>
      </c>
      <c r="BE41" s="216">
        <f>(F41/Population_Tables!S15)*Population_Tables!G15</f>
        <v>1273.1052066559298</v>
      </c>
      <c r="BF41" s="216">
        <f>(G41/Population_Tables!T15)*Population_Tables!H15</f>
        <v>445.3038081905417</v>
      </c>
      <c r="BG41" s="216"/>
      <c r="BN41" s="216"/>
      <c r="BO41" s="216"/>
      <c r="BP41" s="216"/>
    </row>
    <row r="42" spans="1:68" ht="15.6" x14ac:dyDescent="0.3">
      <c r="A42" s="206">
        <v>2027</v>
      </c>
      <c r="B42" s="229">
        <v>12861.712829515525</v>
      </c>
      <c r="C42" s="229">
        <v>2912.589071931272</v>
      </c>
      <c r="D42" s="229">
        <v>555.6413601759109</v>
      </c>
      <c r="E42" s="229">
        <v>5522.9892146527945</v>
      </c>
      <c r="F42" s="229">
        <v>1298.8215792573108</v>
      </c>
      <c r="G42" s="229">
        <v>447.32990605296879</v>
      </c>
      <c r="H42" s="229">
        <v>3508.2638443068931</v>
      </c>
      <c r="I42" s="229">
        <v>1400.7790380352399</v>
      </c>
      <c r="J42" s="229">
        <v>1186.7433728046938</v>
      </c>
      <c r="K42" s="229">
        <v>1319.1458712745311</v>
      </c>
      <c r="M42" s="206">
        <v>2027</v>
      </c>
      <c r="N42" s="419">
        <f t="shared" si="2"/>
        <v>1993.3013719213402</v>
      </c>
      <c r="O42" s="418">
        <f>(C42/Population_Tables!P16)*Population_Tables!D75</f>
        <v>0</v>
      </c>
      <c r="P42" s="418">
        <f>(D42/Population_Tables!Q16)*Population_Tables!E75</f>
        <v>0</v>
      </c>
      <c r="Q42" s="418">
        <f>((E42-H42)/Population_Tables!R16)*Population_Tables!F75</f>
        <v>1084.6376476072883</v>
      </c>
      <c r="R42" s="418">
        <f>(F42/Population_Tables!S16)*Population_Tables!G75</f>
        <v>783.46081104546238</v>
      </c>
      <c r="S42" s="418">
        <f>(G42/Population_Tables!T16)*Population_Tables!H75</f>
        <v>125.20291326858955</v>
      </c>
      <c r="T42" s="418">
        <f>(H42/Population_Tables!U16)*Population_Tables!I75</f>
        <v>0</v>
      </c>
      <c r="U42" s="418">
        <f>(I42/Population_Tables!V16)*Population_Tables!J75</f>
        <v>0</v>
      </c>
      <c r="V42" s="418">
        <f>(J42/Population_Tables!W16)*Population_Tables!K75</f>
        <v>0</v>
      </c>
      <c r="W42" s="418">
        <f>(K42/Population_Tables!X16)*Population_Tables!L75</f>
        <v>0</v>
      </c>
      <c r="Y42" s="456">
        <v>2027</v>
      </c>
      <c r="Z42" s="459">
        <f>((B42/Population_Tables!O16)*Population_Tables!C16)-N42</f>
        <v>11046.992441024346</v>
      </c>
      <c r="AA42" s="459">
        <f>((C42/Population_Tables!P16)*Population_Tables!D16)-O42</f>
        <v>2947.2532572206342</v>
      </c>
      <c r="AB42" s="459">
        <f>((D42/Population_Tables!Q16)*Population_Tables!E16)-P42</f>
        <v>562.24965506274145</v>
      </c>
      <c r="AC42" s="459">
        <f>((E42/Population_Tables!R16)*Population_Tables!F16)-Q42</f>
        <v>4517.0793463275804</v>
      </c>
      <c r="AD42" s="459">
        <f>((F42/Population_Tables!S16)*Population_Tables!G16)-R42</f>
        <v>532.7355823376738</v>
      </c>
      <c r="AE42" s="459">
        <f>((G42/Population_Tables!T16)*Population_Tables!H16)-S42</f>
        <v>329.63826753323048</v>
      </c>
      <c r="AF42" s="459">
        <f>(H42/Population_Tables!U16)*Population_Tables!I16</f>
        <v>3547.7305603009941</v>
      </c>
      <c r="AG42" s="459">
        <f>(I42/Population_Tables!V16)*Population_Tables!J16</f>
        <v>1421.4316419845306</v>
      </c>
      <c r="AH42" s="459">
        <f>(J42/Population_Tables!W16)*Population_Tables!K16</f>
        <v>1200.1062340525368</v>
      </c>
      <c r="AI42" s="459">
        <f>(K42/Population_Tables!X16)*Population_Tables!L16</f>
        <v>1335.9173641772363</v>
      </c>
      <c r="AK42" s="456">
        <v>2027</v>
      </c>
      <c r="AL42" s="459">
        <f t="shared" si="6"/>
        <v>13040.293812945685</v>
      </c>
      <c r="AM42" s="459">
        <f t="shared" si="3"/>
        <v>2947.2532572206342</v>
      </c>
      <c r="AN42" s="459">
        <f t="shared" si="3"/>
        <v>562.24965506274145</v>
      </c>
      <c r="AO42" s="459">
        <f t="shared" si="3"/>
        <v>5601.7169939348687</v>
      </c>
      <c r="AP42" s="459">
        <f t="shared" si="3"/>
        <v>1316.1963933831362</v>
      </c>
      <c r="AQ42" s="459">
        <f t="shared" si="3"/>
        <v>454.84118080182003</v>
      </c>
      <c r="AR42" s="459">
        <f t="shared" si="3"/>
        <v>3547.7305603009941</v>
      </c>
      <c r="AS42" s="459">
        <f t="shared" si="3"/>
        <v>1421.4316419845306</v>
      </c>
      <c r="AT42" s="459">
        <f t="shared" si="3"/>
        <v>1200.1062340525368</v>
      </c>
      <c r="AU42" s="459">
        <f t="shared" si="3"/>
        <v>1335.9173641772363</v>
      </c>
      <c r="AW42" s="216">
        <f>(B42/Population_Tables!O16)*Population_Tables!C16</f>
        <v>13040.293812945685</v>
      </c>
      <c r="AX42" s="153" t="str">
        <f t="shared" si="7"/>
        <v>OK</v>
      </c>
      <c r="AY42" s="421">
        <f t="shared" si="4"/>
        <v>10882.257480403201</v>
      </c>
      <c r="AZ42" s="153" t="str">
        <f t="shared" si="5"/>
        <v>OK</v>
      </c>
      <c r="BB42" s="216">
        <f>(C42/Population_Tables!P16)*Population_Tables!D16</f>
        <v>2947.2532572206342</v>
      </c>
      <c r="BC42" s="216">
        <f>(D42/Population_Tables!Q16)*Population_Tables!E16</f>
        <v>562.24965506274145</v>
      </c>
      <c r="BD42" s="216">
        <f>(E42/Population_Tables!R16)*Population_Tables!F16</f>
        <v>5601.7169939348687</v>
      </c>
      <c r="BE42" s="216">
        <f>(F42/Population_Tables!S16)*Population_Tables!G16</f>
        <v>1316.1963933831362</v>
      </c>
      <c r="BF42" s="216">
        <f>(G42/Population_Tables!T16)*Population_Tables!H16</f>
        <v>454.84118080182003</v>
      </c>
      <c r="BG42" s="216"/>
      <c r="BN42" s="216"/>
      <c r="BO42" s="216"/>
      <c r="BP42" s="216"/>
    </row>
    <row r="43" spans="1:68" ht="15.6" x14ac:dyDescent="0.3">
      <c r="A43" s="206">
        <v>2028</v>
      </c>
      <c r="B43" s="229">
        <v>13159.222649753348</v>
      </c>
      <c r="C43" s="229">
        <v>2933.2239502128286</v>
      </c>
      <c r="D43" s="229">
        <v>562.63959196963629</v>
      </c>
      <c r="E43" s="229">
        <v>5680.9275380640274</v>
      </c>
      <c r="F43" s="229">
        <v>1339.7280142761153</v>
      </c>
      <c r="G43" s="229">
        <v>455.44226133205512</v>
      </c>
      <c r="H43" s="229">
        <v>3569.9824660638324</v>
      </c>
      <c r="I43" s="229">
        <v>1472.8108495996678</v>
      </c>
      <c r="J43" s="229">
        <v>1193.8616596017509</v>
      </c>
      <c r="K43" s="229">
        <v>1332.0217341422353</v>
      </c>
      <c r="M43" s="206">
        <v>2028</v>
      </c>
      <c r="N43" s="419">
        <f t="shared" si="2"/>
        <v>2085.3342505400337</v>
      </c>
      <c r="O43" s="418">
        <f>(C43/Population_Tables!P17)*Population_Tables!D76</f>
        <v>0</v>
      </c>
      <c r="P43" s="418">
        <f>(D43/Population_Tables!Q17)*Population_Tables!E76</f>
        <v>0</v>
      </c>
      <c r="Q43" s="418">
        <f>((E43-H43)/Population_Tables!R17)*Population_Tables!F76</f>
        <v>1144.4408127743043</v>
      </c>
      <c r="R43" s="418">
        <f>(F43/Population_Tables!S17)*Population_Tables!G76</f>
        <v>812.60803567719904</v>
      </c>
      <c r="S43" s="418">
        <f>(G43/Population_Tables!T17)*Population_Tables!H76</f>
        <v>128.28540208853033</v>
      </c>
      <c r="T43" s="418">
        <f>(H43/Population_Tables!U17)*Population_Tables!I76</f>
        <v>0</v>
      </c>
      <c r="U43" s="418">
        <f>(I43/Population_Tables!V17)*Population_Tables!J76</f>
        <v>0</v>
      </c>
      <c r="V43" s="418">
        <f>(J43/Population_Tables!W17)*Population_Tables!K76</f>
        <v>0</v>
      </c>
      <c r="W43" s="418">
        <f>(K43/Population_Tables!X17)*Population_Tables!L76</f>
        <v>0</v>
      </c>
      <c r="Y43" s="456">
        <v>2028</v>
      </c>
      <c r="Z43" s="459">
        <f>((B43/Population_Tables!O17)*Population_Tables!C17)-N43</f>
        <v>11292.40628505898</v>
      </c>
      <c r="AA43" s="459">
        <f>((C43/Population_Tables!P17)*Population_Tables!D17)-O43</f>
        <v>2975.0090637329695</v>
      </c>
      <c r="AB43" s="459">
        <f>((D43/Population_Tables!Q17)*Population_Tables!E17)-P43</f>
        <v>570.62257656927125</v>
      </c>
      <c r="AC43" s="459">
        <f>((E43/Population_Tables!R17)*Population_Tables!F17)-Q43</f>
        <v>4633.3419764260907</v>
      </c>
      <c r="AD43" s="459">
        <f>((F43/Population_Tables!S17)*Population_Tables!G17)-R43</f>
        <v>548.52552422565941</v>
      </c>
      <c r="AE43" s="459">
        <f>((G43/Population_Tables!T17)*Population_Tables!H17)-S43</f>
        <v>336.32689881242641</v>
      </c>
      <c r="AF43" s="459">
        <f>(H43/Population_Tables!U17)*Population_Tables!I17</f>
        <v>3617.8409256059513</v>
      </c>
      <c r="AG43" s="459">
        <f>(I43/Population_Tables!V17)*Population_Tables!J17</f>
        <v>1498.7680799853811</v>
      </c>
      <c r="AH43" s="459">
        <f>(J43/Population_Tables!W17)*Population_Tables!K17</f>
        <v>1209.9099248187558</v>
      </c>
      <c r="AI43" s="459">
        <f>(K43/Population_Tables!X17)*Population_Tables!L17</f>
        <v>1352.3497962613569</v>
      </c>
      <c r="AK43" s="456">
        <v>2028</v>
      </c>
      <c r="AL43" s="459">
        <f t="shared" si="6"/>
        <v>13377.740535599014</v>
      </c>
      <c r="AM43" s="459">
        <f t="shared" si="3"/>
        <v>2975.0090637329695</v>
      </c>
      <c r="AN43" s="459">
        <f t="shared" si="3"/>
        <v>570.62257656927125</v>
      </c>
      <c r="AO43" s="459">
        <f t="shared" si="3"/>
        <v>5777.7827892003952</v>
      </c>
      <c r="AP43" s="459">
        <f t="shared" si="3"/>
        <v>1361.1335599028585</v>
      </c>
      <c r="AQ43" s="459">
        <f t="shared" si="3"/>
        <v>464.61230090095671</v>
      </c>
      <c r="AR43" s="459">
        <f t="shared" si="3"/>
        <v>3617.8409256059513</v>
      </c>
      <c r="AS43" s="459">
        <f t="shared" si="3"/>
        <v>1498.7680799853811</v>
      </c>
      <c r="AT43" s="459">
        <f t="shared" si="3"/>
        <v>1209.9099248187558</v>
      </c>
      <c r="AU43" s="459">
        <f t="shared" si="3"/>
        <v>1352.3497962613569</v>
      </c>
      <c r="AW43" s="216">
        <f>(B43/Population_Tables!O17)*Population_Tables!C17</f>
        <v>13377.740535599014</v>
      </c>
      <c r="AX43" s="153" t="str">
        <f t="shared" si="7"/>
        <v>OK</v>
      </c>
      <c r="AY43" s="421">
        <f t="shared" si="4"/>
        <v>11149.160290306452</v>
      </c>
      <c r="AZ43" s="153" t="str">
        <f t="shared" si="5"/>
        <v>OK</v>
      </c>
      <c r="BB43" s="216">
        <f>(C43/Population_Tables!P17)*Population_Tables!D17</f>
        <v>2975.0090637329695</v>
      </c>
      <c r="BC43" s="216">
        <f>(D43/Population_Tables!Q17)*Population_Tables!E17</f>
        <v>570.62257656927125</v>
      </c>
      <c r="BD43" s="216">
        <f>(E43/Population_Tables!R17)*Population_Tables!F17</f>
        <v>5777.7827892003952</v>
      </c>
      <c r="BE43" s="216">
        <f>(F43/Population_Tables!S17)*Population_Tables!G17</f>
        <v>1361.1335599028585</v>
      </c>
      <c r="BF43" s="216">
        <f>(G43/Population_Tables!T17)*Population_Tables!H17</f>
        <v>464.61230090095671</v>
      </c>
      <c r="BG43" s="216"/>
      <c r="BN43" s="216"/>
      <c r="BO43" s="216"/>
      <c r="BP43" s="216"/>
    </row>
    <row r="44" spans="1:68" ht="15.6" x14ac:dyDescent="0.3">
      <c r="A44" s="206">
        <v>2029</v>
      </c>
      <c r="B44" s="229">
        <v>13461.478033634328</v>
      </c>
      <c r="C44" s="229">
        <v>2953.6796888335612</v>
      </c>
      <c r="D44" s="229">
        <v>569.67366774757079</v>
      </c>
      <c r="E44" s="229">
        <v>5841.6528327030446</v>
      </c>
      <c r="F44" s="229">
        <v>1382.1410484193871</v>
      </c>
      <c r="G44" s="229">
        <v>463.63715188439903</v>
      </c>
      <c r="H44" s="229">
        <v>3630.7235805206406</v>
      </c>
      <c r="I44" s="229">
        <v>1547.7522276744717</v>
      </c>
      <c r="J44" s="229">
        <v>1200.9001486610703</v>
      </c>
      <c r="K44" s="229">
        <v>1344.925446908775</v>
      </c>
      <c r="M44" s="206">
        <v>2029</v>
      </c>
      <c r="N44" s="419">
        <f t="shared" si="2"/>
        <v>2181.8353346159688</v>
      </c>
      <c r="O44" s="418">
        <f>(C44/Population_Tables!P18)*Population_Tables!D77</f>
        <v>0</v>
      </c>
      <c r="P44" s="418">
        <f>(D44/Population_Tables!Q18)*Population_Tables!E77</f>
        <v>0</v>
      </c>
      <c r="Q44" s="418">
        <f>((E44-H44)/Population_Tables!R18)*Population_Tables!F77</f>
        <v>1207.2995402243125</v>
      </c>
      <c r="R44" s="418">
        <f>(F44/Population_Tables!S18)*Population_Tables!G77</f>
        <v>843.08198582093416</v>
      </c>
      <c r="S44" s="418">
        <f>(G44/Population_Tables!T18)*Population_Tables!H77</f>
        <v>131.4538085707224</v>
      </c>
      <c r="T44" s="418">
        <f>(H44/Population_Tables!U18)*Population_Tables!I77</f>
        <v>0</v>
      </c>
      <c r="U44" s="418">
        <f>(I44/Population_Tables!V18)*Population_Tables!J77</f>
        <v>0</v>
      </c>
      <c r="V44" s="418">
        <f>(J44/Population_Tables!W18)*Population_Tables!K77</f>
        <v>0</v>
      </c>
      <c r="W44" s="418">
        <f>(K44/Population_Tables!X18)*Population_Tables!L77</f>
        <v>0</v>
      </c>
      <c r="Y44" s="456">
        <v>2029</v>
      </c>
      <c r="Z44" s="459">
        <f>((B44/Population_Tables!O18)*Population_Tables!C18)-N44</f>
        <v>11541.792598288701</v>
      </c>
      <c r="AA44" s="459">
        <f>((C44/Population_Tables!P18)*Population_Tables!D18)-O44</f>
        <v>3003.0708890942456</v>
      </c>
      <c r="AB44" s="459">
        <f>((D44/Population_Tables!Q18)*Population_Tables!E18)-P44</f>
        <v>579.14021050020312</v>
      </c>
      <c r="AC44" s="459">
        <f>((E44/Population_Tables!R18)*Population_Tables!F18)-Q44</f>
        <v>4751.1662585287559</v>
      </c>
      <c r="AD44" s="459">
        <f>((F44/Population_Tables!S18)*Population_Tables!G18)-R44</f>
        <v>564.92411144817436</v>
      </c>
      <c r="AE44" s="459">
        <f>((G44/Population_Tables!T18)*Population_Tables!H18)-S44</f>
        <v>343.14978924512633</v>
      </c>
      <c r="AF44" s="459">
        <f>(H44/Population_Tables!U18)*Population_Tables!I18</f>
        <v>3687.6602003571597</v>
      </c>
      <c r="AG44" s="459">
        <f>(I44/Population_Tables!V18)*Population_Tables!J18</f>
        <v>1579.7238312614215</v>
      </c>
      <c r="AH44" s="459">
        <f>(J44/Population_Tables!W18)*Population_Tables!K18</f>
        <v>1219.809884933333</v>
      </c>
      <c r="AI44" s="459">
        <f>(K44/Population_Tables!X18)*Population_Tables!L18</f>
        <v>1369.0809578266601</v>
      </c>
      <c r="AK44" s="456">
        <v>2029</v>
      </c>
      <c r="AL44" s="459">
        <f t="shared" si="6"/>
        <v>13723.62793290467</v>
      </c>
      <c r="AM44" s="459">
        <f t="shared" si="3"/>
        <v>3003.0708890942456</v>
      </c>
      <c r="AN44" s="459">
        <f t="shared" si="3"/>
        <v>579.14021050020312</v>
      </c>
      <c r="AO44" s="459">
        <f t="shared" si="3"/>
        <v>5958.4657987530682</v>
      </c>
      <c r="AP44" s="459">
        <f t="shared" si="3"/>
        <v>1408.0060972691085</v>
      </c>
      <c r="AQ44" s="459">
        <f t="shared" si="3"/>
        <v>474.60359781584873</v>
      </c>
      <c r="AR44" s="459">
        <f t="shared" si="3"/>
        <v>3687.6602003571597</v>
      </c>
      <c r="AS44" s="459">
        <f t="shared" si="3"/>
        <v>1579.7238312614215</v>
      </c>
      <c r="AT44" s="459">
        <f t="shared" si="3"/>
        <v>1219.809884933333</v>
      </c>
      <c r="AU44" s="459">
        <f t="shared" si="3"/>
        <v>1369.0809578266601</v>
      </c>
      <c r="AW44" s="216">
        <f>(B44/Population_Tables!O18)*Population_Tables!C18</f>
        <v>13723.62793290467</v>
      </c>
      <c r="AX44" s="153" t="str">
        <f t="shared" si="7"/>
        <v>OK</v>
      </c>
      <c r="AY44" s="421">
        <f t="shared" si="4"/>
        <v>11423.286593432473</v>
      </c>
      <c r="AZ44" s="153" t="str">
        <f t="shared" si="5"/>
        <v>OK</v>
      </c>
      <c r="BB44" s="216">
        <f>(C44/Population_Tables!P18)*Population_Tables!D18</f>
        <v>3003.0708890942456</v>
      </c>
      <c r="BC44" s="216">
        <f>(D44/Population_Tables!Q18)*Population_Tables!E18</f>
        <v>579.14021050020312</v>
      </c>
      <c r="BD44" s="216">
        <f>(E44/Population_Tables!R18)*Population_Tables!F18</f>
        <v>5958.4657987530682</v>
      </c>
      <c r="BE44" s="216">
        <f>(F44/Population_Tables!S18)*Population_Tables!G18</f>
        <v>1408.0060972691085</v>
      </c>
      <c r="BF44" s="216">
        <f>(G44/Population_Tables!T18)*Population_Tables!H18</f>
        <v>474.60359781584873</v>
      </c>
      <c r="BG44" s="216"/>
      <c r="BN44" s="216"/>
      <c r="BO44" s="216"/>
      <c r="BP44" s="216"/>
    </row>
    <row r="45" spans="1:68" ht="15.6" x14ac:dyDescent="0.3">
      <c r="A45" s="206">
        <v>2030</v>
      </c>
      <c r="B45" s="229">
        <v>13776.645156932413</v>
      </c>
      <c r="C45" s="229">
        <v>2974.0933254724732</v>
      </c>
      <c r="D45" s="229">
        <v>576.10300583316916</v>
      </c>
      <c r="E45" s="229">
        <v>6010.1545331255711</v>
      </c>
      <c r="F45" s="229">
        <v>1425.0546540941345</v>
      </c>
      <c r="G45" s="229">
        <v>471.90792227189502</v>
      </c>
      <c r="H45" s="229">
        <v>3694.9500202554582</v>
      </c>
      <c r="I45" s="229">
        <v>1624.3009449504577</v>
      </c>
      <c r="J45" s="229">
        <v>1208.5879419397863</v>
      </c>
      <c r="K45" s="229">
        <v>1357.6729403161332</v>
      </c>
      <c r="M45" s="206">
        <v>2030</v>
      </c>
      <c r="N45" s="419">
        <f t="shared" si="2"/>
        <v>2282.5750901410247</v>
      </c>
      <c r="O45" s="418">
        <f>(C45/Population_Tables!P19)*Population_Tables!D78</f>
        <v>0</v>
      </c>
      <c r="P45" s="418">
        <f>(D45/Population_Tables!Q19)*Population_Tables!E78</f>
        <v>0</v>
      </c>
      <c r="Q45" s="418">
        <f>((E45-H45)/Population_Tables!R19)*Population_Tables!F78</f>
        <v>1273.5866107462157</v>
      </c>
      <c r="R45" s="418">
        <f>(F45/Population_Tables!S19)*Population_Tables!G78</f>
        <v>874.28176030736199</v>
      </c>
      <c r="S45" s="418">
        <f>(G45/Population_Tables!T19)*Population_Tables!H78</f>
        <v>134.70671908744683</v>
      </c>
      <c r="T45" s="418">
        <f>(H45/Population_Tables!U19)*Population_Tables!I78</f>
        <v>0</v>
      </c>
      <c r="U45" s="418">
        <f>(I45/Population_Tables!V19)*Population_Tables!J78</f>
        <v>0</v>
      </c>
      <c r="V45" s="418">
        <f>(J45/Population_Tables!W19)*Population_Tables!K78</f>
        <v>0</v>
      </c>
      <c r="W45" s="418">
        <f>(K45/Population_Tables!X19)*Population_Tables!L78</f>
        <v>0</v>
      </c>
      <c r="Y45" s="456">
        <v>2030</v>
      </c>
      <c r="Z45" s="459">
        <f>((B45/Population_Tables!O19)*Population_Tables!C19)-N45</f>
        <v>11803.861779986673</v>
      </c>
      <c r="AA45" s="459">
        <f>((C45/Population_Tables!P19)*Population_Tables!D19)-O45</f>
        <v>3031.5861855213066</v>
      </c>
      <c r="AB45" s="459">
        <f>((D45/Population_Tables!Q19)*Population_Tables!E19)-P45</f>
        <v>587.14990300684701</v>
      </c>
      <c r="AC45" s="459">
        <f>((E45/Population_Tables!R19)*Population_Tables!F19)-Q45</f>
        <v>4875.4083108779796</v>
      </c>
      <c r="AD45" s="459">
        <f>((F45/Population_Tables!S19)*Population_Tables!G19)-R45</f>
        <v>581.51876920262339</v>
      </c>
      <c r="AE45" s="459">
        <f>((G45/Population_Tables!T19)*Population_Tables!H19)-S45</f>
        <v>350.09242218797237</v>
      </c>
      <c r="AF45" s="459">
        <f>(H45/Population_Tables!U19)*Population_Tables!I19</f>
        <v>3761.7594927995365</v>
      </c>
      <c r="AG45" s="459">
        <f>(I45/Population_Tables!V19)*Population_Tables!J19</f>
        <v>1663.0442336677063</v>
      </c>
      <c r="AH45" s="459">
        <f>(J45/Population_Tables!W19)*Population_Tables!K19</f>
        <v>1230.5522396969086</v>
      </c>
      <c r="AI45" s="459">
        <f>(K45/Population_Tables!X19)*Population_Tables!L19</f>
        <v>1385.9305398284337</v>
      </c>
      <c r="AK45" s="456">
        <v>2030</v>
      </c>
      <c r="AL45" s="459">
        <f t="shared" si="6"/>
        <v>14086.436870127698</v>
      </c>
      <c r="AM45" s="459">
        <f t="shared" si="6"/>
        <v>3031.5861855213066</v>
      </c>
      <c r="AN45" s="459">
        <f t="shared" si="6"/>
        <v>587.14990300684701</v>
      </c>
      <c r="AO45" s="459">
        <f t="shared" si="6"/>
        <v>6148.9949216241948</v>
      </c>
      <c r="AP45" s="459">
        <f t="shared" si="6"/>
        <v>1455.8005295099854</v>
      </c>
      <c r="AQ45" s="459">
        <f t="shared" si="6"/>
        <v>484.79914127541917</v>
      </c>
      <c r="AR45" s="459">
        <f t="shared" si="6"/>
        <v>3761.7594927995365</v>
      </c>
      <c r="AS45" s="459">
        <f t="shared" si="6"/>
        <v>1663.0442336677063</v>
      </c>
      <c r="AT45" s="459">
        <f t="shared" si="6"/>
        <v>1230.5522396969086</v>
      </c>
      <c r="AU45" s="459">
        <f t="shared" si="6"/>
        <v>1385.9305398284337</v>
      </c>
      <c r="AW45" s="216">
        <f>(B45/Population_Tables!O19)*Population_Tables!C19</f>
        <v>14086.436870127698</v>
      </c>
      <c r="AX45" s="153" t="str">
        <f t="shared" si="7"/>
        <v>OK</v>
      </c>
      <c r="AY45" s="421">
        <f t="shared" si="4"/>
        <v>11708.330680937754</v>
      </c>
      <c r="AZ45" s="153" t="str">
        <f t="shared" si="5"/>
        <v>OK</v>
      </c>
      <c r="BB45" s="216">
        <f>(C45/Population_Tables!P19)*Population_Tables!D19</f>
        <v>3031.5861855213066</v>
      </c>
      <c r="BC45" s="216">
        <f>(D45/Population_Tables!Q19)*Population_Tables!E19</f>
        <v>587.14990300684701</v>
      </c>
      <c r="BD45" s="216">
        <f>(E45/Population_Tables!R19)*Population_Tables!F19</f>
        <v>6148.9949216241948</v>
      </c>
      <c r="BE45" s="216">
        <f>(F45/Population_Tables!S19)*Population_Tables!G19</f>
        <v>1455.8005295099854</v>
      </c>
      <c r="BF45" s="216">
        <f>(G45/Population_Tables!T19)*Population_Tables!H19</f>
        <v>484.79914127541917</v>
      </c>
      <c r="BG45" s="216"/>
      <c r="BN45" s="216"/>
      <c r="BO45" s="216"/>
      <c r="BP45" s="216"/>
    </row>
    <row r="46" spans="1:68" ht="15.6" x14ac:dyDescent="0.3">
      <c r="A46" s="206">
        <v>2031</v>
      </c>
      <c r="B46" s="229">
        <v>14080.298580436112</v>
      </c>
      <c r="C46" s="229">
        <v>2993.9839028317529</v>
      </c>
      <c r="D46" s="229">
        <v>583.86166104707661</v>
      </c>
      <c r="E46" s="229">
        <v>6171.3170933709134</v>
      </c>
      <c r="F46" s="229">
        <v>1471.7890837846696</v>
      </c>
      <c r="G46" s="229">
        <v>480.26700084905849</v>
      </c>
      <c r="H46" s="229">
        <v>3749.3626679398508</v>
      </c>
      <c r="I46" s="229">
        <v>1706.2835613579473</v>
      </c>
      <c r="J46" s="229">
        <v>1214.7438134143958</v>
      </c>
      <c r="K46" s="229">
        <v>1370.8153962001384</v>
      </c>
      <c r="M46" s="206">
        <v>2031</v>
      </c>
      <c r="N46" s="419">
        <f t="shared" si="2"/>
        <v>2388.6775675290523</v>
      </c>
      <c r="O46" s="418">
        <f>(C46/Population_Tables!P20)*Population_Tables!D79</f>
        <v>0</v>
      </c>
      <c r="P46" s="418">
        <f>(D46/Population_Tables!Q20)*Population_Tables!E79</f>
        <v>0</v>
      </c>
      <c r="Q46" s="418">
        <f>((E46-H46)/Population_Tables!R20)*Population_Tables!F79</f>
        <v>1342.3655280590979</v>
      </c>
      <c r="R46" s="418">
        <f>(F46/Population_Tables!S20)*Population_Tables!G79</f>
        <v>908.26243392835329</v>
      </c>
      <c r="S46" s="418">
        <f>(G46/Population_Tables!T20)*Population_Tables!H79</f>
        <v>138.04960554160118</v>
      </c>
      <c r="T46" s="418">
        <f>(H46/Population_Tables!U20)*Population_Tables!I79</f>
        <v>0</v>
      </c>
      <c r="U46" s="418">
        <f>(I46/Population_Tables!V20)*Population_Tables!J79</f>
        <v>0</v>
      </c>
      <c r="V46" s="418">
        <f>(J46/Population_Tables!W20)*Population_Tables!K79</f>
        <v>0</v>
      </c>
      <c r="W46" s="418">
        <f>(K46/Population_Tables!X20)*Population_Tables!L79</f>
        <v>0</v>
      </c>
      <c r="Y46" s="456">
        <v>2031</v>
      </c>
      <c r="Z46" s="459">
        <f>((B46/Population_Tables!O20)*Population_Tables!C20)-N46</f>
        <v>12052.584510222017</v>
      </c>
      <c r="AA46" s="459">
        <f>((C46/Population_Tables!P20)*Population_Tables!D20)-O46</f>
        <v>3060.0487446012353</v>
      </c>
      <c r="AB46" s="459">
        <f>((D46/Population_Tables!Q20)*Population_Tables!E20)-P46</f>
        <v>596.62485553029376</v>
      </c>
      <c r="AC46" s="459">
        <f>((E46/Population_Tables!R20)*Population_Tables!F20)-Q46</f>
        <v>4991.5893274083337</v>
      </c>
      <c r="AD46" s="459">
        <f>((F46/Population_Tables!S20)*Population_Tables!G20)-R46</f>
        <v>599.66835704481275</v>
      </c>
      <c r="AE46" s="459">
        <f>((G46/Population_Tables!T20)*Population_Tables!H20)-S46</f>
        <v>357.16323369726473</v>
      </c>
      <c r="AF46" s="459">
        <f>(H46/Population_Tables!U20)*Population_Tables!I20</f>
        <v>3826.6007408700079</v>
      </c>
      <c r="AG46" s="459">
        <f>(I46/Population_Tables!V20)*Population_Tables!J20</f>
        <v>1752.6929546071708</v>
      </c>
      <c r="AH46" s="459">
        <f>(J46/Population_Tables!W20)*Population_Tables!K20</f>
        <v>1239.9118562545586</v>
      </c>
      <c r="AI46" s="459">
        <f>(K46/Population_Tables!X20)*Population_Tables!L20</f>
        <v>1403.4553139153436</v>
      </c>
      <c r="AK46" s="456">
        <v>2031</v>
      </c>
      <c r="AL46" s="459">
        <f t="shared" si="6"/>
        <v>14441.262077751069</v>
      </c>
      <c r="AM46" s="459">
        <f t="shared" si="6"/>
        <v>3060.0487446012353</v>
      </c>
      <c r="AN46" s="459">
        <f t="shared" si="6"/>
        <v>596.62485553029376</v>
      </c>
      <c r="AO46" s="459">
        <f t="shared" si="6"/>
        <v>6333.9548554674311</v>
      </c>
      <c r="AP46" s="459">
        <f t="shared" si="6"/>
        <v>1507.930790973166</v>
      </c>
      <c r="AQ46" s="459">
        <f t="shared" si="6"/>
        <v>495.21283923886591</v>
      </c>
      <c r="AR46" s="459">
        <f t="shared" si="6"/>
        <v>3826.6007408700079</v>
      </c>
      <c r="AS46" s="459">
        <f t="shared" si="6"/>
        <v>1752.6929546071708</v>
      </c>
      <c r="AT46" s="459">
        <f t="shared" si="6"/>
        <v>1239.9118562545586</v>
      </c>
      <c r="AU46" s="459">
        <f t="shared" si="6"/>
        <v>1403.4553139153436</v>
      </c>
      <c r="AW46" s="216">
        <f>(B46/Population_Tables!O20)*Population_Tables!C20</f>
        <v>14441.262077751069</v>
      </c>
      <c r="AX46" s="153" t="str">
        <f t="shared" si="7"/>
        <v>OK</v>
      </c>
      <c r="AY46" s="421">
        <f t="shared" si="4"/>
        <v>11993.772085810993</v>
      </c>
      <c r="AZ46" s="153" t="str">
        <f t="shared" si="5"/>
        <v>OK</v>
      </c>
      <c r="BB46" s="216">
        <f>(C46/Population_Tables!P20)*Population_Tables!D20</f>
        <v>3060.0487446012353</v>
      </c>
      <c r="BC46" s="216">
        <f>(D46/Population_Tables!Q20)*Population_Tables!E20</f>
        <v>596.62485553029376</v>
      </c>
      <c r="BD46" s="216">
        <f>(E46/Population_Tables!R20)*Population_Tables!F20</f>
        <v>6333.9548554674311</v>
      </c>
      <c r="BE46" s="216">
        <f>(F46/Population_Tables!S20)*Population_Tables!G20</f>
        <v>1507.930790973166</v>
      </c>
      <c r="BF46" s="216">
        <f>(G46/Population_Tables!T20)*Population_Tables!H20</f>
        <v>495.21283923886591</v>
      </c>
      <c r="BG46" s="216"/>
      <c r="BN46" s="216"/>
      <c r="BO46" s="216"/>
      <c r="BP46" s="216"/>
    </row>
    <row r="47" spans="1:68" ht="15.6" x14ac:dyDescent="0.3">
      <c r="A47" s="206">
        <v>2032</v>
      </c>
      <c r="B47" s="229">
        <v>14396.888249542288</v>
      </c>
      <c r="C47" s="229">
        <v>3013.8193199134976</v>
      </c>
      <c r="D47" s="229">
        <v>591.02189401230657</v>
      </c>
      <c r="E47" s="229">
        <v>6340.1784006816215</v>
      </c>
      <c r="F47" s="229">
        <v>1519.1665827795282</v>
      </c>
      <c r="G47" s="229">
        <v>488.69707173654513</v>
      </c>
      <c r="H47" s="229">
        <v>3807.2926713318557</v>
      </c>
      <c r="I47" s="229">
        <v>1789.8376541760263</v>
      </c>
      <c r="J47" s="229">
        <v>1221.5456378623558</v>
      </c>
      <c r="K47" s="229">
        <v>1383.7976016579273</v>
      </c>
      <c r="M47" s="206">
        <v>2032</v>
      </c>
      <c r="N47" s="419">
        <f t="shared" si="2"/>
        <v>2499.1507762520168</v>
      </c>
      <c r="O47" s="418">
        <f>(C47/Population_Tables!P21)*Population_Tables!D80</f>
        <v>0</v>
      </c>
      <c r="P47" s="418">
        <f>(D47/Population_Tables!Q21)*Population_Tables!E80</f>
        <v>0</v>
      </c>
      <c r="Q47" s="418">
        <f>((E47-H47)/Population_Tables!R21)*Population_Tables!F80</f>
        <v>1414.5995246328621</v>
      </c>
      <c r="R47" s="418">
        <f>(F47/Population_Tables!S21)*Population_Tables!G80</f>
        <v>943.07490827293702</v>
      </c>
      <c r="S47" s="418">
        <f>(G47/Population_Tables!T21)*Population_Tables!H80</f>
        <v>141.47634334621765</v>
      </c>
      <c r="T47" s="418">
        <f>(H47/Population_Tables!U21)*Population_Tables!I80</f>
        <v>0</v>
      </c>
      <c r="U47" s="418">
        <f>(I47/Population_Tables!V21)*Population_Tables!J80</f>
        <v>0</v>
      </c>
      <c r="V47" s="418">
        <f>(J47/Population_Tables!W21)*Population_Tables!K80</f>
        <v>0</v>
      </c>
      <c r="W47" s="418">
        <f>(K47/Population_Tables!X21)*Population_Tables!L80</f>
        <v>0</v>
      </c>
      <c r="Y47" s="456">
        <v>2032</v>
      </c>
      <c r="Z47" s="459">
        <f>((B47/Population_Tables!O21)*Population_Tables!C21)-N47</f>
        <v>12313.796793607762</v>
      </c>
      <c r="AA47" s="459">
        <f>((C47/Population_Tables!P21)*Population_Tables!D21)-O47</f>
        <v>3088.876753162589</v>
      </c>
      <c r="AB47" s="459">
        <f>((D47/Population_Tables!Q21)*Population_Tables!E21)-P47</f>
        <v>605.59775225688441</v>
      </c>
      <c r="AC47" s="459">
        <f>((E47/Population_Tables!R21)*Population_Tables!F21)-Q47</f>
        <v>5114.0595181043936</v>
      </c>
      <c r="AD47" s="459">
        <f>((F47/Population_Tables!S21)*Population_Tables!G21)-R47</f>
        <v>618.07746884062374</v>
      </c>
      <c r="AE47" s="459">
        <f>((G47/Population_Tables!T21)*Population_Tables!H21)-S47</f>
        <v>364.34924720871879</v>
      </c>
      <c r="AF47" s="459">
        <f>(H47/Population_Tables!U21)*Population_Tables!I21</f>
        <v>3895.707528080075</v>
      </c>
      <c r="AG47" s="459">
        <f>(I47/Population_Tables!V21)*Population_Tables!J21</f>
        <v>1844.7158682304046</v>
      </c>
      <c r="AH47" s="459">
        <f>(J47/Population_Tables!W21)*Population_Tables!K21</f>
        <v>1250.0873623477266</v>
      </c>
      <c r="AI47" s="459">
        <f>(K47/Population_Tables!X21)*Population_Tables!L21</f>
        <v>1421.0587710574971</v>
      </c>
      <c r="AK47" s="456">
        <v>2032</v>
      </c>
      <c r="AL47" s="459">
        <f t="shared" si="6"/>
        <v>14812.947569859778</v>
      </c>
      <c r="AM47" s="459">
        <f t="shared" si="6"/>
        <v>3088.876753162589</v>
      </c>
      <c r="AN47" s="459">
        <f t="shared" si="6"/>
        <v>605.59775225688441</v>
      </c>
      <c r="AO47" s="459">
        <f t="shared" si="6"/>
        <v>6528.6590427372557</v>
      </c>
      <c r="AP47" s="459">
        <f t="shared" si="6"/>
        <v>1561.1523771135608</v>
      </c>
      <c r="AQ47" s="459">
        <f t="shared" si="6"/>
        <v>505.82559055493641</v>
      </c>
      <c r="AR47" s="459">
        <f t="shared" si="6"/>
        <v>3895.707528080075</v>
      </c>
      <c r="AS47" s="459">
        <f t="shared" si="6"/>
        <v>1844.7158682304046</v>
      </c>
      <c r="AT47" s="459">
        <f t="shared" si="6"/>
        <v>1250.0873623477266</v>
      </c>
      <c r="AU47" s="459">
        <f t="shared" si="6"/>
        <v>1421.0587710574971</v>
      </c>
      <c r="AW47" s="216">
        <f>(B47/Population_Tables!O21)*Population_Tables!C21</f>
        <v>14812.947569859778</v>
      </c>
      <c r="AX47" s="153" t="str">
        <f t="shared" si="7"/>
        <v>OK</v>
      </c>
      <c r="AY47" s="421">
        <f t="shared" si="4"/>
        <v>12290.111515825227</v>
      </c>
      <c r="AZ47" s="153" t="str">
        <f t="shared" si="5"/>
        <v>OK</v>
      </c>
      <c r="BB47" s="216">
        <f>(C47/Population_Tables!P21)*Population_Tables!D21</f>
        <v>3088.876753162589</v>
      </c>
      <c r="BC47" s="216">
        <f>(D47/Population_Tables!Q21)*Population_Tables!E21</f>
        <v>605.59775225688441</v>
      </c>
      <c r="BD47" s="216">
        <f>(E47/Population_Tables!R21)*Population_Tables!F21</f>
        <v>6528.6590427372557</v>
      </c>
      <c r="BE47" s="216">
        <f>(F47/Population_Tables!S21)*Population_Tables!G21</f>
        <v>1561.1523771135608</v>
      </c>
      <c r="BF47" s="216">
        <f>(G47/Population_Tables!T21)*Population_Tables!H21</f>
        <v>505.82559055493647</v>
      </c>
      <c r="BG47" s="216"/>
      <c r="BN47" s="216"/>
      <c r="BO47" s="216"/>
      <c r="BP47" s="216"/>
    </row>
    <row r="48" spans="1:68" ht="15.6" x14ac:dyDescent="0.3">
      <c r="A48" s="206">
        <v>2033</v>
      </c>
      <c r="B48" s="229">
        <v>14718.286305170281</v>
      </c>
      <c r="C48" s="229">
        <v>3033.4247367422045</v>
      </c>
      <c r="D48" s="229">
        <v>598.23485667218768</v>
      </c>
      <c r="E48" s="229">
        <v>6511.6699555901787</v>
      </c>
      <c r="F48" s="229">
        <v>1568.3470758022263</v>
      </c>
      <c r="G48" s="229">
        <v>497.20006214966975</v>
      </c>
      <c r="H48" s="229">
        <v>3864.3282727328692</v>
      </c>
      <c r="I48" s="229">
        <v>1876.2236809421031</v>
      </c>
      <c r="J48" s="229">
        <v>1228.2620460963431</v>
      </c>
      <c r="K48" s="229">
        <v>1396.8094165714724</v>
      </c>
      <c r="M48" s="206">
        <v>2033</v>
      </c>
      <c r="N48" s="419">
        <f t="shared" si="2"/>
        <v>2614.2719914048926</v>
      </c>
      <c r="O48" s="418">
        <f>(C48/Population_Tables!P22)*Population_Tables!D81</f>
        <v>0</v>
      </c>
      <c r="P48" s="418">
        <f>(D48/Population_Tables!Q22)*Population_Tables!E81</f>
        <v>0</v>
      </c>
      <c r="Q48" s="418">
        <f>((E48-H48)/Population_Tables!R22)*Population_Tables!F81</f>
        <v>1489.8999584160113</v>
      </c>
      <c r="R48" s="418">
        <f>(F48/Population_Tables!S22)*Population_Tables!G81</f>
        <v>979.39383905145564</v>
      </c>
      <c r="S48" s="418">
        <f>(G48/Population_Tables!T22)*Population_Tables!H81</f>
        <v>144.9781939374258</v>
      </c>
      <c r="T48" s="418">
        <f>(H48/Population_Tables!U22)*Population_Tables!I81</f>
        <v>0</v>
      </c>
      <c r="U48" s="418">
        <f>(I48/Population_Tables!V22)*Population_Tables!J81</f>
        <v>0</v>
      </c>
      <c r="V48" s="418">
        <f>(J48/Population_Tables!W22)*Population_Tables!K81</f>
        <v>0</v>
      </c>
      <c r="W48" s="418">
        <f>(K48/Population_Tables!X22)*Population_Tables!L81</f>
        <v>0</v>
      </c>
      <c r="Y48" s="456">
        <v>2033</v>
      </c>
      <c r="Z48" s="459">
        <f>((B48/Population_Tables!O22)*Population_Tables!C22)-N48</f>
        <v>12578.38016449203</v>
      </c>
      <c r="AA48" s="459">
        <f>((C48/Population_Tables!P22)*Population_Tables!D22)-O48</f>
        <v>3117.7815811758414</v>
      </c>
      <c r="AB48" s="459">
        <f>((D48/Population_Tables!Q22)*Population_Tables!E22)-P48</f>
        <v>614.71694212759348</v>
      </c>
      <c r="AC48" s="459">
        <f>((E48/Population_Tables!R22)*Population_Tables!F22)-Q48</f>
        <v>5237.8017860298696</v>
      </c>
      <c r="AD48" s="459">
        <f>((F48/Population_Tables!S22)*Population_Tables!G22)-R48</f>
        <v>637.20747770919297</v>
      </c>
      <c r="AE48" s="459">
        <f>((G48/Population_Tables!T22)*Population_Tables!H22)-S48</f>
        <v>371.64182782980379</v>
      </c>
      <c r="AF48" s="459">
        <f>(H48/Population_Tables!U22)*Population_Tables!I22</f>
        <v>3964.4753887286502</v>
      </c>
      <c r="AG48" s="459">
        <f>(I48/Population_Tables!V22)*Population_Tables!J22</f>
        <v>1940.3509303976061</v>
      </c>
      <c r="AH48" s="459">
        <f>(J48/Population_Tables!W22)*Population_Tables!K22</f>
        <v>1260.2975529477283</v>
      </c>
      <c r="AI48" s="459">
        <f>(K48/Population_Tables!X22)*Population_Tables!L22</f>
        <v>1438.8758813462744</v>
      </c>
      <c r="AK48" s="456">
        <v>2033</v>
      </c>
      <c r="AL48" s="459">
        <f t="shared" si="6"/>
        <v>15192.652155896922</v>
      </c>
      <c r="AM48" s="459">
        <f t="shared" si="6"/>
        <v>3117.7815811758414</v>
      </c>
      <c r="AN48" s="459">
        <f t="shared" si="6"/>
        <v>614.71694212759348</v>
      </c>
      <c r="AO48" s="459">
        <f t="shared" si="6"/>
        <v>6727.7017444458806</v>
      </c>
      <c r="AP48" s="459">
        <f t="shared" si="6"/>
        <v>1616.6013167606486</v>
      </c>
      <c r="AQ48" s="459">
        <f t="shared" si="6"/>
        <v>516.62002176722956</v>
      </c>
      <c r="AR48" s="459">
        <f t="shared" si="6"/>
        <v>3964.4753887286502</v>
      </c>
      <c r="AS48" s="459">
        <f t="shared" si="6"/>
        <v>1940.3509303976061</v>
      </c>
      <c r="AT48" s="459">
        <f t="shared" si="6"/>
        <v>1260.2975529477283</v>
      </c>
      <c r="AU48" s="459">
        <f t="shared" si="6"/>
        <v>1438.8758813462744</v>
      </c>
      <c r="AW48" s="216">
        <f>(B48/Population_Tables!O22)*Population_Tables!C22</f>
        <v>15192.652155896922</v>
      </c>
      <c r="AX48" s="153" t="str">
        <f t="shared" si="7"/>
        <v>OK</v>
      </c>
      <c r="AY48" s="421">
        <f t="shared" si="4"/>
        <v>12593.421606277194</v>
      </c>
      <c r="AZ48" s="153" t="str">
        <f t="shared" si="5"/>
        <v>OK</v>
      </c>
      <c r="BB48" s="216">
        <f>(C48/Population_Tables!P22)*Population_Tables!D22</f>
        <v>3117.7815811758414</v>
      </c>
      <c r="BC48" s="216">
        <f>(D48/Population_Tables!Q22)*Population_Tables!E22</f>
        <v>614.71694212759348</v>
      </c>
      <c r="BD48" s="216">
        <f>(E48/Population_Tables!R22)*Population_Tables!F22</f>
        <v>6727.7017444458806</v>
      </c>
      <c r="BE48" s="216">
        <f>(F48/Population_Tables!S22)*Population_Tables!G22</f>
        <v>1616.6013167606486</v>
      </c>
      <c r="BF48" s="216">
        <f>(G48/Population_Tables!T22)*Population_Tables!H22</f>
        <v>516.62002176722956</v>
      </c>
      <c r="BG48" s="216"/>
      <c r="BN48" s="216"/>
      <c r="BO48" s="216"/>
      <c r="BP48" s="216"/>
    </row>
    <row r="49" spans="1:68" ht="15.6" x14ac:dyDescent="0.3">
      <c r="A49" s="206">
        <v>2034</v>
      </c>
      <c r="B49" s="229">
        <v>15044.512014219195</v>
      </c>
      <c r="C49" s="229">
        <v>3052.7807557619885</v>
      </c>
      <c r="D49" s="229">
        <v>605.50937184782867</v>
      </c>
      <c r="E49" s="229">
        <v>6685.7475439721256</v>
      </c>
      <c r="F49" s="229">
        <v>1619.4088481449426</v>
      </c>
      <c r="G49" s="229">
        <v>505.77276590041936</v>
      </c>
      <c r="H49" s="229">
        <v>3920.4986240128737</v>
      </c>
      <c r="I49" s="229">
        <v>1965.4197661441308</v>
      </c>
      <c r="J49" s="229">
        <v>1234.8872544998844</v>
      </c>
      <c r="K49" s="229">
        <v>1409.8583553980172</v>
      </c>
      <c r="M49" s="206">
        <v>2034</v>
      </c>
      <c r="N49" s="419">
        <f t="shared" si="2"/>
        <v>2733.9096147222408</v>
      </c>
      <c r="O49" s="418">
        <f>(C49/Population_Tables!P23)*Population_Tables!D82</f>
        <v>0</v>
      </c>
      <c r="P49" s="418">
        <f>(D49/Population_Tables!Q23)*Population_Tables!E82</f>
        <v>0</v>
      </c>
      <c r="Q49" s="418">
        <f>((E49-H49)/Population_Tables!R23)*Population_Tables!F82</f>
        <v>1568.1568216458545</v>
      </c>
      <c r="R49" s="418">
        <f>(F49/Population_Tables!S23)*Population_Tables!G82</f>
        <v>1017.2118334106325</v>
      </c>
      <c r="S49" s="418">
        <f>(G49/Population_Tables!T23)*Population_Tables!H82</f>
        <v>148.5409596657538</v>
      </c>
      <c r="T49" s="418">
        <f>(H49/Population_Tables!U23)*Population_Tables!I82</f>
        <v>0</v>
      </c>
      <c r="U49" s="418">
        <f>(I49/Population_Tables!V23)*Population_Tables!J82</f>
        <v>0</v>
      </c>
      <c r="V49" s="418">
        <f>(J49/Population_Tables!W23)*Population_Tables!K82</f>
        <v>0</v>
      </c>
      <c r="W49" s="418">
        <f>(K49/Population_Tables!X23)*Population_Tables!L82</f>
        <v>0</v>
      </c>
      <c r="Y49" s="456">
        <v>2034</v>
      </c>
      <c r="Z49" s="459">
        <f>((B49/Population_Tables!O23)*Population_Tables!C23)-N49</f>
        <v>12845.737362663946</v>
      </c>
      <c r="AA49" s="459">
        <f>((C49/Population_Tables!P23)*Population_Tables!D23)-O49</f>
        <v>3146.6003867505228</v>
      </c>
      <c r="AB49" s="459">
        <f>((D49/Population_Tables!Q23)*Population_Tables!E23)-P49</f>
        <v>623.96974518147533</v>
      </c>
      <c r="AC49" s="459">
        <f>((E49/Population_Tables!R23)*Population_Tables!F23)-Q49</f>
        <v>5362.5525561445265</v>
      </c>
      <c r="AD49" s="459">
        <f>((F49/Population_Tables!S23)*Population_Tables!G23)-R49</f>
        <v>657.07320652512283</v>
      </c>
      <c r="AE49" s="459">
        <f>((G49/Population_Tables!T23)*Population_Tables!H23)-S49</f>
        <v>379.02563258037549</v>
      </c>
      <c r="AF49" s="459">
        <f>(H49/Population_Tables!U23)*Population_Tables!I23</f>
        <v>4032.777432162713</v>
      </c>
      <c r="AG49" s="459">
        <f>(I49/Population_Tables!V23)*Population_Tables!J23</f>
        <v>2039.4775187046062</v>
      </c>
      <c r="AH49" s="459">
        <f>(J49/Population_Tables!W23)*Population_Tables!K23</f>
        <v>1270.4878002382188</v>
      </c>
      <c r="AI49" s="459">
        <f>(K49/Population_Tables!X23)*Population_Tables!L23</f>
        <v>1456.8378271139261</v>
      </c>
      <c r="AK49" s="456">
        <v>2034</v>
      </c>
      <c r="AL49" s="459">
        <f t="shared" si="6"/>
        <v>15579.646977386186</v>
      </c>
      <c r="AM49" s="459">
        <f t="shared" si="6"/>
        <v>3146.6003867505228</v>
      </c>
      <c r="AN49" s="459">
        <f t="shared" si="6"/>
        <v>623.96974518147533</v>
      </c>
      <c r="AO49" s="459">
        <f t="shared" si="6"/>
        <v>6930.709377790381</v>
      </c>
      <c r="AP49" s="459">
        <f t="shared" si="6"/>
        <v>1674.2850399357553</v>
      </c>
      <c r="AQ49" s="459">
        <f t="shared" si="6"/>
        <v>527.56659224612929</v>
      </c>
      <c r="AR49" s="459">
        <f t="shared" si="6"/>
        <v>4032.777432162713</v>
      </c>
      <c r="AS49" s="459">
        <f t="shared" si="6"/>
        <v>2039.4775187046062</v>
      </c>
      <c r="AT49" s="459">
        <f t="shared" si="6"/>
        <v>1270.4878002382188</v>
      </c>
      <c r="AU49" s="459">
        <f t="shared" si="6"/>
        <v>1456.8378271139261</v>
      </c>
      <c r="AW49" s="216">
        <f>(B49/Population_Tables!O23)*Population_Tables!C23</f>
        <v>15579.646977386186</v>
      </c>
      <c r="AX49" s="153" t="str">
        <f t="shared" si="7"/>
        <v>OK</v>
      </c>
      <c r="AY49" s="421">
        <f t="shared" si="4"/>
        <v>12903.131141904263</v>
      </c>
      <c r="AZ49" s="153" t="str">
        <f t="shared" si="5"/>
        <v>OK</v>
      </c>
      <c r="BB49" s="216">
        <f>(C49/Population_Tables!P23)*Population_Tables!D23</f>
        <v>3146.6003867505228</v>
      </c>
      <c r="BC49" s="216">
        <f>(D49/Population_Tables!Q23)*Population_Tables!E23</f>
        <v>623.96974518147533</v>
      </c>
      <c r="BD49" s="216">
        <f>(E49/Population_Tables!R23)*Population_Tables!F23</f>
        <v>6930.709377790381</v>
      </c>
      <c r="BE49" s="216">
        <f>(F49/Population_Tables!S23)*Population_Tables!G23</f>
        <v>1674.2850399357553</v>
      </c>
      <c r="BF49" s="216">
        <f>(G49/Population_Tables!T23)*Population_Tables!H23</f>
        <v>527.56659224612929</v>
      </c>
      <c r="BG49" s="216"/>
      <c r="BN49" s="216"/>
      <c r="BO49" s="216"/>
      <c r="BP49" s="216"/>
    </row>
    <row r="50" spans="1:68" ht="15.6" x14ac:dyDescent="0.3">
      <c r="A50" s="206">
        <v>2035</v>
      </c>
      <c r="B50" s="229">
        <v>15375.581347098563</v>
      </c>
      <c r="C50" s="229">
        <v>3071.8707315958327</v>
      </c>
      <c r="D50" s="229">
        <v>612.85295161381418</v>
      </c>
      <c r="E50" s="229">
        <v>6862.3679872409575</v>
      </c>
      <c r="F50" s="229">
        <v>1672.4278959872365</v>
      </c>
      <c r="G50" s="229">
        <v>514.41216977562385</v>
      </c>
      <c r="H50" s="229">
        <v>3975.827796629319</v>
      </c>
      <c r="I50" s="229">
        <v>2057.4053869420077</v>
      </c>
      <c r="J50" s="229">
        <v>1241.4164388440172</v>
      </c>
      <c r="K50" s="229">
        <v>1422.9497514308821</v>
      </c>
      <c r="M50" s="206">
        <v>2035</v>
      </c>
      <c r="N50" s="419">
        <f t="shared" si="2"/>
        <v>2857.9721303866836</v>
      </c>
      <c r="O50" s="418">
        <f>(C50/Population_Tables!P24)*Population_Tables!D83</f>
        <v>0</v>
      </c>
      <c r="P50" s="418">
        <f>(D50/Population_Tables!Q24)*Population_Tables!E83</f>
        <v>0</v>
      </c>
      <c r="Q50" s="418">
        <f>((E50-H50)/Population_Tables!R24)*Population_Tables!F83</f>
        <v>1649.2797755144902</v>
      </c>
      <c r="R50" s="418">
        <f>(F50/Population_Tables!S24)*Population_Tables!G83</f>
        <v>1056.5386473271974</v>
      </c>
      <c r="S50" s="418">
        <f>(G50/Population_Tables!T24)*Population_Tables!H83</f>
        <v>152.15370754499608</v>
      </c>
      <c r="T50" s="418">
        <f>(H50/Population_Tables!U24)*Population_Tables!I83</f>
        <v>0</v>
      </c>
      <c r="U50" s="418">
        <f>(I50/Population_Tables!V24)*Population_Tables!J83</f>
        <v>0</v>
      </c>
      <c r="V50" s="418">
        <f>(J50/Population_Tables!W24)*Population_Tables!K83</f>
        <v>0</v>
      </c>
      <c r="W50" s="418">
        <f>(K50/Population_Tables!X24)*Population_Tables!L83</f>
        <v>0</v>
      </c>
      <c r="Y50" s="456">
        <v>2035</v>
      </c>
      <c r="Z50" s="459">
        <f>((B50/Population_Tables!O24)*Population_Tables!C24)-N50</f>
        <v>13115.417548053701</v>
      </c>
      <c r="AA50" s="459">
        <f>((C50/Population_Tables!P24)*Population_Tables!D24)-O50</f>
        <v>3175.2062983228566</v>
      </c>
      <c r="AB50" s="459">
        <f>((D50/Population_Tables!Q24)*Population_Tables!E24)-P50</f>
        <v>633.34749659611668</v>
      </c>
      <c r="AC50" s="459">
        <f>((E50/Population_Tables!R24)*Population_Tables!F24)-Q50</f>
        <v>5488.1060226966565</v>
      </c>
      <c r="AD50" s="459">
        <f>((F50/Population_Tables!S24)*Population_Tables!G24)-R50</f>
        <v>677.69409140686571</v>
      </c>
      <c r="AE50" s="459">
        <f>((G50/Population_Tables!T24)*Population_Tables!H24)-S50</f>
        <v>386.48880072735062</v>
      </c>
      <c r="AF50" s="459">
        <f>(H50/Population_Tables!U24)*Population_Tables!I24</f>
        <v>4100.5148901269758</v>
      </c>
      <c r="AG50" s="459">
        <f>(I50/Population_Tables!V24)*Population_Tables!J24</f>
        <v>2141.995777003182</v>
      </c>
      <c r="AH50" s="459">
        <f>(J50/Population_Tables!W24)*Population_Tables!K24</f>
        <v>1280.6158957411444</v>
      </c>
      <c r="AI50" s="459">
        <f>(K50/Population_Tables!X24)*Population_Tables!L24</f>
        <v>1474.8920067896115</v>
      </c>
      <c r="AK50" s="456">
        <v>2035</v>
      </c>
      <c r="AL50" s="459">
        <f t="shared" si="6"/>
        <v>15973.389678440384</v>
      </c>
      <c r="AM50" s="459">
        <f t="shared" si="6"/>
        <v>3175.2062983228566</v>
      </c>
      <c r="AN50" s="459">
        <f t="shared" si="6"/>
        <v>633.34749659611668</v>
      </c>
      <c r="AO50" s="459">
        <f t="shared" si="6"/>
        <v>7137.3857982111467</v>
      </c>
      <c r="AP50" s="459">
        <f t="shared" si="6"/>
        <v>1734.2327387340631</v>
      </c>
      <c r="AQ50" s="459">
        <f t="shared" si="6"/>
        <v>538.64250827234673</v>
      </c>
      <c r="AR50" s="459">
        <f t="shared" si="6"/>
        <v>4100.5148901269758</v>
      </c>
      <c r="AS50" s="459">
        <f t="shared" si="6"/>
        <v>2141.995777003182</v>
      </c>
      <c r="AT50" s="459">
        <f t="shared" si="6"/>
        <v>1280.6158957411444</v>
      </c>
      <c r="AU50" s="459">
        <f t="shared" si="6"/>
        <v>1474.8920067896115</v>
      </c>
      <c r="AW50" s="216">
        <f>(B50/Population_Tables!O24)*Population_Tables!C24</f>
        <v>15973.389678440386</v>
      </c>
      <c r="AX50" s="153" t="b">
        <f t="shared" si="7"/>
        <v>0</v>
      </c>
      <c r="AY50" s="421">
        <f t="shared" si="4"/>
        <v>13218.814840136531</v>
      </c>
      <c r="AZ50" s="153" t="str">
        <f t="shared" si="5"/>
        <v>OK</v>
      </c>
      <c r="BB50" s="216">
        <f>(C50/Population_Tables!P24)*Population_Tables!D24</f>
        <v>3175.2062983228566</v>
      </c>
      <c r="BC50" s="216">
        <f>(D50/Population_Tables!Q24)*Population_Tables!E24</f>
        <v>633.34749659611668</v>
      </c>
      <c r="BD50" s="216">
        <f>(E50/Population_Tables!R24)*Population_Tables!F24</f>
        <v>7137.3857982111467</v>
      </c>
      <c r="BE50" s="216">
        <f>(F50/Population_Tables!S24)*Population_Tables!G24</f>
        <v>1734.2327387340631</v>
      </c>
      <c r="BF50" s="216">
        <f>(G50/Population_Tables!T24)*Population_Tables!H24</f>
        <v>538.64250827234673</v>
      </c>
      <c r="BG50" s="216"/>
      <c r="BN50" s="216"/>
      <c r="BO50" s="216"/>
      <c r="BP50" s="216"/>
    </row>
    <row r="51" spans="1:68" ht="15.6" x14ac:dyDescent="0.3">
      <c r="A51" s="206">
        <v>2036</v>
      </c>
      <c r="B51" s="229">
        <v>15711.50321503076</v>
      </c>
      <c r="C51" s="229">
        <v>3090.6824488783677</v>
      </c>
      <c r="D51" s="229">
        <v>620.26954661467289</v>
      </c>
      <c r="E51" s="229">
        <v>7041.4876732283428</v>
      </c>
      <c r="F51" s="229">
        <v>1727.4774879620563</v>
      </c>
      <c r="G51" s="229">
        <v>523.11567880497159</v>
      </c>
      <c r="H51" s="229">
        <v>4030.3323844136239</v>
      </c>
      <c r="I51" s="229">
        <v>2152.1607791905353</v>
      </c>
      <c r="J51" s="229">
        <v>1247.8468494152671</v>
      </c>
      <c r="K51" s="229">
        <v>1436.0862070848216</v>
      </c>
      <c r="M51" s="206">
        <v>2036</v>
      </c>
      <c r="N51" s="419">
        <f t="shared" si="2"/>
        <v>2986.4523893702585</v>
      </c>
      <c r="O51" s="418">
        <f>(C51/Population_Tables!P25)*Population_Tables!D84</f>
        <v>0</v>
      </c>
      <c r="P51" s="418">
        <f>(D51/Population_Tables!Q25)*Population_Tables!E84</f>
        <v>0</v>
      </c>
      <c r="Q51" s="418">
        <f>((E51-H51)/Population_Tables!R25)*Population_Tables!F84</f>
        <v>1733.2263014819948</v>
      </c>
      <c r="R51" s="418">
        <f>(F51/Population_Tables!S25)*Population_Tables!G84</f>
        <v>1097.4145953132258</v>
      </c>
      <c r="S51" s="418">
        <f>(G51/Population_Tables!T25)*Population_Tables!H84</f>
        <v>155.81149257503785</v>
      </c>
      <c r="T51" s="418">
        <f>(H51/Population_Tables!U25)*Population_Tables!I84</f>
        <v>0</v>
      </c>
      <c r="U51" s="418">
        <f>(I51/Population_Tables!V25)*Population_Tables!J84</f>
        <v>0</v>
      </c>
      <c r="V51" s="418">
        <f>(J51/Population_Tables!W25)*Population_Tables!K84</f>
        <v>0</v>
      </c>
      <c r="W51" s="418">
        <f>(K51/Population_Tables!X25)*Population_Tables!L84</f>
        <v>0</v>
      </c>
      <c r="Y51" s="456">
        <v>2036</v>
      </c>
      <c r="Z51" s="459">
        <f>((B51/Population_Tables!O25)*Population_Tables!C25)-N51</f>
        <v>13387.207162104434</v>
      </c>
      <c r="AA51" s="459">
        <f>((C51/Population_Tables!P25)*Population_Tables!D25)-O51</f>
        <v>3203.529793192889</v>
      </c>
      <c r="AB51" s="459">
        <f>((D51/Population_Tables!Q25)*Population_Tables!E25)-P51</f>
        <v>642.84626555049545</v>
      </c>
      <c r="AC51" s="459">
        <f>((E51/Population_Tables!R25)*Population_Tables!F25)-Q51</f>
        <v>5614.3546362001216</v>
      </c>
      <c r="AD51" s="459">
        <f>((F51/Population_Tables!S25)*Population_Tables!G25)-R51</f>
        <v>699.09649623934661</v>
      </c>
      <c r="AE51" s="459">
        <f>((G51/Population_Tables!T25)*Population_Tables!H25)-S51</f>
        <v>394.02411581280126</v>
      </c>
      <c r="AF51" s="459">
        <f>(H51/Population_Tables!U25)*Population_Tables!I25</f>
        <v>4167.641411480432</v>
      </c>
      <c r="AG51" s="459">
        <f>(I51/Population_Tables!V25)*Population_Tables!J25</f>
        <v>2247.8600540221064</v>
      </c>
      <c r="AH51" s="459">
        <f>(J51/Population_Tables!W25)*Population_Tables!K25</f>
        <v>1290.6585206407406</v>
      </c>
      <c r="AI51" s="459">
        <f>(K51/Population_Tables!X25)*Population_Tables!L25</f>
        <v>1493.013734326385</v>
      </c>
      <c r="AK51" s="456">
        <v>2036</v>
      </c>
      <c r="AL51" s="459">
        <f t="shared" si="6"/>
        <v>16373.659551474693</v>
      </c>
      <c r="AM51" s="459">
        <f t="shared" si="6"/>
        <v>3203.529793192889</v>
      </c>
      <c r="AN51" s="459">
        <f t="shared" si="6"/>
        <v>642.84626555049545</v>
      </c>
      <c r="AO51" s="459">
        <f t="shared" si="6"/>
        <v>7347.5809376821162</v>
      </c>
      <c r="AP51" s="459">
        <f t="shared" si="6"/>
        <v>1796.5110915525725</v>
      </c>
      <c r="AQ51" s="459">
        <f t="shared" si="6"/>
        <v>549.8356083878391</v>
      </c>
      <c r="AR51" s="459">
        <f t="shared" si="6"/>
        <v>4167.641411480432</v>
      </c>
      <c r="AS51" s="459">
        <f t="shared" si="6"/>
        <v>2247.8600540221064</v>
      </c>
      <c r="AT51" s="459">
        <f t="shared" si="6"/>
        <v>1290.6585206407406</v>
      </c>
      <c r="AU51" s="459">
        <f t="shared" si="6"/>
        <v>1493.013734326385</v>
      </c>
      <c r="AW51" s="216">
        <f>(B51/Population_Tables!O25)*Population_Tables!C25</f>
        <v>16373.659551474693</v>
      </c>
      <c r="AX51" s="153" t="str">
        <f t="shared" si="7"/>
        <v>OK</v>
      </c>
      <c r="AY51" s="421">
        <f t="shared" si="4"/>
        <v>13540.303696365912</v>
      </c>
      <c r="AZ51" s="153" t="str">
        <f t="shared" si="5"/>
        <v>OK</v>
      </c>
      <c r="BB51" s="216">
        <f>(C51/Population_Tables!P25)*Population_Tables!D25</f>
        <v>3203.529793192889</v>
      </c>
      <c r="BC51" s="216">
        <f>(D51/Population_Tables!Q25)*Population_Tables!E25</f>
        <v>642.84626555049545</v>
      </c>
      <c r="BD51" s="216">
        <f>(E51/Population_Tables!R25)*Population_Tables!F25</f>
        <v>7347.5809376821162</v>
      </c>
      <c r="BE51" s="216">
        <f>(F51/Population_Tables!S25)*Population_Tables!G25</f>
        <v>1796.5110915525725</v>
      </c>
      <c r="BF51" s="216">
        <f>(G51/Population_Tables!T25)*Population_Tables!H25</f>
        <v>549.8356083878391</v>
      </c>
      <c r="BG51" s="216"/>
      <c r="BN51" s="216"/>
      <c r="BO51" s="216"/>
      <c r="BP51" s="216"/>
    </row>
    <row r="52" spans="1:68" ht="15.6" x14ac:dyDescent="0.3">
      <c r="A52" s="206">
        <v>2037</v>
      </c>
      <c r="B52" s="229">
        <v>16052.283545825936</v>
      </c>
      <c r="C52" s="229">
        <v>3109.2085869195644</v>
      </c>
      <c r="D52" s="229">
        <v>627.76174594729207</v>
      </c>
      <c r="E52" s="229">
        <v>7223.0667012550884</v>
      </c>
      <c r="F52" s="229">
        <v>1784.6267741773831</v>
      </c>
      <c r="G52" s="229">
        <v>531.8810399531335</v>
      </c>
      <c r="H52" s="229">
        <v>4084.0206274851712</v>
      </c>
      <c r="I52" s="229">
        <v>2249.6695438033112</v>
      </c>
      <c r="J52" s="229">
        <v>1254.1774584731293</v>
      </c>
      <c r="K52" s="229">
        <v>1449.2659098263393</v>
      </c>
      <c r="M52" s="206">
        <v>2037</v>
      </c>
      <c r="N52" s="419">
        <f t="shared" si="2"/>
        <v>3119.4461030136231</v>
      </c>
      <c r="O52" s="418">
        <f>(C52/Population_Tables!P26)*Population_Tables!D85</f>
        <v>0</v>
      </c>
      <c r="P52" s="418">
        <f>(D52/Population_Tables!Q26)*Population_Tables!E85</f>
        <v>0</v>
      </c>
      <c r="Q52" s="418">
        <f>((E52-H52)/Population_Tables!R26)*Population_Tables!F85</f>
        <v>1820.0174514880655</v>
      </c>
      <c r="R52" s="418">
        <f>(F52/Population_Tables!S26)*Population_Tables!G85</f>
        <v>1139.9127300491612</v>
      </c>
      <c r="S52" s="418">
        <f>(G52/Population_Tables!T26)*Population_Tables!H85</f>
        <v>159.51592147639678</v>
      </c>
      <c r="T52" s="418">
        <f>(H52/Population_Tables!U26)*Population_Tables!I85</f>
        <v>0</v>
      </c>
      <c r="U52" s="418">
        <f>(I52/Population_Tables!V26)*Population_Tables!J85</f>
        <v>0</v>
      </c>
      <c r="V52" s="418">
        <f>(J52/Population_Tables!W26)*Population_Tables!K85</f>
        <v>0</v>
      </c>
      <c r="W52" s="418">
        <f>(K52/Population_Tables!X26)*Population_Tables!L85</f>
        <v>0</v>
      </c>
      <c r="Y52" s="456">
        <v>2037</v>
      </c>
      <c r="Z52" s="459">
        <f>((B52/Population_Tables!O26)*Population_Tables!C26)-N52</f>
        <v>13661.174952103614</v>
      </c>
      <c r="AA52" s="459">
        <f>((C52/Population_Tables!P26)*Population_Tables!D26)-O52</f>
        <v>3231.5673261234328</v>
      </c>
      <c r="AB52" s="459">
        <f>((D52/Population_Tables!Q26)*Population_Tables!E26)-P52</f>
        <v>652.47289033890331</v>
      </c>
      <c r="AC52" s="459">
        <f>((E52/Population_Tables!R26)*Population_Tables!F26)-Q52</f>
        <v>5741.3079752217845</v>
      </c>
      <c r="AD52" s="459">
        <f>((F52/Population_Tables!S26)*Population_Tables!G26)-R52</f>
        <v>721.31542564135884</v>
      </c>
      <c r="AE52" s="459">
        <f>((G52/Population_Tables!T26)*Population_Tables!H26)-S52</f>
        <v>401.63149585942449</v>
      </c>
      <c r="AF52" s="459">
        <f>(H52/Population_Tables!U26)*Population_Tables!I26</f>
        <v>4234.176054655326</v>
      </c>
      <c r="AG52" s="459">
        <f>(I52/Population_Tables!V26)*Population_Tables!J26</f>
        <v>2357.0883605565537</v>
      </c>
      <c r="AH52" s="459">
        <f>(J52/Population_Tables!W26)*Population_Tables!K26</f>
        <v>1300.6168493659213</v>
      </c>
      <c r="AI52" s="459">
        <f>(K52/Population_Tables!X26)*Population_Tables!L26</f>
        <v>1511.206050263542</v>
      </c>
      <c r="AK52" s="456">
        <v>2037</v>
      </c>
      <c r="AL52" s="459">
        <f t="shared" si="6"/>
        <v>16780.621055117237</v>
      </c>
      <c r="AM52" s="459">
        <f t="shared" si="6"/>
        <v>3231.5673261234328</v>
      </c>
      <c r="AN52" s="459">
        <f t="shared" si="6"/>
        <v>652.47289033890331</v>
      </c>
      <c r="AO52" s="459">
        <f t="shared" si="6"/>
        <v>7561.32542670985</v>
      </c>
      <c r="AP52" s="459">
        <f t="shared" si="6"/>
        <v>1861.22815569052</v>
      </c>
      <c r="AQ52" s="459">
        <f t="shared" si="6"/>
        <v>561.14741733582127</v>
      </c>
      <c r="AR52" s="459">
        <f t="shared" si="6"/>
        <v>4234.176054655326</v>
      </c>
      <c r="AS52" s="459">
        <f t="shared" si="6"/>
        <v>2357.0883605565537</v>
      </c>
      <c r="AT52" s="459">
        <f t="shared" si="6"/>
        <v>1300.6168493659213</v>
      </c>
      <c r="AU52" s="459">
        <f t="shared" si="6"/>
        <v>1511.206050263542</v>
      </c>
      <c r="AW52" s="216">
        <f>(B52/Population_Tables!O26)*Population_Tables!C26</f>
        <v>16780.621055117237</v>
      </c>
      <c r="AX52" s="153" t="str">
        <f t="shared" si="7"/>
        <v>OK</v>
      </c>
      <c r="AY52" s="421">
        <f t="shared" si="4"/>
        <v>13867.741216198528</v>
      </c>
      <c r="AZ52" s="153" t="str">
        <f t="shared" si="5"/>
        <v>OK</v>
      </c>
      <c r="BB52" s="216">
        <f>(C52/Population_Tables!P26)*Population_Tables!D26</f>
        <v>3231.5673261234328</v>
      </c>
      <c r="BC52" s="216">
        <f>(D52/Population_Tables!Q26)*Population_Tables!E26</f>
        <v>652.47289033890331</v>
      </c>
      <c r="BD52" s="216">
        <f>(E52/Population_Tables!R26)*Population_Tables!F26</f>
        <v>7561.32542670985</v>
      </c>
      <c r="BE52" s="216">
        <f>(F52/Population_Tables!S26)*Population_Tables!G26</f>
        <v>1861.22815569052</v>
      </c>
      <c r="BF52" s="216">
        <f>(G52/Population_Tables!T26)*Population_Tables!H26</f>
        <v>561.14741733582127</v>
      </c>
      <c r="BG52" s="216"/>
      <c r="BN52" s="216"/>
      <c r="BO52" s="216"/>
      <c r="BP52" s="216"/>
    </row>
    <row r="53" spans="1:68" ht="15.6" x14ac:dyDescent="0.3">
      <c r="A53" s="206">
        <v>2038</v>
      </c>
      <c r="B53" s="229">
        <v>16397.930608915336</v>
      </c>
      <c r="C53" s="229">
        <v>3127.4437614846452</v>
      </c>
      <c r="D53" s="229">
        <v>635.3339738944959</v>
      </c>
      <c r="E53" s="229">
        <v>7407.0697835756955</v>
      </c>
      <c r="F53" s="229">
        <v>1843.942261169027</v>
      </c>
      <c r="G53" s="229">
        <v>540.70601909605193</v>
      </c>
      <c r="H53" s="229">
        <v>4136.8969167398445</v>
      </c>
      <c r="I53" s="229">
        <v>2349.9188793244284</v>
      </c>
      <c r="J53" s="229">
        <v>1260.4070956504356</v>
      </c>
      <c r="K53" s="229">
        <v>1462.4845219780482</v>
      </c>
      <c r="M53" s="206">
        <v>2038</v>
      </c>
      <c r="N53" s="419">
        <f t="shared" si="2"/>
        <v>3257.0915532273757</v>
      </c>
      <c r="O53" s="418">
        <f>(C53/Population_Tables!P27)*Population_Tables!D86</f>
        <v>0</v>
      </c>
      <c r="P53" s="418">
        <f>(D53/Population_Tables!Q27)*Population_Tables!E86</f>
        <v>0</v>
      </c>
      <c r="Q53" s="418">
        <f>((E53-H53)/Population_Tables!R27)*Population_Tables!F86</f>
        <v>1909.7028554618835</v>
      </c>
      <c r="R53" s="418">
        <f>(F53/Population_Tables!S27)*Population_Tables!G86</f>
        <v>1184.1174855516565</v>
      </c>
      <c r="S53" s="418">
        <f>(G53/Population_Tables!T27)*Population_Tables!H86</f>
        <v>163.27121221383544</v>
      </c>
      <c r="T53" s="418">
        <f>(H53/Population_Tables!U27)*Population_Tables!I86</f>
        <v>0</v>
      </c>
      <c r="U53" s="418">
        <f>(I53/Population_Tables!V27)*Population_Tables!J86</f>
        <v>0</v>
      </c>
      <c r="V53" s="418">
        <f>(J53/Population_Tables!W27)*Population_Tables!K86</f>
        <v>0</v>
      </c>
      <c r="W53" s="418">
        <f>(K53/Population_Tables!X27)*Population_Tables!L86</f>
        <v>0</v>
      </c>
      <c r="Y53" s="456">
        <v>2038</v>
      </c>
      <c r="Z53" s="459">
        <f>((B53/Population_Tables!O27)*Population_Tables!C27)-N53</f>
        <v>13937.510099372827</v>
      </c>
      <c r="AA53" s="459">
        <f>((C53/Population_Tables!P27)*Population_Tables!D27)-O53</f>
        <v>3259.3417296614707</v>
      </c>
      <c r="AB53" s="459">
        <f>((D53/Population_Tables!Q27)*Population_Tables!E27)-P53</f>
        <v>662.24220478605332</v>
      </c>
      <c r="AC53" s="459">
        <f>((E53/Population_Tables!R27)*Population_Tables!F27)-Q53</f>
        <v>5869.0239059755322</v>
      </c>
      <c r="AD53" s="459">
        <f>((F53/Population_Tables!S27)*Population_Tables!G27)-R53</f>
        <v>744.38968784798817</v>
      </c>
      <c r="AE53" s="459">
        <f>((G53/Population_Tables!T27)*Population_Tables!H27)-S53</f>
        <v>409.31618737369485</v>
      </c>
      <c r="AF53" s="459">
        <f>(H53/Population_Tables!U27)*Population_Tables!I27</f>
        <v>4300.1659016912445</v>
      </c>
      <c r="AG53" s="459">
        <f>(I53/Population_Tables!V27)*Population_Tables!J27</f>
        <v>2469.7202918743869</v>
      </c>
      <c r="AH53" s="459">
        <f>(J53/Population_Tables!W27)*Population_Tables!K27</f>
        <v>1310.5021310974441</v>
      </c>
      <c r="AI53" s="459">
        <f>(K53/Population_Tables!X27)*Population_Tables!L27</f>
        <v>1529.4796742103963</v>
      </c>
      <c r="AK53" s="456">
        <v>2038</v>
      </c>
      <c r="AL53" s="459">
        <f t="shared" si="6"/>
        <v>17194.601652600202</v>
      </c>
      <c r="AM53" s="459">
        <f t="shared" si="6"/>
        <v>3259.3417296614707</v>
      </c>
      <c r="AN53" s="459">
        <f t="shared" si="6"/>
        <v>662.24220478605332</v>
      </c>
      <c r="AO53" s="459">
        <f t="shared" si="6"/>
        <v>7778.7267614374159</v>
      </c>
      <c r="AP53" s="459">
        <f t="shared" si="6"/>
        <v>1928.5071733996447</v>
      </c>
      <c r="AQ53" s="459">
        <f t="shared" si="6"/>
        <v>572.58739958753029</v>
      </c>
      <c r="AR53" s="459">
        <f t="shared" si="6"/>
        <v>4300.1659016912445</v>
      </c>
      <c r="AS53" s="459">
        <f t="shared" si="6"/>
        <v>2469.7202918743869</v>
      </c>
      <c r="AT53" s="459">
        <f t="shared" si="6"/>
        <v>1310.5021310974441</v>
      </c>
      <c r="AU53" s="459">
        <f t="shared" si="6"/>
        <v>1529.4796742103963</v>
      </c>
      <c r="AW53" s="216">
        <f>(B53/Population_Tables!O27)*Population_Tables!C27</f>
        <v>17194.601652600202</v>
      </c>
      <c r="AX53" s="153" t="str">
        <f t="shared" si="7"/>
        <v>OK</v>
      </c>
      <c r="AY53" s="421">
        <f t="shared" si="4"/>
        <v>14201.405268872115</v>
      </c>
      <c r="AZ53" s="153" t="str">
        <f t="shared" si="5"/>
        <v>OK</v>
      </c>
      <c r="BB53" s="216">
        <f>(C53/Population_Tables!P27)*Population_Tables!D27</f>
        <v>3259.3417296614707</v>
      </c>
      <c r="BC53" s="216">
        <f>(D53/Population_Tables!Q27)*Population_Tables!E27</f>
        <v>662.24220478605332</v>
      </c>
      <c r="BD53" s="216">
        <f>(E53/Population_Tables!R27)*Population_Tables!F27</f>
        <v>7778.7267614374159</v>
      </c>
      <c r="BE53" s="216">
        <f>(F53/Population_Tables!S27)*Population_Tables!G27</f>
        <v>1928.5071733996447</v>
      </c>
      <c r="BF53" s="216">
        <f>(G53/Population_Tables!T27)*Population_Tables!H27</f>
        <v>572.58739958753029</v>
      </c>
      <c r="BG53" s="216"/>
      <c r="BN53" s="216"/>
      <c r="BO53" s="216"/>
      <c r="BP53" s="216"/>
    </row>
    <row r="54" spans="1:68" ht="15.6" x14ac:dyDescent="0.3">
      <c r="A54" s="206">
        <v>2039</v>
      </c>
      <c r="B54" s="229">
        <v>16748.451499918767</v>
      </c>
      <c r="C54" s="229">
        <v>3145.3851002705878</v>
      </c>
      <c r="D54" s="229">
        <v>642.99055617744602</v>
      </c>
      <c r="E54" s="229">
        <v>7593.4640413162861</v>
      </c>
      <c r="F54" s="229">
        <v>1905.4881282855579</v>
      </c>
      <c r="G54" s="229">
        <v>549.58850925804302</v>
      </c>
      <c r="H54" s="229">
        <v>4188.9608036803811</v>
      </c>
      <c r="I54" s="229">
        <v>2452.898438047449</v>
      </c>
      <c r="J54" s="229">
        <v>1266.5352312045325</v>
      </c>
      <c r="K54" s="229">
        <v>1475.7354783957321</v>
      </c>
      <c r="M54" s="206">
        <v>2039</v>
      </c>
      <c r="N54" s="419">
        <f t="shared" si="2"/>
        <v>3399.5934414183039</v>
      </c>
      <c r="O54" s="418">
        <f>(C54/Population_Tables!P28)*Population_Tables!D87</f>
        <v>0</v>
      </c>
      <c r="P54" s="418">
        <f>(D54/Population_Tables!Q28)*Population_Tables!E87</f>
        <v>0</v>
      </c>
      <c r="Q54" s="418">
        <f>((E54-H54)/Population_Tables!R28)*Population_Tables!F87</f>
        <v>2002.3766529110292</v>
      </c>
      <c r="R54" s="418">
        <f>(F54/Population_Tables!S28)*Population_Tables!G87</f>
        <v>1230.1316917157781</v>
      </c>
      <c r="S54" s="418">
        <f>(G54/Population_Tables!T28)*Population_Tables!H87</f>
        <v>167.08509679149654</v>
      </c>
      <c r="T54" s="418">
        <f>(H54/Population_Tables!U28)*Population_Tables!I87</f>
        <v>0</v>
      </c>
      <c r="U54" s="418">
        <f>(I54/Population_Tables!V28)*Population_Tables!J87</f>
        <v>0</v>
      </c>
      <c r="V54" s="418">
        <f>(J54/Population_Tables!W28)*Population_Tables!K87</f>
        <v>0</v>
      </c>
      <c r="W54" s="418">
        <f>(K54/Population_Tables!X28)*Population_Tables!L87</f>
        <v>0</v>
      </c>
      <c r="Y54" s="456">
        <v>2039</v>
      </c>
      <c r="Z54" s="459">
        <f>((B54/Population_Tables!O28)*Population_Tables!C28)-N54</f>
        <v>14216.557981221988</v>
      </c>
      <c r="AA54" s="459">
        <f>((C54/Population_Tables!P28)*Population_Tables!D28)-O54</f>
        <v>3286.9111720755536</v>
      </c>
      <c r="AB54" s="459">
        <f>((D54/Population_Tables!Q28)*Population_Tables!E28)-P54</f>
        <v>672.17683549090793</v>
      </c>
      <c r="AC54" s="459">
        <f>((E54/Population_Tables!R28)*Population_Tables!F28)-Q54</f>
        <v>5997.6275446781128</v>
      </c>
      <c r="AD54" s="459">
        <f>((F54/Population_Tables!S28)*Population_Tables!G28)-R54</f>
        <v>768.36281004185844</v>
      </c>
      <c r="AE54" s="459">
        <f>((G54/Population_Tables!T28)*Population_Tables!H28)-S54</f>
        <v>417.08783532706605</v>
      </c>
      <c r="AF54" s="459">
        <f>(H54/Population_Tables!U28)*Population_Tables!I28</f>
        <v>4365.6974465333451</v>
      </c>
      <c r="AG54" s="459">
        <f>(I54/Population_Tables!V28)*Population_Tables!J28</f>
        <v>2585.8372002428609</v>
      </c>
      <c r="AH54" s="459">
        <f>(J54/Population_Tables!W28)*Population_Tables!K28</f>
        <v>1320.3395012788649</v>
      </c>
      <c r="AI54" s="459">
        <f>(K54/Population_Tables!X28)*Population_Tables!L28</f>
        <v>1547.8595236139322</v>
      </c>
      <c r="AK54" s="456">
        <v>2039</v>
      </c>
      <c r="AL54" s="459">
        <f t="shared" si="6"/>
        <v>17616.151422640291</v>
      </c>
      <c r="AM54" s="459">
        <f t="shared" si="6"/>
        <v>3286.9111720755536</v>
      </c>
      <c r="AN54" s="459">
        <f t="shared" si="6"/>
        <v>672.17683549090793</v>
      </c>
      <c r="AO54" s="459">
        <f t="shared" si="6"/>
        <v>8000.0041975891418</v>
      </c>
      <c r="AP54" s="459">
        <f t="shared" si="6"/>
        <v>1998.4945017576365</v>
      </c>
      <c r="AQ54" s="459">
        <f t="shared" si="6"/>
        <v>584.17293211856258</v>
      </c>
      <c r="AR54" s="459">
        <f t="shared" si="6"/>
        <v>4365.6974465333451</v>
      </c>
      <c r="AS54" s="459">
        <f t="shared" si="6"/>
        <v>2585.8372002428609</v>
      </c>
      <c r="AT54" s="459">
        <f t="shared" si="6"/>
        <v>1320.3395012788649</v>
      </c>
      <c r="AU54" s="459">
        <f t="shared" si="6"/>
        <v>1547.8595236139322</v>
      </c>
      <c r="AW54" s="216">
        <f>(B54/Population_Tables!O28)*Population_Tables!C28</f>
        <v>17616.151422640291</v>
      </c>
      <c r="AX54" s="153" t="str">
        <f t="shared" si="7"/>
        <v>OK</v>
      </c>
      <c r="AY54" s="421">
        <f t="shared" si="4"/>
        <v>14541.759639031803</v>
      </c>
      <c r="AZ54" s="153" t="str">
        <f t="shared" si="5"/>
        <v>OK</v>
      </c>
      <c r="BB54" s="216">
        <f>(C54/Population_Tables!P28)*Population_Tables!D28</f>
        <v>3286.9111720755536</v>
      </c>
      <c r="BC54" s="216">
        <f>(D54/Population_Tables!Q28)*Population_Tables!E28</f>
        <v>672.17683549090793</v>
      </c>
      <c r="BD54" s="216">
        <f>(E54/Population_Tables!R28)*Population_Tables!F28</f>
        <v>8000.0041975891418</v>
      </c>
      <c r="BE54" s="216">
        <f>(F54/Population_Tables!S28)*Population_Tables!G28</f>
        <v>1998.4945017576365</v>
      </c>
      <c r="BF54" s="216">
        <f>(G54/Population_Tables!T28)*Population_Tables!H28</f>
        <v>584.17293211856258</v>
      </c>
      <c r="BG54" s="216"/>
      <c r="BN54" s="216"/>
      <c r="BO54" s="216"/>
      <c r="BP54" s="216"/>
    </row>
    <row r="55" spans="1:68" ht="15.6" x14ac:dyDescent="0.3">
      <c r="A55" s="206">
        <v>2040</v>
      </c>
      <c r="B55" s="229">
        <v>17091.972478038722</v>
      </c>
      <c r="C55" s="229">
        <v>3163.0266466965036</v>
      </c>
      <c r="D55" s="229">
        <v>651.70082336760163</v>
      </c>
      <c r="E55" s="229">
        <v>7774.6739242548938</v>
      </c>
      <c r="F55" s="229">
        <v>1970.9542885598783</v>
      </c>
      <c r="G55" s="229">
        <v>558.53364534924526</v>
      </c>
      <c r="H55" s="229">
        <v>4233.5548592113309</v>
      </c>
      <c r="I55" s="229">
        <v>2560.5185442909424</v>
      </c>
      <c r="J55" s="229">
        <v>1272.5267677159538</v>
      </c>
      <c r="K55" s="229">
        <v>1489.2914025300629</v>
      </c>
      <c r="M55" s="206">
        <v>2040</v>
      </c>
      <c r="N55" s="419">
        <f t="shared" si="2"/>
        <v>3547.6835768959031</v>
      </c>
      <c r="O55" s="418">
        <f>(C55/Population_Tables!P29)*Population_Tables!D88</f>
        <v>0</v>
      </c>
      <c r="P55" s="418">
        <f>(D55/Population_Tables!Q29)*Population_Tables!E88</f>
        <v>0</v>
      </c>
      <c r="Q55" s="418">
        <f>((E55-H55)/Population_Tables!R29)*Population_Tables!F88</f>
        <v>2097.6084367604071</v>
      </c>
      <c r="R55" s="418">
        <f>(F55/Population_Tables!S29)*Population_Tables!G88</f>
        <v>1279.1086781883864</v>
      </c>
      <c r="S55" s="418">
        <f>(G55/Population_Tables!T29)*Population_Tables!H88</f>
        <v>170.96646194710962</v>
      </c>
      <c r="T55" s="418">
        <f>(H55/Population_Tables!U29)*Population_Tables!I88</f>
        <v>0</v>
      </c>
      <c r="U55" s="418">
        <f>(I55/Population_Tables!V29)*Population_Tables!J88</f>
        <v>0</v>
      </c>
      <c r="V55" s="418">
        <f>(J55/Population_Tables!W29)*Population_Tables!K88</f>
        <v>0</v>
      </c>
      <c r="W55" s="418">
        <f>(K55/Population_Tables!X29)*Population_Tables!L88</f>
        <v>0</v>
      </c>
      <c r="Y55" s="456">
        <v>2040</v>
      </c>
      <c r="Z55" s="459">
        <f>((B55/Population_Tables!O29)*Population_Tables!C29)-N55</f>
        <v>14485.54573552572</v>
      </c>
      <c r="AA55" s="459">
        <f>((C55/Population_Tables!P29)*Population_Tables!D29)-O55</f>
        <v>3314.318007878097</v>
      </c>
      <c r="AB55" s="459">
        <f>((D55/Population_Tables!Q29)*Population_Tables!E29)-P55</f>
        <v>683.30854061108471</v>
      </c>
      <c r="AC55" s="459">
        <f>((E55/Population_Tables!R29)*Population_Tables!F29)-Q55</f>
        <v>6119.7787697500899</v>
      </c>
      <c r="AD55" s="459">
        <f>((F55/Population_Tables!S29)*Population_Tables!G29)-R55</f>
        <v>793.93183158330521</v>
      </c>
      <c r="AE55" s="459">
        <f>((G55/Population_Tables!T29)*Population_Tables!H29)-S55</f>
        <v>424.96033187846905</v>
      </c>
      <c r="AF55" s="459">
        <f>(H55/Population_Tables!U29)*Population_Tables!I29</f>
        <v>4423.8894970095853</v>
      </c>
      <c r="AG55" s="459">
        <f>(I55/Population_Tables!V29)*Population_Tables!J29</f>
        <v>2707.5530347625772</v>
      </c>
      <c r="AH55" s="459">
        <f>(J55/Population_Tables!W29)*Population_Tables!K29</f>
        <v>1330.1125227923853</v>
      </c>
      <c r="AI55" s="459">
        <f>(K55/Population_Tables!X29)*Population_Tables!L29</f>
        <v>1566.6587067939313</v>
      </c>
      <c r="AK55" s="456">
        <v>2040</v>
      </c>
      <c r="AL55" s="459">
        <f t="shared" si="6"/>
        <v>18033.229312421623</v>
      </c>
      <c r="AM55" s="459">
        <f t="shared" si="6"/>
        <v>3314.318007878097</v>
      </c>
      <c r="AN55" s="459">
        <f t="shared" si="6"/>
        <v>683.30854061108471</v>
      </c>
      <c r="AO55" s="459">
        <f t="shared" si="6"/>
        <v>8217.387206510497</v>
      </c>
      <c r="AP55" s="459">
        <f t="shared" si="6"/>
        <v>2073.0405097716916</v>
      </c>
      <c r="AQ55" s="459">
        <f t="shared" si="6"/>
        <v>595.92679382557867</v>
      </c>
      <c r="AR55" s="459">
        <f t="shared" si="6"/>
        <v>4423.8894970095853</v>
      </c>
      <c r="AS55" s="459">
        <f t="shared" si="6"/>
        <v>2707.5530347625772</v>
      </c>
      <c r="AT55" s="459">
        <f t="shared" si="6"/>
        <v>1330.1125227923853</v>
      </c>
      <c r="AU55" s="459">
        <f t="shared" si="6"/>
        <v>1566.6587067939313</v>
      </c>
      <c r="AW55" s="216">
        <f>(B55/Population_Tables!O29)*Population_Tables!C29</f>
        <v>18033.229312421623</v>
      </c>
      <c r="AX55" s="153" t="str">
        <f t="shared" si="7"/>
        <v>OK</v>
      </c>
      <c r="AY55" s="421">
        <f t="shared" si="4"/>
        <v>14883.98105859695</v>
      </c>
      <c r="AZ55" s="153" t="str">
        <f t="shared" si="5"/>
        <v>OK</v>
      </c>
      <c r="BB55" s="216">
        <f>(C55/Population_Tables!P29)*Population_Tables!D29</f>
        <v>3314.318007878097</v>
      </c>
      <c r="BC55" s="216">
        <f>(D55/Population_Tables!Q29)*Population_Tables!E29</f>
        <v>683.30854061108471</v>
      </c>
      <c r="BD55" s="216">
        <f>(E55/Population_Tables!R29)*Population_Tables!F29</f>
        <v>8217.387206510497</v>
      </c>
      <c r="BE55" s="216">
        <f>(F55/Population_Tables!S29)*Population_Tables!G29</f>
        <v>2073.0405097716916</v>
      </c>
      <c r="BF55" s="216">
        <f>(G55/Population_Tables!T29)*Population_Tables!H29</f>
        <v>595.92679382557867</v>
      </c>
      <c r="BG55" s="216"/>
      <c r="BN55" s="216"/>
      <c r="BO55" s="216"/>
      <c r="BP55" s="216"/>
    </row>
    <row r="56" spans="1:68" ht="15.6" x14ac:dyDescent="0.3">
      <c r="A56" s="206">
        <v>2041</v>
      </c>
      <c r="B56" s="229">
        <v>17464.129732176021</v>
      </c>
      <c r="C56" s="229">
        <v>3180.3696171264028</v>
      </c>
      <c r="D56" s="229">
        <v>658.5699365283765</v>
      </c>
      <c r="E56" s="229">
        <v>7973.2745948841321</v>
      </c>
      <c r="F56" s="229">
        <v>2035.5366439996681</v>
      </c>
      <c r="G56" s="229">
        <v>567.51701244061871</v>
      </c>
      <c r="H56" s="229">
        <v>4290.6522093371022</v>
      </c>
      <c r="I56" s="229">
        <v>2666.9973511427916</v>
      </c>
      <c r="J56" s="229">
        <v>1278.4834196391266</v>
      </c>
      <c r="K56" s="229">
        <v>1502.3206715120457</v>
      </c>
      <c r="M56" s="206">
        <v>2041</v>
      </c>
      <c r="N56" s="419">
        <f t="shared" si="2"/>
        <v>3699.8767233474655</v>
      </c>
      <c r="O56" s="418">
        <f>(C56/Population_Tables!P30)*Population_Tables!D89</f>
        <v>0</v>
      </c>
      <c r="P56" s="418">
        <f>(D56/Population_Tables!Q30)*Population_Tables!E89</f>
        <v>0</v>
      </c>
      <c r="Q56" s="418">
        <f>((E56-H56)/Population_Tables!R30)*Population_Tables!F89</f>
        <v>2197.0053777217695</v>
      </c>
      <c r="R56" s="418">
        <f>(F56/Population_Tables!S30)*Population_Tables!G89</f>
        <v>1327.9614228397936</v>
      </c>
      <c r="S56" s="418">
        <f>(G56/Population_Tables!T30)*Population_Tables!H89</f>
        <v>174.90992278590224</v>
      </c>
      <c r="T56" s="418">
        <f>(H56/Population_Tables!U30)*Population_Tables!I89</f>
        <v>0</v>
      </c>
      <c r="U56" s="418">
        <f>(I56/Population_Tables!V30)*Population_Tables!J89</f>
        <v>0</v>
      </c>
      <c r="V56" s="418">
        <f>(J56/Population_Tables!W30)*Population_Tables!K89</f>
        <v>0</v>
      </c>
      <c r="W56" s="418">
        <f>(K56/Population_Tables!X30)*Population_Tables!L89</f>
        <v>0</v>
      </c>
      <c r="Y56" s="456">
        <v>2041</v>
      </c>
      <c r="Z56" s="459">
        <f>((B56/Population_Tables!O30)*Population_Tables!C30)-N56</f>
        <v>14783.740417280686</v>
      </c>
      <c r="AA56" s="459">
        <f>((C56/Population_Tables!P30)*Population_Tables!D30)-O56</f>
        <v>3341.5722799469781</v>
      </c>
      <c r="AB56" s="459">
        <f>((D56/Population_Tables!Q30)*Population_Tables!E30)-P56</f>
        <v>692.60729699643468</v>
      </c>
      <c r="AC56" s="459">
        <f>((E56/Population_Tables!R30)*Population_Tables!F30)-Q56</f>
        <v>6257.8268218686226</v>
      </c>
      <c r="AD56" s="459">
        <f>((F56/Population_Tables!S30)*Population_Tables!G30)-R56</f>
        <v>819.16995208984281</v>
      </c>
      <c r="AE56" s="459">
        <f>((G56/Population_Tables!T30)*Population_Tables!H30)-S56</f>
        <v>432.91858993645496</v>
      </c>
      <c r="AF56" s="459">
        <f>(H56/Population_Tables!U30)*Population_Tables!I30</f>
        <v>4495.6268829829614</v>
      </c>
      <c r="AG56" s="459">
        <f>(I56/Population_Tables!V30)*Population_Tables!J30</f>
        <v>2828.8037077800382</v>
      </c>
      <c r="AH56" s="459">
        <f>(J56/Population_Tables!W30)*Population_Tables!K30</f>
        <v>1339.9317638146863</v>
      </c>
      <c r="AI56" s="459">
        <f>(K56/Population_Tables!X30)*Population_Tables!L30</f>
        <v>1585.0079962346808</v>
      </c>
      <c r="AK56" s="456">
        <v>2041</v>
      </c>
      <c r="AL56" s="459">
        <f t="shared" si="6"/>
        <v>18483.61714062815</v>
      </c>
      <c r="AM56" s="459">
        <f t="shared" si="6"/>
        <v>3341.5722799469781</v>
      </c>
      <c r="AN56" s="459">
        <f t="shared" si="6"/>
        <v>692.60729699643468</v>
      </c>
      <c r="AO56" s="459">
        <f t="shared" si="6"/>
        <v>8454.8321995903916</v>
      </c>
      <c r="AP56" s="459">
        <f t="shared" si="6"/>
        <v>2147.1313749296364</v>
      </c>
      <c r="AQ56" s="459">
        <f t="shared" si="6"/>
        <v>607.82851272235723</v>
      </c>
      <c r="AR56" s="459">
        <f t="shared" si="6"/>
        <v>4495.6268829829614</v>
      </c>
      <c r="AS56" s="459">
        <f t="shared" si="6"/>
        <v>2828.8037077800382</v>
      </c>
      <c r="AT56" s="459">
        <f t="shared" si="6"/>
        <v>1339.9317638146863</v>
      </c>
      <c r="AU56" s="459">
        <f t="shared" si="6"/>
        <v>1585.0079962346808</v>
      </c>
      <c r="AW56" s="216">
        <f>(B56/Population_Tables!O30)*Population_Tables!C30</f>
        <v>18483.61714062815</v>
      </c>
      <c r="AX56" s="153" t="str">
        <f t="shared" si="7"/>
        <v>OK</v>
      </c>
      <c r="AY56" s="421">
        <f t="shared" si="4"/>
        <v>15243.971664185798</v>
      </c>
      <c r="AZ56" s="153" t="str">
        <f t="shared" si="5"/>
        <v>OK</v>
      </c>
      <c r="BB56" s="216">
        <f>(C56/Population_Tables!P30)*Population_Tables!D30</f>
        <v>3341.5722799469781</v>
      </c>
      <c r="BC56" s="216">
        <f>(D56/Population_Tables!Q30)*Population_Tables!E30</f>
        <v>692.60729699643468</v>
      </c>
      <c r="BD56" s="216">
        <f>(E56/Population_Tables!R30)*Population_Tables!F30</f>
        <v>8454.8321995903916</v>
      </c>
      <c r="BE56" s="216">
        <f>(F56/Population_Tables!S30)*Population_Tables!G30</f>
        <v>2147.1313749296364</v>
      </c>
      <c r="BF56" s="216">
        <f>(G56/Population_Tables!T30)*Population_Tables!H30</f>
        <v>607.82851272235723</v>
      </c>
      <c r="BG56" s="216"/>
      <c r="BN56" s="216"/>
      <c r="BO56" s="216"/>
      <c r="BP56" s="216"/>
    </row>
    <row r="57" spans="1:68" ht="15.6" x14ac:dyDescent="0.3">
      <c r="A57" s="206">
        <v>2042</v>
      </c>
      <c r="B57" s="229">
        <v>17829.286990629713</v>
      </c>
      <c r="C57" s="229">
        <v>3197.3997335190593</v>
      </c>
      <c r="D57" s="229">
        <v>666.49681131802322</v>
      </c>
      <c r="E57" s="229">
        <v>8166.6006532958327</v>
      </c>
      <c r="F57" s="229">
        <v>2104.1792340609854</v>
      </c>
      <c r="G57" s="229">
        <v>576.55801502224585</v>
      </c>
      <c r="H57" s="229">
        <v>4340.2847870172445</v>
      </c>
      <c r="I57" s="229">
        <v>2778.0833340701247</v>
      </c>
      <c r="J57" s="229">
        <v>1284.300566228042</v>
      </c>
      <c r="K57" s="229">
        <v>1515.6573424366125</v>
      </c>
      <c r="M57" s="206">
        <v>2042</v>
      </c>
      <c r="N57" s="419">
        <f t="shared" si="2"/>
        <v>3857.8770712989908</v>
      </c>
      <c r="O57" s="418">
        <f>(C57/Population_Tables!P31)*Population_Tables!D90</f>
        <v>0</v>
      </c>
      <c r="P57" s="418">
        <f>(D57/Population_Tables!Q31)*Population_Tables!E90</f>
        <v>0</v>
      </c>
      <c r="Q57" s="418">
        <f>((E57-H57)/Population_Tables!R31)*Population_Tables!F90</f>
        <v>2299.0319431763655</v>
      </c>
      <c r="R57" s="418">
        <f>(F57/Population_Tables!S31)*Population_Tables!G90</f>
        <v>1379.9232677726573</v>
      </c>
      <c r="S57" s="418">
        <f>(G57/Population_Tables!T31)*Population_Tables!H90</f>
        <v>178.92186034996814</v>
      </c>
      <c r="T57" s="418">
        <f>(H57/Population_Tables!U31)*Population_Tables!I90</f>
        <v>0</v>
      </c>
      <c r="U57" s="418">
        <f>(I57/Population_Tables!V31)*Population_Tables!J90</f>
        <v>0</v>
      </c>
      <c r="V57" s="418">
        <f>(J57/Population_Tables!W31)*Population_Tables!K90</f>
        <v>0</v>
      </c>
      <c r="W57" s="418">
        <f>(K57/Population_Tables!X31)*Population_Tables!L90</f>
        <v>0</v>
      </c>
      <c r="Y57" s="456">
        <v>2042</v>
      </c>
      <c r="Z57" s="459">
        <f>((B57/Population_Tables!O31)*Population_Tables!C31)-N57</f>
        <v>15071.944195223226</v>
      </c>
      <c r="AA57" s="459">
        <f>((C57/Population_Tables!P31)*Population_Tables!D31)-O57</f>
        <v>3368.6482302779123</v>
      </c>
      <c r="AB57" s="459">
        <f>((D57/Population_Tables!Q31)*Population_Tables!E31)-P57</f>
        <v>703.11367718714132</v>
      </c>
      <c r="AC57" s="459">
        <f>((E57/Population_Tables!R31)*Population_Tables!F31)-Q57</f>
        <v>6389.4203072423716</v>
      </c>
      <c r="AD57" s="459">
        <f>((F57/Population_Tables!S31)*Population_Tables!G31)-R57</f>
        <v>846.07470777521394</v>
      </c>
      <c r="AE57" s="459">
        <f>((G57/Population_Tables!T31)*Population_Tables!H31)-S57</f>
        <v>440.97838596826773</v>
      </c>
      <c r="AF57" s="459">
        <f>(H57/Population_Tables!U31)*Population_Tables!I31</f>
        <v>4560.0414042055554</v>
      </c>
      <c r="AG57" s="459">
        <f>(I57/Population_Tables!V31)*Population_Tables!J31</f>
        <v>2955.7189952662079</v>
      </c>
      <c r="AH57" s="459">
        <f>(J57/Population_Tables!W31)*Population_Tables!K31</f>
        <v>1349.6837572454731</v>
      </c>
      <c r="AI57" s="459">
        <f>(K57/Population_Tables!X31)*Population_Tables!L31</f>
        <v>1603.7823202490372</v>
      </c>
      <c r="AK57" s="456">
        <v>2042</v>
      </c>
      <c r="AL57" s="459">
        <f t="shared" si="6"/>
        <v>18929.821266522216</v>
      </c>
      <c r="AM57" s="459">
        <f t="shared" si="6"/>
        <v>3368.6482302779123</v>
      </c>
      <c r="AN57" s="459">
        <f t="shared" si="6"/>
        <v>703.11367718714132</v>
      </c>
      <c r="AO57" s="459">
        <f t="shared" si="6"/>
        <v>8688.4522504187371</v>
      </c>
      <c r="AP57" s="459">
        <f t="shared" si="6"/>
        <v>2225.9979755478712</v>
      </c>
      <c r="AQ57" s="459">
        <f t="shared" si="6"/>
        <v>619.90024631823587</v>
      </c>
      <c r="AR57" s="459">
        <f t="shared" si="6"/>
        <v>4560.0414042055554</v>
      </c>
      <c r="AS57" s="459">
        <f t="shared" si="6"/>
        <v>2955.7189952662079</v>
      </c>
      <c r="AT57" s="459">
        <f t="shared" si="6"/>
        <v>1349.6837572454731</v>
      </c>
      <c r="AU57" s="459">
        <f t="shared" si="6"/>
        <v>1603.7823202490372</v>
      </c>
      <c r="AW57" s="216">
        <f>(B57/Population_Tables!O31)*Population_Tables!C31</f>
        <v>18929.821266522216</v>
      </c>
      <c r="AX57" s="153" t="str">
        <f t="shared" si="7"/>
        <v>OK</v>
      </c>
      <c r="AY57" s="421">
        <f t="shared" si="4"/>
        <v>15606.112379749897</v>
      </c>
      <c r="AZ57" s="153" t="str">
        <f t="shared" si="5"/>
        <v>OK</v>
      </c>
      <c r="BB57" s="216">
        <f>(C57/Population_Tables!P31)*Population_Tables!D31</f>
        <v>3368.6482302779123</v>
      </c>
      <c r="BC57" s="216">
        <f>(D57/Population_Tables!Q31)*Population_Tables!E31</f>
        <v>703.11367718714132</v>
      </c>
      <c r="BD57" s="216">
        <f>(E57/Population_Tables!R31)*Population_Tables!F31</f>
        <v>8688.4522504187371</v>
      </c>
      <c r="BE57" s="216">
        <f>(F57/Population_Tables!S31)*Population_Tables!G31</f>
        <v>2225.9979755478712</v>
      </c>
      <c r="BF57" s="216">
        <f>(G57/Population_Tables!T31)*Population_Tables!H31</f>
        <v>619.90024631823587</v>
      </c>
      <c r="BG57" s="216"/>
      <c r="BN57" s="216"/>
      <c r="BO57" s="216"/>
      <c r="BP57" s="216"/>
    </row>
    <row r="58" spans="1:68" ht="15.6" x14ac:dyDescent="0.3">
      <c r="A58" s="206">
        <v>2043</v>
      </c>
      <c r="B58" s="229">
        <v>18199.310067720726</v>
      </c>
      <c r="C58" s="229">
        <v>3214.1088779244797</v>
      </c>
      <c r="D58" s="229">
        <v>674.5154003287779</v>
      </c>
      <c r="E58" s="229">
        <v>8362.1393387184053</v>
      </c>
      <c r="F58" s="229">
        <v>2175.3254636930051</v>
      </c>
      <c r="G58" s="229">
        <v>585.647174169354</v>
      </c>
      <c r="H58" s="229">
        <v>4389.1146205130044</v>
      </c>
      <c r="I58" s="229">
        <v>2891.8357384253445</v>
      </c>
      <c r="J58" s="229">
        <v>1290.0087385951756</v>
      </c>
      <c r="K58" s="229">
        <v>1529.0273710757674</v>
      </c>
      <c r="M58" s="206">
        <v>2043</v>
      </c>
      <c r="N58" s="419">
        <f t="shared" si="2"/>
        <v>4021.3384623779193</v>
      </c>
      <c r="O58" s="418">
        <f>(C58/Population_Tables!P32)*Population_Tables!D91</f>
        <v>0</v>
      </c>
      <c r="P58" s="418">
        <f>(D58/Population_Tables!Q32)*Population_Tables!E91</f>
        <v>0</v>
      </c>
      <c r="Q58" s="418">
        <f>((E58-H58)/Population_Tables!R32)*Population_Tables!F91</f>
        <v>2404.3013706634288</v>
      </c>
      <c r="R58" s="418">
        <f>(F58/Population_Tables!S32)*Population_Tables!G91</f>
        <v>1434.0335519167998</v>
      </c>
      <c r="S58" s="418">
        <f>(G58/Population_Tables!T32)*Population_Tables!H91</f>
        <v>183.00353979769073</v>
      </c>
      <c r="T58" s="418">
        <f>(H58/Population_Tables!U32)*Population_Tables!I91</f>
        <v>0</v>
      </c>
      <c r="U58" s="418">
        <f>(I58/Population_Tables!V32)*Population_Tables!J91</f>
        <v>0</v>
      </c>
      <c r="V58" s="418">
        <f>(J58/Population_Tables!W32)*Population_Tables!K91</f>
        <v>0</v>
      </c>
      <c r="W58" s="418">
        <f>(K58/Population_Tables!X32)*Population_Tables!L91</f>
        <v>0</v>
      </c>
      <c r="Y58" s="456">
        <v>2043</v>
      </c>
      <c r="Z58" s="459">
        <f>((B58/Population_Tables!O32)*Population_Tables!C32)-N58</f>
        <v>15363.395561576937</v>
      </c>
      <c r="AA58" s="459">
        <f>((C58/Population_Tables!P32)*Population_Tables!D32)-O58</f>
        <v>3395.5532528360609</v>
      </c>
      <c r="AB58" s="459">
        <f>((D58/Population_Tables!Q32)*Population_Tables!E32)-P58</f>
        <v>713.8223484570683</v>
      </c>
      <c r="AC58" s="459">
        <f>((E58/Population_Tables!R32)*Population_Tables!F32)-Q58</f>
        <v>6522.0717015024657</v>
      </c>
      <c r="AD58" s="459">
        <f>((F58/Population_Tables!S32)*Population_Tables!G32)-R58</f>
        <v>874.03172593995077</v>
      </c>
      <c r="AE58" s="459">
        <f>((G58/Population_Tables!T32)*Population_Tables!H32)-S58</f>
        <v>449.1377805082879</v>
      </c>
      <c r="AF58" s="459">
        <f>(H58/Population_Tables!U32)*Population_Tables!I32</f>
        <v>4624.1465272050564</v>
      </c>
      <c r="AG58" s="459">
        <f>(I58/Population_Tables!V32)*Population_Tables!J32</f>
        <v>3086.3636262845084</v>
      </c>
      <c r="AH58" s="459">
        <f>(J58/Population_Tables!W32)*Population_Tables!K32</f>
        <v>1359.4063117685309</v>
      </c>
      <c r="AI58" s="459">
        <f>(K58/Population_Tables!X32)*Population_Tables!L32</f>
        <v>1622.705392582244</v>
      </c>
      <c r="AK58" s="456">
        <v>2043</v>
      </c>
      <c r="AL58" s="459">
        <f t="shared" si="6"/>
        <v>19384.734023954858</v>
      </c>
      <c r="AM58" s="459">
        <f t="shared" si="6"/>
        <v>3395.5532528360609</v>
      </c>
      <c r="AN58" s="459">
        <f t="shared" si="6"/>
        <v>713.8223484570683</v>
      </c>
      <c r="AO58" s="459">
        <f t="shared" si="6"/>
        <v>8926.373072165894</v>
      </c>
      <c r="AP58" s="459">
        <f t="shared" si="6"/>
        <v>2308.0652778567505</v>
      </c>
      <c r="AQ58" s="459">
        <f t="shared" si="6"/>
        <v>632.14132030597864</v>
      </c>
      <c r="AR58" s="459">
        <f t="shared" si="6"/>
        <v>4624.1465272050564</v>
      </c>
      <c r="AS58" s="459">
        <f t="shared" si="6"/>
        <v>3086.3636262845084</v>
      </c>
      <c r="AT58" s="459">
        <f t="shared" si="6"/>
        <v>1359.4063117685309</v>
      </c>
      <c r="AU58" s="459">
        <f t="shared" si="6"/>
        <v>1622.705392582244</v>
      </c>
      <c r="AW58" s="216">
        <f>(B58/Population_Tables!O32)*Population_Tables!C32</f>
        <v>19384.734023954858</v>
      </c>
      <c r="AX58" s="153" t="str">
        <f t="shared" si="7"/>
        <v>OK</v>
      </c>
      <c r="AY58" s="421">
        <f t="shared" si="4"/>
        <v>15975.955271621753</v>
      </c>
      <c r="AZ58" s="153" t="str">
        <f t="shared" si="5"/>
        <v>OK</v>
      </c>
      <c r="BB58" s="216">
        <f>(C58/Population_Tables!P32)*Population_Tables!D32</f>
        <v>3395.5532528360609</v>
      </c>
      <c r="BC58" s="216">
        <f>(D58/Population_Tables!Q32)*Population_Tables!E32</f>
        <v>713.8223484570683</v>
      </c>
      <c r="BD58" s="216">
        <f>(E58/Population_Tables!R32)*Population_Tables!F32</f>
        <v>8926.373072165894</v>
      </c>
      <c r="BE58" s="216">
        <f>(F58/Population_Tables!S32)*Population_Tables!G32</f>
        <v>2308.0652778567505</v>
      </c>
      <c r="BF58" s="216">
        <f>(G58/Population_Tables!T32)*Population_Tables!H32</f>
        <v>632.14132030597864</v>
      </c>
      <c r="BG58" s="216"/>
      <c r="BN58" s="216"/>
      <c r="BO58" s="216"/>
      <c r="BP58" s="216"/>
    </row>
    <row r="59" spans="1:68" ht="15.6" x14ac:dyDescent="0.3">
      <c r="A59" s="206">
        <v>2044</v>
      </c>
      <c r="B59" s="229">
        <v>18574.181927177862</v>
      </c>
      <c r="C59" s="229">
        <v>3230.4855048836225</v>
      </c>
      <c r="D59" s="229">
        <v>682.62441798703389</v>
      </c>
      <c r="E59" s="229">
        <v>8559.8350212139958</v>
      </c>
      <c r="F59" s="229">
        <v>2249.0430174460971</v>
      </c>
      <c r="G59" s="229">
        <v>594.78241807323934</v>
      </c>
      <c r="H59" s="229">
        <v>4437.1468099033118</v>
      </c>
      <c r="I59" s="229">
        <v>3008.2347092330856</v>
      </c>
      <c r="J59" s="229">
        <v>1295.6035002208791</v>
      </c>
      <c r="K59" s="229">
        <v>1542.4350969604193</v>
      </c>
      <c r="M59" s="206">
        <v>2044</v>
      </c>
      <c r="N59" s="419">
        <f t="shared" si="2"/>
        <v>4190.4780140334415</v>
      </c>
      <c r="O59" s="418">
        <f>(C59/Population_Tables!P33)*Population_Tables!D92</f>
        <v>0</v>
      </c>
      <c r="P59" s="418">
        <f>(D59/Population_Tables!Q33)*Population_Tables!E92</f>
        <v>0</v>
      </c>
      <c r="Q59" s="418">
        <f>((E59-H59)/Population_Tables!R33)*Population_Tables!F92</f>
        <v>2512.9274138751871</v>
      </c>
      <c r="R59" s="418">
        <f>(F59/Population_Tables!S33)*Population_Tables!G92</f>
        <v>1490.3915870953235</v>
      </c>
      <c r="S59" s="418">
        <f>(G59/Population_Tables!T33)*Population_Tables!H92</f>
        <v>187.15901306293111</v>
      </c>
      <c r="T59" s="418">
        <f>(H59/Population_Tables!U33)*Population_Tables!I92</f>
        <v>0</v>
      </c>
      <c r="U59" s="418">
        <f>(I59/Population_Tables!V33)*Population_Tables!J92</f>
        <v>0</v>
      </c>
      <c r="V59" s="418">
        <f>(J59/Population_Tables!W33)*Population_Tables!K92</f>
        <v>0</v>
      </c>
      <c r="W59" s="418">
        <f>(K59/Population_Tables!X33)*Population_Tables!L92</f>
        <v>0</v>
      </c>
      <c r="Y59" s="456">
        <v>2044</v>
      </c>
      <c r="Z59" s="459">
        <f>((B59/Population_Tables!O33)*Population_Tables!C33)-N59</f>
        <v>15658.291306436269</v>
      </c>
      <c r="AA59" s="459">
        <f>((C59/Population_Tables!P33)*Population_Tables!D33)-O59</f>
        <v>3422.2917203559336</v>
      </c>
      <c r="AB59" s="459">
        <f>((D59/Population_Tables!Q33)*Population_Tables!E33)-P59</f>
        <v>724.73975810656736</v>
      </c>
      <c r="AC59" s="459">
        <f>((E59/Population_Tables!R33)*Population_Tables!F33)-Q59</f>
        <v>6655.863541374013</v>
      </c>
      <c r="AD59" s="459">
        <f>((F59/Population_Tables!S33)*Population_Tables!G33)-R59</f>
        <v>903.08218911320569</v>
      </c>
      <c r="AE59" s="459">
        <f>((G59/Population_Tables!T33)*Population_Tables!H33)-S59</f>
        <v>457.4008798139979</v>
      </c>
      <c r="AF59" s="459">
        <f>(H59/Population_Tables!U33)*Population_Tables!I33</f>
        <v>4688.0120589114358</v>
      </c>
      <c r="AG59" s="459">
        <f>(I59/Population_Tables!V33)*Population_Tables!J33</f>
        <v>3220.8625958993412</v>
      </c>
      <c r="AH59" s="459">
        <f>(J59/Population_Tables!W33)*Population_Tables!K33</f>
        <v>1369.1004982304883</v>
      </c>
      <c r="AI59" s="459">
        <f>(K59/Population_Tables!X33)*Population_Tables!L33</f>
        <v>1641.7955490760614</v>
      </c>
      <c r="AK59" s="456">
        <v>2044</v>
      </c>
      <c r="AL59" s="459">
        <f t="shared" si="6"/>
        <v>19848.76932046971</v>
      </c>
      <c r="AM59" s="459">
        <f t="shared" si="6"/>
        <v>3422.2917203559336</v>
      </c>
      <c r="AN59" s="459">
        <f t="shared" si="6"/>
        <v>724.73975810656736</v>
      </c>
      <c r="AO59" s="459">
        <f t="shared" si="6"/>
        <v>9168.7909552492001</v>
      </c>
      <c r="AP59" s="459">
        <f t="shared" si="6"/>
        <v>2393.4737762085292</v>
      </c>
      <c r="AQ59" s="459">
        <f t="shared" si="6"/>
        <v>644.55989287692898</v>
      </c>
      <c r="AR59" s="459">
        <f t="shared" si="6"/>
        <v>4688.0120589114358</v>
      </c>
      <c r="AS59" s="459">
        <f t="shared" si="6"/>
        <v>3220.8625958993412</v>
      </c>
      <c r="AT59" s="459">
        <f t="shared" si="6"/>
        <v>1369.1004982304883</v>
      </c>
      <c r="AU59" s="459">
        <f t="shared" si="6"/>
        <v>1641.7955490760614</v>
      </c>
      <c r="AW59" s="216">
        <f>(B59/Population_Tables!O33)*Population_Tables!C33</f>
        <v>19848.76932046971</v>
      </c>
      <c r="AX59" s="153" t="str">
        <f t="shared" si="7"/>
        <v>OK</v>
      </c>
      <c r="AY59" s="421">
        <f t="shared" si="4"/>
        <v>16353.856102797159</v>
      </c>
      <c r="AZ59" s="153" t="str">
        <f t="shared" si="5"/>
        <v>OK</v>
      </c>
      <c r="BB59" s="216">
        <f>(C59/Population_Tables!P33)*Population_Tables!D33</f>
        <v>3422.2917203559336</v>
      </c>
      <c r="BC59" s="216">
        <f>(D59/Population_Tables!Q33)*Population_Tables!E33</f>
        <v>724.73975810656736</v>
      </c>
      <c r="BD59" s="216">
        <f>(E59/Population_Tables!R33)*Population_Tables!F33</f>
        <v>9168.7909552492001</v>
      </c>
      <c r="BE59" s="216">
        <f>(F59/Population_Tables!S33)*Population_Tables!G33</f>
        <v>2393.4737762085292</v>
      </c>
      <c r="BF59" s="216">
        <f>(G59/Population_Tables!T33)*Population_Tables!H33</f>
        <v>644.55989287692898</v>
      </c>
      <c r="BG59" s="216"/>
      <c r="BN59" s="216"/>
      <c r="BO59" s="216"/>
      <c r="BP59" s="216"/>
    </row>
    <row r="60" spans="1:68" ht="15.6" x14ac:dyDescent="0.3">
      <c r="A60" s="206">
        <v>2045</v>
      </c>
      <c r="B60" s="229">
        <v>18953.887213309783</v>
      </c>
      <c r="C60" s="229">
        <v>3246.5209437503663</v>
      </c>
      <c r="D60" s="229">
        <v>690.82266909755276</v>
      </c>
      <c r="E60" s="229">
        <v>8759.6328206392791</v>
      </c>
      <c r="F60" s="229">
        <v>2325.4001303546811</v>
      </c>
      <c r="G60" s="229">
        <v>603.96150414780436</v>
      </c>
      <c r="H60" s="229">
        <v>4484.3818271042319</v>
      </c>
      <c r="I60" s="229">
        <v>3127.2611357636179</v>
      </c>
      <c r="J60" s="229">
        <v>1301.0817731078409</v>
      </c>
      <c r="K60" s="229">
        <v>1555.8843568552104</v>
      </c>
      <c r="M60" s="206">
        <v>2045</v>
      </c>
      <c r="N60" s="419">
        <f t="shared" si="2"/>
        <v>4365.5145460827234</v>
      </c>
      <c r="O60" s="418">
        <f>(C60/Population_Tables!P34)*Population_Tables!D93</f>
        <v>0</v>
      </c>
      <c r="P60" s="418">
        <f>(D60/Population_Tables!Q34)*Population_Tables!E93</f>
        <v>0</v>
      </c>
      <c r="Q60" s="418">
        <f>((E60-H60)/Population_Tables!R34)*Population_Tables!F93</f>
        <v>2625.026258385325</v>
      </c>
      <c r="R60" s="418">
        <f>(F60/Population_Tables!S34)*Population_Tables!G93</f>
        <v>1549.0962258305556</v>
      </c>
      <c r="S60" s="418">
        <f>(G60/Population_Tables!T34)*Population_Tables!H93</f>
        <v>191.3920618668424</v>
      </c>
      <c r="T60" s="418">
        <f>(H60/Population_Tables!U34)*Population_Tables!I93</f>
        <v>0</v>
      </c>
      <c r="U60" s="418">
        <f>(I60/Population_Tables!V34)*Population_Tables!J93</f>
        <v>0</v>
      </c>
      <c r="V60" s="418">
        <f>(J60/Population_Tables!W34)*Population_Tables!K93</f>
        <v>0</v>
      </c>
      <c r="W60" s="418">
        <f>(K60/Population_Tables!X34)*Population_Tables!L93</f>
        <v>0</v>
      </c>
      <c r="Y60" s="456">
        <v>2045</v>
      </c>
      <c r="Z60" s="459">
        <f>((B60/Population_Tables!O34)*Population_Tables!C34)-N60</f>
        <v>15956.809010548346</v>
      </c>
      <c r="AA60" s="459">
        <f>((C60/Population_Tables!P34)*Population_Tables!D34)-O60</f>
        <v>3448.8749391924007</v>
      </c>
      <c r="AB60" s="459">
        <f>((D60/Population_Tables!Q34)*Population_Tables!E34)-P60</f>
        <v>735.87276277606566</v>
      </c>
      <c r="AC60" s="459">
        <f>((E60/Population_Tables!R34)*Population_Tables!F34)-Q60</f>
        <v>6790.8663759074898</v>
      </c>
      <c r="AD60" s="459">
        <f>((F60/Population_Tables!S34)*Population_Tables!G34)-R60</f>
        <v>933.26746078483188</v>
      </c>
      <c r="AE60" s="459">
        <f>((G60/Population_Tables!T34)*Population_Tables!H34)-S60</f>
        <v>465.77166685055602</v>
      </c>
      <c r="AF60" s="459">
        <f>(H60/Population_Tables!U34)*Population_Tables!I34</f>
        <v>4751.6974285091883</v>
      </c>
      <c r="AG60" s="459">
        <f>(I60/Population_Tables!V34)*Population_Tables!J34</f>
        <v>3359.3416508692044</v>
      </c>
      <c r="AH60" s="459">
        <f>(J60/Population_Tables!W34)*Population_Tables!K34</f>
        <v>1378.7701725700547</v>
      </c>
      <c r="AI60" s="459">
        <f>(K60/Population_Tables!X34)*Population_Tables!L34</f>
        <v>1661.0720082573052</v>
      </c>
      <c r="AK60" s="456">
        <v>2045</v>
      </c>
      <c r="AL60" s="459">
        <f t="shared" si="6"/>
        <v>20322.323556631069</v>
      </c>
      <c r="AM60" s="459">
        <f t="shared" si="6"/>
        <v>3448.8749391924007</v>
      </c>
      <c r="AN60" s="459">
        <f t="shared" si="6"/>
        <v>735.87276277606566</v>
      </c>
      <c r="AO60" s="459">
        <f t="shared" si="6"/>
        <v>9415.8926342928153</v>
      </c>
      <c r="AP60" s="459">
        <f t="shared" si="6"/>
        <v>2482.3636866153875</v>
      </c>
      <c r="AQ60" s="459">
        <f t="shared" si="6"/>
        <v>657.16372871739839</v>
      </c>
      <c r="AR60" s="459">
        <f t="shared" si="6"/>
        <v>4751.6974285091883</v>
      </c>
      <c r="AS60" s="459">
        <f t="shared" si="6"/>
        <v>3359.3416508692044</v>
      </c>
      <c r="AT60" s="459">
        <f t="shared" si="6"/>
        <v>1378.7701725700547</v>
      </c>
      <c r="AU60" s="459">
        <f t="shared" si="6"/>
        <v>1661.0720082573052</v>
      </c>
      <c r="AW60" s="216">
        <f>(B60/Population_Tables!O34)*Population_Tables!C34</f>
        <v>20322.323556631069</v>
      </c>
      <c r="AX60" s="153" t="str">
        <f t="shared" si="7"/>
        <v>OK</v>
      </c>
      <c r="AY60" s="421">
        <f t="shared" si="4"/>
        <v>16740.167751594068</v>
      </c>
      <c r="AZ60" s="153" t="str">
        <f t="shared" si="5"/>
        <v>OK</v>
      </c>
      <c r="BB60" s="216">
        <f>(C60/Population_Tables!P34)*Population_Tables!D34</f>
        <v>3448.8749391924007</v>
      </c>
      <c r="BC60" s="216">
        <f>(D60/Population_Tables!Q34)*Population_Tables!E34</f>
        <v>735.87276277606566</v>
      </c>
      <c r="BD60" s="216">
        <f>(E60/Population_Tables!R34)*Population_Tables!F34</f>
        <v>9415.8926342928153</v>
      </c>
      <c r="BE60" s="216">
        <f>(F60/Population_Tables!S34)*Population_Tables!G34</f>
        <v>2482.3636866153875</v>
      </c>
      <c r="BF60" s="216">
        <f>(G60/Population_Tables!T34)*Population_Tables!H34</f>
        <v>657.16372871739839</v>
      </c>
      <c r="BG60" s="216"/>
      <c r="BN60" s="216"/>
      <c r="BO60" s="216"/>
      <c r="BP60" s="216"/>
    </row>
    <row r="61" spans="1:68" ht="15.6" x14ac:dyDescent="0.3">
      <c r="A61" s="206">
        <v>2046</v>
      </c>
      <c r="B61" s="229">
        <v>19338.418584332685</v>
      </c>
      <c r="C61" s="229">
        <v>3262.2076768494444</v>
      </c>
      <c r="D61" s="229">
        <v>699.1107350500115</v>
      </c>
      <c r="E61" s="229">
        <v>8961.48277878724</v>
      </c>
      <c r="F61" s="229">
        <v>2404.465765932463</v>
      </c>
      <c r="G61" s="229">
        <v>613.18202546067744</v>
      </c>
      <c r="H61" s="229">
        <v>4530.8177704886739</v>
      </c>
      <c r="I61" s="229">
        <v>3248.8968499881285</v>
      </c>
      <c r="J61" s="229">
        <v>1306.4419515514601</v>
      </c>
      <c r="K61" s="229">
        <v>1569.3770619647196</v>
      </c>
      <c r="M61" s="206">
        <v>2046</v>
      </c>
      <c r="N61" s="419">
        <f t="shared" si="2"/>
        <v>4546.6325981667933</v>
      </c>
      <c r="O61" s="418">
        <f>(C61/Population_Tables!P35)*Population_Tables!D94</f>
        <v>0</v>
      </c>
      <c r="P61" s="418">
        <f>(D61/Population_Tables!Q35)*Population_Tables!E94</f>
        <v>0</v>
      </c>
      <c r="Q61" s="418">
        <f>((E61-H61)/Population_Tables!R35)*Population_Tables!F94</f>
        <v>2740.6867509545896</v>
      </c>
      <c r="R61" s="418">
        <f>(F61/Population_Tables!S35)*Population_Tables!G94</f>
        <v>1610.2405205200291</v>
      </c>
      <c r="S61" s="418">
        <f>(G61/Population_Tables!T35)*Population_Tables!H94</f>
        <v>195.70532669217471</v>
      </c>
      <c r="T61" s="418">
        <f>(H61/Population_Tables!U35)*Population_Tables!I94</f>
        <v>0</v>
      </c>
      <c r="U61" s="418">
        <f>(I61/Population_Tables!V35)*Population_Tables!J94</f>
        <v>0</v>
      </c>
      <c r="V61" s="418">
        <f>(J61/Population_Tables!W35)*Population_Tables!K94</f>
        <v>0</v>
      </c>
      <c r="W61" s="418">
        <f>(K61/Population_Tables!X35)*Population_Tables!L94</f>
        <v>0</v>
      </c>
      <c r="Y61" s="456">
        <v>2046</v>
      </c>
      <c r="Z61" s="459">
        <f>((B61/Population_Tables!O35)*Population_Tables!C35)-N61</f>
        <v>16259.064696969494</v>
      </c>
      <c r="AA61" s="459">
        <f>((C61/Population_Tables!P35)*Population_Tables!D35)-O61</f>
        <v>3475.3106258667503</v>
      </c>
      <c r="AB61" s="459">
        <f>((D61/Population_Tables!Q35)*Population_Tables!E35)-P61</f>
        <v>747.22933217035211</v>
      </c>
      <c r="AC61" s="459">
        <f>((E61/Population_Tables!R35)*Population_Tables!F35)-Q61</f>
        <v>6927.1194263998132</v>
      </c>
      <c r="AD61" s="459">
        <f>((F61/Population_Tables!S35)*Population_Tables!G35)-R61</f>
        <v>964.62708801863187</v>
      </c>
      <c r="AE61" s="459">
        <f>((G61/Population_Tables!T35)*Population_Tables!H35)-S61</f>
        <v>474.25295866977012</v>
      </c>
      <c r="AF61" s="459">
        <f>(H61/Population_Tables!U35)*Population_Tables!I35</f>
        <v>4815.2419302756625</v>
      </c>
      <c r="AG61" s="459">
        <f>(I61/Population_Tables!V35)*Population_Tables!J35</f>
        <v>3501.8904665853693</v>
      </c>
      <c r="AH61" s="459">
        <f>(J61/Population_Tables!W35)*Population_Tables!K35</f>
        <v>1388.4199673092157</v>
      </c>
      <c r="AI61" s="459">
        <f>(K61/Population_Tables!X35)*Population_Tables!L35</f>
        <v>1680.5473542141267</v>
      </c>
      <c r="AK61" s="456">
        <v>2046</v>
      </c>
      <c r="AL61" s="459">
        <f t="shared" si="6"/>
        <v>20805.697295136288</v>
      </c>
      <c r="AM61" s="459">
        <f t="shared" si="6"/>
        <v>3475.3106258667503</v>
      </c>
      <c r="AN61" s="459">
        <f t="shared" si="6"/>
        <v>747.22933217035211</v>
      </c>
      <c r="AO61" s="459">
        <f t="shared" si="6"/>
        <v>9667.8061773544032</v>
      </c>
      <c r="AP61" s="459">
        <f t="shared" si="6"/>
        <v>2574.867608538661</v>
      </c>
      <c r="AQ61" s="459">
        <f t="shared" si="6"/>
        <v>669.95828536194483</v>
      </c>
      <c r="AR61" s="459">
        <f t="shared" si="6"/>
        <v>4815.2419302756625</v>
      </c>
      <c r="AS61" s="459">
        <f t="shared" si="6"/>
        <v>3501.8904665853693</v>
      </c>
      <c r="AT61" s="459">
        <f t="shared" si="6"/>
        <v>1388.4199673092157</v>
      </c>
      <c r="AU61" s="459">
        <f t="shared" si="6"/>
        <v>1680.5473542141267</v>
      </c>
      <c r="AW61" s="216">
        <f>(B61/Population_Tables!O35)*Population_Tables!C35</f>
        <v>20805.697295136288</v>
      </c>
      <c r="AX61" s="153" t="str">
        <f t="shared" si="7"/>
        <v>OK</v>
      </c>
      <c r="AY61" s="421">
        <f t="shared" si="4"/>
        <v>17135.172029292109</v>
      </c>
      <c r="AZ61" s="153" t="str">
        <f t="shared" si="5"/>
        <v>OK</v>
      </c>
      <c r="BB61" s="216">
        <f>(C61/Population_Tables!P35)*Population_Tables!D35</f>
        <v>3475.3106258667503</v>
      </c>
      <c r="BC61" s="216">
        <f>(D61/Population_Tables!Q35)*Population_Tables!E35</f>
        <v>747.22933217035211</v>
      </c>
      <c r="BD61" s="216">
        <f>(E61/Population_Tables!R35)*Population_Tables!F35</f>
        <v>9667.8061773544032</v>
      </c>
      <c r="BE61" s="216">
        <f>(F61/Population_Tables!S35)*Population_Tables!G35</f>
        <v>2574.867608538661</v>
      </c>
      <c r="BF61" s="216">
        <f>(G61/Population_Tables!T35)*Population_Tables!H35</f>
        <v>669.95828536194483</v>
      </c>
      <c r="BG61" s="216"/>
      <c r="BN61" s="216"/>
      <c r="BO61" s="216"/>
      <c r="BP61" s="216"/>
    </row>
    <row r="62" spans="1:68" ht="15.6" x14ac:dyDescent="0.3">
      <c r="A62" s="206">
        <v>2047</v>
      </c>
      <c r="B62" s="229">
        <v>19727.769831963251</v>
      </c>
      <c r="C62" s="229">
        <v>3277.5451634880751</v>
      </c>
      <c r="D62" s="229">
        <v>707.48856102021318</v>
      </c>
      <c r="E62" s="229">
        <v>9165.3353572737196</v>
      </c>
      <c r="F62" s="229">
        <v>2486.3098070001843</v>
      </c>
      <c r="G62" s="229">
        <v>622.44127338746739</v>
      </c>
      <c r="H62" s="229">
        <v>4576.4430329897477</v>
      </c>
      <c r="I62" s="229">
        <v>3373.1257287924459</v>
      </c>
      <c r="J62" s="229">
        <v>1311.6848974969773</v>
      </c>
      <c r="K62" s="229">
        <v>1582.9146961430349</v>
      </c>
      <c r="M62" s="206">
        <v>2047</v>
      </c>
      <c r="N62" s="419">
        <f t="shared" si="2"/>
        <v>4734.0169710466462</v>
      </c>
      <c r="O62" s="418">
        <f>(C62/Population_Tables!P36)*Population_Tables!D95</f>
        <v>0</v>
      </c>
      <c r="P62" s="418">
        <f>(D62/Population_Tables!Q36)*Population_Tables!E95</f>
        <v>0</v>
      </c>
      <c r="Q62" s="418">
        <f>((E62-H62)/Population_Tables!R36)*Population_Tables!F95</f>
        <v>2860.0004486019716</v>
      </c>
      <c r="R62" s="418">
        <f>(F62/Population_Tables!S36)*Population_Tables!G95</f>
        <v>1673.9154374998459</v>
      </c>
      <c r="S62" s="418">
        <f>(G62/Population_Tables!T36)*Population_Tables!H95</f>
        <v>200.10108494482884</v>
      </c>
      <c r="T62" s="418">
        <f>(H62/Population_Tables!U36)*Population_Tables!I95</f>
        <v>0</v>
      </c>
      <c r="U62" s="418">
        <f>(I62/Population_Tables!V36)*Population_Tables!J95</f>
        <v>0</v>
      </c>
      <c r="V62" s="418">
        <f>(J62/Population_Tables!W36)*Population_Tables!K95</f>
        <v>0</v>
      </c>
      <c r="W62" s="418">
        <f>(K62/Population_Tables!X36)*Population_Tables!L95</f>
        <v>0</v>
      </c>
      <c r="Y62" s="456">
        <v>2047</v>
      </c>
      <c r="Z62" s="459">
        <f>((B62/Population_Tables!O36)*Population_Tables!C36)-N62</f>
        <v>16565.158136748596</v>
      </c>
      <c r="AA62" s="459">
        <f>((C62/Population_Tables!P36)*Population_Tables!D36)-O62</f>
        <v>3501.6232266157822</v>
      </c>
      <c r="AB62" s="459">
        <f>((D62/Population_Tables!Q36)*Population_Tables!E36)-P62</f>
        <v>758.8168884144078</v>
      </c>
      <c r="AC62" s="459">
        <f>((E62/Population_Tables!R36)*Population_Tables!F36)-Q62</f>
        <v>7064.6482690500125</v>
      </c>
      <c r="AD62" s="459">
        <f>((F62/Population_Tables!S36)*Population_Tables!G36)-R62</f>
        <v>997.20146385625389</v>
      </c>
      <c r="AE62" s="459">
        <f>((G62/Population_Tables!T36)*Population_Tables!H36)-S62</f>
        <v>482.84777304100521</v>
      </c>
      <c r="AF62" s="459">
        <f>(H62/Population_Tables!U36)*Population_Tables!I36</f>
        <v>4878.6630763430821</v>
      </c>
      <c r="AG62" s="459">
        <f>(I62/Population_Tables!V36)*Population_Tables!J36</f>
        <v>3648.6007250541625</v>
      </c>
      <c r="AH62" s="459">
        <f>(J62/Population_Tables!W36)*Population_Tables!K36</f>
        <v>1398.0597635443733</v>
      </c>
      <c r="AI62" s="459">
        <f>(K62/Population_Tables!X36)*Population_Tables!L36</f>
        <v>1700.2390779498664</v>
      </c>
      <c r="AK62" s="456">
        <v>2047</v>
      </c>
      <c r="AL62" s="459">
        <f t="shared" si="6"/>
        <v>21299.175107795243</v>
      </c>
      <c r="AM62" s="459">
        <f t="shared" si="6"/>
        <v>3501.6232266157822</v>
      </c>
      <c r="AN62" s="459">
        <f t="shared" si="6"/>
        <v>758.8168884144078</v>
      </c>
      <c r="AO62" s="459">
        <f t="shared" si="6"/>
        <v>9924.648717651984</v>
      </c>
      <c r="AP62" s="459">
        <f t="shared" si="6"/>
        <v>2671.1169013560998</v>
      </c>
      <c r="AQ62" s="459">
        <f t="shared" si="6"/>
        <v>682.94885798583402</v>
      </c>
      <c r="AR62" s="459">
        <f t="shared" si="6"/>
        <v>4878.6630763430821</v>
      </c>
      <c r="AS62" s="459">
        <f t="shared" si="6"/>
        <v>3648.6007250541625</v>
      </c>
      <c r="AT62" s="459">
        <f t="shared" si="6"/>
        <v>1398.0597635443733</v>
      </c>
      <c r="AU62" s="459">
        <f t="shared" si="6"/>
        <v>1700.2390779498664</v>
      </c>
      <c r="AW62" s="216">
        <f>(B62/Population_Tables!O36)*Population_Tables!C36</f>
        <v>21299.175107795243</v>
      </c>
      <c r="AX62" s="153" t="str">
        <f t="shared" si="7"/>
        <v>OK</v>
      </c>
      <c r="AY62" s="421">
        <f t="shared" si="4"/>
        <v>17539.154592024108</v>
      </c>
      <c r="AZ62" s="153" t="str">
        <f t="shared" si="5"/>
        <v>OK</v>
      </c>
      <c r="BB62" s="216">
        <f>(C62/Population_Tables!P36)*Population_Tables!D36</f>
        <v>3501.6232266157822</v>
      </c>
      <c r="BC62" s="216">
        <f>(D62/Population_Tables!Q36)*Population_Tables!E36</f>
        <v>758.8168884144078</v>
      </c>
      <c r="BD62" s="216">
        <f>(E62/Population_Tables!R36)*Population_Tables!F36</f>
        <v>9924.648717651984</v>
      </c>
      <c r="BE62" s="216">
        <f>(F62/Population_Tables!S36)*Population_Tables!G36</f>
        <v>2671.1169013560998</v>
      </c>
      <c r="BF62" s="216">
        <f>(G62/Population_Tables!T36)*Population_Tables!H36</f>
        <v>682.94885798583402</v>
      </c>
      <c r="BG62" s="216"/>
      <c r="BN62" s="216"/>
      <c r="BO62" s="216"/>
      <c r="BP62" s="216"/>
    </row>
    <row r="63" spans="1:68" ht="15.6" x14ac:dyDescent="0.3">
      <c r="A63" s="206">
        <v>2048</v>
      </c>
      <c r="B63" s="229">
        <v>20121.927194507472</v>
      </c>
      <c r="C63" s="229">
        <v>3292.5404993109032</v>
      </c>
      <c r="D63" s="229">
        <v>715.95318313246116</v>
      </c>
      <c r="E63" s="229">
        <v>9371.135509942309</v>
      </c>
      <c r="F63" s="229">
        <v>2571.0026739967088</v>
      </c>
      <c r="G63" s="229">
        <v>631.73631014889372</v>
      </c>
      <c r="H63" s="229">
        <v>4621.2350571607631</v>
      </c>
      <c r="I63" s="229">
        <v>3499.933002288406</v>
      </c>
      <c r="J63" s="229">
        <v>1316.813107633064</v>
      </c>
      <c r="K63" s="229">
        <v>1596.5004004978659</v>
      </c>
      <c r="M63" s="206">
        <v>2048</v>
      </c>
      <c r="N63" s="419">
        <f t="shared" si="2"/>
        <v>4927.899567290774</v>
      </c>
      <c r="O63" s="418">
        <f>(C63/Population_Tables!P37)*Population_Tables!D96</f>
        <v>0</v>
      </c>
      <c r="P63" s="418">
        <f>(D63/Population_Tables!Q37)*Population_Tables!E96</f>
        <v>0</v>
      </c>
      <c r="Q63" s="418">
        <f>((E63-H63)/Population_Tables!R37)*Population_Tables!F96</f>
        <v>2983.1006150449625</v>
      </c>
      <c r="R63" s="418">
        <f>(F63/Population_Tables!S37)*Population_Tables!G96</f>
        <v>1740.2169103440697</v>
      </c>
      <c r="S63" s="418">
        <f>(G63/Population_Tables!T37)*Population_Tables!H96</f>
        <v>204.58204190174146</v>
      </c>
      <c r="T63" s="418">
        <f>(H63/Population_Tables!U37)*Population_Tables!I96</f>
        <v>0</v>
      </c>
      <c r="U63" s="418">
        <f>(I63/Population_Tables!V37)*Population_Tables!J96</f>
        <v>0</v>
      </c>
      <c r="V63" s="418">
        <f>(J63/Population_Tables!W37)*Population_Tables!K96</f>
        <v>0</v>
      </c>
      <c r="W63" s="418">
        <f>(K63/Population_Tables!X37)*Population_Tables!L96</f>
        <v>0</v>
      </c>
      <c r="Y63" s="456">
        <v>2048</v>
      </c>
      <c r="Z63" s="459">
        <f>((B63/Population_Tables!O37)*Population_Tables!C37)-N63</f>
        <v>16875.229451939955</v>
      </c>
      <c r="AA63" s="459">
        <f>((C63/Population_Tables!P37)*Population_Tables!D37)-O63</f>
        <v>3527.8639492158859</v>
      </c>
      <c r="AB63" s="459">
        <f>((D63/Population_Tables!Q37)*Population_Tables!E37)-P63</f>
        <v>770.64018139526002</v>
      </c>
      <c r="AC63" s="459">
        <f>((E63/Population_Tables!R37)*Population_Tables!F37)-Q63</f>
        <v>7203.49375136661</v>
      </c>
      <c r="AD63" s="459">
        <f>((F63/Population_Tables!S37)*Population_Tables!G37)-R63</f>
        <v>1031.0347516158481</v>
      </c>
      <c r="AE63" s="459">
        <f>((G63/Population_Tables!T37)*Population_Tables!H37)-S63</f>
        <v>491.5603334194717</v>
      </c>
      <c r="AF63" s="459">
        <f>(H63/Population_Tables!U37)*Population_Tables!I37</f>
        <v>4941.9722387895963</v>
      </c>
      <c r="AG63" s="459">
        <f>(I63/Population_Tables!V37)*Population_Tables!J37</f>
        <v>3799.6147320700056</v>
      </c>
      <c r="AH63" s="459">
        <f>(J63/Population_Tables!W37)*Population_Tables!K37</f>
        <v>1407.7056041870103</v>
      </c>
      <c r="AI63" s="459">
        <f>(K63/Population_Tables!X37)*Population_Tables!L37</f>
        <v>1720.1784917540563</v>
      </c>
      <c r="AK63" s="456">
        <v>2048</v>
      </c>
      <c r="AL63" s="459">
        <f t="shared" si="6"/>
        <v>21803.129019230728</v>
      </c>
      <c r="AM63" s="459">
        <f t="shared" si="6"/>
        <v>3527.8639492158859</v>
      </c>
      <c r="AN63" s="459">
        <f t="shared" si="6"/>
        <v>770.64018139526002</v>
      </c>
      <c r="AO63" s="459">
        <f t="shared" si="6"/>
        <v>10186.594366411573</v>
      </c>
      <c r="AP63" s="459">
        <f t="shared" si="6"/>
        <v>2771.2516619599178</v>
      </c>
      <c r="AQ63" s="459">
        <f t="shared" si="6"/>
        <v>696.14237532121319</v>
      </c>
      <c r="AR63" s="459">
        <f t="shared" si="6"/>
        <v>4941.9722387895963</v>
      </c>
      <c r="AS63" s="459">
        <f t="shared" si="6"/>
        <v>3799.6147320700056</v>
      </c>
      <c r="AT63" s="459">
        <f t="shared" si="6"/>
        <v>1407.7056041870103</v>
      </c>
      <c r="AU63" s="459">
        <f t="shared" si="6"/>
        <v>1720.1784917540563</v>
      </c>
      <c r="AW63" s="216">
        <f>(B63/Population_Tables!O37)*Population_Tables!C37</f>
        <v>21803.129019230728</v>
      </c>
      <c r="AX63" s="153" t="str">
        <f t="shared" si="7"/>
        <v>OK</v>
      </c>
      <c r="AY63" s="421">
        <f t="shared" si="4"/>
        <v>17952.492534303852</v>
      </c>
      <c r="AZ63" s="153" t="str">
        <f t="shared" si="5"/>
        <v>OK</v>
      </c>
      <c r="BB63" s="216">
        <f>(C63/Population_Tables!P37)*Population_Tables!D37</f>
        <v>3527.8639492158859</v>
      </c>
      <c r="BC63" s="216">
        <f>(D63/Population_Tables!Q37)*Population_Tables!E37</f>
        <v>770.64018139526002</v>
      </c>
      <c r="BD63" s="216">
        <f>(E63/Population_Tables!R37)*Population_Tables!F37</f>
        <v>10186.594366411573</v>
      </c>
      <c r="BE63" s="216">
        <f>(F63/Population_Tables!S37)*Population_Tables!G37</f>
        <v>2771.2516619599178</v>
      </c>
      <c r="BF63" s="216">
        <f>(G63/Population_Tables!T37)*Population_Tables!H37</f>
        <v>696.14237532121319</v>
      </c>
      <c r="BG63" s="216"/>
      <c r="BN63" s="216"/>
      <c r="BO63" s="216"/>
      <c r="BP63" s="216"/>
    </row>
    <row r="64" spans="1:68" ht="15.6" x14ac:dyDescent="0.3">
      <c r="A64" s="206">
        <v>2049</v>
      </c>
      <c r="B64" s="229">
        <v>20520.875238028635</v>
      </c>
      <c r="C64" s="229">
        <v>3307.2055914389916</v>
      </c>
      <c r="D64" s="229">
        <v>724.50049911811175</v>
      </c>
      <c r="E64" s="229">
        <v>9578.8264119364812</v>
      </c>
      <c r="F64" s="229">
        <v>2658.6153161047887</v>
      </c>
      <c r="G64" s="229">
        <v>641.06399223931794</v>
      </c>
      <c r="H64" s="229">
        <v>4665.1640427115844</v>
      </c>
      <c r="I64" s="229">
        <v>3629.3050129618559</v>
      </c>
      <c r="J64" s="229">
        <v>1321.8305695686158</v>
      </c>
      <c r="K64" s="229">
        <v>1610.1376708001171</v>
      </c>
      <c r="M64" s="206">
        <v>2049</v>
      </c>
      <c r="N64" s="419">
        <f t="shared" si="2"/>
        <v>5128.5288519143469</v>
      </c>
      <c r="O64" s="418">
        <f>(C64/Population_Tables!P38)*Population_Tables!D97</f>
        <v>0</v>
      </c>
      <c r="P64" s="418">
        <f>(D64/Population_Tables!Q38)*Population_Tables!E97</f>
        <v>0</v>
      </c>
      <c r="Q64" s="418">
        <f>((E64-H64)/Population_Tables!R38)*Population_Tables!F97</f>
        <v>3110.1362825120409</v>
      </c>
      <c r="R64" s="418">
        <f>(F64/Population_Tables!S38)*Population_Tables!G97</f>
        <v>1809.241820491563</v>
      </c>
      <c r="S64" s="418">
        <f>(G64/Population_Tables!T38)*Population_Tables!H97</f>
        <v>209.15074891074258</v>
      </c>
      <c r="T64" s="418">
        <f>(H64/Population_Tables!U38)*Population_Tables!I97</f>
        <v>0</v>
      </c>
      <c r="U64" s="418">
        <f>(I64/Population_Tables!V38)*Population_Tables!J97</f>
        <v>0</v>
      </c>
      <c r="V64" s="418">
        <f>(J64/Population_Tables!W38)*Population_Tables!K97</f>
        <v>0</v>
      </c>
      <c r="W64" s="418">
        <f>(K64/Population_Tables!X38)*Population_Tables!L97</f>
        <v>0</v>
      </c>
      <c r="Y64" s="456">
        <v>2049</v>
      </c>
      <c r="Z64" s="459">
        <f>((B64/Population_Tables!O38)*Population_Tables!C38)-N64</f>
        <v>17189.421085824859</v>
      </c>
      <c r="AA64" s="459">
        <f>((C64/Population_Tables!P38)*Population_Tables!D38)-O64</f>
        <v>3554.0989428756225</v>
      </c>
      <c r="AB64" s="459">
        <f>((D64/Population_Tables!Q38)*Population_Tables!E38)-P64</f>
        <v>782.70338421153178</v>
      </c>
      <c r="AC64" s="459">
        <f>((E64/Population_Tables!R38)*Population_Tables!F38)-Q64</f>
        <v>7343.6932187170769</v>
      </c>
      <c r="AD64" s="459">
        <f>((F64/Population_Tables!S38)*Population_Tables!G38)-R64</f>
        <v>1066.1726608190006</v>
      </c>
      <c r="AE64" s="459">
        <f>((G64/Population_Tables!T38)*Population_Tables!H38)-S64</f>
        <v>500.39559988077838</v>
      </c>
      <c r="AF64" s="459">
        <f>(H64/Population_Tables!U38)*Population_Tables!I38</f>
        <v>5005.1689938814297</v>
      </c>
      <c r="AG64" s="459">
        <f>(I64/Population_Tables!V38)*Population_Tables!J38</f>
        <v>3955.0942506065007</v>
      </c>
      <c r="AH64" s="459">
        <f>(J64/Population_Tables!W38)*Population_Tables!K38</f>
        <v>1417.3781986147039</v>
      </c>
      <c r="AI64" s="459">
        <f>(K64/Population_Tables!X38)*Population_Tables!L38</f>
        <v>1740.4026493629742</v>
      </c>
      <c r="AK64" s="456">
        <v>2049</v>
      </c>
      <c r="AL64" s="459">
        <f t="shared" si="6"/>
        <v>22317.949937739206</v>
      </c>
      <c r="AM64" s="459">
        <f t="shared" si="6"/>
        <v>3554.0989428756225</v>
      </c>
      <c r="AN64" s="459">
        <f t="shared" si="6"/>
        <v>782.70338421153178</v>
      </c>
      <c r="AO64" s="459">
        <f t="shared" si="6"/>
        <v>10453.829501229118</v>
      </c>
      <c r="AP64" s="459">
        <f t="shared" si="6"/>
        <v>2875.4144813105636</v>
      </c>
      <c r="AQ64" s="459">
        <f t="shared" si="6"/>
        <v>709.54634879152093</v>
      </c>
      <c r="AR64" s="459">
        <f t="shared" si="6"/>
        <v>5005.1689938814297</v>
      </c>
      <c r="AS64" s="459">
        <f t="shared" si="6"/>
        <v>3955.0942506065007</v>
      </c>
      <c r="AT64" s="459">
        <f t="shared" si="6"/>
        <v>1417.3781986147039</v>
      </c>
      <c r="AU64" s="459">
        <f t="shared" si="6"/>
        <v>1740.4026493629742</v>
      </c>
      <c r="AW64" s="216">
        <f>(B64/Population_Tables!O38)*Population_Tables!C38</f>
        <v>22317.949937739206</v>
      </c>
      <c r="AX64" s="153" t="str">
        <f t="shared" si="7"/>
        <v>OK</v>
      </c>
      <c r="AY64" s="421">
        <f t="shared" si="4"/>
        <v>18375.592658418358</v>
      </c>
      <c r="AZ64" s="153" t="str">
        <f t="shared" si="5"/>
        <v>OK</v>
      </c>
      <c r="BB64" s="216">
        <f>(C64/Population_Tables!P38)*Population_Tables!D38</f>
        <v>3554.0989428756225</v>
      </c>
      <c r="BC64" s="216">
        <f>(D64/Population_Tables!Q38)*Population_Tables!E38</f>
        <v>782.70338421153178</v>
      </c>
      <c r="BD64" s="216">
        <f>(E64/Population_Tables!R38)*Population_Tables!F38</f>
        <v>10453.829501229118</v>
      </c>
      <c r="BE64" s="216">
        <f>(F64/Population_Tables!S38)*Population_Tables!G38</f>
        <v>2875.4144813105636</v>
      </c>
      <c r="BF64" s="216">
        <f>(G64/Population_Tables!T38)*Population_Tables!H38</f>
        <v>709.54634879152093</v>
      </c>
      <c r="BG64" s="216"/>
      <c r="BN64" s="216"/>
      <c r="BO64" s="216"/>
      <c r="BP64" s="216"/>
    </row>
    <row r="65" spans="1:68" ht="16.2" thickBot="1" x14ac:dyDescent="0.35">
      <c r="A65" s="208">
        <v>2050</v>
      </c>
      <c r="B65" s="231">
        <v>20932.290822658317</v>
      </c>
      <c r="C65" s="231">
        <v>3321.3934554064408</v>
      </c>
      <c r="D65" s="231">
        <v>732.48325493212872</v>
      </c>
      <c r="E65" s="231">
        <v>9793.3774952075091</v>
      </c>
      <c r="F65" s="231">
        <v>2748.1355343033606</v>
      </c>
      <c r="G65" s="231">
        <v>650.41635685282642</v>
      </c>
      <c r="H65" s="231">
        <v>4712.6417397951955</v>
      </c>
      <c r="I65" s="231">
        <v>3759.9453443125003</v>
      </c>
      <c r="J65" s="231">
        <v>1326.0591174841149</v>
      </c>
      <c r="K65" s="231">
        <v>1623.6451667465644</v>
      </c>
      <c r="M65" s="208">
        <v>2050</v>
      </c>
      <c r="N65" s="419">
        <f t="shared" si="2"/>
        <v>5335.7782549014373</v>
      </c>
      <c r="O65" s="418">
        <f>(C65/Population_Tables!P39)*Population_Tables!D98</f>
        <v>0</v>
      </c>
      <c r="P65" s="418">
        <f>(D65/Population_Tables!Q39)*Population_Tables!E98</f>
        <v>0</v>
      </c>
      <c r="Q65" s="418">
        <f>((E65-H65)/Population_Tables!R39)*Population_Tables!F98</f>
        <v>3241.6227999726598</v>
      </c>
      <c r="R65" s="418">
        <f>(F65/Population_Tables!S39)*Population_Tables!G98</f>
        <v>1880.3472697972459</v>
      </c>
      <c r="S65" s="418">
        <f>(G65/Population_Tables!T39)*Population_Tables!H98</f>
        <v>213.80818513153167</v>
      </c>
      <c r="T65" s="418">
        <f>(H65/Population_Tables!U39)*Population_Tables!I98</f>
        <v>0</v>
      </c>
      <c r="U65" s="418">
        <f>(I65/Population_Tables!V39)*Population_Tables!J98</f>
        <v>0</v>
      </c>
      <c r="V65" s="418">
        <f>(J65/Population_Tables!W39)*Population_Tables!K98</f>
        <v>0</v>
      </c>
      <c r="W65" s="418">
        <f>(K65/Population_Tables!X39)*Population_Tables!L98</f>
        <v>0</v>
      </c>
      <c r="Y65" s="456">
        <v>2050</v>
      </c>
      <c r="Z65" s="459">
        <f>((B65/Population_Tables!O39)*Population_Tables!C39)-N65</f>
        <v>17516.617725894601</v>
      </c>
      <c r="AA65" s="459">
        <f>((C65/Population_Tables!P39)*Population_Tables!D39)-O65</f>
        <v>3580.2155027546642</v>
      </c>
      <c r="AB65" s="459">
        <f>((D65/Population_Tables!Q39)*Population_Tables!E39)-P65</f>
        <v>794.31282163408764</v>
      </c>
      <c r="AC65" s="459">
        <f>((E65/Population_Tables!R39)*Population_Tables!F39)-Q65</f>
        <v>7490.4087022449476</v>
      </c>
      <c r="AD65" s="459">
        <f>((F65/Population_Tables!S39)*Population_Tables!G39)-R65</f>
        <v>1102.2256142766194</v>
      </c>
      <c r="AE65" s="459">
        <f>((G65/Population_Tables!T39)*Population_Tables!H39)-S65</f>
        <v>509.35401908918948</v>
      </c>
      <c r="AF65" s="459">
        <f>(H65/Population_Tables!U39)*Population_Tables!I39</f>
        <v>5073.0332015324448</v>
      </c>
      <c r="AG65" s="459">
        <f>(I65/Population_Tables!V39)*Population_Tables!J39</f>
        <v>4113.7881194962129</v>
      </c>
      <c r="AH65" s="459">
        <f>(J65/Population_Tables!W39)*Population_Tables!K39</f>
        <v>1426.3625071376939</v>
      </c>
      <c r="AI65" s="459">
        <f>(K65/Population_Tables!X39)*Population_Tables!L39</f>
        <v>1760.7437997002016</v>
      </c>
      <c r="AK65" s="456">
        <v>2050</v>
      </c>
      <c r="AL65" s="459">
        <f t="shared" si="6"/>
        <v>22852.395980796038</v>
      </c>
      <c r="AM65" s="459">
        <f t="shared" si="6"/>
        <v>3580.2155027546642</v>
      </c>
      <c r="AN65" s="459">
        <f t="shared" si="6"/>
        <v>794.31282163408764</v>
      </c>
      <c r="AO65" s="459">
        <f t="shared" si="6"/>
        <v>10732.031502217607</v>
      </c>
      <c r="AP65" s="459">
        <f t="shared" si="6"/>
        <v>2982.5728840738652</v>
      </c>
      <c r="AQ65" s="459">
        <f t="shared" si="6"/>
        <v>723.16220422072115</v>
      </c>
      <c r="AR65" s="459">
        <f t="shared" si="6"/>
        <v>5073.0332015324448</v>
      </c>
      <c r="AS65" s="459">
        <f t="shared" si="6"/>
        <v>4113.7881194962129</v>
      </c>
      <c r="AT65" s="459">
        <f t="shared" si="6"/>
        <v>1426.3625071376939</v>
      </c>
      <c r="AU65" s="459">
        <f t="shared" si="6"/>
        <v>1760.7437997002016</v>
      </c>
      <c r="AW65" s="216">
        <f>(B65/Population_Tables!O39)*Population_Tables!C39</f>
        <v>22852.395980796038</v>
      </c>
      <c r="AX65" s="153" t="str">
        <f t="shared" si="7"/>
        <v>OK</v>
      </c>
      <c r="AY65" s="421">
        <f t="shared" si="4"/>
        <v>18812.294914900944</v>
      </c>
      <c r="AZ65" s="153" t="str">
        <f t="shared" si="5"/>
        <v>OK</v>
      </c>
      <c r="BB65" s="216">
        <f>(C65/Population_Tables!P39)*Population_Tables!D39</f>
        <v>3580.2155027546642</v>
      </c>
      <c r="BC65" s="216">
        <f>(D65/Population_Tables!Q39)*Population_Tables!E39</f>
        <v>794.31282163408764</v>
      </c>
      <c r="BD65" s="216">
        <f>(E65/Population_Tables!R39)*Population_Tables!F39</f>
        <v>10732.031502217607</v>
      </c>
      <c r="BE65" s="216">
        <f>(F65/Population_Tables!S39)*Population_Tables!G39</f>
        <v>2982.5728840738652</v>
      </c>
      <c r="BF65" s="216">
        <f>(G65/Population_Tables!T39)*Population_Tables!H39</f>
        <v>723.16220422072115</v>
      </c>
      <c r="BG65" s="216"/>
      <c r="BN65" s="216"/>
      <c r="BO65" s="216"/>
      <c r="BP65" s="216"/>
    </row>
    <row r="66" spans="1:68" ht="15.6" x14ac:dyDescent="0.3">
      <c r="A66" s="213">
        <v>2051</v>
      </c>
      <c r="B66" s="227">
        <v>21333.100108172257</v>
      </c>
      <c r="C66" s="227">
        <v>3335.5692135381996</v>
      </c>
      <c r="D66" s="227">
        <v>741.83218782270296</v>
      </c>
      <c r="E66" s="227">
        <v>9999.6622041993614</v>
      </c>
      <c r="F66" s="227">
        <v>2842.8827817762976</v>
      </c>
      <c r="G66" s="227">
        <v>659.80520012992679</v>
      </c>
      <c r="H66" s="227">
        <v>4750.3498821995563</v>
      </c>
      <c r="I66" s="227">
        <v>3895.6821021339647</v>
      </c>
      <c r="J66" s="227">
        <v>1331.5443445834499</v>
      </c>
      <c r="K66" s="227">
        <v>1637.5783778721359</v>
      </c>
      <c r="M66" s="213">
        <v>2051</v>
      </c>
      <c r="N66" s="419">
        <f t="shared" si="2"/>
        <v>5550.9694032533298</v>
      </c>
      <c r="O66" s="418">
        <f>(C66/Population_Tables!P40)*Population_Tables!D99</f>
        <v>0</v>
      </c>
      <c r="P66" s="418">
        <f>(D66/Population_Tables!Q40)*Population_Tables!E99</f>
        <v>0</v>
      </c>
      <c r="Q66" s="418">
        <f>((E66-H66)/Population_Tables!R40)*Population_Tables!F99</f>
        <v>3376.5533717492685</v>
      </c>
      <c r="R66" s="418">
        <f>(F66/Population_Tables!S40)*Population_Tables!G99</f>
        <v>1955.8546281161296</v>
      </c>
      <c r="S66" s="418">
        <f>(G66/Population_Tables!T40)*Population_Tables!H99</f>
        <v>218.56140338793168</v>
      </c>
      <c r="T66" s="418">
        <f>(H66/Population_Tables!U40)*Population_Tables!I99</f>
        <v>0</v>
      </c>
      <c r="U66" s="418">
        <f>(I66/Population_Tables!V40)*Population_Tables!J99</f>
        <v>0</v>
      </c>
      <c r="V66" s="418">
        <f>(J66/Population_Tables!W40)*Population_Tables!K99</f>
        <v>0</v>
      </c>
      <c r="W66" s="418">
        <f>(K66/Population_Tables!X40)*Population_Tables!L99</f>
        <v>0</v>
      </c>
      <c r="Y66" s="456">
        <v>2051</v>
      </c>
      <c r="Z66" s="459">
        <f>((B66/Population_Tables!O40)*Population_Tables!C40)-N66</f>
        <v>17830.632473011119</v>
      </c>
      <c r="AA66" s="459">
        <f>((C66/Population_Tables!P40)*Population_Tables!D40)-O66</f>
        <v>3606.739421627341</v>
      </c>
      <c r="AB66" s="459">
        <f>((D66/Population_Tables!Q40)*Population_Tables!E40)-P66</f>
        <v>807.5702340912668</v>
      </c>
      <c r="AC66" s="459">
        <f>((E66/Population_Tables!R40)*Population_Tables!F40)-Q66</f>
        <v>7628.2761780316614</v>
      </c>
      <c r="AD66" s="459">
        <f>((F66/Population_Tables!S40)*Population_Tables!G40)-R66</f>
        <v>1140.5408216850362</v>
      </c>
      <c r="AE66" s="459">
        <f>((G66/Population_Tables!T40)*Population_Tables!H40)-S66</f>
        <v>518.45010000166599</v>
      </c>
      <c r="AF66" s="459">
        <f>(H66/Population_Tables!U40)*Population_Tables!I40</f>
        <v>5131.2629229135528</v>
      </c>
      <c r="AG66" s="459">
        <f>(I66/Population_Tables!V40)*Population_Tables!J40</f>
        <v>4280.0310749139398</v>
      </c>
      <c r="AH66" s="459">
        <f>(J66/Population_Tables!W40)*Population_Tables!K40</f>
        <v>1436.868465614833</v>
      </c>
      <c r="AI66" s="459">
        <f>(K66/Population_Tables!X40)*Population_Tables!L40</f>
        <v>1781.8205707480354</v>
      </c>
      <c r="AK66" s="456">
        <v>2051</v>
      </c>
      <c r="AL66" s="459">
        <f t="shared" si="6"/>
        <v>23381.601876264449</v>
      </c>
      <c r="AM66" s="459">
        <f t="shared" si="6"/>
        <v>3606.739421627341</v>
      </c>
      <c r="AN66" s="459">
        <f t="shared" si="6"/>
        <v>807.5702340912668</v>
      </c>
      <c r="AO66" s="459">
        <f t="shared" si="6"/>
        <v>11004.82954978093</v>
      </c>
      <c r="AP66" s="459">
        <f t="shared" si="6"/>
        <v>3096.3954498011658</v>
      </c>
      <c r="AQ66" s="459">
        <f t="shared" si="6"/>
        <v>737.01150338959769</v>
      </c>
      <c r="AR66" s="459">
        <f t="shared" si="6"/>
        <v>5131.2629229135528</v>
      </c>
      <c r="AS66" s="459">
        <f t="shared" si="6"/>
        <v>4280.0310749139398</v>
      </c>
      <c r="AT66" s="459">
        <f t="shared" si="6"/>
        <v>1436.868465614833</v>
      </c>
      <c r="AU66" s="459">
        <f t="shared" si="6"/>
        <v>1781.8205707480354</v>
      </c>
      <c r="AW66" s="216">
        <f>(B66/Population_Tables!O40)*Population_Tables!C40</f>
        <v>23381.601876264449</v>
      </c>
      <c r="AX66" s="153" t="str">
        <f t="shared" si="7"/>
        <v>OK</v>
      </c>
      <c r="AY66" s="421">
        <f t="shared" si="4"/>
        <v>19252.5461586903</v>
      </c>
      <c r="AZ66" s="153" t="str">
        <f t="shared" si="5"/>
        <v>OK</v>
      </c>
      <c r="BB66" s="216">
        <f>(C66/Population_Tables!P40)*Population_Tables!D40</f>
        <v>3606.739421627341</v>
      </c>
      <c r="BC66" s="216">
        <f>(D66/Population_Tables!Q40)*Population_Tables!E40</f>
        <v>807.5702340912668</v>
      </c>
      <c r="BD66" s="216">
        <f>(E66/Population_Tables!R40)*Population_Tables!F40</f>
        <v>11004.82954978093</v>
      </c>
      <c r="BE66" s="216">
        <f>(F66/Population_Tables!S40)*Population_Tables!G40</f>
        <v>3096.3954498011658</v>
      </c>
      <c r="BF66" s="216">
        <f>(G66/Population_Tables!T40)*Population_Tables!H40</f>
        <v>737.01150338959769</v>
      </c>
      <c r="BG66" s="216"/>
      <c r="BN66" s="216"/>
      <c r="BO66" s="216"/>
      <c r="BP66" s="216"/>
    </row>
    <row r="67" spans="1:68" ht="15.6" x14ac:dyDescent="0.3">
      <c r="A67" s="194">
        <v>2052</v>
      </c>
      <c r="B67" s="229">
        <v>21746.368969263109</v>
      </c>
      <c r="C67" s="229">
        <v>3349.2619639624554</v>
      </c>
      <c r="D67" s="229">
        <v>750.61535582722524</v>
      </c>
      <c r="E67" s="229">
        <v>10212.705801074757</v>
      </c>
      <c r="F67" s="229">
        <v>2939.6781139504892</v>
      </c>
      <c r="G67" s="229">
        <v>669.21316710268002</v>
      </c>
      <c r="H67" s="229">
        <v>4791.5945789901698</v>
      </c>
      <c r="I67" s="229">
        <v>4032.6516348938167</v>
      </c>
      <c r="J67" s="229">
        <v>1336.2421313503482</v>
      </c>
      <c r="K67" s="229">
        <v>1651.3854981271388</v>
      </c>
      <c r="M67" s="194">
        <v>2052</v>
      </c>
      <c r="N67" s="419">
        <f t="shared" si="2"/>
        <v>5773.1960222326888</v>
      </c>
      <c r="O67" s="418">
        <f>(C67/Population_Tables!P41)*Population_Tables!D100</f>
        <v>0</v>
      </c>
      <c r="P67" s="418">
        <f>(D67/Population_Tables!Q41)*Population_Tables!E100</f>
        <v>0</v>
      </c>
      <c r="Q67" s="418">
        <f>((E67-H67)/Population_Tables!R41)*Population_Tables!F100</f>
        <v>3516.1478707032097</v>
      </c>
      <c r="R67" s="418">
        <f>(F67/Population_Tables!S41)*Population_Tables!G100</f>
        <v>2033.6404585810246</v>
      </c>
      <c r="S67" s="418">
        <f>(G67/Population_Tables!T41)*Population_Tables!H100</f>
        <v>223.40769294845461</v>
      </c>
      <c r="T67" s="418">
        <f>(H67/Population_Tables!U41)*Population_Tables!I100</f>
        <v>0</v>
      </c>
      <c r="U67" s="418">
        <f>(I67/Population_Tables!V41)*Population_Tables!J100</f>
        <v>0</v>
      </c>
      <c r="V67" s="418">
        <f>(J67/Population_Tables!W41)*Population_Tables!K100</f>
        <v>0</v>
      </c>
      <c r="W67" s="418">
        <f>(K67/Population_Tables!X41)*Population_Tables!L100</f>
        <v>0</v>
      </c>
      <c r="Y67" s="456">
        <v>2052</v>
      </c>
      <c r="Z67" s="459">
        <f>((B67/Population_Tables!O41)*Population_Tables!C41)-N67</f>
        <v>18157.819680353849</v>
      </c>
      <c r="AA67" s="459">
        <f>((C67/Population_Tables!P41)*Population_Tables!D41)-O67</f>
        <v>3633.1806527346976</v>
      </c>
      <c r="AB67" s="459">
        <f>((D67/Population_Tables!Q41)*Population_Tables!E41)-P67</f>
        <v>820.38795878875681</v>
      </c>
      <c r="AC67" s="459">
        <f>((E67/Population_Tables!R41)*Population_Tables!F41)-Q67</f>
        <v>7772.7065727498939</v>
      </c>
      <c r="AD67" s="459">
        <f>((F67/Population_Tables!S41)*Population_Tables!G41)-R67</f>
        <v>1179.8559987877338</v>
      </c>
      <c r="AE67" s="459">
        <f>((G67/Population_Tables!T41)*Population_Tables!H41)-S67</f>
        <v>527.67452772103763</v>
      </c>
      <c r="AF67" s="459">
        <f>(H67/Population_Tables!U41)*Population_Tables!I41</f>
        <v>5194.2127686620624</v>
      </c>
      <c r="AG67" s="459">
        <f>(I67/Population_Tables!V41)*Population_Tables!J41</f>
        <v>4449.7132874052895</v>
      </c>
      <c r="AH67" s="459">
        <f>(J67/Population_Tables!W41)*Population_Tables!K41</f>
        <v>1446.7043813327693</v>
      </c>
      <c r="AI67" s="459">
        <f>(K67/Population_Tables!X41)*Population_Tables!L41</f>
        <v>1803.0457207786196</v>
      </c>
      <c r="AK67" s="456">
        <v>2052</v>
      </c>
      <c r="AL67" s="459">
        <f t="shared" si="6"/>
        <v>23931.015702586537</v>
      </c>
      <c r="AM67" s="459">
        <f t="shared" si="6"/>
        <v>3633.1806527346976</v>
      </c>
      <c r="AN67" s="459">
        <f t="shared" si="6"/>
        <v>820.38795878875681</v>
      </c>
      <c r="AO67" s="459">
        <f t="shared" si="6"/>
        <v>11288.854443453103</v>
      </c>
      <c r="AP67" s="459">
        <f t="shared" si="6"/>
        <v>3213.4964573687585</v>
      </c>
      <c r="AQ67" s="459">
        <f t="shared" si="6"/>
        <v>751.08222066949224</v>
      </c>
      <c r="AR67" s="459">
        <f t="shared" si="6"/>
        <v>5194.2127686620624</v>
      </c>
      <c r="AS67" s="459">
        <f t="shared" si="6"/>
        <v>4449.7132874052895</v>
      </c>
      <c r="AT67" s="459">
        <f t="shared" si="6"/>
        <v>1446.7043813327693</v>
      </c>
      <c r="AU67" s="459">
        <f t="shared" si="6"/>
        <v>1803.0457207786196</v>
      </c>
      <c r="AW67" s="216">
        <f>(B67/Population_Tables!O41)*Population_Tables!C41</f>
        <v>23931.015702586537</v>
      </c>
      <c r="AX67" s="153" t="str">
        <f t="shared" si="7"/>
        <v>OK</v>
      </c>
      <c r="AY67" s="421">
        <f t="shared" si="4"/>
        <v>19707.001733014811</v>
      </c>
      <c r="AZ67" s="153" t="str">
        <f t="shared" si="5"/>
        <v>OK</v>
      </c>
      <c r="BB67" s="216">
        <f>(C67/Population_Tables!P41)*Population_Tables!D41</f>
        <v>3633.1806527346976</v>
      </c>
      <c r="BC67" s="216">
        <f>(D67/Population_Tables!Q41)*Population_Tables!E41</f>
        <v>820.38795878875681</v>
      </c>
      <c r="BD67" s="216">
        <f>(E67/Population_Tables!R41)*Population_Tables!F41</f>
        <v>11288.854443453103</v>
      </c>
      <c r="BE67" s="216">
        <f>(F67/Population_Tables!S41)*Population_Tables!G41</f>
        <v>3213.4964573687585</v>
      </c>
      <c r="BF67" s="216">
        <f>(G67/Population_Tables!T41)*Population_Tables!H41</f>
        <v>751.08222066949224</v>
      </c>
      <c r="BG67" s="216"/>
      <c r="BN67" s="216"/>
      <c r="BO67" s="216"/>
      <c r="BP67" s="216"/>
    </row>
    <row r="68" spans="1:68" ht="15.6" x14ac:dyDescent="0.3">
      <c r="A68" s="194">
        <v>2053</v>
      </c>
      <c r="B68" s="229">
        <v>22164.381334343991</v>
      </c>
      <c r="C68" s="229">
        <v>3362.6218833492203</v>
      </c>
      <c r="D68" s="229">
        <v>759.47511813700839</v>
      </c>
      <c r="E68" s="229">
        <v>10427.416376116887</v>
      </c>
      <c r="F68" s="229">
        <v>3039.6744951094156</v>
      </c>
      <c r="G68" s="229">
        <v>678.6421668263099</v>
      </c>
      <c r="H68" s="229">
        <v>4831.9001493721535</v>
      </c>
      <c r="I68" s="229">
        <v>4172.1140683806861</v>
      </c>
      <c r="J68" s="229">
        <v>1340.8349013922016</v>
      </c>
      <c r="K68" s="229">
        <v>1665.2565182165317</v>
      </c>
      <c r="M68" s="194">
        <v>2053</v>
      </c>
      <c r="N68" s="419">
        <f t="shared" si="2"/>
        <v>6003.0145342656488</v>
      </c>
      <c r="O68" s="418">
        <f>(C68/Population_Tables!P42)*Population_Tables!D101</f>
        <v>0</v>
      </c>
      <c r="P68" s="418">
        <f>(D68/Population_Tables!Q42)*Population_Tables!E101</f>
        <v>0</v>
      </c>
      <c r="Q68" s="418">
        <f>((E68-H68)/Population_Tables!R42)*Population_Tables!F101</f>
        <v>3660.1178854557406</v>
      </c>
      <c r="R68" s="418">
        <f>(F68/Population_Tables!S42)*Population_Tables!G101</f>
        <v>2114.5463338200352</v>
      </c>
      <c r="S68" s="418">
        <f>(G68/Population_Tables!T42)*Population_Tables!H101</f>
        <v>228.35031498987382</v>
      </c>
      <c r="T68" s="418">
        <f>(H68/Population_Tables!U42)*Population_Tables!I101</f>
        <v>0</v>
      </c>
      <c r="U68" s="418">
        <f>(I68/Population_Tables!V42)*Population_Tables!J101</f>
        <v>0</v>
      </c>
      <c r="V68" s="418">
        <f>(J68/Population_Tables!W42)*Population_Tables!K101</f>
        <v>0</v>
      </c>
      <c r="W68" s="418">
        <f>(K68/Population_Tables!X42)*Population_Tables!L101</f>
        <v>0</v>
      </c>
      <c r="Y68" s="456">
        <v>2053</v>
      </c>
      <c r="Z68" s="459">
        <f>((B68/Population_Tables!O42)*Population_Tables!C42)-N68</f>
        <v>18489.439124199467</v>
      </c>
      <c r="AA68" s="459">
        <f>((C68/Population_Tables!P42)*Population_Tables!D42)-O68</f>
        <v>3659.7347080820091</v>
      </c>
      <c r="AB68" s="459">
        <f>((D68/Population_Tables!Q42)*Population_Tables!E42)-P68</f>
        <v>833.47019853361633</v>
      </c>
      <c r="AC68" s="459">
        <f>((E68/Population_Tables!R42)*Population_Tables!F42)-Q68</f>
        <v>7918.5463701761164</v>
      </c>
      <c r="AD68" s="459">
        <f>((F68/Population_Tables!S42)*Population_Tables!G42)-R68</f>
        <v>1220.6437784355621</v>
      </c>
      <c r="AE68" s="459">
        <f>((G68/Population_Tables!T42)*Population_Tables!H42)-S68</f>
        <v>537.03330943568233</v>
      </c>
      <c r="AF68" s="459">
        <f>(H68/Population_Tables!U42)*Population_Tables!I42</f>
        <v>5257.0836128099991</v>
      </c>
      <c r="AG68" s="459">
        <f>(I68/Population_Tables!V42)*Population_Tables!J42</f>
        <v>4624.3150296751301</v>
      </c>
      <c r="AH68" s="459">
        <f>(J68/Population_Tables!W42)*Population_Tables!K42</f>
        <v>1456.6174138850611</v>
      </c>
      <c r="AI68" s="459">
        <f>(K68/Population_Tables!X42)*Population_Tables!L42</f>
        <v>1824.6426017963531</v>
      </c>
      <c r="AK68" s="456">
        <v>2053</v>
      </c>
      <c r="AL68" s="459">
        <f t="shared" si="6"/>
        <v>24492.453658465114</v>
      </c>
      <c r="AM68" s="459">
        <f t="shared" si="6"/>
        <v>3659.7347080820091</v>
      </c>
      <c r="AN68" s="459">
        <f t="shared" si="6"/>
        <v>833.47019853361633</v>
      </c>
      <c r="AO68" s="459">
        <f t="shared" si="6"/>
        <v>11578.664255631857</v>
      </c>
      <c r="AP68" s="459">
        <f t="shared" si="6"/>
        <v>3335.1901122555973</v>
      </c>
      <c r="AQ68" s="459">
        <f t="shared" si="6"/>
        <v>765.38362442555615</v>
      </c>
      <c r="AR68" s="459">
        <f t="shared" si="6"/>
        <v>5257.0836128099991</v>
      </c>
      <c r="AS68" s="459">
        <f t="shared" si="6"/>
        <v>4624.3150296751301</v>
      </c>
      <c r="AT68" s="459">
        <f t="shared" si="6"/>
        <v>1456.6174138850611</v>
      </c>
      <c r="AU68" s="459">
        <f t="shared" si="6"/>
        <v>1824.6426017963531</v>
      </c>
      <c r="AW68" s="216">
        <f>(B68/Population_Tables!O42)*Population_Tables!C42</f>
        <v>24492.453658465118</v>
      </c>
      <c r="AX68" s="153" t="b">
        <f t="shared" si="7"/>
        <v>0</v>
      </c>
      <c r="AY68" s="421">
        <f t="shared" si="4"/>
        <v>20172.442898928635</v>
      </c>
      <c r="AZ68" s="153" t="str">
        <f t="shared" si="5"/>
        <v>OK</v>
      </c>
      <c r="BB68" s="216">
        <f>(C68/Population_Tables!P42)*Population_Tables!D42</f>
        <v>3659.7347080820091</v>
      </c>
      <c r="BC68" s="216">
        <f>(D68/Population_Tables!Q42)*Population_Tables!E42</f>
        <v>833.47019853361633</v>
      </c>
      <c r="BD68" s="216">
        <f>(E68/Population_Tables!R42)*Population_Tables!F42</f>
        <v>11578.664255631857</v>
      </c>
      <c r="BE68" s="216">
        <f>(F68/Population_Tables!S42)*Population_Tables!G42</f>
        <v>3335.1901122555973</v>
      </c>
      <c r="BF68" s="216">
        <f>(G68/Population_Tables!T42)*Population_Tables!H42</f>
        <v>765.38362442555615</v>
      </c>
      <c r="BG68" s="216"/>
      <c r="BN68" s="216"/>
      <c r="BO68" s="216"/>
      <c r="BP68" s="216"/>
    </row>
    <row r="69" spans="1:68" ht="15.6" x14ac:dyDescent="0.3">
      <c r="A69" s="194">
        <v>2054</v>
      </c>
      <c r="B69" s="229">
        <v>22587.106113363028</v>
      </c>
      <c r="C69" s="229">
        <v>3375.6420463384366</v>
      </c>
      <c r="D69" s="229">
        <v>768.40991059411101</v>
      </c>
      <c r="E69" s="229">
        <v>10643.723254269549</v>
      </c>
      <c r="F69" s="229">
        <v>3142.9417843024939</v>
      </c>
      <c r="G69" s="229">
        <v>688.08918636784665</v>
      </c>
      <c r="H69" s="229">
        <v>4871.2206762430096</v>
      </c>
      <c r="I69" s="229">
        <v>4314.0462175819439</v>
      </c>
      <c r="J69" s="229">
        <v>1345.3234857866819</v>
      </c>
      <c r="K69" s="229">
        <v>1679.1976929012744</v>
      </c>
      <c r="M69" s="194">
        <v>2054</v>
      </c>
      <c r="N69" s="419">
        <f t="shared" si="2"/>
        <v>6240.5963406744022</v>
      </c>
      <c r="O69" s="418">
        <f>(C69/Population_Tables!P43)*Population_Tables!D102</f>
        <v>0</v>
      </c>
      <c r="P69" s="418">
        <f>(D69/Population_Tables!Q43)*Population_Tables!E102</f>
        <v>0</v>
      </c>
      <c r="Q69" s="418">
        <f>((E69-H69)/Population_Tables!R43)*Population_Tables!F102</f>
        <v>3808.531778606673</v>
      </c>
      <c r="R69" s="418">
        <f>(F69/Population_Tables!S43)*Population_Tables!G102</f>
        <v>2198.6740487705692</v>
      </c>
      <c r="S69" s="418">
        <f>(G69/Population_Tables!T43)*Population_Tables!H102</f>
        <v>233.39051329716028</v>
      </c>
      <c r="T69" s="418">
        <f>(H69/Population_Tables!U43)*Population_Tables!I102</f>
        <v>0</v>
      </c>
      <c r="U69" s="418">
        <f>(I69/Population_Tables!V43)*Population_Tables!J102</f>
        <v>0</v>
      </c>
      <c r="V69" s="418">
        <f>(J69/Population_Tables!W43)*Population_Tables!K102</f>
        <v>0</v>
      </c>
      <c r="W69" s="418">
        <f>(K69/Population_Tables!X43)*Population_Tables!L102</f>
        <v>0</v>
      </c>
      <c r="Y69" s="456">
        <v>2054</v>
      </c>
      <c r="Z69" s="459">
        <f>((B69/Population_Tables!O43)*Population_Tables!C43)-N69</f>
        <v>18825.483425801685</v>
      </c>
      <c r="AA69" s="459">
        <f>((C69/Population_Tables!P43)*Population_Tables!D43)-O69</f>
        <v>3686.4270341154706</v>
      </c>
      <c r="AB69" s="459">
        <f>((D69/Population_Tables!Q43)*Population_Tables!E43)-P69</f>
        <v>846.82282069573387</v>
      </c>
      <c r="AC69" s="459">
        <f>((E69/Population_Tables!R43)*Population_Tables!F43)-Q69</f>
        <v>8065.7558535889584</v>
      </c>
      <c r="AD69" s="459">
        <f>((F69/Population_Tables!S43)*Population_Tables!G43)-R69</f>
        <v>1262.9400577107231</v>
      </c>
      <c r="AE69" s="459">
        <f>((G69/Population_Tables!T43)*Population_Tables!H43)-S69</f>
        <v>546.52775459068175</v>
      </c>
      <c r="AF69" s="459">
        <f>(H69/Population_Tables!U43)*Population_Tables!I43</f>
        <v>5319.8373899190074</v>
      </c>
      <c r="AG69" s="459">
        <f>(I69/Population_Tables!V43)*Population_Tables!J43</f>
        <v>4803.8903844195402</v>
      </c>
      <c r="AH69" s="459">
        <f>(J69/Population_Tables!W43)*Population_Tables!K43</f>
        <v>1466.6213134347997</v>
      </c>
      <c r="AI69" s="459">
        <f>(K69/Population_Tables!X43)*Population_Tables!L43</f>
        <v>1846.6342119672925</v>
      </c>
      <c r="AK69" s="456">
        <v>2054</v>
      </c>
      <c r="AL69" s="459">
        <f t="shared" ref="AL69:AU75" si="8">Z69+N69</f>
        <v>25066.079766476087</v>
      </c>
      <c r="AM69" s="459">
        <f t="shared" si="8"/>
        <v>3686.4270341154706</v>
      </c>
      <c r="AN69" s="459">
        <f t="shared" si="8"/>
        <v>846.82282069573387</v>
      </c>
      <c r="AO69" s="459">
        <f t="shared" si="8"/>
        <v>11874.287632195632</v>
      </c>
      <c r="AP69" s="459">
        <f t="shared" si="8"/>
        <v>3461.6141064812923</v>
      </c>
      <c r="AQ69" s="459">
        <f t="shared" si="8"/>
        <v>779.91826788784203</v>
      </c>
      <c r="AR69" s="459">
        <f t="shared" si="8"/>
        <v>5319.8373899190074</v>
      </c>
      <c r="AS69" s="459">
        <f t="shared" si="8"/>
        <v>4803.8903844195402</v>
      </c>
      <c r="AT69" s="459">
        <f t="shared" si="8"/>
        <v>1466.6213134347997</v>
      </c>
      <c r="AU69" s="459">
        <f t="shared" si="8"/>
        <v>1846.6342119672925</v>
      </c>
      <c r="AW69" s="216">
        <f>(B69/Population_Tables!O43)*Population_Tables!C43</f>
        <v>25066.079766476087</v>
      </c>
      <c r="AX69" s="153" t="str">
        <f t="shared" si="7"/>
        <v>OK</v>
      </c>
      <c r="AY69" s="421">
        <f t="shared" si="4"/>
        <v>20649.069861375971</v>
      </c>
      <c r="AZ69" s="153" t="str">
        <f t="shared" si="5"/>
        <v>OK</v>
      </c>
      <c r="BB69" s="216">
        <f>(C69/Population_Tables!P43)*Population_Tables!D43</f>
        <v>3686.4270341154706</v>
      </c>
      <c r="BC69" s="216">
        <f>(D69/Population_Tables!Q43)*Population_Tables!E43</f>
        <v>846.82282069573387</v>
      </c>
      <c r="BD69" s="216">
        <f>(E69/Population_Tables!R43)*Population_Tables!F43</f>
        <v>11874.287632195632</v>
      </c>
      <c r="BE69" s="216">
        <f>(F69/Population_Tables!S43)*Population_Tables!G43</f>
        <v>3461.6141064812923</v>
      </c>
      <c r="BF69" s="216">
        <f>(G69/Population_Tables!T43)*Population_Tables!H43</f>
        <v>779.91826788784203</v>
      </c>
      <c r="BG69" s="216"/>
      <c r="BN69" s="216"/>
      <c r="BO69" s="216"/>
      <c r="BP69" s="216"/>
    </row>
    <row r="70" spans="1:68" ht="15.6" x14ac:dyDescent="0.3">
      <c r="A70" s="194">
        <v>2055</v>
      </c>
      <c r="B70" s="229">
        <v>23014.523766684586</v>
      </c>
      <c r="C70" s="229">
        <v>3388.3159640294275</v>
      </c>
      <c r="D70" s="229">
        <v>777.41868192637412</v>
      </c>
      <c r="E70" s="229">
        <v>10861.562911389105</v>
      </c>
      <c r="F70" s="229">
        <v>3249.5502531003904</v>
      </c>
      <c r="G70" s="229">
        <v>697.55123739849125</v>
      </c>
      <c r="H70" s="229">
        <v>4909.5253736331415</v>
      </c>
      <c r="I70" s="229">
        <v>4458.4259056064302</v>
      </c>
      <c r="J70" s="229">
        <v>1349.7088495782</v>
      </c>
      <c r="K70" s="229">
        <v>1693.2134576591563</v>
      </c>
      <c r="M70" s="194">
        <v>2055</v>
      </c>
      <c r="N70" s="419">
        <f t="shared" si="2"/>
        <v>6486.1066558460498</v>
      </c>
      <c r="O70" s="418">
        <f>(C70/Population_Tables!P44)*Population_Tables!D103</f>
        <v>0</v>
      </c>
      <c r="P70" s="418">
        <f>(D70/Population_Tables!Q44)*Population_Tables!E103</f>
        <v>0</v>
      </c>
      <c r="Q70" s="418">
        <f>((E70-H70)/Population_Tables!R44)*Population_Tables!F103</f>
        <v>3961.4514066875377</v>
      </c>
      <c r="R70" s="418">
        <f>(F70/Population_Tables!S44)*Population_Tables!G103</f>
        <v>2286.1257227381489</v>
      </c>
      <c r="S70" s="418">
        <f>(G70/Population_Tables!T44)*Population_Tables!H103</f>
        <v>238.52952642036288</v>
      </c>
      <c r="T70" s="418">
        <f>(H70/Population_Tables!U44)*Population_Tables!I103</f>
        <v>0</v>
      </c>
      <c r="U70" s="418">
        <f>(I70/Population_Tables!V44)*Population_Tables!J103</f>
        <v>0</v>
      </c>
      <c r="V70" s="418">
        <f>(J70/Population_Tables!W44)*Population_Tables!K103</f>
        <v>0</v>
      </c>
      <c r="W70" s="418">
        <f>(K70/Population_Tables!X44)*Population_Tables!L103</f>
        <v>0</v>
      </c>
      <c r="Y70" s="456">
        <v>2055</v>
      </c>
      <c r="Z70" s="459">
        <f>((B70/Population_Tables!O44)*Population_Tables!C44)-N70</f>
        <v>19165.956018020326</v>
      </c>
      <c r="AA70" s="459">
        <f>((C70/Population_Tables!P44)*Population_Tables!D44)-O70</f>
        <v>3713.2768711638673</v>
      </c>
      <c r="AB70" s="459">
        <f>((D70/Population_Tables!Q44)*Population_Tables!E44)-P70</f>
        <v>860.45208244030607</v>
      </c>
      <c r="AC70" s="459">
        <f>((E70/Population_Tables!R44)*Population_Tables!F44)-Q70</f>
        <v>8214.3065871579238</v>
      </c>
      <c r="AD70" s="459">
        <f>((F70/Population_Tables!S44)*Population_Tables!G44)-R70</f>
        <v>1306.7822962687815</v>
      </c>
      <c r="AE70" s="459">
        <f>((G70/Population_Tables!T44)*Population_Tables!H44)-S70</f>
        <v>556.1590101832254</v>
      </c>
      <c r="AF70" s="459">
        <f>(H70/Population_Tables!U44)*Population_Tables!I44</f>
        <v>5382.4517380993211</v>
      </c>
      <c r="AG70" s="459">
        <f>(I70/Population_Tables!V44)*Population_Tables!J44</f>
        <v>4988.4919393220507</v>
      </c>
      <c r="AH70" s="459">
        <f>(J70/Population_Tables!W44)*Population_Tables!K44</f>
        <v>1476.7283448663441</v>
      </c>
      <c r="AI70" s="459">
        <f>(K70/Population_Tables!X44)*Population_Tables!L44</f>
        <v>1869.0384183360945</v>
      </c>
      <c r="AK70" s="456">
        <v>2055</v>
      </c>
      <c r="AL70" s="459">
        <f t="shared" si="8"/>
        <v>25652.062673866378</v>
      </c>
      <c r="AM70" s="459">
        <f t="shared" si="8"/>
        <v>3713.2768711638673</v>
      </c>
      <c r="AN70" s="459">
        <f t="shared" si="8"/>
        <v>860.45208244030607</v>
      </c>
      <c r="AO70" s="459">
        <f t="shared" si="8"/>
        <v>12175.757993845462</v>
      </c>
      <c r="AP70" s="459">
        <f t="shared" si="8"/>
        <v>3592.9080190069303</v>
      </c>
      <c r="AQ70" s="459">
        <f t="shared" si="8"/>
        <v>794.68853660358832</v>
      </c>
      <c r="AR70" s="459">
        <f t="shared" si="8"/>
        <v>5382.4517380993211</v>
      </c>
      <c r="AS70" s="459">
        <f t="shared" si="8"/>
        <v>4988.4919393220507</v>
      </c>
      <c r="AT70" s="459">
        <f t="shared" si="8"/>
        <v>1476.7283448663441</v>
      </c>
      <c r="AU70" s="459">
        <f t="shared" si="8"/>
        <v>1869.0384183360945</v>
      </c>
      <c r="AW70" s="216">
        <f>(B70/Population_Tables!O44)*Population_Tables!C44</f>
        <v>25652.062673866374</v>
      </c>
      <c r="AX70" s="153" t="b">
        <f t="shared" si="7"/>
        <v>0</v>
      </c>
      <c r="AY70" s="421">
        <f t="shared" si="4"/>
        <v>21137.083503060156</v>
      </c>
      <c r="AZ70" s="153" t="str">
        <f t="shared" si="5"/>
        <v>OK</v>
      </c>
      <c r="BB70" s="216">
        <f>(C70/Population_Tables!P44)*Population_Tables!D44</f>
        <v>3713.2768711638673</v>
      </c>
      <c r="BC70" s="216">
        <f>(D70/Population_Tables!Q44)*Population_Tables!E44</f>
        <v>860.45208244030607</v>
      </c>
      <c r="BD70" s="216">
        <f>(E70/Population_Tables!R44)*Population_Tables!F44</f>
        <v>12175.757993845462</v>
      </c>
      <c r="BE70" s="216">
        <f>(F70/Population_Tables!S44)*Population_Tables!G44</f>
        <v>3592.9080190069303</v>
      </c>
      <c r="BF70" s="216">
        <f>(G70/Population_Tables!T44)*Population_Tables!H44</f>
        <v>794.68853660358832</v>
      </c>
      <c r="BG70" s="216"/>
      <c r="BN70" s="216"/>
      <c r="BO70" s="216"/>
      <c r="BP70" s="216"/>
    </row>
    <row r="71" spans="1:68" ht="15.6" x14ac:dyDescent="0.3">
      <c r="A71" s="194">
        <v>2056</v>
      </c>
      <c r="B71" s="229">
        <v>23446.630379690047</v>
      </c>
      <c r="C71" s="229">
        <v>3400.6406659526947</v>
      </c>
      <c r="D71" s="229">
        <v>786.50140000795932</v>
      </c>
      <c r="E71" s="229">
        <v>11080.882263488516</v>
      </c>
      <c r="F71" s="229">
        <v>3359.570772289655</v>
      </c>
      <c r="G71" s="229">
        <v>707.02544776210755</v>
      </c>
      <c r="H71" s="229">
        <v>4946.8024152551825</v>
      </c>
      <c r="I71" s="229">
        <v>4605.2343223745011</v>
      </c>
      <c r="J71" s="229">
        <v>1353.9926103763671</v>
      </c>
      <c r="K71" s="229">
        <v>1707.3057278809504</v>
      </c>
      <c r="M71" s="194">
        <v>2056</v>
      </c>
      <c r="N71" s="419">
        <f t="shared" si="2"/>
        <v>6739.7408046978126</v>
      </c>
      <c r="O71" s="418">
        <f>(C71/Population_Tables!P45)*Population_Tables!D104</f>
        <v>0</v>
      </c>
      <c r="P71" s="418">
        <f>(D71/Population_Tables!Q45)*Population_Tables!E104</f>
        <v>0</v>
      </c>
      <c r="Q71" s="418">
        <f>((E71-H71)/Population_Tables!R45)*Population_Tables!F104</f>
        <v>4118.9654216685694</v>
      </c>
      <c r="R71" s="418">
        <f>(F71/Population_Tables!S45)*Population_Tables!G104</f>
        <v>2377.0064666739904</v>
      </c>
      <c r="S71" s="418">
        <f>(G71/Population_Tables!T45)*Population_Tables!H104</f>
        <v>243.76891635525348</v>
      </c>
      <c r="T71" s="418">
        <f>(H71/Population_Tables!U45)*Population_Tables!I104</f>
        <v>0</v>
      </c>
      <c r="U71" s="418">
        <f>(I71/Population_Tables!V45)*Population_Tables!J104</f>
        <v>0</v>
      </c>
      <c r="V71" s="418">
        <f>(J71/Population_Tables!W45)*Population_Tables!K104</f>
        <v>0</v>
      </c>
      <c r="W71" s="418">
        <f>(K71/Population_Tables!X45)*Population_Tables!L104</f>
        <v>0</v>
      </c>
      <c r="Y71" s="456">
        <v>2056</v>
      </c>
      <c r="Z71" s="459">
        <f>((B71/Population_Tables!O45)*Population_Tables!C45)-N71</f>
        <v>19510.908649661738</v>
      </c>
      <c r="AA71" s="459">
        <f>((C71/Population_Tables!P45)*Population_Tables!D45)-O71</f>
        <v>3740.2981862967827</v>
      </c>
      <c r="AB71" s="459">
        <f>((D71/Population_Tables!Q45)*Population_Tables!E45)-P71</f>
        <v>874.36554374282457</v>
      </c>
      <c r="AC71" s="459">
        <f>((E71/Population_Tables!R45)*Population_Tables!F45)-Q71</f>
        <v>8364.2047375406037</v>
      </c>
      <c r="AD71" s="459">
        <f>((F71/Population_Tables!S45)*Population_Tables!G45)-R71</f>
        <v>1352.2135486617894</v>
      </c>
      <c r="AE71" s="459">
        <f>((G71/Population_Tables!T45)*Population_Tables!H45)-S71</f>
        <v>565.92918642259872</v>
      </c>
      <c r="AF71" s="459">
        <f>(H71/Population_Tables!U45)*Population_Tables!I45</f>
        <v>5444.9334840632582</v>
      </c>
      <c r="AG71" s="459">
        <f>(I71/Population_Tables!V45)*Population_Tables!J45</f>
        <v>5178.2122664566195</v>
      </c>
      <c r="AH71" s="459">
        <f>(J71/Population_Tables!W45)*Population_Tables!K45</f>
        <v>1486.9484443404438</v>
      </c>
      <c r="AI71" s="459">
        <f>(K71/Population_Tables!X45)*Population_Tables!L45</f>
        <v>1891.8686458774114</v>
      </c>
      <c r="AK71" s="456">
        <v>2056</v>
      </c>
      <c r="AL71" s="459">
        <f t="shared" si="8"/>
        <v>26250.649454359551</v>
      </c>
      <c r="AM71" s="459">
        <f t="shared" si="8"/>
        <v>3740.2981862967827</v>
      </c>
      <c r="AN71" s="459">
        <f t="shared" si="8"/>
        <v>874.36554374282457</v>
      </c>
      <c r="AO71" s="459">
        <f t="shared" si="8"/>
        <v>12483.170159209174</v>
      </c>
      <c r="AP71" s="459">
        <f t="shared" si="8"/>
        <v>3729.2200153357799</v>
      </c>
      <c r="AQ71" s="459">
        <f t="shared" si="8"/>
        <v>809.69810277785223</v>
      </c>
      <c r="AR71" s="459">
        <f t="shared" si="8"/>
        <v>5444.9334840632582</v>
      </c>
      <c r="AS71" s="459">
        <f t="shared" si="8"/>
        <v>5178.2122664566195</v>
      </c>
      <c r="AT71" s="459">
        <f t="shared" si="8"/>
        <v>1486.9484443404438</v>
      </c>
      <c r="AU71" s="459">
        <f t="shared" si="8"/>
        <v>1891.8686458774114</v>
      </c>
      <c r="AW71" s="216">
        <f>(B71/Population_Tables!O45)*Population_Tables!C45</f>
        <v>26250.649454359551</v>
      </c>
      <c r="AX71" s="153" t="str">
        <f t="shared" si="7"/>
        <v>OK</v>
      </c>
      <c r="AY71" s="421">
        <f t="shared" si="4"/>
        <v>21636.752007362415</v>
      </c>
      <c r="AZ71" s="153" t="str">
        <f t="shared" si="5"/>
        <v>OK</v>
      </c>
      <c r="BB71" s="216">
        <f>(C71/Population_Tables!P45)*Population_Tables!D45</f>
        <v>3740.2981862967827</v>
      </c>
      <c r="BC71" s="216">
        <f>(D71/Population_Tables!Q45)*Population_Tables!E45</f>
        <v>874.36554374282457</v>
      </c>
      <c r="BD71" s="216">
        <f>(E71/Population_Tables!R45)*Population_Tables!F45</f>
        <v>12483.170159209174</v>
      </c>
      <c r="BE71" s="216">
        <f>(F71/Population_Tables!S45)*Population_Tables!G45</f>
        <v>3729.2200153357799</v>
      </c>
      <c r="BF71" s="216">
        <f>(G71/Population_Tables!T45)*Population_Tables!H45</f>
        <v>809.69810277785223</v>
      </c>
      <c r="BG71" s="216"/>
      <c r="BN71" s="216"/>
      <c r="BO71" s="216"/>
      <c r="BP71" s="216"/>
    </row>
    <row r="72" spans="1:68" ht="15.6" x14ac:dyDescent="0.3">
      <c r="A72" s="194">
        <v>2057</v>
      </c>
      <c r="B72" s="229">
        <v>23883.441274526089</v>
      </c>
      <c r="C72" s="229">
        <v>3412.6127774651941</v>
      </c>
      <c r="D72" s="229">
        <v>795.65853681906492</v>
      </c>
      <c r="E72" s="229">
        <v>11301.640864750691</v>
      </c>
      <c r="F72" s="229">
        <v>3473.0747735474752</v>
      </c>
      <c r="G72" s="229">
        <v>716.50892539621907</v>
      </c>
      <c r="H72" s="229">
        <v>4983.0671999132401</v>
      </c>
      <c r="I72" s="229">
        <v>4754.4538348086753</v>
      </c>
      <c r="J72" s="229">
        <v>1358.1763201320832</v>
      </c>
      <c r="K72" s="229">
        <v>1721.4735100133876</v>
      </c>
      <c r="M72" s="194">
        <v>2057</v>
      </c>
      <c r="N72" s="419">
        <f t="shared" si="2"/>
        <v>7001.6711361342195</v>
      </c>
      <c r="O72" s="418">
        <f>(C72/Population_Tables!P46)*Population_Tables!D105</f>
        <v>0</v>
      </c>
      <c r="P72" s="418">
        <f>(D72/Population_Tables!Q46)*Population_Tables!E105</f>
        <v>0</v>
      </c>
      <c r="Q72" s="418">
        <f>((E72-H72)/Population_Tables!R46)*Population_Tables!F105</f>
        <v>4281.1417586547504</v>
      </c>
      <c r="R72" s="418">
        <f>(F72/Population_Tables!S46)*Population_Tables!G105</f>
        <v>2471.4193759376158</v>
      </c>
      <c r="S72" s="418">
        <f>(G72/Population_Tables!T46)*Population_Tables!H105</f>
        <v>249.11000154185334</v>
      </c>
      <c r="T72" s="418">
        <f>(H72/Population_Tables!U46)*Population_Tables!I105</f>
        <v>0</v>
      </c>
      <c r="U72" s="418">
        <f>(I72/Population_Tables!V46)*Population_Tables!J105</f>
        <v>0</v>
      </c>
      <c r="V72" s="418">
        <f>(J72/Population_Tables!W46)*Population_Tables!K105</f>
        <v>0</v>
      </c>
      <c r="W72" s="418">
        <f>(K72/Population_Tables!X46)*Population_Tables!L105</f>
        <v>0</v>
      </c>
      <c r="Y72" s="456">
        <v>2057</v>
      </c>
      <c r="Z72" s="459">
        <f>((B72/Population_Tables!O46)*Population_Tables!C46)-N72</f>
        <v>19860.395186030652</v>
      </c>
      <c r="AA72" s="459">
        <f>((C72/Population_Tables!P46)*Population_Tables!D46)-O72</f>
        <v>3767.4915861254281</v>
      </c>
      <c r="AB72" s="459">
        <f>((D72/Population_Tables!Q46)*Population_Tables!E46)-P72</f>
        <v>888.57109854027442</v>
      </c>
      <c r="AC72" s="459">
        <f>((E72/Population_Tables!R46)*Population_Tables!F46)-Q72</f>
        <v>8515.4677591492236</v>
      </c>
      <c r="AD72" s="459">
        <f>((F72/Population_Tables!S46)*Population_Tables!G46)-R72</f>
        <v>1399.27853570048</v>
      </c>
      <c r="AE72" s="459">
        <f>((G72/Population_Tables!T46)*Population_Tables!H46)-S72</f>
        <v>575.83935439307447</v>
      </c>
      <c r="AF72" s="459">
        <f>(H72/Population_Tables!U46)*Population_Tables!I46</f>
        <v>5507.3178548784208</v>
      </c>
      <c r="AG72" s="459">
        <f>(I72/Population_Tables!V46)*Population_Tables!J46</f>
        <v>5373.1298202272465</v>
      </c>
      <c r="AH72" s="459">
        <f>(J72/Population_Tables!W46)*Population_Tables!K46</f>
        <v>1497.2880991030713</v>
      </c>
      <c r="AI72" s="459">
        <f>(K72/Population_Tables!X46)*Population_Tables!L46</f>
        <v>1915.1283374816237</v>
      </c>
      <c r="AK72" s="456">
        <v>2057</v>
      </c>
      <c r="AL72" s="459">
        <f t="shared" si="8"/>
        <v>26862.066322164872</v>
      </c>
      <c r="AM72" s="459">
        <f t="shared" si="8"/>
        <v>3767.4915861254281</v>
      </c>
      <c r="AN72" s="459">
        <f t="shared" si="8"/>
        <v>888.57109854027442</v>
      </c>
      <c r="AO72" s="459">
        <f t="shared" si="8"/>
        <v>12796.609517803974</v>
      </c>
      <c r="AP72" s="459">
        <f t="shared" si="8"/>
        <v>3870.6979116380958</v>
      </c>
      <c r="AQ72" s="459">
        <f t="shared" si="8"/>
        <v>824.94935593492778</v>
      </c>
      <c r="AR72" s="459">
        <f t="shared" si="8"/>
        <v>5507.3178548784208</v>
      </c>
      <c r="AS72" s="459">
        <f t="shared" si="8"/>
        <v>5373.1298202272465</v>
      </c>
      <c r="AT72" s="459">
        <f t="shared" si="8"/>
        <v>1497.2880991030713</v>
      </c>
      <c r="AU72" s="459">
        <f t="shared" si="8"/>
        <v>1915.1283374816237</v>
      </c>
      <c r="AW72" s="216">
        <f>(B72/Population_Tables!O46)*Population_Tables!C46</f>
        <v>26862.066322164872</v>
      </c>
      <c r="AX72" s="153" t="str">
        <f t="shared" si="7"/>
        <v>OK</v>
      </c>
      <c r="AY72" s="421">
        <f t="shared" si="4"/>
        <v>22148.319470042701</v>
      </c>
      <c r="AZ72" s="153" t="str">
        <f t="shared" si="5"/>
        <v>OK</v>
      </c>
      <c r="BB72" s="216">
        <f>(C72/Population_Tables!P46)*Population_Tables!D46</f>
        <v>3767.4915861254281</v>
      </c>
      <c r="BC72" s="216">
        <f>(D72/Population_Tables!Q46)*Population_Tables!E46</f>
        <v>888.57109854027442</v>
      </c>
      <c r="BD72" s="216">
        <f>(E72/Population_Tables!R46)*Population_Tables!F46</f>
        <v>12796.609517803974</v>
      </c>
      <c r="BE72" s="216">
        <f>(F72/Population_Tables!S46)*Population_Tables!G46</f>
        <v>3870.6979116380958</v>
      </c>
      <c r="BF72" s="216">
        <f>(G72/Population_Tables!T46)*Population_Tables!H46</f>
        <v>824.94935593492778</v>
      </c>
      <c r="BG72" s="216"/>
      <c r="BN72" s="216"/>
      <c r="BO72" s="216"/>
      <c r="BP72" s="216"/>
    </row>
    <row r="73" spans="1:68" ht="15.6" x14ac:dyDescent="0.3">
      <c r="A73" s="194">
        <v>2058</v>
      </c>
      <c r="B73" s="229">
        <v>24324.981993838675</v>
      </c>
      <c r="C73" s="229">
        <v>3424.2245764623044</v>
      </c>
      <c r="D73" s="229">
        <v>804.89043963778818</v>
      </c>
      <c r="E73" s="229">
        <v>11523.804532735179</v>
      </c>
      <c r="F73" s="229">
        <v>3590.1339105085453</v>
      </c>
      <c r="G73" s="229">
        <v>725.99864096757165</v>
      </c>
      <c r="H73" s="229">
        <v>5018.3522577507192</v>
      </c>
      <c r="I73" s="229">
        <v>4906.0647291534624</v>
      </c>
      <c r="J73" s="229">
        <v>1362.2608758553215</v>
      </c>
      <c r="K73" s="229">
        <v>1735.7144277246066</v>
      </c>
      <c r="M73" s="194">
        <v>2058</v>
      </c>
      <c r="N73" s="419">
        <f t="shared" si="2"/>
        <v>7271.9967074539654</v>
      </c>
      <c r="O73" s="418">
        <f>(C73/Population_Tables!P47)*Population_Tables!D106</f>
        <v>0</v>
      </c>
      <c r="P73" s="418">
        <f>(D73/Population_Tables!Q47)*Population_Tables!E106</f>
        <v>0</v>
      </c>
      <c r="Q73" s="418">
        <f>((E73-H73)/Population_Tables!R47)*Population_Tables!F106</f>
        <v>4447.9819058409648</v>
      </c>
      <c r="R73" s="418">
        <f>(F73/Population_Tables!S47)*Population_Tables!G106</f>
        <v>2569.4617214876471</v>
      </c>
      <c r="S73" s="418">
        <f>(G73/Population_Tables!T47)*Population_Tables!H106</f>
        <v>254.55308012535338</v>
      </c>
      <c r="T73" s="418">
        <f>(H73/Population_Tables!U47)*Population_Tables!I106</f>
        <v>0</v>
      </c>
      <c r="U73" s="418">
        <f>(I73/Population_Tables!V47)*Population_Tables!J106</f>
        <v>0</v>
      </c>
      <c r="V73" s="418">
        <f>(J73/Population_Tables!W47)*Population_Tables!K106</f>
        <v>0</v>
      </c>
      <c r="W73" s="418">
        <f>(K73/Population_Tables!X47)*Population_Tables!L106</f>
        <v>0</v>
      </c>
      <c r="Y73" s="456">
        <v>2058</v>
      </c>
      <c r="Z73" s="459">
        <f>((B73/Population_Tables!O47)*Population_Tables!C47)-N73</f>
        <v>20214.415344925401</v>
      </c>
      <c r="AA73" s="459">
        <f>((C73/Population_Tables!P47)*Population_Tables!D47)-O73</f>
        <v>3794.838522538199</v>
      </c>
      <c r="AB73" s="459">
        <f>((D73/Population_Tables!Q47)*Population_Tables!E47)-P73</f>
        <v>903.07352445921504</v>
      </c>
      <c r="AC73" s="459">
        <f>((E73/Population_Tables!R47)*Population_Tables!F47)-Q73</f>
        <v>8668.09107285961</v>
      </c>
      <c r="AD73" s="459">
        <f>((F73/Population_Tables!S47)*Population_Tables!G47)-R73</f>
        <v>1448.0189920421094</v>
      </c>
      <c r="AE73" s="459">
        <f>((G73/Population_Tables!T47)*Population_Tables!H47)-S73</f>
        <v>585.88832507383495</v>
      </c>
      <c r="AF73" s="459">
        <f>(H73/Population_Tables!U47)*Population_Tables!I47</f>
        <v>5569.6447745419473</v>
      </c>
      <c r="AG73" s="459">
        <f>(I73/Population_Tables!V47)*Population_Tables!J47</f>
        <v>5573.2520353177724</v>
      </c>
      <c r="AH73" s="459">
        <f>(J73/Population_Tables!W47)*Population_Tables!K47</f>
        <v>1507.7475998996779</v>
      </c>
      <c r="AI73" s="459">
        <f>(K73/Population_Tables!X47)*Population_Tables!L47</f>
        <v>1938.8105207389478</v>
      </c>
      <c r="AK73" s="456">
        <v>2058</v>
      </c>
      <c r="AL73" s="459">
        <f t="shared" si="8"/>
        <v>27486.412052379368</v>
      </c>
      <c r="AM73" s="459">
        <f t="shared" si="8"/>
        <v>3794.838522538199</v>
      </c>
      <c r="AN73" s="459">
        <f t="shared" si="8"/>
        <v>903.07352445921504</v>
      </c>
      <c r="AO73" s="459">
        <f t="shared" si="8"/>
        <v>13116.072978700575</v>
      </c>
      <c r="AP73" s="459">
        <f t="shared" si="8"/>
        <v>4017.4807135297565</v>
      </c>
      <c r="AQ73" s="459">
        <f t="shared" si="8"/>
        <v>840.44140519918835</v>
      </c>
      <c r="AR73" s="459">
        <f t="shared" si="8"/>
        <v>5569.6447745419473</v>
      </c>
      <c r="AS73" s="459">
        <f t="shared" si="8"/>
        <v>5573.2520353177724</v>
      </c>
      <c r="AT73" s="459">
        <f t="shared" si="8"/>
        <v>1507.7475998996779</v>
      </c>
      <c r="AU73" s="459">
        <f t="shared" si="8"/>
        <v>1938.8105207389478</v>
      </c>
      <c r="AW73" s="216">
        <f>(B73/Population_Tables!O47)*Population_Tables!C47</f>
        <v>27486.412052379364</v>
      </c>
      <c r="AX73" s="153" t="b">
        <f t="shared" si="7"/>
        <v>0</v>
      </c>
      <c r="AY73" s="421">
        <f t="shared" si="4"/>
        <v>22671.907144426932</v>
      </c>
      <c r="AZ73" s="153" t="str">
        <f t="shared" si="5"/>
        <v>OK</v>
      </c>
      <c r="BB73" s="216">
        <f>(C73/Population_Tables!P47)*Population_Tables!D47</f>
        <v>3794.838522538199</v>
      </c>
      <c r="BC73" s="216">
        <f>(D73/Population_Tables!Q47)*Population_Tables!E47</f>
        <v>903.07352445921504</v>
      </c>
      <c r="BD73" s="216">
        <f>(E73/Population_Tables!R47)*Population_Tables!F47</f>
        <v>13116.072978700575</v>
      </c>
      <c r="BE73" s="216">
        <f>(F73/Population_Tables!S47)*Population_Tables!G47</f>
        <v>4017.4807135297565</v>
      </c>
      <c r="BF73" s="216">
        <f>(G73/Population_Tables!T47)*Population_Tables!H47</f>
        <v>840.44140519918835</v>
      </c>
      <c r="BG73" s="216"/>
      <c r="BN73" s="216"/>
      <c r="BO73" s="216"/>
      <c r="BP73" s="216"/>
    </row>
    <row r="74" spans="1:68" ht="15.6" x14ac:dyDescent="0.3">
      <c r="A74" s="194">
        <v>2059</v>
      </c>
      <c r="B74" s="229">
        <v>24771.289032084482</v>
      </c>
      <c r="C74" s="229">
        <v>3435.4669790480452</v>
      </c>
      <c r="D74" s="229">
        <v>814.19772026241662</v>
      </c>
      <c r="E74" s="229">
        <v>11747.346461278152</v>
      </c>
      <c r="F74" s="229">
        <v>3710.8201530218971</v>
      </c>
      <c r="G74" s="229">
        <v>735.49152718585447</v>
      </c>
      <c r="H74" s="229">
        <v>5052.7064571011997</v>
      </c>
      <c r="I74" s="229">
        <v>5060.0472407125317</v>
      </c>
      <c r="J74" s="229">
        <v>1366.2469338325782</v>
      </c>
      <c r="K74" s="229">
        <v>1750.0244793899933</v>
      </c>
      <c r="M74" s="194">
        <v>2059</v>
      </c>
      <c r="N74" s="419">
        <f t="shared" si="2"/>
        <v>7550.7764485962289</v>
      </c>
      <c r="O74" s="418">
        <f>(C74/Population_Tables!P48)*Population_Tables!D107</f>
        <v>0</v>
      </c>
      <c r="P74" s="418">
        <f>(D74/Population_Tables!Q48)*Population_Tables!E107</f>
        <v>0</v>
      </c>
      <c r="Q74" s="418">
        <f>((E74-H74)/Population_Tables!R48)*Population_Tables!F107</f>
        <v>4619.4509284148799</v>
      </c>
      <c r="R74" s="418">
        <f>(F74/Population_Tables!S48)*Population_Tables!G107</f>
        <v>2671.2276953743531</v>
      </c>
      <c r="S74" s="418">
        <f>(G74/Population_Tables!T48)*Population_Tables!H107</f>
        <v>260.09782480699562</v>
      </c>
      <c r="T74" s="418">
        <f>(H74/Population_Tables!U48)*Population_Tables!I107</f>
        <v>0</v>
      </c>
      <c r="U74" s="418">
        <f>(I74/Population_Tables!V48)*Population_Tables!J107</f>
        <v>0</v>
      </c>
      <c r="V74" s="418">
        <f>(J74/Population_Tables!W48)*Population_Tables!K107</f>
        <v>0</v>
      </c>
      <c r="W74" s="418">
        <f>(K74/Population_Tables!X48)*Population_Tables!L107</f>
        <v>0</v>
      </c>
      <c r="Y74" s="456">
        <v>2059</v>
      </c>
      <c r="Z74" s="459">
        <f>((B74/Population_Tables!O48)*Population_Tables!C48)-N74</f>
        <v>20572.954596190844</v>
      </c>
      <c r="AA74" s="459">
        <f>((C74/Population_Tables!P48)*Population_Tables!D48)-O74</f>
        <v>3822.3082632460132</v>
      </c>
      <c r="AB74" s="459">
        <f>((D74/Population_Tables!Q48)*Population_Tables!E48)-P74</f>
        <v>917.87700265328283</v>
      </c>
      <c r="AC74" s="459">
        <f>((E74/Population_Tables!R48)*Population_Tables!F48)-Q74</f>
        <v>8822.0684747851119</v>
      </c>
      <c r="AD74" s="459">
        <f>((F74/Population_Tables!S48)*Population_Tables!G48)-R74</f>
        <v>1498.4766184047385</v>
      </c>
      <c r="AE74" s="459">
        <f>((G74/Population_Tables!T48)*Population_Tables!H48)-S74</f>
        <v>596.07394223381561</v>
      </c>
      <c r="AF74" s="459">
        <f>(H74/Population_Tables!U48)*Population_Tables!I48</f>
        <v>5631.9657416921964</v>
      </c>
      <c r="AG74" s="459">
        <f>(I74/Population_Tables!V48)*Population_Tables!J48</f>
        <v>5778.5517451658707</v>
      </c>
      <c r="AH74" s="459">
        <f>(J74/Population_Tables!W48)*Population_Tables!K48</f>
        <v>1518.3240125109267</v>
      </c>
      <c r="AI74" s="459">
        <f>(K74/Population_Tables!X48)*Population_Tables!L48</f>
        <v>1962.9002247826934</v>
      </c>
      <c r="AK74" s="456">
        <v>2059</v>
      </c>
      <c r="AL74" s="459">
        <f t="shared" si="8"/>
        <v>28123.731044787073</v>
      </c>
      <c r="AM74" s="459">
        <f t="shared" si="8"/>
        <v>3822.3082632460132</v>
      </c>
      <c r="AN74" s="459">
        <f t="shared" si="8"/>
        <v>917.87700265328283</v>
      </c>
      <c r="AO74" s="459">
        <f t="shared" si="8"/>
        <v>13441.519403199993</v>
      </c>
      <c r="AP74" s="459">
        <f t="shared" si="8"/>
        <v>4169.7043137790915</v>
      </c>
      <c r="AQ74" s="459">
        <f t="shared" si="8"/>
        <v>856.17176704081123</v>
      </c>
      <c r="AR74" s="459">
        <f t="shared" si="8"/>
        <v>5631.9657416921964</v>
      </c>
      <c r="AS74" s="459">
        <f t="shared" si="8"/>
        <v>5778.5517451658707</v>
      </c>
      <c r="AT74" s="459">
        <f t="shared" si="8"/>
        <v>1518.3240125109267</v>
      </c>
      <c r="AU74" s="459">
        <f t="shared" si="8"/>
        <v>1962.9002247826934</v>
      </c>
      <c r="AW74" s="216">
        <f>(B74/Population_Tables!O48)*Population_Tables!C48</f>
        <v>28123.731044787073</v>
      </c>
      <c r="AX74" s="153" t="str">
        <f t="shared" si="7"/>
        <v>OK</v>
      </c>
      <c r="AY74" s="421">
        <f t="shared" si="4"/>
        <v>23207.580749919187</v>
      </c>
      <c r="AZ74" s="153" t="str">
        <f t="shared" si="5"/>
        <v>OK</v>
      </c>
      <c r="BB74" s="216">
        <f>(C74/Population_Tables!P48)*Population_Tables!D48</f>
        <v>3822.3082632460132</v>
      </c>
      <c r="BC74" s="216">
        <f>(D74/Population_Tables!Q48)*Population_Tables!E48</f>
        <v>917.87700265328283</v>
      </c>
      <c r="BD74" s="216">
        <f>(E74/Population_Tables!R48)*Population_Tables!F48</f>
        <v>13441.519403199991</v>
      </c>
      <c r="BE74" s="216">
        <f>(F74/Population_Tables!S48)*Population_Tables!G48</f>
        <v>4169.7043137790915</v>
      </c>
      <c r="BF74" s="216">
        <f>(G74/Population_Tables!T48)*Population_Tables!H48</f>
        <v>856.17176704081123</v>
      </c>
      <c r="BG74" s="216"/>
      <c r="BN74" s="216"/>
      <c r="BO74" s="216"/>
      <c r="BP74" s="216"/>
    </row>
    <row r="75" spans="1:68" ht="15.6" x14ac:dyDescent="0.3">
      <c r="A75" s="194">
        <v>2060</v>
      </c>
      <c r="B75" s="229">
        <v>25220.530386157334</v>
      </c>
      <c r="C75" s="229">
        <v>3446.4100463921168</v>
      </c>
      <c r="D75" s="229">
        <v>823.74256436060978</v>
      </c>
      <c r="E75" s="229">
        <v>11970.981797827328</v>
      </c>
      <c r="F75" s="229">
        <v>3835.4762758079428</v>
      </c>
      <c r="G75" s="229">
        <v>744.98579375195527</v>
      </c>
      <c r="H75" s="229">
        <v>5085.0633987883939</v>
      </c>
      <c r="I75" s="229">
        <v>5216.702681889662</v>
      </c>
      <c r="J75" s="229">
        <v>1370.4819899145368</v>
      </c>
      <c r="K75" s="229">
        <v>1764.4462296950142</v>
      </c>
      <c r="M75" s="194">
        <v>2060</v>
      </c>
      <c r="N75" s="419">
        <f t="shared" si="2"/>
        <v>7838.1752829418219</v>
      </c>
      <c r="O75" s="418">
        <f>(C75/Population_Tables!P49)*Population_Tables!D108</f>
        <v>0</v>
      </c>
      <c r="P75" s="418">
        <f>(D75/Population_Tables!Q49)*Population_Tables!E108</f>
        <v>0</v>
      </c>
      <c r="Q75" s="418">
        <f>((E75-H75)/Population_Tables!R49)*Population_Tables!F108</f>
        <v>4795.4198032435852</v>
      </c>
      <c r="R75" s="418">
        <f>(F75/Population_Tables!S49)*Population_Tables!G108</f>
        <v>2777.0107878218187</v>
      </c>
      <c r="S75" s="418">
        <f>(G75/Population_Tables!T49)*Population_Tables!H108</f>
        <v>265.74469187641841</v>
      </c>
      <c r="T75" s="418">
        <f>(H75/Population_Tables!U49)*Population_Tables!I108</f>
        <v>0</v>
      </c>
      <c r="U75" s="418">
        <f>(I75/Population_Tables!V49)*Population_Tables!J108</f>
        <v>0</v>
      </c>
      <c r="V75" s="418">
        <f>(J75/Population_Tables!W49)*Population_Tables!K108</f>
        <v>0</v>
      </c>
      <c r="W75" s="418">
        <f>(K75/Population_Tables!X49)*Population_Tables!L108</f>
        <v>0</v>
      </c>
      <c r="Y75" s="456">
        <v>2060</v>
      </c>
      <c r="Z75" s="459">
        <f>((B75/Population_Tables!O49)*Population_Tables!C49)-N75</f>
        <v>20933.787776957241</v>
      </c>
      <c r="AA75" s="459">
        <f>((C75/Population_Tables!P49)*Population_Tables!D49)-O75</f>
        <v>3849.9579740150598</v>
      </c>
      <c r="AB75" s="459">
        <f>((D75/Population_Tables!Q49)*Population_Tables!E49)-P75</f>
        <v>933.16893902035076</v>
      </c>
      <c r="AC75" s="459">
        <f>((E75/Population_Tables!R49)*Population_Tables!F49)-Q75</f>
        <v>8976.0570333350279</v>
      </c>
      <c r="AD75" s="459">
        <f>((F75/Population_Tables!S49)*Population_Tables!G49)-R75</f>
        <v>1550.8041569237066</v>
      </c>
      <c r="AE75" s="459">
        <f>((G75/Population_Tables!T49)*Population_Tables!H49)-S75</f>
        <v>606.39525207525867</v>
      </c>
      <c r="AF75" s="459">
        <f>(H75/Population_Tables!U49)*Population_Tables!I49</f>
        <v>5693.0851069403816</v>
      </c>
      <c r="AG75" s="459">
        <f>(I75/Population_Tables!V49)*Population_Tables!J49</f>
        <v>5989.3808414726291</v>
      </c>
      <c r="AH75" s="459">
        <f>(J75/Population_Tables!W49)*Population_Tables!K49</f>
        <v>1529.4011361005685</v>
      </c>
      <c r="AI75" s="459">
        <f>(K75/Population_Tables!X49)*Population_Tables!L49</f>
        <v>1987.4356125138306</v>
      </c>
      <c r="AK75" s="456">
        <v>2060</v>
      </c>
      <c r="AL75" s="459">
        <f t="shared" si="8"/>
        <v>28771.963059899063</v>
      </c>
      <c r="AM75" s="459">
        <f t="shared" si="8"/>
        <v>3849.9579740150598</v>
      </c>
      <c r="AN75" s="459">
        <f t="shared" si="8"/>
        <v>933.16893902035076</v>
      </c>
      <c r="AO75" s="459">
        <f t="shared" si="8"/>
        <v>13771.476836578613</v>
      </c>
      <c r="AP75" s="459">
        <f t="shared" si="8"/>
        <v>4327.8149447455253</v>
      </c>
      <c r="AQ75" s="459">
        <f t="shared" si="8"/>
        <v>872.13994395167708</v>
      </c>
      <c r="AR75" s="459">
        <f t="shared" si="8"/>
        <v>5693.0851069403816</v>
      </c>
      <c r="AS75" s="459">
        <f t="shared" si="8"/>
        <v>5989.3808414726291</v>
      </c>
      <c r="AT75" s="459">
        <f t="shared" si="8"/>
        <v>1529.4011361005685</v>
      </c>
      <c r="AU75" s="459">
        <f t="shared" si="8"/>
        <v>1987.4356125138306</v>
      </c>
      <c r="AW75" s="216">
        <f>(B75/Population_Tables!O49)*Population_Tables!C49</f>
        <v>28771.963059899063</v>
      </c>
      <c r="AX75" s="153" t="str">
        <f t="shared" si="7"/>
        <v>OK</v>
      </c>
      <c r="AY75" s="421">
        <f t="shared" si="4"/>
        <v>23754.558638311224</v>
      </c>
      <c r="AZ75" s="153" t="str">
        <f t="shared" si="5"/>
        <v>OK</v>
      </c>
      <c r="BB75" s="216">
        <f>(C75/Population_Tables!P49)*Population_Tables!D49</f>
        <v>3849.9579740150598</v>
      </c>
      <c r="BC75" s="216">
        <f>(D75/Population_Tables!Q49)*Population_Tables!E49</f>
        <v>933.16893902035076</v>
      </c>
      <c r="BD75" s="216">
        <f>(E75/Population_Tables!R49)*Population_Tables!F49</f>
        <v>13771.476836578613</v>
      </c>
      <c r="BE75" s="216">
        <f>(F75/Population_Tables!S49)*Population_Tables!G49</f>
        <v>4327.8149447455253</v>
      </c>
      <c r="BF75" s="216">
        <f>(G75/Population_Tables!T49)*Population_Tables!H49</f>
        <v>872.13994395167708</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Cooling Demand by Economic Development Status (TWh)</v>
      </c>
      <c r="B78" s="644"/>
      <c r="C78" s="644"/>
      <c r="D78" s="644"/>
      <c r="E78" s="644"/>
      <c r="F78" s="645"/>
      <c r="H78" s="650" t="str">
        <f>CONCATENATE("Table 5: Total REF1 ",C1," by Economic Development Status ",D1)</f>
        <v>Table 5: Total REF1 Cooling Demand by Economic Development Status (TWh)</v>
      </c>
      <c r="I78" s="651"/>
      <c r="J78" s="651"/>
      <c r="K78" s="651"/>
      <c r="L78" s="651"/>
      <c r="M78" s="651"/>
      <c r="N78" s="651"/>
      <c r="O78" s="651"/>
      <c r="P78" s="651"/>
      <c r="Q78" s="651"/>
      <c r="R78" s="651"/>
      <c r="S78" s="651"/>
      <c r="T78" s="652"/>
      <c r="W78" s="653" t="str">
        <f>CONCATENATE("Table 6: Change in ",C1," by MDC vs. LLDC Regions, REF1-REF2 ",D1)</f>
        <v>Table 6: Change in Cooling Demand by MDC vs. LLDC Regions, REF1-REF2 (TWh)</v>
      </c>
      <c r="X78" s="654"/>
      <c r="Y78" s="654"/>
      <c r="Z78" s="654"/>
      <c r="AA78" s="654"/>
      <c r="AB78" s="654"/>
      <c r="AC78" s="654"/>
      <c r="AD78" s="655"/>
    </row>
    <row r="79" spans="1:68" ht="105" customHeight="1" x14ac:dyDescent="0.25">
      <c r="A79" s="213"/>
      <c r="B79" s="529" t="s">
        <v>368</v>
      </c>
      <c r="C79" s="463" t="s">
        <v>10</v>
      </c>
      <c r="D79" s="463" t="s">
        <v>514</v>
      </c>
      <c r="E79" s="463" t="str">
        <f>Q79</f>
        <v>Total Cooling Demand in Countries with Higher Educational Attainment (TWh)</v>
      </c>
      <c r="F79" s="463" t="str">
        <f>R79</f>
        <v xml:space="preserve"> --&gt; % LLDC</v>
      </c>
      <c r="H79" s="472"/>
      <c r="I79" s="473" t="s">
        <v>488</v>
      </c>
      <c r="J79" s="473" t="s">
        <v>490</v>
      </c>
      <c r="K79" s="473" t="s">
        <v>10</v>
      </c>
      <c r="L79" s="473" t="s">
        <v>489</v>
      </c>
      <c r="M79" s="473" t="s">
        <v>475</v>
      </c>
      <c r="O79" s="473" t="s">
        <v>607</v>
      </c>
      <c r="P79" s="473" t="s">
        <v>502</v>
      </c>
      <c r="Q79" s="473" t="s">
        <v>606</v>
      </c>
      <c r="R79" s="473" t="s">
        <v>502</v>
      </c>
      <c r="S79" s="473" t="s">
        <v>605</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2003.1895544582476</v>
      </c>
      <c r="C80" s="195">
        <f t="shared" ref="C80:C126" si="9">H29</f>
        <v>2609.2302768909922</v>
      </c>
      <c r="D80" s="195">
        <f t="shared" ref="D80:D126" si="10">SUMIF($AA$27:$AE$27,"N",C29:G29)-(IF($AC$27="N",H29))</f>
        <v>3446.9450133191931</v>
      </c>
      <c r="E80" s="195">
        <f t="shared" ref="E80:E126" si="11">B80+D80+C80</f>
        <v>8059.3648446684329</v>
      </c>
      <c r="F80" s="196">
        <f t="shared" ref="F80:F126" si="12">B80/E80</f>
        <v>0.2485542710953744</v>
      </c>
      <c r="H80" s="194">
        <v>2014</v>
      </c>
      <c r="I80" s="195">
        <f t="shared" ref="I80:I126" si="13">SUMIF($O$27:$S$27,"Y",O29:S29)-T29</f>
        <v>1073.3270428370854</v>
      </c>
      <c r="J80" s="195">
        <f t="shared" ref="J80:J126" si="14">SUMIF($O$27:$S$27,"N",O29:S29)-(IF($Q$27="N",T29))</f>
        <v>92.982124210748566</v>
      </c>
      <c r="K80" s="195">
        <f t="shared" ref="K80:K126" si="15">AF29</f>
        <v>2609.2302768909922</v>
      </c>
      <c r="L80" s="195">
        <f t="shared" ref="L80:L126" si="16">SUMIF($AA$27:$AE$27,"Y",AA29:AE29)-AF29</f>
        <v>929.85084697879438</v>
      </c>
      <c r="M80" s="195">
        <f t="shared" ref="M80:M126" si="17">SUMIF($AA$27:$AE$27,"N",AA29:AE29)-(IF($AC$27="N",AF29))</f>
        <v>3353.9628891084449</v>
      </c>
      <c r="O80" s="195">
        <f t="shared" ref="O80:O126" si="18">I80+J80</f>
        <v>1166.3091670478339</v>
      </c>
      <c r="P80" s="196">
        <f t="shared" ref="P80:P126" si="19">I80/O80</f>
        <v>0.92027660689137414</v>
      </c>
      <c r="Q80" s="195">
        <f t="shared" ref="Q80:Q126" si="20">L80+M80+K80</f>
        <v>6893.044012978231</v>
      </c>
      <c r="R80" s="196">
        <f t="shared" ref="R80:R126" si="21">L80/Q80</f>
        <v>0.13489698386200208</v>
      </c>
      <c r="S80" s="464">
        <f t="shared" ref="S80:S126" si="22">Q80+O80</f>
        <v>8059.3531800260644</v>
      </c>
      <c r="T80" s="196">
        <f>O80/S80</f>
        <v>0.14471498406824529</v>
      </c>
      <c r="W80" s="197">
        <v>0</v>
      </c>
      <c r="X80" s="195">
        <f t="shared" ref="X80:X126" si="23">K80-C80</f>
        <v>0</v>
      </c>
      <c r="Y80" s="197">
        <v>0</v>
      </c>
      <c r="Z80" s="195">
        <f>(Q80+O80)-E80</f>
        <v>-1.1664642368486966E-2</v>
      </c>
      <c r="AA80" s="196">
        <v>0</v>
      </c>
      <c r="AB80" s="196">
        <f t="shared" ref="AB80:AB126" si="24">(W80/Z80)*(I80/(L80+I80))</f>
        <v>0</v>
      </c>
      <c r="AC80" s="196">
        <f>W80/Z80</f>
        <v>0</v>
      </c>
      <c r="AD80" s="247">
        <f>(X80+Y80)/Z80</f>
        <v>0</v>
      </c>
      <c r="AF80" s="251">
        <f t="shared" ref="AF80:AF126" si="25">I80/(I80+L80)</f>
        <v>0.53581214543843592</v>
      </c>
      <c r="AG80" s="251">
        <f t="shared" ref="AG80:AG126" si="26">L80/(L80+I80)</f>
        <v>0.46418785456156403</v>
      </c>
    </row>
    <row r="81" spans="1:33" x14ac:dyDescent="0.25">
      <c r="A81" s="194">
        <v>2015</v>
      </c>
      <c r="B81" s="195">
        <f t="shared" ref="B81:B126" si="27">SUMIF($AA$27:$AE$27,"Y",C30:G30)-H30</f>
        <v>2073.2273069975327</v>
      </c>
      <c r="C81" s="195">
        <f t="shared" si="9"/>
        <v>2684.7210625164607</v>
      </c>
      <c r="D81" s="195">
        <f t="shared" si="10"/>
        <v>3483.4222896468796</v>
      </c>
      <c r="E81" s="195">
        <f t="shared" si="11"/>
        <v>8241.3706591608734</v>
      </c>
      <c r="F81" s="196">
        <f t="shared" si="12"/>
        <v>0.25156341010982103</v>
      </c>
      <c r="H81" s="194">
        <v>2015</v>
      </c>
      <c r="I81" s="195">
        <f t="shared" si="13"/>
        <v>1114.1914732381922</v>
      </c>
      <c r="J81" s="195">
        <f t="shared" si="14"/>
        <v>95.053536327847794</v>
      </c>
      <c r="K81" s="195">
        <f t="shared" si="15"/>
        <v>2684.7210625164607</v>
      </c>
      <c r="L81" s="195">
        <f t="shared" si="16"/>
        <v>959.02399144703031</v>
      </c>
      <c r="M81" s="195">
        <f t="shared" si="17"/>
        <v>3388.3687533190318</v>
      </c>
      <c r="O81" s="195">
        <f t="shared" si="18"/>
        <v>1209.2450095660399</v>
      </c>
      <c r="P81" s="196">
        <f t="shared" si="19"/>
        <v>0.92139431167720143</v>
      </c>
      <c r="Q81" s="195">
        <f t="shared" si="20"/>
        <v>7032.1138072825233</v>
      </c>
      <c r="R81" s="196">
        <f t="shared" si="21"/>
        <v>0.13637776886572228</v>
      </c>
      <c r="S81" s="464">
        <f t="shared" si="22"/>
        <v>8241.3588168485639</v>
      </c>
      <c r="T81" s="196">
        <f t="shared" ref="T81:T126" si="28">O81/S81</f>
        <v>0.14672883882860066</v>
      </c>
      <c r="W81" s="197">
        <v>0</v>
      </c>
      <c r="X81" s="195">
        <f t="shared" si="23"/>
        <v>0</v>
      </c>
      <c r="Y81" s="197">
        <v>0</v>
      </c>
      <c r="Z81" s="195">
        <f>W81+X81+Y81</f>
        <v>0</v>
      </c>
      <c r="AA81" s="196">
        <v>0</v>
      </c>
      <c r="AB81" s="196" t="e">
        <f t="shared" si="24"/>
        <v>#DIV/0!</v>
      </c>
      <c r="AC81" s="196" t="e">
        <f>W81/Z81</f>
        <v>#DIV/0!</v>
      </c>
      <c r="AD81" s="247" t="e">
        <f t="shared" ref="AD81:AD126" si="29">(X81+Y81)/Z81</f>
        <v>#DIV/0!</v>
      </c>
      <c r="AF81" s="251">
        <f t="shared" si="25"/>
        <v>0.53742193815217398</v>
      </c>
      <c r="AG81" s="251">
        <f t="shared" si="26"/>
        <v>0.46257806184782613</v>
      </c>
    </row>
    <row r="82" spans="1:33" x14ac:dyDescent="0.25">
      <c r="A82" s="194">
        <v>2016</v>
      </c>
      <c r="B82" s="195">
        <f t="shared" si="27"/>
        <v>2148.3587893122999</v>
      </c>
      <c r="C82" s="195">
        <f t="shared" si="9"/>
        <v>2759.2447388326059</v>
      </c>
      <c r="D82" s="195">
        <f t="shared" si="10"/>
        <v>3519.8150204018298</v>
      </c>
      <c r="E82" s="195">
        <f t="shared" si="11"/>
        <v>8427.4185485467351</v>
      </c>
      <c r="F82" s="196">
        <f t="shared" si="12"/>
        <v>0.25492489508341476</v>
      </c>
      <c r="H82" s="194">
        <v>2016</v>
      </c>
      <c r="I82" s="195">
        <f t="shared" si="13"/>
        <v>1157.8410977675162</v>
      </c>
      <c r="J82" s="195">
        <f t="shared" si="14"/>
        <v>97.168641649169118</v>
      </c>
      <c r="K82" s="195">
        <f t="shared" si="15"/>
        <v>2759.2447388326059</v>
      </c>
      <c r="L82" s="195">
        <f t="shared" si="16"/>
        <v>990.50575409377461</v>
      </c>
      <c r="M82" s="195">
        <f t="shared" si="17"/>
        <v>3422.6463787526609</v>
      </c>
      <c r="O82" s="195">
        <f t="shared" si="18"/>
        <v>1255.0097394166853</v>
      </c>
      <c r="P82" s="196">
        <f t="shared" si="19"/>
        <v>0.92257538838357378</v>
      </c>
      <c r="Q82" s="195">
        <f t="shared" si="20"/>
        <v>7172.3968716790405</v>
      </c>
      <c r="R82" s="196">
        <f t="shared" si="21"/>
        <v>0.13809968575566284</v>
      </c>
      <c r="S82" s="464">
        <f t="shared" si="22"/>
        <v>8427.4066110957265</v>
      </c>
      <c r="T82" s="196">
        <f t="shared" si="28"/>
        <v>0.14892004116240332</v>
      </c>
      <c r="W82" s="195">
        <f t="shared" ref="W82:W126" si="30">(L82+I82)-B82</f>
        <v>-1.1937451009089273E-2</v>
      </c>
      <c r="X82" s="195">
        <f t="shared" si="23"/>
        <v>0</v>
      </c>
      <c r="Y82" s="195">
        <f t="shared" ref="Y82:Y126" si="31">(M82+J82)-D82</f>
        <v>0</v>
      </c>
      <c r="Z82" s="195">
        <f>W82+X82+Y82</f>
        <v>-1.1937451009089273E-2</v>
      </c>
      <c r="AA82" s="196">
        <f>(W82/Z82)*(L82/(L82+I82))</f>
        <v>0.46105485863961743</v>
      </c>
      <c r="AB82" s="196">
        <f t="shared" si="24"/>
        <v>0.53894514136038252</v>
      </c>
      <c r="AC82" s="196">
        <f t="shared" ref="AC82:AC126" si="32">W82/Z82</f>
        <v>1</v>
      </c>
      <c r="AD82" s="247">
        <f t="shared" si="29"/>
        <v>0</v>
      </c>
      <c r="AF82" s="251">
        <f t="shared" si="25"/>
        <v>0.53894514136038252</v>
      </c>
      <c r="AG82" s="251">
        <f t="shared" si="26"/>
        <v>0.46105485863961743</v>
      </c>
    </row>
    <row r="83" spans="1:33" x14ac:dyDescent="0.25">
      <c r="A83" s="194">
        <v>2017</v>
      </c>
      <c r="B83" s="195">
        <f t="shared" si="27"/>
        <v>2228.5773327186598</v>
      </c>
      <c r="C83" s="195">
        <f t="shared" si="9"/>
        <v>2832.8021593047833</v>
      </c>
      <c r="D83" s="195">
        <f t="shared" si="10"/>
        <v>3556.1094283669618</v>
      </c>
      <c r="E83" s="195">
        <f t="shared" si="11"/>
        <v>8617.4889203904058</v>
      </c>
      <c r="F83" s="196">
        <f t="shared" si="12"/>
        <v>0.25861098903712854</v>
      </c>
      <c r="H83" s="194">
        <v>2017</v>
      </c>
      <c r="I83" s="195">
        <f t="shared" si="13"/>
        <v>1204.3138096365142</v>
      </c>
      <c r="J83" s="195">
        <f t="shared" si="14"/>
        <v>99.323166993885238</v>
      </c>
      <c r="K83" s="195">
        <f t="shared" si="15"/>
        <v>2832.8021593047833</v>
      </c>
      <c r="L83" s="195">
        <f t="shared" si="16"/>
        <v>1024.2515306195637</v>
      </c>
      <c r="M83" s="195">
        <f t="shared" si="17"/>
        <v>3456.7862613730767</v>
      </c>
      <c r="O83" s="195">
        <f t="shared" si="18"/>
        <v>1303.6369766303994</v>
      </c>
      <c r="P83" s="196">
        <f t="shared" si="19"/>
        <v>0.92381071665318004</v>
      </c>
      <c r="Q83" s="195">
        <f t="shared" si="20"/>
        <v>7313.8399512974238</v>
      </c>
      <c r="R83" s="196">
        <f t="shared" si="21"/>
        <v>0.14004292375004304</v>
      </c>
      <c r="S83" s="464">
        <f t="shared" si="22"/>
        <v>8617.4769279278225</v>
      </c>
      <c r="T83" s="196">
        <f t="shared" si="28"/>
        <v>0.15127826712312126</v>
      </c>
      <c r="W83" s="195">
        <f t="shared" si="30"/>
        <v>-1.1992462581929431E-2</v>
      </c>
      <c r="X83" s="195">
        <f t="shared" si="23"/>
        <v>0</v>
      </c>
      <c r="Y83" s="195">
        <f t="shared" si="31"/>
        <v>0</v>
      </c>
      <c r="Z83" s="195">
        <f t="shared" ref="Z83:Z126" si="33">W83+X83+Y83</f>
        <v>-1.1992462581929431E-2</v>
      </c>
      <c r="AA83" s="196">
        <f t="shared" ref="AA83:AA126" si="34">(W83*(L83/(L83+I83)))/Z83</f>
        <v>0.45960130139234329</v>
      </c>
      <c r="AB83" s="196">
        <f t="shared" si="24"/>
        <v>0.54039869860765677</v>
      </c>
      <c r="AC83" s="196">
        <f t="shared" si="32"/>
        <v>1</v>
      </c>
      <c r="AD83" s="247">
        <f>(X83+Y83)/Z83</f>
        <v>0</v>
      </c>
      <c r="AF83" s="251">
        <f t="shared" si="25"/>
        <v>0.54039869860765677</v>
      </c>
      <c r="AG83" s="251">
        <f t="shared" si="26"/>
        <v>0.45960130139234329</v>
      </c>
    </row>
    <row r="84" spans="1:33" x14ac:dyDescent="0.25">
      <c r="A84" s="194">
        <v>2018</v>
      </c>
      <c r="B84" s="195">
        <f t="shared" si="27"/>
        <v>2313.8946309193602</v>
      </c>
      <c r="C84" s="195">
        <f t="shared" si="9"/>
        <v>2905.3448801429599</v>
      </c>
      <c r="D84" s="195">
        <f t="shared" si="10"/>
        <v>3592.3110386563717</v>
      </c>
      <c r="E84" s="195">
        <f t="shared" si="11"/>
        <v>8811.5505497186914</v>
      </c>
      <c r="F84" s="196">
        <f t="shared" si="12"/>
        <v>0.26259789555349383</v>
      </c>
      <c r="H84" s="194">
        <v>2018</v>
      </c>
      <c r="I84" s="195">
        <f t="shared" si="13"/>
        <v>1253.6570512846595</v>
      </c>
      <c r="J84" s="195">
        <f t="shared" si="14"/>
        <v>101.51375362341312</v>
      </c>
      <c r="K84" s="195">
        <f t="shared" si="15"/>
        <v>2905.3448801429599</v>
      </c>
      <c r="L84" s="195">
        <f t="shared" si="16"/>
        <v>1060.2255720312055</v>
      </c>
      <c r="M84" s="195">
        <f t="shared" si="17"/>
        <v>3490.7972850329584</v>
      </c>
      <c r="O84" s="195">
        <f t="shared" si="18"/>
        <v>1355.1708049080726</v>
      </c>
      <c r="P84" s="196">
        <f t="shared" si="19"/>
        <v>0.9250915432536202</v>
      </c>
      <c r="Q84" s="195">
        <f t="shared" si="20"/>
        <v>7456.3677372071234</v>
      </c>
      <c r="R84" s="196">
        <f t="shared" si="21"/>
        <v>0.14219062275331479</v>
      </c>
      <c r="S84" s="464">
        <f t="shared" si="22"/>
        <v>8811.538542115195</v>
      </c>
      <c r="T84" s="196">
        <f t="shared" si="28"/>
        <v>0.15379502664954198</v>
      </c>
      <c r="W84" s="195">
        <f t="shared" si="30"/>
        <v>-1.2007603495021613E-2</v>
      </c>
      <c r="X84" s="195">
        <f t="shared" si="23"/>
        <v>0</v>
      </c>
      <c r="Y84" s="195">
        <f t="shared" si="31"/>
        <v>0</v>
      </c>
      <c r="Z84" s="195">
        <f t="shared" si="33"/>
        <v>-1.2007603495021613E-2</v>
      </c>
      <c r="AA84" s="196">
        <f t="shared" si="34"/>
        <v>0.45820196813262276</v>
      </c>
      <c r="AB84" s="196">
        <f t="shared" si="24"/>
        <v>0.54179803186737718</v>
      </c>
      <c r="AC84" s="196">
        <f>W84/Z84</f>
        <v>1</v>
      </c>
      <c r="AD84" s="247">
        <f t="shared" si="29"/>
        <v>0</v>
      </c>
      <c r="AF84" s="251">
        <f t="shared" si="25"/>
        <v>0.54179803186737718</v>
      </c>
      <c r="AG84" s="251">
        <f t="shared" si="26"/>
        <v>0.45820196813262271</v>
      </c>
    </row>
    <row r="85" spans="1:33" ht="13.8" thickBot="1" x14ac:dyDescent="0.3">
      <c r="A85" s="198">
        <v>2019</v>
      </c>
      <c r="B85" s="195">
        <f t="shared" si="27"/>
        <v>2404.322676338018</v>
      </c>
      <c r="C85" s="195">
        <f t="shared" si="9"/>
        <v>2976.7986834632438</v>
      </c>
      <c r="D85" s="195">
        <f t="shared" si="10"/>
        <v>3628.4394188077472</v>
      </c>
      <c r="E85" s="195">
        <f t="shared" si="11"/>
        <v>9009.5607786090077</v>
      </c>
      <c r="F85" s="199">
        <f t="shared" si="12"/>
        <v>0.26686347263969767</v>
      </c>
      <c r="H85" s="198">
        <v>2019</v>
      </c>
      <c r="I85" s="195">
        <f t="shared" si="13"/>
        <v>1305.9329522962664</v>
      </c>
      <c r="J85" s="195">
        <f t="shared" si="14"/>
        <v>103.73568416874167</v>
      </c>
      <c r="K85" s="195">
        <f t="shared" si="15"/>
        <v>2976.7986834632438</v>
      </c>
      <c r="L85" s="195">
        <f t="shared" si="16"/>
        <v>1098.3776796165221</v>
      </c>
      <c r="M85" s="195">
        <f t="shared" si="17"/>
        <v>3524.7037346390057</v>
      </c>
      <c r="O85" s="195">
        <f t="shared" si="18"/>
        <v>1409.6686364650081</v>
      </c>
      <c r="P85" s="199">
        <f t="shared" si="19"/>
        <v>0.92641129873693073</v>
      </c>
      <c r="Q85" s="195">
        <f t="shared" si="20"/>
        <v>7599.880097718772</v>
      </c>
      <c r="R85" s="199">
        <f t="shared" si="21"/>
        <v>0.14452565902272826</v>
      </c>
      <c r="S85" s="464">
        <f t="shared" si="22"/>
        <v>9009.5487341837797</v>
      </c>
      <c r="T85" s="196">
        <f t="shared" si="28"/>
        <v>0.15646384497777147</v>
      </c>
      <c r="W85" s="195">
        <f t="shared" si="30"/>
        <v>-1.2044425229760236E-2</v>
      </c>
      <c r="X85" s="195">
        <f t="shared" si="23"/>
        <v>0</v>
      </c>
      <c r="Y85" s="195">
        <f t="shared" si="31"/>
        <v>0</v>
      </c>
      <c r="Z85" s="195">
        <f t="shared" si="33"/>
        <v>-1.2044425229760236E-2</v>
      </c>
      <c r="AA85" s="196">
        <f t="shared" si="34"/>
        <v>0.45683684339185815</v>
      </c>
      <c r="AB85" s="196">
        <f t="shared" si="24"/>
        <v>0.54316315660814185</v>
      </c>
      <c r="AC85" s="196">
        <f t="shared" si="32"/>
        <v>1</v>
      </c>
      <c r="AD85" s="247">
        <f t="shared" si="29"/>
        <v>0</v>
      </c>
      <c r="AF85" s="251">
        <f t="shared" si="25"/>
        <v>0.54316315660814185</v>
      </c>
      <c r="AG85" s="251">
        <f t="shared" si="26"/>
        <v>0.4568368433918582</v>
      </c>
    </row>
    <row r="86" spans="1:33" x14ac:dyDescent="0.25">
      <c r="A86" s="201">
        <v>2020</v>
      </c>
      <c r="B86" s="195">
        <f t="shared" si="27"/>
        <v>2499.9985721052399</v>
      </c>
      <c r="C86" s="195">
        <f t="shared" si="9"/>
        <v>3045.9995826031782</v>
      </c>
      <c r="D86" s="195">
        <f t="shared" si="10"/>
        <v>3664.5937516175709</v>
      </c>
      <c r="E86" s="195">
        <f t="shared" si="11"/>
        <v>9210.5919063259898</v>
      </c>
      <c r="F86" s="220">
        <f t="shared" si="12"/>
        <v>0.27142648350191245</v>
      </c>
      <c r="H86" s="201">
        <v>2020</v>
      </c>
      <c r="I86" s="195">
        <f t="shared" si="13"/>
        <v>1361.2864311683184</v>
      </c>
      <c r="J86" s="195">
        <f t="shared" si="14"/>
        <v>105.98564622870808</v>
      </c>
      <c r="K86" s="195">
        <f t="shared" si="15"/>
        <v>3045.9995826031782</v>
      </c>
      <c r="L86" s="195">
        <f t="shared" si="16"/>
        <v>1138.7000367674282</v>
      </c>
      <c r="M86" s="195">
        <f t="shared" si="17"/>
        <v>3558.6081053888629</v>
      </c>
      <c r="O86" s="195">
        <f t="shared" si="18"/>
        <v>1467.2720773970264</v>
      </c>
      <c r="P86" s="203">
        <f t="shared" si="19"/>
        <v>0.92776687578166894</v>
      </c>
      <c r="Q86" s="195">
        <f t="shared" si="20"/>
        <v>7743.3077247594692</v>
      </c>
      <c r="R86" s="203">
        <f t="shared" si="21"/>
        <v>0.14705602272868468</v>
      </c>
      <c r="S86" s="464">
        <f t="shared" si="22"/>
        <v>9210.5798021564951</v>
      </c>
      <c r="T86" s="196">
        <f t="shared" si="28"/>
        <v>0.15930290045947926</v>
      </c>
      <c r="W86" s="195">
        <f t="shared" si="30"/>
        <v>-1.2104169493341033E-2</v>
      </c>
      <c r="X86" s="195">
        <f t="shared" si="23"/>
        <v>0</v>
      </c>
      <c r="Y86" s="195">
        <f t="shared" si="31"/>
        <v>0</v>
      </c>
      <c r="Z86" s="195">
        <f t="shared" si="33"/>
        <v>-1.2104169493341033E-2</v>
      </c>
      <c r="AA86" s="196">
        <f t="shared" si="34"/>
        <v>0.45548248015424636</v>
      </c>
      <c r="AB86" s="196">
        <f t="shared" si="24"/>
        <v>0.54451751984575358</v>
      </c>
      <c r="AC86" s="196">
        <f t="shared" si="32"/>
        <v>1</v>
      </c>
      <c r="AD86" s="247">
        <f t="shared" si="29"/>
        <v>0</v>
      </c>
      <c r="AF86" s="251">
        <f t="shared" si="25"/>
        <v>0.54451751984575358</v>
      </c>
      <c r="AG86" s="251">
        <f t="shared" si="26"/>
        <v>0.45548248015424636</v>
      </c>
    </row>
    <row r="87" spans="1:33" x14ac:dyDescent="0.25">
      <c r="A87" s="206">
        <v>2021</v>
      </c>
      <c r="B87" s="195">
        <f t="shared" si="27"/>
        <v>2600.5651062806273</v>
      </c>
      <c r="C87" s="195">
        <f t="shared" si="9"/>
        <v>3116.262397727588</v>
      </c>
      <c r="D87" s="195">
        <f t="shared" si="10"/>
        <v>3700.5143175325866</v>
      </c>
      <c r="E87" s="195">
        <f t="shared" si="11"/>
        <v>9417.3418215408019</v>
      </c>
      <c r="F87" s="221">
        <f t="shared" si="12"/>
        <v>0.27614640686952791</v>
      </c>
      <c r="H87" s="206">
        <v>2021</v>
      </c>
      <c r="I87" s="195">
        <f t="shared" si="13"/>
        <v>1421.5568311908555</v>
      </c>
      <c r="J87" s="195">
        <f t="shared" si="14"/>
        <v>108.50584620829142</v>
      </c>
      <c r="K87" s="195">
        <f t="shared" si="15"/>
        <v>3119.5324614873771</v>
      </c>
      <c r="L87" s="195">
        <f t="shared" si="16"/>
        <v>1182.722517977787</v>
      </c>
      <c r="M87" s="195">
        <f t="shared" si="17"/>
        <v>3596.2664992433797</v>
      </c>
      <c r="O87" s="195">
        <f t="shared" si="18"/>
        <v>1530.0626773991469</v>
      </c>
      <c r="P87" s="196">
        <f t="shared" si="19"/>
        <v>0.9290840513849189</v>
      </c>
      <c r="Q87" s="195">
        <f t="shared" si="20"/>
        <v>7898.5214787085442</v>
      </c>
      <c r="R87" s="196">
        <f t="shared" si="21"/>
        <v>0.1497397356158319</v>
      </c>
      <c r="S87" s="464">
        <f t="shared" si="22"/>
        <v>9428.5841561076904</v>
      </c>
      <c r="T87" s="196">
        <f t="shared" si="28"/>
        <v>0.16227915581662344</v>
      </c>
      <c r="W87" s="195">
        <f t="shared" si="30"/>
        <v>3.7142428880151783</v>
      </c>
      <c r="X87" s="195">
        <f t="shared" si="23"/>
        <v>3.2700637597890818</v>
      </c>
      <c r="Y87" s="195">
        <f t="shared" si="31"/>
        <v>4.258027919084725</v>
      </c>
      <c r="Z87" s="195">
        <f t="shared" si="33"/>
        <v>11.242334566888985</v>
      </c>
      <c r="AA87" s="196">
        <f t="shared" si="34"/>
        <v>0.15004070398349723</v>
      </c>
      <c r="AB87" s="196">
        <f t="shared" si="24"/>
        <v>0.18033933104538336</v>
      </c>
      <c r="AC87" s="196">
        <f t="shared" si="32"/>
        <v>0.33038003502888064</v>
      </c>
      <c r="AD87" s="247">
        <f t="shared" si="29"/>
        <v>0.66961996497111942</v>
      </c>
      <c r="AF87" s="251">
        <f t="shared" si="25"/>
        <v>0.54585420402179796</v>
      </c>
      <c r="AG87" s="251">
        <f t="shared" si="26"/>
        <v>0.45414579597820198</v>
      </c>
    </row>
    <row r="88" spans="1:33" x14ac:dyDescent="0.25">
      <c r="A88" s="206">
        <v>2022</v>
      </c>
      <c r="B88" s="195">
        <f t="shared" si="27"/>
        <v>2706.4094592026786</v>
      </c>
      <c r="C88" s="195">
        <f t="shared" si="9"/>
        <v>3184.2795208055895</v>
      </c>
      <c r="D88" s="195">
        <f t="shared" si="10"/>
        <v>3736.4430400546707</v>
      </c>
      <c r="E88" s="195">
        <f t="shared" si="11"/>
        <v>9627.132020062938</v>
      </c>
      <c r="F88" s="221">
        <f t="shared" si="12"/>
        <v>0.2811231271745856</v>
      </c>
      <c r="H88" s="206">
        <v>2022</v>
      </c>
      <c r="I88" s="195">
        <f t="shared" si="13"/>
        <v>1485.8921184947344</v>
      </c>
      <c r="J88" s="195">
        <f t="shared" si="14"/>
        <v>111.09142909959002</v>
      </c>
      <c r="K88" s="195">
        <f t="shared" si="15"/>
        <v>3191.731770151232</v>
      </c>
      <c r="L88" s="195">
        <f t="shared" si="16"/>
        <v>1229.5275593582483</v>
      </c>
      <c r="M88" s="195">
        <f t="shared" si="17"/>
        <v>3634.8911375692455</v>
      </c>
      <c r="O88" s="195">
        <f t="shared" si="18"/>
        <v>1596.9835475943244</v>
      </c>
      <c r="P88" s="196">
        <f t="shared" si="19"/>
        <v>0.93043671034248498</v>
      </c>
      <c r="Q88" s="195">
        <f t="shared" si="20"/>
        <v>8056.1504670787263</v>
      </c>
      <c r="R88" s="196">
        <f t="shared" si="21"/>
        <v>0.15261973623539982</v>
      </c>
      <c r="S88" s="464">
        <f t="shared" si="22"/>
        <v>9653.1340146730508</v>
      </c>
      <c r="T88" s="196">
        <f t="shared" si="28"/>
        <v>0.16543679443037482</v>
      </c>
      <c r="W88" s="195">
        <f t="shared" si="30"/>
        <v>9.0102186503040684</v>
      </c>
      <c r="X88" s="195">
        <f t="shared" si="23"/>
        <v>7.4522493456424854</v>
      </c>
      <c r="Y88" s="195">
        <f t="shared" si="31"/>
        <v>9.5395266141649699</v>
      </c>
      <c r="Z88" s="195">
        <f t="shared" si="33"/>
        <v>26.001994610111524</v>
      </c>
      <c r="AA88" s="196">
        <f t="shared" si="34"/>
        <v>0.15690253957723266</v>
      </c>
      <c r="AB88" s="196">
        <f t="shared" si="24"/>
        <v>0.18961774801640527</v>
      </c>
      <c r="AC88" s="196">
        <f t="shared" si="32"/>
        <v>0.3465202875936379</v>
      </c>
      <c r="AD88" s="247">
        <f t="shared" si="29"/>
        <v>0.65347971240636205</v>
      </c>
      <c r="AF88" s="251">
        <f t="shared" si="25"/>
        <v>0.54720532911126052</v>
      </c>
      <c r="AG88" s="251">
        <f t="shared" si="26"/>
        <v>0.45279467088873948</v>
      </c>
    </row>
    <row r="89" spans="1:33" x14ac:dyDescent="0.25">
      <c r="A89" s="206">
        <v>2023</v>
      </c>
      <c r="B89" s="195">
        <f t="shared" si="27"/>
        <v>2817.4249059869107</v>
      </c>
      <c r="C89" s="195">
        <f t="shared" si="9"/>
        <v>3251.1830176750364</v>
      </c>
      <c r="D89" s="195">
        <f t="shared" si="10"/>
        <v>3772.3136674881239</v>
      </c>
      <c r="E89" s="195">
        <f t="shared" si="11"/>
        <v>9840.9215911500723</v>
      </c>
      <c r="F89" s="221">
        <f t="shared" si="12"/>
        <v>0.28629685542059569</v>
      </c>
      <c r="H89" s="206">
        <v>2023</v>
      </c>
      <c r="I89" s="195">
        <f t="shared" si="13"/>
        <v>1554.2080169760211</v>
      </c>
      <c r="J89" s="195">
        <f t="shared" si="14"/>
        <v>113.74431141921343</v>
      </c>
      <c r="K89" s="195">
        <f t="shared" si="15"/>
        <v>3263.6380083642443</v>
      </c>
      <c r="L89" s="195">
        <f t="shared" si="16"/>
        <v>1278.9733661394584</v>
      </c>
      <c r="M89" s="195">
        <f t="shared" si="17"/>
        <v>3674.3086711449382</v>
      </c>
      <c r="O89" s="195">
        <f t="shared" si="18"/>
        <v>1667.9523283952344</v>
      </c>
      <c r="P89" s="196">
        <f t="shared" si="19"/>
        <v>0.93180601778430405</v>
      </c>
      <c r="Q89" s="195">
        <f t="shared" si="20"/>
        <v>8216.9200456486396</v>
      </c>
      <c r="R89" s="196">
        <f t="shared" si="21"/>
        <v>0.15565118791885443</v>
      </c>
      <c r="S89" s="464">
        <f t="shared" si="22"/>
        <v>9884.8723740438745</v>
      </c>
      <c r="T89" s="196">
        <f t="shared" si="28"/>
        <v>0.16873787189959233</v>
      </c>
      <c r="W89" s="195">
        <f t="shared" si="30"/>
        <v>15.756477128568804</v>
      </c>
      <c r="X89" s="195">
        <f t="shared" si="23"/>
        <v>12.454990689207989</v>
      </c>
      <c r="Y89" s="195">
        <f t="shared" si="31"/>
        <v>15.739315076027651</v>
      </c>
      <c r="Z89" s="195">
        <f t="shared" si="33"/>
        <v>43.950782893804444</v>
      </c>
      <c r="AA89" s="196">
        <f t="shared" si="34"/>
        <v>0.16183767443487745</v>
      </c>
      <c r="AB89" s="196">
        <f t="shared" si="24"/>
        <v>0.19666508913682509</v>
      </c>
      <c r="AC89" s="196">
        <f t="shared" si="32"/>
        <v>0.35850276357170258</v>
      </c>
      <c r="AD89" s="247">
        <f t="shared" si="29"/>
        <v>0.64149723642829748</v>
      </c>
      <c r="AF89" s="251">
        <f t="shared" si="25"/>
        <v>0.54857342570384671</v>
      </c>
      <c r="AG89" s="251">
        <f t="shared" si="26"/>
        <v>0.45142657429615329</v>
      </c>
    </row>
    <row r="90" spans="1:33" x14ac:dyDescent="0.25">
      <c r="A90" s="206">
        <v>2024</v>
      </c>
      <c r="B90" s="195">
        <f t="shared" si="27"/>
        <v>2933.6295864924227</v>
      </c>
      <c r="C90" s="195">
        <f t="shared" si="9"/>
        <v>3317.0099055863388</v>
      </c>
      <c r="D90" s="195">
        <f t="shared" si="10"/>
        <v>3808.1505657941775</v>
      </c>
      <c r="E90" s="195">
        <f t="shared" si="11"/>
        <v>10058.790057872939</v>
      </c>
      <c r="F90" s="221">
        <f t="shared" si="12"/>
        <v>0.2916483562748477</v>
      </c>
      <c r="H90" s="206">
        <v>2024</v>
      </c>
      <c r="I90" s="195">
        <f t="shared" si="13"/>
        <v>1626.5360962682753</v>
      </c>
      <c r="J90" s="195">
        <f t="shared" si="14"/>
        <v>116.47614265658976</v>
      </c>
      <c r="K90" s="195">
        <f t="shared" si="15"/>
        <v>3335.2129491577643</v>
      </c>
      <c r="L90" s="195">
        <f t="shared" si="16"/>
        <v>1330.9974913556753</v>
      </c>
      <c r="M90" s="195">
        <f t="shared" si="17"/>
        <v>3714.4779691376707</v>
      </c>
      <c r="O90" s="195">
        <f t="shared" si="18"/>
        <v>1743.012238924865</v>
      </c>
      <c r="P90" s="196">
        <f t="shared" si="19"/>
        <v>0.93317537303786513</v>
      </c>
      <c r="Q90" s="195">
        <f t="shared" si="20"/>
        <v>8380.6884096511094</v>
      </c>
      <c r="R90" s="196">
        <f t="shared" si="21"/>
        <v>0.15881720287117621</v>
      </c>
      <c r="S90" s="464">
        <f t="shared" si="22"/>
        <v>10123.700648575974</v>
      </c>
      <c r="T90" s="196">
        <f t="shared" si="28"/>
        <v>0.17217145186627397</v>
      </c>
      <c r="W90" s="195">
        <f t="shared" si="30"/>
        <v>23.904001131527821</v>
      </c>
      <c r="X90" s="195">
        <f t="shared" si="23"/>
        <v>18.203043571425496</v>
      </c>
      <c r="Y90" s="195">
        <f t="shared" si="31"/>
        <v>22.803546000082861</v>
      </c>
      <c r="Z90" s="195">
        <f t="shared" si="33"/>
        <v>64.910590703036178</v>
      </c>
      <c r="AA90" s="196">
        <f t="shared" si="34"/>
        <v>0.16573055732632064</v>
      </c>
      <c r="AB90" s="196">
        <f t="shared" si="24"/>
        <v>0.20252985861855718</v>
      </c>
      <c r="AC90" s="196">
        <f t="shared" si="32"/>
        <v>0.36826041594487779</v>
      </c>
      <c r="AD90" s="247">
        <f t="shared" si="29"/>
        <v>0.63173958405512221</v>
      </c>
      <c r="AF90" s="251">
        <f t="shared" si="25"/>
        <v>0.54996369375977783</v>
      </c>
      <c r="AG90" s="251">
        <f t="shared" si="26"/>
        <v>0.45003630624022223</v>
      </c>
    </row>
    <row r="91" spans="1:33" x14ac:dyDescent="0.25">
      <c r="A91" s="206">
        <v>2025</v>
      </c>
      <c r="B91" s="195">
        <f t="shared" si="27"/>
        <v>3055.0411417208807</v>
      </c>
      <c r="C91" s="195">
        <f t="shared" si="9"/>
        <v>3381.7922267177792</v>
      </c>
      <c r="D91" s="195">
        <f t="shared" si="10"/>
        <v>3843.9701657174051</v>
      </c>
      <c r="E91" s="195">
        <f t="shared" si="11"/>
        <v>10280.803534156064</v>
      </c>
      <c r="F91" s="221">
        <f t="shared" si="12"/>
        <v>0.29715976300598224</v>
      </c>
      <c r="H91" s="206">
        <v>2025</v>
      </c>
      <c r="I91" s="195">
        <f t="shared" si="13"/>
        <v>1702.9220567089651</v>
      </c>
      <c r="J91" s="195">
        <f t="shared" si="14"/>
        <v>119.29652667777376</v>
      </c>
      <c r="K91" s="195">
        <f t="shared" si="15"/>
        <v>3406.4321118819453</v>
      </c>
      <c r="L91" s="195">
        <f t="shared" si="16"/>
        <v>1385.5515379109902</v>
      </c>
      <c r="M91" s="195">
        <f t="shared" si="17"/>
        <v>3755.3657171526102</v>
      </c>
      <c r="O91" s="195">
        <f t="shared" si="18"/>
        <v>1822.2185833867388</v>
      </c>
      <c r="P91" s="196">
        <f t="shared" si="19"/>
        <v>0.93453226316238547</v>
      </c>
      <c r="Q91" s="195">
        <f t="shared" si="20"/>
        <v>8547.3493669455456</v>
      </c>
      <c r="R91" s="196">
        <f t="shared" si="21"/>
        <v>0.16210306592465012</v>
      </c>
      <c r="S91" s="464">
        <f t="shared" si="22"/>
        <v>10369.567950332284</v>
      </c>
      <c r="T91" s="196">
        <f t="shared" si="28"/>
        <v>0.17572753195839247</v>
      </c>
      <c r="W91" s="195">
        <f t="shared" si="30"/>
        <v>33.432452899074633</v>
      </c>
      <c r="X91" s="195">
        <f t="shared" si="23"/>
        <v>24.639885164166117</v>
      </c>
      <c r="Y91" s="195">
        <f t="shared" si="31"/>
        <v>30.692078112978834</v>
      </c>
      <c r="Z91" s="195">
        <f t="shared" si="33"/>
        <v>88.764416176219584</v>
      </c>
      <c r="AA91" s="196">
        <f t="shared" si="34"/>
        <v>0.16896942748599653</v>
      </c>
      <c r="AB91" s="196">
        <f t="shared" si="24"/>
        <v>0.20767308692769426</v>
      </c>
      <c r="AC91" s="196">
        <f t="shared" si="32"/>
        <v>0.37664251441369079</v>
      </c>
      <c r="AD91" s="247">
        <f t="shared" si="29"/>
        <v>0.62335748558630921</v>
      </c>
      <c r="AF91" s="251">
        <f t="shared" si="25"/>
        <v>0.5513798336095258</v>
      </c>
      <c r="AG91" s="251">
        <f t="shared" si="26"/>
        <v>0.44862016639047414</v>
      </c>
    </row>
    <row r="92" spans="1:33" x14ac:dyDescent="0.25">
      <c r="A92" s="206">
        <v>2026</v>
      </c>
      <c r="B92" s="195">
        <f t="shared" si="27"/>
        <v>3181.6751948076026</v>
      </c>
      <c r="C92" s="195">
        <f t="shared" si="9"/>
        <v>3445.5414547922865</v>
      </c>
      <c r="D92" s="195">
        <f t="shared" si="10"/>
        <v>3879.7766946713064</v>
      </c>
      <c r="E92" s="195">
        <f t="shared" si="11"/>
        <v>10506.993344271195</v>
      </c>
      <c r="F92" s="221">
        <f t="shared" si="12"/>
        <v>0.30281500050082077</v>
      </c>
      <c r="H92" s="206">
        <v>2026</v>
      </c>
      <c r="I92" s="195">
        <f t="shared" si="13"/>
        <v>1783.4206298732597</v>
      </c>
      <c r="J92" s="195">
        <f t="shared" si="14"/>
        <v>122.20675034202843</v>
      </c>
      <c r="K92" s="195">
        <f t="shared" si="15"/>
        <v>3477.2726868471714</v>
      </c>
      <c r="L92" s="195">
        <f t="shared" si="16"/>
        <v>1442.5915441726534</v>
      </c>
      <c r="M92" s="195">
        <f t="shared" si="17"/>
        <v>3796.9347791815226</v>
      </c>
      <c r="O92" s="195">
        <f t="shared" si="18"/>
        <v>1905.6273802152882</v>
      </c>
      <c r="P92" s="196">
        <f t="shared" si="19"/>
        <v>0.93587059484408641</v>
      </c>
      <c r="Q92" s="195">
        <f t="shared" si="20"/>
        <v>8716.7990102013464</v>
      </c>
      <c r="R92" s="196">
        <f t="shared" si="21"/>
        <v>0.16549556121282316</v>
      </c>
      <c r="S92" s="464">
        <f t="shared" si="22"/>
        <v>10622.426390416635</v>
      </c>
      <c r="T92" s="196">
        <f t="shared" si="28"/>
        <v>0.17939661901865581</v>
      </c>
      <c r="W92" s="195">
        <f t="shared" si="30"/>
        <v>44.336979238310505</v>
      </c>
      <c r="X92" s="195">
        <f t="shared" si="23"/>
        <v>31.731232054884913</v>
      </c>
      <c r="Y92" s="195">
        <f t="shared" si="31"/>
        <v>39.364834852244712</v>
      </c>
      <c r="Z92" s="195">
        <f t="shared" si="33"/>
        <v>115.43304614544013</v>
      </c>
      <c r="AA92" s="196">
        <f t="shared" si="34"/>
        <v>0.17175655647730154</v>
      </c>
      <c r="AB92" s="196">
        <f t="shared" si="24"/>
        <v>0.21233604714721016</v>
      </c>
      <c r="AC92" s="196">
        <f t="shared" si="32"/>
        <v>0.3840926036245117</v>
      </c>
      <c r="AD92" s="247">
        <f t="shared" si="29"/>
        <v>0.6159073963754883</v>
      </c>
      <c r="AF92" s="251">
        <f t="shared" si="25"/>
        <v>0.55282513941557054</v>
      </c>
      <c r="AG92" s="251">
        <f t="shared" si="26"/>
        <v>0.44717486058442946</v>
      </c>
    </row>
    <row r="93" spans="1:33" x14ac:dyDescent="0.25">
      <c r="A93" s="206">
        <v>2027</v>
      </c>
      <c r="B93" s="195">
        <f t="shared" si="27"/>
        <v>3313.5469496032124</v>
      </c>
      <c r="C93" s="195">
        <f t="shared" si="9"/>
        <v>3508.2638443068931</v>
      </c>
      <c r="D93" s="195">
        <f t="shared" si="10"/>
        <v>3915.5603381601518</v>
      </c>
      <c r="E93" s="195">
        <f t="shared" si="11"/>
        <v>10737.371132070257</v>
      </c>
      <c r="F93" s="221">
        <f t="shared" si="12"/>
        <v>0.30859946152986634</v>
      </c>
      <c r="H93" s="206">
        <v>2027</v>
      </c>
      <c r="I93" s="195">
        <f t="shared" si="13"/>
        <v>1868.0984586527507</v>
      </c>
      <c r="J93" s="195">
        <f t="shared" si="14"/>
        <v>125.20291326858955</v>
      </c>
      <c r="K93" s="195">
        <f t="shared" si="15"/>
        <v>3547.7305603009941</v>
      </c>
      <c r="L93" s="195">
        <f t="shared" si="16"/>
        <v>1502.0843683642602</v>
      </c>
      <c r="M93" s="195">
        <f t="shared" si="17"/>
        <v>3839.1411798166064</v>
      </c>
      <c r="O93" s="195">
        <f t="shared" si="18"/>
        <v>1993.3013719213402</v>
      </c>
      <c r="P93" s="196">
        <f t="shared" si="19"/>
        <v>0.93718816681096917</v>
      </c>
      <c r="Q93" s="195">
        <f t="shared" si="20"/>
        <v>8888.9561084818597</v>
      </c>
      <c r="R93" s="196">
        <f t="shared" si="21"/>
        <v>0.16898321355541043</v>
      </c>
      <c r="S93" s="464">
        <f t="shared" si="22"/>
        <v>10882.257480403199</v>
      </c>
      <c r="T93" s="196">
        <f t="shared" si="28"/>
        <v>0.18316984095541602</v>
      </c>
      <c r="W93" s="195">
        <f t="shared" si="30"/>
        <v>56.635877413798426</v>
      </c>
      <c r="X93" s="195">
        <f t="shared" si="23"/>
        <v>39.466715994100923</v>
      </c>
      <c r="Y93" s="195">
        <f t="shared" si="31"/>
        <v>48.783754925043922</v>
      </c>
      <c r="Z93" s="195">
        <f t="shared" si="33"/>
        <v>144.88634833294327</v>
      </c>
      <c r="AA93" s="196">
        <f t="shared" si="34"/>
        <v>0.17422281703526551</v>
      </c>
      <c r="AB93" s="196">
        <f t="shared" si="24"/>
        <v>0.21667582914809574</v>
      </c>
      <c r="AC93" s="196">
        <f t="shared" si="32"/>
        <v>0.39089864618336129</v>
      </c>
      <c r="AD93" s="247">
        <f t="shared" si="29"/>
        <v>0.60910135381663877</v>
      </c>
      <c r="AF93" s="251">
        <f t="shared" si="25"/>
        <v>0.55430181522413935</v>
      </c>
      <c r="AG93" s="251">
        <f t="shared" si="26"/>
        <v>0.44569818477586065</v>
      </c>
    </row>
    <row r="94" spans="1:33" x14ac:dyDescent="0.25">
      <c r="A94" s="206">
        <v>2028</v>
      </c>
      <c r="B94" s="195">
        <f t="shared" si="27"/>
        <v>3450.6730862763106</v>
      </c>
      <c r="C94" s="195">
        <f t="shared" si="9"/>
        <v>3569.9824660638324</v>
      </c>
      <c r="D94" s="195">
        <f t="shared" si="10"/>
        <v>3951.30580351452</v>
      </c>
      <c r="E94" s="195">
        <f t="shared" si="11"/>
        <v>10971.961355854663</v>
      </c>
      <c r="F94" s="221">
        <f t="shared" si="12"/>
        <v>0.31449920158851308</v>
      </c>
      <c r="H94" s="206">
        <v>2028</v>
      </c>
      <c r="I94" s="195">
        <f t="shared" si="13"/>
        <v>1957.0488484515033</v>
      </c>
      <c r="J94" s="195">
        <f t="shared" si="14"/>
        <v>128.28540208853033</v>
      </c>
      <c r="K94" s="195">
        <f t="shared" si="15"/>
        <v>3617.8409256059513</v>
      </c>
      <c r="L94" s="195">
        <f t="shared" si="16"/>
        <v>1564.0265750457984</v>
      </c>
      <c r="M94" s="195">
        <f t="shared" si="17"/>
        <v>3881.958539114667</v>
      </c>
      <c r="O94" s="195">
        <f t="shared" si="18"/>
        <v>2085.3342505400337</v>
      </c>
      <c r="P94" s="196">
        <f t="shared" si="19"/>
        <v>0.93848209127370896</v>
      </c>
      <c r="Q94" s="195">
        <f t="shared" si="20"/>
        <v>9063.8260397664162</v>
      </c>
      <c r="R94" s="196">
        <f t="shared" si="21"/>
        <v>0.17255699394315657</v>
      </c>
      <c r="S94" s="464">
        <f t="shared" si="22"/>
        <v>11149.16029030645</v>
      </c>
      <c r="T94" s="196">
        <f t="shared" si="28"/>
        <v>0.1870395793262665</v>
      </c>
      <c r="W94" s="195">
        <f t="shared" si="30"/>
        <v>70.402337220991285</v>
      </c>
      <c r="X94" s="195">
        <f t="shared" si="23"/>
        <v>47.858459542118908</v>
      </c>
      <c r="Y94" s="195">
        <f t="shared" si="31"/>
        <v>58.938137688677216</v>
      </c>
      <c r="Z94" s="195">
        <f t="shared" si="33"/>
        <v>177.19893445178741</v>
      </c>
      <c r="AA94" s="196">
        <f t="shared" si="34"/>
        <v>0.17647970581844055</v>
      </c>
      <c r="AB94" s="196">
        <f t="shared" si="24"/>
        <v>0.22082706941020208</v>
      </c>
      <c r="AC94" s="196">
        <f t="shared" si="32"/>
        <v>0.39730677522864266</v>
      </c>
      <c r="AD94" s="247">
        <f t="shared" si="29"/>
        <v>0.60269322477135734</v>
      </c>
      <c r="AF94" s="251">
        <f t="shared" si="25"/>
        <v>0.55580997651781849</v>
      </c>
      <c r="AG94" s="251">
        <f t="shared" si="26"/>
        <v>0.4441900234821814</v>
      </c>
    </row>
    <row r="95" spans="1:33" x14ac:dyDescent="0.25">
      <c r="A95" s="206">
        <v>2029</v>
      </c>
      <c r="B95" s="195">
        <f t="shared" si="27"/>
        <v>3593.0703006017916</v>
      </c>
      <c r="C95" s="195">
        <f t="shared" si="9"/>
        <v>3630.7235805206406</v>
      </c>
      <c r="D95" s="195">
        <f t="shared" si="10"/>
        <v>3986.9905084655311</v>
      </c>
      <c r="E95" s="195">
        <f t="shared" si="11"/>
        <v>11210.784389587963</v>
      </c>
      <c r="F95" s="221">
        <f t="shared" si="12"/>
        <v>0.32050124021106519</v>
      </c>
      <c r="H95" s="206">
        <v>2029</v>
      </c>
      <c r="I95" s="195">
        <f t="shared" si="13"/>
        <v>2050.3815260452466</v>
      </c>
      <c r="J95" s="195">
        <f t="shared" si="14"/>
        <v>131.4538085707224</v>
      </c>
      <c r="K95" s="195">
        <f t="shared" si="15"/>
        <v>3687.6602003571597</v>
      </c>
      <c r="L95" s="195">
        <f t="shared" si="16"/>
        <v>1628.4301696197708</v>
      </c>
      <c r="M95" s="195">
        <f t="shared" si="17"/>
        <v>3925.3608888395747</v>
      </c>
      <c r="O95" s="195">
        <f t="shared" si="18"/>
        <v>2181.8353346159688</v>
      </c>
      <c r="P95" s="196">
        <f t="shared" si="19"/>
        <v>0.93975081139940386</v>
      </c>
      <c r="Q95" s="195">
        <f t="shared" si="20"/>
        <v>9241.4512588165053</v>
      </c>
      <c r="R95" s="196">
        <f t="shared" si="21"/>
        <v>0.17620935543713659</v>
      </c>
      <c r="S95" s="464">
        <f t="shared" si="22"/>
        <v>11423.286593432475</v>
      </c>
      <c r="T95" s="196">
        <f t="shared" si="28"/>
        <v>0.19099891408400443</v>
      </c>
      <c r="W95" s="195">
        <f t="shared" si="30"/>
        <v>85.741395063225809</v>
      </c>
      <c r="X95" s="195">
        <f t="shared" si="23"/>
        <v>56.936619836519185</v>
      </c>
      <c r="Y95" s="195">
        <f t="shared" si="31"/>
        <v>69.824188944765865</v>
      </c>
      <c r="Z95" s="195">
        <f t="shared" si="33"/>
        <v>212.50220384451086</v>
      </c>
      <c r="AA95" s="196">
        <f t="shared" si="34"/>
        <v>0.17860297487074814</v>
      </c>
      <c r="AB95" s="196">
        <f t="shared" si="24"/>
        <v>0.22488175852036202</v>
      </c>
      <c r="AC95" s="196">
        <f t="shared" si="32"/>
        <v>0.40348473339111018</v>
      </c>
      <c r="AD95" s="247">
        <f t="shared" si="29"/>
        <v>0.59651526660888987</v>
      </c>
      <c r="AF95" s="251">
        <f t="shared" si="25"/>
        <v>0.55734886579308862</v>
      </c>
      <c r="AG95" s="251">
        <f t="shared" si="26"/>
        <v>0.44265113420691138</v>
      </c>
    </row>
    <row r="96" spans="1:33" x14ac:dyDescent="0.25">
      <c r="A96" s="206">
        <v>2030</v>
      </c>
      <c r="B96" s="195">
        <f t="shared" si="27"/>
        <v>3740.259166964247</v>
      </c>
      <c r="C96" s="195">
        <f t="shared" si="9"/>
        <v>3694.9500202554582</v>
      </c>
      <c r="D96" s="195">
        <f t="shared" si="10"/>
        <v>4022.1042535775373</v>
      </c>
      <c r="E96" s="195">
        <f t="shared" si="11"/>
        <v>11457.313440797243</v>
      </c>
      <c r="F96" s="221">
        <f t="shared" si="12"/>
        <v>0.3264516752806918</v>
      </c>
      <c r="H96" s="206">
        <v>2030</v>
      </c>
      <c r="I96" s="195">
        <f t="shared" si="13"/>
        <v>2147.8683710535779</v>
      </c>
      <c r="J96" s="195">
        <f t="shared" si="14"/>
        <v>134.70671908744683</v>
      </c>
      <c r="K96" s="195">
        <f t="shared" si="15"/>
        <v>3761.7594927995365</v>
      </c>
      <c r="L96" s="195">
        <f t="shared" si="16"/>
        <v>1695.1675872810661</v>
      </c>
      <c r="M96" s="195">
        <f t="shared" si="17"/>
        <v>3968.8285107161259</v>
      </c>
      <c r="O96" s="195">
        <f t="shared" si="18"/>
        <v>2282.5750901410247</v>
      </c>
      <c r="P96" s="196">
        <f t="shared" si="19"/>
        <v>0.94098475898152201</v>
      </c>
      <c r="Q96" s="195">
        <f t="shared" si="20"/>
        <v>9425.7555907967289</v>
      </c>
      <c r="R96" s="196">
        <f t="shared" si="21"/>
        <v>0.17984421205831191</v>
      </c>
      <c r="S96" s="464">
        <f t="shared" si="22"/>
        <v>11708.330680937754</v>
      </c>
      <c r="T96" s="196">
        <f t="shared" si="28"/>
        <v>0.19495307677440887</v>
      </c>
      <c r="W96" s="195">
        <f t="shared" si="30"/>
        <v>102.77679137039695</v>
      </c>
      <c r="X96" s="195">
        <f t="shared" si="23"/>
        <v>66.80947254407829</v>
      </c>
      <c r="Y96" s="195">
        <f t="shared" si="31"/>
        <v>81.430976226035909</v>
      </c>
      <c r="Z96" s="195">
        <f t="shared" si="33"/>
        <v>251.01724014051115</v>
      </c>
      <c r="AA96" s="196">
        <f t="shared" si="34"/>
        <v>0.18060496967090989</v>
      </c>
      <c r="AB96" s="196">
        <f t="shared" si="24"/>
        <v>0.22883619585567264</v>
      </c>
      <c r="AC96" s="196">
        <f t="shared" si="32"/>
        <v>0.40944116552658255</v>
      </c>
      <c r="AD96" s="247">
        <f t="shared" si="29"/>
        <v>0.59055883447341739</v>
      </c>
      <c r="AF96" s="251">
        <f t="shared" si="25"/>
        <v>0.55889884829085579</v>
      </c>
      <c r="AG96" s="251">
        <f t="shared" si="26"/>
        <v>0.44110115170914416</v>
      </c>
    </row>
    <row r="97" spans="1:33" x14ac:dyDescent="0.25">
      <c r="A97" s="206">
        <v>2031</v>
      </c>
      <c r="B97" s="195">
        <f t="shared" si="27"/>
        <v>3893.7435092157325</v>
      </c>
      <c r="C97" s="195">
        <f t="shared" si="9"/>
        <v>3749.3626679398508</v>
      </c>
      <c r="D97" s="195">
        <f t="shared" si="10"/>
        <v>4058.1125647278882</v>
      </c>
      <c r="E97" s="195">
        <f t="shared" si="11"/>
        <v>11701.218741883471</v>
      </c>
      <c r="F97" s="221">
        <f t="shared" si="12"/>
        <v>0.33276392785295295</v>
      </c>
      <c r="H97" s="206">
        <v>2031</v>
      </c>
      <c r="I97" s="195">
        <f t="shared" si="13"/>
        <v>2250.6279619874513</v>
      </c>
      <c r="J97" s="195">
        <f t="shared" si="14"/>
        <v>138.04960554160118</v>
      </c>
      <c r="K97" s="195">
        <f t="shared" si="15"/>
        <v>3826.6007408700079</v>
      </c>
      <c r="L97" s="195">
        <f t="shared" si="16"/>
        <v>1764.6569435831389</v>
      </c>
      <c r="M97" s="195">
        <f t="shared" si="17"/>
        <v>4013.8368338287937</v>
      </c>
      <c r="O97" s="195">
        <f t="shared" si="18"/>
        <v>2388.6775675290523</v>
      </c>
      <c r="P97" s="196">
        <f t="shared" si="19"/>
        <v>0.94220668062604807</v>
      </c>
      <c r="Q97" s="195">
        <f t="shared" si="20"/>
        <v>9605.0945182819414</v>
      </c>
      <c r="R97" s="196">
        <f t="shared" si="21"/>
        <v>0.18372093478355297</v>
      </c>
      <c r="S97" s="464">
        <f t="shared" si="22"/>
        <v>11993.772085810993</v>
      </c>
      <c r="T97" s="196">
        <f t="shared" si="28"/>
        <v>0.19915982648652567</v>
      </c>
      <c r="W97" s="195">
        <f t="shared" si="30"/>
        <v>121.54139635485762</v>
      </c>
      <c r="X97" s="195">
        <f t="shared" si="23"/>
        <v>77.238072930157159</v>
      </c>
      <c r="Y97" s="195">
        <f t="shared" si="31"/>
        <v>93.773874642507053</v>
      </c>
      <c r="Z97" s="195">
        <f t="shared" si="33"/>
        <v>292.55334392752184</v>
      </c>
      <c r="AA97" s="196">
        <f t="shared" si="34"/>
        <v>0.18258415172832901</v>
      </c>
      <c r="AB97" s="196">
        <f t="shared" si="24"/>
        <v>0.23286622297314322</v>
      </c>
      <c r="AC97" s="196">
        <f t="shared" si="32"/>
        <v>0.41545037470147222</v>
      </c>
      <c r="AD97" s="247">
        <f t="shared" si="29"/>
        <v>0.58454962529852772</v>
      </c>
      <c r="AF97" s="251">
        <f t="shared" si="25"/>
        <v>0.56051513526849639</v>
      </c>
      <c r="AG97" s="251">
        <f t="shared" si="26"/>
        <v>0.43948486473150356</v>
      </c>
    </row>
    <row r="98" spans="1:33" x14ac:dyDescent="0.25">
      <c r="A98" s="206">
        <v>2032</v>
      </c>
      <c r="B98" s="195">
        <f t="shared" si="27"/>
        <v>4052.0523121292936</v>
      </c>
      <c r="C98" s="195">
        <f t="shared" si="9"/>
        <v>3807.2926713318557</v>
      </c>
      <c r="D98" s="195">
        <f t="shared" si="10"/>
        <v>4093.5382856623496</v>
      </c>
      <c r="E98" s="195">
        <f t="shared" si="11"/>
        <v>11952.883269123498</v>
      </c>
      <c r="F98" s="221">
        <f t="shared" si="12"/>
        <v>0.33900208183212932</v>
      </c>
      <c r="H98" s="206">
        <v>2032</v>
      </c>
      <c r="I98" s="195">
        <f t="shared" si="13"/>
        <v>2357.6744329057992</v>
      </c>
      <c r="J98" s="195">
        <f t="shared" si="14"/>
        <v>141.47634334621765</v>
      </c>
      <c r="K98" s="195">
        <f t="shared" si="15"/>
        <v>3895.707528080075</v>
      </c>
      <c r="L98" s="195">
        <f t="shared" si="16"/>
        <v>1836.4294588649423</v>
      </c>
      <c r="M98" s="195">
        <f t="shared" si="17"/>
        <v>4058.8237526281923</v>
      </c>
      <c r="O98" s="195">
        <f t="shared" si="18"/>
        <v>2499.1507762520168</v>
      </c>
      <c r="P98" s="196">
        <f t="shared" si="19"/>
        <v>0.94339023291808344</v>
      </c>
      <c r="Q98" s="195">
        <f t="shared" si="20"/>
        <v>9790.9607395732091</v>
      </c>
      <c r="R98" s="196">
        <f t="shared" si="21"/>
        <v>0.18756376495745122</v>
      </c>
      <c r="S98" s="464">
        <f t="shared" si="22"/>
        <v>12290.111515825225</v>
      </c>
      <c r="T98" s="196">
        <f t="shared" si="28"/>
        <v>0.20334646866580611</v>
      </c>
      <c r="W98" s="195">
        <f t="shared" si="30"/>
        <v>142.05157964144746</v>
      </c>
      <c r="X98" s="195">
        <f t="shared" si="23"/>
        <v>88.414856748219336</v>
      </c>
      <c r="Y98" s="195">
        <f t="shared" si="31"/>
        <v>106.76181031206079</v>
      </c>
      <c r="Z98" s="195">
        <f t="shared" si="33"/>
        <v>337.22824670172758</v>
      </c>
      <c r="AA98" s="196">
        <f t="shared" si="34"/>
        <v>0.1844408816985007</v>
      </c>
      <c r="AB98" s="196">
        <f t="shared" si="24"/>
        <v>0.23679186209086989</v>
      </c>
      <c r="AC98" s="196">
        <f t="shared" si="32"/>
        <v>0.42123274378937053</v>
      </c>
      <c r="AD98" s="247">
        <f t="shared" si="29"/>
        <v>0.57876725621062941</v>
      </c>
      <c r="AF98" s="251">
        <f t="shared" si="25"/>
        <v>0.56214020771678941</v>
      </c>
      <c r="AG98" s="251">
        <f t="shared" si="26"/>
        <v>0.4378597922832107</v>
      </c>
    </row>
    <row r="99" spans="1:33" x14ac:dyDescent="0.25">
      <c r="A99" s="206">
        <v>2033</v>
      </c>
      <c r="B99" s="195">
        <f t="shared" si="27"/>
        <v>4215.6887586595349</v>
      </c>
      <c r="C99" s="195">
        <f t="shared" si="9"/>
        <v>3864.3282727328692</v>
      </c>
      <c r="D99" s="195">
        <f t="shared" si="10"/>
        <v>4128.8596555640615</v>
      </c>
      <c r="E99" s="195">
        <f t="shared" si="11"/>
        <v>12208.876686956466</v>
      </c>
      <c r="F99" s="221">
        <f t="shared" si="12"/>
        <v>0.34529702172874172</v>
      </c>
      <c r="H99" s="206">
        <v>2033</v>
      </c>
      <c r="I99" s="195">
        <f t="shared" si="13"/>
        <v>2469.2937974674669</v>
      </c>
      <c r="J99" s="195">
        <f t="shared" si="14"/>
        <v>144.9781939374258</v>
      </c>
      <c r="K99" s="195">
        <f t="shared" si="15"/>
        <v>3964.4753887286502</v>
      </c>
      <c r="L99" s="195">
        <f t="shared" si="16"/>
        <v>1910.5338750104124</v>
      </c>
      <c r="M99" s="195">
        <f t="shared" si="17"/>
        <v>4104.1403511332392</v>
      </c>
      <c r="O99" s="195">
        <f t="shared" si="18"/>
        <v>2614.2719914048926</v>
      </c>
      <c r="P99" s="196">
        <f t="shared" si="19"/>
        <v>0.94454356914120652</v>
      </c>
      <c r="Q99" s="195">
        <f t="shared" si="20"/>
        <v>9979.1496148723018</v>
      </c>
      <c r="R99" s="196">
        <f t="shared" si="21"/>
        <v>0.19145257349013708</v>
      </c>
      <c r="S99" s="464">
        <f t="shared" si="22"/>
        <v>12593.421606277194</v>
      </c>
      <c r="T99" s="196">
        <f t="shared" si="28"/>
        <v>0.20759028587606471</v>
      </c>
      <c r="W99" s="195">
        <f t="shared" si="30"/>
        <v>164.13891381834401</v>
      </c>
      <c r="X99" s="195">
        <f t="shared" si="23"/>
        <v>100.14711599578095</v>
      </c>
      <c r="Y99" s="195">
        <f t="shared" si="31"/>
        <v>120.25888950660374</v>
      </c>
      <c r="Z99" s="195">
        <f t="shared" si="33"/>
        <v>384.5449193207287</v>
      </c>
      <c r="AA99" s="196">
        <f t="shared" si="34"/>
        <v>0.18619250574748467</v>
      </c>
      <c r="AB99" s="196">
        <f t="shared" si="24"/>
        <v>0.24064687132264739</v>
      </c>
      <c r="AC99" s="196">
        <f t="shared" si="32"/>
        <v>0.42683937707013203</v>
      </c>
      <c r="AD99" s="247">
        <f t="shared" si="29"/>
        <v>0.57316062292986802</v>
      </c>
      <c r="AF99" s="251">
        <f t="shared" si="25"/>
        <v>0.56378788895830434</v>
      </c>
      <c r="AG99" s="251">
        <f t="shared" si="26"/>
        <v>0.43621211104169577</v>
      </c>
    </row>
    <row r="100" spans="1:33" x14ac:dyDescent="0.25">
      <c r="A100" s="206">
        <v>2034</v>
      </c>
      <c r="B100" s="195">
        <f t="shared" si="27"/>
        <v>4384.6577681041936</v>
      </c>
      <c r="C100" s="195">
        <f t="shared" si="9"/>
        <v>3920.4986240128737</v>
      </c>
      <c r="D100" s="195">
        <f t="shared" si="10"/>
        <v>4164.0628935102368</v>
      </c>
      <c r="E100" s="195">
        <f t="shared" si="11"/>
        <v>12469.219285627303</v>
      </c>
      <c r="F100" s="221">
        <f t="shared" si="12"/>
        <v>0.35163851622676867</v>
      </c>
      <c r="H100" s="206">
        <v>2034</v>
      </c>
      <c r="I100" s="195">
        <f t="shared" si="13"/>
        <v>2585.3686550564871</v>
      </c>
      <c r="J100" s="195">
        <f t="shared" si="14"/>
        <v>148.5409596657538</v>
      </c>
      <c r="K100" s="195">
        <f t="shared" si="15"/>
        <v>4032.777432162713</v>
      </c>
      <c r="L100" s="195">
        <f t="shared" si="16"/>
        <v>1986.8483305069367</v>
      </c>
      <c r="M100" s="195">
        <f t="shared" si="17"/>
        <v>4149.5957645123735</v>
      </c>
      <c r="O100" s="195">
        <f t="shared" si="18"/>
        <v>2733.9096147222408</v>
      </c>
      <c r="P100" s="196">
        <f t="shared" si="19"/>
        <v>0.945667201700505</v>
      </c>
      <c r="Q100" s="195">
        <f t="shared" si="20"/>
        <v>10169.221527182024</v>
      </c>
      <c r="R100" s="196">
        <f t="shared" si="21"/>
        <v>0.19537860643473551</v>
      </c>
      <c r="S100" s="464">
        <f t="shared" si="22"/>
        <v>12903.131141904265</v>
      </c>
      <c r="T100" s="196">
        <f t="shared" si="28"/>
        <v>0.21187954959580191</v>
      </c>
      <c r="W100" s="195">
        <f t="shared" si="30"/>
        <v>187.55921745923024</v>
      </c>
      <c r="X100" s="195">
        <f t="shared" si="23"/>
        <v>112.27880814983928</v>
      </c>
      <c r="Y100" s="195">
        <f t="shared" si="31"/>
        <v>134.07383066789043</v>
      </c>
      <c r="Z100" s="195">
        <f t="shared" si="33"/>
        <v>433.91185627695995</v>
      </c>
      <c r="AA100" s="196">
        <f t="shared" si="34"/>
        <v>0.18783424697997572</v>
      </c>
      <c r="AB100" s="196">
        <f t="shared" si="24"/>
        <v>0.24441763723568349</v>
      </c>
      <c r="AC100" s="196">
        <f t="shared" si="32"/>
        <v>0.43225188421565919</v>
      </c>
      <c r="AD100" s="247">
        <f t="shared" si="29"/>
        <v>0.56774811578434081</v>
      </c>
      <c r="AF100" s="251">
        <f t="shared" si="25"/>
        <v>0.56545187230170313</v>
      </c>
      <c r="AG100" s="251">
        <f t="shared" si="26"/>
        <v>0.43454812769829687</v>
      </c>
    </row>
    <row r="101" spans="1:33" x14ac:dyDescent="0.25">
      <c r="A101" s="206">
        <v>2035</v>
      </c>
      <c r="B101" s="195">
        <f t="shared" si="27"/>
        <v>4558.9680865988757</v>
      </c>
      <c r="C101" s="195">
        <f t="shared" si="9"/>
        <v>3975.827796629319</v>
      </c>
      <c r="D101" s="195">
        <f t="shared" si="10"/>
        <v>4199.1358529852705</v>
      </c>
      <c r="E101" s="195">
        <f t="shared" si="11"/>
        <v>12733.931736213466</v>
      </c>
      <c r="F101" s="221">
        <f t="shared" si="12"/>
        <v>0.35801731790612851</v>
      </c>
      <c r="H101" s="206">
        <v>2035</v>
      </c>
      <c r="I101" s="195">
        <f t="shared" si="13"/>
        <v>2705.8184228416876</v>
      </c>
      <c r="J101" s="195">
        <f t="shared" si="14"/>
        <v>152.15370754499608</v>
      </c>
      <c r="K101" s="195">
        <f t="shared" si="15"/>
        <v>4100.5148901269758</v>
      </c>
      <c r="L101" s="195">
        <f t="shared" si="16"/>
        <v>2065.2852239765461</v>
      </c>
      <c r="M101" s="195">
        <f t="shared" si="17"/>
        <v>4195.0425956463241</v>
      </c>
      <c r="O101" s="195">
        <f t="shared" si="18"/>
        <v>2857.9721303866836</v>
      </c>
      <c r="P101" s="196">
        <f t="shared" si="19"/>
        <v>0.94676165455664907</v>
      </c>
      <c r="Q101" s="195">
        <f t="shared" si="20"/>
        <v>10360.842709749846</v>
      </c>
      <c r="R101" s="196">
        <f t="shared" si="21"/>
        <v>0.19933564110890847</v>
      </c>
      <c r="S101" s="464">
        <f t="shared" si="22"/>
        <v>13218.814840136529</v>
      </c>
      <c r="T101" s="196">
        <f t="shared" si="28"/>
        <v>0.21620486896517913</v>
      </c>
      <c r="W101" s="195">
        <f t="shared" si="30"/>
        <v>212.13556021935801</v>
      </c>
      <c r="X101" s="195">
        <f t="shared" si="23"/>
        <v>124.68709349765686</v>
      </c>
      <c r="Y101" s="195">
        <f t="shared" si="31"/>
        <v>148.06045020604961</v>
      </c>
      <c r="Z101" s="195">
        <f t="shared" si="33"/>
        <v>484.88310392306448</v>
      </c>
      <c r="AA101" s="196">
        <f t="shared" si="34"/>
        <v>0.18938152563744218</v>
      </c>
      <c r="AB101" s="196">
        <f t="shared" si="24"/>
        <v>0.24811682912687885</v>
      </c>
      <c r="AC101" s="196">
        <f t="shared" si="32"/>
        <v>0.43749835476432103</v>
      </c>
      <c r="AD101" s="247">
        <f t="shared" si="29"/>
        <v>0.56250164523567892</v>
      </c>
      <c r="AF101" s="251">
        <f t="shared" si="25"/>
        <v>0.56712631356188437</v>
      </c>
      <c r="AG101" s="251">
        <f t="shared" si="26"/>
        <v>0.43287368643811563</v>
      </c>
    </row>
    <row r="102" spans="1:33" x14ac:dyDescent="0.25">
      <c r="A102" s="206">
        <v>2036</v>
      </c>
      <c r="B102" s="195">
        <f t="shared" si="27"/>
        <v>4738.6327767767752</v>
      </c>
      <c r="C102" s="195">
        <f t="shared" si="9"/>
        <v>4030.3323844136239</v>
      </c>
      <c r="D102" s="195">
        <f t="shared" si="10"/>
        <v>4234.0676742980122</v>
      </c>
      <c r="E102" s="195">
        <f t="shared" si="11"/>
        <v>13003.032835488411</v>
      </c>
      <c r="F102" s="221">
        <f t="shared" si="12"/>
        <v>0.36442519500865245</v>
      </c>
      <c r="H102" s="206">
        <v>2036</v>
      </c>
      <c r="I102" s="195">
        <f t="shared" si="13"/>
        <v>2830.6408967952207</v>
      </c>
      <c r="J102" s="195">
        <f t="shared" si="14"/>
        <v>155.81149257503785</v>
      </c>
      <c r="K102" s="195">
        <f t="shared" si="15"/>
        <v>4167.641411480432</v>
      </c>
      <c r="L102" s="195">
        <f t="shared" si="16"/>
        <v>2145.809720959036</v>
      </c>
      <c r="M102" s="195">
        <f t="shared" si="17"/>
        <v>4240.4001745561854</v>
      </c>
      <c r="O102" s="195">
        <f t="shared" si="18"/>
        <v>2986.4523893702585</v>
      </c>
      <c r="P102" s="196">
        <f t="shared" si="19"/>
        <v>0.94782723035209904</v>
      </c>
      <c r="Q102" s="195">
        <f t="shared" si="20"/>
        <v>10553.851306995653</v>
      </c>
      <c r="R102" s="196">
        <f t="shared" si="21"/>
        <v>0.20332006378910031</v>
      </c>
      <c r="S102" s="464">
        <f t="shared" si="22"/>
        <v>13540.303696365912</v>
      </c>
      <c r="T102" s="196">
        <f t="shared" si="28"/>
        <v>0.22056022201125325</v>
      </c>
      <c r="W102" s="195">
        <f t="shared" si="30"/>
        <v>237.81784097748186</v>
      </c>
      <c r="X102" s="195">
        <f t="shared" si="23"/>
        <v>137.30902706680808</v>
      </c>
      <c r="Y102" s="195">
        <f t="shared" si="31"/>
        <v>162.14399283321109</v>
      </c>
      <c r="Z102" s="195">
        <f t="shared" si="33"/>
        <v>537.27086087750104</v>
      </c>
      <c r="AA102" s="196">
        <f t="shared" si="34"/>
        <v>0.19086339937619592</v>
      </c>
      <c r="AB102" s="196">
        <f t="shared" si="24"/>
        <v>0.251777097800711</v>
      </c>
      <c r="AC102" s="196">
        <f t="shared" si="32"/>
        <v>0.44264049717690696</v>
      </c>
      <c r="AD102" s="247">
        <f t="shared" si="29"/>
        <v>0.5573595028230931</v>
      </c>
      <c r="AF102" s="251">
        <f t="shared" si="25"/>
        <v>0.56880719095181442</v>
      </c>
      <c r="AG102" s="251">
        <f t="shared" si="26"/>
        <v>0.43119280904818547</v>
      </c>
    </row>
    <row r="103" spans="1:33" x14ac:dyDescent="0.25">
      <c r="A103" s="206">
        <v>2037</v>
      </c>
      <c r="B103" s="195">
        <f t="shared" si="27"/>
        <v>4923.6728479473004</v>
      </c>
      <c r="C103" s="195">
        <f t="shared" si="9"/>
        <v>4084.0206274851712</v>
      </c>
      <c r="D103" s="195">
        <f t="shared" si="10"/>
        <v>4268.8513728199905</v>
      </c>
      <c r="E103" s="195">
        <f t="shared" si="11"/>
        <v>13276.544848252463</v>
      </c>
      <c r="F103" s="221">
        <f t="shared" si="12"/>
        <v>0.37085498555713337</v>
      </c>
      <c r="H103" s="206">
        <v>2037</v>
      </c>
      <c r="I103" s="195">
        <f t="shared" si="13"/>
        <v>2959.9301815372264</v>
      </c>
      <c r="J103" s="195">
        <f t="shared" si="14"/>
        <v>159.51592147639678</v>
      </c>
      <c r="K103" s="195">
        <f t="shared" si="15"/>
        <v>4234.176054655326</v>
      </c>
      <c r="L103" s="195">
        <f t="shared" si="16"/>
        <v>2228.4473462078176</v>
      </c>
      <c r="M103" s="195">
        <f t="shared" si="17"/>
        <v>4285.6717123217604</v>
      </c>
      <c r="O103" s="195">
        <f t="shared" si="18"/>
        <v>3119.4461030136231</v>
      </c>
      <c r="P103" s="196">
        <f t="shared" si="19"/>
        <v>0.94886402386555357</v>
      </c>
      <c r="Q103" s="195">
        <f t="shared" si="20"/>
        <v>10748.295113184904</v>
      </c>
      <c r="R103" s="196">
        <f t="shared" si="21"/>
        <v>0.20733030892259252</v>
      </c>
      <c r="S103" s="464">
        <f t="shared" si="22"/>
        <v>13867.741216198527</v>
      </c>
      <c r="T103" s="196">
        <f t="shared" si="28"/>
        <v>0.224942624352543</v>
      </c>
      <c r="W103" s="195">
        <f t="shared" si="30"/>
        <v>264.70467979774367</v>
      </c>
      <c r="X103" s="195">
        <f t="shared" si="23"/>
        <v>150.15542717015478</v>
      </c>
      <c r="Y103" s="195">
        <f t="shared" si="31"/>
        <v>176.33626097816705</v>
      </c>
      <c r="Z103" s="195">
        <f t="shared" si="33"/>
        <v>591.19636794606549</v>
      </c>
      <c r="AA103" s="196">
        <f t="shared" si="34"/>
        <v>0.1923094693634182</v>
      </c>
      <c r="AB103" s="196">
        <f t="shared" si="24"/>
        <v>0.25543462067113443</v>
      </c>
      <c r="AC103" s="196">
        <f t="shared" si="32"/>
        <v>0.44774409003455268</v>
      </c>
      <c r="AD103" s="247">
        <f t="shared" si="29"/>
        <v>0.55225590996544738</v>
      </c>
      <c r="AF103" s="251">
        <f t="shared" si="25"/>
        <v>0.57049244502908436</v>
      </c>
      <c r="AG103" s="251">
        <f t="shared" si="26"/>
        <v>0.42950755497091558</v>
      </c>
    </row>
    <row r="104" spans="1:33" x14ac:dyDescent="0.25">
      <c r="A104" s="206">
        <v>2038</v>
      </c>
      <c r="B104" s="195">
        <f t="shared" si="27"/>
        <v>5114.115128004878</v>
      </c>
      <c r="C104" s="195">
        <f t="shared" si="9"/>
        <v>4136.8969167398445</v>
      </c>
      <c r="D104" s="195">
        <f t="shared" si="10"/>
        <v>4303.4837544751936</v>
      </c>
      <c r="E104" s="195">
        <f t="shared" si="11"/>
        <v>13554.495799219916</v>
      </c>
      <c r="F104" s="221">
        <f t="shared" si="12"/>
        <v>0.37730028499468082</v>
      </c>
      <c r="H104" s="206">
        <v>2038</v>
      </c>
      <c r="I104" s="195">
        <f t="shared" si="13"/>
        <v>3093.8203410135402</v>
      </c>
      <c r="J104" s="195">
        <f t="shared" si="14"/>
        <v>163.27121221383544</v>
      </c>
      <c r="K104" s="195">
        <f t="shared" si="15"/>
        <v>4300.1659016912445</v>
      </c>
      <c r="L104" s="195">
        <f t="shared" si="16"/>
        <v>2313.2476921322759</v>
      </c>
      <c r="M104" s="195">
        <f t="shared" si="17"/>
        <v>4330.9001218212188</v>
      </c>
      <c r="O104" s="195">
        <f t="shared" si="18"/>
        <v>3257.0915532273757</v>
      </c>
      <c r="P104" s="196">
        <f t="shared" si="19"/>
        <v>0.94987208386818178</v>
      </c>
      <c r="Q104" s="195">
        <f t="shared" si="20"/>
        <v>10944.313715644739</v>
      </c>
      <c r="R104" s="196">
        <f t="shared" si="21"/>
        <v>0.21136525799927697</v>
      </c>
      <c r="S104" s="464">
        <f t="shared" si="22"/>
        <v>14201.405268872115</v>
      </c>
      <c r="T104" s="196">
        <f t="shared" si="28"/>
        <v>0.22934994752713342</v>
      </c>
      <c r="W104" s="195">
        <f t="shared" si="30"/>
        <v>292.95290514093813</v>
      </c>
      <c r="X104" s="195">
        <f t="shared" si="23"/>
        <v>163.26898495139994</v>
      </c>
      <c r="Y104" s="195">
        <f t="shared" si="31"/>
        <v>190.68757955986075</v>
      </c>
      <c r="Z104" s="195">
        <f t="shared" si="33"/>
        <v>646.90946965219882</v>
      </c>
      <c r="AA104" s="196">
        <f t="shared" si="34"/>
        <v>0.19373790724229123</v>
      </c>
      <c r="AB104" s="196">
        <f t="shared" si="24"/>
        <v>0.25911201826342112</v>
      </c>
      <c r="AC104" s="196">
        <f t="shared" si="32"/>
        <v>0.45284992550571235</v>
      </c>
      <c r="AD104" s="247">
        <f t="shared" si="29"/>
        <v>0.54715007449428765</v>
      </c>
      <c r="AF104" s="251">
        <f t="shared" si="25"/>
        <v>0.57218076821821762</v>
      </c>
      <c r="AG104" s="251">
        <f t="shared" si="26"/>
        <v>0.42781923178178233</v>
      </c>
    </row>
    <row r="105" spans="1:33" x14ac:dyDescent="0.25">
      <c r="A105" s="206">
        <v>2039</v>
      </c>
      <c r="B105" s="195">
        <f t="shared" si="27"/>
        <v>5309.9913659214626</v>
      </c>
      <c r="C105" s="195">
        <f t="shared" si="9"/>
        <v>4188.9608036803811</v>
      </c>
      <c r="D105" s="195">
        <f t="shared" si="10"/>
        <v>4337.9641657060765</v>
      </c>
      <c r="E105" s="195">
        <f t="shared" si="11"/>
        <v>13836.91633530792</v>
      </c>
      <c r="F105" s="221">
        <f t="shared" si="12"/>
        <v>0.38375540020950027</v>
      </c>
      <c r="H105" s="206">
        <v>2039</v>
      </c>
      <c r="I105" s="195">
        <f t="shared" si="13"/>
        <v>3232.5083446268072</v>
      </c>
      <c r="J105" s="195">
        <f t="shared" si="14"/>
        <v>167.08509679149654</v>
      </c>
      <c r="K105" s="195">
        <f t="shared" si="15"/>
        <v>4365.6974465333451</v>
      </c>
      <c r="L105" s="195">
        <f t="shared" si="16"/>
        <v>2400.2929081866259</v>
      </c>
      <c r="M105" s="195">
        <f t="shared" si="17"/>
        <v>4376.1758428935282</v>
      </c>
      <c r="O105" s="195">
        <f t="shared" si="18"/>
        <v>3399.5934414183039</v>
      </c>
      <c r="P105" s="196">
        <f t="shared" si="19"/>
        <v>0.95085144748314698</v>
      </c>
      <c r="Q105" s="195">
        <f t="shared" si="20"/>
        <v>11142.1661976135</v>
      </c>
      <c r="R105" s="196">
        <f t="shared" si="21"/>
        <v>0.21542426002411774</v>
      </c>
      <c r="S105" s="464">
        <f t="shared" si="22"/>
        <v>14541.759639031803</v>
      </c>
      <c r="T105" s="196">
        <f t="shared" si="28"/>
        <v>0.23378143538374771</v>
      </c>
      <c r="W105" s="195">
        <f t="shared" si="30"/>
        <v>322.80988689197056</v>
      </c>
      <c r="X105" s="195">
        <f t="shared" si="23"/>
        <v>176.736642852964</v>
      </c>
      <c r="Y105" s="195">
        <f t="shared" si="31"/>
        <v>205.29677397894829</v>
      </c>
      <c r="Z105" s="195">
        <f t="shared" si="33"/>
        <v>704.84330372388285</v>
      </c>
      <c r="AA105" s="196">
        <f t="shared" si="34"/>
        <v>0.19516146233165182</v>
      </c>
      <c r="AB105" s="196">
        <f t="shared" si="24"/>
        <v>0.26282669643566042</v>
      </c>
      <c r="AC105" s="196">
        <f t="shared" si="32"/>
        <v>0.45798815876731225</v>
      </c>
      <c r="AD105" s="247">
        <f t="shared" si="29"/>
        <v>0.54201184123268775</v>
      </c>
      <c r="AF105" s="251">
        <f t="shared" si="25"/>
        <v>0.57387225281777088</v>
      </c>
      <c r="AG105" s="251">
        <f t="shared" si="26"/>
        <v>0.42612774718222907</v>
      </c>
    </row>
    <row r="106" spans="1:33" x14ac:dyDescent="0.25">
      <c r="A106" s="206">
        <v>2040</v>
      </c>
      <c r="B106" s="195">
        <f t="shared" si="27"/>
        <v>5512.0733536034413</v>
      </c>
      <c r="C106" s="195">
        <f t="shared" si="9"/>
        <v>4233.5548592113309</v>
      </c>
      <c r="D106" s="195">
        <f t="shared" si="10"/>
        <v>4373.2611154133501</v>
      </c>
      <c r="E106" s="195">
        <f t="shared" si="11"/>
        <v>14118.889328228121</v>
      </c>
      <c r="F106" s="221">
        <f t="shared" si="12"/>
        <v>0.39040417595618271</v>
      </c>
      <c r="H106" s="206">
        <v>2040</v>
      </c>
      <c r="I106" s="195">
        <f t="shared" si="13"/>
        <v>3376.7171149487936</v>
      </c>
      <c r="J106" s="195">
        <f t="shared" si="14"/>
        <v>170.96646194710962</v>
      </c>
      <c r="K106" s="195">
        <f t="shared" si="15"/>
        <v>4423.8894970095853</v>
      </c>
      <c r="L106" s="195">
        <f t="shared" si="16"/>
        <v>2489.8211043238098</v>
      </c>
      <c r="M106" s="195">
        <f t="shared" si="17"/>
        <v>4422.5868803676512</v>
      </c>
      <c r="O106" s="195">
        <f t="shared" si="18"/>
        <v>3547.6835768959031</v>
      </c>
      <c r="P106" s="196">
        <f t="shared" si="19"/>
        <v>0.95180898796597324</v>
      </c>
      <c r="Q106" s="195">
        <f t="shared" si="20"/>
        <v>11336.297481701047</v>
      </c>
      <c r="R106" s="196">
        <f t="shared" si="21"/>
        <v>0.21963265416621761</v>
      </c>
      <c r="S106" s="464">
        <f t="shared" si="22"/>
        <v>14883.98105859695</v>
      </c>
      <c r="T106" s="196">
        <f t="shared" si="28"/>
        <v>0.23835582448868881</v>
      </c>
      <c r="W106" s="195">
        <f t="shared" si="30"/>
        <v>354.46486566916155</v>
      </c>
      <c r="X106" s="195">
        <f t="shared" si="23"/>
        <v>190.33463779825433</v>
      </c>
      <c r="Y106" s="195">
        <f t="shared" si="31"/>
        <v>220.29222690141069</v>
      </c>
      <c r="Z106" s="195">
        <f t="shared" si="33"/>
        <v>765.09173036882657</v>
      </c>
      <c r="AA106" s="196">
        <f t="shared" si="34"/>
        <v>0.19662825555862989</v>
      </c>
      <c r="AB106" s="196">
        <f t="shared" si="24"/>
        <v>0.26666895652636452</v>
      </c>
      <c r="AC106" s="196">
        <f t="shared" si="32"/>
        <v>0.46329721208499436</v>
      </c>
      <c r="AD106" s="247">
        <f t="shared" si="29"/>
        <v>0.5367027879150057</v>
      </c>
      <c r="AF106" s="251">
        <f t="shared" si="25"/>
        <v>0.57558938316564412</v>
      </c>
      <c r="AG106" s="251">
        <f t="shared" si="26"/>
        <v>0.42441061683435599</v>
      </c>
    </row>
    <row r="107" spans="1:33" x14ac:dyDescent="0.25">
      <c r="A107" s="206">
        <v>2041</v>
      </c>
      <c r="B107" s="195">
        <f t="shared" si="27"/>
        <v>5718.1590295466976</v>
      </c>
      <c r="C107" s="195">
        <f t="shared" si="9"/>
        <v>4290.6522093371022</v>
      </c>
      <c r="D107" s="195">
        <f t="shared" si="10"/>
        <v>4406.4565660953976</v>
      </c>
      <c r="E107" s="195">
        <f t="shared" si="11"/>
        <v>14415.267804979198</v>
      </c>
      <c r="F107" s="221">
        <f t="shared" si="12"/>
        <v>0.39667379801099362</v>
      </c>
      <c r="H107" s="206">
        <v>2041</v>
      </c>
      <c r="I107" s="195">
        <f t="shared" si="13"/>
        <v>3524.9668005615631</v>
      </c>
      <c r="J107" s="195">
        <f t="shared" si="14"/>
        <v>174.90992278590224</v>
      </c>
      <c r="K107" s="195">
        <f t="shared" si="15"/>
        <v>4495.6268829829614</v>
      </c>
      <c r="L107" s="195">
        <f t="shared" si="16"/>
        <v>2581.3698909755039</v>
      </c>
      <c r="M107" s="195">
        <f t="shared" si="17"/>
        <v>4467.0981668798677</v>
      </c>
      <c r="O107" s="195">
        <f t="shared" si="18"/>
        <v>3699.8767233474655</v>
      </c>
      <c r="P107" s="196">
        <f t="shared" si="19"/>
        <v>0.95272547280233366</v>
      </c>
      <c r="Q107" s="195">
        <f t="shared" si="20"/>
        <v>11544.094940838333</v>
      </c>
      <c r="R107" s="196">
        <f t="shared" si="21"/>
        <v>0.2236095513944244</v>
      </c>
      <c r="S107" s="464">
        <f t="shared" si="22"/>
        <v>15243.971664185799</v>
      </c>
      <c r="T107" s="196">
        <f t="shared" si="28"/>
        <v>0.24271081086039795</v>
      </c>
      <c r="W107" s="195">
        <f t="shared" si="30"/>
        <v>388.17766199036942</v>
      </c>
      <c r="X107" s="195">
        <f t="shared" si="23"/>
        <v>204.97467364585918</v>
      </c>
      <c r="Y107" s="195">
        <f t="shared" si="31"/>
        <v>235.55152357037241</v>
      </c>
      <c r="Z107" s="195">
        <f t="shared" si="33"/>
        <v>828.70385920660101</v>
      </c>
      <c r="AA107" s="196">
        <f t="shared" si="34"/>
        <v>0.19801617719744216</v>
      </c>
      <c r="AB107" s="196">
        <f t="shared" si="24"/>
        <v>0.27039923764328239</v>
      </c>
      <c r="AC107" s="196">
        <f t="shared" si="32"/>
        <v>0.46841541484072458</v>
      </c>
      <c r="AD107" s="247">
        <f t="shared" si="29"/>
        <v>0.53158458515927542</v>
      </c>
      <c r="AF107" s="251">
        <f t="shared" si="25"/>
        <v>0.57726374725568397</v>
      </c>
      <c r="AG107" s="251">
        <f t="shared" si="26"/>
        <v>0.42273625274431598</v>
      </c>
    </row>
    <row r="108" spans="1:33" x14ac:dyDescent="0.25">
      <c r="A108" s="206">
        <v>2042</v>
      </c>
      <c r="B108" s="195">
        <f t="shared" si="27"/>
        <v>5930.4951003395727</v>
      </c>
      <c r="C108" s="195">
        <f t="shared" si="9"/>
        <v>4340.2847870172445</v>
      </c>
      <c r="D108" s="195">
        <f t="shared" si="10"/>
        <v>4440.4545598593286</v>
      </c>
      <c r="E108" s="195">
        <f t="shared" si="11"/>
        <v>14711.234447216146</v>
      </c>
      <c r="F108" s="221">
        <f t="shared" si="12"/>
        <v>0.40312695182842523</v>
      </c>
      <c r="H108" s="206">
        <v>2042</v>
      </c>
      <c r="I108" s="195">
        <f t="shared" si="13"/>
        <v>3678.9552109490228</v>
      </c>
      <c r="J108" s="195">
        <f t="shared" si="14"/>
        <v>178.92186034996814</v>
      </c>
      <c r="K108" s="195">
        <f t="shared" si="15"/>
        <v>4560.0414042055554</v>
      </c>
      <c r="L108" s="195">
        <f t="shared" si="16"/>
        <v>2675.4536108120301</v>
      </c>
      <c r="M108" s="195">
        <f t="shared" si="17"/>
        <v>4512.7402934333213</v>
      </c>
      <c r="O108" s="195">
        <f t="shared" si="18"/>
        <v>3857.8770712989908</v>
      </c>
      <c r="P108" s="196">
        <f t="shared" si="19"/>
        <v>0.95362167921806718</v>
      </c>
      <c r="Q108" s="195">
        <f t="shared" si="20"/>
        <v>11748.235308450907</v>
      </c>
      <c r="R108" s="196">
        <f t="shared" si="21"/>
        <v>0.22773238197633691</v>
      </c>
      <c r="S108" s="464">
        <f t="shared" si="22"/>
        <v>15606.112379749899</v>
      </c>
      <c r="T108" s="196">
        <f t="shared" si="28"/>
        <v>0.24720295339567563</v>
      </c>
      <c r="W108" s="195">
        <f t="shared" si="30"/>
        <v>423.91372142148066</v>
      </c>
      <c r="X108" s="195">
        <f t="shared" si="23"/>
        <v>219.75661718831088</v>
      </c>
      <c r="Y108" s="195">
        <f t="shared" si="31"/>
        <v>251.20759392396121</v>
      </c>
      <c r="Z108" s="195">
        <f t="shared" si="33"/>
        <v>894.87793253375276</v>
      </c>
      <c r="AA108" s="196">
        <f t="shared" si="34"/>
        <v>0.19945087612191875</v>
      </c>
      <c r="AB108" s="196">
        <f t="shared" si="24"/>
        <v>0.27426034862715237</v>
      </c>
      <c r="AC108" s="196">
        <f t="shared" si="32"/>
        <v>0.47371122474907112</v>
      </c>
      <c r="AD108" s="247">
        <f t="shared" si="29"/>
        <v>0.52628877525092888</v>
      </c>
      <c r="AF108" s="251">
        <f t="shared" si="25"/>
        <v>0.57896105116029373</v>
      </c>
      <c r="AG108" s="251">
        <f t="shared" si="26"/>
        <v>0.42103894883970622</v>
      </c>
    </row>
    <row r="109" spans="1:33" x14ac:dyDescent="0.25">
      <c r="A109" s="206">
        <v>2043</v>
      </c>
      <c r="B109" s="195">
        <f t="shared" si="27"/>
        <v>6148.3501818984059</v>
      </c>
      <c r="C109" s="195">
        <f t="shared" si="9"/>
        <v>4389.1146205130044</v>
      </c>
      <c r="D109" s="195">
        <f t="shared" si="10"/>
        <v>4474.2714524226121</v>
      </c>
      <c r="E109" s="195">
        <f t="shared" si="11"/>
        <v>15011.736254834022</v>
      </c>
      <c r="F109" s="221">
        <f t="shared" si="12"/>
        <v>0.4095695579462727</v>
      </c>
      <c r="H109" s="206">
        <v>2043</v>
      </c>
      <c r="I109" s="195">
        <f t="shared" si="13"/>
        <v>3838.3349225802285</v>
      </c>
      <c r="J109" s="195">
        <f t="shared" si="14"/>
        <v>183.00353979769073</v>
      </c>
      <c r="K109" s="195">
        <f t="shared" si="15"/>
        <v>4624.1465272050564</v>
      </c>
      <c r="L109" s="195">
        <f t="shared" si="16"/>
        <v>2771.9569002373601</v>
      </c>
      <c r="M109" s="195">
        <f t="shared" si="17"/>
        <v>4558.5133818014165</v>
      </c>
      <c r="O109" s="195">
        <f t="shared" si="18"/>
        <v>4021.3384623779193</v>
      </c>
      <c r="P109" s="196">
        <f t="shared" si="19"/>
        <v>0.95449188335928425</v>
      </c>
      <c r="Q109" s="195">
        <f t="shared" si="20"/>
        <v>11954.616809243833</v>
      </c>
      <c r="R109" s="196">
        <f t="shared" si="21"/>
        <v>0.23187333767937771</v>
      </c>
      <c r="S109" s="464">
        <f t="shared" si="22"/>
        <v>15975.955271621751</v>
      </c>
      <c r="T109" s="196">
        <f t="shared" si="28"/>
        <v>0.25171192545343835</v>
      </c>
      <c r="W109" s="195">
        <f t="shared" si="30"/>
        <v>461.94164091918265</v>
      </c>
      <c r="X109" s="195">
        <f t="shared" si="23"/>
        <v>235.03190669205196</v>
      </c>
      <c r="Y109" s="195">
        <f t="shared" si="31"/>
        <v>267.24546917649513</v>
      </c>
      <c r="Z109" s="195">
        <f t="shared" si="33"/>
        <v>964.21901678772974</v>
      </c>
      <c r="AA109" s="196">
        <f t="shared" si="34"/>
        <v>0.20089876218665914</v>
      </c>
      <c r="AB109" s="196">
        <f t="shared" si="24"/>
        <v>0.27818496555201278</v>
      </c>
      <c r="AC109" s="196">
        <f t="shared" si="32"/>
        <v>0.47908372773867192</v>
      </c>
      <c r="AD109" s="247">
        <f t="shared" si="29"/>
        <v>0.52091627226132808</v>
      </c>
      <c r="AF109" s="251">
        <f t="shared" si="25"/>
        <v>0.58066043458640626</v>
      </c>
      <c r="AG109" s="251">
        <f t="shared" si="26"/>
        <v>0.41933956541359374</v>
      </c>
    </row>
    <row r="110" spans="1:33" x14ac:dyDescent="0.25">
      <c r="A110" s="206">
        <v>2044</v>
      </c>
      <c r="B110" s="195">
        <f t="shared" si="27"/>
        <v>6371.7312287567802</v>
      </c>
      <c r="C110" s="195">
        <f t="shared" si="9"/>
        <v>4437.1468099033118</v>
      </c>
      <c r="D110" s="195">
        <f t="shared" si="10"/>
        <v>4507.8923409438958</v>
      </c>
      <c r="E110" s="195">
        <f t="shared" si="11"/>
        <v>15316.770379603988</v>
      </c>
      <c r="F110" s="221">
        <f t="shared" si="12"/>
        <v>0.41599704577679514</v>
      </c>
      <c r="H110" s="206">
        <v>2044</v>
      </c>
      <c r="I110" s="195">
        <f t="shared" si="13"/>
        <v>4003.3190009705104</v>
      </c>
      <c r="J110" s="195">
        <f t="shared" si="14"/>
        <v>187.15901306293111</v>
      </c>
      <c r="K110" s="195">
        <f t="shared" si="15"/>
        <v>4688.0120589114358</v>
      </c>
      <c r="L110" s="195">
        <f t="shared" si="16"/>
        <v>2870.9336715757827</v>
      </c>
      <c r="M110" s="195">
        <f t="shared" si="17"/>
        <v>4604.4323582764982</v>
      </c>
      <c r="O110" s="195">
        <f t="shared" si="18"/>
        <v>4190.4780140334415</v>
      </c>
      <c r="P110" s="196">
        <f t="shared" si="19"/>
        <v>0.95533707313672656</v>
      </c>
      <c r="Q110" s="195">
        <f t="shared" si="20"/>
        <v>12163.378088763717</v>
      </c>
      <c r="R110" s="196">
        <f t="shared" si="21"/>
        <v>0.23603094885522743</v>
      </c>
      <c r="S110" s="464">
        <f t="shared" si="22"/>
        <v>16353.856102797159</v>
      </c>
      <c r="T110" s="196">
        <f t="shared" si="28"/>
        <v>0.25623791647015309</v>
      </c>
      <c r="W110" s="195">
        <f t="shared" si="30"/>
        <v>502.52144378951289</v>
      </c>
      <c r="X110" s="195">
        <f t="shared" si="23"/>
        <v>250.86524900812401</v>
      </c>
      <c r="Y110" s="195">
        <f t="shared" si="31"/>
        <v>283.69903039553355</v>
      </c>
      <c r="Z110" s="195">
        <f t="shared" si="33"/>
        <v>1037.0857231931705</v>
      </c>
      <c r="AA110" s="196">
        <f t="shared" si="34"/>
        <v>0.20236602958346417</v>
      </c>
      <c r="AB110" s="196">
        <f t="shared" si="24"/>
        <v>0.28218547136889427</v>
      </c>
      <c r="AC110" s="196">
        <f t="shared" si="32"/>
        <v>0.48455150095235844</v>
      </c>
      <c r="AD110" s="247">
        <f t="shared" si="29"/>
        <v>0.51544849904764156</v>
      </c>
      <c r="AF110" s="251">
        <f t="shared" si="25"/>
        <v>0.58236424985636148</v>
      </c>
      <c r="AG110" s="251">
        <f t="shared" si="26"/>
        <v>0.41763575014363846</v>
      </c>
    </row>
    <row r="111" spans="1:33" x14ac:dyDescent="0.25">
      <c r="A111" s="206">
        <v>2045</v>
      </c>
      <c r="B111" s="195">
        <f t="shared" si="27"/>
        <v>6600.6511238897283</v>
      </c>
      <c r="C111" s="195">
        <f t="shared" si="9"/>
        <v>4484.3818271042319</v>
      </c>
      <c r="D111" s="195">
        <f t="shared" si="10"/>
        <v>4541.3051169957234</v>
      </c>
      <c r="E111" s="195">
        <f t="shared" si="11"/>
        <v>15626.338067989684</v>
      </c>
      <c r="F111" s="221">
        <f t="shared" si="12"/>
        <v>0.42240549866325122</v>
      </c>
      <c r="H111" s="206">
        <v>2045</v>
      </c>
      <c r="I111" s="195">
        <f t="shared" si="13"/>
        <v>4174.1224842158808</v>
      </c>
      <c r="J111" s="195">
        <f t="shared" si="14"/>
        <v>191.3920618668424</v>
      </c>
      <c r="K111" s="195">
        <f t="shared" si="15"/>
        <v>4751.6974285091883</v>
      </c>
      <c r="L111" s="195">
        <f t="shared" si="16"/>
        <v>2972.4364081831336</v>
      </c>
      <c r="M111" s="195">
        <f t="shared" si="17"/>
        <v>4650.5193688190229</v>
      </c>
      <c r="O111" s="195">
        <f t="shared" si="18"/>
        <v>4365.5145460827234</v>
      </c>
      <c r="P111" s="196">
        <f t="shared" si="19"/>
        <v>0.95615818940780228</v>
      </c>
      <c r="Q111" s="195">
        <f t="shared" si="20"/>
        <v>12374.653205511346</v>
      </c>
      <c r="R111" s="196">
        <f t="shared" si="21"/>
        <v>0.24020361288664546</v>
      </c>
      <c r="S111" s="464">
        <f t="shared" si="22"/>
        <v>16740.167751594068</v>
      </c>
      <c r="T111" s="196">
        <f t="shared" si="28"/>
        <v>0.26078081240655554</v>
      </c>
      <c r="W111" s="195">
        <f t="shared" si="30"/>
        <v>545.90776850928614</v>
      </c>
      <c r="X111" s="195">
        <f t="shared" si="23"/>
        <v>267.3156014049564</v>
      </c>
      <c r="Y111" s="195">
        <f t="shared" si="31"/>
        <v>300.60631369014209</v>
      </c>
      <c r="Z111" s="195">
        <f t="shared" si="33"/>
        <v>1113.8296836043846</v>
      </c>
      <c r="AA111" s="196">
        <f t="shared" si="34"/>
        <v>0.20385251886945965</v>
      </c>
      <c r="AB111" s="196">
        <f t="shared" si="24"/>
        <v>0.28626529406466239</v>
      </c>
      <c r="AC111" s="196">
        <f t="shared" si="32"/>
        <v>0.49011781293412204</v>
      </c>
      <c r="AD111" s="247">
        <f t="shared" si="29"/>
        <v>0.50988218706587796</v>
      </c>
      <c r="AF111" s="251">
        <f t="shared" si="25"/>
        <v>0.5840744541621874</v>
      </c>
      <c r="AG111" s="251">
        <f t="shared" si="26"/>
        <v>0.4159255458378126</v>
      </c>
    </row>
    <row r="112" spans="1:33" x14ac:dyDescent="0.25">
      <c r="A112" s="206">
        <v>2046</v>
      </c>
      <c r="B112" s="195">
        <f t="shared" si="27"/>
        <v>6835.13077423103</v>
      </c>
      <c r="C112" s="195">
        <f t="shared" si="9"/>
        <v>4530.8177704886739</v>
      </c>
      <c r="D112" s="195">
        <f t="shared" si="10"/>
        <v>4574.5004373601332</v>
      </c>
      <c r="E112" s="195">
        <f t="shared" si="11"/>
        <v>15940.448982079837</v>
      </c>
      <c r="F112" s="221">
        <f t="shared" si="12"/>
        <v>0.4287916094405525</v>
      </c>
      <c r="H112" s="206">
        <v>2046</v>
      </c>
      <c r="I112" s="195">
        <f t="shared" si="13"/>
        <v>4350.9272714746185</v>
      </c>
      <c r="J112" s="195">
        <f t="shared" si="14"/>
        <v>195.70532669217471</v>
      </c>
      <c r="K112" s="195">
        <f t="shared" si="15"/>
        <v>4815.2419302756625</v>
      </c>
      <c r="L112" s="195">
        <f t="shared" si="16"/>
        <v>3076.5045841427827</v>
      </c>
      <c r="M112" s="195">
        <f t="shared" si="17"/>
        <v>4696.7929167068723</v>
      </c>
      <c r="O112" s="195">
        <f t="shared" si="18"/>
        <v>4546.6325981667933</v>
      </c>
      <c r="P112" s="196">
        <f t="shared" si="19"/>
        <v>0.95695598391409864</v>
      </c>
      <c r="Q112" s="195">
        <f t="shared" si="20"/>
        <v>12588.539431125319</v>
      </c>
      <c r="R112" s="196">
        <f t="shared" si="21"/>
        <v>0.24438931942621456</v>
      </c>
      <c r="S112" s="464">
        <f t="shared" si="22"/>
        <v>17135.172029292113</v>
      </c>
      <c r="T112" s="196">
        <f t="shared" si="28"/>
        <v>0.26533918599675849</v>
      </c>
      <c r="W112" s="195">
        <f t="shared" si="30"/>
        <v>592.30108138637115</v>
      </c>
      <c r="X112" s="195">
        <f t="shared" si="23"/>
        <v>284.42415978698864</v>
      </c>
      <c r="Y112" s="195">
        <f t="shared" si="31"/>
        <v>317.99780603891395</v>
      </c>
      <c r="Z112" s="195">
        <f t="shared" si="33"/>
        <v>1194.7230472122737</v>
      </c>
      <c r="AA112" s="196">
        <f t="shared" si="34"/>
        <v>0.2053497480959072</v>
      </c>
      <c r="AB112" s="196">
        <f t="shared" si="24"/>
        <v>0.29041459056687025</v>
      </c>
      <c r="AC112" s="196">
        <f t="shared" si="32"/>
        <v>0.49576433866277747</v>
      </c>
      <c r="AD112" s="247">
        <f t="shared" si="29"/>
        <v>0.50423566133722253</v>
      </c>
      <c r="AF112" s="251">
        <f t="shared" si="25"/>
        <v>0.58579161088956899</v>
      </c>
      <c r="AG112" s="251">
        <f t="shared" si="26"/>
        <v>0.41420838911043095</v>
      </c>
    </row>
    <row r="113" spans="1:53" x14ac:dyDescent="0.25">
      <c r="A113" s="206">
        <v>2047</v>
      </c>
      <c r="B113" s="195">
        <f t="shared" si="27"/>
        <v>7075.2021312841571</v>
      </c>
      <c r="C113" s="195">
        <f t="shared" si="9"/>
        <v>4576.4430329897477</v>
      </c>
      <c r="D113" s="195">
        <f t="shared" si="10"/>
        <v>4607.4749978957552</v>
      </c>
      <c r="E113" s="195">
        <f t="shared" si="11"/>
        <v>16259.12016216966</v>
      </c>
      <c r="F113" s="221">
        <f t="shared" si="12"/>
        <v>0.43515282873338601</v>
      </c>
      <c r="H113" s="206">
        <v>2047</v>
      </c>
      <c r="I113" s="195">
        <f t="shared" si="13"/>
        <v>4533.9158861018177</v>
      </c>
      <c r="J113" s="195">
        <f t="shared" si="14"/>
        <v>200.10108494482884</v>
      </c>
      <c r="K113" s="195">
        <f t="shared" si="15"/>
        <v>4878.6630763430821</v>
      </c>
      <c r="L113" s="195">
        <f t="shared" si="16"/>
        <v>3183.1866565631844</v>
      </c>
      <c r="M113" s="195">
        <f t="shared" si="17"/>
        <v>4743.2878880711951</v>
      </c>
      <c r="O113" s="195">
        <f t="shared" si="18"/>
        <v>4734.0169710466462</v>
      </c>
      <c r="P113" s="196">
        <f t="shared" si="19"/>
        <v>0.95773122779900222</v>
      </c>
      <c r="Q113" s="195">
        <f t="shared" si="20"/>
        <v>12805.137620977461</v>
      </c>
      <c r="R113" s="196">
        <f t="shared" si="21"/>
        <v>0.24858668065765002</v>
      </c>
      <c r="S113" s="464">
        <f t="shared" si="22"/>
        <v>17539.154592024108</v>
      </c>
      <c r="T113" s="196">
        <f t="shared" si="28"/>
        <v>0.26991135440470032</v>
      </c>
      <c r="W113" s="195">
        <f t="shared" si="30"/>
        <v>641.90041138084507</v>
      </c>
      <c r="X113" s="195">
        <f t="shared" si="23"/>
        <v>302.2200433533344</v>
      </c>
      <c r="Y113" s="195">
        <f t="shared" si="31"/>
        <v>335.91397512026833</v>
      </c>
      <c r="Z113" s="195">
        <f t="shared" si="33"/>
        <v>1280.0344298544478</v>
      </c>
      <c r="AA113" s="196">
        <f t="shared" si="34"/>
        <v>0.20684919605994179</v>
      </c>
      <c r="AB113" s="196">
        <f t="shared" si="24"/>
        <v>0.29462201159642992</v>
      </c>
      <c r="AC113" s="196">
        <f t="shared" si="32"/>
        <v>0.50147120765637165</v>
      </c>
      <c r="AD113" s="247">
        <f t="shared" si="29"/>
        <v>0.49852879234362835</v>
      </c>
      <c r="AF113" s="251">
        <f t="shared" si="25"/>
        <v>0.58751530915074357</v>
      </c>
      <c r="AG113" s="251">
        <f t="shared" si="26"/>
        <v>0.41248469084925649</v>
      </c>
    </row>
    <row r="114" spans="1:53" x14ac:dyDescent="0.25">
      <c r="A114" s="206">
        <v>2048</v>
      </c>
      <c r="B114" s="195">
        <f t="shared" si="27"/>
        <v>7320.9031267782548</v>
      </c>
      <c r="C114" s="195">
        <f t="shared" si="9"/>
        <v>4621.2350571607631</v>
      </c>
      <c r="D114" s="195">
        <f t="shared" si="10"/>
        <v>4640.229992592258</v>
      </c>
      <c r="E114" s="195">
        <f t="shared" si="11"/>
        <v>16582.368176531276</v>
      </c>
      <c r="F114" s="221">
        <f t="shared" si="12"/>
        <v>0.4414871898176399</v>
      </c>
      <c r="H114" s="206">
        <v>2048</v>
      </c>
      <c r="I114" s="195">
        <f t="shared" si="13"/>
        <v>4723.3175253890322</v>
      </c>
      <c r="J114" s="195">
        <f t="shared" si="14"/>
        <v>204.58204190174146</v>
      </c>
      <c r="K114" s="195">
        <f t="shared" si="15"/>
        <v>4941.9722387895963</v>
      </c>
      <c r="L114" s="195">
        <f t="shared" si="16"/>
        <v>3292.5562641928627</v>
      </c>
      <c r="M114" s="195">
        <f t="shared" si="17"/>
        <v>4790.0644640306182</v>
      </c>
      <c r="O114" s="195">
        <f t="shared" si="18"/>
        <v>4927.899567290774</v>
      </c>
      <c r="P114" s="196">
        <f t="shared" si="19"/>
        <v>0.95848494087426872</v>
      </c>
      <c r="Q114" s="195">
        <f t="shared" si="20"/>
        <v>13024.592967013077</v>
      </c>
      <c r="R114" s="196">
        <f t="shared" si="21"/>
        <v>0.25279532900043805</v>
      </c>
      <c r="S114" s="464">
        <f t="shared" si="22"/>
        <v>17952.492534303852</v>
      </c>
      <c r="T114" s="196">
        <f t="shared" si="28"/>
        <v>0.27449667826762664</v>
      </c>
      <c r="W114" s="195">
        <f t="shared" si="30"/>
        <v>694.97066280364015</v>
      </c>
      <c r="X114" s="195">
        <f t="shared" si="23"/>
        <v>320.73718162883324</v>
      </c>
      <c r="Y114" s="195">
        <f t="shared" si="31"/>
        <v>354.41651334010203</v>
      </c>
      <c r="Z114" s="195">
        <f t="shared" si="33"/>
        <v>1370.1243577725754</v>
      </c>
      <c r="AA114" s="196">
        <f t="shared" si="34"/>
        <v>0.20834775209716017</v>
      </c>
      <c r="AB114" s="196">
        <f t="shared" si="24"/>
        <v>0.29888406146862501</v>
      </c>
      <c r="AC114" s="196">
        <f t="shared" si="32"/>
        <v>0.50723181356578517</v>
      </c>
      <c r="AD114" s="247">
        <f t="shared" si="29"/>
        <v>0.49276818643421483</v>
      </c>
      <c r="AF114" s="251">
        <f t="shared" si="25"/>
        <v>0.58924549579708374</v>
      </c>
      <c r="AG114" s="251">
        <f t="shared" si="26"/>
        <v>0.41075450420291626</v>
      </c>
    </row>
    <row r="115" spans="1:53" x14ac:dyDescent="0.25">
      <c r="A115" s="206">
        <v>2049</v>
      </c>
      <c r="B115" s="195">
        <f t="shared" si="27"/>
        <v>7572.2776853296864</v>
      </c>
      <c r="C115" s="195">
        <f t="shared" si="9"/>
        <v>4665.1640427115844</v>
      </c>
      <c r="D115" s="195">
        <f t="shared" si="10"/>
        <v>4672.7700827964218</v>
      </c>
      <c r="E115" s="195">
        <f t="shared" si="11"/>
        <v>16910.211810837693</v>
      </c>
      <c r="F115" s="221">
        <f t="shared" si="12"/>
        <v>0.4477931897030788</v>
      </c>
      <c r="H115" s="206">
        <v>2049</v>
      </c>
      <c r="I115" s="195">
        <f t="shared" si="13"/>
        <v>4919.3781030036043</v>
      </c>
      <c r="J115" s="195">
        <f t="shared" si="14"/>
        <v>209.15074891074258</v>
      </c>
      <c r="K115" s="195">
        <f t="shared" si="15"/>
        <v>5005.1689938814297</v>
      </c>
      <c r="L115" s="195">
        <f t="shared" si="16"/>
        <v>3404.6968856546473</v>
      </c>
      <c r="M115" s="195">
        <f t="shared" si="17"/>
        <v>4837.1979269679332</v>
      </c>
      <c r="O115" s="195">
        <f t="shared" si="18"/>
        <v>5128.5288519143469</v>
      </c>
      <c r="P115" s="196">
        <f t="shared" si="19"/>
        <v>0.95921817836070633</v>
      </c>
      <c r="Q115" s="195">
        <f t="shared" si="20"/>
        <v>13247.063806504011</v>
      </c>
      <c r="R115" s="196">
        <f t="shared" si="21"/>
        <v>0.25701520996547306</v>
      </c>
      <c r="S115" s="464">
        <f t="shared" si="22"/>
        <v>18375.592658418358</v>
      </c>
      <c r="T115" s="196">
        <f t="shared" si="28"/>
        <v>0.27909460920515283</v>
      </c>
      <c r="W115" s="195">
        <f t="shared" si="30"/>
        <v>751.79730332856616</v>
      </c>
      <c r="X115" s="195">
        <f t="shared" si="23"/>
        <v>340.0049511698453</v>
      </c>
      <c r="Y115" s="195">
        <f t="shared" si="31"/>
        <v>373.57859308225397</v>
      </c>
      <c r="Z115" s="195">
        <f t="shared" si="33"/>
        <v>1465.3808475806654</v>
      </c>
      <c r="AA115" s="196">
        <f t="shared" si="34"/>
        <v>0.20984214746367752</v>
      </c>
      <c r="AB115" s="196">
        <f t="shared" si="24"/>
        <v>0.30319670149478861</v>
      </c>
      <c r="AC115" s="196">
        <f t="shared" si="32"/>
        <v>0.51303884895846619</v>
      </c>
      <c r="AD115" s="247">
        <f t="shared" si="29"/>
        <v>0.48696115104153381</v>
      </c>
      <c r="AF115" s="251">
        <f t="shared" si="25"/>
        <v>0.59098195411578736</v>
      </c>
      <c r="AG115" s="251">
        <f t="shared" si="26"/>
        <v>0.40901804588421259</v>
      </c>
    </row>
    <row r="116" spans="1:53" ht="13.8" thickBot="1" x14ac:dyDescent="0.3">
      <c r="A116" s="208">
        <v>2050</v>
      </c>
      <c r="B116" s="195">
        <f t="shared" si="27"/>
        <v>7828.8712897156747</v>
      </c>
      <c r="C116" s="195">
        <f t="shared" si="9"/>
        <v>4712.6417397951955</v>
      </c>
      <c r="D116" s="195">
        <f t="shared" si="10"/>
        <v>4704.2930671913955</v>
      </c>
      <c r="E116" s="195">
        <f t="shared" si="11"/>
        <v>17245.806096702265</v>
      </c>
      <c r="F116" s="222">
        <f t="shared" si="12"/>
        <v>0.4539579794540719</v>
      </c>
      <c r="H116" s="208">
        <v>2050</v>
      </c>
      <c r="I116" s="195">
        <f t="shared" si="13"/>
        <v>5121.9700697699054</v>
      </c>
      <c r="J116" s="195">
        <f t="shared" si="14"/>
        <v>213.80818513153167</v>
      </c>
      <c r="K116" s="195">
        <f t="shared" si="15"/>
        <v>5073.0332015324448</v>
      </c>
      <c r="L116" s="195">
        <f t="shared" si="16"/>
        <v>3519.6011149891228</v>
      </c>
      <c r="M116" s="195">
        <f t="shared" si="17"/>
        <v>4883.8823434779406</v>
      </c>
      <c r="O116" s="195">
        <f t="shared" si="18"/>
        <v>5335.7782549014373</v>
      </c>
      <c r="P116" s="210">
        <f t="shared" si="19"/>
        <v>0.95992933459423135</v>
      </c>
      <c r="Q116" s="195">
        <f t="shared" si="20"/>
        <v>13476.51665999951</v>
      </c>
      <c r="R116" s="210">
        <f t="shared" si="21"/>
        <v>0.261165492818769</v>
      </c>
      <c r="S116" s="464">
        <f t="shared" si="22"/>
        <v>18812.294914900947</v>
      </c>
      <c r="T116" s="196">
        <f t="shared" si="28"/>
        <v>0.2836325009276271</v>
      </c>
      <c r="W116" s="195">
        <f t="shared" si="30"/>
        <v>812.69989504335354</v>
      </c>
      <c r="X116" s="195">
        <f t="shared" si="23"/>
        <v>360.3914617372493</v>
      </c>
      <c r="Y116" s="195">
        <f t="shared" si="31"/>
        <v>393.397461418077</v>
      </c>
      <c r="Z116" s="195">
        <f t="shared" si="33"/>
        <v>1566.4888181986798</v>
      </c>
      <c r="AA116" s="196">
        <f t="shared" si="34"/>
        <v>0.21130201536759516</v>
      </c>
      <c r="AB116" s="196">
        <f t="shared" si="24"/>
        <v>0.30750149321913367</v>
      </c>
      <c r="AC116" s="196">
        <f t="shared" si="32"/>
        <v>0.51880350858672886</v>
      </c>
      <c r="AD116" s="247">
        <f t="shared" si="29"/>
        <v>0.48119649141327114</v>
      </c>
      <c r="AF116" s="251">
        <f t="shared" si="25"/>
        <v>0.59271282504776734</v>
      </c>
      <c r="AG116" s="251">
        <f t="shared" si="26"/>
        <v>0.40728717495223266</v>
      </c>
    </row>
    <row r="117" spans="1:53" x14ac:dyDescent="0.25">
      <c r="A117" s="213">
        <v>2051</v>
      </c>
      <c r="B117" s="195">
        <f t="shared" si="27"/>
        <v>8092.1951037761028</v>
      </c>
      <c r="C117" s="195">
        <f t="shared" si="9"/>
        <v>4750.3498821995563</v>
      </c>
      <c r="D117" s="195">
        <f t="shared" si="10"/>
        <v>4737.2066014908296</v>
      </c>
      <c r="E117" s="195">
        <f t="shared" si="11"/>
        <v>17579.75158746649</v>
      </c>
      <c r="F117" s="214">
        <f t="shared" si="12"/>
        <v>0.46031339313949382</v>
      </c>
      <c r="H117" s="213">
        <v>2051</v>
      </c>
      <c r="I117" s="195">
        <f t="shared" si="13"/>
        <v>5332.4079998653979</v>
      </c>
      <c r="J117" s="195">
        <f t="shared" si="14"/>
        <v>218.56140338793168</v>
      </c>
      <c r="K117" s="195">
        <f t="shared" si="15"/>
        <v>5131.2629229135528</v>
      </c>
      <c r="L117" s="195">
        <f t="shared" si="16"/>
        <v>3637.5540768031442</v>
      </c>
      <c r="M117" s="195">
        <f t="shared" si="17"/>
        <v>4932.7597557202744</v>
      </c>
      <c r="O117" s="195">
        <f t="shared" si="18"/>
        <v>5550.9694032533298</v>
      </c>
      <c r="P117" s="214">
        <f t="shared" si="19"/>
        <v>0.96062644422795107</v>
      </c>
      <c r="Q117" s="195">
        <f t="shared" si="20"/>
        <v>13701.57675543697</v>
      </c>
      <c r="R117" s="214">
        <f t="shared" si="21"/>
        <v>0.26548434108940883</v>
      </c>
      <c r="S117" s="464">
        <f t="shared" si="22"/>
        <v>19252.5461586903</v>
      </c>
      <c r="T117" s="196">
        <f t="shared" si="28"/>
        <v>0.28832391089984266</v>
      </c>
      <c r="W117" s="195">
        <f t="shared" si="30"/>
        <v>877.7669728924393</v>
      </c>
      <c r="X117" s="195">
        <f t="shared" si="23"/>
        <v>380.91304071399645</v>
      </c>
      <c r="Y117" s="195">
        <f t="shared" si="31"/>
        <v>414.1145576173767</v>
      </c>
      <c r="Z117" s="195">
        <f t="shared" si="33"/>
        <v>1672.7945712238125</v>
      </c>
      <c r="AA117" s="196">
        <f t="shared" si="34"/>
        <v>0.21279208845695388</v>
      </c>
      <c r="AB117" s="196">
        <f t="shared" si="24"/>
        <v>0.31193879481597969</v>
      </c>
      <c r="AC117" s="196">
        <f t="shared" si="32"/>
        <v>0.5247308832729336</v>
      </c>
      <c r="AD117" s="247">
        <f t="shared" si="29"/>
        <v>0.47526911672706645</v>
      </c>
      <c r="AF117" s="251">
        <f t="shared" si="25"/>
        <v>0.59447386224021392</v>
      </c>
      <c r="AG117" s="251">
        <f t="shared" si="26"/>
        <v>0.40552613775978608</v>
      </c>
    </row>
    <row r="118" spans="1:53" x14ac:dyDescent="0.25">
      <c r="A118" s="194">
        <v>2052</v>
      </c>
      <c r="B118" s="195">
        <f t="shared" si="27"/>
        <v>8360.7893360350754</v>
      </c>
      <c r="C118" s="195">
        <f t="shared" si="9"/>
        <v>4791.5945789901698</v>
      </c>
      <c r="D118" s="195">
        <f t="shared" si="10"/>
        <v>4769.0904868923608</v>
      </c>
      <c r="E118" s="195">
        <f t="shared" si="11"/>
        <v>17921.474401917607</v>
      </c>
      <c r="F118" s="196">
        <f t="shared" si="12"/>
        <v>0.46652352080699716</v>
      </c>
      <c r="H118" s="194">
        <v>2052</v>
      </c>
      <c r="I118" s="195">
        <f t="shared" si="13"/>
        <v>5549.7883292842344</v>
      </c>
      <c r="J118" s="195">
        <f t="shared" si="14"/>
        <v>223.40769294845461</v>
      </c>
      <c r="K118" s="195">
        <f t="shared" si="15"/>
        <v>5194.2127686620624</v>
      </c>
      <c r="L118" s="195">
        <f t="shared" si="16"/>
        <v>3758.3498028755657</v>
      </c>
      <c r="M118" s="195">
        <f t="shared" si="17"/>
        <v>4981.2431392444923</v>
      </c>
      <c r="O118" s="195">
        <f t="shared" si="18"/>
        <v>5773.1960222326888</v>
      </c>
      <c r="P118" s="196">
        <f t="shared" si="19"/>
        <v>0.96130259702111154</v>
      </c>
      <c r="Q118" s="195">
        <f t="shared" si="20"/>
        <v>13933.805710782121</v>
      </c>
      <c r="R118" s="196">
        <f t="shared" si="21"/>
        <v>0.26972887959585345</v>
      </c>
      <c r="S118" s="464">
        <f t="shared" si="22"/>
        <v>19707.001733014811</v>
      </c>
      <c r="T118" s="196">
        <f t="shared" si="28"/>
        <v>0.2929515154281917</v>
      </c>
      <c r="W118" s="195">
        <f t="shared" si="30"/>
        <v>947.34879612472469</v>
      </c>
      <c r="X118" s="195">
        <f t="shared" si="23"/>
        <v>402.61818967189265</v>
      </c>
      <c r="Y118" s="195">
        <f t="shared" si="31"/>
        <v>435.56034530058605</v>
      </c>
      <c r="Z118" s="195">
        <f t="shared" si="33"/>
        <v>1785.5273310972034</v>
      </c>
      <c r="AA118" s="196">
        <f t="shared" si="34"/>
        <v>0.21422876523458848</v>
      </c>
      <c r="AB118" s="196">
        <f t="shared" si="24"/>
        <v>0.31634210849299566</v>
      </c>
      <c r="AC118" s="196">
        <f t="shared" si="32"/>
        <v>0.53057087372758416</v>
      </c>
      <c r="AD118" s="247">
        <f t="shared" si="29"/>
        <v>0.46942912627241584</v>
      </c>
      <c r="AF118" s="251">
        <f t="shared" si="25"/>
        <v>0.59622969174787022</v>
      </c>
      <c r="AG118" s="251">
        <f t="shared" si="26"/>
        <v>0.40377030825212973</v>
      </c>
    </row>
    <row r="119" spans="1:53" x14ac:dyDescent="0.25">
      <c r="A119" s="194">
        <v>2053</v>
      </c>
      <c r="B119" s="195">
        <f t="shared" si="27"/>
        <v>8635.1907218541492</v>
      </c>
      <c r="C119" s="195">
        <f t="shared" si="9"/>
        <v>4831.9001493721535</v>
      </c>
      <c r="D119" s="195">
        <f t="shared" si="10"/>
        <v>4800.7391683125388</v>
      </c>
      <c r="E119" s="195">
        <f t="shared" si="11"/>
        <v>18267.830039538843</v>
      </c>
      <c r="F119" s="196">
        <f t="shared" si="12"/>
        <v>0.47269931366583579</v>
      </c>
      <c r="H119" s="194">
        <v>2053</v>
      </c>
      <c r="I119" s="195">
        <f t="shared" si="13"/>
        <v>5774.6642192757754</v>
      </c>
      <c r="J119" s="195">
        <f t="shared" si="14"/>
        <v>228.35031498987382</v>
      </c>
      <c r="K119" s="195">
        <f t="shared" si="15"/>
        <v>5257.0836128099991</v>
      </c>
      <c r="L119" s="195">
        <f t="shared" si="16"/>
        <v>3882.1065358016795</v>
      </c>
      <c r="M119" s="195">
        <f t="shared" si="17"/>
        <v>5030.2382160513071</v>
      </c>
      <c r="O119" s="195">
        <f t="shared" si="18"/>
        <v>6003.0145342656488</v>
      </c>
      <c r="P119" s="196">
        <f t="shared" si="19"/>
        <v>0.96196072595086468</v>
      </c>
      <c r="Q119" s="195">
        <f t="shared" si="20"/>
        <v>14169.428364662985</v>
      </c>
      <c r="R119" s="196">
        <f t="shared" si="21"/>
        <v>0.2739776394567357</v>
      </c>
      <c r="S119" s="464">
        <f t="shared" si="22"/>
        <v>20172.442898928632</v>
      </c>
      <c r="T119" s="196">
        <f t="shared" si="28"/>
        <v>0.29758490651543607</v>
      </c>
      <c r="W119" s="195">
        <f t="shared" si="30"/>
        <v>1021.5800332233048</v>
      </c>
      <c r="X119" s="195">
        <f t="shared" si="23"/>
        <v>425.1834634378456</v>
      </c>
      <c r="Y119" s="195">
        <f t="shared" si="31"/>
        <v>457.84936272864252</v>
      </c>
      <c r="Z119" s="195">
        <f t="shared" si="33"/>
        <v>1904.6128593897929</v>
      </c>
      <c r="AA119" s="196">
        <f t="shared" si="34"/>
        <v>0.2156260422373302</v>
      </c>
      <c r="AB119" s="196">
        <f t="shared" si="24"/>
        <v>0.32074544564110546</v>
      </c>
      <c r="AC119" s="196">
        <f t="shared" si="32"/>
        <v>0.53637148787843558</v>
      </c>
      <c r="AD119" s="247">
        <f t="shared" si="29"/>
        <v>0.46362851212156447</v>
      </c>
      <c r="AF119" s="251">
        <f t="shared" si="25"/>
        <v>0.59799122975343522</v>
      </c>
      <c r="AG119" s="251">
        <f t="shared" si="26"/>
        <v>0.40200877024656495</v>
      </c>
    </row>
    <row r="120" spans="1:53" x14ac:dyDescent="0.25">
      <c r="A120" s="194">
        <v>2054</v>
      </c>
      <c r="B120" s="195">
        <f t="shared" si="27"/>
        <v>8915.4443623290317</v>
      </c>
      <c r="C120" s="195">
        <f t="shared" si="9"/>
        <v>4871.2206762430096</v>
      </c>
      <c r="D120" s="195">
        <f t="shared" si="10"/>
        <v>4832.1411433003941</v>
      </c>
      <c r="E120" s="195">
        <f t="shared" si="11"/>
        <v>18618.806181872435</v>
      </c>
      <c r="F120" s="196">
        <f t="shared" si="12"/>
        <v>0.47884081692677216</v>
      </c>
      <c r="H120" s="194">
        <v>2054</v>
      </c>
      <c r="I120" s="195">
        <f t="shared" si="13"/>
        <v>6007.2058273772418</v>
      </c>
      <c r="J120" s="195">
        <f t="shared" si="14"/>
        <v>233.39051329716028</v>
      </c>
      <c r="K120" s="195">
        <f t="shared" si="15"/>
        <v>5319.8373899190074</v>
      </c>
      <c r="L120" s="195">
        <f t="shared" si="16"/>
        <v>4008.8585213806737</v>
      </c>
      <c r="M120" s="195">
        <f t="shared" si="17"/>
        <v>5079.7776094018864</v>
      </c>
      <c r="O120" s="195">
        <f t="shared" si="18"/>
        <v>6240.5963406744022</v>
      </c>
      <c r="P120" s="196">
        <f t="shared" si="19"/>
        <v>0.96260124825315352</v>
      </c>
      <c r="Q120" s="195">
        <f t="shared" si="20"/>
        <v>14408.473520701569</v>
      </c>
      <c r="R120" s="196">
        <f t="shared" si="21"/>
        <v>0.27822923195999161</v>
      </c>
      <c r="S120" s="464">
        <f t="shared" si="22"/>
        <v>20649.069861375971</v>
      </c>
      <c r="T120" s="196">
        <f t="shared" si="28"/>
        <v>0.30222166821893615</v>
      </c>
      <c r="W120" s="195">
        <f t="shared" si="30"/>
        <v>1100.6199864288828</v>
      </c>
      <c r="X120" s="195">
        <f t="shared" si="23"/>
        <v>448.61671367599774</v>
      </c>
      <c r="Y120" s="195">
        <f t="shared" si="31"/>
        <v>481.02697939865266</v>
      </c>
      <c r="Z120" s="195">
        <f t="shared" si="33"/>
        <v>2030.2636795035332</v>
      </c>
      <c r="AA120" s="196">
        <f t="shared" si="34"/>
        <v>0.21697443854727738</v>
      </c>
      <c r="AB120" s="196">
        <f t="shared" si="24"/>
        <v>0.32513247965263886</v>
      </c>
      <c r="AC120" s="196">
        <f t="shared" si="32"/>
        <v>0.54210691819991619</v>
      </c>
      <c r="AD120" s="247">
        <f t="shared" si="29"/>
        <v>0.45789308180008376</v>
      </c>
      <c r="AF120" s="251">
        <f t="shared" si="25"/>
        <v>0.59975711199600978</v>
      </c>
      <c r="AG120" s="251">
        <f t="shared" si="26"/>
        <v>0.40024288800399027</v>
      </c>
    </row>
    <row r="121" spans="1:53" x14ac:dyDescent="0.25">
      <c r="A121" s="194">
        <v>2055</v>
      </c>
      <c r="B121" s="195">
        <f t="shared" si="27"/>
        <v>9201.5877908563543</v>
      </c>
      <c r="C121" s="195">
        <f t="shared" si="9"/>
        <v>4909.5253736331415</v>
      </c>
      <c r="D121" s="195">
        <f t="shared" si="10"/>
        <v>4863.2858833542923</v>
      </c>
      <c r="E121" s="195">
        <f t="shared" si="11"/>
        <v>18974.399047843788</v>
      </c>
      <c r="F121" s="196">
        <f t="shared" si="12"/>
        <v>0.48494752153439102</v>
      </c>
      <c r="H121" s="194">
        <v>2055</v>
      </c>
      <c r="I121" s="195">
        <f t="shared" si="13"/>
        <v>6247.5771294256865</v>
      </c>
      <c r="J121" s="195">
        <f t="shared" si="14"/>
        <v>238.52952642036288</v>
      </c>
      <c r="K121" s="195">
        <f t="shared" si="15"/>
        <v>5382.4517380993211</v>
      </c>
      <c r="L121" s="195">
        <f t="shared" si="16"/>
        <v>4138.637145327385</v>
      </c>
      <c r="M121" s="195">
        <f t="shared" si="17"/>
        <v>5129.8879637873988</v>
      </c>
      <c r="O121" s="195">
        <f t="shared" si="18"/>
        <v>6486.1066558460498</v>
      </c>
      <c r="P121" s="196">
        <f t="shared" si="19"/>
        <v>0.96322454454162076</v>
      </c>
      <c r="Q121" s="195">
        <f t="shared" si="20"/>
        <v>14650.976847214104</v>
      </c>
      <c r="R121" s="196">
        <f t="shared" si="21"/>
        <v>0.28248199341836722</v>
      </c>
      <c r="S121" s="464">
        <f t="shared" si="22"/>
        <v>21137.083503060152</v>
      </c>
      <c r="T121" s="196">
        <f t="shared" si="28"/>
        <v>0.30685911114023912</v>
      </c>
      <c r="W121" s="195">
        <f t="shared" si="30"/>
        <v>1184.6264838967163</v>
      </c>
      <c r="X121" s="195">
        <f t="shared" si="23"/>
        <v>472.92636446617962</v>
      </c>
      <c r="Y121" s="195">
        <f t="shared" si="31"/>
        <v>505.13160685346975</v>
      </c>
      <c r="Z121" s="195">
        <f t="shared" si="33"/>
        <v>2162.6844552163657</v>
      </c>
      <c r="AA121" s="196">
        <f t="shared" si="34"/>
        <v>0.21826713715463567</v>
      </c>
      <c r="AB121" s="196">
        <f t="shared" si="24"/>
        <v>0.32949029506781052</v>
      </c>
      <c r="AC121" s="196">
        <f t="shared" si="32"/>
        <v>0.54775743222244611</v>
      </c>
      <c r="AD121" s="247">
        <f t="shared" si="29"/>
        <v>0.45224256777755384</v>
      </c>
      <c r="AF121" s="251">
        <f t="shared" si="25"/>
        <v>0.60152592312796482</v>
      </c>
      <c r="AG121" s="251">
        <f t="shared" si="26"/>
        <v>0.39847407687203529</v>
      </c>
    </row>
    <row r="122" spans="1:53" x14ac:dyDescent="0.25">
      <c r="A122" s="194">
        <v>2056</v>
      </c>
      <c r="B122" s="195">
        <f t="shared" si="27"/>
        <v>9493.6506205229889</v>
      </c>
      <c r="C122" s="195">
        <f t="shared" si="9"/>
        <v>4946.8024152551825</v>
      </c>
      <c r="D122" s="195">
        <f t="shared" si="10"/>
        <v>4894.1675137227612</v>
      </c>
      <c r="E122" s="195">
        <f t="shared" si="11"/>
        <v>19334.620549500934</v>
      </c>
      <c r="F122" s="196">
        <f t="shared" si="12"/>
        <v>0.49101820210110297</v>
      </c>
      <c r="H122" s="194">
        <v>2056</v>
      </c>
      <c r="I122" s="195">
        <f t="shared" si="13"/>
        <v>6495.9718883425594</v>
      </c>
      <c r="J122" s="195">
        <f t="shared" si="14"/>
        <v>243.76891635525348</v>
      </c>
      <c r="K122" s="195">
        <f t="shared" si="15"/>
        <v>5444.9334840632582</v>
      </c>
      <c r="L122" s="195">
        <f t="shared" si="16"/>
        <v>4271.4848021391354</v>
      </c>
      <c r="M122" s="195">
        <f t="shared" si="17"/>
        <v>5180.5929164622057</v>
      </c>
      <c r="O122" s="195">
        <f t="shared" si="18"/>
        <v>6739.7408046978126</v>
      </c>
      <c r="P122" s="196">
        <f t="shared" si="19"/>
        <v>0.96383111407113187</v>
      </c>
      <c r="Q122" s="195">
        <f t="shared" si="20"/>
        <v>14897.011202664598</v>
      </c>
      <c r="R122" s="196">
        <f t="shared" si="21"/>
        <v>0.28673434852321944</v>
      </c>
      <c r="S122" s="464">
        <f t="shared" si="22"/>
        <v>21636.752007362411</v>
      </c>
      <c r="T122" s="196">
        <f t="shared" si="28"/>
        <v>0.31149503411623231</v>
      </c>
      <c r="W122" s="195">
        <f t="shared" si="30"/>
        <v>1273.8060699587058</v>
      </c>
      <c r="X122" s="195">
        <f t="shared" si="23"/>
        <v>498.13106880807572</v>
      </c>
      <c r="Y122" s="195">
        <f t="shared" si="31"/>
        <v>530.19431909469768</v>
      </c>
      <c r="Z122" s="195">
        <f t="shared" si="33"/>
        <v>2302.1314578614792</v>
      </c>
      <c r="AA122" s="196">
        <f t="shared" si="34"/>
        <v>0.21950222486005261</v>
      </c>
      <c r="AB122" s="196">
        <f t="shared" si="24"/>
        <v>0.3338137317977759</v>
      </c>
      <c r="AC122" s="196">
        <f t="shared" si="32"/>
        <v>0.55331595665782851</v>
      </c>
      <c r="AD122" s="247">
        <f t="shared" si="29"/>
        <v>0.44668404334217149</v>
      </c>
      <c r="AF122" s="251">
        <f t="shared" si="25"/>
        <v>0.60329677425913608</v>
      </c>
      <c r="AG122" s="251">
        <f t="shared" si="26"/>
        <v>0.39670322574086392</v>
      </c>
    </row>
    <row r="123" spans="1:53" x14ac:dyDescent="0.25">
      <c r="A123" s="194">
        <v>2057</v>
      </c>
      <c r="B123" s="195">
        <f t="shared" si="27"/>
        <v>9791.6484383849274</v>
      </c>
      <c r="C123" s="195">
        <f t="shared" si="9"/>
        <v>4983.0671999132401</v>
      </c>
      <c r="D123" s="195">
        <f t="shared" si="10"/>
        <v>4924.7802396804773</v>
      </c>
      <c r="E123" s="195">
        <f t="shared" si="11"/>
        <v>19699.495877978643</v>
      </c>
      <c r="F123" s="196">
        <f t="shared" si="12"/>
        <v>0.4970507112991992</v>
      </c>
      <c r="H123" s="194">
        <v>2057</v>
      </c>
      <c r="I123" s="195">
        <f t="shared" si="13"/>
        <v>6752.5611345923662</v>
      </c>
      <c r="J123" s="195">
        <f t="shared" si="14"/>
        <v>249.11000154185334</v>
      </c>
      <c r="K123" s="195">
        <f t="shared" si="15"/>
        <v>5507.3178548784208</v>
      </c>
      <c r="L123" s="195">
        <f t="shared" si="16"/>
        <v>4407.4284399712824</v>
      </c>
      <c r="M123" s="195">
        <f t="shared" si="17"/>
        <v>5231.9020390587766</v>
      </c>
      <c r="O123" s="195">
        <f t="shared" si="18"/>
        <v>7001.6711361342195</v>
      </c>
      <c r="P123" s="196">
        <f t="shared" si="19"/>
        <v>0.96442135074636015</v>
      </c>
      <c r="Q123" s="195">
        <f t="shared" si="20"/>
        <v>15146.648333908481</v>
      </c>
      <c r="R123" s="196">
        <f t="shared" si="21"/>
        <v>0.29098374391544207</v>
      </c>
      <c r="S123" s="464">
        <f t="shared" si="22"/>
        <v>22148.319470042701</v>
      </c>
      <c r="T123" s="196">
        <f t="shared" si="28"/>
        <v>0.31612651901669181</v>
      </c>
      <c r="W123" s="195">
        <f t="shared" si="30"/>
        <v>1368.3411361787221</v>
      </c>
      <c r="X123" s="195">
        <f t="shared" si="23"/>
        <v>524.25065496518073</v>
      </c>
      <c r="Y123" s="195">
        <f t="shared" si="31"/>
        <v>556.23180092015264</v>
      </c>
      <c r="Z123" s="195">
        <f t="shared" si="33"/>
        <v>2448.8235920640554</v>
      </c>
      <c r="AA123" s="196">
        <f t="shared" si="34"/>
        <v>0.22067765659470029</v>
      </c>
      <c r="AB123" s="196">
        <f t="shared" si="24"/>
        <v>0.3380972345869791</v>
      </c>
      <c r="AC123" s="196">
        <f t="shared" si="32"/>
        <v>0.55877489118167945</v>
      </c>
      <c r="AD123" s="247">
        <f t="shared" si="29"/>
        <v>0.4412251088183205</v>
      </c>
      <c r="AF123" s="251">
        <f t="shared" si="25"/>
        <v>0.60506876726687164</v>
      </c>
      <c r="AG123" s="251">
        <f t="shared" si="26"/>
        <v>0.3949312327331283</v>
      </c>
    </row>
    <row r="124" spans="1:53" x14ac:dyDescent="0.25">
      <c r="A124" s="194">
        <v>2058</v>
      </c>
      <c r="B124" s="195">
        <f t="shared" si="27"/>
        <v>10095.586185493006</v>
      </c>
      <c r="C124" s="195">
        <f t="shared" si="9"/>
        <v>5018.3522577507192</v>
      </c>
      <c r="D124" s="195">
        <f t="shared" si="10"/>
        <v>4955.1136570676645</v>
      </c>
      <c r="E124" s="195">
        <f t="shared" si="11"/>
        <v>20069.05210031139</v>
      </c>
      <c r="F124" s="196">
        <f t="shared" si="12"/>
        <v>0.50304250220848068</v>
      </c>
      <c r="H124" s="194">
        <v>2058</v>
      </c>
      <c r="I124" s="195">
        <f t="shared" si="13"/>
        <v>7017.4436273286119</v>
      </c>
      <c r="J124" s="195">
        <f t="shared" si="14"/>
        <v>254.55308012535338</v>
      </c>
      <c r="K124" s="195">
        <f t="shared" si="15"/>
        <v>5569.6447745419473</v>
      </c>
      <c r="L124" s="195">
        <f t="shared" si="16"/>
        <v>4546.4652903597716</v>
      </c>
      <c r="M124" s="195">
        <f t="shared" si="17"/>
        <v>5283.8003720712495</v>
      </c>
      <c r="O124" s="195">
        <f t="shared" si="18"/>
        <v>7271.9967074539654</v>
      </c>
      <c r="P124" s="196">
        <f t="shared" si="19"/>
        <v>0.96499543517883735</v>
      </c>
      <c r="Q124" s="195">
        <f t="shared" si="20"/>
        <v>15399.910436972968</v>
      </c>
      <c r="R124" s="196">
        <f t="shared" si="21"/>
        <v>0.29522673582856451</v>
      </c>
      <c r="S124" s="464">
        <f t="shared" si="22"/>
        <v>22671.907144426936</v>
      </c>
      <c r="T124" s="196">
        <f t="shared" si="28"/>
        <v>0.32074922771733039</v>
      </c>
      <c r="W124" s="195">
        <f t="shared" si="30"/>
        <v>1468.3227321953764</v>
      </c>
      <c r="X124" s="195">
        <f t="shared" si="23"/>
        <v>551.29251679122808</v>
      </c>
      <c r="Y124" s="195">
        <f t="shared" si="31"/>
        <v>583.23979512893857</v>
      </c>
      <c r="Z124" s="195">
        <f t="shared" si="33"/>
        <v>2602.855044115543</v>
      </c>
      <c r="AA124" s="196">
        <f t="shared" si="34"/>
        <v>0.22178938545952823</v>
      </c>
      <c r="AB124" s="196">
        <f t="shared" si="24"/>
        <v>0.34233067013669738</v>
      </c>
      <c r="AC124" s="196">
        <f t="shared" si="32"/>
        <v>0.56412005559622558</v>
      </c>
      <c r="AD124" s="247">
        <f t="shared" si="29"/>
        <v>0.43587994440377442</v>
      </c>
      <c r="AF124" s="251">
        <f t="shared" si="25"/>
        <v>0.60684009855824717</v>
      </c>
      <c r="AG124" s="251">
        <f t="shared" si="26"/>
        <v>0.39315990144175289</v>
      </c>
    </row>
    <row r="125" spans="1:53" x14ac:dyDescent="0.25">
      <c r="A125" s="194">
        <v>2059</v>
      </c>
      <c r="B125" s="195">
        <f t="shared" si="27"/>
        <v>10405.46015719885</v>
      </c>
      <c r="C125" s="195">
        <f t="shared" si="9"/>
        <v>5052.7064571011997</v>
      </c>
      <c r="D125" s="195">
        <f t="shared" si="10"/>
        <v>4985.1562264963168</v>
      </c>
      <c r="E125" s="195">
        <f t="shared" si="11"/>
        <v>20443.322840796369</v>
      </c>
      <c r="F125" s="196">
        <f t="shared" si="12"/>
        <v>0.50899064884079803</v>
      </c>
      <c r="H125" s="194">
        <v>2059</v>
      </c>
      <c r="I125" s="195">
        <f t="shared" si="13"/>
        <v>7290.6786237892329</v>
      </c>
      <c r="J125" s="195">
        <f t="shared" si="14"/>
        <v>260.09782480699562</v>
      </c>
      <c r="K125" s="195">
        <f t="shared" si="15"/>
        <v>5631.9657416921964</v>
      </c>
      <c r="L125" s="195">
        <f t="shared" si="16"/>
        <v>4688.579351497654</v>
      </c>
      <c r="M125" s="195">
        <f t="shared" si="17"/>
        <v>5336.2592081331113</v>
      </c>
      <c r="O125" s="195">
        <f t="shared" si="18"/>
        <v>7550.7764485962289</v>
      </c>
      <c r="P125" s="196">
        <f t="shared" si="19"/>
        <v>0.96555349948741354</v>
      </c>
      <c r="Q125" s="195">
        <f t="shared" si="20"/>
        <v>15656.804301322962</v>
      </c>
      <c r="R125" s="196">
        <f t="shared" si="21"/>
        <v>0.29945953601153974</v>
      </c>
      <c r="S125" s="464">
        <f t="shared" si="22"/>
        <v>23207.580749919191</v>
      </c>
      <c r="T125" s="196">
        <f t="shared" si="28"/>
        <v>0.32535818920386694</v>
      </c>
      <c r="W125" s="195">
        <f t="shared" si="30"/>
        <v>1573.7978180880382</v>
      </c>
      <c r="X125" s="195">
        <f t="shared" si="23"/>
        <v>579.25928459099669</v>
      </c>
      <c r="Y125" s="195">
        <f t="shared" si="31"/>
        <v>611.2008064437905</v>
      </c>
      <c r="Z125" s="195">
        <f t="shared" si="33"/>
        <v>2764.2579091228254</v>
      </c>
      <c r="AA125" s="196">
        <f t="shared" si="34"/>
        <v>0.22283414098800991</v>
      </c>
      <c r="AB125" s="196">
        <f t="shared" si="24"/>
        <v>0.34650412983471779</v>
      </c>
      <c r="AC125" s="196">
        <f t="shared" si="32"/>
        <v>0.5693382708227277</v>
      </c>
      <c r="AD125" s="247">
        <f t="shared" si="29"/>
        <v>0.4306617291772723</v>
      </c>
      <c r="AF125" s="251">
        <f t="shared" si="25"/>
        <v>0.6086085330852582</v>
      </c>
      <c r="AG125" s="251">
        <f t="shared" si="26"/>
        <v>0.39139146691474175</v>
      </c>
    </row>
    <row r="126" spans="1:53" x14ac:dyDescent="0.25">
      <c r="A126" s="194">
        <v>2060</v>
      </c>
      <c r="B126" s="195">
        <f t="shared" si="27"/>
        <v>10721.394674846877</v>
      </c>
      <c r="C126" s="195">
        <f t="shared" si="9"/>
        <v>5085.0633987883939</v>
      </c>
      <c r="D126" s="195">
        <f t="shared" si="10"/>
        <v>5015.1384045046816</v>
      </c>
      <c r="E126" s="195">
        <f t="shared" si="11"/>
        <v>20821.596478139953</v>
      </c>
      <c r="F126" s="196">
        <f t="shared" si="12"/>
        <v>0.5149170327118282</v>
      </c>
      <c r="H126" s="194">
        <v>2060</v>
      </c>
      <c r="I126" s="195">
        <f t="shared" si="13"/>
        <v>7572.4305910654039</v>
      </c>
      <c r="J126" s="195">
        <f t="shared" si="14"/>
        <v>265.74469187641841</v>
      </c>
      <c r="K126" s="195">
        <f t="shared" si="15"/>
        <v>5693.0851069403816</v>
      </c>
      <c r="L126" s="195">
        <f t="shared" si="16"/>
        <v>4833.7760833183529</v>
      </c>
      <c r="M126" s="195">
        <f t="shared" si="17"/>
        <v>5389.5221651106694</v>
      </c>
      <c r="O126" s="195">
        <f t="shared" si="18"/>
        <v>7838.1752829418219</v>
      </c>
      <c r="P126" s="196">
        <f t="shared" si="19"/>
        <v>0.966096102436653</v>
      </c>
      <c r="Q126" s="195">
        <f t="shared" si="20"/>
        <v>15916.383355369404</v>
      </c>
      <c r="R126" s="196">
        <f t="shared" si="21"/>
        <v>0.30369814394346534</v>
      </c>
      <c r="S126" s="464">
        <f t="shared" si="22"/>
        <v>23754.558638311224</v>
      </c>
      <c r="T126" s="196">
        <f t="shared" si="28"/>
        <v>0.32996509858534923</v>
      </c>
      <c r="W126" s="195">
        <f t="shared" si="30"/>
        <v>1684.8119995368797</v>
      </c>
      <c r="X126" s="195">
        <f t="shared" si="23"/>
        <v>608.0217081519877</v>
      </c>
      <c r="Y126" s="195">
        <f t="shared" si="31"/>
        <v>640.12845248240592</v>
      </c>
      <c r="Z126" s="195">
        <f t="shared" si="33"/>
        <v>2932.9621601712734</v>
      </c>
      <c r="AA126" s="196">
        <f t="shared" si="34"/>
        <v>0.22381670809314416</v>
      </c>
      <c r="AB126" s="196">
        <f t="shared" si="24"/>
        <v>0.3506237065893601</v>
      </c>
      <c r="AC126" s="196">
        <f t="shared" si="32"/>
        <v>0.57444041468250429</v>
      </c>
      <c r="AD126" s="247">
        <f t="shared" si="29"/>
        <v>0.42555958531749571</v>
      </c>
      <c r="AF126" s="251">
        <f t="shared" si="25"/>
        <v>0.61037437065278799</v>
      </c>
      <c r="AG126" s="251">
        <f t="shared" si="26"/>
        <v>0.38962562934721195</v>
      </c>
      <c r="BA126" s="516"/>
    </row>
    <row r="127" spans="1:53" x14ac:dyDescent="0.25">
      <c r="BA127" s="516"/>
    </row>
    <row r="128" spans="1:53" x14ac:dyDescent="0.25">
      <c r="BA128" s="516"/>
    </row>
    <row r="129" spans="1:58" ht="92.25" customHeight="1" x14ac:dyDescent="0.25">
      <c r="BA129" s="516"/>
    </row>
    <row r="130" spans="1:58" ht="13.5" customHeight="1" thickBot="1" x14ac:dyDescent="0.3">
      <c r="BA130" s="516"/>
    </row>
    <row r="131" spans="1:58" s="485" customFormat="1" ht="44.25" customHeight="1" thickBot="1" x14ac:dyDescent="0.35">
      <c r="A131" s="491"/>
      <c r="B131" s="660" t="s">
        <v>602</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508</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516"/>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SpaceCooling_cluster</v>
      </c>
      <c r="AU132" s="607"/>
      <c r="AV132" s="608"/>
      <c r="AW132" s="445"/>
      <c r="AX132" s="606" t="str">
        <f ca="1">CONCATENATE("Table 11(b): EMISSIONS ALLOCATION TO Education in LLDC, ",A1)</f>
        <v>Table 11(b): EMISSIONS ALLOCATION TO Education in LLDC, SpaceCooling_cluster</v>
      </c>
      <c r="AY132" s="608"/>
      <c r="AZ132" s="446"/>
      <c r="BA132" s="606" t="str">
        <f ca="1">CONCATENATE("Table 11(c): EMISSIONS ALLOCATION TO Family Planning in LLDC, ",A1)</f>
        <v>Table 11(c): EMISSIONS ALLOCATION TO Family Planning in LLDC, SpaceCooling_cluster</v>
      </c>
      <c r="BB132" s="608"/>
      <c r="BC132" s="516"/>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514" t="s">
        <v>219</v>
      </c>
      <c r="K133" s="514" t="s">
        <v>220</v>
      </c>
      <c r="L133" s="514" t="s">
        <v>221</v>
      </c>
      <c r="M133" s="515" t="s">
        <v>222</v>
      </c>
      <c r="N133" s="515" t="s">
        <v>220</v>
      </c>
      <c r="O133" s="515" t="s">
        <v>248</v>
      </c>
      <c r="P133" s="515"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516"/>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514" t="s">
        <v>500</v>
      </c>
      <c r="K134" s="514" t="s">
        <v>500</v>
      </c>
      <c r="L134" s="514" t="s">
        <v>513</v>
      </c>
      <c r="M134" s="515" t="s">
        <v>500</v>
      </c>
      <c r="N134" s="515" t="s">
        <v>500</v>
      </c>
      <c r="O134" s="515" t="s">
        <v>249</v>
      </c>
      <c r="P134" s="515"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516"/>
      <c r="BE134" s="481" t="s">
        <v>227</v>
      </c>
      <c r="BF134" s="481" t="s">
        <v>228</v>
      </c>
    </row>
    <row r="135" spans="1:58" ht="15.6" x14ac:dyDescent="0.3">
      <c r="A135" s="152">
        <v>2014</v>
      </c>
      <c r="B135" s="178"/>
      <c r="C135" s="182"/>
      <c r="D135" s="183"/>
      <c r="E135" s="179">
        <f>IFERROR(IF($G$19="Y",$F$19,$AA80)*(SUMIF($H$5:$H$16,"Y",$F$5:$F$16)*(Z29-B29)),0)</f>
        <v>0</v>
      </c>
      <c r="F135" s="183" t="str">
        <f>IFERROR(E135-E134,"")</f>
        <v/>
      </c>
      <c r="G135" s="247">
        <f t="shared" ref="G135:G181" si="35">IFERROR(E135/((Z29+N29)-B29),"")</f>
        <v>0</v>
      </c>
      <c r="H135" s="245" t="s">
        <v>264</v>
      </c>
      <c r="I135" s="416"/>
      <c r="J135" s="178"/>
      <c r="K135" s="182"/>
      <c r="L135" s="183"/>
      <c r="M135" s="179">
        <f t="shared" ref="M135:M181" si="36">IFERROR(IF($G$19="Y",$F$19,$AB80)*(SUMIF($H$5:$H$16,"Y",$F$5:$F$16)*((Z29+N29)-B29)),0)</f>
        <v>0</v>
      </c>
      <c r="N135" s="183" t="str">
        <f>IFERROR(M135-M134,"")</f>
        <v/>
      </c>
      <c r="O135" s="247">
        <f t="shared" ref="O135:O181" si="37">IFERROR(M135/((Z29+N29)-B29),"")</f>
        <v>0</v>
      </c>
      <c r="P135" s="245" t="s">
        <v>264</v>
      </c>
      <c r="Q135" s="416"/>
      <c r="R135" s="167"/>
      <c r="S135" s="167"/>
      <c r="T135" s="167"/>
      <c r="U135" s="167"/>
      <c r="V135" s="506"/>
      <c r="W135" s="167" t="s">
        <v>213</v>
      </c>
      <c r="X135" s="167" t="s">
        <v>213</v>
      </c>
      <c r="Y135" s="167" t="s">
        <v>211</v>
      </c>
      <c r="Z135" s="167" t="s">
        <v>211</v>
      </c>
      <c r="AA135" s="509"/>
      <c r="AB135" s="496"/>
      <c r="AC135" s="496"/>
      <c r="AE135" s="167" t="s">
        <v>211</v>
      </c>
      <c r="AF135" s="167" t="s">
        <v>211</v>
      </c>
      <c r="AG135" s="167" t="s">
        <v>211</v>
      </c>
      <c r="AH135" s="167" t="s">
        <v>211</v>
      </c>
      <c r="AI135" s="165"/>
      <c r="AJ135" s="167" t="s">
        <v>213</v>
      </c>
      <c r="AK135" s="167" t="s">
        <v>213</v>
      </c>
      <c r="AL135" s="167" t="s">
        <v>211</v>
      </c>
      <c r="AM135" s="167" t="s">
        <v>211</v>
      </c>
      <c r="AN135" s="165"/>
      <c r="AO135" s="257"/>
      <c r="AP135" s="257"/>
      <c r="AT135" s="478">
        <v>2014</v>
      </c>
      <c r="AU135" s="479">
        <f>IFERROR(AB135+AO135,"")</f>
        <v>0</v>
      </c>
      <c r="AV135" s="479">
        <f>IFERROR(AC135+AP135,"")</f>
        <v>0</v>
      </c>
      <c r="AW135" s="430"/>
      <c r="AX135" s="479">
        <f t="shared" ref="AX135:AY181" si="38">IFERROR(AO135*$F$20,"")</f>
        <v>0</v>
      </c>
      <c r="AY135" s="479">
        <f t="shared" si="38"/>
        <v>0</v>
      </c>
      <c r="AZ135" s="430"/>
      <c r="BA135" s="479">
        <f t="shared" ref="BA135:BB181" si="39">AU135-AX135</f>
        <v>0</v>
      </c>
      <c r="BB135" s="479">
        <f t="shared" si="39"/>
        <v>0</v>
      </c>
      <c r="BC135" s="516"/>
      <c r="BE135" s="480" t="str">
        <f t="shared" ref="BE135:BE181" si="40">IFERROR(AX135/AU135,"")</f>
        <v/>
      </c>
      <c r="BF135" s="480" t="str">
        <f t="shared" ref="BF135:BF181" si="41">IFERROR(BB135/(AY135+BB135),"")</f>
        <v/>
      </c>
    </row>
    <row r="136" spans="1:58" ht="15.6" x14ac:dyDescent="0.3">
      <c r="A136" s="152">
        <v>2015</v>
      </c>
      <c r="B136" s="178"/>
      <c r="C136" s="182"/>
      <c r="D136" s="183"/>
      <c r="E136" s="179">
        <f>IFERROR(IF($G$19="Y",$F$19,$AA81)*(SUMIF($H$5:$H$16,"Y",$F$5:$F$16)*(Z30-B30)),0)</f>
        <v>0</v>
      </c>
      <c r="F136" s="183">
        <f>IFERROR(E136-E135,"")</f>
        <v>0</v>
      </c>
      <c r="G136" s="247">
        <f t="shared" si="35"/>
        <v>0</v>
      </c>
      <c r="H136" s="246"/>
      <c r="I136" s="417"/>
      <c r="J136" s="178"/>
      <c r="K136" s="182"/>
      <c r="L136" s="183"/>
      <c r="M136" s="179">
        <f t="shared" si="36"/>
        <v>0</v>
      </c>
      <c r="N136" s="183">
        <f>IFERROR(M136-M135,"")</f>
        <v>0</v>
      </c>
      <c r="O136" s="247">
        <f t="shared" si="37"/>
        <v>0</v>
      </c>
      <c r="P136" s="246"/>
      <c r="Q136" s="417"/>
      <c r="R136" s="439"/>
      <c r="S136" s="440"/>
      <c r="T136" s="439"/>
      <c r="U136" s="440"/>
      <c r="V136" s="506"/>
      <c r="W136" s="439">
        <f>IF($W$135="Y",IFERROR(E136*$F$12*'Emissions Factors'!$B12*$F$21,""),"")</f>
        <v>0</v>
      </c>
      <c r="X136" s="441"/>
      <c r="Y136" s="441"/>
      <c r="Z136" s="441"/>
      <c r="AA136" s="509"/>
      <c r="AB136" s="441">
        <f t="shared" ref="AB136:AB181" si="42">SUM(W136:Z136)</f>
        <v>0</v>
      </c>
      <c r="AC136" s="441">
        <f t="shared" ref="AC136:AC181" si="43">SUM(R136:U136)</f>
        <v>0</v>
      </c>
      <c r="AE136" s="182"/>
      <c r="AF136" s="178"/>
      <c r="AG136" s="182"/>
      <c r="AH136" s="178"/>
      <c r="AJ136" s="182">
        <f>IF($AJ$135="Y",IFERROR(M136*$F$12*'Emissions Factors'!$B12*$F$21,""),"")</f>
        <v>0</v>
      </c>
      <c r="AK136" s="180"/>
      <c r="AL136" s="180"/>
      <c r="AM136" s="180"/>
      <c r="AO136" s="180">
        <f t="shared" ref="AO136:AO181" si="44">SUM(AJ136:AM136)</f>
        <v>0</v>
      </c>
      <c r="AP136" s="180">
        <f t="shared" ref="AP136:AP181" si="45">SUM(AE136:AH136)</f>
        <v>0</v>
      </c>
      <c r="AT136" s="478">
        <v>2015</v>
      </c>
      <c r="AU136" s="479">
        <f t="shared" ref="AU136:AV181" si="46">IFERROR(AB136+AO136,"")</f>
        <v>0</v>
      </c>
      <c r="AV136" s="479">
        <f t="shared" si="46"/>
        <v>0</v>
      </c>
      <c r="AW136" s="430"/>
      <c r="AX136" s="479">
        <f t="shared" si="38"/>
        <v>0</v>
      </c>
      <c r="AY136" s="479">
        <f t="shared" si="38"/>
        <v>0</v>
      </c>
      <c r="AZ136" s="430"/>
      <c r="BA136" s="479">
        <f t="shared" si="39"/>
        <v>0</v>
      </c>
      <c r="BB136" s="479">
        <f t="shared" si="39"/>
        <v>0</v>
      </c>
      <c r="BC136" s="516"/>
      <c r="BE136" s="480" t="str">
        <f t="shared" si="40"/>
        <v/>
      </c>
      <c r="BF136" s="480" t="str">
        <f t="shared" si="41"/>
        <v/>
      </c>
    </row>
    <row r="137" spans="1:58" ht="15.6" x14ac:dyDescent="0.3">
      <c r="A137" s="152">
        <v>2016</v>
      </c>
      <c r="B137" s="178"/>
      <c r="C137" s="182"/>
      <c r="D137" s="183"/>
      <c r="E137" s="179">
        <f t="shared" ref="E137:E181" si="47">IFERROR(IF($G$19="Y",$F$19,$AA82)*(SUMIF($H$5:$H$16,"Y",$F$5:$F$16)*((Z31+N31)-B31)),0)</f>
        <v>-7.027078715526225E-3</v>
      </c>
      <c r="F137" s="183">
        <f t="shared" ref="F137:F181" si="48">IFERROR(E137-E136,"")</f>
        <v>-7.027078715526225E-3</v>
      </c>
      <c r="G137" s="247">
        <f t="shared" si="35"/>
        <v>0.43800211570763653</v>
      </c>
      <c r="H137" s="246"/>
      <c r="I137" s="417"/>
      <c r="J137" s="178"/>
      <c r="K137" s="182"/>
      <c r="L137" s="183"/>
      <c r="M137" s="179">
        <f t="shared" si="36"/>
        <v>-8.2142284388116195E-3</v>
      </c>
      <c r="N137" s="183">
        <f>IFERROR(M137-M136,"")</f>
        <v>-8.2142284388116195E-3</v>
      </c>
      <c r="O137" s="247">
        <f t="shared" si="37"/>
        <v>0.51199788429236337</v>
      </c>
      <c r="P137" s="246"/>
      <c r="Q137" s="417"/>
      <c r="R137" s="439"/>
      <c r="S137" s="440"/>
      <c r="T137" s="439"/>
      <c r="U137" s="440"/>
      <c r="V137" s="506"/>
      <c r="W137" s="439">
        <f>IF($W$135="Y",IFERROR(E137*$F$12*'Emissions Factors'!$B13*$F$21,""),"")</f>
        <v>-1.1061021232341834E-3</v>
      </c>
      <c r="X137" s="441"/>
      <c r="Y137" s="441"/>
      <c r="Z137" s="441"/>
      <c r="AA137" s="509"/>
      <c r="AB137" s="441">
        <f t="shared" si="42"/>
        <v>-1.1061021232341834E-3</v>
      </c>
      <c r="AC137" s="441">
        <f t="shared" si="43"/>
        <v>0</v>
      </c>
      <c r="AE137" s="182"/>
      <c r="AF137" s="178"/>
      <c r="AG137" s="182"/>
      <c r="AH137" s="178"/>
      <c r="AJ137" s="182">
        <f>IF($AJ$135="Y",IFERROR(M137*$F$12*'Emissions Factors'!$B13*$F$21,""),"")</f>
        <v>-1.2929662360014924E-3</v>
      </c>
      <c r="AK137" s="180"/>
      <c r="AL137" s="180"/>
      <c r="AM137" s="180"/>
      <c r="AO137" s="180">
        <f t="shared" si="44"/>
        <v>-1.2929662360014924E-3</v>
      </c>
      <c r="AP137" s="180">
        <f t="shared" si="45"/>
        <v>0</v>
      </c>
      <c r="AT137" s="478">
        <v>2016</v>
      </c>
      <c r="AU137" s="479">
        <f t="shared" si="46"/>
        <v>-2.3990683592356758E-3</v>
      </c>
      <c r="AV137" s="479">
        <f t="shared" si="46"/>
        <v>0</v>
      </c>
      <c r="AW137" s="430"/>
      <c r="AX137" s="479">
        <f t="shared" si="38"/>
        <v>-6.4648311800074622E-4</v>
      </c>
      <c r="AY137" s="479">
        <f t="shared" si="38"/>
        <v>0</v>
      </c>
      <c r="AZ137" s="430"/>
      <c r="BA137" s="479">
        <f t="shared" si="39"/>
        <v>-1.7525852412349297E-3</v>
      </c>
      <c r="BB137" s="479">
        <f t="shared" si="39"/>
        <v>0</v>
      </c>
      <c r="BC137" s="516"/>
      <c r="BE137" s="480">
        <f t="shared" si="40"/>
        <v>0.26947257068019131</v>
      </c>
      <c r="BF137" s="480" t="str">
        <f t="shared" si="41"/>
        <v/>
      </c>
    </row>
    <row r="138" spans="1:58" ht="15.6" x14ac:dyDescent="0.3">
      <c r="A138" s="152">
        <v>2017</v>
      </c>
      <c r="B138" s="178"/>
      <c r="C138" s="182"/>
      <c r="D138" s="183"/>
      <c r="E138" s="179">
        <f t="shared" si="47"/>
        <v>-6.9796808541680265E-3</v>
      </c>
      <c r="F138" s="183">
        <f>IFERROR(E138-E137,"")</f>
        <v>4.7397861358198547E-5</v>
      </c>
      <c r="G138" s="247">
        <f t="shared" si="35"/>
        <v>0.43662123632272615</v>
      </c>
      <c r="H138" s="246"/>
      <c r="I138" s="417"/>
      <c r="J138" s="178"/>
      <c r="K138" s="182"/>
      <c r="L138" s="183"/>
      <c r="M138" s="179">
        <f t="shared" si="36"/>
        <v>-8.206700979441605E-3</v>
      </c>
      <c r="N138" s="183">
        <f>IFERROR(M138-M137,"")</f>
        <v>7.5274593700144776E-6</v>
      </c>
      <c r="O138" s="247">
        <f t="shared" si="37"/>
        <v>0.51337876367727397</v>
      </c>
      <c r="P138" s="246"/>
      <c r="Q138" s="417"/>
      <c r="R138" s="439"/>
      <c r="S138" s="440"/>
      <c r="T138" s="439"/>
      <c r="U138" s="440"/>
      <c r="V138" s="506"/>
      <c r="W138" s="439">
        <f>IF($W$135="Y",IFERROR(E138*$F$12*'Emissions Factors'!$B14*$F$21,""),"")</f>
        <v>-1.0852103433648234E-3</v>
      </c>
      <c r="X138" s="441"/>
      <c r="Y138" s="441"/>
      <c r="Z138" s="441"/>
      <c r="AA138" s="509"/>
      <c r="AB138" s="441">
        <f t="shared" si="42"/>
        <v>-1.0852103433648234E-3</v>
      </c>
      <c r="AC138" s="441">
        <f t="shared" si="43"/>
        <v>0</v>
      </c>
      <c r="AE138" s="182"/>
      <c r="AF138" s="178"/>
      <c r="AG138" s="182"/>
      <c r="AH138" s="178"/>
      <c r="AJ138" s="182">
        <f>IF($AJ$135="Y",IFERROR(M138*$F$12*'Emissions Factors'!$B14*$F$21,""),"")</f>
        <v>-1.275989113810827E-3</v>
      </c>
      <c r="AK138" s="180"/>
      <c r="AL138" s="180"/>
      <c r="AM138" s="180"/>
      <c r="AO138" s="180">
        <f t="shared" si="44"/>
        <v>-1.275989113810827E-3</v>
      </c>
      <c r="AP138" s="180">
        <f t="shared" si="45"/>
        <v>0</v>
      </c>
      <c r="AT138" s="478">
        <v>2017</v>
      </c>
      <c r="AU138" s="479">
        <f t="shared" si="46"/>
        <v>-2.3611994571756502E-3</v>
      </c>
      <c r="AV138" s="479">
        <f t="shared" si="46"/>
        <v>0</v>
      </c>
      <c r="AW138" s="430"/>
      <c r="AX138" s="479">
        <f t="shared" si="38"/>
        <v>-6.3799455690541351E-4</v>
      </c>
      <c r="AY138" s="479">
        <f t="shared" si="38"/>
        <v>0</v>
      </c>
      <c r="AZ138" s="430"/>
      <c r="BA138" s="479">
        <f t="shared" si="39"/>
        <v>-1.7232049002702367E-3</v>
      </c>
      <c r="BB138" s="479">
        <f t="shared" si="39"/>
        <v>0</v>
      </c>
      <c r="BC138" s="516"/>
      <c r="BE138" s="480">
        <f t="shared" si="40"/>
        <v>0.27019934930382838</v>
      </c>
      <c r="BF138" s="480" t="str">
        <f t="shared" si="41"/>
        <v/>
      </c>
    </row>
    <row r="139" spans="1:58" ht="15.6" x14ac:dyDescent="0.3">
      <c r="A139" s="152">
        <v>2018</v>
      </c>
      <c r="B139" s="178"/>
      <c r="C139" s="182"/>
      <c r="D139" s="183"/>
      <c r="E139" s="179">
        <f t="shared" si="47"/>
        <v>-6.9099287921812157E-3</v>
      </c>
      <c r="F139" s="183">
        <f t="shared" si="48"/>
        <v>6.9752061986810832E-5</v>
      </c>
      <c r="G139" s="247">
        <f t="shared" si="35"/>
        <v>0.43529186972599154</v>
      </c>
      <c r="H139" s="246"/>
      <c r="I139" s="417"/>
      <c r="J139" s="178"/>
      <c r="K139" s="182"/>
      <c r="L139" s="183"/>
      <c r="M139" s="179">
        <f t="shared" si="36"/>
        <v>-8.1706017876900464E-3</v>
      </c>
      <c r="N139" s="183">
        <f t="shared" ref="N139:N181" si="49">IFERROR(M139-M138,"")</f>
        <v>3.6099191751558582E-5</v>
      </c>
      <c r="O139" s="247">
        <f t="shared" si="37"/>
        <v>0.51470813027400819</v>
      </c>
      <c r="P139" s="246"/>
      <c r="Q139" s="417"/>
      <c r="R139" s="439"/>
      <c r="S139" s="440"/>
      <c r="T139" s="439"/>
      <c r="U139" s="440"/>
      <c r="V139" s="506"/>
      <c r="W139" s="439">
        <f>IF($W$135="Y",IFERROR(E139*$F$12*'Emissions Factors'!$B15*$F$21,""),"")</f>
        <v>-1.0641898709431127E-3</v>
      </c>
      <c r="X139" s="441"/>
      <c r="Y139" s="441"/>
      <c r="Z139" s="441"/>
      <c r="AA139" s="509"/>
      <c r="AB139" s="441">
        <f t="shared" si="42"/>
        <v>-1.0641898709431127E-3</v>
      </c>
      <c r="AC139" s="441">
        <f t="shared" si="43"/>
        <v>0</v>
      </c>
      <c r="AE139" s="182"/>
      <c r="AF139" s="178"/>
      <c r="AG139" s="182"/>
      <c r="AH139" s="178"/>
      <c r="AJ139" s="182">
        <f>IF($AJ$135="Y",IFERROR(M139*$F$12*'Emissions Factors'!$B15*$F$21,""),"")</f>
        <v>-1.2583446115693928E-3</v>
      </c>
      <c r="AK139" s="180"/>
      <c r="AL139" s="180"/>
      <c r="AM139" s="180"/>
      <c r="AO139" s="180">
        <f t="shared" si="44"/>
        <v>-1.2583446115693928E-3</v>
      </c>
      <c r="AP139" s="180">
        <f t="shared" si="45"/>
        <v>0</v>
      </c>
      <c r="AT139" s="478">
        <v>2018</v>
      </c>
      <c r="AU139" s="479">
        <f t="shared" si="46"/>
        <v>-2.3225344825125054E-3</v>
      </c>
      <c r="AV139" s="479">
        <f t="shared" si="46"/>
        <v>0</v>
      </c>
      <c r="AW139" s="430"/>
      <c r="AX139" s="479">
        <f t="shared" si="38"/>
        <v>-6.2917230578469639E-4</v>
      </c>
      <c r="AY139" s="479">
        <f t="shared" si="38"/>
        <v>0</v>
      </c>
      <c r="AZ139" s="430"/>
      <c r="BA139" s="479">
        <f t="shared" si="39"/>
        <v>-1.6933621767278089E-3</v>
      </c>
      <c r="BB139" s="479">
        <f t="shared" si="39"/>
        <v>0</v>
      </c>
      <c r="BC139" s="516"/>
      <c r="BE139" s="480">
        <f t="shared" si="40"/>
        <v>0.27089901593368859</v>
      </c>
      <c r="BF139" s="480" t="str">
        <f t="shared" si="41"/>
        <v/>
      </c>
    </row>
    <row r="140" spans="1:58" ht="15.6" x14ac:dyDescent="0.3">
      <c r="A140" s="152">
        <v>2019</v>
      </c>
      <c r="B140" s="178"/>
      <c r="C140" s="182"/>
      <c r="D140" s="183"/>
      <c r="E140" s="179">
        <f t="shared" si="47"/>
        <v>-6.8533807510599001E-3</v>
      </c>
      <c r="F140" s="183">
        <f t="shared" si="48"/>
        <v>5.6548041121315569E-5</v>
      </c>
      <c r="G140" s="247">
        <f t="shared" si="35"/>
        <v>0.4339950012222652</v>
      </c>
      <c r="H140" s="246"/>
      <c r="I140" s="417"/>
      <c r="J140" s="178"/>
      <c r="K140" s="182"/>
      <c r="L140" s="183"/>
      <c r="M140" s="179">
        <f t="shared" si="36"/>
        <v>-8.1484319315072058E-3</v>
      </c>
      <c r="N140" s="183">
        <f t="shared" si="49"/>
        <v>2.2169856182840605E-5</v>
      </c>
      <c r="O140" s="247">
        <f t="shared" si="37"/>
        <v>0.51600499877773476</v>
      </c>
      <c r="P140" s="246"/>
      <c r="Q140" s="417"/>
      <c r="R140" s="439"/>
      <c r="S140" s="440"/>
      <c r="T140" s="439"/>
      <c r="U140" s="440"/>
      <c r="V140" s="506"/>
      <c r="W140" s="439">
        <f>IF($W$135="Y",IFERROR(E140*$F$12*'Emissions Factors'!$B16*$F$21,""),"")</f>
        <v>-1.0499703525205871E-3</v>
      </c>
      <c r="X140" s="441"/>
      <c r="Y140" s="441"/>
      <c r="Z140" s="441"/>
      <c r="AA140" s="509"/>
      <c r="AB140" s="441">
        <f t="shared" si="42"/>
        <v>-1.0499703525205871E-3</v>
      </c>
      <c r="AC140" s="441">
        <f t="shared" si="43"/>
        <v>0</v>
      </c>
      <c r="AE140" s="182"/>
      <c r="AF140" s="178"/>
      <c r="AG140" s="182"/>
      <c r="AH140" s="178"/>
      <c r="AJ140" s="182">
        <f>IF($AJ$135="Y",IFERROR(M140*$F$12*'Emissions Factors'!$B16*$F$21,""),"")</f>
        <v>-1.2483783198958371E-3</v>
      </c>
      <c r="AK140" s="180"/>
      <c r="AL140" s="180"/>
      <c r="AM140" s="180"/>
      <c r="AO140" s="180">
        <f t="shared" si="44"/>
        <v>-1.2483783198958371E-3</v>
      </c>
      <c r="AP140" s="180">
        <f t="shared" si="45"/>
        <v>0</v>
      </c>
      <c r="AT140" s="478">
        <v>2019</v>
      </c>
      <c r="AU140" s="479">
        <f t="shared" si="46"/>
        <v>-2.2983486724164242E-3</v>
      </c>
      <c r="AV140" s="479">
        <f t="shared" si="46"/>
        <v>0</v>
      </c>
      <c r="AW140" s="430"/>
      <c r="AX140" s="479">
        <f t="shared" si="38"/>
        <v>-6.2418915994791855E-4</v>
      </c>
      <c r="AY140" s="479">
        <f t="shared" si="38"/>
        <v>0</v>
      </c>
      <c r="AZ140" s="430"/>
      <c r="BA140" s="479">
        <f t="shared" si="39"/>
        <v>-1.6741595124685057E-3</v>
      </c>
      <c r="BB140" s="479">
        <f t="shared" si="39"/>
        <v>0</v>
      </c>
      <c r="BC140" s="516"/>
      <c r="BE140" s="480">
        <f t="shared" si="40"/>
        <v>0.27158157830407093</v>
      </c>
      <c r="BF140" s="480" t="str">
        <f t="shared" si="41"/>
        <v/>
      </c>
    </row>
    <row r="141" spans="1:58" ht="15.6" x14ac:dyDescent="0.3">
      <c r="A141" s="152">
        <v>2020</v>
      </c>
      <c r="B141" s="178"/>
      <c r="C141" s="182"/>
      <c r="D141" s="183"/>
      <c r="E141" s="179">
        <f t="shared" si="47"/>
        <v>-6.8100805900036393E-3</v>
      </c>
      <c r="F141" s="183">
        <f t="shared" si="48"/>
        <v>4.3300161056260798E-5</v>
      </c>
      <c r="G141" s="247">
        <f t="shared" si="35"/>
        <v>0.43270835614653402</v>
      </c>
      <c r="H141" s="246"/>
      <c r="I141" s="417"/>
      <c r="J141" s="178"/>
      <c r="K141" s="182"/>
      <c r="L141" s="183"/>
      <c r="M141" s="179">
        <f t="shared" si="36"/>
        <v>-8.141275140951032E-3</v>
      </c>
      <c r="N141" s="183">
        <f t="shared" si="49"/>
        <v>7.1567905561738254E-6</v>
      </c>
      <c r="O141" s="247">
        <f t="shared" si="37"/>
        <v>0.51729164385346582</v>
      </c>
      <c r="P141" s="246"/>
      <c r="Q141" s="417"/>
      <c r="R141" s="439"/>
      <c r="S141" s="440"/>
      <c r="T141" s="439"/>
      <c r="U141" s="440"/>
      <c r="V141" s="506"/>
      <c r="W141" s="439">
        <f>IF($W$135="Y",IFERROR(E141*$F$12*'Emissions Factors'!$B17*$F$21,""),"")</f>
        <v>-1.0368046617544259E-3</v>
      </c>
      <c r="X141" s="441"/>
      <c r="Y141" s="441"/>
      <c r="Z141" s="441"/>
      <c r="AA141" s="509"/>
      <c r="AB141" s="441">
        <f t="shared" si="42"/>
        <v>-1.0368046617544259E-3</v>
      </c>
      <c r="AC141" s="441">
        <f t="shared" si="43"/>
        <v>0</v>
      </c>
      <c r="AE141" s="182"/>
      <c r="AF141" s="178"/>
      <c r="AG141" s="182"/>
      <c r="AH141" s="178"/>
      <c r="AJ141" s="182">
        <f>IF($AJ$135="Y",IFERROR(M141*$F$12*'Emissions Factors'!$B17*$F$21,""),"")</f>
        <v>-1.23947314678679E-3</v>
      </c>
      <c r="AK141" s="180"/>
      <c r="AL141" s="180"/>
      <c r="AM141" s="180"/>
      <c r="AO141" s="180">
        <f t="shared" si="44"/>
        <v>-1.23947314678679E-3</v>
      </c>
      <c r="AP141" s="180">
        <f t="shared" si="45"/>
        <v>0</v>
      </c>
      <c r="AS141" s="430"/>
      <c r="AT141" s="478">
        <v>2020</v>
      </c>
      <c r="AU141" s="479">
        <f t="shared" si="46"/>
        <v>-2.2762778085412159E-3</v>
      </c>
      <c r="AV141" s="479">
        <f t="shared" si="46"/>
        <v>0</v>
      </c>
      <c r="AW141" s="430"/>
      <c r="AX141" s="479">
        <f t="shared" si="38"/>
        <v>-6.1973657339339501E-4</v>
      </c>
      <c r="AY141" s="479">
        <f t="shared" si="38"/>
        <v>0</v>
      </c>
      <c r="AZ141" s="430"/>
      <c r="BA141" s="479">
        <f t="shared" si="39"/>
        <v>-1.656541235147821E-3</v>
      </c>
      <c r="BB141" s="479">
        <f t="shared" si="39"/>
        <v>0</v>
      </c>
      <c r="BC141" s="516"/>
      <c r="BE141" s="480">
        <f t="shared" si="40"/>
        <v>0.27225875992287679</v>
      </c>
      <c r="BF141" s="480" t="str">
        <f t="shared" si="41"/>
        <v/>
      </c>
    </row>
    <row r="142" spans="1:58" ht="15.6" x14ac:dyDescent="0.3">
      <c r="A142" s="152">
        <v>2021</v>
      </c>
      <c r="B142" s="178"/>
      <c r="C142" s="182"/>
      <c r="D142" s="183"/>
      <c r="E142" s="179">
        <f t="shared" si="47"/>
        <v>2.0143618802411165</v>
      </c>
      <c r="F142" s="183">
        <f t="shared" si="48"/>
        <v>2.0211719608311203</v>
      </c>
      <c r="G142" s="247">
        <f t="shared" si="35"/>
        <v>0.14253866878432236</v>
      </c>
      <c r="H142" s="246"/>
      <c r="I142" s="417"/>
      <c r="J142" s="178"/>
      <c r="K142" s="182"/>
      <c r="L142" s="183"/>
      <c r="M142" s="179">
        <f t="shared" si="36"/>
        <v>2.4211341610737773</v>
      </c>
      <c r="N142" s="183">
        <f t="shared" si="49"/>
        <v>2.4292754362147284</v>
      </c>
      <c r="O142" s="247">
        <f t="shared" si="37"/>
        <v>0.17132236449311417</v>
      </c>
      <c r="P142" s="246"/>
      <c r="Q142" s="417"/>
      <c r="R142" s="439"/>
      <c r="S142" s="440"/>
      <c r="T142" s="439"/>
      <c r="U142" s="440"/>
      <c r="V142" s="506"/>
      <c r="W142" s="439">
        <f>IF($W$135="Y",IFERROR(E142*$F$12*'Emissions Factors'!$B18*$F$21,""),"")</f>
        <v>0.30483528879986788</v>
      </c>
      <c r="X142" s="441"/>
      <c r="Y142" s="441"/>
      <c r="Z142" s="441"/>
      <c r="AA142" s="509"/>
      <c r="AB142" s="441">
        <f t="shared" si="42"/>
        <v>0.30483528879986788</v>
      </c>
      <c r="AC142" s="441">
        <f t="shared" si="43"/>
        <v>0</v>
      </c>
      <c r="AE142" s="182"/>
      <c r="AF142" s="178"/>
      <c r="AG142" s="182"/>
      <c r="AH142" s="178"/>
      <c r="AJ142" s="182">
        <f>IF($AJ$135="Y",IFERROR(M142*$F$12*'Emissions Factors'!$B18*$F$21,""),"")</f>
        <v>0.36639252283994156</v>
      </c>
      <c r="AK142" s="180"/>
      <c r="AL142" s="180"/>
      <c r="AM142" s="180"/>
      <c r="AO142" s="180">
        <f t="shared" si="44"/>
        <v>0.36639252283994156</v>
      </c>
      <c r="AP142" s="180">
        <f t="shared" si="45"/>
        <v>0</v>
      </c>
      <c r="AS142" s="430"/>
      <c r="AT142" s="478">
        <v>2021</v>
      </c>
      <c r="AU142" s="479">
        <f t="shared" si="46"/>
        <v>0.67122781163980938</v>
      </c>
      <c r="AV142" s="479">
        <f t="shared" si="46"/>
        <v>0</v>
      </c>
      <c r="AW142" s="430"/>
      <c r="AX142" s="479">
        <f t="shared" si="38"/>
        <v>0.18319626141997078</v>
      </c>
      <c r="AY142" s="479">
        <f t="shared" si="38"/>
        <v>0</v>
      </c>
      <c r="AZ142" s="430"/>
      <c r="BA142" s="479">
        <f t="shared" si="39"/>
        <v>0.48803155021983857</v>
      </c>
      <c r="BB142" s="479">
        <f t="shared" si="39"/>
        <v>0</v>
      </c>
      <c r="BC142" s="516"/>
      <c r="BE142" s="480">
        <f t="shared" si="40"/>
        <v>0.27292710201089904</v>
      </c>
      <c r="BF142" s="480" t="str">
        <f t="shared" si="41"/>
        <v/>
      </c>
    </row>
    <row r="143" spans="1:58" ht="15.6" x14ac:dyDescent="0.3">
      <c r="A143" s="152">
        <v>2022</v>
      </c>
      <c r="B143" s="178"/>
      <c r="C143" s="182"/>
      <c r="D143" s="183"/>
      <c r="E143" s="179">
        <f t="shared" si="47"/>
        <v>4.8255687193592136</v>
      </c>
      <c r="F143" s="183">
        <f t="shared" si="48"/>
        <v>2.8112068391180971</v>
      </c>
      <c r="G143" s="247">
        <f t="shared" si="35"/>
        <v>0.14905741259837102</v>
      </c>
      <c r="H143" s="246"/>
      <c r="I143" s="417"/>
      <c r="J143" s="178"/>
      <c r="K143" s="182"/>
      <c r="L143" s="183"/>
      <c r="M143" s="179">
        <f t="shared" si="36"/>
        <v>5.8317314425169178</v>
      </c>
      <c r="N143" s="183">
        <f t="shared" si="49"/>
        <v>3.4105972814431404</v>
      </c>
      <c r="O143" s="247">
        <f t="shared" si="37"/>
        <v>0.18013686061558498</v>
      </c>
      <c r="P143" s="246"/>
      <c r="Q143" s="417"/>
      <c r="R143" s="182"/>
      <c r="S143" s="178"/>
      <c r="T143" s="182"/>
      <c r="U143" s="178"/>
      <c r="V143" s="506"/>
      <c r="W143" s="439">
        <f>IF($W$135="Y",IFERROR(E143*$F$12*'Emissions Factors'!$B19*$F$21,""),"")</f>
        <v>0.72591609804483292</v>
      </c>
      <c r="X143" s="441"/>
      <c r="Y143" s="180"/>
      <c r="Z143" s="180"/>
      <c r="AA143" s="509"/>
      <c r="AB143" s="180">
        <f t="shared" si="42"/>
        <v>0.72591609804483292</v>
      </c>
      <c r="AC143" s="180">
        <f t="shared" si="43"/>
        <v>0</v>
      </c>
      <c r="AE143" s="182"/>
      <c r="AF143" s="178"/>
      <c r="AG143" s="182"/>
      <c r="AH143" s="178"/>
      <c r="AJ143" s="182">
        <f>IF($AJ$135="Y",IFERROR(M143*$F$12*'Emissions Factors'!$B19*$F$21,""),"")</f>
        <v>0.8772743649083069</v>
      </c>
      <c r="AK143" s="180"/>
      <c r="AL143" s="180"/>
      <c r="AM143" s="180"/>
      <c r="AO143" s="180">
        <f t="shared" si="44"/>
        <v>0.8772743649083069</v>
      </c>
      <c r="AP143" s="180">
        <f t="shared" si="45"/>
        <v>0</v>
      </c>
      <c r="AS143" s="430"/>
      <c r="AT143" s="478">
        <v>2022</v>
      </c>
      <c r="AU143" s="479">
        <f t="shared" si="46"/>
        <v>1.6031904629531399</v>
      </c>
      <c r="AV143" s="479">
        <f t="shared" si="46"/>
        <v>0</v>
      </c>
      <c r="AW143" s="430"/>
      <c r="AX143" s="479">
        <f t="shared" si="38"/>
        <v>0.43863718245415345</v>
      </c>
      <c r="AY143" s="479">
        <f t="shared" si="38"/>
        <v>0</v>
      </c>
      <c r="AZ143" s="430"/>
      <c r="BA143" s="479">
        <f t="shared" si="39"/>
        <v>1.1645532804989864</v>
      </c>
      <c r="BB143" s="479">
        <f t="shared" si="39"/>
        <v>0</v>
      </c>
      <c r="BC143" s="516"/>
      <c r="BE143" s="480">
        <f t="shared" si="40"/>
        <v>0.2736026645556302</v>
      </c>
      <c r="BF143" s="480" t="str">
        <f t="shared" si="41"/>
        <v/>
      </c>
    </row>
    <row r="144" spans="1:58" ht="15.6" x14ac:dyDescent="0.3">
      <c r="A144" s="152">
        <v>2023</v>
      </c>
      <c r="B144" s="178"/>
      <c r="C144" s="182"/>
      <c r="D144" s="183"/>
      <c r="E144" s="179">
        <f t="shared" si="47"/>
        <v>8.3611336972443766</v>
      </c>
      <c r="F144" s="183">
        <f t="shared" si="48"/>
        <v>3.535564977885163</v>
      </c>
      <c r="G144" s="247">
        <f t="shared" si="35"/>
        <v>0.15374579071313357</v>
      </c>
      <c r="H144" s="246"/>
      <c r="I144" s="417"/>
      <c r="J144" s="178"/>
      <c r="K144" s="182"/>
      <c r="L144" s="183"/>
      <c r="M144" s="179">
        <f t="shared" si="36"/>
        <v>10.160446939165277</v>
      </c>
      <c r="N144" s="183">
        <f t="shared" si="49"/>
        <v>4.3287154966483596</v>
      </c>
      <c r="O144" s="247">
        <f t="shared" si="37"/>
        <v>0.18683183467998382</v>
      </c>
      <c r="P144" s="246"/>
      <c r="Q144" s="417"/>
      <c r="R144" s="182"/>
      <c r="S144" s="178"/>
      <c r="T144" s="182"/>
      <c r="U144" s="178"/>
      <c r="V144" s="506"/>
      <c r="W144" s="439">
        <f>IF($W$135="Y",IFERROR(E144*$F$12*'Emissions Factors'!$B20*$F$21,""),"")</f>
        <v>1.2504334597887496</v>
      </c>
      <c r="X144" s="441"/>
      <c r="Y144" s="180"/>
      <c r="Z144" s="180"/>
      <c r="AA144" s="509"/>
      <c r="AB144" s="180">
        <f t="shared" si="42"/>
        <v>1.2504334597887496</v>
      </c>
      <c r="AC144" s="180">
        <f t="shared" si="43"/>
        <v>0</v>
      </c>
      <c r="AE144" s="182"/>
      <c r="AF144" s="178"/>
      <c r="AG144" s="182"/>
      <c r="AH144" s="178"/>
      <c r="AJ144" s="182">
        <f>IF($AJ$135="Y",IFERROR(M144*$F$12*'Emissions Factors'!$B20*$F$21,""),"")</f>
        <v>1.5195263320962908</v>
      </c>
      <c r="AK144" s="180"/>
      <c r="AL144" s="180"/>
      <c r="AM144" s="180"/>
      <c r="AO144" s="180">
        <f t="shared" si="44"/>
        <v>1.5195263320962908</v>
      </c>
      <c r="AP144" s="180">
        <f t="shared" si="45"/>
        <v>0</v>
      </c>
      <c r="AS144" s="430"/>
      <c r="AT144" s="478">
        <v>2023</v>
      </c>
      <c r="AU144" s="479">
        <f t="shared" si="46"/>
        <v>2.7699597918850403</v>
      </c>
      <c r="AV144" s="479">
        <f t="shared" si="46"/>
        <v>0</v>
      </c>
      <c r="AW144" s="430"/>
      <c r="AX144" s="479">
        <f t="shared" si="38"/>
        <v>0.75976316604814542</v>
      </c>
      <c r="AY144" s="479">
        <f t="shared" si="38"/>
        <v>0</v>
      </c>
      <c r="AZ144" s="430"/>
      <c r="BA144" s="479">
        <f t="shared" si="39"/>
        <v>2.0101966258368948</v>
      </c>
      <c r="BB144" s="479">
        <f t="shared" si="39"/>
        <v>0</v>
      </c>
      <c r="BC144" s="516"/>
      <c r="BE144" s="480">
        <f t="shared" si="40"/>
        <v>0.27428671285192335</v>
      </c>
      <c r="BF144" s="480" t="str">
        <f t="shared" si="41"/>
        <v/>
      </c>
    </row>
    <row r="145" spans="1:58" ht="15.6" x14ac:dyDescent="0.3">
      <c r="A145" s="152">
        <v>2024</v>
      </c>
      <c r="B145" s="178"/>
      <c r="C145" s="182"/>
      <c r="D145" s="183"/>
      <c r="E145" s="179">
        <f t="shared" si="47"/>
        <v>12.604992485123889</v>
      </c>
      <c r="F145" s="183">
        <f t="shared" si="48"/>
        <v>4.2438587878795122</v>
      </c>
      <c r="G145" s="247">
        <f t="shared" si="35"/>
        <v>0.1574440294600046</v>
      </c>
      <c r="H145" s="246"/>
      <c r="I145" s="417"/>
      <c r="J145" s="178"/>
      <c r="K145" s="182"/>
      <c r="L145" s="183"/>
      <c r="M145" s="179">
        <f t="shared" si="36"/>
        <v>15.403842158531607</v>
      </c>
      <c r="N145" s="183">
        <f t="shared" si="49"/>
        <v>5.2433952193663291</v>
      </c>
      <c r="O145" s="247">
        <f t="shared" si="37"/>
        <v>0.19240336568762934</v>
      </c>
      <c r="P145" s="246"/>
      <c r="Q145" s="417"/>
      <c r="R145" s="182"/>
      <c r="S145" s="178"/>
      <c r="T145" s="182"/>
      <c r="U145" s="178"/>
      <c r="V145" s="506"/>
      <c r="W145" s="439">
        <f>IF($W$135="Y",IFERROR(E145*$F$12*'Emissions Factors'!$B21*$F$21,""),"")</f>
        <v>1.8742948706057845</v>
      </c>
      <c r="X145" s="441"/>
      <c r="Y145" s="180"/>
      <c r="Z145" s="180"/>
      <c r="AA145" s="509"/>
      <c r="AB145" s="180">
        <f t="shared" si="42"/>
        <v>1.8742948706057845</v>
      </c>
      <c r="AC145" s="180">
        <f t="shared" si="43"/>
        <v>0</v>
      </c>
      <c r="AE145" s="182"/>
      <c r="AF145" s="178"/>
      <c r="AG145" s="182"/>
      <c r="AH145" s="178"/>
      <c r="AJ145" s="182">
        <f>IF($AJ$135="Y",IFERROR(M145*$F$12*'Emissions Factors'!$B21*$F$21,""),"")</f>
        <v>2.2904688264931687</v>
      </c>
      <c r="AK145" s="180"/>
      <c r="AL145" s="180"/>
      <c r="AM145" s="180"/>
      <c r="AO145" s="180">
        <f t="shared" si="44"/>
        <v>2.2904688264931687</v>
      </c>
      <c r="AP145" s="180">
        <f t="shared" si="45"/>
        <v>0</v>
      </c>
      <c r="AS145" s="430"/>
      <c r="AT145" s="478">
        <v>2024</v>
      </c>
      <c r="AU145" s="479">
        <f t="shared" si="46"/>
        <v>4.1647636970989534</v>
      </c>
      <c r="AV145" s="479">
        <f t="shared" si="46"/>
        <v>0</v>
      </c>
      <c r="AW145" s="430"/>
      <c r="AX145" s="479">
        <f t="shared" si="38"/>
        <v>1.1452344132465844</v>
      </c>
      <c r="AY145" s="479">
        <f t="shared" si="38"/>
        <v>0</v>
      </c>
      <c r="AZ145" s="430"/>
      <c r="BA145" s="479">
        <f t="shared" si="39"/>
        <v>3.0195292838523691</v>
      </c>
      <c r="BB145" s="479">
        <f t="shared" si="39"/>
        <v>0</v>
      </c>
      <c r="BC145" s="516"/>
      <c r="BE145" s="480">
        <f t="shared" si="40"/>
        <v>0.27498184687988891</v>
      </c>
      <c r="BF145" s="480" t="str">
        <f t="shared" si="41"/>
        <v/>
      </c>
    </row>
    <row r="146" spans="1:58" ht="15.6" x14ac:dyDescent="0.3">
      <c r="A146" s="152">
        <v>2025</v>
      </c>
      <c r="B146" s="178"/>
      <c r="C146" s="182"/>
      <c r="D146" s="183"/>
      <c r="E146" s="179">
        <f t="shared" si="47"/>
        <v>17.554596482598985</v>
      </c>
      <c r="F146" s="183">
        <f t="shared" si="48"/>
        <v>4.9496039974750961</v>
      </c>
      <c r="G146" s="247">
        <f t="shared" si="35"/>
        <v>0.16052095611169667</v>
      </c>
      <c r="H146" s="246"/>
      <c r="I146" s="417"/>
      <c r="J146" s="178"/>
      <c r="K146" s="182"/>
      <c r="L146" s="183"/>
      <c r="M146" s="179">
        <f t="shared" si="36"/>
        <v>21.575602732118558</v>
      </c>
      <c r="N146" s="183">
        <f t="shared" si="49"/>
        <v>6.1717605735869512</v>
      </c>
      <c r="O146" s="247">
        <f t="shared" si="37"/>
        <v>0.19728943258130954</v>
      </c>
      <c r="P146" s="246"/>
      <c r="Q146" s="417"/>
      <c r="R146" s="182"/>
      <c r="S146" s="178"/>
      <c r="T146" s="182"/>
      <c r="U146" s="178"/>
      <c r="V146" s="506"/>
      <c r="W146" s="439">
        <f>IF($W$135="Y",IFERROR(E146*$F$12*'Emissions Factors'!$B22*$F$21,""),"")</f>
        <v>2.5969970545645658</v>
      </c>
      <c r="X146" s="441"/>
      <c r="Y146" s="180"/>
      <c r="Z146" s="180"/>
      <c r="AA146" s="509"/>
      <c r="AB146" s="180">
        <f t="shared" si="42"/>
        <v>2.5969970545645658</v>
      </c>
      <c r="AC146" s="180">
        <f t="shared" si="43"/>
        <v>0</v>
      </c>
      <c r="AE146" s="182"/>
      <c r="AF146" s="178"/>
      <c r="AG146" s="182"/>
      <c r="AH146" s="178"/>
      <c r="AJ146" s="182">
        <f>IF($AJ$135="Y",IFERROR(M146*$F$12*'Emissions Factors'!$B22*$F$21,""),"")</f>
        <v>3.1918578590689144</v>
      </c>
      <c r="AK146" s="180"/>
      <c r="AL146" s="180"/>
      <c r="AM146" s="180"/>
      <c r="AO146" s="180">
        <f t="shared" si="44"/>
        <v>3.1918578590689144</v>
      </c>
      <c r="AP146" s="180">
        <f t="shared" si="45"/>
        <v>0</v>
      </c>
      <c r="AS146" s="430"/>
      <c r="AT146" s="478">
        <v>2025</v>
      </c>
      <c r="AU146" s="479">
        <f t="shared" si="46"/>
        <v>5.7888549136334806</v>
      </c>
      <c r="AV146" s="479">
        <f t="shared" si="46"/>
        <v>0</v>
      </c>
      <c r="AW146" s="430"/>
      <c r="AX146" s="479">
        <f t="shared" si="38"/>
        <v>1.5959289295344572</v>
      </c>
      <c r="AY146" s="479">
        <f t="shared" si="38"/>
        <v>0</v>
      </c>
      <c r="AZ146" s="430"/>
      <c r="BA146" s="479">
        <f t="shared" si="39"/>
        <v>4.1929259840990234</v>
      </c>
      <c r="BB146" s="479">
        <f t="shared" si="39"/>
        <v>0</v>
      </c>
      <c r="BC146" s="516"/>
      <c r="BE146" s="480">
        <f t="shared" si="40"/>
        <v>0.2756899168047629</v>
      </c>
      <c r="BF146" s="480" t="str">
        <f t="shared" si="41"/>
        <v/>
      </c>
    </row>
    <row r="147" spans="1:58" ht="15.6" x14ac:dyDescent="0.3">
      <c r="A147" s="152">
        <v>2026</v>
      </c>
      <c r="B147" s="178"/>
      <c r="C147" s="182"/>
      <c r="D147" s="183"/>
      <c r="E147" s="179">
        <f t="shared" si="47"/>
        <v>23.20583180003543</v>
      </c>
      <c r="F147" s="183">
        <f t="shared" si="48"/>
        <v>5.6512353174364449</v>
      </c>
      <c r="G147" s="247">
        <f t="shared" si="35"/>
        <v>0.16316872865343646</v>
      </c>
      <c r="H147" s="246"/>
      <c r="I147" s="417"/>
      <c r="J147" s="178"/>
      <c r="K147" s="182"/>
      <c r="L147" s="183"/>
      <c r="M147" s="179">
        <f t="shared" si="36"/>
        <v>28.688480348252302</v>
      </c>
      <c r="N147" s="183">
        <f t="shared" si="49"/>
        <v>7.1128776161337441</v>
      </c>
      <c r="O147" s="247">
        <f t="shared" si="37"/>
        <v>0.20171924478984965</v>
      </c>
      <c r="P147" s="246"/>
      <c r="Q147" s="417"/>
      <c r="R147" s="182"/>
      <c r="S147" s="178"/>
      <c r="T147" s="182"/>
      <c r="U147" s="178"/>
      <c r="V147" s="506"/>
      <c r="W147" s="439">
        <f>IF($W$135="Y",IFERROR(E147*$F$12*'Emissions Factors'!$B23*$F$21,""),"")</f>
        <v>3.4119374530293713</v>
      </c>
      <c r="X147" s="441"/>
      <c r="Y147" s="180"/>
      <c r="Z147" s="180"/>
      <c r="AA147" s="509"/>
      <c r="AB147" s="180">
        <f t="shared" si="42"/>
        <v>3.4119374530293713</v>
      </c>
      <c r="AC147" s="180">
        <f t="shared" si="43"/>
        <v>0</v>
      </c>
      <c r="AE147" s="182"/>
      <c r="AF147" s="178"/>
      <c r="AG147" s="182"/>
      <c r="AH147" s="178"/>
      <c r="AJ147" s="182">
        <f>IF($AJ$135="Y",IFERROR(M147*$F$12*'Emissions Factors'!$B23*$F$21,""),"")</f>
        <v>4.2180474897068629</v>
      </c>
      <c r="AK147" s="180"/>
      <c r="AL147" s="180"/>
      <c r="AM147" s="180"/>
      <c r="AO147" s="180">
        <f t="shared" si="44"/>
        <v>4.2180474897068629</v>
      </c>
      <c r="AP147" s="180">
        <f t="shared" si="45"/>
        <v>0</v>
      </c>
      <c r="AS147" s="430"/>
      <c r="AT147" s="478">
        <v>2026</v>
      </c>
      <c r="AU147" s="479">
        <f t="shared" si="46"/>
        <v>7.6299849427362343</v>
      </c>
      <c r="AV147" s="479">
        <f t="shared" si="46"/>
        <v>0</v>
      </c>
      <c r="AW147" s="430"/>
      <c r="AX147" s="479">
        <f t="shared" si="38"/>
        <v>2.1090237448534315</v>
      </c>
      <c r="AY147" s="479">
        <f t="shared" si="38"/>
        <v>0</v>
      </c>
      <c r="AZ147" s="430"/>
      <c r="BA147" s="479">
        <f t="shared" si="39"/>
        <v>5.5209611978828033</v>
      </c>
      <c r="BB147" s="479">
        <f t="shared" si="39"/>
        <v>0</v>
      </c>
      <c r="BC147" s="516"/>
      <c r="BE147" s="480">
        <f t="shared" si="40"/>
        <v>0.27641256970778527</v>
      </c>
      <c r="BF147" s="480" t="str">
        <f t="shared" si="41"/>
        <v/>
      </c>
    </row>
    <row r="148" spans="1:58" ht="15.6" x14ac:dyDescent="0.3">
      <c r="A148" s="152">
        <v>2027</v>
      </c>
      <c r="B148" s="178"/>
      <c r="C148" s="182"/>
      <c r="D148" s="183"/>
      <c r="E148" s="179">
        <f t="shared" si="47"/>
        <v>29.557237902024003</v>
      </c>
      <c r="F148" s="183">
        <f t="shared" si="48"/>
        <v>6.351406101988573</v>
      </c>
      <c r="G148" s="247">
        <f t="shared" si="35"/>
        <v>0.16551167618350224</v>
      </c>
      <c r="H148" s="246"/>
      <c r="I148" s="417"/>
      <c r="J148" s="178"/>
      <c r="K148" s="182"/>
      <c r="L148" s="183"/>
      <c r="M148" s="179">
        <f t="shared" si="36"/>
        <v>36.75947352207163</v>
      </c>
      <c r="N148" s="183">
        <f t="shared" si="49"/>
        <v>8.0709931738193283</v>
      </c>
      <c r="O148" s="247">
        <f t="shared" si="37"/>
        <v>0.20584203769069095</v>
      </c>
      <c r="P148" s="246"/>
      <c r="Q148" s="417"/>
      <c r="R148" s="182"/>
      <c r="S148" s="178"/>
      <c r="T148" s="182"/>
      <c r="U148" s="182"/>
      <c r="V148" s="506"/>
      <c r="W148" s="439">
        <f>IF($W$135="Y",IFERROR(E148*$F$12*'Emissions Factors'!$B24*$F$21,""),"")</f>
        <v>4.3218307364097051</v>
      </c>
      <c r="X148" s="441"/>
      <c r="Y148" s="180"/>
      <c r="Z148" s="180"/>
      <c r="AA148" s="509"/>
      <c r="AB148" s="180">
        <f t="shared" si="42"/>
        <v>4.3218307364097051</v>
      </c>
      <c r="AC148" s="180">
        <f>SUM(R148:U148)</f>
        <v>0</v>
      </c>
      <c r="AE148" s="182"/>
      <c r="AF148" s="178"/>
      <c r="AG148" s="182"/>
      <c r="AH148" s="178"/>
      <c r="AJ148" s="182">
        <f>IF($AJ$135="Y",IFERROR(M148*$F$12*'Emissions Factors'!$B24*$F$21,""),"")</f>
        <v>5.3749346623166376</v>
      </c>
      <c r="AK148" s="180"/>
      <c r="AL148" s="180"/>
      <c r="AM148" s="180"/>
      <c r="AO148" s="180">
        <f t="shared" si="44"/>
        <v>5.3749346623166376</v>
      </c>
      <c r="AP148" s="180">
        <f t="shared" si="45"/>
        <v>0</v>
      </c>
      <c r="AS148" s="430"/>
      <c r="AT148" s="478">
        <v>2027</v>
      </c>
      <c r="AU148" s="479">
        <f t="shared" si="46"/>
        <v>9.6967653987263418</v>
      </c>
      <c r="AV148" s="479">
        <f t="shared" si="46"/>
        <v>0</v>
      </c>
      <c r="AW148" s="430"/>
      <c r="AX148" s="479">
        <f t="shared" si="38"/>
        <v>2.6874673311583188</v>
      </c>
      <c r="AY148" s="479">
        <f t="shared" si="38"/>
        <v>0</v>
      </c>
      <c r="AZ148" s="430"/>
      <c r="BA148" s="479">
        <f t="shared" si="39"/>
        <v>7.0092980675680234</v>
      </c>
      <c r="BB148" s="479">
        <f t="shared" si="39"/>
        <v>0</v>
      </c>
      <c r="BC148" s="516"/>
      <c r="BE148" s="480">
        <f t="shared" si="40"/>
        <v>0.27715090761206973</v>
      </c>
      <c r="BF148" s="480" t="str">
        <f t="shared" si="41"/>
        <v/>
      </c>
    </row>
    <row r="149" spans="1:58" ht="15.6" x14ac:dyDescent="0.3">
      <c r="A149" s="152">
        <v>2028</v>
      </c>
      <c r="B149" s="178"/>
      <c r="C149" s="182"/>
      <c r="D149" s="183"/>
      <c r="E149" s="179">
        <f t="shared" si="47"/>
        <v>36.635773599605116</v>
      </c>
      <c r="F149" s="183">
        <f t="shared" si="48"/>
        <v>7.0785356975811133</v>
      </c>
      <c r="G149" s="247">
        <f t="shared" si="35"/>
        <v>0.16765572052751851</v>
      </c>
      <c r="H149" s="246"/>
      <c r="I149" s="417"/>
      <c r="J149" s="178"/>
      <c r="K149" s="182"/>
      <c r="L149" s="183"/>
      <c r="M149" s="179">
        <f t="shared" si="36"/>
        <v>45.841931127760851</v>
      </c>
      <c r="N149" s="183">
        <f t="shared" si="49"/>
        <v>9.0824576056892212</v>
      </c>
      <c r="O149" s="247">
        <f t="shared" si="37"/>
        <v>0.20978571593969197</v>
      </c>
      <c r="P149" s="246"/>
      <c r="Q149" s="417"/>
      <c r="R149" s="182"/>
      <c r="S149" s="178"/>
      <c r="T149" s="182"/>
      <c r="U149" s="178"/>
      <c r="V149" s="506"/>
      <c r="W149" s="439">
        <f>IF($W$135="Y",IFERROR(E149*$F$12*'Emissions Factors'!$B25*$F$21,""),"")</f>
        <v>5.3276321042783383</v>
      </c>
      <c r="X149" s="441"/>
      <c r="Y149" s="180"/>
      <c r="Z149" s="180"/>
      <c r="AA149" s="509"/>
      <c r="AB149" s="180">
        <f t="shared" si="42"/>
        <v>5.3276321042783383</v>
      </c>
      <c r="AC149" s="180">
        <f t="shared" si="43"/>
        <v>0</v>
      </c>
      <c r="AE149" s="182"/>
      <c r="AF149" s="178"/>
      <c r="AG149" s="182"/>
      <c r="AH149" s="178"/>
      <c r="AJ149" s="182">
        <f>IF($AJ$135="Y",IFERROR(M149*$F$12*'Emissions Factors'!$B25*$F$21,""),"")</f>
        <v>6.666406083506522</v>
      </c>
      <c r="AK149" s="180"/>
      <c r="AL149" s="180"/>
      <c r="AM149" s="180"/>
      <c r="AO149" s="180">
        <f t="shared" si="44"/>
        <v>6.666406083506522</v>
      </c>
      <c r="AP149" s="180">
        <f t="shared" si="45"/>
        <v>0</v>
      </c>
      <c r="AS149" s="430"/>
      <c r="AT149" s="478">
        <v>2028</v>
      </c>
      <c r="AU149" s="479">
        <f t="shared" si="46"/>
        <v>11.994038187784859</v>
      </c>
      <c r="AV149" s="479">
        <f t="shared" si="46"/>
        <v>0</v>
      </c>
      <c r="AW149" s="430"/>
      <c r="AX149" s="479">
        <f t="shared" si="38"/>
        <v>3.333203041753261</v>
      </c>
      <c r="AY149" s="479">
        <f t="shared" si="38"/>
        <v>0</v>
      </c>
      <c r="AZ149" s="430"/>
      <c r="BA149" s="479">
        <f t="shared" si="39"/>
        <v>8.660835146031598</v>
      </c>
      <c r="BB149" s="479">
        <f t="shared" si="39"/>
        <v>0</v>
      </c>
      <c r="BC149" s="516"/>
      <c r="BE149" s="480">
        <f t="shared" si="40"/>
        <v>0.2779049882589093</v>
      </c>
      <c r="BF149" s="480" t="str">
        <f t="shared" si="41"/>
        <v/>
      </c>
    </row>
    <row r="150" spans="1:58" ht="15.6" x14ac:dyDescent="0.3">
      <c r="A150" s="152">
        <v>2029</v>
      </c>
      <c r="B150" s="178"/>
      <c r="C150" s="182"/>
      <c r="D150" s="183"/>
      <c r="E150" s="179">
        <f t="shared" si="47"/>
        <v>44.479714278162518</v>
      </c>
      <c r="F150" s="183">
        <f t="shared" si="48"/>
        <v>7.8439406785574022</v>
      </c>
      <c r="G150" s="247">
        <f t="shared" si="35"/>
        <v>0.16967282612721071</v>
      </c>
      <c r="H150" s="246"/>
      <c r="I150" s="417"/>
      <c r="J150" s="178"/>
      <c r="K150" s="182"/>
      <c r="L150" s="183"/>
      <c r="M150" s="179">
        <f t="shared" si="36"/>
        <v>56.005093826657728</v>
      </c>
      <c r="N150" s="183">
        <f t="shared" si="49"/>
        <v>10.163162698896876</v>
      </c>
      <c r="O150" s="247">
        <f t="shared" si="37"/>
        <v>0.21363767059434391</v>
      </c>
      <c r="P150" s="246"/>
      <c r="Q150" s="417"/>
      <c r="R150" s="182"/>
      <c r="S150" s="178"/>
      <c r="T150" s="182"/>
      <c r="U150" s="178"/>
      <c r="V150" s="506"/>
      <c r="W150" s="439">
        <f>IF($W$135="Y",IFERROR(E150*$F$12*'Emissions Factors'!$B26*$F$21,""),"")</f>
        <v>6.4333453118612383</v>
      </c>
      <c r="X150" s="441"/>
      <c r="Y150" s="180"/>
      <c r="Z150" s="180"/>
      <c r="AA150" s="509"/>
      <c r="AB150" s="180">
        <f t="shared" si="42"/>
        <v>6.4333453118612383</v>
      </c>
      <c r="AC150" s="180">
        <f t="shared" si="43"/>
        <v>0</v>
      </c>
      <c r="AE150" s="182"/>
      <c r="AF150" s="178"/>
      <c r="AG150" s="182"/>
      <c r="AH150" s="178"/>
      <c r="AJ150" s="182">
        <f>IF($AJ$135="Y",IFERROR(M150*$F$12*'Emissions Factors'!$B26*$F$21,""),"")</f>
        <v>8.1003242412231042</v>
      </c>
      <c r="AK150" s="180"/>
      <c r="AL150" s="180"/>
      <c r="AM150" s="180"/>
      <c r="AO150" s="180">
        <f t="shared" si="44"/>
        <v>8.1003242412231042</v>
      </c>
      <c r="AP150" s="180">
        <f t="shared" si="45"/>
        <v>0</v>
      </c>
      <c r="AS150" s="430"/>
      <c r="AT150" s="478">
        <v>2029</v>
      </c>
      <c r="AU150" s="479">
        <f t="shared" si="46"/>
        <v>14.533669553084342</v>
      </c>
      <c r="AV150" s="479">
        <f t="shared" si="46"/>
        <v>0</v>
      </c>
      <c r="AW150" s="430"/>
      <c r="AX150" s="479">
        <f t="shared" si="38"/>
        <v>4.0501621206115521</v>
      </c>
      <c r="AY150" s="479">
        <f t="shared" si="38"/>
        <v>0</v>
      </c>
      <c r="AZ150" s="430"/>
      <c r="BA150" s="479">
        <f t="shared" si="39"/>
        <v>10.483507432472791</v>
      </c>
      <c r="BB150" s="479">
        <f t="shared" si="39"/>
        <v>0</v>
      </c>
      <c r="BC150" s="516"/>
      <c r="BE150" s="480">
        <f t="shared" si="40"/>
        <v>0.27867443289654431</v>
      </c>
      <c r="BF150" s="480" t="str">
        <f t="shared" si="41"/>
        <v/>
      </c>
    </row>
    <row r="151" spans="1:58" ht="15.6" x14ac:dyDescent="0.3">
      <c r="A151" s="152">
        <v>2030</v>
      </c>
      <c r="B151" s="178"/>
      <c r="C151" s="182"/>
      <c r="D151" s="183"/>
      <c r="E151" s="179">
        <f t="shared" si="47"/>
        <v>53.15242681763705</v>
      </c>
      <c r="F151" s="183">
        <f t="shared" si="48"/>
        <v>8.6727125394745315</v>
      </c>
      <c r="G151" s="247">
        <f t="shared" si="35"/>
        <v>0.17157472118736439</v>
      </c>
      <c r="H151" s="246"/>
      <c r="I151" s="417"/>
      <c r="J151" s="178"/>
      <c r="K151" s="182"/>
      <c r="L151" s="183"/>
      <c r="M151" s="179">
        <f t="shared" si="36"/>
        <v>67.346979297459669</v>
      </c>
      <c r="N151" s="183">
        <f t="shared" si="49"/>
        <v>11.341885470801941</v>
      </c>
      <c r="O151" s="247">
        <f t="shared" si="37"/>
        <v>0.21739438606288902</v>
      </c>
      <c r="P151" s="246"/>
      <c r="Q151" s="417"/>
      <c r="R151" s="182"/>
      <c r="S151" s="178"/>
      <c r="T151" s="182"/>
      <c r="U151" s="178"/>
      <c r="V151" s="506"/>
      <c r="W151" s="439">
        <f>IF($W$135="Y",IFERROR(E151*$F$12*'Emissions Factors'!$B27*$F$21,""),"")</f>
        <v>7.6482584405501006</v>
      </c>
      <c r="X151" s="441"/>
      <c r="Y151" s="180"/>
      <c r="Z151" s="180"/>
      <c r="AA151" s="509"/>
      <c r="AB151" s="180">
        <f t="shared" si="42"/>
        <v>7.6482584405501006</v>
      </c>
      <c r="AC151" s="180">
        <f t="shared" si="43"/>
        <v>0</v>
      </c>
      <c r="AE151" s="182"/>
      <c r="AF151" s="178"/>
      <c r="AG151" s="182"/>
      <c r="AH151" s="178"/>
      <c r="AJ151" s="182">
        <f>IF($AJ$135="Y",IFERROR(M151*$F$12*'Emissions Factors'!$B27*$F$21,""),"")</f>
        <v>9.6907541893540117</v>
      </c>
      <c r="AK151" s="180"/>
      <c r="AL151" s="180"/>
      <c r="AM151" s="180"/>
      <c r="AO151" s="180">
        <f t="shared" si="44"/>
        <v>9.6907541893540117</v>
      </c>
      <c r="AP151" s="180">
        <f t="shared" si="45"/>
        <v>0</v>
      </c>
      <c r="AS151" s="430"/>
      <c r="AT151" s="478">
        <v>2030</v>
      </c>
      <c r="AU151" s="479">
        <f t="shared" si="46"/>
        <v>17.339012629904111</v>
      </c>
      <c r="AV151" s="479">
        <f t="shared" si="46"/>
        <v>0</v>
      </c>
      <c r="AW151" s="430"/>
      <c r="AX151" s="479">
        <f t="shared" si="38"/>
        <v>4.8453770946770058</v>
      </c>
      <c r="AY151" s="479">
        <f t="shared" si="38"/>
        <v>0</v>
      </c>
      <c r="AZ151" s="430"/>
      <c r="BA151" s="479">
        <f t="shared" si="39"/>
        <v>12.493635535227106</v>
      </c>
      <c r="BB151" s="479">
        <f t="shared" si="39"/>
        <v>0</v>
      </c>
      <c r="BC151" s="516"/>
      <c r="BE151" s="480">
        <f t="shared" si="40"/>
        <v>0.27944942414542795</v>
      </c>
      <c r="BF151" s="480" t="str">
        <f t="shared" si="41"/>
        <v/>
      </c>
    </row>
    <row r="152" spans="1:58" ht="15.6" x14ac:dyDescent="0.3">
      <c r="A152" s="152">
        <v>2031</v>
      </c>
      <c r="B152" s="178"/>
      <c r="C152" s="182"/>
      <c r="D152" s="183"/>
      <c r="E152" s="179">
        <f t="shared" si="47"/>
        <v>62.610903264035237</v>
      </c>
      <c r="F152" s="183">
        <f t="shared" si="48"/>
        <v>9.458476446398187</v>
      </c>
      <c r="G152" s="247">
        <f t="shared" si="35"/>
        <v>0.17345494414191254</v>
      </c>
      <c r="H152" s="246"/>
      <c r="I152" s="417"/>
      <c r="J152" s="178"/>
      <c r="K152" s="182"/>
      <c r="L152" s="183"/>
      <c r="M152" s="179">
        <f t="shared" si="36"/>
        <v>79.853395938364798</v>
      </c>
      <c r="N152" s="183">
        <f t="shared" si="49"/>
        <v>12.50641664090513</v>
      </c>
      <c r="O152" s="247">
        <f t="shared" si="37"/>
        <v>0.22122291182448603</v>
      </c>
      <c r="P152" s="246"/>
      <c r="Q152" s="417"/>
      <c r="R152" s="182"/>
      <c r="S152" s="178"/>
      <c r="T152" s="182"/>
      <c r="U152" s="178"/>
      <c r="V152" s="506"/>
      <c r="W152" s="439">
        <f>IF($W$135="Y",IFERROR(E152*$F$12*'Emissions Factors'!$B28*$F$21,""),"")</f>
        <v>8.9591154454819488</v>
      </c>
      <c r="X152" s="441"/>
      <c r="Y152" s="180"/>
      <c r="Z152" s="180"/>
      <c r="AA152" s="509"/>
      <c r="AB152" s="180">
        <f t="shared" si="42"/>
        <v>8.9591154454819488</v>
      </c>
      <c r="AC152" s="180">
        <f t="shared" si="43"/>
        <v>0</v>
      </c>
      <c r="AE152" s="182"/>
      <c r="AF152" s="178"/>
      <c r="AG152" s="182"/>
      <c r="AH152" s="178"/>
      <c r="AJ152" s="182">
        <f>IF($AJ$135="Y",IFERROR(M152*$F$12*'Emissions Factors'!$B28*$F$21,""),"")</f>
        <v>11.426377126498611</v>
      </c>
      <c r="AK152" s="180"/>
      <c r="AL152" s="180"/>
      <c r="AM152" s="180"/>
      <c r="AO152" s="180">
        <f t="shared" si="44"/>
        <v>11.426377126498611</v>
      </c>
      <c r="AP152" s="180">
        <f t="shared" si="45"/>
        <v>0</v>
      </c>
      <c r="AS152" s="430"/>
      <c r="AT152" s="478">
        <v>2031</v>
      </c>
      <c r="AU152" s="479">
        <f t="shared" si="46"/>
        <v>20.38549257198056</v>
      </c>
      <c r="AV152" s="479">
        <f t="shared" si="46"/>
        <v>0</v>
      </c>
      <c r="AW152" s="430"/>
      <c r="AX152" s="479">
        <f t="shared" si="38"/>
        <v>5.7131885632493056</v>
      </c>
      <c r="AY152" s="479">
        <f t="shared" si="38"/>
        <v>0</v>
      </c>
      <c r="AZ152" s="430"/>
      <c r="BA152" s="479">
        <f t="shared" si="39"/>
        <v>14.672304008731254</v>
      </c>
      <c r="BB152" s="479">
        <f t="shared" si="39"/>
        <v>0</v>
      </c>
      <c r="BC152" s="516"/>
      <c r="BE152" s="480">
        <f t="shared" si="40"/>
        <v>0.28025756763424819</v>
      </c>
      <c r="BF152" s="480" t="str">
        <f t="shared" si="41"/>
        <v/>
      </c>
    </row>
    <row r="153" spans="1:58" ht="15.6" x14ac:dyDescent="0.3">
      <c r="A153" s="152">
        <v>2032</v>
      </c>
      <c r="B153" s="178"/>
      <c r="C153" s="182"/>
      <c r="D153" s="183"/>
      <c r="E153" s="179">
        <f t="shared" si="47"/>
        <v>72.901430484325004</v>
      </c>
      <c r="F153" s="183">
        <f t="shared" si="48"/>
        <v>10.290527220289768</v>
      </c>
      <c r="G153" s="247">
        <f t="shared" si="35"/>
        <v>0.17521883761357568</v>
      </c>
      <c r="H153" s="246"/>
      <c r="I153" s="417"/>
      <c r="J153" s="178"/>
      <c r="K153" s="182"/>
      <c r="L153" s="183"/>
      <c r="M153" s="179">
        <f t="shared" si="36"/>
        <v>93.593488138328226</v>
      </c>
      <c r="N153" s="183">
        <f t="shared" si="49"/>
        <v>13.740092199963428</v>
      </c>
      <c r="O153" s="247">
        <f t="shared" si="37"/>
        <v>0.22495226898632639</v>
      </c>
      <c r="P153" s="246"/>
      <c r="Q153" s="417"/>
      <c r="R153" s="182"/>
      <c r="S153" s="178"/>
      <c r="T153" s="182"/>
      <c r="U153" s="178"/>
      <c r="V153" s="506"/>
      <c r="W153" s="439">
        <f>IF($W$135="Y",IFERROR(E153*$F$12*'Emissions Factors'!$B29*$F$21,""),"")</f>
        <v>10.37620043100055</v>
      </c>
      <c r="X153" s="441"/>
      <c r="Y153" s="180"/>
      <c r="Z153" s="180"/>
      <c r="AA153" s="509"/>
      <c r="AB153" s="180">
        <f t="shared" si="42"/>
        <v>10.37620043100055</v>
      </c>
      <c r="AC153" s="180">
        <f t="shared" si="43"/>
        <v>0</v>
      </c>
      <c r="AE153" s="182"/>
      <c r="AF153" s="178"/>
      <c r="AG153" s="182"/>
      <c r="AH153" s="178"/>
      <c r="AJ153" s="182">
        <f>IF($AJ$135="Y",IFERROR(M153*$F$12*'Emissions Factors'!$B29*$F$21,""),"")</f>
        <v>13.321340685743856</v>
      </c>
      <c r="AK153" s="180"/>
      <c r="AL153" s="180"/>
      <c r="AM153" s="180"/>
      <c r="AO153" s="180">
        <f t="shared" si="44"/>
        <v>13.321340685743856</v>
      </c>
      <c r="AP153" s="180">
        <f t="shared" si="45"/>
        <v>0</v>
      </c>
      <c r="AS153" s="430"/>
      <c r="AT153" s="478">
        <v>2032</v>
      </c>
      <c r="AU153" s="479">
        <f t="shared" si="46"/>
        <v>23.697541116744404</v>
      </c>
      <c r="AV153" s="479">
        <f t="shared" si="46"/>
        <v>0</v>
      </c>
      <c r="AW153" s="430"/>
      <c r="AX153" s="479">
        <f t="shared" si="38"/>
        <v>6.6606703428719278</v>
      </c>
      <c r="AY153" s="479">
        <f t="shared" si="38"/>
        <v>0</v>
      </c>
      <c r="AZ153" s="430"/>
      <c r="BA153" s="479">
        <f t="shared" si="39"/>
        <v>17.036870773872476</v>
      </c>
      <c r="BB153" s="479">
        <f t="shared" si="39"/>
        <v>0</v>
      </c>
      <c r="BC153" s="516"/>
      <c r="BE153" s="480">
        <f t="shared" si="40"/>
        <v>0.2810701038583947</v>
      </c>
      <c r="BF153" s="480" t="str">
        <f t="shared" si="41"/>
        <v/>
      </c>
    </row>
    <row r="154" spans="1:58" ht="15.6" x14ac:dyDescent="0.3">
      <c r="A154" s="152">
        <v>2033</v>
      </c>
      <c r="B154" s="178"/>
      <c r="C154" s="182"/>
      <c r="D154" s="183"/>
      <c r="E154" s="179">
        <f t="shared" si="47"/>
        <v>83.907198068439016</v>
      </c>
      <c r="F154" s="183">
        <f t="shared" si="48"/>
        <v>11.005767584114011</v>
      </c>
      <c r="G154" s="247">
        <f t="shared" si="35"/>
        <v>0.17688288046011044</v>
      </c>
      <c r="H154" s="246"/>
      <c r="I154" s="417"/>
      <c r="J154" s="178"/>
      <c r="K154" s="182"/>
      <c r="L154" s="183"/>
      <c r="M154" s="179">
        <f t="shared" si="36"/>
        <v>108.44692494768852</v>
      </c>
      <c r="N154" s="183">
        <f t="shared" si="49"/>
        <v>14.853436809360289</v>
      </c>
      <c r="O154" s="247">
        <f t="shared" si="37"/>
        <v>0.22861452775651503</v>
      </c>
      <c r="P154" s="246"/>
      <c r="Q154" s="417"/>
      <c r="R154" s="182"/>
      <c r="S154" s="178"/>
      <c r="T154" s="182"/>
      <c r="U154" s="178"/>
      <c r="V154" s="506"/>
      <c r="W154" s="439">
        <f>IF($W$135="Y",IFERROR(E154*$F$12*'Emissions Factors'!$B30*$F$21,""),"")</f>
        <v>11.879424904730508</v>
      </c>
      <c r="X154" s="441"/>
      <c r="Y154" s="180"/>
      <c r="Z154" s="180"/>
      <c r="AA154" s="509"/>
      <c r="AB154" s="180">
        <f t="shared" si="42"/>
        <v>11.879424904730508</v>
      </c>
      <c r="AC154" s="180">
        <f t="shared" si="43"/>
        <v>0</v>
      </c>
      <c r="AE154" s="182"/>
      <c r="AF154" s="178"/>
      <c r="AG154" s="182"/>
      <c r="AH154" s="178"/>
      <c r="AJ154" s="182">
        <f>IF($AJ$135="Y",IFERROR(M154*$F$12*'Emissions Factors'!$B30*$F$21,""),"")</f>
        <v>15.353713754262397</v>
      </c>
      <c r="AK154" s="180"/>
      <c r="AL154" s="180"/>
      <c r="AM154" s="180"/>
      <c r="AO154" s="180">
        <f t="shared" si="44"/>
        <v>15.353713754262397</v>
      </c>
      <c r="AP154" s="180">
        <f t="shared" si="45"/>
        <v>0</v>
      </c>
      <c r="AS154" s="430"/>
      <c r="AT154" s="478">
        <v>2033</v>
      </c>
      <c r="AU154" s="479">
        <f t="shared" si="46"/>
        <v>27.233138658992907</v>
      </c>
      <c r="AV154" s="479">
        <f t="shared" si="46"/>
        <v>0</v>
      </c>
      <c r="AW154" s="430"/>
      <c r="AX154" s="479">
        <f t="shared" si="38"/>
        <v>7.6768568771311987</v>
      </c>
      <c r="AY154" s="479">
        <f t="shared" si="38"/>
        <v>0</v>
      </c>
      <c r="AZ154" s="430"/>
      <c r="BA154" s="479">
        <f t="shared" si="39"/>
        <v>19.556281781861706</v>
      </c>
      <c r="BB154" s="479">
        <f t="shared" si="39"/>
        <v>0</v>
      </c>
      <c r="BC154" s="516"/>
      <c r="BE154" s="480">
        <f t="shared" si="40"/>
        <v>0.28189394447915217</v>
      </c>
      <c r="BF154" s="480" t="str">
        <f t="shared" si="41"/>
        <v/>
      </c>
    </row>
    <row r="155" spans="1:58" ht="15.6" x14ac:dyDescent="0.3">
      <c r="A155" s="152">
        <v>2034</v>
      </c>
      <c r="B155" s="178"/>
      <c r="C155" s="182"/>
      <c r="D155" s="183"/>
      <c r="E155" s="179">
        <f t="shared" si="47"/>
        <v>95.490839197172335</v>
      </c>
      <c r="F155" s="183">
        <f t="shared" si="48"/>
        <v>11.583641128733319</v>
      </c>
      <c r="G155" s="247">
        <f t="shared" si="35"/>
        <v>0.17844253463097692</v>
      </c>
      <c r="H155" s="246"/>
      <c r="I155" s="417"/>
      <c r="J155" s="178"/>
      <c r="K155" s="182"/>
      <c r="L155" s="183"/>
      <c r="M155" s="179">
        <f t="shared" si="36"/>
        <v>124.25660213450641</v>
      </c>
      <c r="N155" s="183">
        <f t="shared" si="49"/>
        <v>15.809677186817893</v>
      </c>
      <c r="O155" s="247">
        <f t="shared" si="37"/>
        <v>0.23219675537389931</v>
      </c>
      <c r="P155" s="246"/>
      <c r="Q155" s="417"/>
      <c r="R155" s="182"/>
      <c r="S155" s="178"/>
      <c r="T155" s="182"/>
      <c r="U155" s="178"/>
      <c r="V155" s="506"/>
      <c r="W155" s="439">
        <f>IF($W$135="Y",IFERROR(E155*$F$12*'Emissions Factors'!$B31*$F$21,""),"")</f>
        <v>13.447924250574243</v>
      </c>
      <c r="X155" s="441"/>
      <c r="Y155" s="180"/>
      <c r="Z155" s="180"/>
      <c r="AA155" s="509"/>
      <c r="AB155" s="180">
        <f t="shared" si="42"/>
        <v>13.447924250574243</v>
      </c>
      <c r="AC155" s="180">
        <f t="shared" si="43"/>
        <v>0</v>
      </c>
      <c r="AE155" s="182"/>
      <c r="AF155" s="178"/>
      <c r="AG155" s="182"/>
      <c r="AH155" s="178"/>
      <c r="AJ155" s="182">
        <f>IF($AJ$135="Y",IFERROR(M155*$F$12*'Emissions Factors'!$B31*$F$21,""),"")</f>
        <v>17.498991392129948</v>
      </c>
      <c r="AK155" s="180"/>
      <c r="AL155" s="180"/>
      <c r="AM155" s="180"/>
      <c r="AO155" s="180">
        <f t="shared" si="44"/>
        <v>17.498991392129948</v>
      </c>
      <c r="AP155" s="180">
        <f t="shared" si="45"/>
        <v>0</v>
      </c>
      <c r="AS155" s="430"/>
      <c r="AT155" s="478">
        <v>2034</v>
      </c>
      <c r="AU155" s="479">
        <f t="shared" si="46"/>
        <v>30.946915642704191</v>
      </c>
      <c r="AV155" s="479">
        <f t="shared" si="46"/>
        <v>0</v>
      </c>
      <c r="AW155" s="430"/>
      <c r="AX155" s="479">
        <f t="shared" si="38"/>
        <v>8.7494956960649741</v>
      </c>
      <c r="AY155" s="479">
        <f t="shared" si="38"/>
        <v>0</v>
      </c>
      <c r="AZ155" s="430"/>
      <c r="BA155" s="479">
        <f t="shared" si="39"/>
        <v>22.197419946639215</v>
      </c>
      <c r="BB155" s="479">
        <f t="shared" si="39"/>
        <v>0</v>
      </c>
      <c r="BC155" s="516"/>
      <c r="BE155" s="480">
        <f t="shared" si="40"/>
        <v>0.28272593615085156</v>
      </c>
      <c r="BF155" s="480" t="str">
        <f t="shared" si="41"/>
        <v/>
      </c>
    </row>
    <row r="156" spans="1:58" ht="15.6" x14ac:dyDescent="0.3">
      <c r="A156" s="152">
        <v>2035</v>
      </c>
      <c r="B156" s="178"/>
      <c r="C156" s="182"/>
      <c r="D156" s="183"/>
      <c r="E156" s="179">
        <f t="shared" si="47"/>
        <v>107.55316113687323</v>
      </c>
      <c r="F156" s="183">
        <f t="shared" si="48"/>
        <v>12.062321939700894</v>
      </c>
      <c r="G156" s="247">
        <f t="shared" si="35"/>
        <v>0.17991244935557008</v>
      </c>
      <c r="H156" s="246"/>
      <c r="I156" s="417"/>
      <c r="J156" s="178"/>
      <c r="K156" s="182"/>
      <c r="L156" s="183"/>
      <c r="M156" s="179">
        <f t="shared" si="36"/>
        <v>140.90999221825501</v>
      </c>
      <c r="N156" s="183">
        <f t="shared" si="49"/>
        <v>16.653390083748604</v>
      </c>
      <c r="O156" s="247">
        <f t="shared" si="37"/>
        <v>0.23571098767053489</v>
      </c>
      <c r="P156" s="246"/>
      <c r="Q156" s="417"/>
      <c r="R156" s="182"/>
      <c r="S156" s="178"/>
      <c r="T156" s="182"/>
      <c r="U156" s="178"/>
      <c r="V156" s="506"/>
      <c r="W156" s="439">
        <f>IF($W$135="Y",IFERROR(E156*$F$12*'Emissions Factors'!$B32*$F$21,""),"")</f>
        <v>15.064362480552788</v>
      </c>
      <c r="X156" s="441"/>
      <c r="Y156" s="180"/>
      <c r="Z156" s="180"/>
      <c r="AA156" s="509"/>
      <c r="AB156" s="180">
        <f t="shared" si="42"/>
        <v>15.064362480552788</v>
      </c>
      <c r="AC156" s="180">
        <f t="shared" si="43"/>
        <v>0</v>
      </c>
      <c r="AE156" s="182"/>
      <c r="AF156" s="178"/>
      <c r="AG156" s="182"/>
      <c r="AH156" s="178"/>
      <c r="AJ156" s="182">
        <f>IF($AJ$135="Y",IFERROR(M156*$F$12*'Emissions Factors'!$B32*$F$21,""),"")</f>
        <v>19.736464995261947</v>
      </c>
      <c r="AK156" s="180"/>
      <c r="AL156" s="180"/>
      <c r="AM156" s="180"/>
      <c r="AO156" s="180">
        <f t="shared" si="44"/>
        <v>19.736464995261947</v>
      </c>
      <c r="AP156" s="180">
        <f t="shared" si="45"/>
        <v>0</v>
      </c>
      <c r="AS156" s="430"/>
      <c r="AT156" s="478">
        <v>2035</v>
      </c>
      <c r="AU156" s="479">
        <f t="shared" si="46"/>
        <v>34.800827475814735</v>
      </c>
      <c r="AV156" s="479">
        <f t="shared" si="46"/>
        <v>0</v>
      </c>
      <c r="AW156" s="430"/>
      <c r="AX156" s="479">
        <f t="shared" si="38"/>
        <v>9.8682324976309737</v>
      </c>
      <c r="AY156" s="479">
        <f t="shared" si="38"/>
        <v>0</v>
      </c>
      <c r="AZ156" s="430"/>
      <c r="BA156" s="479">
        <f t="shared" si="39"/>
        <v>24.932594978183761</v>
      </c>
      <c r="BB156" s="479">
        <f t="shared" si="39"/>
        <v>0</v>
      </c>
      <c r="BC156" s="516"/>
      <c r="BE156" s="480">
        <f t="shared" si="40"/>
        <v>0.28356315678094218</v>
      </c>
      <c r="BF156" s="480" t="str">
        <f t="shared" si="41"/>
        <v/>
      </c>
    </row>
    <row r="157" spans="1:58" ht="15.6" x14ac:dyDescent="0.3">
      <c r="A157" s="152">
        <v>2036</v>
      </c>
      <c r="B157" s="178"/>
      <c r="C157" s="182"/>
      <c r="D157" s="183"/>
      <c r="E157" s="179">
        <f t="shared" si="47"/>
        <v>120.06233882756837</v>
      </c>
      <c r="F157" s="183">
        <f t="shared" si="48"/>
        <v>12.50917769069514</v>
      </c>
      <c r="G157" s="247">
        <f t="shared" si="35"/>
        <v>0.18132022940738612</v>
      </c>
      <c r="H157" s="246"/>
      <c r="I157" s="417"/>
      <c r="J157" s="178"/>
      <c r="K157" s="182"/>
      <c r="L157" s="183"/>
      <c r="M157" s="179">
        <f t="shared" si="36"/>
        <v>158.38001064619451</v>
      </c>
      <c r="N157" s="183">
        <f t="shared" si="49"/>
        <v>17.470018427939493</v>
      </c>
      <c r="O157" s="247">
        <f t="shared" si="37"/>
        <v>0.23918824291067547</v>
      </c>
      <c r="P157" s="246"/>
      <c r="Q157" s="417"/>
      <c r="R157" s="182"/>
      <c r="S157" s="178"/>
      <c r="T157" s="182"/>
      <c r="U157" s="178"/>
      <c r="V157" s="506"/>
      <c r="W157" s="439">
        <f>IF($W$135="Y",IFERROR(E157*$F$12*'Emissions Factors'!$B33*$F$21,""),"")</f>
        <v>16.729345230245613</v>
      </c>
      <c r="X157" s="441"/>
      <c r="Y157" s="180"/>
      <c r="Z157" s="180"/>
      <c r="AA157" s="509"/>
      <c r="AB157" s="180">
        <f t="shared" si="42"/>
        <v>16.729345230245613</v>
      </c>
      <c r="AC157" s="180">
        <f t="shared" si="43"/>
        <v>0</v>
      </c>
      <c r="AE157" s="182"/>
      <c r="AF157" s="178"/>
      <c r="AG157" s="182"/>
      <c r="AH157" s="178"/>
      <c r="AJ157" s="182">
        <f>IF($AJ$135="Y",IFERROR(M157*$F$12*'Emissions Factors'!$B33*$F$21,""),"")</f>
        <v>22.068484601782316</v>
      </c>
      <c r="AK157" s="180"/>
      <c r="AL157" s="180"/>
      <c r="AM157" s="180"/>
      <c r="AO157" s="180">
        <f t="shared" si="44"/>
        <v>22.068484601782316</v>
      </c>
      <c r="AP157" s="180">
        <f t="shared" si="45"/>
        <v>0</v>
      </c>
      <c r="AS157" s="430"/>
      <c r="AT157" s="478">
        <v>2036</v>
      </c>
      <c r="AU157" s="479">
        <f t="shared" si="46"/>
        <v>38.797829832027929</v>
      </c>
      <c r="AV157" s="479">
        <f t="shared" si="46"/>
        <v>0</v>
      </c>
      <c r="AW157" s="430"/>
      <c r="AX157" s="479">
        <f t="shared" si="38"/>
        <v>11.034242300891158</v>
      </c>
      <c r="AY157" s="479">
        <f t="shared" si="38"/>
        <v>0</v>
      </c>
      <c r="AZ157" s="430"/>
      <c r="BA157" s="479">
        <f t="shared" si="39"/>
        <v>27.763587531136771</v>
      </c>
      <c r="BB157" s="479">
        <f t="shared" si="39"/>
        <v>0</v>
      </c>
      <c r="BC157" s="516"/>
      <c r="BE157" s="480">
        <f t="shared" si="40"/>
        <v>0.28440359547590727</v>
      </c>
      <c r="BF157" s="480" t="str">
        <f t="shared" si="41"/>
        <v/>
      </c>
    </row>
    <row r="158" spans="1:58" ht="15.6" x14ac:dyDescent="0.3">
      <c r="A158" s="152">
        <v>2037</v>
      </c>
      <c r="B158" s="178"/>
      <c r="C158" s="182"/>
      <c r="D158" s="183"/>
      <c r="E158" s="179">
        <f t="shared" si="47"/>
        <v>133.06288993281959</v>
      </c>
      <c r="F158" s="183">
        <f t="shared" si="48"/>
        <v>13.000551105251219</v>
      </c>
      <c r="G158" s="247">
        <f t="shared" si="35"/>
        <v>0.18269399589524726</v>
      </c>
      <c r="H158" s="246"/>
      <c r="I158" s="417"/>
      <c r="J158" s="178"/>
      <c r="K158" s="182"/>
      <c r="L158" s="183"/>
      <c r="M158" s="179">
        <f t="shared" si="36"/>
        <v>176.7404846360632</v>
      </c>
      <c r="N158" s="183">
        <f t="shared" si="49"/>
        <v>18.360473989868694</v>
      </c>
      <c r="O158" s="247">
        <f t="shared" si="37"/>
        <v>0.24266288963757768</v>
      </c>
      <c r="P158" s="246"/>
      <c r="Q158" s="417"/>
      <c r="R158" s="182"/>
      <c r="S158" s="178"/>
      <c r="T158" s="182"/>
      <c r="U158" s="178"/>
      <c r="V158" s="506"/>
      <c r="W158" s="439">
        <f>IF($W$135="Y",IFERROR(E158*$F$12*'Emissions Factors'!$B34*$F$21,""),"")</f>
        <v>18.441965709753081</v>
      </c>
      <c r="X158" s="441"/>
      <c r="Y158" s="180"/>
      <c r="Z158" s="180"/>
      <c r="AA158" s="509"/>
      <c r="AB158" s="180">
        <f t="shared" si="42"/>
        <v>18.441965709753081</v>
      </c>
      <c r="AC158" s="180">
        <f t="shared" si="43"/>
        <v>0</v>
      </c>
      <c r="AE158" s="182"/>
      <c r="AF158" s="178"/>
      <c r="AG158" s="182"/>
      <c r="AH158" s="178"/>
      <c r="AJ158" s="182">
        <f>IF($AJ$135="Y",IFERROR(M158*$F$12*'Emissions Factors'!$B34*$F$21,""),"")</f>
        <v>24.495499525292416</v>
      </c>
      <c r="AK158" s="180"/>
      <c r="AL158" s="180"/>
      <c r="AM158" s="180"/>
      <c r="AO158" s="180">
        <f t="shared" si="44"/>
        <v>24.495499525292416</v>
      </c>
      <c r="AP158" s="180">
        <f t="shared" si="45"/>
        <v>0</v>
      </c>
      <c r="AS158" s="430"/>
      <c r="AT158" s="478">
        <v>2037</v>
      </c>
      <c r="AU158" s="479">
        <f t="shared" si="46"/>
        <v>42.937465235045494</v>
      </c>
      <c r="AV158" s="479">
        <f t="shared" si="46"/>
        <v>0</v>
      </c>
      <c r="AW158" s="430"/>
      <c r="AX158" s="479">
        <f t="shared" si="38"/>
        <v>12.247749762646208</v>
      </c>
      <c r="AY158" s="479">
        <f t="shared" si="38"/>
        <v>0</v>
      </c>
      <c r="AZ158" s="430"/>
      <c r="BA158" s="479">
        <f t="shared" si="39"/>
        <v>30.689715472399286</v>
      </c>
      <c r="BB158" s="479">
        <f t="shared" si="39"/>
        <v>0</v>
      </c>
      <c r="BC158" s="516"/>
      <c r="BE158" s="480">
        <f t="shared" si="40"/>
        <v>0.28524622251454224</v>
      </c>
      <c r="BF158" s="480" t="str">
        <f t="shared" si="41"/>
        <v/>
      </c>
    </row>
    <row r="159" spans="1:58" ht="15.6" x14ac:dyDescent="0.3">
      <c r="A159" s="152">
        <v>2038</v>
      </c>
      <c r="B159" s="178"/>
      <c r="C159" s="182"/>
      <c r="D159" s="183"/>
      <c r="E159" s="179">
        <f t="shared" si="47"/>
        <v>146.62811172583605</v>
      </c>
      <c r="F159" s="183">
        <f t="shared" si="48"/>
        <v>13.565221793016462</v>
      </c>
      <c r="G159" s="247">
        <f t="shared" si="35"/>
        <v>0.18405101188017667</v>
      </c>
      <c r="H159" s="246"/>
      <c r="I159" s="417"/>
      <c r="J159" s="178"/>
      <c r="K159" s="182"/>
      <c r="L159" s="183"/>
      <c r="M159" s="179">
        <f t="shared" si="36"/>
        <v>196.10568992015121</v>
      </c>
      <c r="N159" s="183">
        <f t="shared" si="49"/>
        <v>19.365205284088006</v>
      </c>
      <c r="O159" s="247">
        <f t="shared" si="37"/>
        <v>0.24615641735025004</v>
      </c>
      <c r="P159" s="246"/>
      <c r="Q159" s="417"/>
      <c r="R159" s="182"/>
      <c r="S159" s="178"/>
      <c r="T159" s="182"/>
      <c r="U159" s="178"/>
      <c r="V159" s="506"/>
      <c r="W159" s="439">
        <f>IF($W$135="Y",IFERROR(E159*$F$12*'Emissions Factors'!$B35*$F$21,""),"")</f>
        <v>20.21321481208243</v>
      </c>
      <c r="X159" s="441"/>
      <c r="Y159" s="180"/>
      <c r="Z159" s="180"/>
      <c r="AA159" s="509"/>
      <c r="AB159" s="180">
        <f t="shared" si="42"/>
        <v>20.21321481208243</v>
      </c>
      <c r="AC159" s="180">
        <f t="shared" si="43"/>
        <v>0</v>
      </c>
      <c r="AE159" s="182"/>
      <c r="AF159" s="178"/>
      <c r="AG159" s="182"/>
      <c r="AH159" s="178"/>
      <c r="AJ159" s="182">
        <f>IF($AJ$135="Y",IFERROR(M159*$F$12*'Emissions Factors'!$B35*$F$21,""),"")</f>
        <v>27.033877675785391</v>
      </c>
      <c r="AK159" s="180"/>
      <c r="AL159" s="180"/>
      <c r="AM159" s="180"/>
      <c r="AO159" s="180">
        <f t="shared" si="44"/>
        <v>27.033877675785391</v>
      </c>
      <c r="AP159" s="180">
        <f t="shared" si="45"/>
        <v>0</v>
      </c>
      <c r="AS159" s="430"/>
      <c r="AT159" s="478">
        <v>2038</v>
      </c>
      <c r="AU159" s="479">
        <f t="shared" si="46"/>
        <v>47.247092487867818</v>
      </c>
      <c r="AV159" s="479">
        <f t="shared" si="46"/>
        <v>0</v>
      </c>
      <c r="AW159" s="430"/>
      <c r="AX159" s="479">
        <f t="shared" si="38"/>
        <v>13.516938837892695</v>
      </c>
      <c r="AY159" s="479">
        <f t="shared" si="38"/>
        <v>0</v>
      </c>
      <c r="AZ159" s="430"/>
      <c r="BA159" s="479">
        <f t="shared" si="39"/>
        <v>33.730153649975122</v>
      </c>
      <c r="BB159" s="479">
        <f t="shared" si="39"/>
        <v>0</v>
      </c>
      <c r="BC159" s="516"/>
      <c r="BE159" s="480">
        <f t="shared" si="40"/>
        <v>0.28609038410910886</v>
      </c>
      <c r="BF159" s="480" t="str">
        <f t="shared" si="41"/>
        <v/>
      </c>
    </row>
    <row r="160" spans="1:58" ht="15.6" x14ac:dyDescent="0.3">
      <c r="A160" s="152">
        <v>2039</v>
      </c>
      <c r="B160" s="178"/>
      <c r="C160" s="182"/>
      <c r="D160" s="183"/>
      <c r="E160" s="179">
        <f t="shared" si="47"/>
        <v>160.87450649422416</v>
      </c>
      <c r="F160" s="183">
        <f t="shared" si="48"/>
        <v>14.246394768388114</v>
      </c>
      <c r="G160" s="247">
        <f t="shared" si="35"/>
        <v>0.18540338921506924</v>
      </c>
      <c r="H160" s="246"/>
      <c r="I160" s="417"/>
      <c r="J160" s="178"/>
      <c r="K160" s="182"/>
      <c r="L160" s="183"/>
      <c r="M160" s="179">
        <f t="shared" si="36"/>
        <v>216.65196897705712</v>
      </c>
      <c r="N160" s="183">
        <f t="shared" si="49"/>
        <v>20.546279056905917</v>
      </c>
      <c r="O160" s="247">
        <f t="shared" si="37"/>
        <v>0.24968536161387739</v>
      </c>
      <c r="P160" s="246"/>
      <c r="Q160" s="417"/>
      <c r="R160" s="182"/>
      <c r="S160" s="178"/>
      <c r="T160" s="182"/>
      <c r="U160" s="178"/>
      <c r="V160" s="506"/>
      <c r="W160" s="439">
        <f>IF($W$135="Y",IFERROR(E160*$F$12*'Emissions Factors'!$B36*$F$21,""),"")</f>
        <v>22.057130946636033</v>
      </c>
      <c r="X160" s="441"/>
      <c r="Y160" s="180"/>
      <c r="Z160" s="180"/>
      <c r="AA160" s="509"/>
      <c r="AB160" s="180">
        <f t="shared" si="42"/>
        <v>22.057130946636033</v>
      </c>
      <c r="AC160" s="180">
        <f t="shared" si="43"/>
        <v>0</v>
      </c>
      <c r="AE160" s="182"/>
      <c r="AF160" s="178"/>
      <c r="AG160" s="182"/>
      <c r="AH160" s="178"/>
      <c r="AJ160" s="182">
        <f>IF($AJ$135="Y",IFERROR(M160*$F$12*'Emissions Factors'!$B36*$F$21,""),"")</f>
        <v>29.704649628529211</v>
      </c>
      <c r="AK160" s="180"/>
      <c r="AL160" s="180"/>
      <c r="AM160" s="180"/>
      <c r="AO160" s="180">
        <f t="shared" si="44"/>
        <v>29.704649628529211</v>
      </c>
      <c r="AP160" s="180">
        <f t="shared" si="45"/>
        <v>0</v>
      </c>
      <c r="AS160" s="430"/>
      <c r="AT160" s="478">
        <v>2039</v>
      </c>
      <c r="AU160" s="479">
        <f t="shared" si="46"/>
        <v>51.761780575165247</v>
      </c>
      <c r="AV160" s="479">
        <f t="shared" si="46"/>
        <v>0</v>
      </c>
      <c r="AW160" s="430"/>
      <c r="AX160" s="479">
        <f t="shared" si="38"/>
        <v>14.852324814264605</v>
      </c>
      <c r="AY160" s="479">
        <f t="shared" si="38"/>
        <v>0</v>
      </c>
      <c r="AZ160" s="430"/>
      <c r="BA160" s="479">
        <f t="shared" si="39"/>
        <v>36.909455760900642</v>
      </c>
      <c r="BB160" s="479">
        <f t="shared" si="39"/>
        <v>0</v>
      </c>
      <c r="BC160" s="516"/>
      <c r="BE160" s="480">
        <f t="shared" si="40"/>
        <v>0.28693612640888544</v>
      </c>
      <c r="BF160" s="480" t="str">
        <f t="shared" si="41"/>
        <v/>
      </c>
    </row>
    <row r="161" spans="1:58" ht="15.6" x14ac:dyDescent="0.3">
      <c r="A161" s="152">
        <v>2040</v>
      </c>
      <c r="B161" s="178"/>
      <c r="C161" s="182"/>
      <c r="D161" s="183"/>
      <c r="E161" s="179">
        <f t="shared" si="47"/>
        <v>175.82380490848055</v>
      </c>
      <c r="F161" s="183">
        <f t="shared" si="48"/>
        <v>14.94929841425639</v>
      </c>
      <c r="G161" s="247">
        <f t="shared" si="35"/>
        <v>0.18679684278069839</v>
      </c>
      <c r="H161" s="246"/>
      <c r="I161" s="417"/>
      <c r="J161" s="178"/>
      <c r="K161" s="182"/>
      <c r="L161" s="183"/>
      <c r="M161" s="179">
        <f t="shared" si="36"/>
        <v>238.45377895578736</v>
      </c>
      <c r="N161" s="183">
        <f t="shared" si="49"/>
        <v>21.801809978730233</v>
      </c>
      <c r="O161" s="247">
        <f t="shared" si="37"/>
        <v>0.25333550870004629</v>
      </c>
      <c r="P161" s="246"/>
      <c r="Q161" s="417"/>
      <c r="R161" s="182"/>
      <c r="S161" s="178"/>
      <c r="T161" s="182"/>
      <c r="U161" s="178"/>
      <c r="V161" s="506"/>
      <c r="W161" s="439">
        <f>IF($W$135="Y",IFERROR(E161*$F$12*'Emissions Factors'!$B37*$F$21,""),"")</f>
        <v>23.966028443534757</v>
      </c>
      <c r="X161" s="441"/>
      <c r="Y161" s="180"/>
      <c r="Z161" s="180"/>
      <c r="AA161" s="509"/>
      <c r="AB161" s="180">
        <f t="shared" si="42"/>
        <v>23.966028443534757</v>
      </c>
      <c r="AC161" s="180">
        <f t="shared" si="43"/>
        <v>0</v>
      </c>
      <c r="AE161" s="182"/>
      <c r="AF161" s="178"/>
      <c r="AG161" s="182"/>
      <c r="AH161" s="178"/>
      <c r="AJ161" s="182">
        <f>IF($AJ$135="Y",IFERROR(M161*$F$12*'Emissions Factors'!$B37*$F$21,""),"")</f>
        <v>32.502936970891973</v>
      </c>
      <c r="AK161" s="180"/>
      <c r="AL161" s="180"/>
      <c r="AM161" s="180"/>
      <c r="AO161" s="180">
        <f t="shared" si="44"/>
        <v>32.502936970891973</v>
      </c>
      <c r="AP161" s="180">
        <f t="shared" si="45"/>
        <v>0</v>
      </c>
      <c r="AS161" s="430"/>
      <c r="AT161" s="478">
        <v>2040</v>
      </c>
      <c r="AU161" s="479">
        <f t="shared" si="46"/>
        <v>56.468965414426734</v>
      </c>
      <c r="AV161" s="479">
        <f t="shared" si="46"/>
        <v>0</v>
      </c>
      <c r="AW161" s="430"/>
      <c r="AX161" s="479">
        <f t="shared" si="38"/>
        <v>16.251468485445987</v>
      </c>
      <c r="AY161" s="479">
        <f t="shared" si="38"/>
        <v>0</v>
      </c>
      <c r="AZ161" s="430"/>
      <c r="BA161" s="479">
        <f t="shared" si="39"/>
        <v>40.217496928980751</v>
      </c>
      <c r="BB161" s="479">
        <f t="shared" si="39"/>
        <v>0</v>
      </c>
      <c r="BC161" s="516"/>
      <c r="BE161" s="480">
        <f t="shared" si="40"/>
        <v>0.28779469158282206</v>
      </c>
      <c r="BF161" s="480" t="str">
        <f t="shared" si="41"/>
        <v/>
      </c>
    </row>
    <row r="162" spans="1:58" ht="15.6" x14ac:dyDescent="0.3">
      <c r="A162" s="152">
        <v>2041</v>
      </c>
      <c r="B162" s="178"/>
      <c r="C162" s="182"/>
      <c r="D162" s="183"/>
      <c r="E162" s="179">
        <f t="shared" si="47"/>
        <v>191.78124935648694</v>
      </c>
      <c r="F162" s="183">
        <f t="shared" si="48"/>
        <v>15.957444448006385</v>
      </c>
      <c r="G162" s="247">
        <f t="shared" si="35"/>
        <v>0.18811536833757003</v>
      </c>
      <c r="H162" s="246"/>
      <c r="I162" s="417"/>
      <c r="J162" s="178"/>
      <c r="K162" s="182"/>
      <c r="L162" s="183"/>
      <c r="M162" s="179">
        <f>IFERROR(IF($G$19="Y",$F$19,$AB107)*(SUMIF($H$5:$H$16,"Y",$F$5:$F$16)*((Z56+N56)-B56)),0)</f>
        <v>261.88518713076223</v>
      </c>
      <c r="N162" s="183">
        <f t="shared" si="49"/>
        <v>23.431408174974877</v>
      </c>
      <c r="O162" s="247">
        <f t="shared" si="37"/>
        <v>0.2568792757611183</v>
      </c>
      <c r="P162" s="246"/>
      <c r="Q162" s="417"/>
      <c r="R162" s="182"/>
      <c r="S162" s="178"/>
      <c r="T162" s="182"/>
      <c r="U162" s="178"/>
      <c r="V162" s="506"/>
      <c r="W162" s="439">
        <f>IF($W$135="Y",IFERROR(E162*$F$12*'Emissions Factors'!$B38*$F$21,""),"")</f>
        <v>26.008429777901448</v>
      </c>
      <c r="X162" s="441"/>
      <c r="Y162" s="180"/>
      <c r="Z162" s="180"/>
      <c r="AA162" s="509"/>
      <c r="AB162" s="180">
        <f t="shared" si="42"/>
        <v>26.008429777901448</v>
      </c>
      <c r="AC162" s="180">
        <f t="shared" si="43"/>
        <v>0</v>
      </c>
      <c r="AE162" s="182"/>
      <c r="AF162" s="178"/>
      <c r="AG162" s="182"/>
      <c r="AH162" s="178"/>
      <c r="AJ162" s="182">
        <f>IF($AJ$135="Y",IFERROR(M162*$F$12*'Emissions Factors'!$B38*$F$21,""),"")</f>
        <v>35.515581018570643</v>
      </c>
      <c r="AK162" s="180"/>
      <c r="AL162" s="180"/>
      <c r="AM162" s="180"/>
      <c r="AO162" s="180">
        <f t="shared" si="44"/>
        <v>35.515581018570643</v>
      </c>
      <c r="AP162" s="180">
        <f t="shared" si="45"/>
        <v>0</v>
      </c>
      <c r="AS162" s="430"/>
      <c r="AT162" s="478">
        <v>2041</v>
      </c>
      <c r="AU162" s="479">
        <f t="shared" si="46"/>
        <v>61.524010796472091</v>
      </c>
      <c r="AV162" s="479">
        <f t="shared" si="46"/>
        <v>0</v>
      </c>
      <c r="AW162" s="430"/>
      <c r="AX162" s="479">
        <f t="shared" si="38"/>
        <v>17.757790509285321</v>
      </c>
      <c r="AY162" s="479">
        <f t="shared" si="38"/>
        <v>0</v>
      </c>
      <c r="AZ162" s="430"/>
      <c r="BA162" s="479">
        <f t="shared" si="39"/>
        <v>43.766220287186769</v>
      </c>
      <c r="BB162" s="479">
        <f t="shared" si="39"/>
        <v>0</v>
      </c>
      <c r="BC162" s="516"/>
      <c r="BE162" s="480">
        <f t="shared" si="40"/>
        <v>0.28863187362784204</v>
      </c>
      <c r="BF162" s="480" t="str">
        <f t="shared" si="41"/>
        <v/>
      </c>
    </row>
    <row r="163" spans="1:58" ht="15.6" x14ac:dyDescent="0.3">
      <c r="A163" s="152">
        <v>2042</v>
      </c>
      <c r="B163" s="178"/>
      <c r="C163" s="182"/>
      <c r="D163" s="183"/>
      <c r="E163" s="179">
        <f t="shared" si="47"/>
        <v>208.52739925251319</v>
      </c>
      <c r="F163" s="183">
        <f t="shared" si="48"/>
        <v>16.746149896026253</v>
      </c>
      <c r="G163" s="247">
        <f t="shared" si="35"/>
        <v>0.18947833231582281</v>
      </c>
      <c r="H163" s="246"/>
      <c r="I163" s="417"/>
      <c r="J163" s="178"/>
      <c r="K163" s="182"/>
      <c r="L163" s="183"/>
      <c r="M163" s="179">
        <f t="shared" si="36"/>
        <v>286.74126847328824</v>
      </c>
      <c r="N163" s="183">
        <f t="shared" si="49"/>
        <v>24.856081342526011</v>
      </c>
      <c r="O163" s="247">
        <f t="shared" si="37"/>
        <v>0.26054733119579471</v>
      </c>
      <c r="P163" s="246"/>
      <c r="Q163" s="417"/>
      <c r="R163" s="182"/>
      <c r="S163" s="178"/>
      <c r="T163" s="182"/>
      <c r="U163" s="178"/>
      <c r="V163" s="506"/>
      <c r="W163" s="439">
        <f>IF($W$135="Y",IFERROR(E163*$F$12*'Emissions Factors'!$B39*$F$21,""),"")</f>
        <v>28.123304060923612</v>
      </c>
      <c r="X163" s="441"/>
      <c r="Y163" s="180"/>
      <c r="Z163" s="180"/>
      <c r="AA163" s="509"/>
      <c r="AB163" s="180">
        <f t="shared" si="42"/>
        <v>28.123304060923612</v>
      </c>
      <c r="AC163" s="180">
        <f t="shared" si="43"/>
        <v>0</v>
      </c>
      <c r="AE163" s="182"/>
      <c r="AF163" s="178"/>
      <c r="AG163" s="182"/>
      <c r="AH163" s="178"/>
      <c r="AJ163" s="182">
        <f>IF($AJ$135="Y",IFERROR(M163*$F$12*'Emissions Factors'!$B39*$F$21,""),"")</f>
        <v>38.671713688444839</v>
      </c>
      <c r="AK163" s="180"/>
      <c r="AL163" s="180"/>
      <c r="AM163" s="180"/>
      <c r="AO163" s="180">
        <f t="shared" si="44"/>
        <v>38.671713688444839</v>
      </c>
      <c r="AP163" s="180">
        <f t="shared" si="45"/>
        <v>0</v>
      </c>
      <c r="AS163" s="430"/>
      <c r="AT163" s="478">
        <v>2042</v>
      </c>
      <c r="AU163" s="479">
        <f t="shared" si="46"/>
        <v>66.795017749368455</v>
      </c>
      <c r="AV163" s="479">
        <f t="shared" si="46"/>
        <v>0</v>
      </c>
      <c r="AW163" s="430"/>
      <c r="AX163" s="479">
        <f t="shared" si="38"/>
        <v>19.33585684422242</v>
      </c>
      <c r="AY163" s="479">
        <f t="shared" si="38"/>
        <v>0</v>
      </c>
      <c r="AZ163" s="430"/>
      <c r="BA163" s="479">
        <f t="shared" si="39"/>
        <v>47.459160905146035</v>
      </c>
      <c r="BB163" s="479">
        <f t="shared" si="39"/>
        <v>0</v>
      </c>
      <c r="BC163" s="516"/>
      <c r="BE163" s="480">
        <f t="shared" si="40"/>
        <v>0.28948052558014686</v>
      </c>
      <c r="BF163" s="480" t="str">
        <f t="shared" si="41"/>
        <v/>
      </c>
    </row>
    <row r="164" spans="1:58" ht="15.6" x14ac:dyDescent="0.3">
      <c r="A164" s="152">
        <v>2043</v>
      </c>
      <c r="B164" s="178"/>
      <c r="C164" s="182"/>
      <c r="D164" s="183"/>
      <c r="E164" s="179">
        <f t="shared" si="47"/>
        <v>226.24269520015702</v>
      </c>
      <c r="F164" s="183">
        <f t="shared" si="48"/>
        <v>17.715295947643824</v>
      </c>
      <c r="G164" s="247">
        <f t="shared" si="35"/>
        <v>0.19085382407732621</v>
      </c>
      <c r="H164" s="246"/>
      <c r="I164" s="417"/>
      <c r="J164" s="178"/>
      <c r="K164" s="182"/>
      <c r="L164" s="183"/>
      <c r="M164" s="179">
        <f t="shared" si="36"/>
        <v>313.2787663080465</v>
      </c>
      <c r="N164" s="183">
        <f t="shared" si="49"/>
        <v>26.537497834758256</v>
      </c>
      <c r="O164" s="247">
        <f t="shared" si="37"/>
        <v>0.26427571727441213</v>
      </c>
      <c r="P164" s="246"/>
      <c r="Q164" s="417"/>
      <c r="R164" s="182"/>
      <c r="S164" s="178"/>
      <c r="T164" s="182"/>
      <c r="U164" s="178"/>
      <c r="V164" s="506"/>
      <c r="W164" s="439">
        <f>IF($W$135="Y",IFERROR(E164*$F$12*'Emissions Factors'!$B40*$F$21,""),"")</f>
        <v>30.342261804649468</v>
      </c>
      <c r="X164" s="441"/>
      <c r="Y164" s="180"/>
      <c r="Z164" s="180"/>
      <c r="AA164" s="509"/>
      <c r="AB164" s="180">
        <f t="shared" si="42"/>
        <v>30.342261804649468</v>
      </c>
      <c r="AC164" s="180">
        <f t="shared" si="43"/>
        <v>0</v>
      </c>
      <c r="AE164" s="182"/>
      <c r="AF164" s="178"/>
      <c r="AG164" s="182"/>
      <c r="AH164" s="178"/>
      <c r="AJ164" s="182">
        <f>IF($AJ$135="Y",IFERROR(M164*$F$12*'Emissions Factors'!$B40*$F$21,""),"")</f>
        <v>42.014997817926236</v>
      </c>
      <c r="AK164" s="180"/>
      <c r="AL164" s="180"/>
      <c r="AM164" s="180"/>
      <c r="AO164" s="180">
        <f t="shared" si="44"/>
        <v>42.014997817926236</v>
      </c>
      <c r="AP164" s="180">
        <f t="shared" si="45"/>
        <v>0</v>
      </c>
      <c r="AS164" s="430"/>
      <c r="AT164" s="478">
        <v>2043</v>
      </c>
      <c r="AU164" s="479">
        <f t="shared" si="46"/>
        <v>72.357259622575697</v>
      </c>
      <c r="AV164" s="479">
        <f t="shared" si="46"/>
        <v>0</v>
      </c>
      <c r="AW164" s="430"/>
      <c r="AX164" s="479">
        <f t="shared" si="38"/>
        <v>21.007498908963118</v>
      </c>
      <c r="AY164" s="479">
        <f t="shared" si="38"/>
        <v>0</v>
      </c>
      <c r="AZ164" s="430"/>
      <c r="BA164" s="479">
        <f t="shared" si="39"/>
        <v>51.349760713612582</v>
      </c>
      <c r="BB164" s="479">
        <f t="shared" si="39"/>
        <v>0</v>
      </c>
      <c r="BC164" s="516"/>
      <c r="BE164" s="480">
        <f t="shared" si="40"/>
        <v>0.29033021729320319</v>
      </c>
      <c r="BF164" s="480" t="str">
        <f t="shared" si="41"/>
        <v/>
      </c>
    </row>
    <row r="165" spans="1:58" ht="15.6" x14ac:dyDescent="0.3">
      <c r="A165" s="152">
        <v>2044</v>
      </c>
      <c r="B165" s="178"/>
      <c r="C165" s="182"/>
      <c r="D165" s="183"/>
      <c r="E165" s="179">
        <f t="shared" si="47"/>
        <v>245.03653063072807</v>
      </c>
      <c r="F165" s="183">
        <f t="shared" si="48"/>
        <v>18.79383543057105</v>
      </c>
      <c r="G165" s="247">
        <f t="shared" si="35"/>
        <v>0.19224772810429094</v>
      </c>
      <c r="H165" s="246"/>
      <c r="I165" s="417"/>
      <c r="J165" s="178"/>
      <c r="K165" s="182"/>
      <c r="L165" s="183"/>
      <c r="M165" s="179">
        <f t="shared" si="36"/>
        <v>341.6865421580647</v>
      </c>
      <c r="N165" s="183">
        <f t="shared" si="49"/>
        <v>28.407775850018197</v>
      </c>
      <c r="O165" s="247">
        <f t="shared" si="37"/>
        <v>0.26807619780044956</v>
      </c>
      <c r="P165" s="246"/>
      <c r="Q165" s="417"/>
      <c r="R165" s="182"/>
      <c r="S165" s="178"/>
      <c r="T165" s="182"/>
      <c r="U165" s="178"/>
      <c r="V165" s="506"/>
      <c r="W165" s="439">
        <f>IF($W$135="Y",IFERROR(E165*$F$12*'Emissions Factors'!$B41*$F$21,""),"")</f>
        <v>32.677318147067098</v>
      </c>
      <c r="X165" s="441"/>
      <c r="Y165" s="180"/>
      <c r="Z165" s="180"/>
      <c r="AA165" s="509"/>
      <c r="AB165" s="180">
        <f t="shared" si="42"/>
        <v>32.677318147067098</v>
      </c>
      <c r="AC165" s="180">
        <f t="shared" si="43"/>
        <v>0</v>
      </c>
      <c r="AE165" s="182"/>
      <c r="AF165" s="178"/>
      <c r="AG165" s="182"/>
      <c r="AH165" s="178"/>
      <c r="AJ165" s="182">
        <f>IF($AJ$135="Y",IFERROR(M165*$F$12*'Emissions Factors'!$B41*$F$21,""),"")</f>
        <v>45.566266449865289</v>
      </c>
      <c r="AK165" s="180"/>
      <c r="AL165" s="180"/>
      <c r="AM165" s="180"/>
      <c r="AO165" s="180">
        <f t="shared" si="44"/>
        <v>45.566266449865289</v>
      </c>
      <c r="AP165" s="180">
        <f t="shared" si="45"/>
        <v>0</v>
      </c>
      <c r="AS165" s="430"/>
      <c r="AT165" s="478">
        <v>2044</v>
      </c>
      <c r="AU165" s="479">
        <f t="shared" si="46"/>
        <v>78.243584596932379</v>
      </c>
      <c r="AV165" s="479">
        <f t="shared" si="46"/>
        <v>0</v>
      </c>
      <c r="AW165" s="430"/>
      <c r="AX165" s="479">
        <f t="shared" si="38"/>
        <v>22.783133224932644</v>
      </c>
      <c r="AY165" s="479">
        <f t="shared" si="38"/>
        <v>0</v>
      </c>
      <c r="AZ165" s="430"/>
      <c r="BA165" s="479">
        <f t="shared" si="39"/>
        <v>55.460451371999739</v>
      </c>
      <c r="BB165" s="479">
        <f t="shared" si="39"/>
        <v>0</v>
      </c>
      <c r="BC165" s="516"/>
      <c r="BE165" s="480">
        <f t="shared" si="40"/>
        <v>0.29118212492818074</v>
      </c>
      <c r="BF165" s="480" t="str">
        <f t="shared" si="41"/>
        <v/>
      </c>
    </row>
    <row r="166" spans="1:58" ht="15.6" x14ac:dyDescent="0.3">
      <c r="A166" s="152">
        <v>2045</v>
      </c>
      <c r="B166" s="178"/>
      <c r="C166" s="182"/>
      <c r="D166" s="183"/>
      <c r="E166" s="179">
        <f t="shared" si="47"/>
        <v>265.01123572362889</v>
      </c>
      <c r="F166" s="183">
        <f t="shared" si="48"/>
        <v>19.97470509290082</v>
      </c>
      <c r="G166" s="247">
        <f t="shared" si="35"/>
        <v>0.19365989292598665</v>
      </c>
      <c r="H166" s="246"/>
      <c r="I166" s="417"/>
      <c r="J166" s="178"/>
      <c r="K166" s="182"/>
      <c r="L166" s="183"/>
      <c r="M166" s="179">
        <f t="shared" si="36"/>
        <v>372.14904061815719</v>
      </c>
      <c r="N166" s="183">
        <f t="shared" si="49"/>
        <v>30.46249846009249</v>
      </c>
      <c r="O166" s="247">
        <f t="shared" si="37"/>
        <v>0.27195202936142926</v>
      </c>
      <c r="P166" s="246"/>
      <c r="Q166" s="417"/>
      <c r="R166" s="182"/>
      <c r="S166" s="178"/>
      <c r="T166" s="182"/>
      <c r="U166" s="178"/>
      <c r="V166" s="506"/>
      <c r="W166" s="439">
        <f>IF($W$135="Y",IFERROR(E166*$F$12*'Emissions Factors'!$B42*$F$21,""),"")</f>
        <v>35.131921647254366</v>
      </c>
      <c r="X166" s="441"/>
      <c r="Y166" s="180"/>
      <c r="Z166" s="180"/>
      <c r="AA166" s="509"/>
      <c r="AB166" s="180">
        <f t="shared" si="42"/>
        <v>35.131921647254366</v>
      </c>
      <c r="AC166" s="180">
        <f t="shared" si="43"/>
        <v>0</v>
      </c>
      <c r="AE166" s="182"/>
      <c r="AF166" s="178"/>
      <c r="AG166" s="182"/>
      <c r="AH166" s="178"/>
      <c r="AJ166" s="182">
        <f>IF($AJ$135="Y",IFERROR(M166*$F$12*'Emissions Factors'!$B42*$F$21,""),"")</f>
        <v>49.334930650762033</v>
      </c>
      <c r="AK166" s="180"/>
      <c r="AL166" s="180"/>
      <c r="AM166" s="180"/>
      <c r="AO166" s="180">
        <f t="shared" si="44"/>
        <v>49.334930650762033</v>
      </c>
      <c r="AP166" s="180">
        <f t="shared" si="45"/>
        <v>0</v>
      </c>
      <c r="AS166" s="430"/>
      <c r="AT166" s="478">
        <v>2045</v>
      </c>
      <c r="AU166" s="479">
        <f t="shared" si="46"/>
        <v>84.466852298016391</v>
      </c>
      <c r="AV166" s="479">
        <f t="shared" si="46"/>
        <v>0</v>
      </c>
      <c r="AW166" s="430"/>
      <c r="AX166" s="479">
        <f t="shared" si="38"/>
        <v>24.667465325381016</v>
      </c>
      <c r="AY166" s="479">
        <f t="shared" si="38"/>
        <v>0</v>
      </c>
      <c r="AZ166" s="430"/>
      <c r="BA166" s="479">
        <f t="shared" si="39"/>
        <v>59.799386972635375</v>
      </c>
      <c r="BB166" s="479">
        <f t="shared" si="39"/>
        <v>0</v>
      </c>
      <c r="BC166" s="516"/>
      <c r="BE166" s="480">
        <f t="shared" si="40"/>
        <v>0.29203722708109375</v>
      </c>
      <c r="BF166" s="480" t="str">
        <f t="shared" si="41"/>
        <v/>
      </c>
    </row>
    <row r="167" spans="1:58" ht="15.6" x14ac:dyDescent="0.3">
      <c r="A167" s="152">
        <v>2046</v>
      </c>
      <c r="B167" s="178"/>
      <c r="C167" s="182"/>
      <c r="D167" s="183"/>
      <c r="E167" s="179">
        <f t="shared" si="47"/>
        <v>286.24004796750694</v>
      </c>
      <c r="F167" s="183">
        <f t="shared" si="48"/>
        <v>21.228812243878053</v>
      </c>
      <c r="G167" s="247">
        <f t="shared" si="35"/>
        <v>0.19508226069111184</v>
      </c>
      <c r="H167" s="246"/>
      <c r="I167" s="417"/>
      <c r="J167" s="178"/>
      <c r="K167" s="182"/>
      <c r="L167" s="183"/>
      <c r="M167" s="179">
        <f t="shared" si="36"/>
        <v>404.81318874323784</v>
      </c>
      <c r="N167" s="183">
        <f t="shared" si="49"/>
        <v>32.664148125080658</v>
      </c>
      <c r="O167" s="247">
        <f t="shared" si="37"/>
        <v>0.27589386103852676</v>
      </c>
      <c r="P167" s="246"/>
      <c r="Q167" s="417"/>
      <c r="R167" s="182"/>
      <c r="S167" s="178"/>
      <c r="T167" s="182"/>
      <c r="U167" s="178"/>
      <c r="V167" s="506"/>
      <c r="W167" s="439">
        <f>IF($W$135="Y",IFERROR(E167*$F$12*'Emissions Factors'!$B43*$F$21,""),"")</f>
        <v>37.73415530005272</v>
      </c>
      <c r="X167" s="441"/>
      <c r="Y167" s="180"/>
      <c r="Z167" s="180"/>
      <c r="AA167" s="509"/>
      <c r="AB167" s="180">
        <f t="shared" si="42"/>
        <v>37.73415530005272</v>
      </c>
      <c r="AC167" s="180">
        <f t="shared" si="43"/>
        <v>0</v>
      </c>
      <c r="AE167" s="182"/>
      <c r="AF167" s="178"/>
      <c r="AG167" s="182"/>
      <c r="AH167" s="178"/>
      <c r="AJ167" s="182">
        <f>IF($AJ$135="Y",IFERROR(M167*$F$12*'Emissions Factors'!$B43*$F$21,""),"")</f>
        <v>53.365291963900496</v>
      </c>
      <c r="AK167" s="180"/>
      <c r="AL167" s="180"/>
      <c r="AM167" s="180"/>
      <c r="AO167" s="180">
        <f t="shared" si="44"/>
        <v>53.365291963900496</v>
      </c>
      <c r="AP167" s="180">
        <f t="shared" si="45"/>
        <v>0</v>
      </c>
      <c r="AS167" s="430"/>
      <c r="AT167" s="478">
        <v>2046</v>
      </c>
      <c r="AU167" s="479">
        <f t="shared" si="46"/>
        <v>91.099447263953209</v>
      </c>
      <c r="AV167" s="479">
        <f t="shared" si="46"/>
        <v>0</v>
      </c>
      <c r="AW167" s="430"/>
      <c r="AX167" s="479">
        <f t="shared" si="38"/>
        <v>26.682645981950248</v>
      </c>
      <c r="AY167" s="479">
        <f t="shared" si="38"/>
        <v>0</v>
      </c>
      <c r="AZ167" s="430"/>
      <c r="BA167" s="479">
        <f t="shared" si="39"/>
        <v>64.416801282002965</v>
      </c>
      <c r="BB167" s="479">
        <f t="shared" si="39"/>
        <v>0</v>
      </c>
      <c r="BC167" s="516"/>
      <c r="BE167" s="480">
        <f t="shared" si="40"/>
        <v>0.29289580544478455</v>
      </c>
      <c r="BF167" s="480" t="str">
        <f t="shared" si="41"/>
        <v/>
      </c>
    </row>
    <row r="168" spans="1:58" ht="15.6" x14ac:dyDescent="0.3">
      <c r="A168" s="152">
        <v>2047</v>
      </c>
      <c r="B168" s="178"/>
      <c r="C168" s="182"/>
      <c r="D168" s="183"/>
      <c r="E168" s="179">
        <f t="shared" si="47"/>
        <v>308.79172209068872</v>
      </c>
      <c r="F168" s="183">
        <f t="shared" si="48"/>
        <v>22.551674123181783</v>
      </c>
      <c r="G168" s="247">
        <f t="shared" si="35"/>
        <v>0.1965067362569447</v>
      </c>
      <c r="H168" s="246"/>
      <c r="I168" s="417"/>
      <c r="J168" s="178"/>
      <c r="K168" s="182"/>
      <c r="L168" s="183"/>
      <c r="M168" s="179">
        <f t="shared" si="36"/>
        <v>439.8220542289211</v>
      </c>
      <c r="N168" s="183">
        <f t="shared" si="49"/>
        <v>35.008865485683259</v>
      </c>
      <c r="O168" s="247">
        <f t="shared" si="37"/>
        <v>0.2798909110166084</v>
      </c>
      <c r="P168" s="246"/>
      <c r="Q168" s="417"/>
      <c r="R168" s="182"/>
      <c r="S168" s="178"/>
      <c r="T168" s="182"/>
      <c r="U168" s="178"/>
      <c r="V168" s="506"/>
      <c r="W168" s="439">
        <f>IF($W$135="Y",IFERROR(E168*$F$12*'Emissions Factors'!$B44*$F$21,""),"")</f>
        <v>40.467878700937604</v>
      </c>
      <c r="X168" s="441"/>
      <c r="Y168" s="180"/>
      <c r="Z168" s="180"/>
      <c r="AA168" s="509"/>
      <c r="AB168" s="180">
        <f t="shared" si="42"/>
        <v>40.467878700937604</v>
      </c>
      <c r="AC168" s="180">
        <f t="shared" si="43"/>
        <v>0</v>
      </c>
      <c r="AE168" s="182"/>
      <c r="AF168" s="178"/>
      <c r="AG168" s="182"/>
      <c r="AH168" s="178"/>
      <c r="AJ168" s="182">
        <f>IF($AJ$135="Y",IFERROR(M168*$F$12*'Emissions Factors'!$B44*$F$21,""),"")</f>
        <v>57.639710741034399</v>
      </c>
      <c r="AK168" s="180"/>
      <c r="AL168" s="180"/>
      <c r="AM168" s="180"/>
      <c r="AO168" s="180">
        <f t="shared" si="44"/>
        <v>57.639710741034399</v>
      </c>
      <c r="AP168" s="180">
        <f t="shared" si="45"/>
        <v>0</v>
      </c>
      <c r="AS168" s="430"/>
      <c r="AT168" s="478">
        <v>2047</v>
      </c>
      <c r="AU168" s="479">
        <f t="shared" si="46"/>
        <v>98.10758944197201</v>
      </c>
      <c r="AV168" s="479">
        <f t="shared" si="46"/>
        <v>0</v>
      </c>
      <c r="AW168" s="430"/>
      <c r="AX168" s="479">
        <f t="shared" si="38"/>
        <v>28.8198553705172</v>
      </c>
      <c r="AY168" s="479">
        <f t="shared" si="38"/>
        <v>0</v>
      </c>
      <c r="AZ168" s="430"/>
      <c r="BA168" s="479">
        <f t="shared" si="39"/>
        <v>69.287734071454807</v>
      </c>
      <c r="BB168" s="479">
        <f t="shared" si="39"/>
        <v>0</v>
      </c>
      <c r="BC168" s="516"/>
      <c r="BE168" s="480">
        <f t="shared" si="40"/>
        <v>0.29375765457537173</v>
      </c>
      <c r="BF168" s="480" t="str">
        <f t="shared" si="41"/>
        <v/>
      </c>
    </row>
    <row r="169" spans="1:58" ht="15.6" x14ac:dyDescent="0.3">
      <c r="A169" s="152">
        <v>2048</v>
      </c>
      <c r="B169" s="178"/>
      <c r="C169" s="182"/>
      <c r="D169" s="183"/>
      <c r="E169" s="179">
        <f t="shared" si="47"/>
        <v>332.76088995259744</v>
      </c>
      <c r="F169" s="183">
        <f t="shared" si="48"/>
        <v>23.969167861908716</v>
      </c>
      <c r="G169" s="247">
        <f t="shared" si="35"/>
        <v>0.19793036449230217</v>
      </c>
      <c r="H169" s="246"/>
      <c r="I169" s="417"/>
      <c r="J169" s="178"/>
      <c r="K169" s="182"/>
      <c r="L169" s="183"/>
      <c r="M169" s="179">
        <f t="shared" si="36"/>
        <v>477.36020804566249</v>
      </c>
      <c r="N169" s="183">
        <f t="shared" si="49"/>
        <v>37.538153816741385</v>
      </c>
      <c r="O169" s="247">
        <f t="shared" si="37"/>
        <v>0.28393985839519376</v>
      </c>
      <c r="P169" s="246"/>
      <c r="Q169" s="417"/>
      <c r="R169" s="182"/>
      <c r="S169" s="178"/>
      <c r="T169" s="182"/>
      <c r="U169" s="178"/>
      <c r="V169" s="506"/>
      <c r="W169" s="439">
        <f>IF($W$135="Y",IFERROR(E169*$F$12*'Emissions Factors'!$B45*$F$21,""),"")</f>
        <v>43.348868940706893</v>
      </c>
      <c r="X169" s="441"/>
      <c r="Y169" s="180"/>
      <c r="Z169" s="180"/>
      <c r="AA169" s="509"/>
      <c r="AB169" s="180">
        <f t="shared" si="42"/>
        <v>43.348868940706893</v>
      </c>
      <c r="AC169" s="180">
        <f t="shared" si="43"/>
        <v>0</v>
      </c>
      <c r="AE169" s="182"/>
      <c r="AF169" s="178"/>
      <c r="AG169" s="182"/>
      <c r="AH169" s="178"/>
      <c r="AJ169" s="182">
        <f>IF($AJ$135="Y",IFERROR(M169*$F$12*'Emissions Factors'!$B45*$F$21,""),"")</f>
        <v>62.185868955416524</v>
      </c>
      <c r="AK169" s="180"/>
      <c r="AL169" s="180"/>
      <c r="AM169" s="180"/>
      <c r="AO169" s="180">
        <f t="shared" si="44"/>
        <v>62.185868955416524</v>
      </c>
      <c r="AP169" s="180">
        <f t="shared" si="45"/>
        <v>0</v>
      </c>
      <c r="AS169" s="430"/>
      <c r="AT169" s="478">
        <v>2048</v>
      </c>
      <c r="AU169" s="479">
        <f t="shared" si="46"/>
        <v>105.53473789612342</v>
      </c>
      <c r="AV169" s="479">
        <f t="shared" si="46"/>
        <v>0</v>
      </c>
      <c r="AW169" s="430"/>
      <c r="AX169" s="479">
        <f t="shared" si="38"/>
        <v>31.092934477708262</v>
      </c>
      <c r="AY169" s="479">
        <f t="shared" si="38"/>
        <v>0</v>
      </c>
      <c r="AZ169" s="430"/>
      <c r="BA169" s="479">
        <f t="shared" si="39"/>
        <v>74.441803418415162</v>
      </c>
      <c r="BB169" s="479">
        <f t="shared" si="39"/>
        <v>0</v>
      </c>
      <c r="BC169" s="516"/>
      <c r="BE169" s="480">
        <f t="shared" si="40"/>
        <v>0.29462274789854187</v>
      </c>
      <c r="BF169" s="480" t="str">
        <f t="shared" si="41"/>
        <v/>
      </c>
    </row>
    <row r="170" spans="1:58" ht="15.6" x14ac:dyDescent="0.3">
      <c r="A170" s="152">
        <v>2049</v>
      </c>
      <c r="B170" s="178"/>
      <c r="C170" s="182"/>
      <c r="D170" s="183"/>
      <c r="E170" s="179">
        <f t="shared" si="47"/>
        <v>358.24691343291408</v>
      </c>
      <c r="F170" s="183">
        <f t="shared" si="48"/>
        <v>25.486023480316646</v>
      </c>
      <c r="G170" s="247">
        <f t="shared" si="35"/>
        <v>0.19935004009049365</v>
      </c>
      <c r="H170" s="246"/>
      <c r="I170" s="417"/>
      <c r="J170" s="178"/>
      <c r="K170" s="182"/>
      <c r="L170" s="183"/>
      <c r="M170" s="179">
        <f t="shared" si="36"/>
        <v>517.62376522738361</v>
      </c>
      <c r="N170" s="183">
        <f t="shared" si="49"/>
        <v>40.263557181721126</v>
      </c>
      <c r="O170" s="247">
        <f t="shared" si="37"/>
        <v>0.28803686642004916</v>
      </c>
      <c r="P170" s="246"/>
      <c r="Q170" s="417"/>
      <c r="R170" s="182"/>
      <c r="S170" s="178"/>
      <c r="T170" s="182"/>
      <c r="U170" s="178"/>
      <c r="V170" s="506"/>
      <c r="W170" s="439">
        <f>IF($W$135="Y",IFERROR(E170*$F$12*'Emissions Factors'!$B46*$F$21,""),"")</f>
        <v>46.428393124834223</v>
      </c>
      <c r="X170" s="441"/>
      <c r="Y170" s="180"/>
      <c r="Z170" s="180"/>
      <c r="AA170" s="509"/>
      <c r="AB170" s="180">
        <f t="shared" si="42"/>
        <v>46.428393124834223</v>
      </c>
      <c r="AC170" s="180">
        <f t="shared" si="43"/>
        <v>0</v>
      </c>
      <c r="AE170" s="182"/>
      <c r="AF170" s="178"/>
      <c r="AG170" s="182"/>
      <c r="AH170" s="178"/>
      <c r="AJ170" s="182">
        <f>IF($AJ$135="Y",IFERROR(M170*$F$12*'Emissions Factors'!$B46*$F$21,""),"")</f>
        <v>67.083452115308219</v>
      </c>
      <c r="AK170" s="180"/>
      <c r="AL170" s="180"/>
      <c r="AM170" s="180"/>
      <c r="AO170" s="180">
        <f t="shared" si="44"/>
        <v>67.083452115308219</v>
      </c>
      <c r="AP170" s="180">
        <f t="shared" si="45"/>
        <v>0</v>
      </c>
      <c r="AS170" s="430"/>
      <c r="AT170" s="478">
        <v>2049</v>
      </c>
      <c r="AU170" s="479">
        <f t="shared" si="46"/>
        <v>113.51184524014243</v>
      </c>
      <c r="AV170" s="479">
        <f t="shared" si="46"/>
        <v>0</v>
      </c>
      <c r="AW170" s="430"/>
      <c r="AX170" s="479">
        <f t="shared" si="38"/>
        <v>33.54172605765411</v>
      </c>
      <c r="AY170" s="479">
        <f t="shared" si="38"/>
        <v>0</v>
      </c>
      <c r="AZ170" s="430"/>
      <c r="BA170" s="479">
        <f t="shared" si="39"/>
        <v>79.970119182488332</v>
      </c>
      <c r="BB170" s="479">
        <f t="shared" si="39"/>
        <v>0</v>
      </c>
      <c r="BC170" s="516"/>
      <c r="BE170" s="480">
        <f t="shared" si="40"/>
        <v>0.29549097705789373</v>
      </c>
      <c r="BF170" s="480" t="str">
        <f t="shared" si="41"/>
        <v/>
      </c>
    </row>
    <row r="171" spans="1:58" ht="15.6" x14ac:dyDescent="0.3">
      <c r="A171" s="152">
        <v>2050</v>
      </c>
      <c r="B171" s="178"/>
      <c r="C171" s="182"/>
      <c r="D171" s="183"/>
      <c r="E171" s="179">
        <f t="shared" si="47"/>
        <v>385.43598515060478</v>
      </c>
      <c r="F171" s="183">
        <f t="shared" si="48"/>
        <v>27.189071717690695</v>
      </c>
      <c r="G171" s="247">
        <f t="shared" si="35"/>
        <v>0.20073691459921542</v>
      </c>
      <c r="H171" s="246"/>
      <c r="I171" s="417"/>
      <c r="J171" s="178"/>
      <c r="K171" s="182"/>
      <c r="L171" s="183"/>
      <c r="M171" s="179">
        <f t="shared" si="36"/>
        <v>560.91344310185468</v>
      </c>
      <c r="N171" s="183">
        <f t="shared" si="49"/>
        <v>43.289677874471067</v>
      </c>
      <c r="O171" s="247">
        <f t="shared" si="37"/>
        <v>0.292126418558177</v>
      </c>
      <c r="P171" s="246"/>
      <c r="Q171" s="417"/>
      <c r="R171" s="182"/>
      <c r="S171" s="178"/>
      <c r="T171" s="182"/>
      <c r="U171" s="178"/>
      <c r="V171" s="506"/>
      <c r="W171" s="439">
        <f>IF($W$135="Y",IFERROR(E171*$F$12*'Emissions Factors'!$B47*$F$21,""),"")</f>
        <v>49.780284568209304</v>
      </c>
      <c r="X171" s="441"/>
      <c r="Y171" s="180"/>
      <c r="Z171" s="180"/>
      <c r="AA171" s="509"/>
      <c r="AB171" s="180">
        <f t="shared" si="42"/>
        <v>49.780284568209304</v>
      </c>
      <c r="AC171" s="180">
        <f t="shared" si="43"/>
        <v>0</v>
      </c>
      <c r="AE171" s="182"/>
      <c r="AF171" s="178"/>
      <c r="AG171" s="182"/>
      <c r="AH171" s="178"/>
      <c r="AJ171" s="182">
        <f>IF($AJ$135="Y",IFERROR(M171*$F$12*'Emissions Factors'!$B47*$F$21,""),"")</f>
        <v>72.443756918114502</v>
      </c>
      <c r="AK171" s="180"/>
      <c r="AL171" s="180"/>
      <c r="AM171" s="180"/>
      <c r="AO171" s="180">
        <f t="shared" si="44"/>
        <v>72.443756918114502</v>
      </c>
      <c r="AP171" s="180">
        <f t="shared" si="45"/>
        <v>0</v>
      </c>
      <c r="AS171" s="430"/>
      <c r="AT171" s="478">
        <v>2050</v>
      </c>
      <c r="AU171" s="479">
        <f t="shared" si="46"/>
        <v>122.22404148632381</v>
      </c>
      <c r="AV171" s="479">
        <f t="shared" si="46"/>
        <v>0</v>
      </c>
      <c r="AW171" s="430"/>
      <c r="AX171" s="479">
        <f t="shared" si="38"/>
        <v>36.221878459057251</v>
      </c>
      <c r="AY171" s="479">
        <f t="shared" si="38"/>
        <v>0</v>
      </c>
      <c r="AZ171" s="430"/>
      <c r="BA171" s="479">
        <f t="shared" si="39"/>
        <v>86.002163027266562</v>
      </c>
      <c r="BB171" s="479">
        <f t="shared" si="39"/>
        <v>0</v>
      </c>
      <c r="BC171" s="516"/>
      <c r="BE171" s="480">
        <f t="shared" si="40"/>
        <v>0.29635641252388367</v>
      </c>
      <c r="BF171" s="480" t="str">
        <f t="shared" si="41"/>
        <v/>
      </c>
    </row>
    <row r="172" spans="1:58" ht="15.6" x14ac:dyDescent="0.3">
      <c r="A172" s="152">
        <v>2051</v>
      </c>
      <c r="B172" s="178"/>
      <c r="C172" s="182"/>
      <c r="D172" s="183"/>
      <c r="E172" s="179">
        <f t="shared" si="47"/>
        <v>414.10972096809513</v>
      </c>
      <c r="F172" s="183">
        <f t="shared" si="48"/>
        <v>28.673735817490353</v>
      </c>
      <c r="G172" s="247">
        <f t="shared" si="35"/>
        <v>0.20215248403410618</v>
      </c>
      <c r="H172" s="246"/>
      <c r="I172" s="417"/>
      <c r="J172" s="178"/>
      <c r="K172" s="182"/>
      <c r="L172" s="183"/>
      <c r="M172" s="179">
        <f t="shared" si="36"/>
        <v>607.0568140812278</v>
      </c>
      <c r="N172" s="183">
        <f t="shared" si="49"/>
        <v>46.143370979373117</v>
      </c>
      <c r="O172" s="247">
        <f t="shared" si="37"/>
        <v>0.29634185507518074</v>
      </c>
      <c r="P172" s="246"/>
      <c r="Q172" s="417"/>
      <c r="R172" s="182"/>
      <c r="S172" s="178"/>
      <c r="T172" s="182"/>
      <c r="U172" s="178"/>
      <c r="V172" s="506"/>
      <c r="W172" s="439">
        <f>IF($W$135="Y",IFERROR(E172*$F$12*'Emissions Factors'!$B48*$F$21,""),"")</f>
        <v>53.279171211671361</v>
      </c>
      <c r="X172" s="441"/>
      <c r="Y172" s="180"/>
      <c r="Z172" s="180"/>
      <c r="AA172" s="509"/>
      <c r="AB172" s="180">
        <f t="shared" si="42"/>
        <v>53.279171211671361</v>
      </c>
      <c r="AC172" s="180">
        <f t="shared" si="43"/>
        <v>0</v>
      </c>
      <c r="AE172" s="182"/>
      <c r="AF172" s="178"/>
      <c r="AG172" s="182"/>
      <c r="AH172" s="178"/>
      <c r="AJ172" s="182">
        <f>IF($AJ$135="Y",IFERROR(M172*$F$12*'Emissions Factors'!$B48*$F$21,""),"")</f>
        <v>78.103657786718259</v>
      </c>
      <c r="AK172" s="180"/>
      <c r="AL172" s="180"/>
      <c r="AM172" s="180"/>
      <c r="AO172" s="180">
        <f t="shared" si="44"/>
        <v>78.103657786718259</v>
      </c>
      <c r="AP172" s="180">
        <f t="shared" si="45"/>
        <v>0</v>
      </c>
      <c r="AT172" s="478">
        <v>2051</v>
      </c>
      <c r="AU172" s="479">
        <f t="shared" si="46"/>
        <v>131.38282899838961</v>
      </c>
      <c r="AV172" s="479">
        <f t="shared" si="46"/>
        <v>0</v>
      </c>
      <c r="AW172" s="430"/>
      <c r="AX172" s="479">
        <f t="shared" si="38"/>
        <v>39.051828893359129</v>
      </c>
      <c r="AY172" s="479">
        <f t="shared" si="38"/>
        <v>0</v>
      </c>
      <c r="AZ172" s="430"/>
      <c r="BA172" s="479">
        <f t="shared" si="39"/>
        <v>92.331000105030483</v>
      </c>
      <c r="BB172" s="479">
        <f t="shared" si="39"/>
        <v>0</v>
      </c>
      <c r="BC172" s="516"/>
      <c r="BE172" s="480">
        <f t="shared" si="40"/>
        <v>0.29723693112010702</v>
      </c>
      <c r="BF172" s="480" t="str">
        <f t="shared" si="41"/>
        <v/>
      </c>
    </row>
    <row r="173" spans="1:58" ht="15.6" x14ac:dyDescent="0.3">
      <c r="A173" s="152">
        <v>2052</v>
      </c>
      <c r="B173" s="178"/>
      <c r="C173" s="182"/>
      <c r="D173" s="183"/>
      <c r="E173" s="179">
        <f t="shared" si="47"/>
        <v>444.61346354597259</v>
      </c>
      <c r="F173" s="183">
        <f t="shared" si="48"/>
        <v>30.50374257787746</v>
      </c>
      <c r="G173" s="247">
        <f t="shared" si="35"/>
        <v>0.20351732697285904</v>
      </c>
      <c r="H173" s="246"/>
      <c r="I173" s="417"/>
      <c r="J173" s="178"/>
      <c r="K173" s="182"/>
      <c r="L173" s="183"/>
      <c r="M173" s="179">
        <f t="shared" si="36"/>
        <v>656.54096623527505</v>
      </c>
      <c r="N173" s="183">
        <f t="shared" si="49"/>
        <v>49.484152154047251</v>
      </c>
      <c r="O173" s="247">
        <f t="shared" si="37"/>
        <v>0.30052500306834584</v>
      </c>
      <c r="P173" s="246"/>
      <c r="Q173" s="417"/>
      <c r="R173" s="182"/>
      <c r="S173" s="178"/>
      <c r="T173" s="182"/>
      <c r="U173" s="178"/>
      <c r="V173" s="506"/>
      <c r="W173" s="439">
        <f>IF($W$135="Y",IFERROR(E173*$F$12*'Emissions Factors'!$B49*$F$21,""),"")</f>
        <v>56.992537008878472</v>
      </c>
      <c r="X173" s="441"/>
      <c r="Y173" s="180"/>
      <c r="Z173" s="180"/>
      <c r="AA173" s="509"/>
      <c r="AB173" s="180">
        <f t="shared" si="42"/>
        <v>56.992537008878472</v>
      </c>
      <c r="AC173" s="180">
        <f t="shared" si="43"/>
        <v>0</v>
      </c>
      <c r="AE173" s="182"/>
      <c r="AF173" s="178"/>
      <c r="AG173" s="182"/>
      <c r="AH173" s="178"/>
      <c r="AJ173" s="182">
        <f>IF($AJ$135="Y",IFERROR(M173*$F$12*'Emissions Factors'!$B49*$F$21,""),"")</f>
        <v>84.158349631577835</v>
      </c>
      <c r="AK173" s="180"/>
      <c r="AL173" s="180"/>
      <c r="AM173" s="180"/>
      <c r="AO173" s="180">
        <f t="shared" si="44"/>
        <v>84.158349631577835</v>
      </c>
      <c r="AP173" s="180">
        <f t="shared" si="45"/>
        <v>0</v>
      </c>
      <c r="AT173" s="478">
        <v>2052</v>
      </c>
      <c r="AU173" s="479">
        <f t="shared" si="46"/>
        <v>141.15088664045629</v>
      </c>
      <c r="AV173" s="479">
        <f t="shared" si="46"/>
        <v>0</v>
      </c>
      <c r="AW173" s="430"/>
      <c r="AX173" s="479">
        <f t="shared" si="38"/>
        <v>42.079174815788917</v>
      </c>
      <c r="AY173" s="479">
        <f t="shared" si="38"/>
        <v>0</v>
      </c>
      <c r="AZ173" s="430"/>
      <c r="BA173" s="479">
        <f t="shared" si="39"/>
        <v>99.071711824667375</v>
      </c>
      <c r="BB173" s="479">
        <f t="shared" si="39"/>
        <v>0</v>
      </c>
      <c r="BC173" s="516"/>
      <c r="BE173" s="480">
        <f t="shared" si="40"/>
        <v>0.29811484587393511</v>
      </c>
      <c r="BF173" s="480" t="str">
        <f t="shared" si="41"/>
        <v/>
      </c>
    </row>
    <row r="174" spans="1:58" ht="15.6" x14ac:dyDescent="0.3">
      <c r="A174" s="152">
        <v>2053</v>
      </c>
      <c r="B174" s="178"/>
      <c r="C174" s="182"/>
      <c r="D174" s="183"/>
      <c r="E174" s="179">
        <f t="shared" si="47"/>
        <v>476.89337022787583</v>
      </c>
      <c r="F174" s="183">
        <f t="shared" si="48"/>
        <v>32.279906681903242</v>
      </c>
      <c r="G174" s="247">
        <f t="shared" si="35"/>
        <v>0.20484474012546369</v>
      </c>
      <c r="H174" s="246"/>
      <c r="I174" s="417"/>
      <c r="J174" s="178"/>
      <c r="K174" s="182"/>
      <c r="L174" s="183"/>
      <c r="M174" s="179">
        <f t="shared" si="36"/>
        <v>709.38266533070623</v>
      </c>
      <c r="N174" s="183">
        <f t="shared" si="49"/>
        <v>52.841699095431181</v>
      </c>
      <c r="O174" s="247">
        <f t="shared" si="37"/>
        <v>0.30470817335905021</v>
      </c>
      <c r="P174" s="246"/>
      <c r="Q174" s="417"/>
      <c r="R174" s="182"/>
      <c r="S174" s="178"/>
      <c r="T174" s="182"/>
      <c r="U174" s="178"/>
      <c r="V174" s="506"/>
      <c r="W174" s="439">
        <f>IF($W$135="Y",IFERROR(E174*$F$12*'Emissions Factors'!$B50*$F$21,""),"")</f>
        <v>60.899003635877008</v>
      </c>
      <c r="X174" s="441"/>
      <c r="Y174" s="180"/>
      <c r="Z174" s="180"/>
      <c r="AA174" s="509"/>
      <c r="AB174" s="180">
        <f t="shared" si="42"/>
        <v>60.899003635877008</v>
      </c>
      <c r="AC174" s="180">
        <f t="shared" si="43"/>
        <v>0</v>
      </c>
      <c r="AE174" s="182"/>
      <c r="AF174" s="178"/>
      <c r="AG174" s="182"/>
      <c r="AH174" s="178"/>
      <c r="AJ174" s="182">
        <f>IF($AJ$135="Y",IFERROR(M174*$F$12*'Emissions Factors'!$B50*$F$21,""),"")</f>
        <v>90.587750243959249</v>
      </c>
      <c r="AK174" s="180"/>
      <c r="AL174" s="180"/>
      <c r="AM174" s="180"/>
      <c r="AO174" s="180">
        <f t="shared" si="44"/>
        <v>90.587750243959249</v>
      </c>
      <c r="AP174" s="180">
        <f t="shared" si="45"/>
        <v>0</v>
      </c>
      <c r="AT174" s="478">
        <v>2053</v>
      </c>
      <c r="AU174" s="479">
        <f t="shared" si="46"/>
        <v>151.48675387983627</v>
      </c>
      <c r="AV174" s="479">
        <f t="shared" si="46"/>
        <v>0</v>
      </c>
      <c r="AW174" s="430"/>
      <c r="AX174" s="479">
        <f t="shared" si="38"/>
        <v>45.293875121979625</v>
      </c>
      <c r="AY174" s="479">
        <f t="shared" si="38"/>
        <v>0</v>
      </c>
      <c r="AZ174" s="430"/>
      <c r="BA174" s="479">
        <f t="shared" si="39"/>
        <v>106.19287875785665</v>
      </c>
      <c r="BB174" s="479">
        <f t="shared" si="39"/>
        <v>0</v>
      </c>
      <c r="BC174" s="516"/>
      <c r="BE174" s="480">
        <f t="shared" si="40"/>
        <v>0.29899561487671755</v>
      </c>
      <c r="BF174" s="480" t="str">
        <f t="shared" si="41"/>
        <v/>
      </c>
    </row>
    <row r="175" spans="1:58" ht="15.6" x14ac:dyDescent="0.3">
      <c r="A175" s="152">
        <v>2054</v>
      </c>
      <c r="B175" s="178"/>
      <c r="C175" s="182"/>
      <c r="D175" s="183"/>
      <c r="E175" s="179">
        <f t="shared" si="47"/>
        <v>510.98022072981399</v>
      </c>
      <c r="F175" s="183">
        <f t="shared" si="48"/>
        <v>34.086850501938159</v>
      </c>
      <c r="G175" s="247">
        <f t="shared" si="35"/>
        <v>0.2061257166199135</v>
      </c>
      <c r="H175" s="246"/>
      <c r="I175" s="417"/>
      <c r="J175" s="178"/>
      <c r="K175" s="182"/>
      <c r="L175" s="183"/>
      <c r="M175" s="179">
        <f t="shared" si="36"/>
        <v>765.69510828869875</v>
      </c>
      <c r="N175" s="183">
        <f t="shared" si="49"/>
        <v>56.312442957992516</v>
      </c>
      <c r="O175" s="247">
        <f t="shared" si="37"/>
        <v>0.30887585567000692</v>
      </c>
      <c r="P175" s="246"/>
      <c r="Q175" s="417"/>
      <c r="R175" s="182"/>
      <c r="S175" s="178"/>
      <c r="T175" s="182"/>
      <c r="U175" s="178"/>
      <c r="V175" s="506"/>
      <c r="W175" s="439">
        <f>IF($W$135="Y",IFERROR(E175*$F$12*'Emissions Factors'!$B51*$F$21,""),"")</f>
        <v>64.998681708193558</v>
      </c>
      <c r="X175" s="441"/>
      <c r="Y175" s="180"/>
      <c r="Z175" s="180"/>
      <c r="AA175" s="509"/>
      <c r="AB175" s="180">
        <f t="shared" si="42"/>
        <v>64.998681708193558</v>
      </c>
      <c r="AC175" s="180">
        <f t="shared" si="43"/>
        <v>0</v>
      </c>
      <c r="AE175" s="182"/>
      <c r="AF175" s="178"/>
      <c r="AG175" s="182"/>
      <c r="AH175" s="178"/>
      <c r="AJ175" s="182">
        <f>IF($AJ$135="Y",IFERROR(M175*$F$12*'Emissions Factors'!$B51*$F$21,""),"")</f>
        <v>97.399411190700249</v>
      </c>
      <c r="AK175" s="180"/>
      <c r="AL175" s="180"/>
      <c r="AM175" s="180"/>
      <c r="AO175" s="180">
        <f t="shared" si="44"/>
        <v>97.399411190700249</v>
      </c>
      <c r="AP175" s="180">
        <f t="shared" si="45"/>
        <v>0</v>
      </c>
      <c r="AT175" s="478">
        <v>2054</v>
      </c>
      <c r="AU175" s="479">
        <f t="shared" si="46"/>
        <v>162.39809289889382</v>
      </c>
      <c r="AV175" s="479">
        <f t="shared" si="46"/>
        <v>0</v>
      </c>
      <c r="AW175" s="430"/>
      <c r="AX175" s="479">
        <f t="shared" si="38"/>
        <v>48.699705595350125</v>
      </c>
      <c r="AY175" s="479">
        <f t="shared" si="38"/>
        <v>0</v>
      </c>
      <c r="AZ175" s="430"/>
      <c r="BA175" s="479">
        <f t="shared" si="39"/>
        <v>113.6983873035437</v>
      </c>
      <c r="BB175" s="479">
        <f t="shared" si="39"/>
        <v>0</v>
      </c>
      <c r="BC175" s="516"/>
      <c r="BE175" s="480">
        <f t="shared" si="40"/>
        <v>0.29987855599800484</v>
      </c>
      <c r="BF175" s="480" t="str">
        <f t="shared" si="41"/>
        <v/>
      </c>
    </row>
    <row r="176" spans="1:58" ht="15.6" x14ac:dyDescent="0.3">
      <c r="A176" s="152">
        <v>2055</v>
      </c>
      <c r="B176" s="178"/>
      <c r="C176" s="182"/>
      <c r="D176" s="183"/>
      <c r="E176" s="179">
        <f t="shared" si="47"/>
        <v>546.90366308430919</v>
      </c>
      <c r="F176" s="183">
        <f t="shared" si="48"/>
        <v>35.923442354495194</v>
      </c>
      <c r="G176" s="247">
        <f t="shared" si="35"/>
        <v>0.20735378029690388</v>
      </c>
      <c r="H176" s="246"/>
      <c r="I176" s="417"/>
      <c r="J176" s="178"/>
      <c r="K176" s="182"/>
      <c r="L176" s="183"/>
      <c r="M176" s="179">
        <f t="shared" si="36"/>
        <v>825.59129914115101</v>
      </c>
      <c r="N176" s="183">
        <f t="shared" si="49"/>
        <v>59.896190852452264</v>
      </c>
      <c r="O176" s="247">
        <f t="shared" si="37"/>
        <v>0.31301578031441996</v>
      </c>
      <c r="P176" s="246"/>
      <c r="Q176" s="417"/>
      <c r="R176" s="182"/>
      <c r="S176" s="178"/>
      <c r="T176" s="182"/>
      <c r="U176" s="178"/>
      <c r="V176" s="506"/>
      <c r="W176" s="439">
        <f>IF($W$135="Y",IFERROR(E176*$F$12*'Emissions Factors'!$B52*$F$21,""),"")</f>
        <v>69.2855440461651</v>
      </c>
      <c r="X176" s="441"/>
      <c r="Y176" s="180"/>
      <c r="Z176" s="180"/>
      <c r="AA176" s="509"/>
      <c r="AB176" s="180">
        <f t="shared" si="42"/>
        <v>69.2855440461651</v>
      </c>
      <c r="AC176" s="180">
        <f t="shared" si="43"/>
        <v>0</v>
      </c>
      <c r="AE176" s="182"/>
      <c r="AF176" s="178"/>
      <c r="AG176" s="182"/>
      <c r="AH176" s="178"/>
      <c r="AJ176" s="182">
        <f>IF($AJ$135="Y",IFERROR(M176*$F$12*'Emissions Factors'!$B52*$F$21,""),"")</f>
        <v>104.5916240498043</v>
      </c>
      <c r="AK176" s="180"/>
      <c r="AL176" s="180"/>
      <c r="AM176" s="180"/>
      <c r="AO176" s="180">
        <f t="shared" si="44"/>
        <v>104.5916240498043</v>
      </c>
      <c r="AP176" s="180">
        <f t="shared" si="45"/>
        <v>0</v>
      </c>
      <c r="AT176" s="478">
        <v>2055</v>
      </c>
      <c r="AU176" s="479">
        <f t="shared" si="46"/>
        <v>173.87716809596941</v>
      </c>
      <c r="AV176" s="479">
        <f t="shared" si="46"/>
        <v>0</v>
      </c>
      <c r="AW176" s="430"/>
      <c r="AX176" s="479">
        <f t="shared" si="38"/>
        <v>52.295812024902148</v>
      </c>
      <c r="AY176" s="479">
        <f t="shared" si="38"/>
        <v>0</v>
      </c>
      <c r="AZ176" s="430"/>
      <c r="BA176" s="479">
        <f t="shared" si="39"/>
        <v>121.58135607106726</v>
      </c>
      <c r="BB176" s="479">
        <f t="shared" si="39"/>
        <v>0</v>
      </c>
      <c r="BC176" s="516"/>
      <c r="BE176" s="480">
        <f t="shared" si="40"/>
        <v>0.30076296156398236</v>
      </c>
      <c r="BF176" s="480" t="str">
        <f t="shared" si="41"/>
        <v/>
      </c>
    </row>
    <row r="177" spans="1:58" ht="15.6" x14ac:dyDescent="0.3">
      <c r="A177" s="152">
        <v>2056</v>
      </c>
      <c r="B177" s="178"/>
      <c r="C177" s="182"/>
      <c r="D177" s="183"/>
      <c r="E177" s="179">
        <f t="shared" si="47"/>
        <v>584.71400416798303</v>
      </c>
      <c r="F177" s="183">
        <f t="shared" si="48"/>
        <v>37.810341083673848</v>
      </c>
      <c r="G177" s="247">
        <f t="shared" si="35"/>
        <v>0.20852711361704995</v>
      </c>
      <c r="H177" s="246"/>
      <c r="I177" s="417"/>
      <c r="J177" s="178"/>
      <c r="K177" s="182"/>
      <c r="L177" s="183"/>
      <c r="M177" s="179">
        <f t="shared" si="36"/>
        <v>889.21906778019502</v>
      </c>
      <c r="N177" s="183">
        <f t="shared" si="49"/>
        <v>63.627768639044007</v>
      </c>
      <c r="O177" s="247">
        <f t="shared" si="37"/>
        <v>0.31712304520788709</v>
      </c>
      <c r="P177" s="246"/>
      <c r="Q177" s="417"/>
      <c r="R177" s="182"/>
      <c r="S177" s="178"/>
      <c r="T177" s="182"/>
      <c r="U177" s="178"/>
      <c r="V177" s="506"/>
      <c r="W177" s="439">
        <f>IF($W$135="Y",IFERROR(E177*$F$12*'Emissions Factors'!$B53*$F$21,""),"")</f>
        <v>73.779018288422677</v>
      </c>
      <c r="X177" s="441"/>
      <c r="Y177" s="180"/>
      <c r="Z177" s="180"/>
      <c r="AA177" s="509"/>
      <c r="AB177" s="180">
        <f t="shared" si="42"/>
        <v>73.779018288422677</v>
      </c>
      <c r="AC177" s="180">
        <f t="shared" si="43"/>
        <v>0</v>
      </c>
      <c r="AE177" s="182"/>
      <c r="AF177" s="178"/>
      <c r="AG177" s="182"/>
      <c r="AH177" s="178"/>
      <c r="AJ177" s="182">
        <f>IF($AJ$135="Y",IFERROR(M177*$F$12*'Emissions Factors'!$B53*$F$21,""),"")</f>
        <v>112.20136578996875</v>
      </c>
      <c r="AK177" s="180"/>
      <c r="AL177" s="180"/>
      <c r="AM177" s="180"/>
      <c r="AO177" s="180">
        <f t="shared" si="44"/>
        <v>112.20136578996875</v>
      </c>
      <c r="AP177" s="180">
        <f t="shared" si="45"/>
        <v>0</v>
      </c>
      <c r="AT177" s="478">
        <v>2056</v>
      </c>
      <c r="AU177" s="479">
        <f t="shared" si="46"/>
        <v>185.98038407839141</v>
      </c>
      <c r="AV177" s="479">
        <f t="shared" si="46"/>
        <v>0</v>
      </c>
      <c r="AW177" s="430"/>
      <c r="AX177" s="479">
        <f t="shared" si="38"/>
        <v>56.100682894984374</v>
      </c>
      <c r="AY177" s="479">
        <f t="shared" si="38"/>
        <v>0</v>
      </c>
      <c r="AZ177" s="430"/>
      <c r="BA177" s="479">
        <f t="shared" si="39"/>
        <v>129.87970118340704</v>
      </c>
      <c r="BB177" s="479">
        <f t="shared" si="39"/>
        <v>0</v>
      </c>
      <c r="BC177" s="516"/>
      <c r="BE177" s="480">
        <f t="shared" si="40"/>
        <v>0.3016483871295681</v>
      </c>
      <c r="BF177" s="480" t="str">
        <f t="shared" si="41"/>
        <v/>
      </c>
    </row>
    <row r="178" spans="1:58" ht="15.6" x14ac:dyDescent="0.3">
      <c r="A178" s="152">
        <v>2057</v>
      </c>
      <c r="B178" s="178"/>
      <c r="C178" s="182"/>
      <c r="D178" s="183"/>
      <c r="E178" s="179">
        <f t="shared" si="47"/>
        <v>624.45019561784386</v>
      </c>
      <c r="F178" s="183">
        <f t="shared" si="48"/>
        <v>39.736191449860826</v>
      </c>
      <c r="G178" s="247">
        <f t="shared" si="35"/>
        <v>0.20964377376496524</v>
      </c>
      <c r="H178" s="246"/>
      <c r="I178" s="417"/>
      <c r="J178" s="178"/>
      <c r="K178" s="182"/>
      <c r="L178" s="183"/>
      <c r="M178" s="179">
        <f t="shared" si="36"/>
        <v>956.71164690427224</v>
      </c>
      <c r="N178" s="183">
        <f t="shared" si="49"/>
        <v>67.492579124077224</v>
      </c>
      <c r="O178" s="247">
        <f t="shared" si="37"/>
        <v>0.32119237285763008</v>
      </c>
      <c r="P178" s="246"/>
      <c r="Q178" s="417"/>
      <c r="R178" s="182"/>
      <c r="S178" s="178"/>
      <c r="T178" s="182"/>
      <c r="U178" s="178"/>
      <c r="V178" s="506"/>
      <c r="W178" s="439">
        <f>IF($W$135="Y",IFERROR(E178*$F$12*'Emissions Factors'!$B54*$F$21,""),"")</f>
        <v>78.462206676672025</v>
      </c>
      <c r="X178" s="441"/>
      <c r="Y178" s="180"/>
      <c r="Z178" s="180"/>
      <c r="AA178" s="509"/>
      <c r="AB178" s="180">
        <f t="shared" si="42"/>
        <v>78.462206676672025</v>
      </c>
      <c r="AC178" s="180">
        <f t="shared" si="43"/>
        <v>0</v>
      </c>
      <c r="AE178" s="182"/>
      <c r="AF178" s="178"/>
      <c r="AG178" s="182"/>
      <c r="AH178" s="178"/>
      <c r="AJ178" s="182">
        <f>IF($AJ$135="Y",IFERROR(M178*$F$12*'Emissions Factors'!$B54*$F$21,""),"")</f>
        <v>120.21087909999086</v>
      </c>
      <c r="AK178" s="180"/>
      <c r="AL178" s="180"/>
      <c r="AM178" s="180"/>
      <c r="AO178" s="180">
        <f t="shared" si="44"/>
        <v>120.21087909999086</v>
      </c>
      <c r="AP178" s="180">
        <f t="shared" si="45"/>
        <v>0</v>
      </c>
      <c r="AT178" s="478">
        <v>2057</v>
      </c>
      <c r="AU178" s="479">
        <f t="shared" si="46"/>
        <v>198.6730857766629</v>
      </c>
      <c r="AV178" s="479">
        <f t="shared" si="46"/>
        <v>0</v>
      </c>
      <c r="AW178" s="430"/>
      <c r="AX178" s="479">
        <f t="shared" si="38"/>
        <v>60.105439549995431</v>
      </c>
      <c r="AY178" s="479">
        <f t="shared" si="38"/>
        <v>0</v>
      </c>
      <c r="AZ178" s="430"/>
      <c r="BA178" s="479">
        <f t="shared" si="39"/>
        <v>138.56764622666748</v>
      </c>
      <c r="BB178" s="479">
        <f t="shared" si="39"/>
        <v>0</v>
      </c>
      <c r="BC178" s="516"/>
      <c r="BE178" s="480">
        <f t="shared" si="40"/>
        <v>0.30253438363343582</v>
      </c>
      <c r="BF178" s="480" t="str">
        <f t="shared" si="41"/>
        <v/>
      </c>
    </row>
    <row r="179" spans="1:58" ht="15.6" x14ac:dyDescent="0.3">
      <c r="A179" s="152">
        <v>2058</v>
      </c>
      <c r="B179" s="178"/>
      <c r="C179" s="182"/>
      <c r="D179" s="183"/>
      <c r="E179" s="179">
        <f t="shared" si="47"/>
        <v>666.11304836416946</v>
      </c>
      <c r="F179" s="183">
        <f t="shared" si="48"/>
        <v>41.662852746325598</v>
      </c>
      <c r="G179" s="247">
        <f t="shared" si="35"/>
        <v>0.21069991618655179</v>
      </c>
      <c r="H179" s="246"/>
      <c r="I179" s="417"/>
      <c r="J179" s="178"/>
      <c r="K179" s="182"/>
      <c r="L179" s="183"/>
      <c r="M179" s="179">
        <f t="shared" si="36"/>
        <v>1028.1417470040069</v>
      </c>
      <c r="N179" s="183">
        <f t="shared" si="49"/>
        <v>71.430100099734659</v>
      </c>
      <c r="O179" s="247">
        <f t="shared" si="37"/>
        <v>0.32521413662986248</v>
      </c>
      <c r="P179" s="246"/>
      <c r="Q179" s="417"/>
      <c r="R179" s="182"/>
      <c r="S179" s="178"/>
      <c r="T179" s="182"/>
      <c r="U179" s="178"/>
      <c r="V179" s="506"/>
      <c r="W179" s="439">
        <f>IF($W$135="Y",IFERROR(E179*$F$12*'Emissions Factors'!$B55*$F$21,""),"")</f>
        <v>83.336251983766942</v>
      </c>
      <c r="X179" s="441"/>
      <c r="Y179" s="180"/>
      <c r="Z179" s="180"/>
      <c r="AA179" s="509"/>
      <c r="AB179" s="180">
        <f t="shared" si="42"/>
        <v>83.336251983766942</v>
      </c>
      <c r="AC179" s="180">
        <f t="shared" si="43"/>
        <v>0</v>
      </c>
      <c r="AE179" s="182"/>
      <c r="AF179" s="178"/>
      <c r="AG179" s="182"/>
      <c r="AH179" s="178"/>
      <c r="AJ179" s="182">
        <f>IF($AJ$135="Y",IFERROR(M179*$F$12*'Emissions Factors'!$B55*$F$21,""),"")</f>
        <v>128.62903663840785</v>
      </c>
      <c r="AK179" s="180"/>
      <c r="AL179" s="180"/>
      <c r="AM179" s="180"/>
      <c r="AO179" s="180">
        <f t="shared" si="44"/>
        <v>128.62903663840785</v>
      </c>
      <c r="AP179" s="180">
        <f t="shared" si="45"/>
        <v>0</v>
      </c>
      <c r="AT179" s="478">
        <v>2058</v>
      </c>
      <c r="AU179" s="479">
        <f t="shared" si="46"/>
        <v>211.9652886221748</v>
      </c>
      <c r="AV179" s="479">
        <f t="shared" si="46"/>
        <v>0</v>
      </c>
      <c r="AW179" s="430"/>
      <c r="AX179" s="479">
        <f t="shared" si="38"/>
        <v>64.314518319203927</v>
      </c>
      <c r="AY179" s="479">
        <f t="shared" si="38"/>
        <v>0</v>
      </c>
      <c r="AZ179" s="430"/>
      <c r="BA179" s="479">
        <f t="shared" si="39"/>
        <v>147.65077030297087</v>
      </c>
      <c r="BB179" s="479">
        <f t="shared" si="39"/>
        <v>0</v>
      </c>
      <c r="BC179" s="516"/>
      <c r="BE179" s="480">
        <f t="shared" si="40"/>
        <v>0.30342004927912358</v>
      </c>
      <c r="BF179" s="480" t="str">
        <f t="shared" si="41"/>
        <v/>
      </c>
    </row>
    <row r="180" spans="1:58" ht="15.6" x14ac:dyDescent="0.3">
      <c r="A180" s="152">
        <v>2059</v>
      </c>
      <c r="B180" s="178"/>
      <c r="C180" s="182"/>
      <c r="D180" s="183"/>
      <c r="E180" s="179">
        <f t="shared" si="47"/>
        <v>709.6866093070621</v>
      </c>
      <c r="F180" s="183">
        <f t="shared" si="48"/>
        <v>43.573560942892641</v>
      </c>
      <c r="G180" s="247">
        <f t="shared" si="35"/>
        <v>0.2116924339386094</v>
      </c>
      <c r="H180" s="246"/>
      <c r="I180" s="417"/>
      <c r="J180" s="178"/>
      <c r="K180" s="182"/>
      <c r="L180" s="183"/>
      <c r="M180" s="179">
        <f t="shared" si="36"/>
        <v>1103.5532523112183</v>
      </c>
      <c r="N180" s="183">
        <f t="shared" si="49"/>
        <v>75.411505307211428</v>
      </c>
      <c r="O180" s="247">
        <f t="shared" si="37"/>
        <v>0.32917892334298193</v>
      </c>
      <c r="P180" s="246"/>
      <c r="Q180" s="417"/>
      <c r="R180" s="182"/>
      <c r="S180" s="178"/>
      <c r="T180" s="182"/>
      <c r="U180" s="178"/>
      <c r="V180" s="506"/>
      <c r="W180" s="439">
        <f>IF($W$135="Y",IFERROR(E180*$F$12*'Emissions Factors'!$B56*$F$21,""),"")</f>
        <v>88.394250092483119</v>
      </c>
      <c r="X180" s="441"/>
      <c r="Y180" s="180"/>
      <c r="Z180" s="180"/>
      <c r="AA180" s="509"/>
      <c r="AB180" s="180">
        <f t="shared" si="42"/>
        <v>88.394250092483119</v>
      </c>
      <c r="AC180" s="180">
        <f t="shared" si="43"/>
        <v>0</v>
      </c>
      <c r="AE180" s="182"/>
      <c r="AF180" s="178"/>
      <c r="AG180" s="182"/>
      <c r="AH180" s="178"/>
      <c r="AJ180" s="182">
        <f>IF($AJ$135="Y",IFERROR(M180*$F$12*'Emissions Factors'!$B56*$F$21,""),"")</f>
        <v>137.45188495301687</v>
      </c>
      <c r="AK180" s="180"/>
      <c r="AL180" s="180"/>
      <c r="AM180" s="180"/>
      <c r="AO180" s="180">
        <f t="shared" si="44"/>
        <v>137.45188495301687</v>
      </c>
      <c r="AP180" s="180">
        <f t="shared" si="45"/>
        <v>0</v>
      </c>
      <c r="AT180" s="478">
        <v>2059</v>
      </c>
      <c r="AU180" s="479">
        <f t="shared" si="46"/>
        <v>225.84613504549998</v>
      </c>
      <c r="AV180" s="479">
        <f t="shared" si="46"/>
        <v>0</v>
      </c>
      <c r="AW180" s="430"/>
      <c r="AX180" s="479">
        <f t="shared" si="38"/>
        <v>68.725942476508436</v>
      </c>
      <c r="AY180" s="479">
        <f t="shared" si="38"/>
        <v>0</v>
      </c>
      <c r="AZ180" s="430"/>
      <c r="BA180" s="479">
        <f t="shared" si="39"/>
        <v>157.12019256899154</v>
      </c>
      <c r="BB180" s="479">
        <f t="shared" si="39"/>
        <v>0</v>
      </c>
      <c r="BC180" s="516"/>
      <c r="BE180" s="480">
        <f t="shared" si="40"/>
        <v>0.3043042665426291</v>
      </c>
      <c r="BF180" s="480" t="str">
        <f t="shared" si="41"/>
        <v/>
      </c>
    </row>
    <row r="181" spans="1:58" ht="15.6" x14ac:dyDescent="0.3">
      <c r="A181" s="152">
        <v>2060</v>
      </c>
      <c r="B181" s="178"/>
      <c r="C181" s="182"/>
      <c r="D181" s="183"/>
      <c r="E181" s="179">
        <f t="shared" si="47"/>
        <v>755.12647154874162</v>
      </c>
      <c r="F181" s="183">
        <f t="shared" si="48"/>
        <v>45.439862241679521</v>
      </c>
      <c r="G181" s="247">
        <f t="shared" si="35"/>
        <v>0.21262587268848696</v>
      </c>
      <c r="H181" s="246"/>
      <c r="I181" s="417"/>
      <c r="J181" s="178"/>
      <c r="K181" s="182"/>
      <c r="L181" s="183"/>
      <c r="M181" s="179">
        <f t="shared" si="36"/>
        <v>1182.9556633813922</v>
      </c>
      <c r="N181" s="183">
        <f t="shared" si="49"/>
        <v>79.402411070173912</v>
      </c>
      <c r="O181" s="247">
        <f t="shared" si="37"/>
        <v>0.33309252125989214</v>
      </c>
      <c r="P181" s="246"/>
      <c r="Q181" s="417"/>
      <c r="R181" s="182"/>
      <c r="S181" s="178"/>
      <c r="T181" s="182"/>
      <c r="U181" s="178"/>
      <c r="V181" s="506"/>
      <c r="W181" s="439">
        <f>IF($W$135="Y",IFERROR(E181*$F$12*'Emissions Factors'!$B57*$F$21,""),"")</f>
        <v>93.656950774452454</v>
      </c>
      <c r="X181" s="441"/>
      <c r="Y181" s="180"/>
      <c r="Z181" s="180"/>
      <c r="AA181" s="509"/>
      <c r="AB181" s="180">
        <f t="shared" si="42"/>
        <v>93.656950774452454</v>
      </c>
      <c r="AC181" s="180">
        <f t="shared" si="43"/>
        <v>0</v>
      </c>
      <c r="AE181" s="182"/>
      <c r="AF181" s="178"/>
      <c r="AG181" s="182"/>
      <c r="AH181" s="178"/>
      <c r="AJ181" s="182">
        <f>IF($AJ$135="Y",IFERROR(M181*$F$12*'Emissions Factors'!$B57*$F$21,""),"")</f>
        <v>146.71982046456364</v>
      </c>
      <c r="AK181" s="180"/>
      <c r="AL181" s="180"/>
      <c r="AM181" s="180"/>
      <c r="AO181" s="180">
        <f t="shared" si="44"/>
        <v>146.71982046456364</v>
      </c>
      <c r="AP181" s="180">
        <f t="shared" si="45"/>
        <v>0</v>
      </c>
      <c r="AT181" s="478">
        <v>2060</v>
      </c>
      <c r="AU181" s="479">
        <f t="shared" si="46"/>
        <v>240.37677123901608</v>
      </c>
      <c r="AV181" s="479">
        <f t="shared" si="46"/>
        <v>0</v>
      </c>
      <c r="AW181" s="430"/>
      <c r="AX181" s="479">
        <f t="shared" si="38"/>
        <v>73.35991023228182</v>
      </c>
      <c r="AY181" s="479">
        <f t="shared" si="38"/>
        <v>0</v>
      </c>
      <c r="AZ181" s="430"/>
      <c r="BA181" s="479">
        <f t="shared" si="39"/>
        <v>167.01686100673425</v>
      </c>
      <c r="BB181" s="479">
        <f t="shared" si="39"/>
        <v>0</v>
      </c>
      <c r="BC181" s="516"/>
      <c r="BE181" s="480">
        <f t="shared" si="40"/>
        <v>0.30518718532639399</v>
      </c>
      <c r="BF181" s="480" t="str">
        <f t="shared" si="41"/>
        <v/>
      </c>
    </row>
    <row r="182" spans="1:58" x14ac:dyDescent="0.25">
      <c r="BA182" s="516"/>
    </row>
    <row r="183" spans="1:58" x14ac:dyDescent="0.25">
      <c r="BA183" s="516"/>
    </row>
    <row r="184" spans="1:58" x14ac:dyDescent="0.25">
      <c r="BA184" s="516"/>
    </row>
    <row r="185" spans="1:58" x14ac:dyDescent="0.25">
      <c r="BA185" s="516"/>
    </row>
    <row r="186" spans="1:58" x14ac:dyDescent="0.25">
      <c r="BA186" s="516"/>
    </row>
    <row r="187" spans="1:58" x14ac:dyDescent="0.25">
      <c r="BA187" s="516"/>
    </row>
    <row r="188" spans="1:58" x14ac:dyDescent="0.25">
      <c r="BA188" s="516"/>
    </row>
    <row r="189" spans="1:58" ht="13.5" customHeight="1" thickBot="1" x14ac:dyDescent="0.3">
      <c r="BC189" s="516"/>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516"/>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SpaceCooling_cluster</v>
      </c>
      <c r="Z191" s="607"/>
      <c r="AA191" s="608"/>
      <c r="AB191" s="445"/>
      <c r="AC191" s="606" t="str">
        <f ca="1">CONCATENATE("Table 14(b): EMISSIONS ALLOCATION TO Education in MDC, ",A1)</f>
        <v>Table 14(b): EMISSIONS ALLOCATION TO Education in MDC, SpaceCooling_cluster</v>
      </c>
      <c r="AD191" s="608"/>
      <c r="AE191" s="446"/>
      <c r="AF191" s="606" t="str">
        <f ca="1">CONCATENATE("Table 14(c): EMISSIONS ALLOCATION TO Family Planning in MDC, ",$A$1)</f>
        <v>Table 14(c): EMISSIONS ALLOCATION TO Family Planning in MDC, SpaceCooling_cluster</v>
      </c>
      <c r="AG191" s="608"/>
      <c r="AH191" s="516"/>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516"/>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516"/>
      <c r="AJ193" s="481" t="s">
        <v>227</v>
      </c>
      <c r="AK193" s="481" t="s">
        <v>228</v>
      </c>
    </row>
    <row r="194" spans="1:37" ht="15.6" x14ac:dyDescent="0.3">
      <c r="A194" s="152">
        <v>2014</v>
      </c>
      <c r="B194" s="178"/>
      <c r="C194" s="182"/>
      <c r="D194" s="183"/>
      <c r="E194" s="179">
        <f>IFERROR(IF($G$19="Y",$F$19,$AD80)*(SUMIF($H$5:$H$16,"Y",$F$5:$F$16)*(AL29-B29)),0)</f>
        <v>0</v>
      </c>
      <c r="F194" s="183" t="str">
        <f>IFERROR(E194-E193,"")</f>
        <v/>
      </c>
      <c r="G194" s="247">
        <f>E194/(AL29-B29)</f>
        <v>0</v>
      </c>
      <c r="H194" s="245" t="s">
        <v>264</v>
      </c>
      <c r="I194" s="416"/>
      <c r="J194" s="416"/>
      <c r="K194" s="167" t="s">
        <v>213</v>
      </c>
      <c r="L194" s="167" t="s">
        <v>213</v>
      </c>
      <c r="M194" s="167" t="s">
        <v>211</v>
      </c>
      <c r="N194" s="167" t="s">
        <v>211</v>
      </c>
      <c r="O194" s="495"/>
      <c r="P194" s="167" t="s">
        <v>213</v>
      </c>
      <c r="Q194" s="167" t="s">
        <v>211</v>
      </c>
      <c r="R194" s="167" t="s">
        <v>211</v>
      </c>
      <c r="S194" s="167" t="s">
        <v>211</v>
      </c>
      <c r="T194" s="496"/>
      <c r="U194" s="496"/>
      <c r="V194" s="496"/>
      <c r="Y194" s="478">
        <v>2014</v>
      </c>
      <c r="Z194" s="479">
        <f>U194</f>
        <v>0</v>
      </c>
      <c r="AA194" s="479">
        <f>V194</f>
        <v>0</v>
      </c>
      <c r="AB194" s="430"/>
      <c r="AC194" s="512"/>
      <c r="AD194" s="479"/>
      <c r="AE194" s="430"/>
      <c r="AF194" s="479">
        <f>Z194-AC194</f>
        <v>0</v>
      </c>
      <c r="AG194" s="479">
        <f t="shared" ref="AG194:AG240" si="50">AA194-AD194</f>
        <v>0</v>
      </c>
      <c r="AH194" s="516"/>
      <c r="AJ194" s="480" t="str">
        <f t="shared" ref="AJ194:AJ240" si="51">IFERROR(AC194/Z194,"")</f>
        <v/>
      </c>
      <c r="AK194" s="480" t="str">
        <f t="shared" ref="AK194:AK240" si="52">IFERROR(AG194/(AD194+AG194),"")</f>
        <v/>
      </c>
    </row>
    <row r="195" spans="1:37" ht="15.6" x14ac:dyDescent="0.3">
      <c r="A195" s="152">
        <v>2015</v>
      </c>
      <c r="B195" s="178"/>
      <c r="C195" s="182"/>
      <c r="D195" s="183"/>
      <c r="E195" s="179">
        <f t="shared" ref="E195:E240" si="53">IFERROR(IF($G$19="Y",$F$19,$AD81)*(SUMIF($H$5:$H$16,"Y",$F$5:$F$16)*(AL30-B30)),0)</f>
        <v>0</v>
      </c>
      <c r="F195" s="183">
        <f>IFERROR(E195-E194,"")</f>
        <v>0</v>
      </c>
      <c r="G195" s="247">
        <f t="shared" ref="G195:G240" si="54">E195/(AL30-B30)</f>
        <v>0</v>
      </c>
      <c r="H195" s="246"/>
      <c r="I195" s="417"/>
      <c r="J195" s="417"/>
      <c r="K195" s="439"/>
      <c r="L195" s="440"/>
      <c r="M195" s="439"/>
      <c r="N195" s="440"/>
      <c r="O195" s="495"/>
      <c r="P195" s="439">
        <f>IF($P$194="Y",IFERROR(E195*$F$12*'Emissions Factors'!$B12*$F$21,""),"")</f>
        <v>0</v>
      </c>
      <c r="Q195" s="441"/>
      <c r="R195" s="441"/>
      <c r="S195" s="441"/>
      <c r="T195" s="496"/>
      <c r="U195" s="441">
        <f>SUM(P195:S195)</f>
        <v>0</v>
      </c>
      <c r="V195" s="441">
        <f t="shared" ref="V195:V240" si="55">SUM(K195:N195)</f>
        <v>0</v>
      </c>
      <c r="Y195" s="478">
        <v>2015</v>
      </c>
      <c r="Z195" s="479">
        <f t="shared" ref="Z195:AA240" si="56">U195</f>
        <v>0</v>
      </c>
      <c r="AA195" s="479">
        <f t="shared" si="56"/>
        <v>0</v>
      </c>
      <c r="AB195" s="430"/>
      <c r="AC195" s="479"/>
      <c r="AD195" s="479"/>
      <c r="AE195" s="430"/>
      <c r="AF195" s="479">
        <f t="shared" ref="AF195:AF240" si="57">Z195-AC195</f>
        <v>0</v>
      </c>
      <c r="AG195" s="479">
        <f t="shared" si="50"/>
        <v>0</v>
      </c>
      <c r="AH195" s="516"/>
      <c r="AJ195" s="480" t="str">
        <f t="shared" si="51"/>
        <v/>
      </c>
      <c r="AK195" s="480" t="str">
        <f t="shared" si="52"/>
        <v/>
      </c>
    </row>
    <row r="196" spans="1:37" ht="15.6" x14ac:dyDescent="0.3">
      <c r="A196" s="152">
        <v>2016</v>
      </c>
      <c r="B196" s="178"/>
      <c r="C196" s="182"/>
      <c r="D196" s="183"/>
      <c r="E196" s="179">
        <f t="shared" si="53"/>
        <v>0</v>
      </c>
      <c r="F196" s="183">
        <f t="shared" ref="F196" si="58">IFERROR(E196-E195,"")</f>
        <v>0</v>
      </c>
      <c r="G196" s="247">
        <f t="shared" si="54"/>
        <v>0</v>
      </c>
      <c r="H196" s="246"/>
      <c r="I196" s="417"/>
      <c r="J196" s="417"/>
      <c r="K196" s="439"/>
      <c r="L196" s="440"/>
      <c r="M196" s="439"/>
      <c r="N196" s="440"/>
      <c r="O196" s="495"/>
      <c r="P196" s="439">
        <f>IF($P$194="Y",IFERROR(E196*$F$12*'Emissions Factors'!$B13*$F$21,""),"")</f>
        <v>0</v>
      </c>
      <c r="Q196" s="441"/>
      <c r="R196" s="441"/>
      <c r="S196" s="441"/>
      <c r="T196" s="496"/>
      <c r="U196" s="441">
        <f t="shared" ref="U196:U240" si="59">SUM(P196:S196)</f>
        <v>0</v>
      </c>
      <c r="V196" s="441">
        <f t="shared" si="55"/>
        <v>0</v>
      </c>
      <c r="Y196" s="478">
        <v>2016</v>
      </c>
      <c r="Z196" s="479">
        <f t="shared" si="56"/>
        <v>0</v>
      </c>
      <c r="AA196" s="479">
        <f t="shared" si="56"/>
        <v>0</v>
      </c>
      <c r="AB196" s="430"/>
      <c r="AC196" s="479"/>
      <c r="AD196" s="479"/>
      <c r="AE196" s="430"/>
      <c r="AF196" s="479">
        <f t="shared" si="57"/>
        <v>0</v>
      </c>
      <c r="AG196" s="479">
        <f t="shared" si="50"/>
        <v>0</v>
      </c>
      <c r="AH196" s="516"/>
      <c r="AJ196" s="480" t="str">
        <f t="shared" si="51"/>
        <v/>
      </c>
      <c r="AK196" s="480" t="str">
        <f t="shared" si="52"/>
        <v/>
      </c>
    </row>
    <row r="197" spans="1:37" ht="15.6" x14ac:dyDescent="0.3">
      <c r="A197" s="152">
        <v>2017</v>
      </c>
      <c r="B197" s="178"/>
      <c r="C197" s="182"/>
      <c r="D197" s="183"/>
      <c r="E197" s="179">
        <f t="shared" si="53"/>
        <v>0</v>
      </c>
      <c r="F197" s="183">
        <f>IFERROR(E197-E196,"")</f>
        <v>0</v>
      </c>
      <c r="G197" s="247">
        <f t="shared" si="54"/>
        <v>0</v>
      </c>
      <c r="H197" s="246"/>
      <c r="I197" s="417"/>
      <c r="J197" s="417"/>
      <c r="K197" s="439"/>
      <c r="L197" s="440"/>
      <c r="M197" s="439"/>
      <c r="N197" s="440"/>
      <c r="O197" s="495"/>
      <c r="P197" s="439">
        <f>IF($P$194="Y",IFERROR(E197*$F$12*'Emissions Factors'!$B14*$F$21,""),"")</f>
        <v>0</v>
      </c>
      <c r="Q197" s="441"/>
      <c r="R197" s="441"/>
      <c r="S197" s="441"/>
      <c r="T197" s="496"/>
      <c r="U197" s="441">
        <f t="shared" si="59"/>
        <v>0</v>
      </c>
      <c r="V197" s="441">
        <f t="shared" si="55"/>
        <v>0</v>
      </c>
      <c r="Y197" s="478">
        <v>2017</v>
      </c>
      <c r="Z197" s="479">
        <f t="shared" si="56"/>
        <v>0</v>
      </c>
      <c r="AA197" s="479">
        <f t="shared" si="56"/>
        <v>0</v>
      </c>
      <c r="AB197" s="430"/>
      <c r="AC197" s="479"/>
      <c r="AD197" s="479"/>
      <c r="AE197" s="430"/>
      <c r="AF197" s="479">
        <f t="shared" si="57"/>
        <v>0</v>
      </c>
      <c r="AG197" s="479">
        <f t="shared" si="50"/>
        <v>0</v>
      </c>
      <c r="AH197" s="516"/>
      <c r="AJ197" s="480" t="str">
        <f t="shared" si="51"/>
        <v/>
      </c>
      <c r="AK197" s="480" t="str">
        <f t="shared" si="52"/>
        <v/>
      </c>
    </row>
    <row r="198" spans="1:37" ht="15.6" x14ac:dyDescent="0.3">
      <c r="A198" s="152">
        <v>2018</v>
      </c>
      <c r="B198" s="178"/>
      <c r="C198" s="182"/>
      <c r="D198" s="183"/>
      <c r="E198" s="179">
        <f t="shared" si="53"/>
        <v>0</v>
      </c>
      <c r="F198" s="183">
        <f t="shared" ref="F198:F240" si="60">IFERROR(E198-E197,"")</f>
        <v>0</v>
      </c>
      <c r="G198" s="247">
        <f t="shared" si="54"/>
        <v>0</v>
      </c>
      <c r="H198" s="246"/>
      <c r="I198" s="417"/>
      <c r="J198" s="417"/>
      <c r="K198" s="439"/>
      <c r="L198" s="440"/>
      <c r="M198" s="439"/>
      <c r="N198" s="440"/>
      <c r="O198" s="495"/>
      <c r="P198" s="439">
        <f>IF($P$194="Y",IFERROR(E198*$F$12*'Emissions Factors'!$B15*$F$21,""),"")</f>
        <v>0</v>
      </c>
      <c r="Q198" s="441"/>
      <c r="R198" s="441"/>
      <c r="S198" s="441"/>
      <c r="T198" s="496"/>
      <c r="U198" s="441">
        <f t="shared" si="59"/>
        <v>0</v>
      </c>
      <c r="V198" s="441">
        <f t="shared" si="55"/>
        <v>0</v>
      </c>
      <c r="Y198" s="478">
        <v>2018</v>
      </c>
      <c r="Z198" s="479">
        <f t="shared" si="56"/>
        <v>0</v>
      </c>
      <c r="AA198" s="479">
        <f t="shared" si="56"/>
        <v>0</v>
      </c>
      <c r="AB198" s="430"/>
      <c r="AC198" s="479"/>
      <c r="AD198" s="479"/>
      <c r="AE198" s="430"/>
      <c r="AF198" s="479">
        <f t="shared" si="57"/>
        <v>0</v>
      </c>
      <c r="AG198" s="479">
        <f t="shared" si="50"/>
        <v>0</v>
      </c>
      <c r="AH198" s="516"/>
      <c r="AJ198" s="480" t="str">
        <f t="shared" si="51"/>
        <v/>
      </c>
      <c r="AK198" s="480" t="str">
        <f t="shared" si="52"/>
        <v/>
      </c>
    </row>
    <row r="199" spans="1:37" ht="15.6" x14ac:dyDescent="0.3">
      <c r="A199" s="152">
        <v>2019</v>
      </c>
      <c r="B199" s="178"/>
      <c r="C199" s="182"/>
      <c r="D199" s="183"/>
      <c r="E199" s="179">
        <f t="shared" si="53"/>
        <v>0</v>
      </c>
      <c r="F199" s="183">
        <f t="shared" si="60"/>
        <v>0</v>
      </c>
      <c r="G199" s="247">
        <f t="shared" si="54"/>
        <v>0</v>
      </c>
      <c r="H199" s="246"/>
      <c r="I199" s="417"/>
      <c r="J199" s="417"/>
      <c r="K199" s="439"/>
      <c r="L199" s="440"/>
      <c r="M199" s="439"/>
      <c r="N199" s="440"/>
      <c r="O199" s="495"/>
      <c r="P199" s="439">
        <f>IF($P$194="Y",IFERROR(E199*$F$12*'Emissions Factors'!$B16*$F$21,""),"")</f>
        <v>0</v>
      </c>
      <c r="Q199" s="441"/>
      <c r="R199" s="441"/>
      <c r="S199" s="441"/>
      <c r="T199" s="496"/>
      <c r="U199" s="441">
        <f t="shared" si="59"/>
        <v>0</v>
      </c>
      <c r="V199" s="441">
        <f t="shared" si="55"/>
        <v>0</v>
      </c>
      <c r="Y199" s="478">
        <v>2019</v>
      </c>
      <c r="Z199" s="479">
        <f t="shared" si="56"/>
        <v>0</v>
      </c>
      <c r="AA199" s="479">
        <f t="shared" si="56"/>
        <v>0</v>
      </c>
      <c r="AB199" s="430"/>
      <c r="AC199" s="479"/>
      <c r="AD199" s="479"/>
      <c r="AE199" s="430"/>
      <c r="AF199" s="479">
        <f t="shared" si="57"/>
        <v>0</v>
      </c>
      <c r="AG199" s="479">
        <f t="shared" si="50"/>
        <v>0</v>
      </c>
      <c r="AH199" s="516"/>
      <c r="AJ199" s="480" t="str">
        <f t="shared" si="51"/>
        <v/>
      </c>
      <c r="AK199" s="480" t="str">
        <f t="shared" si="52"/>
        <v/>
      </c>
    </row>
    <row r="200" spans="1:37" ht="15.6" x14ac:dyDescent="0.3">
      <c r="A200" s="152">
        <v>2020</v>
      </c>
      <c r="B200" s="178"/>
      <c r="C200" s="182"/>
      <c r="D200" s="183"/>
      <c r="E200" s="179">
        <f t="shared" si="53"/>
        <v>0</v>
      </c>
      <c r="F200" s="183">
        <f t="shared" si="60"/>
        <v>0</v>
      </c>
      <c r="G200" s="247">
        <f t="shared" si="54"/>
        <v>0</v>
      </c>
      <c r="H200" s="246"/>
      <c r="I200" s="417"/>
      <c r="J200" s="417"/>
      <c r="K200" s="439"/>
      <c r="L200" s="440"/>
      <c r="M200" s="439"/>
      <c r="N200" s="440"/>
      <c r="O200" s="495"/>
      <c r="P200" s="439">
        <f>IF($P$194="Y",IFERROR(E200*$F$12*'Emissions Factors'!$B17*$F$21,""),"")</f>
        <v>0</v>
      </c>
      <c r="Q200" s="441"/>
      <c r="R200" s="441"/>
      <c r="S200" s="441"/>
      <c r="T200" s="496"/>
      <c r="U200" s="441">
        <f t="shared" si="59"/>
        <v>0</v>
      </c>
      <c r="V200" s="441">
        <f t="shared" si="55"/>
        <v>0</v>
      </c>
      <c r="X200" s="430"/>
      <c r="Y200" s="478">
        <v>2020</v>
      </c>
      <c r="Z200" s="479">
        <f t="shared" si="56"/>
        <v>0</v>
      </c>
      <c r="AA200" s="479">
        <f t="shared" si="56"/>
        <v>0</v>
      </c>
      <c r="AB200" s="430"/>
      <c r="AC200" s="479"/>
      <c r="AD200" s="479"/>
      <c r="AE200" s="430"/>
      <c r="AF200" s="479">
        <f t="shared" si="57"/>
        <v>0</v>
      </c>
      <c r="AG200" s="479">
        <f t="shared" si="50"/>
        <v>0</v>
      </c>
      <c r="AH200" s="516"/>
      <c r="AJ200" s="480" t="str">
        <f t="shared" si="51"/>
        <v/>
      </c>
      <c r="AK200" s="480" t="str">
        <f t="shared" si="52"/>
        <v/>
      </c>
    </row>
    <row r="201" spans="1:37" ht="15.6" x14ac:dyDescent="0.3">
      <c r="A201" s="152">
        <v>2021</v>
      </c>
      <c r="B201" s="178"/>
      <c r="C201" s="182"/>
      <c r="D201" s="183"/>
      <c r="E201" s="179">
        <f t="shared" si="53"/>
        <v>8.9899400354358079</v>
      </c>
      <c r="F201" s="183">
        <f t="shared" si="60"/>
        <v>8.9899400354358079</v>
      </c>
      <c r="G201" s="247">
        <f t="shared" si="54"/>
        <v>0.63613896672256343</v>
      </c>
      <c r="H201" s="246"/>
      <c r="I201" s="417"/>
      <c r="J201" s="417"/>
      <c r="K201" s="439"/>
      <c r="L201" s="440"/>
      <c r="M201" s="439"/>
      <c r="N201" s="440"/>
      <c r="O201" s="495"/>
      <c r="P201" s="439">
        <f>IF($P$194="Y",IFERROR(E201*$F$12*'Emissions Factors'!$B18*$F$21,""),"")</f>
        <v>1.3604561294952329</v>
      </c>
      <c r="Q201" s="441"/>
      <c r="R201" s="441"/>
      <c r="S201" s="441"/>
      <c r="T201" s="496"/>
      <c r="U201" s="441">
        <f t="shared" si="59"/>
        <v>1.3604561294952329</v>
      </c>
      <c r="V201" s="441">
        <f t="shared" si="55"/>
        <v>0</v>
      </c>
      <c r="X201" s="430"/>
      <c r="Y201" s="478">
        <v>2021</v>
      </c>
      <c r="Z201" s="479">
        <f t="shared" si="56"/>
        <v>1.3604561294952329</v>
      </c>
      <c r="AA201" s="479">
        <f t="shared" si="56"/>
        <v>0</v>
      </c>
      <c r="AB201" s="430"/>
      <c r="AC201" s="479"/>
      <c r="AD201" s="479"/>
      <c r="AE201" s="430"/>
      <c r="AF201" s="479">
        <f t="shared" si="57"/>
        <v>1.3604561294952329</v>
      </c>
      <c r="AG201" s="479">
        <f t="shared" si="50"/>
        <v>0</v>
      </c>
      <c r="AH201" s="516"/>
      <c r="AJ201" s="480">
        <f t="shared" si="51"/>
        <v>0</v>
      </c>
      <c r="AK201" s="480" t="str">
        <f t="shared" si="52"/>
        <v/>
      </c>
    </row>
    <row r="202" spans="1:37" ht="15.6" x14ac:dyDescent="0.3">
      <c r="A202" s="152">
        <v>2022</v>
      </c>
      <c r="B202" s="178"/>
      <c r="C202" s="182"/>
      <c r="D202" s="183"/>
      <c r="E202" s="179">
        <f t="shared" si="53"/>
        <v>20.097898143782317</v>
      </c>
      <c r="F202" s="183">
        <f t="shared" si="60"/>
        <v>11.107958108346509</v>
      </c>
      <c r="G202" s="247">
        <f t="shared" si="54"/>
        <v>0.62080572678604395</v>
      </c>
      <c r="H202" s="246"/>
      <c r="I202" s="417"/>
      <c r="J202" s="417"/>
      <c r="K202" s="182"/>
      <c r="L202" s="178"/>
      <c r="M202" s="182"/>
      <c r="N202" s="178"/>
      <c r="O202" s="495"/>
      <c r="P202" s="439">
        <f>IF($P$194="Y",IFERROR(E202*$F$12*'Emissions Factors'!$B19*$F$21,""),"")</f>
        <v>3.0233509556930054</v>
      </c>
      <c r="Q202" s="441"/>
      <c r="R202" s="180"/>
      <c r="S202" s="180"/>
      <c r="T202" s="496"/>
      <c r="U202" s="180">
        <f t="shared" si="59"/>
        <v>3.0233509556930054</v>
      </c>
      <c r="V202" s="180">
        <f t="shared" si="55"/>
        <v>0</v>
      </c>
      <c r="X202" s="430"/>
      <c r="Y202" s="478">
        <v>2022</v>
      </c>
      <c r="Z202" s="479">
        <f t="shared" si="56"/>
        <v>3.0233509556930054</v>
      </c>
      <c r="AA202" s="479">
        <f t="shared" si="56"/>
        <v>0</v>
      </c>
      <c r="AB202" s="430"/>
      <c r="AC202" s="479"/>
      <c r="AD202" s="479"/>
      <c r="AE202" s="430"/>
      <c r="AF202" s="479">
        <f t="shared" si="57"/>
        <v>3.0233509556930054</v>
      </c>
      <c r="AG202" s="479">
        <f t="shared" si="50"/>
        <v>0</v>
      </c>
      <c r="AH202" s="516"/>
      <c r="AJ202" s="480">
        <f t="shared" si="51"/>
        <v>0</v>
      </c>
      <c r="AK202" s="480" t="str">
        <f t="shared" si="52"/>
        <v/>
      </c>
    </row>
    <row r="203" spans="1:37" ht="15.6" x14ac:dyDescent="0.3">
      <c r="A203" s="152">
        <v>2023</v>
      </c>
      <c r="B203" s="178"/>
      <c r="C203" s="182"/>
      <c r="D203" s="183"/>
      <c r="E203" s="179">
        <f t="shared" si="53"/>
        <v>33.142123296810475</v>
      </c>
      <c r="F203" s="183">
        <f t="shared" si="60"/>
        <v>13.044225153028158</v>
      </c>
      <c r="G203" s="247">
        <f t="shared" si="54"/>
        <v>0.60942237460688253</v>
      </c>
      <c r="H203" s="246"/>
      <c r="I203" s="417"/>
      <c r="J203" s="417"/>
      <c r="K203" s="182"/>
      <c r="L203" s="178"/>
      <c r="M203" s="182"/>
      <c r="N203" s="178"/>
      <c r="O203" s="495"/>
      <c r="P203" s="439">
        <f>IF($P$194="Y",IFERROR(E203*$F$12*'Emissions Factors'!$B20*$F$21,""),"")</f>
        <v>4.956507263175844</v>
      </c>
      <c r="Q203" s="441"/>
      <c r="R203" s="180"/>
      <c r="S203" s="180"/>
      <c r="T203" s="496"/>
      <c r="U203" s="180">
        <f t="shared" si="59"/>
        <v>4.956507263175844</v>
      </c>
      <c r="V203" s="180">
        <f t="shared" si="55"/>
        <v>0</v>
      </c>
      <c r="X203" s="430"/>
      <c r="Y203" s="478">
        <v>2023</v>
      </c>
      <c r="Z203" s="479">
        <f t="shared" si="56"/>
        <v>4.956507263175844</v>
      </c>
      <c r="AA203" s="479">
        <f t="shared" si="56"/>
        <v>0</v>
      </c>
      <c r="AB203" s="430"/>
      <c r="AC203" s="479"/>
      <c r="AD203" s="479"/>
      <c r="AE203" s="430"/>
      <c r="AF203" s="479">
        <f t="shared" si="57"/>
        <v>4.956507263175844</v>
      </c>
      <c r="AG203" s="479">
        <f t="shared" si="50"/>
        <v>0</v>
      </c>
      <c r="AH203" s="516"/>
      <c r="AJ203" s="480">
        <f t="shared" si="51"/>
        <v>0</v>
      </c>
      <c r="AK203" s="480" t="str">
        <f t="shared" si="52"/>
        <v/>
      </c>
    </row>
    <row r="204" spans="1:37" ht="15.6" x14ac:dyDescent="0.3">
      <c r="A204" s="152">
        <v>2024</v>
      </c>
      <c r="B204" s="178"/>
      <c r="C204" s="182"/>
      <c r="D204" s="183"/>
      <c r="E204" s="179">
        <f t="shared" si="53"/>
        <v>48.048307071646136</v>
      </c>
      <c r="F204" s="183">
        <f t="shared" si="60"/>
        <v>14.906183774835661</v>
      </c>
      <c r="G204" s="247">
        <f t="shared" si="54"/>
        <v>0.6001526048523661</v>
      </c>
      <c r="H204" s="246"/>
      <c r="I204" s="417"/>
      <c r="J204" s="417"/>
      <c r="K204" s="182"/>
      <c r="L204" s="178"/>
      <c r="M204" s="182"/>
      <c r="N204" s="178"/>
      <c r="O204" s="495"/>
      <c r="P204" s="439">
        <f>IF($P$194="Y",IFERROR(E204*$F$12*'Emissions Factors'!$B21*$F$21,""),"")</f>
        <v>7.144525916374862</v>
      </c>
      <c r="Q204" s="441"/>
      <c r="R204" s="180"/>
      <c r="S204" s="180"/>
      <c r="T204" s="496"/>
      <c r="U204" s="180">
        <f t="shared" si="59"/>
        <v>7.144525916374862</v>
      </c>
      <c r="V204" s="180">
        <f t="shared" si="55"/>
        <v>0</v>
      </c>
      <c r="X204" s="430"/>
      <c r="Y204" s="478">
        <v>2024</v>
      </c>
      <c r="Z204" s="479">
        <f t="shared" si="56"/>
        <v>7.144525916374862</v>
      </c>
      <c r="AA204" s="479">
        <f t="shared" si="56"/>
        <v>0</v>
      </c>
      <c r="AB204" s="430"/>
      <c r="AC204" s="479"/>
      <c r="AD204" s="479"/>
      <c r="AE204" s="430"/>
      <c r="AF204" s="479">
        <f>Z204-AC204</f>
        <v>7.144525916374862</v>
      </c>
      <c r="AG204" s="479">
        <f t="shared" si="50"/>
        <v>0</v>
      </c>
      <c r="AH204" s="516"/>
      <c r="AJ204" s="480">
        <f t="shared" si="51"/>
        <v>0</v>
      </c>
      <c r="AK204" s="480" t="str">
        <f t="shared" si="52"/>
        <v/>
      </c>
    </row>
    <row r="205" spans="1:37" ht="15.6" x14ac:dyDescent="0.3">
      <c r="A205" s="152">
        <v>2025</v>
      </c>
      <c r="B205" s="178"/>
      <c r="C205" s="182"/>
      <c r="D205" s="183"/>
      <c r="E205" s="179">
        <f t="shared" si="53"/>
        <v>64.761947097098755</v>
      </c>
      <c r="F205" s="183">
        <f t="shared" si="60"/>
        <v>16.713640025452619</v>
      </c>
      <c r="G205" s="247">
        <f t="shared" si="54"/>
        <v>0.59218961130699366</v>
      </c>
      <c r="H205" s="246"/>
      <c r="I205" s="417"/>
      <c r="J205" s="417"/>
      <c r="K205" s="182"/>
      <c r="L205" s="178"/>
      <c r="M205" s="182"/>
      <c r="N205" s="178"/>
      <c r="O205" s="495"/>
      <c r="P205" s="439">
        <f>IF($P$194="Y",IFERROR(E205*$F$12*'Emissions Factors'!$B22*$F$21,""),"")</f>
        <v>9.5807719662338489</v>
      </c>
      <c r="Q205" s="441"/>
      <c r="R205" s="180"/>
      <c r="S205" s="180"/>
      <c r="T205" s="496"/>
      <c r="U205" s="180">
        <f t="shared" si="59"/>
        <v>9.5807719662338489</v>
      </c>
      <c r="V205" s="180">
        <f t="shared" si="55"/>
        <v>0</v>
      </c>
      <c r="X205" s="430"/>
      <c r="Y205" s="478">
        <v>2025</v>
      </c>
      <c r="Z205" s="479">
        <f t="shared" si="56"/>
        <v>9.5807719662338489</v>
      </c>
      <c r="AA205" s="479">
        <f t="shared" si="56"/>
        <v>0</v>
      </c>
      <c r="AB205" s="430"/>
      <c r="AC205" s="479"/>
      <c r="AD205" s="479"/>
      <c r="AE205" s="430"/>
      <c r="AF205" s="479">
        <f t="shared" si="57"/>
        <v>9.5807719662338489</v>
      </c>
      <c r="AG205" s="479">
        <f t="shared" si="50"/>
        <v>0</v>
      </c>
      <c r="AH205" s="516"/>
      <c r="AJ205" s="480">
        <f t="shared" si="51"/>
        <v>0</v>
      </c>
      <c r="AK205" s="480" t="str">
        <f t="shared" si="52"/>
        <v/>
      </c>
    </row>
    <row r="206" spans="1:37" ht="15.6" x14ac:dyDescent="0.3">
      <c r="A206" s="152">
        <v>2026</v>
      </c>
      <c r="B206" s="178"/>
      <c r="C206" s="182"/>
      <c r="D206" s="183"/>
      <c r="E206" s="179">
        <f t="shared" si="53"/>
        <v>83.214543525016325</v>
      </c>
      <c r="F206" s="183">
        <f t="shared" si="60"/>
        <v>18.45259642791757</v>
      </c>
      <c r="G206" s="247">
        <f t="shared" si="54"/>
        <v>0.5851120265567139</v>
      </c>
      <c r="H206" s="246"/>
      <c r="I206" s="417"/>
      <c r="J206" s="417"/>
      <c r="K206" s="182"/>
      <c r="L206" s="178"/>
      <c r="M206" s="182"/>
      <c r="N206" s="178"/>
      <c r="O206" s="495"/>
      <c r="P206" s="439">
        <f>IF($P$194="Y",IFERROR(E206*$F$12*'Emissions Factors'!$B23*$F$21,""),"")</f>
        <v>12.234976972008928</v>
      </c>
      <c r="Q206" s="441"/>
      <c r="R206" s="180"/>
      <c r="S206" s="180"/>
      <c r="T206" s="496"/>
      <c r="U206" s="180">
        <f t="shared" si="59"/>
        <v>12.234976972008928</v>
      </c>
      <c r="V206" s="180">
        <f t="shared" si="55"/>
        <v>0</v>
      </c>
      <c r="X206" s="430"/>
      <c r="Y206" s="478">
        <v>2026</v>
      </c>
      <c r="Z206" s="479">
        <f t="shared" si="56"/>
        <v>12.234976972008928</v>
      </c>
      <c r="AA206" s="479">
        <f t="shared" si="56"/>
        <v>0</v>
      </c>
      <c r="AB206" s="430"/>
      <c r="AC206" s="479"/>
      <c r="AD206" s="479"/>
      <c r="AE206" s="430"/>
      <c r="AF206" s="479">
        <f t="shared" si="57"/>
        <v>12.234976972008928</v>
      </c>
      <c r="AG206" s="479">
        <f t="shared" si="50"/>
        <v>0</v>
      </c>
      <c r="AH206" s="516"/>
      <c r="AJ206" s="480">
        <f t="shared" si="51"/>
        <v>0</v>
      </c>
      <c r="AK206" s="480" t="str">
        <f t="shared" si="52"/>
        <v/>
      </c>
    </row>
    <row r="207" spans="1:37" ht="15.6" x14ac:dyDescent="0.3">
      <c r="A207" s="152">
        <v>2027</v>
      </c>
      <c r="B207" s="178"/>
      <c r="C207" s="182"/>
      <c r="D207" s="183"/>
      <c r="E207" s="179">
        <f>IFERROR(IF($G$19="Y",$F$19,$AD93)*(SUMIF($H$5:$H$16,"Y",$F$5:$F$16)*(AL42-B42)),0)</f>
        <v>103.33522283455626</v>
      </c>
      <c r="F207" s="183">
        <f t="shared" si="60"/>
        <v>20.120679309539938</v>
      </c>
      <c r="G207" s="247">
        <f t="shared" si="54"/>
        <v>0.57864628612580671</v>
      </c>
      <c r="H207" s="246"/>
      <c r="I207" s="417"/>
      <c r="J207" s="417"/>
      <c r="K207" s="182"/>
      <c r="L207" s="178"/>
      <c r="M207" s="182"/>
      <c r="N207" s="178"/>
      <c r="O207" s="495"/>
      <c r="P207" s="439">
        <f>IF($P$194="Y",IFERROR(E207*$F$12*'Emissions Factors'!$B24*$F$21,""),"")</f>
        <v>15.109576330525439</v>
      </c>
      <c r="Q207" s="441"/>
      <c r="R207" s="180"/>
      <c r="S207" s="180"/>
      <c r="T207" s="496"/>
      <c r="U207" s="180">
        <f t="shared" si="59"/>
        <v>15.109576330525439</v>
      </c>
      <c r="V207" s="180">
        <f t="shared" si="55"/>
        <v>0</v>
      </c>
      <c r="X207" s="430"/>
      <c r="Y207" s="478">
        <v>2027</v>
      </c>
      <c r="Z207" s="479">
        <f t="shared" si="56"/>
        <v>15.109576330525439</v>
      </c>
      <c r="AA207" s="479">
        <f t="shared" si="56"/>
        <v>0</v>
      </c>
      <c r="AB207" s="430"/>
      <c r="AC207" s="479"/>
      <c r="AD207" s="479"/>
      <c r="AE207" s="430"/>
      <c r="AF207" s="479">
        <f t="shared" si="57"/>
        <v>15.109576330525439</v>
      </c>
      <c r="AG207" s="479">
        <f t="shared" si="50"/>
        <v>0</v>
      </c>
      <c r="AH207" s="516"/>
      <c r="AJ207" s="480">
        <f t="shared" si="51"/>
        <v>0</v>
      </c>
      <c r="AK207" s="480" t="str">
        <f t="shared" si="52"/>
        <v/>
      </c>
    </row>
    <row r="208" spans="1:37" ht="15.6" x14ac:dyDescent="0.3">
      <c r="A208" s="152">
        <v>2028</v>
      </c>
      <c r="B208" s="178"/>
      <c r="C208" s="182"/>
      <c r="D208" s="183"/>
      <c r="E208" s="179">
        <f>IFERROR(IF($G$19="Y",$F$19,$AD94)*(SUMIF($H$5:$H$16,"Y",$F$5:$F$16)*(AL43-B43)),0)</f>
        <v>125.1142868260164</v>
      </c>
      <c r="F208" s="183">
        <f t="shared" si="60"/>
        <v>21.779063991460134</v>
      </c>
      <c r="G208" s="247">
        <f t="shared" si="54"/>
        <v>0.57255856353278944</v>
      </c>
      <c r="H208" s="246"/>
      <c r="I208" s="417"/>
      <c r="J208" s="417"/>
      <c r="K208" s="182"/>
      <c r="L208" s="178"/>
      <c r="M208" s="182"/>
      <c r="N208" s="178"/>
      <c r="O208" s="495"/>
      <c r="P208" s="439">
        <f>IF($P$194="Y",IFERROR(E208*$F$12*'Emissions Factors'!$B25*$F$21,""),"")</f>
        <v>18.194317349022977</v>
      </c>
      <c r="Q208" s="441"/>
      <c r="R208" s="180"/>
      <c r="S208" s="180"/>
      <c r="T208" s="496"/>
      <c r="U208" s="180">
        <f t="shared" si="59"/>
        <v>18.194317349022977</v>
      </c>
      <c r="V208" s="180">
        <f t="shared" si="55"/>
        <v>0</v>
      </c>
      <c r="X208" s="430"/>
      <c r="Y208" s="478">
        <v>2028</v>
      </c>
      <c r="Z208" s="479">
        <f t="shared" si="56"/>
        <v>18.194317349022977</v>
      </c>
      <c r="AA208" s="479">
        <f t="shared" si="56"/>
        <v>0</v>
      </c>
      <c r="AB208" s="430"/>
      <c r="AC208" s="479"/>
      <c r="AD208" s="479"/>
      <c r="AE208" s="430"/>
      <c r="AF208" s="479">
        <f t="shared" si="57"/>
        <v>18.194317349022977</v>
      </c>
      <c r="AG208" s="479">
        <f t="shared" si="50"/>
        <v>0</v>
      </c>
      <c r="AH208" s="516"/>
      <c r="AJ208" s="480">
        <f t="shared" si="51"/>
        <v>0</v>
      </c>
      <c r="AK208" s="480" t="str">
        <f t="shared" si="52"/>
        <v/>
      </c>
    </row>
    <row r="209" spans="1:37" ht="15.6" x14ac:dyDescent="0.3">
      <c r="A209" s="152">
        <v>2029</v>
      </c>
      <c r="B209" s="178"/>
      <c r="C209" s="182"/>
      <c r="D209" s="183"/>
      <c r="E209" s="179">
        <f t="shared" si="53"/>
        <v>148.5575962020045</v>
      </c>
      <c r="F209" s="183">
        <f t="shared" si="60"/>
        <v>23.443309375988107</v>
      </c>
      <c r="G209" s="247">
        <f t="shared" si="54"/>
        <v>0.56668950327844536</v>
      </c>
      <c r="H209" s="246"/>
      <c r="I209" s="417"/>
      <c r="J209" s="417"/>
      <c r="K209" s="182"/>
      <c r="L209" s="178"/>
      <c r="M209" s="182"/>
      <c r="N209" s="178"/>
      <c r="O209" s="495"/>
      <c r="P209" s="439">
        <f>IF($P$194="Y",IFERROR(E209*$F$12*'Emissions Factors'!$B26*$F$21,""),"")</f>
        <v>21.486700860773201</v>
      </c>
      <c r="Q209" s="441"/>
      <c r="R209" s="180"/>
      <c r="S209" s="180"/>
      <c r="T209" s="496"/>
      <c r="U209" s="180">
        <f t="shared" si="59"/>
        <v>21.486700860773201</v>
      </c>
      <c r="V209" s="180">
        <f t="shared" si="55"/>
        <v>0</v>
      </c>
      <c r="X209" s="430"/>
      <c r="Y209" s="478">
        <v>2029</v>
      </c>
      <c r="Z209" s="479">
        <f t="shared" si="56"/>
        <v>21.486700860773201</v>
      </c>
      <c r="AA209" s="479">
        <f t="shared" si="56"/>
        <v>0</v>
      </c>
      <c r="AB209" s="430"/>
      <c r="AC209" s="479"/>
      <c r="AD209" s="479"/>
      <c r="AE209" s="430"/>
      <c r="AF209" s="479">
        <f t="shared" si="57"/>
        <v>21.486700860773201</v>
      </c>
      <c r="AG209" s="479">
        <f t="shared" si="50"/>
        <v>0</v>
      </c>
      <c r="AH209" s="516"/>
      <c r="AJ209" s="480">
        <f t="shared" si="51"/>
        <v>0</v>
      </c>
      <c r="AK209" s="480" t="str">
        <f t="shared" si="52"/>
        <v/>
      </c>
    </row>
    <row r="210" spans="1:37" ht="15.6" x14ac:dyDescent="0.3">
      <c r="A210" s="152">
        <v>2030</v>
      </c>
      <c r="B210" s="178"/>
      <c r="C210" s="182"/>
      <c r="D210" s="183"/>
      <c r="E210" s="179">
        <f t="shared" si="53"/>
        <v>173.8027214204244</v>
      </c>
      <c r="F210" s="183">
        <f t="shared" si="60"/>
        <v>25.245125218419901</v>
      </c>
      <c r="G210" s="247">
        <f t="shared" si="54"/>
        <v>0.56103089274974649</v>
      </c>
      <c r="H210" s="246"/>
      <c r="I210" s="417"/>
      <c r="J210" s="417"/>
      <c r="K210" s="182"/>
      <c r="L210" s="178"/>
      <c r="M210" s="182"/>
      <c r="N210" s="178"/>
      <c r="O210" s="495"/>
      <c r="P210" s="439">
        <f>IF($P$194="Y",IFERROR(E210*$F$12*'Emissions Factors'!$B27*$F$21,""),"")</f>
        <v>25.008982857077264</v>
      </c>
      <c r="Q210" s="441"/>
      <c r="R210" s="180"/>
      <c r="S210" s="180"/>
      <c r="T210" s="496"/>
      <c r="U210" s="180">
        <f t="shared" si="59"/>
        <v>25.008982857077264</v>
      </c>
      <c r="V210" s="180">
        <f t="shared" si="55"/>
        <v>0</v>
      </c>
      <c r="X210" s="430"/>
      <c r="Y210" s="478">
        <v>2030</v>
      </c>
      <c r="Z210" s="479">
        <f t="shared" si="56"/>
        <v>25.008982857077264</v>
      </c>
      <c r="AA210" s="479">
        <f t="shared" si="56"/>
        <v>0</v>
      </c>
      <c r="AB210" s="430"/>
      <c r="AC210" s="479"/>
      <c r="AD210" s="479"/>
      <c r="AE210" s="430"/>
      <c r="AF210" s="479">
        <f t="shared" si="57"/>
        <v>25.008982857077264</v>
      </c>
      <c r="AG210" s="479">
        <f t="shared" si="50"/>
        <v>0</v>
      </c>
      <c r="AH210" s="516"/>
      <c r="AJ210" s="480">
        <f t="shared" si="51"/>
        <v>0</v>
      </c>
      <c r="AK210" s="480" t="str">
        <f t="shared" si="52"/>
        <v/>
      </c>
    </row>
    <row r="211" spans="1:37" ht="15.6" x14ac:dyDescent="0.3">
      <c r="A211" s="152">
        <v>2031</v>
      </c>
      <c r="B211" s="178"/>
      <c r="C211" s="182"/>
      <c r="D211" s="183"/>
      <c r="E211" s="179">
        <f t="shared" si="53"/>
        <v>200.45102324680892</v>
      </c>
      <c r="F211" s="183">
        <f t="shared" si="60"/>
        <v>26.648301826384511</v>
      </c>
      <c r="G211" s="247">
        <f t="shared" si="54"/>
        <v>0.55532214403360125</v>
      </c>
      <c r="H211" s="246"/>
      <c r="I211" s="417"/>
      <c r="J211" s="417"/>
      <c r="K211" s="182"/>
      <c r="L211" s="178"/>
      <c r="M211" s="182"/>
      <c r="N211" s="178"/>
      <c r="O211" s="495"/>
      <c r="P211" s="439">
        <f>IF($P$194="Y",IFERROR(E211*$F$12*'Emissions Factors'!$B28*$F$21,""),"")</f>
        <v>28.682925254405674</v>
      </c>
      <c r="Q211" s="441"/>
      <c r="R211" s="180"/>
      <c r="S211" s="180"/>
      <c r="T211" s="496"/>
      <c r="U211" s="180">
        <f t="shared" si="59"/>
        <v>28.682925254405674</v>
      </c>
      <c r="V211" s="180">
        <f t="shared" si="55"/>
        <v>0</v>
      </c>
      <c r="X211" s="430"/>
      <c r="Y211" s="478">
        <v>2031</v>
      </c>
      <c r="Z211" s="479">
        <f t="shared" si="56"/>
        <v>28.682925254405674</v>
      </c>
      <c r="AA211" s="479">
        <f t="shared" si="56"/>
        <v>0</v>
      </c>
      <c r="AB211" s="430"/>
      <c r="AC211" s="479"/>
      <c r="AD211" s="479"/>
      <c r="AE211" s="430"/>
      <c r="AF211" s="479">
        <f t="shared" si="57"/>
        <v>28.682925254405674</v>
      </c>
      <c r="AG211" s="479">
        <f t="shared" si="50"/>
        <v>0</v>
      </c>
      <c r="AH211" s="516"/>
      <c r="AJ211" s="480">
        <f t="shared" si="51"/>
        <v>0</v>
      </c>
      <c r="AK211" s="480" t="str">
        <f t="shared" si="52"/>
        <v/>
      </c>
    </row>
    <row r="212" spans="1:37" ht="15.6" x14ac:dyDescent="0.3">
      <c r="A212" s="152">
        <v>2032</v>
      </c>
      <c r="B212" s="178"/>
      <c r="C212" s="182"/>
      <c r="D212" s="183"/>
      <c r="E212" s="179">
        <f t="shared" si="53"/>
        <v>228.76143567896261</v>
      </c>
      <c r="F212" s="183">
        <f t="shared" si="60"/>
        <v>28.310412432153697</v>
      </c>
      <c r="G212" s="247">
        <f t="shared" si="54"/>
        <v>0.549828893400098</v>
      </c>
      <c r="H212" s="246"/>
      <c r="I212" s="417"/>
      <c r="J212" s="417"/>
      <c r="K212" s="182"/>
      <c r="L212" s="178"/>
      <c r="M212" s="182"/>
      <c r="N212" s="178"/>
      <c r="O212" s="495"/>
      <c r="P212" s="439">
        <f>IF($P$194="Y",IFERROR(E212*$F$12*'Emissions Factors'!$B29*$F$21,""),"")</f>
        <v>32.560053921009612</v>
      </c>
      <c r="Q212" s="441"/>
      <c r="R212" s="180"/>
      <c r="S212" s="180"/>
      <c r="T212" s="496"/>
      <c r="U212" s="180">
        <f t="shared" si="59"/>
        <v>32.560053921009612</v>
      </c>
      <c r="V212" s="180">
        <f t="shared" si="55"/>
        <v>0</v>
      </c>
      <c r="X212" s="430"/>
      <c r="Y212" s="478">
        <v>2032</v>
      </c>
      <c r="Z212" s="479">
        <f t="shared" si="56"/>
        <v>32.560053921009612</v>
      </c>
      <c r="AA212" s="479">
        <f t="shared" si="56"/>
        <v>0</v>
      </c>
      <c r="AB212" s="430"/>
      <c r="AC212" s="479"/>
      <c r="AD212" s="479"/>
      <c r="AE212" s="430"/>
      <c r="AF212" s="479">
        <f t="shared" si="57"/>
        <v>32.560053921009612</v>
      </c>
      <c r="AG212" s="479">
        <f t="shared" si="50"/>
        <v>0</v>
      </c>
      <c r="AH212" s="516"/>
      <c r="AJ212" s="480">
        <f t="shared" si="51"/>
        <v>0</v>
      </c>
      <c r="AK212" s="480" t="str">
        <f t="shared" si="52"/>
        <v/>
      </c>
    </row>
    <row r="213" spans="1:37" ht="15.6" x14ac:dyDescent="0.3">
      <c r="A213" s="152">
        <v>2033</v>
      </c>
      <c r="B213" s="178"/>
      <c r="C213" s="182"/>
      <c r="D213" s="183"/>
      <c r="E213" s="179">
        <f t="shared" si="53"/>
        <v>258.29343517418135</v>
      </c>
      <c r="F213" s="183">
        <f t="shared" si="60"/>
        <v>29.531999495218741</v>
      </c>
      <c r="G213" s="247">
        <f t="shared" si="54"/>
        <v>0.54450259178337457</v>
      </c>
      <c r="H213" s="246"/>
      <c r="I213" s="417"/>
      <c r="J213" s="417"/>
      <c r="K213" s="182"/>
      <c r="L213" s="178"/>
      <c r="M213" s="182"/>
      <c r="N213" s="178"/>
      <c r="O213" s="495"/>
      <c r="P213" s="439">
        <f>IF($P$194="Y",IFERROR(E213*$F$12*'Emissions Factors'!$B30*$F$21,""),"")</f>
        <v>36.568703724725012</v>
      </c>
      <c r="Q213" s="441"/>
      <c r="R213" s="180"/>
      <c r="S213" s="180"/>
      <c r="T213" s="496"/>
      <c r="U213" s="180">
        <f t="shared" si="59"/>
        <v>36.568703724725012</v>
      </c>
      <c r="V213" s="180">
        <f t="shared" si="55"/>
        <v>0</v>
      </c>
      <c r="X213" s="430"/>
      <c r="Y213" s="478">
        <v>2033</v>
      </c>
      <c r="Z213" s="479">
        <f t="shared" si="56"/>
        <v>36.568703724725012</v>
      </c>
      <c r="AA213" s="479">
        <f t="shared" si="56"/>
        <v>0</v>
      </c>
      <c r="AB213" s="430"/>
      <c r="AC213" s="479"/>
      <c r="AD213" s="479"/>
      <c r="AE213" s="430"/>
      <c r="AF213" s="479">
        <f t="shared" si="57"/>
        <v>36.568703724725012</v>
      </c>
      <c r="AG213" s="479">
        <f t="shared" si="50"/>
        <v>0</v>
      </c>
      <c r="AH213" s="516"/>
      <c r="AJ213" s="480">
        <f t="shared" si="51"/>
        <v>0</v>
      </c>
      <c r="AK213" s="480" t="str">
        <f t="shared" si="52"/>
        <v/>
      </c>
    </row>
    <row r="214" spans="1:37" ht="15.6" x14ac:dyDescent="0.3">
      <c r="A214" s="152">
        <v>2034</v>
      </c>
      <c r="B214" s="178"/>
      <c r="C214" s="182"/>
      <c r="D214" s="183"/>
      <c r="E214" s="179">
        <f t="shared" si="53"/>
        <v>288.63077367696263</v>
      </c>
      <c r="F214" s="183">
        <f t="shared" si="60"/>
        <v>30.337338502781279</v>
      </c>
      <c r="G214" s="247">
        <f t="shared" si="54"/>
        <v>0.53936070999512375</v>
      </c>
      <c r="H214" s="246"/>
      <c r="I214" s="417"/>
      <c r="J214" s="417"/>
      <c r="K214" s="182"/>
      <c r="L214" s="178"/>
      <c r="M214" s="182"/>
      <c r="N214" s="178"/>
      <c r="O214" s="495"/>
      <c r="P214" s="439">
        <f>IF($P$194="Y",IFERROR(E214*$F$12*'Emissions Factors'!$B31*$F$21,""),"")</f>
        <v>40.647718811831005</v>
      </c>
      <c r="Q214" s="441"/>
      <c r="R214" s="180"/>
      <c r="S214" s="180"/>
      <c r="T214" s="496"/>
      <c r="U214" s="180">
        <f t="shared" si="59"/>
        <v>40.647718811831005</v>
      </c>
      <c r="V214" s="180">
        <f t="shared" si="55"/>
        <v>0</v>
      </c>
      <c r="X214" s="430"/>
      <c r="Y214" s="478">
        <v>2034</v>
      </c>
      <c r="Z214" s="479">
        <f t="shared" si="56"/>
        <v>40.647718811831005</v>
      </c>
      <c r="AA214" s="479">
        <f t="shared" si="56"/>
        <v>0</v>
      </c>
      <c r="AB214" s="430"/>
      <c r="AC214" s="479"/>
      <c r="AD214" s="479"/>
      <c r="AE214" s="430"/>
      <c r="AF214" s="479">
        <f t="shared" si="57"/>
        <v>40.647718811831005</v>
      </c>
      <c r="AG214" s="479">
        <f t="shared" si="50"/>
        <v>0</v>
      </c>
      <c r="AH214" s="516"/>
      <c r="AJ214" s="480">
        <f t="shared" si="51"/>
        <v>0</v>
      </c>
      <c r="AK214" s="480" t="str">
        <f t="shared" si="52"/>
        <v/>
      </c>
    </row>
    <row r="215" spans="1:37" ht="15.6" x14ac:dyDescent="0.3">
      <c r="A215" s="152">
        <v>2035</v>
      </c>
      <c r="B215" s="178"/>
      <c r="C215" s="182"/>
      <c r="D215" s="183"/>
      <c r="E215" s="179">
        <f t="shared" si="53"/>
        <v>319.45476141960171</v>
      </c>
      <c r="F215" s="183">
        <f t="shared" si="60"/>
        <v>30.823987742639076</v>
      </c>
      <c r="G215" s="247">
        <f t="shared" si="54"/>
        <v>0.53437656297389502</v>
      </c>
      <c r="H215" s="246"/>
      <c r="I215" s="417"/>
      <c r="J215" s="417"/>
      <c r="K215" s="182"/>
      <c r="L215" s="178"/>
      <c r="M215" s="182"/>
      <c r="N215" s="178"/>
      <c r="O215" s="495"/>
      <c r="P215" s="439">
        <f>IF($P$194="Y",IFERROR(E215*$F$12*'Emissions Factors'!$B32*$F$21,""),"")</f>
        <v>44.744220172562898</v>
      </c>
      <c r="Q215" s="441"/>
      <c r="R215" s="180"/>
      <c r="S215" s="180"/>
      <c r="T215" s="496"/>
      <c r="U215" s="180">
        <f t="shared" si="59"/>
        <v>44.744220172562898</v>
      </c>
      <c r="V215" s="180">
        <f t="shared" si="55"/>
        <v>0</v>
      </c>
      <c r="X215" s="430"/>
      <c r="Y215" s="478">
        <v>2035</v>
      </c>
      <c r="Z215" s="479">
        <f t="shared" si="56"/>
        <v>44.744220172562898</v>
      </c>
      <c r="AA215" s="479">
        <f t="shared" si="56"/>
        <v>0</v>
      </c>
      <c r="AB215" s="430"/>
      <c r="AC215" s="479"/>
      <c r="AD215" s="479"/>
      <c r="AE215" s="430"/>
      <c r="AF215" s="479">
        <f t="shared" si="57"/>
        <v>44.744220172562898</v>
      </c>
      <c r="AG215" s="479">
        <f t="shared" si="50"/>
        <v>0</v>
      </c>
      <c r="AH215" s="516"/>
      <c r="AJ215" s="480">
        <f t="shared" si="51"/>
        <v>0</v>
      </c>
      <c r="AK215" s="480" t="str">
        <f t="shared" si="52"/>
        <v/>
      </c>
    </row>
    <row r="216" spans="1:37" ht="15.6" x14ac:dyDescent="0.3">
      <c r="A216" s="152">
        <v>2036</v>
      </c>
      <c r="B216" s="178"/>
      <c r="C216" s="182"/>
      <c r="D216" s="183"/>
      <c r="E216" s="179">
        <f t="shared" si="53"/>
        <v>350.60617014797396</v>
      </c>
      <c r="F216" s="183">
        <f t="shared" si="60"/>
        <v>31.151408728372246</v>
      </c>
      <c r="G216" s="247">
        <f t="shared" si="54"/>
        <v>0.52949152768193841</v>
      </c>
      <c r="H216" s="246"/>
      <c r="I216" s="417"/>
      <c r="J216" s="417"/>
      <c r="K216" s="182"/>
      <c r="L216" s="178"/>
      <c r="M216" s="182"/>
      <c r="N216" s="178"/>
      <c r="O216" s="495"/>
      <c r="P216" s="439">
        <f>IF($P$194="Y",IFERROR(E216*$F$12*'Emissions Factors'!$B33*$F$21,""),"")</f>
        <v>48.853051819051274</v>
      </c>
      <c r="Q216" s="441"/>
      <c r="R216" s="180"/>
      <c r="S216" s="180"/>
      <c r="T216" s="496"/>
      <c r="U216" s="180">
        <f t="shared" si="59"/>
        <v>48.853051819051274</v>
      </c>
      <c r="V216" s="180">
        <f t="shared" si="55"/>
        <v>0</v>
      </c>
      <c r="X216" s="430"/>
      <c r="Y216" s="478">
        <v>2036</v>
      </c>
      <c r="Z216" s="479">
        <f t="shared" si="56"/>
        <v>48.853051819051274</v>
      </c>
      <c r="AA216" s="479">
        <f t="shared" si="56"/>
        <v>0</v>
      </c>
      <c r="AB216" s="430"/>
      <c r="AC216" s="479"/>
      <c r="AD216" s="479"/>
      <c r="AE216" s="430"/>
      <c r="AF216" s="479">
        <f t="shared" si="57"/>
        <v>48.853051819051274</v>
      </c>
      <c r="AG216" s="479">
        <f t="shared" si="50"/>
        <v>0</v>
      </c>
      <c r="AH216" s="516"/>
      <c r="AJ216" s="480">
        <f t="shared" si="51"/>
        <v>0</v>
      </c>
      <c r="AK216" s="480" t="str">
        <f t="shared" si="52"/>
        <v/>
      </c>
    </row>
    <row r="217" spans="1:37" ht="15.6" x14ac:dyDescent="0.3">
      <c r="A217" s="152">
        <v>2037</v>
      </c>
      <c r="B217" s="178"/>
      <c r="C217" s="182"/>
      <c r="D217" s="183"/>
      <c r="E217" s="179">
        <f t="shared" si="53"/>
        <v>382.11725925785316</v>
      </c>
      <c r="F217" s="183">
        <f t="shared" si="60"/>
        <v>31.511089109879208</v>
      </c>
      <c r="G217" s="247">
        <f t="shared" si="54"/>
        <v>0.52464311446717493</v>
      </c>
      <c r="H217" s="246"/>
      <c r="I217" s="417"/>
      <c r="J217" s="417"/>
      <c r="K217" s="182"/>
      <c r="L217" s="178"/>
      <c r="M217" s="182"/>
      <c r="N217" s="178"/>
      <c r="O217" s="495"/>
      <c r="P217" s="439">
        <f>IF($P$194="Y",IFERROR(E217*$F$12*'Emissions Factors'!$B34*$F$21,""),"")</f>
        <v>52.959870298142647</v>
      </c>
      <c r="Q217" s="441"/>
      <c r="R217" s="180"/>
      <c r="S217" s="180"/>
      <c r="T217" s="496"/>
      <c r="U217" s="180">
        <f t="shared" si="59"/>
        <v>52.959870298142647</v>
      </c>
      <c r="V217" s="180">
        <f t="shared" si="55"/>
        <v>0</v>
      </c>
      <c r="X217" s="430"/>
      <c r="Y217" s="478">
        <v>2037</v>
      </c>
      <c r="Z217" s="479">
        <f t="shared" si="56"/>
        <v>52.959870298142647</v>
      </c>
      <c r="AA217" s="479">
        <f t="shared" si="56"/>
        <v>0</v>
      </c>
      <c r="AB217" s="430"/>
      <c r="AC217" s="479"/>
      <c r="AD217" s="479"/>
      <c r="AE217" s="430"/>
      <c r="AF217" s="479">
        <f t="shared" si="57"/>
        <v>52.959870298142647</v>
      </c>
      <c r="AG217" s="479">
        <f t="shared" si="50"/>
        <v>0</v>
      </c>
      <c r="AH217" s="516"/>
      <c r="AJ217" s="480">
        <f t="shared" si="51"/>
        <v>0</v>
      </c>
      <c r="AK217" s="480" t="str">
        <f t="shared" si="52"/>
        <v/>
      </c>
    </row>
    <row r="218" spans="1:37" ht="15.6" x14ac:dyDescent="0.3">
      <c r="A218" s="152">
        <v>2038</v>
      </c>
      <c r="B218" s="178"/>
      <c r="C218" s="182"/>
      <c r="D218" s="183"/>
      <c r="E218" s="179">
        <f t="shared" si="53"/>
        <v>414.1036898546356</v>
      </c>
      <c r="F218" s="183">
        <f t="shared" si="60"/>
        <v>31.986430596782441</v>
      </c>
      <c r="G218" s="247">
        <f t="shared" si="54"/>
        <v>0.5197925707695733</v>
      </c>
      <c r="H218" s="246"/>
      <c r="I218" s="417"/>
      <c r="J218" s="417"/>
      <c r="K218" s="182"/>
      <c r="L218" s="178"/>
      <c r="M218" s="182"/>
      <c r="N218" s="178"/>
      <c r="O218" s="495"/>
      <c r="P218" s="439">
        <f>IF($P$194="Y",IFERROR(E218*$F$12*'Emissions Factors'!$B35*$F$21,""),"")</f>
        <v>57.085689360567834</v>
      </c>
      <c r="Q218" s="441"/>
      <c r="R218" s="180"/>
      <c r="S218" s="180"/>
      <c r="T218" s="496"/>
      <c r="U218" s="180">
        <f t="shared" si="59"/>
        <v>57.085689360567834</v>
      </c>
      <c r="V218" s="180">
        <f t="shared" si="55"/>
        <v>0</v>
      </c>
      <c r="X218" s="430"/>
      <c r="Y218" s="478">
        <v>2038</v>
      </c>
      <c r="Z218" s="479">
        <f t="shared" si="56"/>
        <v>57.085689360567834</v>
      </c>
      <c r="AA218" s="479">
        <f t="shared" si="56"/>
        <v>0</v>
      </c>
      <c r="AB218" s="430"/>
      <c r="AC218" s="479"/>
      <c r="AD218" s="479"/>
      <c r="AE218" s="430"/>
      <c r="AF218" s="479">
        <f t="shared" si="57"/>
        <v>57.085689360567834</v>
      </c>
      <c r="AG218" s="479">
        <f t="shared" si="50"/>
        <v>0</v>
      </c>
      <c r="AH218" s="516"/>
      <c r="AJ218" s="480">
        <f t="shared" si="51"/>
        <v>0</v>
      </c>
      <c r="AK218" s="480" t="str">
        <f t="shared" si="52"/>
        <v/>
      </c>
    </row>
    <row r="219" spans="1:37" ht="15.6" x14ac:dyDescent="0.3">
      <c r="A219" s="152">
        <v>2039</v>
      </c>
      <c r="B219" s="178"/>
      <c r="C219" s="182"/>
      <c r="D219" s="183"/>
      <c r="E219" s="179">
        <f t="shared" si="53"/>
        <v>446.78845111416626</v>
      </c>
      <c r="F219" s="183">
        <f t="shared" si="60"/>
        <v>32.68476125953066</v>
      </c>
      <c r="G219" s="247">
        <f t="shared" si="54"/>
        <v>0.51491124917105335</v>
      </c>
      <c r="H219" s="246"/>
      <c r="I219" s="417"/>
      <c r="J219" s="417"/>
      <c r="K219" s="182"/>
      <c r="L219" s="178"/>
      <c r="M219" s="182"/>
      <c r="N219" s="178"/>
      <c r="O219" s="495"/>
      <c r="P219" s="439">
        <f>IF($P$194="Y",IFERROR(E219*$F$12*'Emissions Factors'!$B36*$F$21,""),"")</f>
        <v>61.258129621822171</v>
      </c>
      <c r="Q219" s="441"/>
      <c r="R219" s="180"/>
      <c r="S219" s="180"/>
      <c r="T219" s="496"/>
      <c r="U219" s="180">
        <f t="shared" si="59"/>
        <v>61.258129621822171</v>
      </c>
      <c r="V219" s="180">
        <f t="shared" si="55"/>
        <v>0</v>
      </c>
      <c r="X219" s="430"/>
      <c r="Y219" s="478">
        <v>2039</v>
      </c>
      <c r="Z219" s="479">
        <f t="shared" si="56"/>
        <v>61.258129621822171</v>
      </c>
      <c r="AA219" s="479">
        <f t="shared" si="56"/>
        <v>0</v>
      </c>
      <c r="AB219" s="430"/>
      <c r="AC219" s="479"/>
      <c r="AD219" s="479"/>
      <c r="AE219" s="430"/>
      <c r="AF219" s="479">
        <f t="shared" si="57"/>
        <v>61.258129621822171</v>
      </c>
      <c r="AG219" s="479">
        <f t="shared" si="50"/>
        <v>0</v>
      </c>
      <c r="AH219" s="516"/>
      <c r="AJ219" s="480">
        <f t="shared" si="51"/>
        <v>0</v>
      </c>
      <c r="AK219" s="480" t="str">
        <f t="shared" si="52"/>
        <v/>
      </c>
    </row>
    <row r="220" spans="1:37" ht="15.6" x14ac:dyDescent="0.3">
      <c r="A220" s="152">
        <v>2040</v>
      </c>
      <c r="B220" s="178"/>
      <c r="C220" s="182"/>
      <c r="D220" s="183"/>
      <c r="E220" s="179">
        <f t="shared" si="53"/>
        <v>479.91640879948778</v>
      </c>
      <c r="F220" s="183">
        <f t="shared" si="60"/>
        <v>33.127957685321519</v>
      </c>
      <c r="G220" s="247">
        <f t="shared" si="54"/>
        <v>0.50986764851925537</v>
      </c>
      <c r="H220" s="246"/>
      <c r="I220" s="417"/>
      <c r="J220" s="417"/>
      <c r="K220" s="182"/>
      <c r="L220" s="178"/>
      <c r="M220" s="182"/>
      <c r="N220" s="178"/>
      <c r="O220" s="495"/>
      <c r="P220" s="439">
        <f>IF($P$194="Y",IFERROR(E220*$F$12*'Emissions Factors'!$B37*$F$21,""),"")</f>
        <v>65.416001603391621</v>
      </c>
      <c r="Q220" s="441"/>
      <c r="R220" s="180"/>
      <c r="S220" s="180"/>
      <c r="T220" s="496"/>
      <c r="U220" s="180">
        <f t="shared" si="59"/>
        <v>65.416001603391621</v>
      </c>
      <c r="V220" s="180">
        <f t="shared" si="55"/>
        <v>0</v>
      </c>
      <c r="X220" s="430"/>
      <c r="Y220" s="478">
        <v>2040</v>
      </c>
      <c r="Z220" s="479">
        <f t="shared" si="56"/>
        <v>65.416001603391621</v>
      </c>
      <c r="AA220" s="479">
        <f t="shared" si="56"/>
        <v>0</v>
      </c>
      <c r="AB220" s="430"/>
      <c r="AC220" s="479"/>
      <c r="AD220" s="479"/>
      <c r="AE220" s="430"/>
      <c r="AF220" s="479">
        <f t="shared" si="57"/>
        <v>65.416001603391621</v>
      </c>
      <c r="AG220" s="479">
        <f t="shared" si="50"/>
        <v>0</v>
      </c>
      <c r="AH220" s="516"/>
      <c r="AJ220" s="480">
        <f t="shared" si="51"/>
        <v>0</v>
      </c>
      <c r="AK220" s="480" t="str">
        <f t="shared" si="52"/>
        <v/>
      </c>
    </row>
    <row r="221" spans="1:37" ht="15.6" x14ac:dyDescent="0.3">
      <c r="A221" s="152">
        <v>2041</v>
      </c>
      <c r="B221" s="178"/>
      <c r="C221" s="182"/>
      <c r="D221" s="183"/>
      <c r="E221" s="179">
        <f t="shared" si="53"/>
        <v>514.84660154227322</v>
      </c>
      <c r="F221" s="183">
        <f t="shared" si="60"/>
        <v>34.930192742785437</v>
      </c>
      <c r="G221" s="247">
        <f t="shared" si="54"/>
        <v>0.50500535590131168</v>
      </c>
      <c r="H221" s="246"/>
      <c r="I221" s="417"/>
      <c r="J221" s="417"/>
      <c r="K221" s="182"/>
      <c r="L221" s="178"/>
      <c r="M221" s="182"/>
      <c r="N221" s="178"/>
      <c r="O221" s="495"/>
      <c r="P221" s="439">
        <f>IF($P$194="Y",IFERROR(E221*$F$12*'Emissions Factors'!$B38*$F$21,""),"")</f>
        <v>69.820963871776428</v>
      </c>
      <c r="Q221" s="441"/>
      <c r="R221" s="180"/>
      <c r="S221" s="180"/>
      <c r="T221" s="496"/>
      <c r="U221" s="180">
        <f t="shared" si="59"/>
        <v>69.820963871776428</v>
      </c>
      <c r="V221" s="180">
        <f t="shared" si="55"/>
        <v>0</v>
      </c>
      <c r="X221" s="430"/>
      <c r="Y221" s="478">
        <v>2041</v>
      </c>
      <c r="Z221" s="479">
        <f t="shared" si="56"/>
        <v>69.820963871776428</v>
      </c>
      <c r="AA221" s="479">
        <f t="shared" si="56"/>
        <v>0</v>
      </c>
      <c r="AB221" s="430"/>
      <c r="AC221" s="479"/>
      <c r="AD221" s="479"/>
      <c r="AE221" s="430"/>
      <c r="AF221" s="479">
        <f t="shared" si="57"/>
        <v>69.820963871776428</v>
      </c>
      <c r="AG221" s="479">
        <f t="shared" si="50"/>
        <v>0</v>
      </c>
      <c r="AH221" s="516"/>
      <c r="AJ221" s="480">
        <f t="shared" si="51"/>
        <v>0</v>
      </c>
      <c r="AK221" s="480" t="str">
        <f t="shared" si="52"/>
        <v/>
      </c>
    </row>
    <row r="222" spans="1:37" ht="15.6" x14ac:dyDescent="0.3">
      <c r="A222" s="152">
        <v>2042</v>
      </c>
      <c r="B222" s="178"/>
      <c r="C222" s="182"/>
      <c r="D222" s="183"/>
      <c r="E222" s="179">
        <f t="shared" si="53"/>
        <v>550.23889437207686</v>
      </c>
      <c r="F222" s="183">
        <f t="shared" si="60"/>
        <v>35.392292829803637</v>
      </c>
      <c r="G222" s="247">
        <f t="shared" si="54"/>
        <v>0.49997433648838241</v>
      </c>
      <c r="H222" s="246"/>
      <c r="I222" s="417"/>
      <c r="J222" s="417"/>
      <c r="K222" s="182"/>
      <c r="L222" s="178"/>
      <c r="M222" s="182"/>
      <c r="N222" s="178"/>
      <c r="O222" s="495"/>
      <c r="P222" s="439">
        <f>IF($P$194="Y",IFERROR(E222*$F$12*'Emissions Factors'!$B39*$F$21,""),"")</f>
        <v>74.208644945663409</v>
      </c>
      <c r="Q222" s="441"/>
      <c r="R222" s="180"/>
      <c r="S222" s="180"/>
      <c r="T222" s="496"/>
      <c r="U222" s="180">
        <f t="shared" si="59"/>
        <v>74.208644945663409</v>
      </c>
      <c r="V222" s="180">
        <f t="shared" si="55"/>
        <v>0</v>
      </c>
      <c r="X222" s="430"/>
      <c r="Y222" s="478">
        <v>2042</v>
      </c>
      <c r="Z222" s="479">
        <f t="shared" si="56"/>
        <v>74.208644945663409</v>
      </c>
      <c r="AA222" s="479">
        <f t="shared" si="56"/>
        <v>0</v>
      </c>
      <c r="AB222" s="430"/>
      <c r="AC222" s="479"/>
      <c r="AD222" s="479"/>
      <c r="AE222" s="430"/>
      <c r="AF222" s="479">
        <f t="shared" si="57"/>
        <v>74.208644945663409</v>
      </c>
      <c r="AG222" s="479">
        <f t="shared" si="50"/>
        <v>0</v>
      </c>
      <c r="AH222" s="516"/>
      <c r="AJ222" s="480">
        <f t="shared" si="51"/>
        <v>0</v>
      </c>
      <c r="AK222" s="480" t="str">
        <f t="shared" si="52"/>
        <v/>
      </c>
    </row>
    <row r="223" spans="1:37" ht="15.6" x14ac:dyDescent="0.3">
      <c r="A223" s="152">
        <v>2043</v>
      </c>
      <c r="B223" s="178"/>
      <c r="C223" s="182"/>
      <c r="D223" s="183"/>
      <c r="E223" s="179">
        <f t="shared" si="53"/>
        <v>586.63129691422171</v>
      </c>
      <c r="F223" s="183">
        <f t="shared" si="60"/>
        <v>36.39240254214485</v>
      </c>
      <c r="G223" s="247">
        <f t="shared" si="54"/>
        <v>0.49487045864826174</v>
      </c>
      <c r="H223" s="246"/>
      <c r="I223" s="417"/>
      <c r="J223" s="417"/>
      <c r="K223" s="182"/>
      <c r="L223" s="178"/>
      <c r="M223" s="182"/>
      <c r="N223" s="178"/>
      <c r="O223" s="495"/>
      <c r="P223" s="439">
        <f>IF($P$194="Y",IFERROR(E223*$F$12*'Emissions Factors'!$B40*$F$21,""),"")</f>
        <v>78.675337464597249</v>
      </c>
      <c r="Q223" s="441"/>
      <c r="R223" s="180"/>
      <c r="S223" s="180"/>
      <c r="T223" s="496"/>
      <c r="U223" s="180">
        <f t="shared" si="59"/>
        <v>78.675337464597249</v>
      </c>
      <c r="V223" s="180">
        <f t="shared" si="55"/>
        <v>0</v>
      </c>
      <c r="X223" s="430"/>
      <c r="Y223" s="478">
        <v>2043</v>
      </c>
      <c r="Z223" s="479">
        <f t="shared" si="56"/>
        <v>78.675337464597249</v>
      </c>
      <c r="AA223" s="479">
        <f t="shared" si="56"/>
        <v>0</v>
      </c>
      <c r="AB223" s="430"/>
      <c r="AC223" s="479"/>
      <c r="AD223" s="479"/>
      <c r="AE223" s="430"/>
      <c r="AF223" s="479">
        <f t="shared" si="57"/>
        <v>78.675337464597249</v>
      </c>
      <c r="AG223" s="479">
        <f t="shared" si="50"/>
        <v>0</v>
      </c>
      <c r="AH223" s="516"/>
      <c r="AJ223" s="480">
        <f t="shared" si="51"/>
        <v>0</v>
      </c>
      <c r="AK223" s="480" t="str">
        <f t="shared" si="52"/>
        <v/>
      </c>
    </row>
    <row r="224" spans="1:37" ht="15.6" x14ac:dyDescent="0.3">
      <c r="A224" s="152">
        <v>2044</v>
      </c>
      <c r="B224" s="178"/>
      <c r="C224" s="182"/>
      <c r="D224" s="183"/>
      <c r="E224" s="179">
        <f t="shared" si="53"/>
        <v>624.13495083846237</v>
      </c>
      <c r="F224" s="183">
        <f t="shared" si="60"/>
        <v>37.503653924240666</v>
      </c>
      <c r="G224" s="247">
        <f t="shared" si="54"/>
        <v>0.48967607409525948</v>
      </c>
      <c r="H224" s="246"/>
      <c r="I224" s="417"/>
      <c r="J224" s="417"/>
      <c r="K224" s="182"/>
      <c r="L224" s="178"/>
      <c r="M224" s="182"/>
      <c r="N224" s="178"/>
      <c r="O224" s="495"/>
      <c r="P224" s="439">
        <f>IF($P$194="Y",IFERROR(E224*$F$12*'Emissions Factors'!$B41*$F$21,""),"")</f>
        <v>83.232717598291586</v>
      </c>
      <c r="Q224" s="441"/>
      <c r="R224" s="180"/>
      <c r="S224" s="180"/>
      <c r="T224" s="496"/>
      <c r="U224" s="180">
        <f t="shared" si="59"/>
        <v>83.232717598291586</v>
      </c>
      <c r="V224" s="180">
        <f t="shared" si="55"/>
        <v>0</v>
      </c>
      <c r="X224" s="430"/>
      <c r="Y224" s="478">
        <v>2044</v>
      </c>
      <c r="Z224" s="479">
        <f t="shared" si="56"/>
        <v>83.232717598291586</v>
      </c>
      <c r="AA224" s="479">
        <f t="shared" si="56"/>
        <v>0</v>
      </c>
      <c r="AB224" s="430"/>
      <c r="AC224" s="479"/>
      <c r="AD224" s="479"/>
      <c r="AE224" s="430"/>
      <c r="AF224" s="479">
        <f t="shared" si="57"/>
        <v>83.232717598291586</v>
      </c>
      <c r="AG224" s="479">
        <f t="shared" si="50"/>
        <v>0</v>
      </c>
      <c r="AH224" s="516"/>
      <c r="AJ224" s="480">
        <f t="shared" si="51"/>
        <v>0</v>
      </c>
      <c r="AK224" s="480" t="str">
        <f t="shared" si="52"/>
        <v/>
      </c>
    </row>
    <row r="225" spans="1:37" ht="15.6" x14ac:dyDescent="0.3">
      <c r="A225" s="152">
        <v>2045</v>
      </c>
      <c r="B225" s="178"/>
      <c r="C225" s="182"/>
      <c r="D225" s="183"/>
      <c r="E225" s="179">
        <f t="shared" si="53"/>
        <v>662.85424981343522</v>
      </c>
      <c r="F225" s="183">
        <f t="shared" si="60"/>
        <v>38.719298974972844</v>
      </c>
      <c r="G225" s="247">
        <f t="shared" si="54"/>
        <v>0.48438807771258402</v>
      </c>
      <c r="H225" s="246"/>
      <c r="I225" s="417"/>
      <c r="J225" s="417"/>
      <c r="K225" s="182"/>
      <c r="L225" s="178"/>
      <c r="M225" s="182"/>
      <c r="N225" s="178"/>
      <c r="O225" s="495"/>
      <c r="P225" s="439">
        <f>IF($P$194="Y",IFERROR(E225*$F$12*'Emissions Factors'!$B42*$F$21,""),"")</f>
        <v>87.873042455757428</v>
      </c>
      <c r="Q225" s="441"/>
      <c r="R225" s="180"/>
      <c r="S225" s="180"/>
      <c r="T225" s="496"/>
      <c r="U225" s="180">
        <f t="shared" si="59"/>
        <v>87.873042455757428</v>
      </c>
      <c r="V225" s="180">
        <f t="shared" si="55"/>
        <v>0</v>
      </c>
      <c r="X225" s="430"/>
      <c r="Y225" s="478">
        <v>2045</v>
      </c>
      <c r="Z225" s="479">
        <f t="shared" si="56"/>
        <v>87.873042455757428</v>
      </c>
      <c r="AA225" s="479">
        <f t="shared" si="56"/>
        <v>0</v>
      </c>
      <c r="AB225" s="430"/>
      <c r="AC225" s="479"/>
      <c r="AD225" s="479"/>
      <c r="AE225" s="430"/>
      <c r="AF225" s="479">
        <f t="shared" si="57"/>
        <v>87.873042455757428</v>
      </c>
      <c r="AG225" s="479">
        <f t="shared" si="50"/>
        <v>0</v>
      </c>
      <c r="AH225" s="516"/>
      <c r="AJ225" s="480">
        <f t="shared" si="51"/>
        <v>0</v>
      </c>
      <c r="AK225" s="480" t="str">
        <f t="shared" si="52"/>
        <v/>
      </c>
    </row>
    <row r="226" spans="1:37" ht="15.6" x14ac:dyDescent="0.3">
      <c r="A226" s="152">
        <v>2046</v>
      </c>
      <c r="B226" s="178"/>
      <c r="C226" s="182"/>
      <c r="D226" s="183"/>
      <c r="E226" s="179">
        <f t="shared" si="53"/>
        <v>702.86153855267776</v>
      </c>
      <c r="F226" s="183">
        <f t="shared" si="60"/>
        <v>40.00728873924254</v>
      </c>
      <c r="G226" s="247">
        <f t="shared" si="54"/>
        <v>0.47902387827036136</v>
      </c>
      <c r="H226" s="246"/>
      <c r="I226" s="417"/>
      <c r="J226" s="417"/>
      <c r="K226" s="182"/>
      <c r="L226" s="178"/>
      <c r="M226" s="182"/>
      <c r="N226" s="178"/>
      <c r="O226" s="495"/>
      <c r="P226" s="439">
        <f>IF($P$194="Y",IFERROR(E226*$F$12*'Emissions Factors'!$B43*$F$21,""),"")</f>
        <v>92.656099796319964</v>
      </c>
      <c r="Q226" s="441"/>
      <c r="R226" s="180"/>
      <c r="S226" s="180"/>
      <c r="T226" s="496"/>
      <c r="U226" s="180">
        <f t="shared" si="59"/>
        <v>92.656099796319964</v>
      </c>
      <c r="V226" s="180">
        <f t="shared" si="55"/>
        <v>0</v>
      </c>
      <c r="X226" s="430"/>
      <c r="Y226" s="478">
        <v>2046</v>
      </c>
      <c r="Z226" s="479">
        <f t="shared" si="56"/>
        <v>92.656099796319964</v>
      </c>
      <c r="AA226" s="479">
        <f t="shared" si="56"/>
        <v>0</v>
      </c>
      <c r="AB226" s="430"/>
      <c r="AC226" s="479"/>
      <c r="AD226" s="479"/>
      <c r="AE226" s="430"/>
      <c r="AF226" s="479">
        <f t="shared" si="57"/>
        <v>92.656099796319964</v>
      </c>
      <c r="AG226" s="479">
        <f t="shared" si="50"/>
        <v>0</v>
      </c>
      <c r="AH226" s="516"/>
      <c r="AJ226" s="480">
        <f t="shared" si="51"/>
        <v>0</v>
      </c>
      <c r="AK226" s="480" t="str">
        <f t="shared" si="52"/>
        <v/>
      </c>
    </row>
    <row r="227" spans="1:37" ht="15.6" x14ac:dyDescent="0.3">
      <c r="A227" s="152">
        <v>2047</v>
      </c>
      <c r="B227" s="178"/>
      <c r="C227" s="182"/>
      <c r="D227" s="183"/>
      <c r="E227" s="179">
        <f t="shared" si="53"/>
        <v>744.22123572078272</v>
      </c>
      <c r="F227" s="183">
        <f t="shared" si="60"/>
        <v>41.359697168104958</v>
      </c>
      <c r="G227" s="247">
        <f t="shared" si="54"/>
        <v>0.47360235272644691</v>
      </c>
      <c r="H227" s="246"/>
      <c r="I227" s="417"/>
      <c r="J227" s="417"/>
      <c r="K227" s="182"/>
      <c r="L227" s="178"/>
      <c r="M227" s="182"/>
      <c r="N227" s="178"/>
      <c r="O227" s="495"/>
      <c r="P227" s="439">
        <f>IF($P$194="Y",IFERROR(E227*$F$12*'Emissions Factors'!$B44*$F$21,""),"")</f>
        <v>97.531936704460861</v>
      </c>
      <c r="Q227" s="441"/>
      <c r="R227" s="180"/>
      <c r="S227" s="180"/>
      <c r="T227" s="496"/>
      <c r="U227" s="180">
        <f t="shared" si="59"/>
        <v>97.531936704460861</v>
      </c>
      <c r="V227" s="180">
        <f t="shared" si="55"/>
        <v>0</v>
      </c>
      <c r="X227" s="430"/>
      <c r="Y227" s="478">
        <v>2047</v>
      </c>
      <c r="Z227" s="479">
        <f t="shared" si="56"/>
        <v>97.531936704460861</v>
      </c>
      <c r="AA227" s="479">
        <f t="shared" si="56"/>
        <v>0</v>
      </c>
      <c r="AB227" s="430"/>
      <c r="AC227" s="479"/>
      <c r="AD227" s="479"/>
      <c r="AE227" s="430"/>
      <c r="AF227" s="479">
        <f t="shared" si="57"/>
        <v>97.531936704460861</v>
      </c>
      <c r="AG227" s="479">
        <f t="shared" si="50"/>
        <v>0</v>
      </c>
      <c r="AH227" s="516"/>
      <c r="AJ227" s="480">
        <f t="shared" si="51"/>
        <v>0</v>
      </c>
      <c r="AK227" s="480" t="str">
        <f t="shared" si="52"/>
        <v/>
      </c>
    </row>
    <row r="228" spans="1:37" ht="15.6" x14ac:dyDescent="0.3">
      <c r="A228" s="152">
        <v>2048</v>
      </c>
      <c r="B228" s="178"/>
      <c r="C228" s="182"/>
      <c r="D228" s="183"/>
      <c r="E228" s="179">
        <f t="shared" si="53"/>
        <v>787.02063548883268</v>
      </c>
      <c r="F228" s="183">
        <f t="shared" si="60"/>
        <v>42.799399768049966</v>
      </c>
      <c r="G228" s="247">
        <f t="shared" si="54"/>
        <v>0.46812977711250409</v>
      </c>
      <c r="H228" s="246"/>
      <c r="I228" s="417"/>
      <c r="J228" s="417"/>
      <c r="K228" s="182"/>
      <c r="L228" s="178"/>
      <c r="M228" s="182"/>
      <c r="N228" s="178"/>
      <c r="O228" s="495"/>
      <c r="P228" s="439">
        <f>IF($P$194="Y",IFERROR(E228*$F$12*'Emissions Factors'!$B45*$F$21,""),"")</f>
        <v>102.52543316102212</v>
      </c>
      <c r="Q228" s="441"/>
      <c r="R228" s="180"/>
      <c r="S228" s="180"/>
      <c r="T228" s="496"/>
      <c r="U228" s="180">
        <f t="shared" si="59"/>
        <v>102.52543316102212</v>
      </c>
      <c r="V228" s="180">
        <f t="shared" si="55"/>
        <v>0</v>
      </c>
      <c r="X228" s="430"/>
      <c r="Y228" s="478">
        <v>2048</v>
      </c>
      <c r="Z228" s="479">
        <f t="shared" si="56"/>
        <v>102.52543316102212</v>
      </c>
      <c r="AA228" s="479">
        <f t="shared" si="56"/>
        <v>0</v>
      </c>
      <c r="AB228" s="430"/>
      <c r="AC228" s="479"/>
      <c r="AD228" s="479"/>
      <c r="AE228" s="430"/>
      <c r="AF228" s="479">
        <f t="shared" si="57"/>
        <v>102.52543316102212</v>
      </c>
      <c r="AG228" s="479">
        <f t="shared" si="50"/>
        <v>0</v>
      </c>
      <c r="AH228" s="516"/>
      <c r="AJ228" s="480">
        <f t="shared" si="51"/>
        <v>0</v>
      </c>
      <c r="AK228" s="480" t="str">
        <f t="shared" si="52"/>
        <v/>
      </c>
    </row>
    <row r="229" spans="1:37" ht="15.6" x14ac:dyDescent="0.3">
      <c r="A229" s="152">
        <v>2049</v>
      </c>
      <c r="B229" s="178"/>
      <c r="C229" s="182"/>
      <c r="D229" s="183"/>
      <c r="E229" s="179">
        <f t="shared" si="53"/>
        <v>831.3502860647443</v>
      </c>
      <c r="F229" s="183">
        <f t="shared" si="60"/>
        <v>44.329650575911614</v>
      </c>
      <c r="G229" s="247">
        <f t="shared" si="54"/>
        <v>0.46261309348945712</v>
      </c>
      <c r="H229" s="246"/>
      <c r="I229" s="417"/>
      <c r="J229" s="417"/>
      <c r="K229" s="182"/>
      <c r="L229" s="178"/>
      <c r="M229" s="182"/>
      <c r="N229" s="178"/>
      <c r="O229" s="495"/>
      <c r="P229" s="439">
        <f>IF($P$194="Y",IFERROR(E229*$F$12*'Emissions Factors'!$B46*$F$21,""),"")</f>
        <v>107.74205292095367</v>
      </c>
      <c r="Q229" s="441"/>
      <c r="R229" s="180"/>
      <c r="S229" s="180"/>
      <c r="T229" s="496"/>
      <c r="U229" s="180">
        <f t="shared" si="59"/>
        <v>107.74205292095367</v>
      </c>
      <c r="V229" s="180">
        <f t="shared" si="55"/>
        <v>0</v>
      </c>
      <c r="X229" s="430"/>
      <c r="Y229" s="478">
        <v>2049</v>
      </c>
      <c r="Z229" s="479">
        <f t="shared" si="56"/>
        <v>107.74205292095367</v>
      </c>
      <c r="AA229" s="479">
        <f t="shared" si="56"/>
        <v>0</v>
      </c>
      <c r="AB229" s="430"/>
      <c r="AC229" s="479"/>
      <c r="AD229" s="479"/>
      <c r="AE229" s="430"/>
      <c r="AF229" s="479">
        <f t="shared" si="57"/>
        <v>107.74205292095367</v>
      </c>
      <c r="AG229" s="479">
        <f t="shared" si="50"/>
        <v>0</v>
      </c>
      <c r="AH229" s="516"/>
      <c r="AJ229" s="480">
        <f t="shared" si="51"/>
        <v>0</v>
      </c>
      <c r="AK229" s="480" t="str">
        <f t="shared" si="52"/>
        <v/>
      </c>
    </row>
    <row r="230" spans="1:37" ht="15.6" x14ac:dyDescent="0.3">
      <c r="A230" s="152">
        <v>2050</v>
      </c>
      <c r="B230" s="178"/>
      <c r="C230" s="182"/>
      <c r="D230" s="183"/>
      <c r="E230" s="179">
        <f t="shared" si="53"/>
        <v>877.75047197837591</v>
      </c>
      <c r="F230" s="183">
        <f t="shared" si="60"/>
        <v>46.400185913631617</v>
      </c>
      <c r="G230" s="247">
        <f t="shared" si="54"/>
        <v>0.45713666684260756</v>
      </c>
      <c r="H230" s="246"/>
      <c r="I230" s="417"/>
      <c r="J230" s="417"/>
      <c r="K230" s="182"/>
      <c r="L230" s="178"/>
      <c r="M230" s="182"/>
      <c r="N230" s="178"/>
      <c r="O230" s="495"/>
      <c r="P230" s="439">
        <f>IF($P$194="Y",IFERROR(E230*$F$12*'Emissions Factors'!$B47*$F$21,""),"")</f>
        <v>113.36426788975186</v>
      </c>
      <c r="Q230" s="441"/>
      <c r="R230" s="180"/>
      <c r="S230" s="180"/>
      <c r="T230" s="496"/>
      <c r="U230" s="180">
        <f t="shared" si="59"/>
        <v>113.36426788975186</v>
      </c>
      <c r="V230" s="180">
        <f t="shared" si="55"/>
        <v>0</v>
      </c>
      <c r="X230" s="430"/>
      <c r="Y230" s="478">
        <v>2050</v>
      </c>
      <c r="Z230" s="479">
        <f t="shared" si="56"/>
        <v>113.36426788975186</v>
      </c>
      <c r="AA230" s="479">
        <f t="shared" si="56"/>
        <v>0</v>
      </c>
      <c r="AB230" s="430"/>
      <c r="AC230" s="479"/>
      <c r="AD230" s="479"/>
      <c r="AE230" s="430"/>
      <c r="AF230" s="479">
        <f t="shared" si="57"/>
        <v>113.36426788975186</v>
      </c>
      <c r="AG230" s="479">
        <f t="shared" si="50"/>
        <v>0</v>
      </c>
      <c r="AH230" s="516"/>
      <c r="AJ230" s="480">
        <f t="shared" si="51"/>
        <v>0</v>
      </c>
      <c r="AK230" s="480" t="str">
        <f t="shared" si="52"/>
        <v/>
      </c>
    </row>
    <row r="231" spans="1:37" ht="15.6" x14ac:dyDescent="0.3">
      <c r="A231" s="152">
        <v>2051</v>
      </c>
      <c r="B231" s="178"/>
      <c r="C231" s="182"/>
      <c r="D231" s="183"/>
      <c r="E231" s="179">
        <f t="shared" si="53"/>
        <v>924.91014463825945</v>
      </c>
      <c r="F231" s="183">
        <f t="shared" si="60"/>
        <v>47.15967265988354</v>
      </c>
      <c r="G231" s="247">
        <f t="shared" si="54"/>
        <v>0.45150566089071315</v>
      </c>
      <c r="H231" s="246"/>
      <c r="I231" s="417"/>
      <c r="J231" s="417"/>
      <c r="K231" s="182"/>
      <c r="L231" s="178"/>
      <c r="M231" s="182"/>
      <c r="N231" s="178"/>
      <c r="O231" s="495"/>
      <c r="P231" s="439">
        <f>IF($P$194="Y",IFERROR(E231*$F$12*'Emissions Factors'!$B48*$F$21,""),"")</f>
        <v>118.99852492327796</v>
      </c>
      <c r="Q231" s="441"/>
      <c r="R231" s="180"/>
      <c r="S231" s="180"/>
      <c r="T231" s="496"/>
      <c r="U231" s="180">
        <f t="shared" si="59"/>
        <v>118.99852492327796</v>
      </c>
      <c r="V231" s="180">
        <f t="shared" si="55"/>
        <v>0</v>
      </c>
      <c r="Y231" s="478">
        <v>2051</v>
      </c>
      <c r="Z231" s="479">
        <f t="shared" si="56"/>
        <v>118.99852492327796</v>
      </c>
      <c r="AA231" s="479">
        <f t="shared" si="56"/>
        <v>0</v>
      </c>
      <c r="AB231" s="430"/>
      <c r="AC231" s="479"/>
      <c r="AD231" s="479"/>
      <c r="AE231" s="430"/>
      <c r="AF231" s="479">
        <f t="shared" si="57"/>
        <v>118.99852492327796</v>
      </c>
      <c r="AG231" s="479">
        <f t="shared" si="50"/>
        <v>0</v>
      </c>
      <c r="AH231" s="516"/>
      <c r="AJ231" s="480">
        <f t="shared" si="51"/>
        <v>0</v>
      </c>
      <c r="AK231" s="480" t="str">
        <f t="shared" si="52"/>
        <v/>
      </c>
    </row>
    <row r="232" spans="1:37" ht="15.6" x14ac:dyDescent="0.3">
      <c r="A232" s="152">
        <v>2052</v>
      </c>
      <c r="B232" s="178"/>
      <c r="C232" s="182"/>
      <c r="D232" s="183"/>
      <c r="E232" s="179">
        <f t="shared" si="53"/>
        <v>974.25996687600923</v>
      </c>
      <c r="F232" s="183">
        <f t="shared" si="60"/>
        <v>49.349822237749777</v>
      </c>
      <c r="G232" s="247">
        <f t="shared" si="54"/>
        <v>0.44595766995879499</v>
      </c>
      <c r="H232" s="246"/>
      <c r="I232" s="417"/>
      <c r="J232" s="417"/>
      <c r="K232" s="182"/>
      <c r="L232" s="178"/>
      <c r="M232" s="182"/>
      <c r="N232" s="178"/>
      <c r="O232" s="495"/>
      <c r="P232" s="439">
        <f>IF($P$194="Y",IFERROR(E232*$F$12*'Emissions Factors'!$B49*$F$21,""),"")</f>
        <v>124.88498835732712</v>
      </c>
      <c r="Q232" s="441"/>
      <c r="R232" s="180"/>
      <c r="S232" s="180"/>
      <c r="T232" s="496"/>
      <c r="U232" s="180">
        <f t="shared" si="59"/>
        <v>124.88498835732712</v>
      </c>
      <c r="V232" s="180">
        <f t="shared" si="55"/>
        <v>0</v>
      </c>
      <c r="Y232" s="478">
        <v>2052</v>
      </c>
      <c r="Z232" s="479">
        <f t="shared" si="56"/>
        <v>124.88498835732712</v>
      </c>
      <c r="AA232" s="479">
        <f t="shared" si="56"/>
        <v>0</v>
      </c>
      <c r="AB232" s="430"/>
      <c r="AC232" s="479"/>
      <c r="AD232" s="479"/>
      <c r="AE232" s="430"/>
      <c r="AF232" s="479">
        <f t="shared" si="57"/>
        <v>124.88498835732712</v>
      </c>
      <c r="AG232" s="479">
        <f t="shared" si="50"/>
        <v>0</v>
      </c>
      <c r="AH232" s="516"/>
      <c r="AJ232" s="480">
        <f t="shared" si="51"/>
        <v>0</v>
      </c>
      <c r="AK232" s="480" t="str">
        <f t="shared" si="52"/>
        <v/>
      </c>
    </row>
    <row r="233" spans="1:37" ht="15.6" x14ac:dyDescent="0.3">
      <c r="A233" s="152">
        <v>2053</v>
      </c>
      <c r="B233" s="178"/>
      <c r="C233" s="182"/>
      <c r="D233" s="183"/>
      <c r="E233" s="179">
        <f t="shared" si="53"/>
        <v>1025.3926723564857</v>
      </c>
      <c r="F233" s="183">
        <f t="shared" si="60"/>
        <v>51.132705480476488</v>
      </c>
      <c r="G233" s="247">
        <f t="shared" si="54"/>
        <v>0.44044708651548631</v>
      </c>
      <c r="H233" s="246"/>
      <c r="I233" s="417"/>
      <c r="J233" s="417"/>
      <c r="K233" s="182"/>
      <c r="L233" s="178"/>
      <c r="M233" s="182"/>
      <c r="N233" s="178"/>
      <c r="O233" s="495"/>
      <c r="P233" s="439">
        <f>IF($P$194="Y",IFERROR(E233*$F$12*'Emissions Factors'!$B50*$F$21,""),"")</f>
        <v>130.94204277195286</v>
      </c>
      <c r="Q233" s="441"/>
      <c r="R233" s="180"/>
      <c r="S233" s="180"/>
      <c r="T233" s="496"/>
      <c r="U233" s="180">
        <f t="shared" si="59"/>
        <v>130.94204277195286</v>
      </c>
      <c r="V233" s="180">
        <f t="shared" si="55"/>
        <v>0</v>
      </c>
      <c r="Y233" s="478">
        <v>2053</v>
      </c>
      <c r="Z233" s="479">
        <f t="shared" si="56"/>
        <v>130.94204277195286</v>
      </c>
      <c r="AA233" s="479">
        <f t="shared" si="56"/>
        <v>0</v>
      </c>
      <c r="AB233" s="430"/>
      <c r="AC233" s="479"/>
      <c r="AD233" s="479"/>
      <c r="AE233" s="430"/>
      <c r="AF233" s="479">
        <f t="shared" si="57"/>
        <v>130.94204277195286</v>
      </c>
      <c r="AG233" s="479">
        <f t="shared" si="50"/>
        <v>0</v>
      </c>
      <c r="AH233" s="516"/>
      <c r="AJ233" s="480">
        <f t="shared" si="51"/>
        <v>0</v>
      </c>
      <c r="AK233" s="480" t="str">
        <f t="shared" si="52"/>
        <v/>
      </c>
    </row>
    <row r="234" spans="1:37" ht="15.6" x14ac:dyDescent="0.3">
      <c r="A234" s="152">
        <v>2054</v>
      </c>
      <c r="B234" s="178"/>
      <c r="C234" s="182"/>
      <c r="D234" s="183"/>
      <c r="E234" s="179">
        <f t="shared" si="53"/>
        <v>1078.3496414388926</v>
      </c>
      <c r="F234" s="183">
        <f t="shared" si="60"/>
        <v>52.956969082406886</v>
      </c>
      <c r="G234" s="247">
        <f t="shared" si="54"/>
        <v>0.43499842771007957</v>
      </c>
      <c r="H234" s="246"/>
      <c r="I234" s="417"/>
      <c r="J234" s="417"/>
      <c r="K234" s="182"/>
      <c r="L234" s="178"/>
      <c r="M234" s="182"/>
      <c r="N234" s="178"/>
      <c r="O234" s="495"/>
      <c r="P234" s="439">
        <f>IF($P$194="Y",IFERROR(E234*$F$12*'Emissions Factors'!$B51*$F$21,""),"")</f>
        <v>137.17029010227134</v>
      </c>
      <c r="Q234" s="441"/>
      <c r="R234" s="180"/>
      <c r="S234" s="180"/>
      <c r="T234" s="496"/>
      <c r="U234" s="180">
        <f t="shared" si="59"/>
        <v>137.17029010227134</v>
      </c>
      <c r="V234" s="180">
        <f t="shared" si="55"/>
        <v>0</v>
      </c>
      <c r="Y234" s="478">
        <v>2054</v>
      </c>
      <c r="Z234" s="479">
        <f t="shared" si="56"/>
        <v>137.17029010227134</v>
      </c>
      <c r="AA234" s="479">
        <f t="shared" si="56"/>
        <v>0</v>
      </c>
      <c r="AB234" s="430"/>
      <c r="AC234" s="479"/>
      <c r="AD234" s="479"/>
      <c r="AE234" s="430"/>
      <c r="AF234" s="479">
        <f t="shared" si="57"/>
        <v>137.17029010227134</v>
      </c>
      <c r="AG234" s="479">
        <f t="shared" si="50"/>
        <v>0</v>
      </c>
      <c r="AH234" s="516"/>
      <c r="AJ234" s="480">
        <f t="shared" si="51"/>
        <v>0</v>
      </c>
      <c r="AK234" s="480" t="str">
        <f t="shared" si="52"/>
        <v/>
      </c>
    </row>
    <row r="235" spans="1:37" ht="15.6" x14ac:dyDescent="0.3">
      <c r="A235" s="152">
        <v>2055</v>
      </c>
      <c r="B235" s="178"/>
      <c r="C235" s="182"/>
      <c r="D235" s="183"/>
      <c r="E235" s="179">
        <f t="shared" si="53"/>
        <v>1133.1669995972418</v>
      </c>
      <c r="F235" s="183">
        <f t="shared" si="60"/>
        <v>54.81735815834918</v>
      </c>
      <c r="G235" s="247">
        <f t="shared" si="54"/>
        <v>0.42963043938867612</v>
      </c>
      <c r="H235" s="246"/>
      <c r="I235" s="417"/>
      <c r="J235" s="417"/>
      <c r="K235" s="182"/>
      <c r="L235" s="178"/>
      <c r="M235" s="182"/>
      <c r="N235" s="178"/>
      <c r="O235" s="495"/>
      <c r="P235" s="439">
        <f>IF($P$194="Y",IFERROR(E235*$F$12*'Emissions Factors'!$B52*$F$21,""),"")</f>
        <v>143.55744413829652</v>
      </c>
      <c r="Q235" s="441"/>
      <c r="R235" s="180"/>
      <c r="S235" s="180"/>
      <c r="T235" s="496"/>
      <c r="U235" s="180">
        <f t="shared" si="59"/>
        <v>143.55744413829652</v>
      </c>
      <c r="V235" s="180">
        <f t="shared" si="55"/>
        <v>0</v>
      </c>
      <c r="Y235" s="478">
        <v>2055</v>
      </c>
      <c r="Z235" s="479">
        <f t="shared" si="56"/>
        <v>143.55744413829652</v>
      </c>
      <c r="AA235" s="479">
        <f t="shared" si="56"/>
        <v>0</v>
      </c>
      <c r="AB235" s="430"/>
      <c r="AC235" s="479"/>
      <c r="AD235" s="479"/>
      <c r="AE235" s="430"/>
      <c r="AF235" s="479">
        <f t="shared" si="57"/>
        <v>143.55744413829652</v>
      </c>
      <c r="AG235" s="479">
        <f t="shared" si="50"/>
        <v>0</v>
      </c>
      <c r="AH235" s="516"/>
      <c r="AJ235" s="480">
        <f t="shared" si="51"/>
        <v>0</v>
      </c>
      <c r="AK235" s="480" t="str">
        <f t="shared" si="52"/>
        <v/>
      </c>
    </row>
    <row r="236" spans="1:37" ht="15.6" x14ac:dyDescent="0.3">
      <c r="A236" s="152">
        <v>2056</v>
      </c>
      <c r="B236" s="178"/>
      <c r="C236" s="182"/>
      <c r="D236" s="183"/>
      <c r="E236" s="179">
        <f t="shared" si="53"/>
        <v>1189.885048987851</v>
      </c>
      <c r="F236" s="183">
        <f t="shared" si="60"/>
        <v>56.718049390609167</v>
      </c>
      <c r="G236" s="247">
        <f t="shared" si="54"/>
        <v>0.42434984117506286</v>
      </c>
      <c r="H236" s="246"/>
      <c r="I236" s="417"/>
      <c r="J236" s="417"/>
      <c r="K236" s="182"/>
      <c r="L236" s="178"/>
      <c r="M236" s="182"/>
      <c r="N236" s="178"/>
      <c r="O236" s="495"/>
      <c r="P236" s="439">
        <f>IF($P$194="Y",IFERROR(E236*$F$12*'Emissions Factors'!$B53*$F$21,""),"")</f>
        <v>150.13929915243574</v>
      </c>
      <c r="Q236" s="441"/>
      <c r="R236" s="180"/>
      <c r="S236" s="180"/>
      <c r="T236" s="496"/>
      <c r="U236" s="180">
        <f t="shared" si="59"/>
        <v>150.13929915243574</v>
      </c>
      <c r="V236" s="180">
        <f t="shared" si="55"/>
        <v>0</v>
      </c>
      <c r="Y236" s="478">
        <v>2056</v>
      </c>
      <c r="Z236" s="479">
        <f t="shared" si="56"/>
        <v>150.13929915243574</v>
      </c>
      <c r="AA236" s="479">
        <f t="shared" si="56"/>
        <v>0</v>
      </c>
      <c r="AB236" s="430"/>
      <c r="AC236" s="479"/>
      <c r="AD236" s="479"/>
      <c r="AE236" s="430"/>
      <c r="AF236" s="479">
        <f t="shared" si="57"/>
        <v>150.13929915243574</v>
      </c>
      <c r="AG236" s="479">
        <f t="shared" si="50"/>
        <v>0</v>
      </c>
      <c r="AH236" s="516"/>
      <c r="AJ236" s="480">
        <f t="shared" si="51"/>
        <v>0</v>
      </c>
      <c r="AK236" s="480" t="str">
        <f t="shared" si="52"/>
        <v/>
      </c>
    </row>
    <row r="237" spans="1:37" ht="15.6" x14ac:dyDescent="0.3">
      <c r="A237" s="152">
        <v>2057</v>
      </c>
      <c r="B237" s="178"/>
      <c r="C237" s="182"/>
      <c r="D237" s="183"/>
      <c r="E237" s="179">
        <f t="shared" si="53"/>
        <v>1248.5319527347272</v>
      </c>
      <c r="F237" s="183">
        <f t="shared" si="60"/>
        <v>58.646903746876205</v>
      </c>
      <c r="G237" s="247">
        <f t="shared" si="54"/>
        <v>0.41916385337740442</v>
      </c>
      <c r="H237" s="246"/>
      <c r="I237" s="417"/>
      <c r="J237" s="417"/>
      <c r="K237" s="182"/>
      <c r="L237" s="178"/>
      <c r="M237" s="182"/>
      <c r="N237" s="178"/>
      <c r="O237" s="495"/>
      <c r="P237" s="439">
        <f>IF($P$194="Y",IFERROR(E237*$F$12*'Emissions Factors'!$B54*$F$21,""),"")</f>
        <v>156.87811903233512</v>
      </c>
      <c r="Q237" s="441"/>
      <c r="R237" s="180"/>
      <c r="S237" s="180"/>
      <c r="T237" s="496"/>
      <c r="U237" s="180">
        <f t="shared" si="59"/>
        <v>156.87811903233512</v>
      </c>
      <c r="V237" s="180">
        <f t="shared" si="55"/>
        <v>0</v>
      </c>
      <c r="Y237" s="478">
        <v>2057</v>
      </c>
      <c r="Z237" s="479">
        <f t="shared" si="56"/>
        <v>156.87811903233512</v>
      </c>
      <c r="AA237" s="479">
        <f t="shared" si="56"/>
        <v>0</v>
      </c>
      <c r="AB237" s="430"/>
      <c r="AC237" s="479"/>
      <c r="AD237" s="479"/>
      <c r="AE237" s="430"/>
      <c r="AF237" s="479">
        <f t="shared" si="57"/>
        <v>156.87811903233512</v>
      </c>
      <c r="AG237" s="479">
        <f t="shared" si="50"/>
        <v>0</v>
      </c>
      <c r="AH237" s="516"/>
      <c r="AJ237" s="480">
        <f t="shared" si="51"/>
        <v>0</v>
      </c>
      <c r="AK237" s="480" t="str">
        <f t="shared" si="52"/>
        <v/>
      </c>
    </row>
    <row r="238" spans="1:37" ht="15.6" x14ac:dyDescent="0.3">
      <c r="A238" s="152">
        <v>2058</v>
      </c>
      <c r="B238" s="178"/>
      <c r="C238" s="182"/>
      <c r="D238" s="183"/>
      <c r="E238" s="179">
        <f t="shared" si="53"/>
        <v>1309.1037602454815</v>
      </c>
      <c r="F238" s="183">
        <f t="shared" si="60"/>
        <v>60.571807510754297</v>
      </c>
      <c r="G238" s="247">
        <f t="shared" si="54"/>
        <v>0.41408594718358566</v>
      </c>
      <c r="H238" s="246"/>
      <c r="I238" s="417"/>
      <c r="J238" s="417"/>
      <c r="K238" s="182"/>
      <c r="L238" s="178"/>
      <c r="M238" s="182"/>
      <c r="N238" s="178"/>
      <c r="O238" s="495"/>
      <c r="P238" s="439">
        <f>IF($P$194="Y",IFERROR(E238*$F$12*'Emissions Factors'!$B55*$F$21,""),"")</f>
        <v>163.77970842131094</v>
      </c>
      <c r="Q238" s="441"/>
      <c r="R238" s="180"/>
      <c r="S238" s="180"/>
      <c r="T238" s="496"/>
      <c r="U238" s="180">
        <f t="shared" si="59"/>
        <v>163.77970842131094</v>
      </c>
      <c r="V238" s="180">
        <f t="shared" si="55"/>
        <v>0</v>
      </c>
      <c r="Y238" s="478">
        <v>2058</v>
      </c>
      <c r="Z238" s="479">
        <f t="shared" si="56"/>
        <v>163.77970842131094</v>
      </c>
      <c r="AA238" s="479">
        <f t="shared" si="56"/>
        <v>0</v>
      </c>
      <c r="AB238" s="430"/>
      <c r="AC238" s="479"/>
      <c r="AD238" s="479"/>
      <c r="AE238" s="430"/>
      <c r="AF238" s="479">
        <f t="shared" si="57"/>
        <v>163.77970842131094</v>
      </c>
      <c r="AG238" s="479">
        <f t="shared" si="50"/>
        <v>0</v>
      </c>
      <c r="AH238" s="516"/>
      <c r="AJ238" s="480">
        <f t="shared" si="51"/>
        <v>0</v>
      </c>
      <c r="AK238" s="480" t="str">
        <f t="shared" si="52"/>
        <v/>
      </c>
    </row>
    <row r="239" spans="1:37" ht="15.6" x14ac:dyDescent="0.3">
      <c r="A239" s="152">
        <v>2059</v>
      </c>
      <c r="B239" s="178"/>
      <c r="C239" s="182"/>
      <c r="D239" s="183"/>
      <c r="E239" s="179">
        <f t="shared" si="53"/>
        <v>1371.5800504491813</v>
      </c>
      <c r="F239" s="183">
        <f t="shared" si="60"/>
        <v>62.476290203699818</v>
      </c>
      <c r="G239" s="247">
        <f t="shared" si="54"/>
        <v>0.40912864271840865</v>
      </c>
      <c r="H239" s="246"/>
      <c r="I239" s="417"/>
      <c r="J239" s="417"/>
      <c r="K239" s="182"/>
      <c r="L239" s="178"/>
      <c r="M239" s="182"/>
      <c r="N239" s="178"/>
      <c r="O239" s="495"/>
      <c r="P239" s="439">
        <f>IF($P$194="Y",IFERROR(E239*$F$12*'Emissions Factors'!$B56*$F$21,""),"")</f>
        <v>170.83567367805352</v>
      </c>
      <c r="Q239" s="441"/>
      <c r="R239" s="180"/>
      <c r="S239" s="180"/>
      <c r="T239" s="496"/>
      <c r="U239" s="180">
        <f t="shared" si="59"/>
        <v>170.83567367805352</v>
      </c>
      <c r="V239" s="180">
        <f t="shared" si="55"/>
        <v>0</v>
      </c>
      <c r="Y239" s="478">
        <v>2059</v>
      </c>
      <c r="Z239" s="479">
        <f t="shared" si="56"/>
        <v>170.83567367805352</v>
      </c>
      <c r="AA239" s="479">
        <f t="shared" si="56"/>
        <v>0</v>
      </c>
      <c r="AB239" s="430"/>
      <c r="AC239" s="479"/>
      <c r="AD239" s="479"/>
      <c r="AE239" s="430"/>
      <c r="AF239" s="479">
        <f t="shared" si="57"/>
        <v>170.83567367805352</v>
      </c>
      <c r="AG239" s="479">
        <f t="shared" si="50"/>
        <v>0</v>
      </c>
      <c r="AH239" s="516"/>
      <c r="AJ239" s="480">
        <f t="shared" si="51"/>
        <v>0</v>
      </c>
      <c r="AK239" s="480" t="str">
        <f t="shared" si="52"/>
        <v/>
      </c>
    </row>
    <row r="240" spans="1:37" ht="15.6" x14ac:dyDescent="0.3">
      <c r="A240" s="152">
        <v>2060</v>
      </c>
      <c r="B240" s="178"/>
      <c r="C240" s="182"/>
      <c r="D240" s="183"/>
      <c r="E240" s="179">
        <f t="shared" si="53"/>
        <v>1435.7789051245084</v>
      </c>
      <c r="F240" s="183">
        <f t="shared" si="60"/>
        <v>64.198854675327084</v>
      </c>
      <c r="G240" s="247">
        <f t="shared" si="54"/>
        <v>0.40428160605162095</v>
      </c>
      <c r="H240" s="246"/>
      <c r="I240" s="417"/>
      <c r="J240" s="417"/>
      <c r="K240" s="182"/>
      <c r="L240" s="178"/>
      <c r="M240" s="182"/>
      <c r="N240" s="178"/>
      <c r="O240" s="495"/>
      <c r="P240" s="439">
        <f>IF($P$194="Y",IFERROR(E240*$F$12*'Emissions Factors'!$B57*$F$21,""),"")</f>
        <v>178.07702326267017</v>
      </c>
      <c r="Q240" s="441"/>
      <c r="R240" s="180"/>
      <c r="S240" s="180"/>
      <c r="T240" s="496"/>
      <c r="U240" s="180">
        <f t="shared" si="59"/>
        <v>178.07702326267017</v>
      </c>
      <c r="V240" s="180">
        <f t="shared" si="55"/>
        <v>0</v>
      </c>
      <c r="Y240" s="478">
        <v>2060</v>
      </c>
      <c r="Z240" s="479">
        <f t="shared" si="56"/>
        <v>178.07702326267017</v>
      </c>
      <c r="AA240" s="479">
        <f t="shared" si="56"/>
        <v>0</v>
      </c>
      <c r="AB240" s="430"/>
      <c r="AC240" s="479"/>
      <c r="AD240" s="479"/>
      <c r="AE240" s="430"/>
      <c r="AF240" s="479">
        <f t="shared" si="57"/>
        <v>178.07702326267017</v>
      </c>
      <c r="AG240" s="479">
        <f t="shared" si="50"/>
        <v>0</v>
      </c>
      <c r="AH240" s="516"/>
      <c r="AJ240" s="480">
        <f t="shared" si="51"/>
        <v>0</v>
      </c>
      <c r="AK240" s="480" t="str">
        <f t="shared" si="52"/>
        <v/>
      </c>
    </row>
    <row r="241" spans="1:10" x14ac:dyDescent="0.25">
      <c r="A241" s="13"/>
      <c r="B241" s="13"/>
      <c r="C241" s="13"/>
      <c r="D241" s="13"/>
      <c r="E241" s="13"/>
      <c r="F241" s="13"/>
      <c r="G241" s="13"/>
      <c r="H241" s="13"/>
      <c r="I241" s="13"/>
      <c r="J241" s="13"/>
    </row>
    <row r="244" spans="1:10" ht="13.95" customHeight="1" x14ac:dyDescent="0.25"/>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x14ac:dyDescent="0.25">
      <c r="L280" s="170"/>
      <c r="M280" s="170"/>
      <c r="S280" s="170"/>
    </row>
    <row r="281" spans="12:19" x14ac:dyDescent="0.25">
      <c r="L281" s="170"/>
      <c r="M281" s="170"/>
      <c r="S281" s="170"/>
    </row>
    <row r="282" spans="12:19" ht="13.8" thickBot="1" x14ac:dyDescent="0.3">
      <c r="L282" s="209"/>
      <c r="M282" s="209"/>
      <c r="S282" s="209"/>
    </row>
    <row r="293" spans="1:13" x14ac:dyDescent="0.25">
      <c r="A293" s="13"/>
      <c r="B293" s="13"/>
      <c r="C293" s="13"/>
      <c r="D293" s="13"/>
      <c r="E293" s="13"/>
      <c r="F293" s="13"/>
      <c r="G293" s="13"/>
      <c r="H293" s="13"/>
      <c r="I293" s="13"/>
      <c r="J293" s="13"/>
      <c r="K293" s="13"/>
    </row>
    <row r="302" spans="1:13" ht="13.8" thickBot="1" x14ac:dyDescent="0.3"/>
    <row r="303" spans="1:13" x14ac:dyDescent="0.25">
      <c r="L303" s="202"/>
      <c r="M303" s="202"/>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row>
    <row r="311" spans="12:29" x14ac:dyDescent="0.25">
      <c r="L311" s="170"/>
      <c r="M311" s="170"/>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x14ac:dyDescent="0.25">
      <c r="L331" s="170"/>
      <c r="M331" s="170"/>
      <c r="AC331" s="251"/>
    </row>
    <row r="332" spans="12:29" x14ac:dyDescent="0.25">
      <c r="L332" s="170"/>
      <c r="M332" s="170"/>
      <c r="AC332" s="251"/>
    </row>
    <row r="333" spans="12:29" ht="13.8" thickBot="1" x14ac:dyDescent="0.3">
      <c r="L333" s="209"/>
      <c r="M333" s="209"/>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row r="342" spans="29:29" x14ac:dyDescent="0.25">
      <c r="AC342" s="251"/>
    </row>
    <row r="343" spans="29:29" x14ac:dyDescent="0.25">
      <c r="AC343" s="251"/>
    </row>
  </sheetData>
  <mergeCells count="66">
    <mergeCell ref="AC191:AD191"/>
    <mergeCell ref="AF191:AG191"/>
    <mergeCell ref="AJ191:AK191"/>
    <mergeCell ref="K192:N192"/>
    <mergeCell ref="P192:S192"/>
    <mergeCell ref="U192:V192"/>
    <mergeCell ref="Z192:AA192"/>
    <mergeCell ref="AC192:AD192"/>
    <mergeCell ref="AF192:AG192"/>
    <mergeCell ref="AJ192:AK192"/>
    <mergeCell ref="Y191:AA191"/>
    <mergeCell ref="B191:D191"/>
    <mergeCell ref="E191:H191"/>
    <mergeCell ref="K191:N191"/>
    <mergeCell ref="P191:S191"/>
    <mergeCell ref="U191:V191"/>
    <mergeCell ref="AU133:AV133"/>
    <mergeCell ref="AX133:AY133"/>
    <mergeCell ref="BA133:BB133"/>
    <mergeCell ref="BE133:BF133"/>
    <mergeCell ref="B190:H190"/>
    <mergeCell ref="K190:V190"/>
    <mergeCell ref="Y190:AG190"/>
    <mergeCell ref="R133:U133"/>
    <mergeCell ref="W133:Z133"/>
    <mergeCell ref="AB133:AC133"/>
    <mergeCell ref="AE133:AH133"/>
    <mergeCell ref="AJ133:AM133"/>
    <mergeCell ref="AO133:AP133"/>
    <mergeCell ref="BE132:BF132"/>
    <mergeCell ref="AE131:AP131"/>
    <mergeCell ref="AT131:BB131"/>
    <mergeCell ref="B132:D132"/>
    <mergeCell ref="E132:H132"/>
    <mergeCell ref="J132:L132"/>
    <mergeCell ref="M132:P132"/>
    <mergeCell ref="R132:U132"/>
    <mergeCell ref="W132:Z132"/>
    <mergeCell ref="AB132:AC132"/>
    <mergeCell ref="AE132:AH132"/>
    <mergeCell ref="AJ132:AM132"/>
    <mergeCell ref="AO132:AP132"/>
    <mergeCell ref="AT132:AV132"/>
    <mergeCell ref="AX132:AY132"/>
    <mergeCell ref="BA132:BB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dataValidations count="1">
    <dataValidation type="list" allowBlank="1" showInputMessage="1" showErrorMessage="1" sqref="C27:G27 G19 G5:H16 AE135:AH135 AJ135:AM135 R135:U135 W135:Z135 K194:N194 P194:S194">
      <formula1>"Y,N"</formula1>
    </dataValidation>
  </dataValidations>
  <pageMargins left="0.7" right="0.7" top="0.75" bottom="0.75" header="0.3" footer="0.3"/>
  <pageSetup paperSize="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6"/>
  </sheetPr>
  <dimension ref="A1:EG183"/>
  <sheetViews>
    <sheetView showGridLines="0" topLeftCell="D1" zoomScale="96" zoomScaleNormal="96" zoomScalePageLayoutView="80" workbookViewId="0">
      <selection activeCell="E28" sqref="E28"/>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45.5" style="153" bestFit="1"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SpaceCooling_cluster_lldc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c r="E3" s="249"/>
      <c r="F3" s="167"/>
      <c r="G3" s="167"/>
      <c r="I3" s="618"/>
      <c r="J3" s="618"/>
      <c r="K3" s="618"/>
      <c r="L3" s="618"/>
      <c r="M3" s="166"/>
      <c r="N3" s="164">
        <f ca="1">SUM(OFFSET(O27,B3-2015,0,B4-B3+1,4))/1000</f>
        <v>1.3443306265142885</v>
      </c>
      <c r="O3" s="165" t="s">
        <v>209</v>
      </c>
      <c r="Q3" s="165"/>
      <c r="S3" s="671" t="s">
        <v>210</v>
      </c>
      <c r="T3" s="671"/>
      <c r="U3" s="671"/>
      <c r="V3" s="671"/>
      <c r="W3" s="671"/>
    </row>
    <row r="4" spans="1:137" ht="13.8" x14ac:dyDescent="0.25">
      <c r="A4" s="153" t="s">
        <v>215</v>
      </c>
      <c r="B4" s="234">
        <v>2050</v>
      </c>
      <c r="D4" s="248"/>
      <c r="E4" s="249"/>
      <c r="F4" s="167"/>
      <c r="G4" s="167"/>
      <c r="I4" s="168"/>
      <c r="J4" s="168"/>
      <c r="K4" s="168"/>
      <c r="L4" s="168"/>
      <c r="M4" s="168"/>
      <c r="N4" s="168"/>
      <c r="S4" s="671"/>
      <c r="T4" s="671"/>
      <c r="U4" s="671"/>
      <c r="V4" s="671"/>
      <c r="W4" s="671"/>
    </row>
    <row r="5" spans="1:137" ht="12.75" customHeight="1" x14ac:dyDescent="0.25">
      <c r="D5" s="248"/>
      <c r="E5" s="249"/>
      <c r="F5" s="167"/>
      <c r="G5" s="167"/>
      <c r="I5" s="618" t="s">
        <v>214</v>
      </c>
      <c r="J5" s="618"/>
      <c r="K5" s="618"/>
      <c r="L5" s="618"/>
      <c r="M5" s="169"/>
      <c r="N5" s="164">
        <f>SUM(J27:M72)/1000</f>
        <v>0</v>
      </c>
      <c r="O5" s="165" t="s">
        <v>208</v>
      </c>
      <c r="S5" s="671"/>
      <c r="T5" s="671"/>
      <c r="U5" s="671"/>
      <c r="V5" s="671"/>
      <c r="W5" s="671"/>
    </row>
    <row r="6" spans="1:137" ht="13.8" x14ac:dyDescent="0.25">
      <c r="D6" s="248"/>
      <c r="E6" s="249"/>
      <c r="F6" s="167"/>
      <c r="G6" s="167"/>
      <c r="I6" s="618"/>
      <c r="J6" s="618"/>
      <c r="K6" s="618"/>
      <c r="L6" s="618"/>
      <c r="M6" s="163"/>
      <c r="N6" s="164">
        <f>SUM(O27:R72)/1000</f>
        <v>3.1674586406386074</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t="s">
        <v>172</v>
      </c>
      <c r="E10" s="249">
        <v>0.95</v>
      </c>
      <c r="F10" s="167"/>
      <c r="G10" s="167" t="s">
        <v>213</v>
      </c>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326</v>
      </c>
      <c r="P15" s="260" t="s">
        <v>268</v>
      </c>
    </row>
    <row r="16" spans="1:137" ht="13.8" x14ac:dyDescent="0.25">
      <c r="F16" s="153" t="s">
        <v>217</v>
      </c>
      <c r="O16" s="261">
        <f>1/3.7</f>
        <v>0.27027027027027023</v>
      </c>
      <c r="P16" s="261">
        <v>1403.3616727979031</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211</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 t="shared" ref="E26:E72" si="1">IFERROR(IF($F$17="Y",$E$17,$Y85)*(SUMIF($G$3:$G$14,"Y",$E$3:$E$14))*(B85-B137),0)</f>
        <v>0</v>
      </c>
      <c r="F26" s="183" t="str">
        <f>IFERROR(E26-E25,"")</f>
        <v/>
      </c>
      <c r="G26" s="247">
        <f t="shared" ref="G26:G72" si="2">IFERROR(E26/(B85-B137),"")</f>
        <v>0</v>
      </c>
      <c r="H26" s="245" t="s">
        <v>264</v>
      </c>
      <c r="J26" s="182"/>
      <c r="K26" s="182"/>
      <c r="L26" s="182"/>
      <c r="M26" s="182"/>
      <c r="N26" s="163"/>
      <c r="O26" s="259">
        <f>IF($O$24="Y",IFERROR(E26*$E$10*'Emissions Factors'!B12*$O$16,""),"")</f>
        <v>0</v>
      </c>
      <c r="P26" s="259" t="str">
        <f>IF($Q$24="Y",IFERROR($E26*SUM($E$3,$E$4,$E$5)*('Emissions Factors'!$T$143*$P$16)/10^6,""),"")</f>
        <v/>
      </c>
      <c r="Q26" s="259"/>
      <c r="R26" s="245" t="s">
        <v>264</v>
      </c>
      <c r="T26" s="180" t="str">
        <f t="shared" ref="T26:T72" si="3">IF(AND(A26&gt;=$B$3,A26&lt;=$B$4),SUM(O26:R26),"")</f>
        <v/>
      </c>
      <c r="U26" s="180" t="str">
        <f t="shared" ref="U26:U72" si="4">IF(AND(A26&gt;=$B$3,A26&lt;=$B$4),SUM(J26:M26),"")</f>
        <v/>
      </c>
      <c r="V26" s="177"/>
      <c r="X26" s="180">
        <f t="shared" ref="X26:X72" si="5">SUM(O26:R26)</f>
        <v>0</v>
      </c>
      <c r="Y26" s="180">
        <f t="shared" ref="Y26:Y72" si="6">SUM(J26:M26)</f>
        <v>0</v>
      </c>
    </row>
    <row r="27" spans="1:26" ht="15.6" x14ac:dyDescent="0.3">
      <c r="A27" s="152">
        <v>2015</v>
      </c>
      <c r="B27" s="178">
        <f t="shared" si="0"/>
        <v>0</v>
      </c>
      <c r="C27" s="182">
        <f>IFERROR(B27-B26,"")</f>
        <v>0</v>
      </c>
      <c r="D27" s="183"/>
      <c r="E27" s="179">
        <f t="shared" si="1"/>
        <v>0</v>
      </c>
      <c r="F27" s="183">
        <f>IFERROR(E27-E26,"")</f>
        <v>0</v>
      </c>
      <c r="G27" s="247">
        <f t="shared" si="2"/>
        <v>0</v>
      </c>
      <c r="H27" s="246"/>
      <c r="J27" s="182"/>
      <c r="K27" s="182"/>
      <c r="L27" s="182"/>
      <c r="M27" s="182"/>
      <c r="N27" s="163"/>
      <c r="O27" s="259">
        <f>IF($O$24="Y",IFERROR(E27*$E$10*'Emissions Factors'!B12*$O$16,""),"")</f>
        <v>0</v>
      </c>
      <c r="P27" s="259" t="str">
        <f>IF($Q$24="Y",IFERROR($E27*SUM($E$3,$E$4,$E$5)*('Emissions Factors'!$T$143*$P$16)/10^6,""),"")</f>
        <v/>
      </c>
      <c r="Q27" s="259"/>
      <c r="R27" s="258"/>
      <c r="T27" s="180" t="str">
        <f t="shared" si="3"/>
        <v/>
      </c>
      <c r="U27" s="180" t="str">
        <f t="shared" si="4"/>
        <v/>
      </c>
      <c r="V27" s="177"/>
      <c r="X27" s="180">
        <f t="shared" si="5"/>
        <v>0</v>
      </c>
      <c r="Y27" s="180">
        <f t="shared" si="6"/>
        <v>0</v>
      </c>
    </row>
    <row r="28" spans="1:26" ht="15.6" x14ac:dyDescent="0.3">
      <c r="A28" s="152">
        <v>2016</v>
      </c>
      <c r="B28" s="178">
        <f t="shared" si="0"/>
        <v>0</v>
      </c>
      <c r="C28" s="182">
        <f t="shared" ref="C28:C72" si="7">IFERROR(B28-B27,"")</f>
        <v>0</v>
      </c>
      <c r="D28" s="183"/>
      <c r="E28" s="179">
        <f t="shared" si="1"/>
        <v>-1.5241307154337845E-2</v>
      </c>
      <c r="F28" s="183">
        <f t="shared" ref="F28:F72" si="8">IFERROR(E28-E27,"")</f>
        <v>-1.5241307154337845E-2</v>
      </c>
      <c r="G28" s="247">
        <f t="shared" si="2"/>
        <v>0.95</v>
      </c>
      <c r="H28" s="246"/>
      <c r="J28" s="182"/>
      <c r="K28" s="182"/>
      <c r="L28" s="182"/>
      <c r="M28" s="182"/>
      <c r="N28" s="163"/>
      <c r="O28" s="259">
        <f>IF($O$24="Y",IFERROR(E28*$E$10*'Emissions Factors'!B13*$O$16,""),"")</f>
        <v>-2.3990683592356762E-3</v>
      </c>
      <c r="P28" s="259" t="str">
        <f>IF($Q$24="Y",IFERROR($E28*SUM($E$3,$E$4,$E$5)*('Emissions Factors'!$T$143*$P$16)/10^6,""),"")</f>
        <v/>
      </c>
      <c r="Q28" s="259"/>
      <c r="R28" s="258"/>
      <c r="T28" s="180" t="str">
        <f t="shared" si="3"/>
        <v/>
      </c>
      <c r="U28" s="180" t="str">
        <f t="shared" si="4"/>
        <v/>
      </c>
      <c r="V28" s="177"/>
      <c r="X28" s="180">
        <f t="shared" si="5"/>
        <v>-2.3990683592356762E-3</v>
      </c>
      <c r="Y28" s="180">
        <f t="shared" si="6"/>
        <v>0</v>
      </c>
    </row>
    <row r="29" spans="1:26" ht="15.6" x14ac:dyDescent="0.3">
      <c r="A29" s="152">
        <v>2017</v>
      </c>
      <c r="B29" s="178">
        <f t="shared" si="0"/>
        <v>0</v>
      </c>
      <c r="C29" s="182">
        <f>IFERROR(B29-B28,"")</f>
        <v>0</v>
      </c>
      <c r="D29" s="183"/>
      <c r="E29" s="179">
        <f t="shared" si="1"/>
        <v>-1.518638183360963E-2</v>
      </c>
      <c r="F29" s="183">
        <f>IFERROR(E29-E28,"")</f>
        <v>5.4925320728215626E-5</v>
      </c>
      <c r="G29" s="247">
        <f t="shared" si="2"/>
        <v>0.95</v>
      </c>
      <c r="H29" s="246"/>
      <c r="J29" s="182"/>
      <c r="K29" s="182"/>
      <c r="L29" s="182"/>
      <c r="M29" s="182"/>
      <c r="N29" s="163"/>
      <c r="O29" s="259">
        <f>IF($O$24="Y",IFERROR(E29*$E$10*'Emissions Factors'!B14*$O$16,""),"")</f>
        <v>-2.3611994571756498E-3</v>
      </c>
      <c r="P29" s="259" t="str">
        <f>IF($Q$24="Y",IFERROR($E29*SUM($E$3,$E$4,$E$5)*('Emissions Factors'!$T$143*$P$16)/10^6,""),"")</f>
        <v/>
      </c>
      <c r="Q29" s="259"/>
      <c r="R29" s="258"/>
      <c r="T29" s="180" t="str">
        <f t="shared" si="3"/>
        <v/>
      </c>
      <c r="U29" s="180" t="str">
        <f t="shared" si="4"/>
        <v/>
      </c>
      <c r="V29" s="177"/>
      <c r="X29" s="180">
        <f t="shared" si="5"/>
        <v>-2.3611994571756498E-3</v>
      </c>
      <c r="Y29" s="180">
        <f t="shared" si="6"/>
        <v>0</v>
      </c>
    </row>
    <row r="30" spans="1:26" ht="15.6" x14ac:dyDescent="0.3">
      <c r="A30" s="152">
        <v>2018</v>
      </c>
      <c r="B30" s="178">
        <f t="shared" si="0"/>
        <v>0</v>
      </c>
      <c r="C30" s="182">
        <f t="shared" si="7"/>
        <v>0</v>
      </c>
      <c r="D30" s="183"/>
      <c r="E30" s="179">
        <f t="shared" si="1"/>
        <v>-1.5080530581599305E-2</v>
      </c>
      <c r="F30" s="183">
        <f t="shared" si="8"/>
        <v>1.0585125201032462E-4</v>
      </c>
      <c r="G30" s="247">
        <f t="shared" si="2"/>
        <v>0.95</v>
      </c>
      <c r="H30" s="246"/>
      <c r="J30" s="182"/>
      <c r="K30" s="182"/>
      <c r="L30" s="182"/>
      <c r="M30" s="182"/>
      <c r="N30" s="163"/>
      <c r="O30" s="259">
        <f>IF($O$24="Y",IFERROR(E30*$E$10*'Emissions Factors'!B15*$O$16,""),"")</f>
        <v>-2.3225344827786393E-3</v>
      </c>
      <c r="P30" s="259" t="str">
        <f>IF($Q$24="Y",IFERROR($E30*SUM($E$3,$E$4,$E$5)*('Emissions Factors'!$T$143*$P$16)/10^6,""),"")</f>
        <v/>
      </c>
      <c r="Q30" s="259"/>
      <c r="R30" s="258"/>
      <c r="T30" s="180" t="str">
        <f t="shared" si="3"/>
        <v/>
      </c>
      <c r="U30" s="180" t="str">
        <f t="shared" si="4"/>
        <v/>
      </c>
      <c r="V30" s="177"/>
      <c r="X30" s="180">
        <f t="shared" si="5"/>
        <v>-2.3225344827786393E-3</v>
      </c>
      <c r="Y30" s="180">
        <f t="shared" si="6"/>
        <v>0</v>
      </c>
    </row>
    <row r="31" spans="1:26" ht="15.6" x14ac:dyDescent="0.3">
      <c r="A31" s="152">
        <v>2019</v>
      </c>
      <c r="B31" s="178">
        <f t="shared" si="0"/>
        <v>0</v>
      </c>
      <c r="C31" s="182">
        <f t="shared" si="7"/>
        <v>0</v>
      </c>
      <c r="D31" s="183"/>
      <c r="E31" s="179">
        <f t="shared" si="1"/>
        <v>-1.5001812682567105E-2</v>
      </c>
      <c r="F31" s="183">
        <f t="shared" si="8"/>
        <v>7.8717899032200098E-5</v>
      </c>
      <c r="G31" s="247">
        <f t="shared" si="2"/>
        <v>0.95</v>
      </c>
      <c r="H31" s="246"/>
      <c r="J31" s="182"/>
      <c r="K31" s="182"/>
      <c r="L31" s="182"/>
      <c r="M31" s="182"/>
      <c r="N31" s="163"/>
      <c r="O31" s="259">
        <f>IF($O$24="Y",IFERROR(E31*$E$10*'Emissions Factors'!B16*$O$16,""),"")</f>
        <v>-2.2983486724164242E-3</v>
      </c>
      <c r="P31" s="259" t="str">
        <f>IF($Q$24="Y",IFERROR($E31*SUM($E$3,$E$4,$E$5)*('Emissions Factors'!$T$143*$P$16)/10^6,""),"")</f>
        <v/>
      </c>
      <c r="Q31" s="259"/>
      <c r="R31" s="258"/>
      <c r="T31" s="180" t="str">
        <f t="shared" si="3"/>
        <v/>
      </c>
      <c r="U31" s="180" t="str">
        <f t="shared" si="4"/>
        <v/>
      </c>
      <c r="V31" s="177"/>
      <c r="X31" s="180">
        <f t="shared" si="5"/>
        <v>-2.2983486724164242E-3</v>
      </c>
      <c r="Y31" s="180">
        <f t="shared" si="6"/>
        <v>0</v>
      </c>
    </row>
    <row r="32" spans="1:26" ht="15.6" x14ac:dyDescent="0.3">
      <c r="A32" s="152">
        <v>2020</v>
      </c>
      <c r="B32" s="178">
        <f t="shared" si="0"/>
        <v>0</v>
      </c>
      <c r="C32" s="182">
        <f t="shared" si="7"/>
        <v>0</v>
      </c>
      <c r="D32" s="183"/>
      <c r="E32" s="179">
        <f t="shared" si="1"/>
        <v>-1.4951355730954673E-2</v>
      </c>
      <c r="F32" s="183">
        <f t="shared" si="8"/>
        <v>5.0456951612432022E-5</v>
      </c>
      <c r="G32" s="247">
        <f t="shared" si="2"/>
        <v>0.95</v>
      </c>
      <c r="H32" s="246"/>
      <c r="J32" s="182"/>
      <c r="K32" s="182"/>
      <c r="L32" s="182"/>
      <c r="M32" s="182"/>
      <c r="N32" s="163"/>
      <c r="O32" s="259">
        <f>IF($O$24="Y",IFERROR(E32*$E$10*'Emissions Factors'!B17*$O$16,""),"")</f>
        <v>-2.2762778085412163E-3</v>
      </c>
      <c r="P32" s="259" t="str">
        <f>IF($Q$24="Y",IFERROR($E32*SUM($E$3,$E$4,$E$5)*('Emissions Factors'!$T$143*$P$16)/10^6,""),"")</f>
        <v/>
      </c>
      <c r="Q32" s="259"/>
      <c r="R32" s="258"/>
      <c r="T32" s="180">
        <f t="shared" si="3"/>
        <v>-2.2762778085412163E-3</v>
      </c>
      <c r="U32" s="180">
        <f t="shared" si="4"/>
        <v>0</v>
      </c>
      <c r="V32" s="177"/>
      <c r="X32" s="180">
        <f t="shared" si="5"/>
        <v>-2.2762778085412163E-3</v>
      </c>
      <c r="Y32" s="180">
        <f t="shared" si="6"/>
        <v>0</v>
      </c>
    </row>
    <row r="33" spans="1:25" ht="15.6" x14ac:dyDescent="0.3">
      <c r="A33" s="152">
        <v>2021</v>
      </c>
      <c r="B33" s="178">
        <f t="shared" si="0"/>
        <v>0</v>
      </c>
      <c r="C33" s="182">
        <f t="shared" si="7"/>
        <v>0</v>
      </c>
      <c r="D33" s="183"/>
      <c r="E33" s="179">
        <f t="shared" si="1"/>
        <v>4.4354960413150737</v>
      </c>
      <c r="F33" s="183">
        <f t="shared" si="8"/>
        <v>4.4504473970460285</v>
      </c>
      <c r="G33" s="247">
        <f t="shared" si="2"/>
        <v>0.31386103327744924</v>
      </c>
      <c r="H33" s="246"/>
      <c r="J33" s="182"/>
      <c r="K33" s="182"/>
      <c r="L33" s="182"/>
      <c r="M33" s="182"/>
      <c r="N33" s="163"/>
      <c r="O33" s="259">
        <f>IF($O$24="Y",IFERROR(E33*$E$10*'Emissions Factors'!B18*$O$16,""),"")</f>
        <v>0.67122781163983658</v>
      </c>
      <c r="P33" s="259" t="str">
        <f>IF($Q$24="Y",IFERROR($E33*SUM($E$3,$E$4,$E$5)*('Emissions Factors'!$T$143*$P$16)/10^6,""),"")</f>
        <v/>
      </c>
      <c r="Q33" s="259"/>
      <c r="R33" s="258"/>
      <c r="T33" s="180">
        <f t="shared" si="3"/>
        <v>0.67122781163983658</v>
      </c>
      <c r="U33" s="180">
        <f t="shared" si="4"/>
        <v>0</v>
      </c>
      <c r="V33" s="177"/>
      <c r="X33" s="180">
        <f t="shared" si="5"/>
        <v>0.67122781163983658</v>
      </c>
      <c r="Y33" s="180">
        <f t="shared" si="6"/>
        <v>0</v>
      </c>
    </row>
    <row r="34" spans="1:25" ht="15.6" x14ac:dyDescent="0.3">
      <c r="A34" s="152">
        <v>2022</v>
      </c>
      <c r="B34" s="178">
        <f t="shared" si="0"/>
        <v>0</v>
      </c>
      <c r="C34" s="182">
        <f t="shared" si="7"/>
        <v>0</v>
      </c>
      <c r="D34" s="183"/>
      <c r="E34" s="179">
        <f t="shared" si="1"/>
        <v>10.657300161876481</v>
      </c>
      <c r="F34" s="183">
        <f t="shared" si="8"/>
        <v>6.2218041205614076</v>
      </c>
      <c r="G34" s="247">
        <f t="shared" si="2"/>
        <v>0.32919427321396683</v>
      </c>
      <c r="H34" s="246"/>
      <c r="J34" s="182"/>
      <c r="K34" s="182"/>
      <c r="L34" s="182"/>
      <c r="M34" s="182"/>
      <c r="N34" s="163"/>
      <c r="O34" s="259">
        <f>IF($O$24="Y",IFERROR(E34*$E$10*'Emissions Factors'!B19*$O$16,""),"")</f>
        <v>1.6031904629531923</v>
      </c>
      <c r="P34" s="259" t="str">
        <f>IF($Q$24="Y",IFERROR($E34*SUM($E$3,$E$4,$E$5)*('Emissions Factors'!$T$143*$P$16)/10^6,""),"")</f>
        <v/>
      </c>
      <c r="Q34" s="259"/>
      <c r="R34" s="258"/>
      <c r="T34" s="180">
        <f t="shared" si="3"/>
        <v>1.6031904629531923</v>
      </c>
      <c r="U34" s="180">
        <f t="shared" si="4"/>
        <v>0</v>
      </c>
      <c r="V34" s="177"/>
      <c r="X34" s="180">
        <f t="shared" si="5"/>
        <v>1.6031904629531923</v>
      </c>
      <c r="Y34" s="180">
        <f t="shared" si="6"/>
        <v>0</v>
      </c>
    </row>
    <row r="35" spans="1:25" ht="15.6" x14ac:dyDescent="0.3">
      <c r="A35" s="152">
        <v>2023</v>
      </c>
      <c r="B35" s="178">
        <f t="shared" si="0"/>
        <v>0</v>
      </c>
      <c r="C35" s="182">
        <f t="shared" si="7"/>
        <v>0</v>
      </c>
      <c r="D35" s="183"/>
      <c r="E35" s="179">
        <f t="shared" si="1"/>
        <v>18.521580636409656</v>
      </c>
      <c r="F35" s="183">
        <f t="shared" si="8"/>
        <v>7.8642804745331745</v>
      </c>
      <c r="G35" s="247">
        <f t="shared" si="2"/>
        <v>0.34057762539311742</v>
      </c>
      <c r="H35" s="246"/>
      <c r="J35" s="182"/>
      <c r="K35" s="182"/>
      <c r="L35" s="182"/>
      <c r="M35" s="182"/>
      <c r="N35" s="163"/>
      <c r="O35" s="259">
        <f>IF($O$24="Y",IFERROR(E35*$E$10*'Emissions Factors'!B20*$O$16,""),"")</f>
        <v>2.7699597918850412</v>
      </c>
      <c r="P35" s="259" t="str">
        <f>IF($Q$24="Y",IFERROR($E35*SUM($E$3,$E$4,$E$5)*('Emissions Factors'!$T$143*$P$16)/10^6,""),"")</f>
        <v/>
      </c>
      <c r="Q35" s="259"/>
      <c r="R35" s="258"/>
      <c r="T35" s="180">
        <f t="shared" si="3"/>
        <v>2.7699597918850412</v>
      </c>
      <c r="U35" s="180">
        <f t="shared" si="4"/>
        <v>0</v>
      </c>
      <c r="V35" s="177"/>
      <c r="X35" s="180">
        <f t="shared" si="5"/>
        <v>2.7699597918850412</v>
      </c>
      <c r="Y35" s="180">
        <f t="shared" si="6"/>
        <v>0</v>
      </c>
    </row>
    <row r="36" spans="1:25" ht="15.6" x14ac:dyDescent="0.3">
      <c r="A36" s="152">
        <v>2024</v>
      </c>
      <c r="B36" s="178">
        <f t="shared" si="0"/>
        <v>0</v>
      </c>
      <c r="C36" s="182">
        <f t="shared" si="7"/>
        <v>0</v>
      </c>
      <c r="D36" s="183"/>
      <c r="E36" s="179">
        <f t="shared" si="1"/>
        <v>28.008834643655298</v>
      </c>
      <c r="F36" s="183">
        <f t="shared" si="8"/>
        <v>9.4872540072456424</v>
      </c>
      <c r="G36" s="247">
        <f t="shared" si="2"/>
        <v>0.34984739514763147</v>
      </c>
      <c r="H36" s="246"/>
      <c r="J36" s="182"/>
      <c r="K36" s="182"/>
      <c r="L36" s="182"/>
      <c r="M36" s="182"/>
      <c r="N36" s="163"/>
      <c r="O36" s="259">
        <f>IF($O$24="Y",IFERROR(E36*$E$10*'Emissions Factors'!B21*$O$16,""),"")</f>
        <v>4.1647636970989241</v>
      </c>
      <c r="P36" s="259" t="str">
        <f>IF($Q$24="Y",IFERROR($E36*SUM($E$3,$E$4,$E$5)*('Emissions Factors'!$T$143*$P$16)/10^6,""),"")</f>
        <v/>
      </c>
      <c r="Q36" s="259"/>
      <c r="R36" s="258"/>
      <c r="T36" s="180">
        <f t="shared" si="3"/>
        <v>4.1647636970989241</v>
      </c>
      <c r="U36" s="180">
        <f t="shared" si="4"/>
        <v>0</v>
      </c>
      <c r="V36" s="177"/>
      <c r="X36" s="180">
        <f t="shared" si="5"/>
        <v>4.1647636970989241</v>
      </c>
      <c r="Y36" s="180">
        <f t="shared" si="6"/>
        <v>0</v>
      </c>
    </row>
    <row r="37" spans="1:25" ht="15.6" x14ac:dyDescent="0.3">
      <c r="A37" s="152">
        <v>2025</v>
      </c>
      <c r="B37" s="178">
        <f t="shared" si="0"/>
        <v>0</v>
      </c>
      <c r="C37" s="182">
        <f t="shared" si="7"/>
        <v>0</v>
      </c>
      <c r="D37" s="183"/>
      <c r="E37" s="179">
        <f t="shared" si="1"/>
        <v>39.130199214717543</v>
      </c>
      <c r="F37" s="183">
        <f t="shared" si="8"/>
        <v>11.121364571062244</v>
      </c>
      <c r="G37" s="247">
        <f t="shared" si="2"/>
        <v>0.35781038869300624</v>
      </c>
      <c r="H37" s="246"/>
      <c r="J37" s="182"/>
      <c r="K37" s="182"/>
      <c r="L37" s="182"/>
      <c r="M37" s="182"/>
      <c r="N37" s="163"/>
      <c r="O37" s="259">
        <f>IF($O$24="Y",IFERROR(E37*$E$10*'Emissions Factors'!B22*$O$16,""),"")</f>
        <v>5.7888549136334797</v>
      </c>
      <c r="P37" s="259" t="str">
        <f>IF($Q$24="Y",IFERROR($E37*SUM($E$3,$E$4,$E$5)*('Emissions Factors'!$T$143*$P$16)/10^6,""),"")</f>
        <v/>
      </c>
      <c r="Q37" s="259"/>
      <c r="R37" s="258"/>
      <c r="T37" s="180">
        <f t="shared" si="3"/>
        <v>5.7888549136334797</v>
      </c>
      <c r="U37" s="180">
        <f t="shared" si="4"/>
        <v>0</v>
      </c>
      <c r="V37" s="177"/>
      <c r="X37" s="180">
        <f t="shared" si="5"/>
        <v>5.7888549136334797</v>
      </c>
      <c r="Y37" s="180">
        <f t="shared" si="6"/>
        <v>0</v>
      </c>
    </row>
    <row r="38" spans="1:25" ht="15.6" x14ac:dyDescent="0.3">
      <c r="A38" s="152">
        <v>2026</v>
      </c>
      <c r="B38" s="178">
        <f t="shared" si="0"/>
        <v>0</v>
      </c>
      <c r="C38" s="182">
        <f t="shared" si="7"/>
        <v>0</v>
      </c>
      <c r="D38" s="183"/>
      <c r="E38" s="179">
        <f t="shared" si="1"/>
        <v>51.894312148287931</v>
      </c>
      <c r="F38" s="183">
        <f t="shared" si="8"/>
        <v>12.764112933570388</v>
      </c>
      <c r="G38" s="247">
        <f t="shared" si="2"/>
        <v>0.36488797344328749</v>
      </c>
      <c r="H38" s="246"/>
      <c r="J38" s="182"/>
      <c r="K38" s="182"/>
      <c r="L38" s="182"/>
      <c r="M38" s="182"/>
      <c r="N38" s="163"/>
      <c r="O38" s="259">
        <f>IF($O$24="Y",IFERROR(E38*$E$10*'Emissions Factors'!B23*$O$16,""),"")</f>
        <v>7.6299849427362627</v>
      </c>
      <c r="P38" s="259" t="str">
        <f>IF($Q$24="Y",IFERROR($E38*SUM($E$3,$E$4,$E$5)*('Emissions Factors'!$T$143*$P$16)/10^6,""),"")</f>
        <v/>
      </c>
      <c r="Q38" s="259"/>
      <c r="R38" s="258"/>
      <c r="T38" s="180">
        <f t="shared" si="3"/>
        <v>7.6299849427362627</v>
      </c>
      <c r="U38" s="180">
        <f t="shared" si="4"/>
        <v>0</v>
      </c>
      <c r="V38" s="177"/>
      <c r="X38" s="180">
        <f t="shared" si="5"/>
        <v>7.6299849427362627</v>
      </c>
      <c r="Y38" s="180">
        <f t="shared" si="6"/>
        <v>0</v>
      </c>
    </row>
    <row r="39" spans="1:25" ht="15.6" x14ac:dyDescent="0.3">
      <c r="A39" s="152">
        <v>2027</v>
      </c>
      <c r="B39" s="178">
        <f t="shared" si="0"/>
        <v>0</v>
      </c>
      <c r="C39" s="182">
        <f t="shared" si="7"/>
        <v>0</v>
      </c>
      <c r="D39" s="183"/>
      <c r="E39" s="179">
        <f t="shared" si="1"/>
        <v>66.316711424095971</v>
      </c>
      <c r="F39" s="183">
        <f t="shared" si="8"/>
        <v>14.42239927580804</v>
      </c>
      <c r="G39" s="247">
        <f t="shared" si="2"/>
        <v>0.37135371387419508</v>
      </c>
      <c r="H39" s="246"/>
      <c r="J39" s="182"/>
      <c r="K39" s="182"/>
      <c r="L39" s="182"/>
      <c r="M39" s="182"/>
      <c r="N39" s="163"/>
      <c r="O39" s="259">
        <f>IF($O$24="Y",IFERROR(E39*$E$10*'Emissions Factors'!B24*$O$16,""),"")</f>
        <v>9.6967653987263915</v>
      </c>
      <c r="P39" s="259" t="str">
        <f>IF($Q$24="Y",IFERROR($E39*SUM($E$3,$E$4,$E$5)*('Emissions Factors'!$T$143*$P$16)/10^6,""),"")</f>
        <v/>
      </c>
      <c r="Q39" s="259"/>
      <c r="R39" s="258"/>
      <c r="T39" s="180">
        <f t="shared" si="3"/>
        <v>9.6967653987263915</v>
      </c>
      <c r="U39" s="180">
        <f t="shared" si="4"/>
        <v>0</v>
      </c>
      <c r="V39" s="177"/>
      <c r="X39" s="180">
        <f t="shared" si="5"/>
        <v>9.6967653987263915</v>
      </c>
      <c r="Y39" s="180">
        <f t="shared" si="6"/>
        <v>0</v>
      </c>
    </row>
    <row r="40" spans="1:25" ht="15.6" x14ac:dyDescent="0.3">
      <c r="A40" s="152">
        <v>2028</v>
      </c>
      <c r="B40" s="178">
        <f t="shared" si="0"/>
        <v>0</v>
      </c>
      <c r="C40" s="182">
        <f t="shared" si="7"/>
        <v>0</v>
      </c>
      <c r="D40" s="183"/>
      <c r="E40" s="179">
        <f t="shared" si="1"/>
        <v>82.477704727366614</v>
      </c>
      <c r="F40" s="183">
        <f t="shared" si="8"/>
        <v>16.160993303270644</v>
      </c>
      <c r="G40" s="247">
        <f t="shared" si="2"/>
        <v>0.37744143646721345</v>
      </c>
      <c r="H40" s="246"/>
      <c r="J40" s="182"/>
      <c r="K40" s="182"/>
      <c r="L40" s="182"/>
      <c r="M40" s="182"/>
      <c r="N40" s="163"/>
      <c r="O40" s="259">
        <f>IF($O$24="Y",IFERROR(E40*$E$10*'Emissions Factors'!B25*$O$16,""),"")</f>
        <v>11.994038187784954</v>
      </c>
      <c r="P40" s="259" t="str">
        <f>IF($Q$24="Y",IFERROR($E40*SUM($E$3,$E$4,$E$5)*('Emissions Factors'!$T$143*$P$16)/10^6,""),"")</f>
        <v/>
      </c>
      <c r="Q40" s="259"/>
      <c r="R40" s="258"/>
      <c r="T40" s="180">
        <f t="shared" si="3"/>
        <v>11.994038187784954</v>
      </c>
      <c r="U40" s="180">
        <f t="shared" si="4"/>
        <v>0</v>
      </c>
      <c r="V40" s="177"/>
      <c r="X40" s="180">
        <f t="shared" si="5"/>
        <v>11.994038187784954</v>
      </c>
      <c r="Y40" s="180">
        <f t="shared" si="6"/>
        <v>0</v>
      </c>
    </row>
    <row r="41" spans="1:25" ht="15.6" x14ac:dyDescent="0.3">
      <c r="A41" s="152">
        <v>2029</v>
      </c>
      <c r="B41" s="178">
        <f t="shared" si="0"/>
        <v>0</v>
      </c>
      <c r="C41" s="182">
        <f t="shared" si="7"/>
        <v>0</v>
      </c>
      <c r="D41" s="183"/>
      <c r="E41" s="179">
        <f t="shared" si="1"/>
        <v>100.48480810481939</v>
      </c>
      <c r="F41" s="183">
        <f t="shared" si="8"/>
        <v>18.007103377452779</v>
      </c>
      <c r="G41" s="247">
        <f t="shared" si="2"/>
        <v>0.38331049672155137</v>
      </c>
      <c r="H41" s="246"/>
      <c r="J41" s="182"/>
      <c r="K41" s="182"/>
      <c r="L41" s="182"/>
      <c r="M41" s="182"/>
      <c r="N41" s="163"/>
      <c r="O41" s="259">
        <f>IF($O$24="Y",IFERROR(E41*$E$10*'Emissions Factors'!B26*$O$16,""),"")</f>
        <v>14.533669553084218</v>
      </c>
      <c r="P41" s="259" t="str">
        <f>IF($Q$24="Y",IFERROR($E41*SUM($E$3,$E$4,$E$5)*('Emissions Factors'!$T$143*$P$16)/10^6,""),"")</f>
        <v/>
      </c>
      <c r="Q41" s="259"/>
      <c r="R41" s="258"/>
      <c r="T41" s="180">
        <f t="shared" si="3"/>
        <v>14.533669553084218</v>
      </c>
      <c r="U41" s="180">
        <f t="shared" si="4"/>
        <v>0</v>
      </c>
      <c r="V41" s="177"/>
      <c r="X41" s="180">
        <f t="shared" si="5"/>
        <v>14.533669553084218</v>
      </c>
      <c r="Y41" s="180">
        <f t="shared" si="6"/>
        <v>0</v>
      </c>
    </row>
    <row r="42" spans="1:25" ht="15.6" x14ac:dyDescent="0.3">
      <c r="A42" s="152">
        <v>2030</v>
      </c>
      <c r="B42" s="178">
        <f t="shared" si="0"/>
        <v>0</v>
      </c>
      <c r="C42" s="182">
        <f t="shared" si="7"/>
        <v>0</v>
      </c>
      <c r="D42" s="183"/>
      <c r="E42" s="179">
        <f t="shared" si="1"/>
        <v>120.49940611509672</v>
      </c>
      <c r="F42" s="183">
        <f t="shared" si="8"/>
        <v>20.014598010277325</v>
      </c>
      <c r="G42" s="247">
        <f t="shared" si="2"/>
        <v>0.38896910725025341</v>
      </c>
      <c r="H42" s="246"/>
      <c r="J42" s="182"/>
      <c r="K42" s="182"/>
      <c r="L42" s="182"/>
      <c r="M42" s="182"/>
      <c r="N42" s="163"/>
      <c r="O42" s="259">
        <f>IF($O$24="Y",IFERROR(E42*$E$10*'Emissions Factors'!B27*$O$16,""),"")</f>
        <v>17.339012629904115</v>
      </c>
      <c r="P42" s="259" t="str">
        <f>IF($Q$24="Y",IFERROR($E42*SUM($E$3,$E$4,$E$5)*('Emissions Factors'!$T$143*$P$16)/10^6,""),"")</f>
        <v/>
      </c>
      <c r="Q42" s="259"/>
      <c r="R42" s="258"/>
      <c r="T42" s="180">
        <f t="shared" si="3"/>
        <v>17.339012629904115</v>
      </c>
      <c r="U42" s="180">
        <f t="shared" si="4"/>
        <v>0</v>
      </c>
      <c r="V42" s="177"/>
      <c r="X42" s="180">
        <f t="shared" si="5"/>
        <v>17.339012629904115</v>
      </c>
      <c r="Y42" s="180">
        <f t="shared" si="6"/>
        <v>0</v>
      </c>
    </row>
    <row r="43" spans="1:25" ht="15.6" x14ac:dyDescent="0.3">
      <c r="A43" s="152">
        <v>2031</v>
      </c>
      <c r="B43" s="178">
        <f t="shared" si="0"/>
        <v>0</v>
      </c>
      <c r="C43" s="182">
        <f t="shared" si="7"/>
        <v>0</v>
      </c>
      <c r="D43" s="183"/>
      <c r="E43" s="179">
        <f t="shared" si="1"/>
        <v>142.46429920239942</v>
      </c>
      <c r="F43" s="183">
        <f t="shared" si="8"/>
        <v>21.964893087302698</v>
      </c>
      <c r="G43" s="247">
        <f t="shared" si="2"/>
        <v>0.39467785596639687</v>
      </c>
      <c r="H43" s="246"/>
      <c r="J43" s="182"/>
      <c r="K43" s="182"/>
      <c r="L43" s="182"/>
      <c r="M43" s="182"/>
      <c r="N43" s="163"/>
      <c r="O43" s="259">
        <f>IF($O$24="Y",IFERROR(E43*$E$10*'Emissions Factors'!B28*$O$16,""),"")</f>
        <v>20.385492571980471</v>
      </c>
      <c r="P43" s="259" t="str">
        <f>IF($Q$24="Y",IFERROR($E43*SUM($E$3,$E$4,$E$5)*('Emissions Factors'!$T$143*$P$16)/10^6,""),"")</f>
        <v/>
      </c>
      <c r="Q43" s="259"/>
      <c r="R43" s="258"/>
      <c r="T43" s="180">
        <f t="shared" si="3"/>
        <v>20.385492571980471</v>
      </c>
      <c r="U43" s="180">
        <f t="shared" si="4"/>
        <v>0</v>
      </c>
      <c r="V43" s="177"/>
      <c r="X43" s="180">
        <f t="shared" si="5"/>
        <v>20.385492571980471</v>
      </c>
      <c r="Y43" s="180">
        <f t="shared" si="6"/>
        <v>0</v>
      </c>
    </row>
    <row r="44" spans="1:25" ht="15.6" x14ac:dyDescent="0.3">
      <c r="A44" s="152">
        <v>2032</v>
      </c>
      <c r="B44" s="178">
        <f t="shared" si="0"/>
        <v>0</v>
      </c>
      <c r="C44" s="182">
        <f t="shared" si="7"/>
        <v>0</v>
      </c>
      <c r="D44" s="183"/>
      <c r="E44" s="179">
        <f t="shared" si="1"/>
        <v>166.49491862265322</v>
      </c>
      <c r="F44" s="183">
        <f t="shared" si="8"/>
        <v>24.030619420253799</v>
      </c>
      <c r="G44" s="247">
        <f t="shared" si="2"/>
        <v>0.40017110659990202</v>
      </c>
      <c r="H44" s="246"/>
      <c r="J44" s="182"/>
      <c r="K44" s="182"/>
      <c r="L44" s="182"/>
      <c r="M44" s="182"/>
      <c r="N44" s="163"/>
      <c r="O44" s="259">
        <f>IF($O$24="Y",IFERROR(E44*$E$10*'Emissions Factors'!B29*$O$16,""),"")</f>
        <v>23.6975411167444</v>
      </c>
      <c r="P44" s="259" t="str">
        <f>IF($Q$24="Y",IFERROR($E44*SUM($E$3,$E$4,$E$5)*('Emissions Factors'!$T$143*$P$16)/10^6,""),"")</f>
        <v/>
      </c>
      <c r="Q44" s="259"/>
      <c r="R44" s="258"/>
      <c r="T44" s="180">
        <f t="shared" si="3"/>
        <v>23.6975411167444</v>
      </c>
      <c r="U44" s="180">
        <f t="shared" si="4"/>
        <v>0</v>
      </c>
      <c r="V44" s="177"/>
      <c r="X44" s="180">
        <f t="shared" si="5"/>
        <v>23.6975411167444</v>
      </c>
      <c r="Y44" s="180">
        <f t="shared" si="6"/>
        <v>0</v>
      </c>
    </row>
    <row r="45" spans="1:25" ht="15.6" x14ac:dyDescent="0.3">
      <c r="A45" s="152">
        <v>2033</v>
      </c>
      <c r="B45" s="178">
        <f t="shared" si="0"/>
        <v>0</v>
      </c>
      <c r="C45" s="182">
        <f t="shared" si="7"/>
        <v>0</v>
      </c>
      <c r="D45" s="183"/>
      <c r="E45" s="179">
        <f t="shared" si="1"/>
        <v>192.35412301612797</v>
      </c>
      <c r="F45" s="183">
        <f t="shared" si="8"/>
        <v>25.859204393474755</v>
      </c>
      <c r="G45" s="247">
        <f t="shared" si="2"/>
        <v>0.40549740821662639</v>
      </c>
      <c r="H45" s="246"/>
      <c r="J45" s="182"/>
      <c r="K45" s="182"/>
      <c r="L45" s="182"/>
      <c r="M45" s="182"/>
      <c r="N45" s="163"/>
      <c r="O45" s="259">
        <f>IF($O$24="Y",IFERROR(E45*$E$10*'Emissions Factors'!B30*$O$16,""),"")</f>
        <v>27.233138658992967</v>
      </c>
      <c r="P45" s="259" t="str">
        <f>IF($Q$24="Y",IFERROR($E45*SUM($E$3,$E$4,$E$5)*('Emissions Factors'!$T$143*$P$16)/10^6,""),"")</f>
        <v/>
      </c>
      <c r="Q45" s="259"/>
      <c r="R45" s="258"/>
      <c r="T45" s="180">
        <f t="shared" si="3"/>
        <v>27.233138658992967</v>
      </c>
      <c r="U45" s="180">
        <f t="shared" si="4"/>
        <v>0</v>
      </c>
      <c r="V45" s="177"/>
      <c r="X45" s="180">
        <f t="shared" si="5"/>
        <v>27.233138658992967</v>
      </c>
      <c r="Y45" s="180">
        <f t="shared" si="6"/>
        <v>0</v>
      </c>
    </row>
    <row r="46" spans="1:25" ht="15.6" x14ac:dyDescent="0.3">
      <c r="A46" s="152">
        <v>2034</v>
      </c>
      <c r="B46" s="178">
        <f t="shared" si="0"/>
        <v>0</v>
      </c>
      <c r="C46" s="182">
        <f t="shared" si="7"/>
        <v>0</v>
      </c>
      <c r="D46" s="183"/>
      <c r="E46" s="179">
        <f t="shared" si="1"/>
        <v>219.74744133167874</v>
      </c>
      <c r="F46" s="183">
        <f t="shared" si="8"/>
        <v>27.393318315550772</v>
      </c>
      <c r="G46" s="247">
        <f t="shared" si="2"/>
        <v>0.4106392900048762</v>
      </c>
      <c r="H46" s="246"/>
      <c r="J46" s="182"/>
      <c r="K46" s="182"/>
      <c r="L46" s="182"/>
      <c r="M46" s="182"/>
      <c r="N46" s="163"/>
      <c r="O46" s="259">
        <f>IF($O$24="Y",IFERROR(E46*$E$10*'Emissions Factors'!B31*$O$16,""),"")</f>
        <v>30.946915642704191</v>
      </c>
      <c r="P46" s="259" t="str">
        <f>IF($Q$24="Y",IFERROR($E46*SUM($E$3,$E$4,$E$5)*('Emissions Factors'!$T$143*$P$16)/10^6,""),"")</f>
        <v/>
      </c>
      <c r="Q46" s="259"/>
      <c r="R46" s="258"/>
      <c r="T46" s="180">
        <f t="shared" si="3"/>
        <v>30.946915642704191</v>
      </c>
      <c r="U46" s="180">
        <f t="shared" si="4"/>
        <v>0</v>
      </c>
      <c r="V46" s="177"/>
      <c r="X46" s="180">
        <f t="shared" si="5"/>
        <v>30.946915642704191</v>
      </c>
      <c r="Y46" s="180">
        <f t="shared" si="6"/>
        <v>0</v>
      </c>
    </row>
    <row r="47" spans="1:25" ht="15.6" x14ac:dyDescent="0.3">
      <c r="A47" s="152">
        <v>2035</v>
      </c>
      <c r="B47" s="178">
        <f t="shared" si="0"/>
        <v>0</v>
      </c>
      <c r="C47" s="182">
        <f t="shared" si="7"/>
        <v>0</v>
      </c>
      <c r="D47" s="183"/>
      <c r="E47" s="179">
        <f t="shared" si="1"/>
        <v>248.46315335512958</v>
      </c>
      <c r="F47" s="183">
        <f t="shared" si="8"/>
        <v>28.715712023450834</v>
      </c>
      <c r="G47" s="247">
        <f t="shared" si="2"/>
        <v>0.41562343702610594</v>
      </c>
      <c r="H47" s="246"/>
      <c r="J47" s="182"/>
      <c r="K47" s="182"/>
      <c r="L47" s="182"/>
      <c r="M47" s="182"/>
      <c r="N47" s="163"/>
      <c r="O47" s="259">
        <f>IF($O$24="Y",IFERROR(E47*$E$10*'Emissions Factors'!B32*$O$16,""),"")</f>
        <v>34.80082747581492</v>
      </c>
      <c r="P47" s="259" t="str">
        <f>IF($Q$24="Y",IFERROR($E47*SUM($E$3,$E$4,$E$5)*('Emissions Factors'!$T$143*$P$16)/10^6,""),"")</f>
        <v/>
      </c>
      <c r="Q47" s="259"/>
      <c r="R47" s="258"/>
      <c r="T47" s="180">
        <f t="shared" si="3"/>
        <v>34.80082747581492</v>
      </c>
      <c r="U47" s="180">
        <f t="shared" si="4"/>
        <v>0</v>
      </c>
      <c r="V47" s="177"/>
      <c r="X47" s="180">
        <f t="shared" si="5"/>
        <v>34.80082747581492</v>
      </c>
      <c r="Y47" s="180">
        <f t="shared" si="6"/>
        <v>0</v>
      </c>
    </row>
    <row r="48" spans="1:25" ht="15.6" x14ac:dyDescent="0.3">
      <c r="A48" s="152">
        <v>2036</v>
      </c>
      <c r="B48" s="178">
        <f t="shared" si="0"/>
        <v>0</v>
      </c>
      <c r="C48" s="182">
        <f t="shared" si="7"/>
        <v>0</v>
      </c>
      <c r="D48" s="183"/>
      <c r="E48" s="179">
        <f t="shared" si="1"/>
        <v>278.44234947376287</v>
      </c>
      <c r="F48" s="183">
        <f t="shared" si="8"/>
        <v>29.979196118633297</v>
      </c>
      <c r="G48" s="247">
        <f t="shared" si="2"/>
        <v>0.4205084723180616</v>
      </c>
      <c r="H48" s="246"/>
      <c r="J48" s="182"/>
      <c r="K48" s="182"/>
      <c r="L48" s="182"/>
      <c r="M48" s="182"/>
      <c r="N48" s="163"/>
      <c r="O48" s="259">
        <f>IF($O$24="Y",IFERROR(E48*$E$10*'Emissions Factors'!B33*$O$16,""),"")</f>
        <v>38.797829832027922</v>
      </c>
      <c r="P48" s="259" t="str">
        <f>IF($Q$24="Y",IFERROR($E48*SUM($E$3,$E$4,$E$5)*('Emissions Factors'!$T$143*$P$16)/10^6,""),"")</f>
        <v/>
      </c>
      <c r="Q48" s="259"/>
      <c r="R48" s="258"/>
      <c r="T48" s="180">
        <f t="shared" si="3"/>
        <v>38.797829832027922</v>
      </c>
      <c r="U48" s="180">
        <f t="shared" si="4"/>
        <v>0</v>
      </c>
      <c r="V48" s="177"/>
      <c r="X48" s="180">
        <f t="shared" si="5"/>
        <v>38.797829832027922</v>
      </c>
      <c r="Y48" s="180">
        <f t="shared" si="6"/>
        <v>0</v>
      </c>
    </row>
    <row r="49" spans="1:25" ht="15.6" x14ac:dyDescent="0.3">
      <c r="A49" s="152">
        <v>2037</v>
      </c>
      <c r="B49" s="178">
        <f t="shared" si="0"/>
        <v>0</v>
      </c>
      <c r="C49" s="182">
        <f t="shared" si="7"/>
        <v>0</v>
      </c>
      <c r="D49" s="183"/>
      <c r="E49" s="179">
        <f t="shared" si="1"/>
        <v>309.80337456888338</v>
      </c>
      <c r="F49" s="183">
        <f t="shared" si="8"/>
        <v>31.36102509512051</v>
      </c>
      <c r="G49" s="247">
        <f t="shared" si="2"/>
        <v>0.42535688553282575</v>
      </c>
      <c r="H49" s="246"/>
      <c r="J49" s="182"/>
      <c r="K49" s="182"/>
      <c r="L49" s="182"/>
      <c r="M49" s="182"/>
      <c r="N49" s="163"/>
      <c r="O49" s="259">
        <f>IF($O$24="Y",IFERROR(E49*$E$10*'Emissions Factors'!B34*$O$16,""),"")</f>
        <v>42.937465235045579</v>
      </c>
      <c r="P49" s="259" t="str">
        <f>IF($Q$24="Y",IFERROR($E49*SUM($E$3,$E$4,$E$5)*('Emissions Factors'!$T$143*$P$16)/10^6,""),"")</f>
        <v/>
      </c>
      <c r="Q49" s="259"/>
      <c r="R49" s="258"/>
      <c r="T49" s="180">
        <f t="shared" si="3"/>
        <v>42.937465235045579</v>
      </c>
      <c r="U49" s="180">
        <f t="shared" si="4"/>
        <v>0</v>
      </c>
      <c r="V49" s="177"/>
      <c r="X49" s="180">
        <f t="shared" si="5"/>
        <v>42.937465235045579</v>
      </c>
      <c r="Y49" s="180">
        <f t="shared" si="6"/>
        <v>0</v>
      </c>
    </row>
    <row r="50" spans="1:25" ht="15.6" x14ac:dyDescent="0.3">
      <c r="A50" s="152">
        <v>2038</v>
      </c>
      <c r="B50" s="178">
        <f t="shared" si="0"/>
        <v>0</v>
      </c>
      <c r="C50" s="182">
        <f t="shared" si="7"/>
        <v>0</v>
      </c>
      <c r="D50" s="183"/>
      <c r="E50" s="179">
        <f t="shared" si="1"/>
        <v>342.73380164598723</v>
      </c>
      <c r="F50" s="183">
        <f t="shared" si="8"/>
        <v>32.930427077103843</v>
      </c>
      <c r="G50" s="247">
        <f t="shared" si="2"/>
        <v>0.43020742923042671</v>
      </c>
      <c r="H50" s="246"/>
      <c r="J50" s="182"/>
      <c r="K50" s="182"/>
      <c r="L50" s="182"/>
      <c r="M50" s="182"/>
      <c r="N50" s="163"/>
      <c r="O50" s="259">
        <f>IF($O$24="Y",IFERROR(E50*$E$10*'Emissions Factors'!B35*$O$16,""),"")</f>
        <v>47.247092487867818</v>
      </c>
      <c r="P50" s="259" t="str">
        <f>IF($Q$24="Y",IFERROR($E50*SUM($E$3,$E$4,$E$5)*('Emissions Factors'!$T$143*$P$16)/10^6,""),"")</f>
        <v/>
      </c>
      <c r="Q50" s="259"/>
      <c r="R50" s="258"/>
      <c r="T50" s="180">
        <f t="shared" si="3"/>
        <v>47.247092487867818</v>
      </c>
      <c r="U50" s="180">
        <f t="shared" si="4"/>
        <v>0</v>
      </c>
      <c r="V50" s="177"/>
      <c r="X50" s="180">
        <f t="shared" si="5"/>
        <v>47.247092487867818</v>
      </c>
      <c r="Y50" s="180">
        <f t="shared" si="6"/>
        <v>0</v>
      </c>
    </row>
    <row r="51" spans="1:25" ht="15.6" x14ac:dyDescent="0.3">
      <c r="A51" s="152">
        <v>2039</v>
      </c>
      <c r="B51" s="178">
        <f t="shared" si="0"/>
        <v>0</v>
      </c>
      <c r="C51" s="182">
        <f t="shared" si="7"/>
        <v>0</v>
      </c>
      <c r="D51" s="183"/>
      <c r="E51" s="179">
        <f t="shared" si="1"/>
        <v>377.52647547128237</v>
      </c>
      <c r="F51" s="183">
        <f t="shared" si="8"/>
        <v>34.79267382529514</v>
      </c>
      <c r="G51" s="247">
        <f t="shared" si="2"/>
        <v>0.43508875082894788</v>
      </c>
      <c r="H51" s="246"/>
      <c r="J51" s="182"/>
      <c r="K51" s="182"/>
      <c r="L51" s="182"/>
      <c r="M51" s="182"/>
      <c r="N51" s="163"/>
      <c r="O51" s="259">
        <f>IF($O$24="Y",IFERROR(E51*$E$10*'Emissions Factors'!B36*$O$16,""),"")</f>
        <v>51.761780575165396</v>
      </c>
      <c r="P51" s="259" t="str">
        <f>IF($Q$24="Y",IFERROR($E51*SUM($E$3,$E$4,$E$5)*('Emissions Factors'!$T$143*$P$16)/10^6,""),"")</f>
        <v/>
      </c>
      <c r="Q51" s="259"/>
      <c r="R51" s="258"/>
      <c r="T51" s="180">
        <f t="shared" si="3"/>
        <v>51.761780575165396</v>
      </c>
      <c r="U51" s="180">
        <f t="shared" si="4"/>
        <v>0</v>
      </c>
      <c r="V51" s="177"/>
      <c r="X51" s="180">
        <f t="shared" si="5"/>
        <v>51.761780575165396</v>
      </c>
      <c r="Y51" s="180">
        <f t="shared" si="6"/>
        <v>0</v>
      </c>
    </row>
    <row r="52" spans="1:25" ht="15.6" x14ac:dyDescent="0.3">
      <c r="A52" s="152">
        <v>2040</v>
      </c>
      <c r="B52" s="178">
        <f t="shared" si="0"/>
        <v>0</v>
      </c>
      <c r="C52" s="182">
        <f t="shared" si="7"/>
        <v>0</v>
      </c>
      <c r="D52" s="183"/>
      <c r="E52" s="179">
        <f t="shared" si="1"/>
        <v>414.27758386426842</v>
      </c>
      <c r="F52" s="183">
        <f t="shared" si="8"/>
        <v>36.751108392986055</v>
      </c>
      <c r="G52" s="247">
        <f t="shared" si="2"/>
        <v>0.4401323514807452</v>
      </c>
      <c r="H52" s="246"/>
      <c r="J52" s="182"/>
      <c r="K52" s="182"/>
      <c r="L52" s="182"/>
      <c r="M52" s="182"/>
      <c r="N52" s="163"/>
      <c r="O52" s="259">
        <f>IF($O$24="Y",IFERROR(E52*$E$10*'Emissions Factors'!B37*$O$16,""),"")</f>
        <v>56.468965414426798</v>
      </c>
      <c r="P52" s="259" t="str">
        <f>IF($Q$24="Y",IFERROR($E52*SUM($E$3,$E$4,$E$5)*('Emissions Factors'!$T$143*$P$16)/10^6,""),"")</f>
        <v/>
      </c>
      <c r="Q52" s="259"/>
      <c r="R52" s="258"/>
      <c r="T52" s="180">
        <f t="shared" si="3"/>
        <v>56.468965414426798</v>
      </c>
      <c r="U52" s="180">
        <f t="shared" si="4"/>
        <v>0</v>
      </c>
      <c r="V52" s="177"/>
      <c r="X52" s="180">
        <f t="shared" si="5"/>
        <v>56.468965414426798</v>
      </c>
      <c r="Y52" s="180">
        <f t="shared" si="6"/>
        <v>0</v>
      </c>
    </row>
    <row r="53" spans="1:25" ht="15.6" x14ac:dyDescent="0.3">
      <c r="A53" s="152">
        <v>2041</v>
      </c>
      <c r="B53" s="178">
        <f t="shared" si="0"/>
        <v>0</v>
      </c>
      <c r="C53" s="182">
        <f t="shared" si="7"/>
        <v>0</v>
      </c>
      <c r="D53" s="183"/>
      <c r="E53" s="179">
        <f t="shared" si="1"/>
        <v>453.6664364872492</v>
      </c>
      <c r="F53" s="183">
        <f t="shared" si="8"/>
        <v>39.388852622980778</v>
      </c>
      <c r="G53" s="247">
        <f t="shared" si="2"/>
        <v>0.44499464409868833</v>
      </c>
      <c r="H53" s="246"/>
      <c r="J53" s="182"/>
      <c r="K53" s="182"/>
      <c r="L53" s="182"/>
      <c r="M53" s="182"/>
      <c r="N53" s="163"/>
      <c r="O53" s="259">
        <f>IF($O$24="Y",IFERROR(E53*$E$10*'Emissions Factors'!B38*$O$16,""),"")</f>
        <v>61.524010796472083</v>
      </c>
      <c r="P53" s="259" t="str">
        <f>IF($Q$24="Y",IFERROR($E53*SUM($E$3,$E$4,$E$5)*('Emissions Factors'!$T$143*$P$16)/10^6,""),"")</f>
        <v/>
      </c>
      <c r="Q53" s="259"/>
      <c r="R53" s="258"/>
      <c r="T53" s="180">
        <f t="shared" si="3"/>
        <v>61.524010796472083</v>
      </c>
      <c r="U53" s="180">
        <f t="shared" si="4"/>
        <v>0</v>
      </c>
      <c r="V53" s="177"/>
      <c r="X53" s="180">
        <f t="shared" si="5"/>
        <v>61.524010796472083</v>
      </c>
      <c r="Y53" s="180">
        <f t="shared" si="6"/>
        <v>0</v>
      </c>
    </row>
    <row r="54" spans="1:25" ht="15.6" x14ac:dyDescent="0.3">
      <c r="A54" s="152">
        <v>2042</v>
      </c>
      <c r="B54" s="178">
        <f t="shared" si="0"/>
        <v>0</v>
      </c>
      <c r="C54" s="182">
        <f t="shared" si="7"/>
        <v>0</v>
      </c>
      <c r="D54" s="183"/>
      <c r="E54" s="179">
        <f t="shared" si="1"/>
        <v>495.26866772580092</v>
      </c>
      <c r="F54" s="183">
        <f t="shared" si="8"/>
        <v>41.602231238551724</v>
      </c>
      <c r="G54" s="247">
        <f t="shared" si="2"/>
        <v>0.45002566351161705</v>
      </c>
      <c r="H54" s="246"/>
      <c r="J54" s="182"/>
      <c r="K54" s="182"/>
      <c r="L54" s="182"/>
      <c r="M54" s="182"/>
      <c r="N54" s="163"/>
      <c r="O54" s="259">
        <f>IF($O$24="Y",IFERROR(E54*$E$10*'Emissions Factors'!B39*$O$16,""),"")</f>
        <v>66.795017749368384</v>
      </c>
      <c r="P54" s="259" t="str">
        <f>IF($Q$24="Y",IFERROR($E54*SUM($E$3,$E$4,$E$5)*('Emissions Factors'!$T$143*$P$16)/10^6,""),"")</f>
        <v/>
      </c>
      <c r="Q54" s="259"/>
      <c r="R54" s="258"/>
      <c r="T54" s="180">
        <f t="shared" si="3"/>
        <v>66.795017749368384</v>
      </c>
      <c r="U54" s="180">
        <f t="shared" si="4"/>
        <v>0</v>
      </c>
      <c r="V54" s="177"/>
      <c r="X54" s="180">
        <f t="shared" si="5"/>
        <v>66.795017749368384</v>
      </c>
      <c r="Y54" s="180">
        <f t="shared" si="6"/>
        <v>0</v>
      </c>
    </row>
    <row r="55" spans="1:25" ht="15.6" x14ac:dyDescent="0.3">
      <c r="A55" s="152">
        <v>2043</v>
      </c>
      <c r="B55" s="178">
        <f t="shared" si="0"/>
        <v>0</v>
      </c>
      <c r="C55" s="182">
        <f t="shared" si="7"/>
        <v>0</v>
      </c>
      <c r="D55" s="183"/>
      <c r="E55" s="179">
        <f t="shared" si="1"/>
        <v>539.5214615082034</v>
      </c>
      <c r="F55" s="183">
        <f t="shared" si="8"/>
        <v>44.252793782402478</v>
      </c>
      <c r="G55" s="247">
        <f t="shared" si="2"/>
        <v>0.45512954135173822</v>
      </c>
      <c r="H55" s="246"/>
      <c r="J55" s="182"/>
      <c r="K55" s="182"/>
      <c r="L55" s="182"/>
      <c r="M55" s="182"/>
      <c r="N55" s="163"/>
      <c r="O55" s="259">
        <f>IF($O$24="Y",IFERROR(E55*$E$10*'Emissions Factors'!B40*$O$16,""),"")</f>
        <v>72.357259622575683</v>
      </c>
      <c r="P55" s="259" t="str">
        <f>IF($Q$24="Y",IFERROR($E55*SUM($E$3,$E$4,$E$5)*('Emissions Factors'!$T$143*$P$16)/10^6,""),"")</f>
        <v/>
      </c>
      <c r="Q55" s="259"/>
      <c r="R55" s="258"/>
      <c r="T55" s="180">
        <f t="shared" si="3"/>
        <v>72.357259622575683</v>
      </c>
      <c r="U55" s="180">
        <f t="shared" si="4"/>
        <v>0</v>
      </c>
      <c r="V55" s="177"/>
      <c r="X55" s="180">
        <f t="shared" si="5"/>
        <v>72.357259622575683</v>
      </c>
      <c r="Y55" s="180">
        <f t="shared" si="6"/>
        <v>0</v>
      </c>
    </row>
    <row r="56" spans="1:25" ht="15.6" x14ac:dyDescent="0.3">
      <c r="A56" s="152">
        <v>2044</v>
      </c>
      <c r="B56" s="178">
        <f t="shared" si="0"/>
        <v>0</v>
      </c>
      <c r="C56" s="182">
        <f t="shared" si="7"/>
        <v>0</v>
      </c>
      <c r="D56" s="183"/>
      <c r="E56" s="179">
        <f t="shared" si="1"/>
        <v>586.72307278879327</v>
      </c>
      <c r="F56" s="183">
        <f t="shared" si="8"/>
        <v>47.201611280589873</v>
      </c>
      <c r="G56" s="247">
        <f t="shared" si="2"/>
        <v>0.46032392590474092</v>
      </c>
      <c r="H56" s="246"/>
      <c r="J56" s="182"/>
      <c r="K56" s="182"/>
      <c r="L56" s="182"/>
      <c r="M56" s="182"/>
      <c r="N56" s="163"/>
      <c r="O56" s="259">
        <f>IF($O$24="Y",IFERROR(E56*$E$10*'Emissions Factors'!B41*$O$16,""),"")</f>
        <v>78.243584596932465</v>
      </c>
      <c r="P56" s="259" t="str">
        <f>IF($Q$24="Y",IFERROR($E56*SUM($E$3,$E$4,$E$5)*('Emissions Factors'!$T$143*$P$16)/10^6,""),"")</f>
        <v/>
      </c>
      <c r="Q56" s="259"/>
      <c r="R56" s="258"/>
      <c r="T56" s="180">
        <f t="shared" si="3"/>
        <v>78.243584596932465</v>
      </c>
      <c r="U56" s="180">
        <f t="shared" si="4"/>
        <v>0</v>
      </c>
      <c r="V56" s="177"/>
      <c r="X56" s="180">
        <f t="shared" si="5"/>
        <v>78.243584596932465</v>
      </c>
      <c r="Y56" s="180">
        <f t="shared" si="6"/>
        <v>0</v>
      </c>
    </row>
    <row r="57" spans="1:25" ht="15.6" x14ac:dyDescent="0.3">
      <c r="A57" s="152">
        <v>2045</v>
      </c>
      <c r="B57" s="178">
        <f t="shared" si="0"/>
        <v>0</v>
      </c>
      <c r="C57" s="182">
        <f t="shared" si="7"/>
        <v>0</v>
      </c>
      <c r="D57" s="183"/>
      <c r="E57" s="179">
        <f t="shared" si="1"/>
        <v>637.16027634178715</v>
      </c>
      <c r="F57" s="183">
        <f t="shared" si="8"/>
        <v>50.437203552993878</v>
      </c>
      <c r="G57" s="247">
        <f t="shared" si="2"/>
        <v>0.46561192228741671</v>
      </c>
      <c r="H57" s="246"/>
      <c r="J57" s="182"/>
      <c r="K57" s="182"/>
      <c r="L57" s="182"/>
      <c r="M57" s="182"/>
      <c r="N57" s="163"/>
      <c r="O57" s="259">
        <f>IF($O$24="Y",IFERROR(E57*$E$10*'Emissions Factors'!B42*$O$16,""),"")</f>
        <v>84.466852298016548</v>
      </c>
      <c r="P57" s="259" t="str">
        <f>IF($Q$24="Y",IFERROR($E57*SUM($E$3,$E$4,$E$5)*('Emissions Factors'!$T$143*$P$16)/10^6,""),"")</f>
        <v/>
      </c>
      <c r="Q57" s="259"/>
      <c r="R57" s="258"/>
      <c r="T57" s="180">
        <f t="shared" si="3"/>
        <v>84.466852298016548</v>
      </c>
      <c r="U57" s="180">
        <f t="shared" si="4"/>
        <v>0</v>
      </c>
      <c r="V57" s="177"/>
      <c r="X57" s="180">
        <f t="shared" si="5"/>
        <v>84.466852298016548</v>
      </c>
      <c r="Y57" s="180">
        <f t="shared" si="6"/>
        <v>0</v>
      </c>
    </row>
    <row r="58" spans="1:25" ht="15.6" x14ac:dyDescent="0.3">
      <c r="A58" s="152">
        <v>2046</v>
      </c>
      <c r="B58" s="178">
        <f t="shared" si="0"/>
        <v>0</v>
      </c>
      <c r="C58" s="182">
        <f t="shared" si="7"/>
        <v>0</v>
      </c>
      <c r="D58" s="183"/>
      <c r="E58" s="179">
        <f t="shared" si="1"/>
        <v>691.0532367107453</v>
      </c>
      <c r="F58" s="183">
        <f t="shared" si="8"/>
        <v>53.892960368958143</v>
      </c>
      <c r="G58" s="247">
        <f t="shared" si="2"/>
        <v>0.47097612172963893</v>
      </c>
      <c r="H58" s="246"/>
      <c r="J58" s="182"/>
      <c r="K58" s="182"/>
      <c r="L58" s="182"/>
      <c r="M58" s="182"/>
      <c r="N58" s="163"/>
      <c r="O58" s="259">
        <f>IF($O$24="Y",IFERROR(E58*$E$10*'Emissions Factors'!B43*$O$16,""),"")</f>
        <v>91.099447263953294</v>
      </c>
      <c r="P58" s="259" t="str">
        <f>IF($Q$24="Y",IFERROR($E58*SUM($E$3,$E$4,$E$5)*('Emissions Factors'!$T$143*$P$16)/10^6,""),"")</f>
        <v/>
      </c>
      <c r="Q58" s="259"/>
      <c r="R58" s="258"/>
      <c r="T58" s="180">
        <f t="shared" si="3"/>
        <v>91.099447263953294</v>
      </c>
      <c r="U58" s="180">
        <f t="shared" si="4"/>
        <v>0</v>
      </c>
      <c r="V58" s="177"/>
      <c r="X58" s="180">
        <f t="shared" si="5"/>
        <v>91.099447263953294</v>
      </c>
      <c r="Y58" s="180">
        <f t="shared" si="6"/>
        <v>0</v>
      </c>
    </row>
    <row r="59" spans="1:25" ht="15.6" x14ac:dyDescent="0.3">
      <c r="A59" s="152">
        <v>2047</v>
      </c>
      <c r="B59" s="178">
        <f t="shared" si="0"/>
        <v>0</v>
      </c>
      <c r="C59" s="182">
        <f t="shared" si="7"/>
        <v>0</v>
      </c>
      <c r="D59" s="183"/>
      <c r="E59" s="179">
        <f t="shared" si="1"/>
        <v>748.61377631960863</v>
      </c>
      <c r="F59" s="183">
        <f t="shared" si="8"/>
        <v>57.560539608863337</v>
      </c>
      <c r="G59" s="247">
        <f t="shared" si="2"/>
        <v>0.47639764727355233</v>
      </c>
      <c r="H59" s="246"/>
      <c r="J59" s="182"/>
      <c r="K59" s="182"/>
      <c r="L59" s="182"/>
      <c r="M59" s="182"/>
      <c r="N59" s="163"/>
      <c r="O59" s="259">
        <f>IF($O$24="Y",IFERROR(E59*$E$10*'Emissions Factors'!B44*$O$16,""),"")</f>
        <v>98.107589441971825</v>
      </c>
      <c r="P59" s="259" t="str">
        <f>IF($Q$24="Y",IFERROR($E59*SUM($E$3,$E$4,$E$5)*('Emissions Factors'!$T$143*$P$16)/10^6,""),"")</f>
        <v/>
      </c>
      <c r="Q59" s="259"/>
      <c r="R59" s="258"/>
      <c r="T59" s="180">
        <f t="shared" si="3"/>
        <v>98.107589441971825</v>
      </c>
      <c r="U59" s="180">
        <f t="shared" si="4"/>
        <v>0</v>
      </c>
      <c r="V59" s="177"/>
      <c r="X59" s="180">
        <f t="shared" si="5"/>
        <v>98.107589441971825</v>
      </c>
      <c r="Y59" s="180">
        <f t="shared" si="6"/>
        <v>0</v>
      </c>
    </row>
    <row r="60" spans="1:25" ht="15.6" x14ac:dyDescent="0.3">
      <c r="A60" s="152">
        <v>2048</v>
      </c>
      <c r="B60" s="178">
        <f t="shared" si="0"/>
        <v>0</v>
      </c>
      <c r="C60" s="182">
        <f t="shared" si="7"/>
        <v>0</v>
      </c>
      <c r="D60" s="183"/>
      <c r="E60" s="179">
        <f t="shared" si="1"/>
        <v>810.12109799825987</v>
      </c>
      <c r="F60" s="183">
        <f t="shared" si="8"/>
        <v>61.507321678651238</v>
      </c>
      <c r="G60" s="247">
        <f t="shared" si="2"/>
        <v>0.48187022288749587</v>
      </c>
      <c r="H60" s="246"/>
      <c r="J60" s="182"/>
      <c r="K60" s="182"/>
      <c r="L60" s="182"/>
      <c r="M60" s="182"/>
      <c r="N60" s="163"/>
      <c r="O60" s="259">
        <f>IF($O$24="Y",IFERROR(E60*$E$10*'Emissions Factors'!B45*$O$16,""),"")</f>
        <v>105.53473789612342</v>
      </c>
      <c r="P60" s="259" t="str">
        <f>IF($Q$24="Y",IFERROR($E60*SUM($E$3,$E$4,$E$5)*('Emissions Factors'!$T$143*$P$16)/10^6,""),"")</f>
        <v/>
      </c>
      <c r="Q60" s="259"/>
      <c r="R60" s="258"/>
      <c r="T60" s="180">
        <f t="shared" si="3"/>
        <v>105.53473789612342</v>
      </c>
      <c r="U60" s="180">
        <f t="shared" si="4"/>
        <v>0</v>
      </c>
      <c r="V60" s="177"/>
      <c r="X60" s="180">
        <f t="shared" si="5"/>
        <v>105.53473789612342</v>
      </c>
      <c r="Y60" s="180">
        <f t="shared" si="6"/>
        <v>0</v>
      </c>
    </row>
    <row r="61" spans="1:25" ht="15.6" x14ac:dyDescent="0.3">
      <c r="A61" s="152">
        <v>2049</v>
      </c>
      <c r="B61" s="178">
        <f t="shared" si="0"/>
        <v>0</v>
      </c>
      <c r="C61" s="182">
        <f t="shared" si="7"/>
        <v>0</v>
      </c>
      <c r="D61" s="183"/>
      <c r="E61" s="179">
        <f t="shared" si="1"/>
        <v>875.87067866029781</v>
      </c>
      <c r="F61" s="183">
        <f t="shared" si="8"/>
        <v>65.749580662037943</v>
      </c>
      <c r="G61" s="247">
        <f t="shared" si="2"/>
        <v>0.48738690651054284</v>
      </c>
      <c r="H61" s="246"/>
      <c r="J61" s="182"/>
      <c r="K61" s="182"/>
      <c r="L61" s="182"/>
      <c r="M61" s="182"/>
      <c r="N61" s="163"/>
      <c r="O61" s="259">
        <f>IF($O$24="Y",IFERROR(E61*$E$10*'Emissions Factors'!B46*$O$16,""),"")</f>
        <v>113.51184524014245</v>
      </c>
      <c r="P61" s="259" t="str">
        <f>IF($Q$24="Y",IFERROR($E61*SUM($E$3,$E$4,$E$5)*('Emissions Factors'!$T$143*$P$16)/10^6,""),"")</f>
        <v/>
      </c>
      <c r="Q61" s="259"/>
      <c r="R61" s="258"/>
      <c r="T61" s="180">
        <f t="shared" si="3"/>
        <v>113.51184524014245</v>
      </c>
      <c r="U61" s="180">
        <f t="shared" si="4"/>
        <v>0</v>
      </c>
      <c r="V61" s="177"/>
      <c r="X61" s="180">
        <f t="shared" si="5"/>
        <v>113.51184524014245</v>
      </c>
      <c r="Y61" s="180">
        <f t="shared" si="6"/>
        <v>0</v>
      </c>
    </row>
    <row r="62" spans="1:25" ht="15.6" x14ac:dyDescent="0.3">
      <c r="A62" s="152">
        <v>2050</v>
      </c>
      <c r="B62" s="178">
        <f t="shared" si="0"/>
        <v>0</v>
      </c>
      <c r="C62" s="182">
        <f t="shared" si="7"/>
        <v>0</v>
      </c>
      <c r="D62" s="183"/>
      <c r="E62" s="179">
        <f t="shared" si="1"/>
        <v>946.34942825245946</v>
      </c>
      <c r="F62" s="183">
        <f t="shared" si="8"/>
        <v>70.478749592161648</v>
      </c>
      <c r="G62" s="247">
        <f t="shared" si="2"/>
        <v>0.49286333315739239</v>
      </c>
      <c r="H62" s="246"/>
      <c r="J62" s="182"/>
      <c r="K62" s="182"/>
      <c r="L62" s="182"/>
      <c r="M62" s="182"/>
      <c r="N62" s="163"/>
      <c r="O62" s="259">
        <f>IF($O$24="Y",IFERROR(E62*$E$10*'Emissions Factors'!B47*$O$16,""),"")</f>
        <v>122.22404148632381</v>
      </c>
      <c r="P62" s="259" t="str">
        <f>IF($Q$24="Y",IFERROR($E62*SUM($E$3,$E$4,$E$5)*('Emissions Factors'!$T$143*$P$16)/10^6,""),"")</f>
        <v/>
      </c>
      <c r="Q62" s="259"/>
      <c r="R62" s="258"/>
      <c r="T62" s="180">
        <f t="shared" si="3"/>
        <v>122.22404148632381</v>
      </c>
      <c r="U62" s="180">
        <f t="shared" si="4"/>
        <v>0</v>
      </c>
      <c r="V62" s="177"/>
      <c r="X62" s="180">
        <f t="shared" si="5"/>
        <v>122.22404148632381</v>
      </c>
      <c r="Y62" s="180">
        <f t="shared" si="6"/>
        <v>0</v>
      </c>
    </row>
    <row r="63" spans="1:25" ht="15.6" x14ac:dyDescent="0.3">
      <c r="A63" s="152">
        <v>2051</v>
      </c>
      <c r="B63" s="178">
        <f t="shared" si="0"/>
        <v>0</v>
      </c>
      <c r="C63" s="182">
        <f t="shared" si="7"/>
        <v>0</v>
      </c>
      <c r="D63" s="183"/>
      <c r="E63" s="179">
        <f t="shared" si="1"/>
        <v>1021.1665350493245</v>
      </c>
      <c r="F63" s="183">
        <f t="shared" si="8"/>
        <v>74.817106796865005</v>
      </c>
      <c r="G63" s="247">
        <f t="shared" si="2"/>
        <v>0.49849433910928764</v>
      </c>
      <c r="H63" s="246"/>
      <c r="J63" s="182"/>
      <c r="K63" s="182"/>
      <c r="L63" s="182"/>
      <c r="M63" s="182"/>
      <c r="N63" s="163"/>
      <c r="O63" s="259">
        <f>IF($O$24="Y",IFERROR(E63*$E$10*'Emissions Factors'!B48*$O$16,""),"")</f>
        <v>131.38282899838981</v>
      </c>
      <c r="P63" s="259" t="str">
        <f>IF($Q$24="Y",IFERROR($E63*SUM($E$3,$E$4,$E$5)*('Emissions Factors'!$T$143*$P$16)/10^6,""),"")</f>
        <v/>
      </c>
      <c r="Q63" s="259"/>
      <c r="R63" s="258"/>
      <c r="T63" s="180" t="str">
        <f t="shared" si="3"/>
        <v/>
      </c>
      <c r="U63" s="180" t="str">
        <f t="shared" si="4"/>
        <v/>
      </c>
      <c r="V63" s="177"/>
      <c r="X63" s="180">
        <f t="shared" si="5"/>
        <v>131.38282899838981</v>
      </c>
      <c r="Y63" s="180">
        <f t="shared" si="6"/>
        <v>0</v>
      </c>
    </row>
    <row r="64" spans="1:25" ht="15.6" x14ac:dyDescent="0.3">
      <c r="A64" s="152">
        <v>2052</v>
      </c>
      <c r="B64" s="178">
        <f t="shared" si="0"/>
        <v>0</v>
      </c>
      <c r="C64" s="182">
        <f t="shared" si="7"/>
        <v>0</v>
      </c>
      <c r="D64" s="183"/>
      <c r="E64" s="179">
        <f t="shared" si="1"/>
        <v>1101.1544297812468</v>
      </c>
      <c r="F64" s="183">
        <f t="shared" si="8"/>
        <v>79.987894731922324</v>
      </c>
      <c r="G64" s="247">
        <f t="shared" si="2"/>
        <v>0.50404233004120447</v>
      </c>
      <c r="H64" s="246"/>
      <c r="J64" s="182"/>
      <c r="K64" s="182"/>
      <c r="L64" s="182"/>
      <c r="M64" s="182"/>
      <c r="N64" s="163"/>
      <c r="O64" s="259">
        <f>IF($O$24="Y",IFERROR(E64*$E$10*'Emissions Factors'!B49*$O$16,""),"")</f>
        <v>141.15088664045618</v>
      </c>
      <c r="P64" s="259" t="str">
        <f>IF($Q$24="Y",IFERROR($E64*SUM($E$3,$E$4,$E$5)*('Emissions Factors'!$T$143*$P$16)/10^6,""),"")</f>
        <v/>
      </c>
      <c r="Q64" s="259"/>
      <c r="R64" s="258"/>
      <c r="T64" s="180" t="str">
        <f t="shared" si="3"/>
        <v/>
      </c>
      <c r="U64" s="180" t="str">
        <f t="shared" si="4"/>
        <v/>
      </c>
      <c r="V64" s="177"/>
      <c r="X64" s="180">
        <f t="shared" si="5"/>
        <v>141.15088664045618</v>
      </c>
      <c r="Y64" s="180">
        <f t="shared" si="6"/>
        <v>0</v>
      </c>
    </row>
    <row r="65" spans="1:25" ht="15.6" x14ac:dyDescent="0.3">
      <c r="A65" s="152">
        <v>2053</v>
      </c>
      <c r="B65" s="178">
        <f t="shared" si="0"/>
        <v>0</v>
      </c>
      <c r="C65" s="182">
        <f t="shared" si="7"/>
        <v>0</v>
      </c>
      <c r="D65" s="183"/>
      <c r="E65" s="179">
        <f t="shared" si="1"/>
        <v>1186.2760355585838</v>
      </c>
      <c r="F65" s="183">
        <f t="shared" si="8"/>
        <v>85.121605777336981</v>
      </c>
      <c r="G65" s="247">
        <f t="shared" si="2"/>
        <v>0.50955291348451381</v>
      </c>
      <c r="H65" s="246"/>
      <c r="J65" s="182"/>
      <c r="K65" s="182"/>
      <c r="L65" s="182"/>
      <c r="M65" s="182"/>
      <c r="N65" s="163"/>
      <c r="O65" s="259">
        <f>IF($O$24="Y",IFERROR(E65*$E$10*'Emissions Factors'!B50*$O$16,""),"")</f>
        <v>151.48675387983644</v>
      </c>
      <c r="P65" s="259" t="str">
        <f>IF($Q$24="Y",IFERROR($E65*SUM($E$3,$E$4,$E$5)*('Emissions Factors'!$T$143*$P$16)/10^6,""),"")</f>
        <v/>
      </c>
      <c r="Q65" s="259"/>
      <c r="R65" s="258"/>
      <c r="T65" s="180" t="str">
        <f t="shared" si="3"/>
        <v/>
      </c>
      <c r="U65" s="180" t="str">
        <f t="shared" si="4"/>
        <v/>
      </c>
      <c r="V65" s="177"/>
      <c r="X65" s="180">
        <f t="shared" si="5"/>
        <v>151.48675387983644</v>
      </c>
      <c r="Y65" s="180">
        <f t="shared" si="6"/>
        <v>0</v>
      </c>
    </row>
    <row r="66" spans="1:25" ht="15.6" x14ac:dyDescent="0.3">
      <c r="A66" s="152">
        <v>2054</v>
      </c>
      <c r="B66" s="178">
        <f t="shared" si="0"/>
        <v>0</v>
      </c>
      <c r="C66" s="182">
        <f t="shared" si="7"/>
        <v>0</v>
      </c>
      <c r="D66" s="183"/>
      <c r="E66" s="179">
        <f t="shared" si="1"/>
        <v>1276.6753290185147</v>
      </c>
      <c r="F66" s="183">
        <f t="shared" si="8"/>
        <v>90.399293459930959</v>
      </c>
      <c r="G66" s="247">
        <f t="shared" si="2"/>
        <v>0.51500157228992116</v>
      </c>
      <c r="H66" s="246"/>
      <c r="J66" s="182"/>
      <c r="K66" s="182"/>
      <c r="L66" s="182"/>
      <c r="M66" s="182"/>
      <c r="N66" s="163"/>
      <c r="O66" s="259">
        <f>IF($O$24="Y",IFERROR(E66*$E$10*'Emissions Factors'!B51*$O$16,""),"")</f>
        <v>162.39809289889405</v>
      </c>
      <c r="P66" s="259" t="str">
        <f>IF($Q$24="Y",IFERROR($E66*SUM($E$3,$E$4,$E$5)*('Emissions Factors'!$T$143*$P$16)/10^6,""),"")</f>
        <v/>
      </c>
      <c r="Q66" s="259"/>
      <c r="R66" s="258"/>
      <c r="T66" s="180" t="str">
        <f t="shared" si="3"/>
        <v/>
      </c>
      <c r="U66" s="180" t="str">
        <f t="shared" si="4"/>
        <v/>
      </c>
      <c r="V66" s="177"/>
      <c r="X66" s="180">
        <f t="shared" si="5"/>
        <v>162.39809289889405</v>
      </c>
      <c r="Y66" s="180">
        <f t="shared" si="6"/>
        <v>0</v>
      </c>
    </row>
    <row r="67" spans="1:25" ht="15.6" x14ac:dyDescent="0.3">
      <c r="A67" s="152">
        <v>2055</v>
      </c>
      <c r="B67" s="178">
        <f t="shared" si="0"/>
        <v>0</v>
      </c>
      <c r="C67" s="182">
        <f t="shared" si="7"/>
        <v>0</v>
      </c>
      <c r="D67" s="183"/>
      <c r="E67" s="179">
        <f t="shared" si="1"/>
        <v>1372.4949622254583</v>
      </c>
      <c r="F67" s="183">
        <f t="shared" si="8"/>
        <v>95.819633206943536</v>
      </c>
      <c r="G67" s="247">
        <f t="shared" si="2"/>
        <v>0.52036956061132378</v>
      </c>
      <c r="H67" s="246"/>
      <c r="J67" s="182"/>
      <c r="K67" s="182"/>
      <c r="L67" s="182"/>
      <c r="M67" s="182"/>
      <c r="N67" s="163"/>
      <c r="O67" s="259">
        <f>IF($O$24="Y",IFERROR(E67*$E$10*'Emissions Factors'!B52*$O$16,""),"")</f>
        <v>173.87716809596915</v>
      </c>
      <c r="P67" s="259" t="str">
        <f>IF($Q$24="Y",IFERROR($E67*SUM($E$3,$E$4,$E$5)*('Emissions Factors'!$T$143*$P$16)/10^6,""),"")</f>
        <v/>
      </c>
      <c r="Q67" s="259"/>
      <c r="R67" s="258"/>
      <c r="T67" s="180" t="str">
        <f t="shared" si="3"/>
        <v/>
      </c>
      <c r="U67" s="180" t="str">
        <f t="shared" si="4"/>
        <v/>
      </c>
      <c r="V67" s="177"/>
      <c r="X67" s="180">
        <f t="shared" si="5"/>
        <v>173.87716809596915</v>
      </c>
      <c r="Y67" s="180">
        <f t="shared" si="6"/>
        <v>0</v>
      </c>
    </row>
    <row r="68" spans="1:25" ht="15.6" x14ac:dyDescent="0.3">
      <c r="A68" s="152">
        <v>2056</v>
      </c>
      <c r="B68" s="178">
        <f t="shared" si="0"/>
        <v>0</v>
      </c>
      <c r="C68" s="182">
        <f t="shared" si="7"/>
        <v>0</v>
      </c>
      <c r="D68" s="183"/>
      <c r="E68" s="179">
        <f t="shared" si="1"/>
        <v>1473.9330719481788</v>
      </c>
      <c r="F68" s="183">
        <f t="shared" si="8"/>
        <v>101.43810972272058</v>
      </c>
      <c r="G68" s="247">
        <f t="shared" si="2"/>
        <v>0.52565015882493737</v>
      </c>
      <c r="H68" s="246"/>
      <c r="J68" s="182"/>
      <c r="K68" s="182"/>
      <c r="L68" s="182"/>
      <c r="M68" s="182"/>
      <c r="N68" s="163"/>
      <c r="O68" s="259">
        <f>IF($O$24="Y",IFERROR(E68*$E$10*'Emissions Factors'!B53*$O$16,""),"")</f>
        <v>185.98038407839152</v>
      </c>
      <c r="P68" s="259" t="str">
        <f>IF($Q$24="Y",IFERROR($E68*SUM($E$3,$E$4,$E$5)*('Emissions Factors'!$T$143*$P$16)/10^6,""),"")</f>
        <v/>
      </c>
      <c r="Q68" s="259"/>
      <c r="R68" s="258"/>
      <c r="T68" s="180" t="str">
        <f t="shared" si="3"/>
        <v/>
      </c>
      <c r="U68" s="180" t="str">
        <f t="shared" si="4"/>
        <v/>
      </c>
      <c r="V68" s="177"/>
      <c r="X68" s="180">
        <f t="shared" si="5"/>
        <v>185.98038407839152</v>
      </c>
      <c r="Y68" s="180">
        <f t="shared" si="6"/>
        <v>0</v>
      </c>
    </row>
    <row r="69" spans="1:25" ht="15.6" x14ac:dyDescent="0.3">
      <c r="A69" s="152">
        <v>2057</v>
      </c>
      <c r="B69" s="178">
        <f t="shared" si="0"/>
        <v>0</v>
      </c>
      <c r="C69" s="182">
        <f t="shared" si="7"/>
        <v>0</v>
      </c>
      <c r="D69" s="183"/>
      <c r="E69" s="179">
        <f t="shared" si="1"/>
        <v>1581.1618425221166</v>
      </c>
      <c r="F69" s="183">
        <f t="shared" si="8"/>
        <v>107.22877057393771</v>
      </c>
      <c r="G69" s="247">
        <f t="shared" si="2"/>
        <v>0.53083614662259548</v>
      </c>
      <c r="H69" s="246"/>
      <c r="J69" s="182"/>
      <c r="K69" s="182"/>
      <c r="L69" s="182"/>
      <c r="M69" s="182"/>
      <c r="N69" s="163"/>
      <c r="O69" s="259">
        <f>IF($O$24="Y",IFERROR(E69*$E$10*'Emissions Factors'!B54*$O$16,""),"")</f>
        <v>198.67308577666293</v>
      </c>
      <c r="P69" s="259" t="str">
        <f>IF($Q$24="Y",IFERROR($E69*SUM($E$3,$E$4,$E$5)*('Emissions Factors'!$T$143*$P$16)/10^6,""),"")</f>
        <v/>
      </c>
      <c r="Q69" s="259"/>
      <c r="R69" s="258"/>
      <c r="T69" s="180" t="str">
        <f t="shared" si="3"/>
        <v/>
      </c>
      <c r="U69" s="180" t="str">
        <f t="shared" si="4"/>
        <v/>
      </c>
      <c r="V69" s="177"/>
      <c r="X69" s="180">
        <f t="shared" si="5"/>
        <v>198.67308577666293</v>
      </c>
      <c r="Y69" s="180">
        <f t="shared" si="6"/>
        <v>0</v>
      </c>
    </row>
    <row r="70" spans="1:25" ht="15.6" x14ac:dyDescent="0.3">
      <c r="A70" s="152">
        <v>2058</v>
      </c>
      <c r="B70" s="178">
        <f t="shared" si="0"/>
        <v>0</v>
      </c>
      <c r="C70" s="182">
        <f t="shared" si="7"/>
        <v>0</v>
      </c>
      <c r="D70" s="183"/>
      <c r="E70" s="179">
        <f t="shared" si="1"/>
        <v>1694.2547953681769</v>
      </c>
      <c r="F70" s="183">
        <f t="shared" si="8"/>
        <v>113.09295284606037</v>
      </c>
      <c r="G70" s="247">
        <f t="shared" si="2"/>
        <v>0.53591405281641502</v>
      </c>
      <c r="H70" s="246"/>
      <c r="J70" s="182"/>
      <c r="K70" s="182"/>
      <c r="L70" s="182"/>
      <c r="M70" s="182"/>
      <c r="N70" s="163"/>
      <c r="O70" s="259">
        <f>IF($O$24="Y",IFERROR(E70*$E$10*'Emissions Factors'!B55*$O$16,""),"")</f>
        <v>211.96528862217488</v>
      </c>
      <c r="P70" s="259" t="str">
        <f>IF($Q$24="Y",IFERROR($E70*SUM($E$3,$E$4,$E$5)*('Emissions Factors'!$T$143*$P$16)/10^6,""),"")</f>
        <v/>
      </c>
      <c r="Q70" s="259"/>
      <c r="R70" s="258"/>
      <c r="T70" s="180" t="str">
        <f t="shared" si="3"/>
        <v/>
      </c>
      <c r="U70" s="180" t="str">
        <f t="shared" si="4"/>
        <v/>
      </c>
      <c r="V70" s="177"/>
      <c r="X70" s="180">
        <f t="shared" si="5"/>
        <v>211.96528862217488</v>
      </c>
      <c r="Y70" s="180">
        <f t="shared" si="6"/>
        <v>0</v>
      </c>
    </row>
    <row r="71" spans="1:25" ht="15.6" x14ac:dyDescent="0.3">
      <c r="A71" s="152">
        <v>2059</v>
      </c>
      <c r="B71" s="178">
        <f t="shared" si="0"/>
        <v>0</v>
      </c>
      <c r="C71" s="182">
        <f t="shared" si="7"/>
        <v>0</v>
      </c>
      <c r="D71" s="183"/>
      <c r="E71" s="179">
        <f t="shared" si="1"/>
        <v>1813.2398616182797</v>
      </c>
      <c r="F71" s="183">
        <f t="shared" si="8"/>
        <v>118.98506625010282</v>
      </c>
      <c r="G71" s="247">
        <f t="shared" si="2"/>
        <v>0.54087135728159108</v>
      </c>
      <c r="H71" s="246"/>
      <c r="J71" s="182"/>
      <c r="K71" s="182"/>
      <c r="L71" s="182"/>
      <c r="M71" s="182"/>
      <c r="N71" s="163"/>
      <c r="O71" s="259">
        <f>IF($O$24="Y",IFERROR(E71*$E$10*'Emissions Factors'!B56*$O$16,""),"")</f>
        <v>225.84613504549989</v>
      </c>
      <c r="P71" s="259" t="str">
        <f>IF($Q$24="Y",IFERROR($E71*SUM($E$3,$E$4,$E$5)*('Emissions Factors'!$T$143*$P$16)/10^6,""),"")</f>
        <v/>
      </c>
      <c r="Q71" s="259"/>
      <c r="R71" s="258"/>
      <c r="T71" s="180" t="str">
        <f t="shared" si="3"/>
        <v/>
      </c>
      <c r="U71" s="180" t="str">
        <f t="shared" si="4"/>
        <v/>
      </c>
      <c r="V71" s="177"/>
      <c r="X71" s="180">
        <f t="shared" si="5"/>
        <v>225.84613504549989</v>
      </c>
      <c r="Y71" s="180">
        <f t="shared" si="6"/>
        <v>0</v>
      </c>
    </row>
    <row r="72" spans="1:25" ht="15.6" x14ac:dyDescent="0.3">
      <c r="A72" s="152">
        <v>2060</v>
      </c>
      <c r="B72" s="178">
        <f t="shared" si="0"/>
        <v>0</v>
      </c>
      <c r="C72" s="182">
        <f t="shared" si="7"/>
        <v>0</v>
      </c>
      <c r="D72" s="183"/>
      <c r="E72" s="179">
        <f t="shared" si="1"/>
        <v>1938.0821349301327</v>
      </c>
      <c r="F72" s="183">
        <f t="shared" si="8"/>
        <v>124.84227331185298</v>
      </c>
      <c r="G72" s="247">
        <f t="shared" si="2"/>
        <v>0.54571839394837873</v>
      </c>
      <c r="H72" s="246"/>
      <c r="J72" s="182"/>
      <c r="K72" s="182"/>
      <c r="L72" s="182"/>
      <c r="M72" s="182"/>
      <c r="N72" s="163"/>
      <c r="O72" s="259">
        <f>IF($O$24="Y",IFERROR(E72*$E$10*'Emissions Factors'!B57*$O$16,""),"")</f>
        <v>240.37677123901597</v>
      </c>
      <c r="P72" s="259" t="str">
        <f>IF($Q$24="Y",IFERROR($E72*SUM($E$3,$E$4,$E$5)*('Emissions Factors'!$T$143*$P$16)/10^6,""),"")</f>
        <v/>
      </c>
      <c r="Q72" s="259"/>
      <c r="R72" s="258"/>
      <c r="T72" s="180" t="str">
        <f t="shared" si="3"/>
        <v/>
      </c>
      <c r="U72" s="180" t="str">
        <f t="shared" si="4"/>
        <v/>
      </c>
      <c r="V72" s="177"/>
      <c r="X72" s="180">
        <f t="shared" si="5"/>
        <v>240.37677123901597</v>
      </c>
      <c r="Y72" s="180">
        <f t="shared" si="6"/>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9420.0323185023426</v>
      </c>
      <c r="C85" s="253">
        <f>(C137/Population_Tables!P3)*Population_Tables!D3</f>
        <v>2629.4350904716298</v>
      </c>
      <c r="D85" s="253">
        <f>(D137/Population_Tables!Q3)*Population_Tables!E3</f>
        <v>467.02649557183969</v>
      </c>
      <c r="E85" s="253">
        <f>(E137/Population_Tables!R3)*Population_Tables!F3</f>
        <v>3740.7071435252124</v>
      </c>
      <c r="F85" s="253">
        <f>(F137/Population_Tables!S3)*Population_Tables!G3</f>
        <v>871.70102318165971</v>
      </c>
      <c r="G85" s="253">
        <f>(G137/Population_Tables!T3)*Population_Tables!H3</f>
        <v>350.48342727572367</v>
      </c>
      <c r="H85" s="253">
        <f>(H137/Population_Tables!U3)*Population_Tables!I3</f>
        <v>2609.2302768909922</v>
      </c>
      <c r="I85" s="253">
        <f>(I137/Population_Tables!V3)*Population_Tables!J3</f>
        <v>737.63652435843073</v>
      </c>
      <c r="J85" s="253">
        <f>(J137/Population_Tables!W3)*Population_Tables!K3</f>
        <v>1087.5007224082237</v>
      </c>
      <c r="K85" s="253">
        <f>(K137/Population_Tables!X3)*Population_Tables!L3</f>
        <v>1156.6354982699991</v>
      </c>
      <c r="N85" s="195">
        <f t="shared" ref="N85:N131" si="9">SUMIF($C$83:$G$83,"Y",C85:G85)-H85</f>
        <v>2003.17788981588</v>
      </c>
      <c r="O85" s="195">
        <f>H85</f>
        <v>2609.2302768909922</v>
      </c>
      <c r="P85" s="195">
        <f t="shared" ref="P85:P131" si="10">SUMIF($C$83:$G$83,"N",C85:G85)-(IF($E$83="N",H85))</f>
        <v>3446.9450133191931</v>
      </c>
      <c r="Q85" s="195">
        <f>N85+P85+O85</f>
        <v>8059.3531800260653</v>
      </c>
      <c r="R85" s="196">
        <f>N85/Q85</f>
        <v>0.24855318349622213</v>
      </c>
      <c r="U85" s="197">
        <v>0</v>
      </c>
      <c r="V85" s="195">
        <f>O85-O137</f>
        <v>0</v>
      </c>
      <c r="W85" s="197">
        <v>0</v>
      </c>
      <c r="X85" s="195">
        <f>U85+V85+W85</f>
        <v>0</v>
      </c>
      <c r="Y85" s="196">
        <v>0</v>
      </c>
      <c r="AC85" s="251">
        <f>(B85-B137)/((SUM(C85:G85)-SUM(C137:G137)))</f>
        <v>1.3659072493877624</v>
      </c>
      <c r="AF85" s="250">
        <f>B85</f>
        <v>9420.0323185023426</v>
      </c>
      <c r="AG85" s="250">
        <f>SUM(C85:G85)</f>
        <v>8059.3531800260653</v>
      </c>
      <c r="AH85" s="250">
        <f>AG85-AF85</f>
        <v>-1360.6791384762773</v>
      </c>
      <c r="AI85" s="251">
        <f>AH85/AG85</f>
        <v>-0.16883230056830401</v>
      </c>
    </row>
    <row r="86" spans="1:35" ht="15.6" x14ac:dyDescent="0.3">
      <c r="A86" s="194">
        <v>2015</v>
      </c>
      <c r="B86" s="253">
        <f>(B138/Population_Tables!O4)*Population_Tables!C4</f>
        <v>9656.1932332143515</v>
      </c>
      <c r="C86" s="253">
        <f>(C138/Population_Tables!P4)*Population_Tables!D4</f>
        <v>2652.4042453043076</v>
      </c>
      <c r="D86" s="253">
        <f>(D138/Population_Tables!Q4)*Population_Tables!E4</f>
        <v>473.74437880607616</v>
      </c>
      <c r="E86" s="253">
        <f>(E138/Population_Tables!R4)*Population_Tables!F4</f>
        <v>3858.4744677916547</v>
      </c>
      <c r="F86" s="253">
        <f>(F138/Population_Tables!S4)*Population_Tables!G4</f>
        <v>899.46205941002859</v>
      </c>
      <c r="G86" s="253">
        <f>(G138/Population_Tables!T4)*Population_Tables!H4</f>
        <v>357.27366553649551</v>
      </c>
      <c r="H86" s="253">
        <f>(H138/Population_Tables!U4)*Population_Tables!I4</f>
        <v>2684.7210625164607</v>
      </c>
      <c r="I86" s="253">
        <f>(I138/Population_Tables!V4)*Population_Tables!J4</f>
        <v>770.08082363718938</v>
      </c>
      <c r="J86" s="253">
        <f>(J138/Population_Tables!W4)*Population_Tables!K4</f>
        <v>1095.260534069424</v>
      </c>
      <c r="K86" s="253">
        <f>(K138/Population_Tables!X4)*Population_Tables!L4</f>
        <v>1168.6007941555526</v>
      </c>
      <c r="N86" s="195">
        <f t="shared" si="9"/>
        <v>2073.2154646852223</v>
      </c>
      <c r="O86" s="195">
        <f t="shared" ref="O86:O131" si="11">H86</f>
        <v>2684.7210625164607</v>
      </c>
      <c r="P86" s="195">
        <f t="shared" si="10"/>
        <v>3483.4222896468796</v>
      </c>
      <c r="Q86" s="195">
        <f t="shared" ref="Q86:Q131" si="12">N86+P86+O86</f>
        <v>8241.3588168485621</v>
      </c>
      <c r="R86" s="196">
        <f t="shared" ref="R86:R130" si="13">N86/Q86</f>
        <v>0.2515623346536931</v>
      </c>
      <c r="U86" s="197">
        <v>0</v>
      </c>
      <c r="V86" s="195">
        <f t="shared" ref="V86:W131" si="14">O86-O138</f>
        <v>0</v>
      </c>
      <c r="W86" s="197">
        <v>0</v>
      </c>
      <c r="X86" s="195">
        <f>U86+V86+W86</f>
        <v>0</v>
      </c>
      <c r="Y86" s="196">
        <v>0</v>
      </c>
      <c r="AC86" s="251">
        <f t="shared" ref="AC86:AC131" si="15">(B86-B138)/((SUM(C86:G86)-SUM(C138:G138)))</f>
        <v>1.3549522985965567</v>
      </c>
    </row>
    <row r="87" spans="1:35" ht="15.6" x14ac:dyDescent="0.3">
      <c r="A87" s="194">
        <v>2016</v>
      </c>
      <c r="B87" s="253">
        <f>(B139/Population_Tables!O5)*Population_Tables!C5</f>
        <v>9897.3898673926869</v>
      </c>
      <c r="C87" s="253">
        <f>(C139/Population_Tables!P5)*Population_Tables!D5</f>
        <v>2675.1602341720754</v>
      </c>
      <c r="D87" s="253">
        <f>(D139/Population_Tables!Q5)*Population_Tables!E5</f>
        <v>480.46244846594254</v>
      </c>
      <c r="E87" s="253">
        <f>(E139/Population_Tables!R5)*Population_Tables!F5</f>
        <v>3979.7838507687679</v>
      </c>
      <c r="F87" s="253">
        <f>(F139/Population_Tables!S5)*Population_Tables!G5</f>
        <v>927.80773992512832</v>
      </c>
      <c r="G87" s="253">
        <f>(G139/Population_Tables!T5)*Population_Tables!H5</f>
        <v>364.19233776381185</v>
      </c>
      <c r="H87" s="253">
        <f>(H139/Population_Tables!U5)*Population_Tables!I5</f>
        <v>2759.2447388326059</v>
      </c>
      <c r="I87" s="253">
        <f>(I139/Population_Tables!V5)*Population_Tables!J5</f>
        <v>805.72206037947171</v>
      </c>
      <c r="J87" s="253">
        <f>(J139/Population_Tables!W5)*Population_Tables!K5</f>
        <v>1103.1102147588815</v>
      </c>
      <c r="K87" s="253">
        <f>(K139/Population_Tables!X5)*Population_Tables!L5</f>
        <v>1180.6873355601149</v>
      </c>
      <c r="N87" s="195">
        <f t="shared" si="9"/>
        <v>2148.3468518612904</v>
      </c>
      <c r="O87" s="195">
        <f t="shared" si="11"/>
        <v>2759.2447388326059</v>
      </c>
      <c r="P87" s="195">
        <f t="shared" si="10"/>
        <v>3519.8150204018298</v>
      </c>
      <c r="Q87" s="195">
        <f t="shared" si="12"/>
        <v>8427.4066110957265</v>
      </c>
      <c r="R87" s="196">
        <f t="shared" si="13"/>
        <v>0.25492383968191651</v>
      </c>
      <c r="U87" s="195">
        <f>N87-N139</f>
        <v>-1.193745100954402E-2</v>
      </c>
      <c r="V87" s="195">
        <f>O87-O139</f>
        <v>0</v>
      </c>
      <c r="W87" s="195">
        <f>P87-P139</f>
        <v>0</v>
      </c>
      <c r="X87" s="195">
        <f>U87+V87+W87</f>
        <v>-1.193745100954402E-2</v>
      </c>
      <c r="Y87" s="196">
        <f t="shared" ref="Y87:Y131" si="16">U87/X87</f>
        <v>1</v>
      </c>
      <c r="AC87" s="251">
        <f>(B87-B139)/((SUM(C87:G87)-SUM(C139:G139)))</f>
        <v>1.3439620569787756</v>
      </c>
    </row>
    <row r="88" spans="1:35" ht="15.6" x14ac:dyDescent="0.3">
      <c r="A88" s="194">
        <v>2017</v>
      </c>
      <c r="B88" s="253">
        <f>(B140/Population_Tables!O6)*Population_Tables!C6</f>
        <v>10143.54348812484</v>
      </c>
      <c r="C88" s="253">
        <f>(C140/Population_Tables!P6)*Population_Tables!D6</f>
        <v>2697.6903467607099</v>
      </c>
      <c r="D88" s="253">
        <f>(D140/Population_Tables!Q6)*Population_Tables!E6</f>
        <v>487.18599917044963</v>
      </c>
      <c r="E88" s="253">
        <f>(E140/Population_Tables!R6)*Population_Tables!F6</f>
        <v>4104.5638081927609</v>
      </c>
      <c r="F88" s="253">
        <f>(F140/Population_Tables!S6)*Population_Tables!G6</f>
        <v>956.80369136810032</v>
      </c>
      <c r="G88" s="253">
        <f>(G140/Population_Tables!T6)*Population_Tables!H6</f>
        <v>371.23308243580243</v>
      </c>
      <c r="H88" s="253">
        <f>(H140/Population_Tables!U6)*Population_Tables!I6</f>
        <v>2832.8021593047833</v>
      </c>
      <c r="I88" s="253">
        <f>(I140/Population_Tables!V6)*Population_Tables!J6</f>
        <v>844.53454489497062</v>
      </c>
      <c r="J88" s="253">
        <f>(J140/Population_Tables!W6)*Population_Tables!K6</f>
        <v>1111.0170546167001</v>
      </c>
      <c r="K88" s="253">
        <f>(K140/Population_Tables!X6)*Population_Tables!L6</f>
        <v>1192.8805409750839</v>
      </c>
      <c r="N88" s="195">
        <f t="shared" si="9"/>
        <v>2228.5653402560783</v>
      </c>
      <c r="O88" s="195">
        <f>H88</f>
        <v>2832.8021593047833</v>
      </c>
      <c r="P88" s="195">
        <f t="shared" si="10"/>
        <v>3556.1094283669618</v>
      </c>
      <c r="Q88" s="195">
        <f t="shared" si="12"/>
        <v>8617.4769279278225</v>
      </c>
      <c r="R88" s="196">
        <f t="shared" si="13"/>
        <v>0.25860995728734304</v>
      </c>
      <c r="U88" s="195">
        <f>N88-N140</f>
        <v>-1.1992462581474683E-2</v>
      </c>
      <c r="V88" s="195">
        <f t="shared" si="14"/>
        <v>0</v>
      </c>
      <c r="W88" s="195">
        <f t="shared" si="14"/>
        <v>0</v>
      </c>
      <c r="X88" s="195">
        <f t="shared" ref="X88:X131" si="17">U88+V88+W88</f>
        <v>-1.1992462581474683E-2</v>
      </c>
      <c r="Y88" s="196">
        <f t="shared" si="16"/>
        <v>1</v>
      </c>
      <c r="AC88" s="251">
        <f t="shared" si="15"/>
        <v>1.3329760238488415</v>
      </c>
    </row>
    <row r="89" spans="1:35" ht="15.6" x14ac:dyDescent="0.3">
      <c r="A89" s="194">
        <v>2018</v>
      </c>
      <c r="B89" s="253">
        <f>(B141/Population_Tables!O7)*Population_Tables!C7</f>
        <v>10394.544337423597</v>
      </c>
      <c r="C89" s="253">
        <f>(C141/Population_Tables!P7)*Population_Tables!D7</f>
        <v>2720.0017550399202</v>
      </c>
      <c r="D89" s="253">
        <f>(D141/Population_Tables!Q7)*Population_Tables!E7</f>
        <v>493.91855706875918</v>
      </c>
      <c r="E89" s="253">
        <f>(E141/Population_Tables!R7)*Population_Tables!F7</f>
        <v>4232.7006344701258</v>
      </c>
      <c r="F89" s="253">
        <f>(F141/Population_Tables!S7)*Population_Tables!G7</f>
        <v>986.52686898869933</v>
      </c>
      <c r="G89" s="253">
        <f>(G141/Population_Tables!T7)*Population_Tables!H7</f>
        <v>378.39072654769217</v>
      </c>
      <c r="H89" s="253">
        <f>(H141/Population_Tables!U7)*Population_Tables!I7</f>
        <v>2905.3448801429599</v>
      </c>
      <c r="I89" s="253">
        <f>(I141/Population_Tables!V7)*Population_Tables!J7</f>
        <v>886.48701995570002</v>
      </c>
      <c r="J89" s="253">
        <f>(J141/Population_Tables!W7)*Population_Tables!K7</f>
        <v>1118.9437538443153</v>
      </c>
      <c r="K89" s="253">
        <f>(K141/Population_Tables!X7)*Population_Tables!L7</f>
        <v>1205.1763790426421</v>
      </c>
      <c r="N89" s="195">
        <f t="shared" si="9"/>
        <v>2313.8826233158657</v>
      </c>
      <c r="O89" s="195">
        <f t="shared" si="11"/>
        <v>2905.3448801429599</v>
      </c>
      <c r="P89" s="195">
        <f t="shared" si="10"/>
        <v>3592.3110386563717</v>
      </c>
      <c r="Q89" s="195">
        <f t="shared" si="12"/>
        <v>8811.5385421151968</v>
      </c>
      <c r="R89" s="196">
        <f t="shared" si="13"/>
        <v>0.26259689068561021</v>
      </c>
      <c r="U89" s="195">
        <f t="shared" ref="U89:U131" si="18">N89-N141</f>
        <v>-1.2007603494566865E-2</v>
      </c>
      <c r="V89" s="195">
        <f t="shared" si="14"/>
        <v>0</v>
      </c>
      <c r="W89" s="195">
        <f t="shared" si="14"/>
        <v>0</v>
      </c>
      <c r="X89" s="195">
        <f t="shared" si="17"/>
        <v>-1.2007603494566865E-2</v>
      </c>
      <c r="Y89" s="196">
        <f t="shared" si="16"/>
        <v>1</v>
      </c>
      <c r="AC89" s="251">
        <f t="shared" si="15"/>
        <v>1.3220158980645591</v>
      </c>
    </row>
    <row r="90" spans="1:35" ht="16.2" thickBot="1" x14ac:dyDescent="0.35">
      <c r="A90" s="198">
        <v>2019</v>
      </c>
      <c r="B90" s="253">
        <f>(B142/Population_Tables!O8)*Population_Tables!C8</f>
        <v>10650.245459248501</v>
      </c>
      <c r="C90" s="253">
        <f>(C142/Population_Tables!P8)*Population_Tables!D8</f>
        <v>2742.1092280783487</v>
      </c>
      <c r="D90" s="253">
        <f>(D142/Population_Tables!Q8)*Population_Tables!E8</f>
        <v>500.67172560548596</v>
      </c>
      <c r="E90" s="253">
        <f>(E142/Population_Tables!R8)*Population_Tables!F8</f>
        <v>4364.0520317802575</v>
      </c>
      <c r="F90" s="253">
        <f>(F142/Population_Tables!S8)*Population_Tables!G8</f>
        <v>1017.0572835957752</v>
      </c>
      <c r="G90" s="253">
        <f>(G142/Population_Tables!T8)*Population_Tables!H8</f>
        <v>385.65846512391289</v>
      </c>
      <c r="H90" s="253">
        <f>(H142/Population_Tables!U8)*Population_Tables!I8</f>
        <v>2976.7986834632438</v>
      </c>
      <c r="I90" s="253">
        <f>(I142/Population_Tables!V8)*Population_Tables!J8</f>
        <v>931.53709237213911</v>
      </c>
      <c r="J90" s="253">
        <f>(J142/Population_Tables!W8)*Population_Tables!K8</f>
        <v>1126.8264992002069</v>
      </c>
      <c r="K90" s="253">
        <f>(K142/Population_Tables!X8)*Population_Tables!L8</f>
        <v>1217.5639826387901</v>
      </c>
      <c r="N90" s="195">
        <f t="shared" si="9"/>
        <v>2404.3106319127892</v>
      </c>
      <c r="O90" s="195">
        <f t="shared" si="11"/>
        <v>2976.7986834632438</v>
      </c>
      <c r="P90" s="195">
        <f t="shared" si="10"/>
        <v>3628.4394188077472</v>
      </c>
      <c r="Q90" s="195">
        <f t="shared" si="12"/>
        <v>9009.5487341837797</v>
      </c>
      <c r="R90" s="199">
        <f t="shared" si="13"/>
        <v>0.26686249254531702</v>
      </c>
      <c r="U90" s="200">
        <f t="shared" si="18"/>
        <v>-1.2044425228850741E-2</v>
      </c>
      <c r="V90" s="195">
        <f t="shared" si="14"/>
        <v>0</v>
      </c>
      <c r="W90" s="200">
        <f t="shared" si="14"/>
        <v>0</v>
      </c>
      <c r="X90" s="195">
        <f t="shared" si="17"/>
        <v>-1.2044425228850741E-2</v>
      </c>
      <c r="Y90" s="199">
        <f t="shared" si="16"/>
        <v>1</v>
      </c>
      <c r="AC90" s="251">
        <f t="shared" si="15"/>
        <v>1.3110946742804837</v>
      </c>
    </row>
    <row r="91" spans="1:35" ht="15.6" x14ac:dyDescent="0.3">
      <c r="A91" s="201">
        <v>2020</v>
      </c>
      <c r="B91" s="253">
        <f>(B143/Population_Tables!O9)*Population_Tables!C9</f>
        <v>10908.444615929657</v>
      </c>
      <c r="C91" s="253">
        <f>(C143/Population_Tables!P9)*Population_Tables!D9</f>
        <v>2763.9468054892232</v>
      </c>
      <c r="D91" s="253">
        <f>(D143/Population_Tables!Q9)*Population_Tables!E9</f>
        <v>507.61530266510613</v>
      </c>
      <c r="E91" s="253">
        <f>(E143/Population_Tables!R9)*Population_Tables!F9</f>
        <v>4497.2431561235944</v>
      </c>
      <c r="F91" s="253">
        <f>(F143/Population_Tables!S9)*Population_Tables!G9</f>
        <v>1048.7428944153305</v>
      </c>
      <c r="G91" s="253">
        <f>(G143/Population_Tables!T9)*Population_Tables!H9</f>
        <v>393.03164346324144</v>
      </c>
      <c r="H91" s="253">
        <f>(H143/Population_Tables!U9)*Population_Tables!I9</f>
        <v>3045.9995826031782</v>
      </c>
      <c r="I91" s="253">
        <f>(I143/Population_Tables!V9)*Population_Tables!J9</f>
        <v>979.96817876905391</v>
      </c>
      <c r="J91" s="253">
        <f>(J143/Population_Tables!W9)*Population_Tables!K9</f>
        <v>1134.2595673351702</v>
      </c>
      <c r="K91" s="253">
        <f>(K143/Population_Tables!X9)*Population_Tables!L9</f>
        <v>1230.0799290821146</v>
      </c>
      <c r="L91" s="202"/>
      <c r="M91" s="202"/>
      <c r="N91" s="195">
        <f t="shared" si="9"/>
        <v>2499.986467935747</v>
      </c>
      <c r="O91" s="195">
        <f t="shared" si="11"/>
        <v>3045.9995826031782</v>
      </c>
      <c r="P91" s="195">
        <f t="shared" si="10"/>
        <v>3664.5937516175709</v>
      </c>
      <c r="Q91" s="195">
        <f t="shared" si="12"/>
        <v>9210.5798021564951</v>
      </c>
      <c r="R91" s="203">
        <f t="shared" si="13"/>
        <v>0.27142552604021947</v>
      </c>
      <c r="S91" s="202"/>
      <c r="T91" s="202"/>
      <c r="U91" s="204">
        <f>N91-N143</f>
        <v>-1.2104169492886285E-2</v>
      </c>
      <c r="V91" s="195">
        <f t="shared" si="14"/>
        <v>0</v>
      </c>
      <c r="W91" s="204">
        <f t="shared" si="14"/>
        <v>0</v>
      </c>
      <c r="X91" s="195">
        <f t="shared" si="17"/>
        <v>-1.2104169492886285E-2</v>
      </c>
      <c r="Y91" s="205">
        <f>U91/X91</f>
        <v>1</v>
      </c>
      <c r="AC91" s="251">
        <f t="shared" si="15"/>
        <v>1.3002353610239932</v>
      </c>
    </row>
    <row r="92" spans="1:35" ht="15.6" x14ac:dyDescent="0.3">
      <c r="A92" s="206">
        <v>2021</v>
      </c>
      <c r="B92" s="253">
        <f>(B144/Population_Tables!O10)*Population_Tables!C10</f>
        <v>11189.526228807999</v>
      </c>
      <c r="C92" s="253">
        <f>(C144/Population_Tables!P10)*Population_Tables!D10</f>
        <v>2788.6356150444499</v>
      </c>
      <c r="D92" s="253">
        <f>(D144/Population_Tables!Q10)*Population_Tables!E10</f>
        <v>514.87498340930961</v>
      </c>
      <c r="E92" s="253">
        <f>(E144/Population_Tables!R10)*Population_Tables!F10</f>
        <v>4641.5169286764913</v>
      </c>
      <c r="F92" s="253">
        <f>(F144/Population_Tables!S10)*Population_Tables!G10</f>
        <v>1082.2948819795288</v>
      </c>
      <c r="G92" s="253">
        <f>(G144/Population_Tables!T10)*Population_Tables!H10</f>
        <v>401.26174699791159</v>
      </c>
      <c r="H92" s="253">
        <f>(H144/Population_Tables!U10)*Population_Tables!I10</f>
        <v>3119.5324614873771</v>
      </c>
      <c r="I92" s="253">
        <f>(I144/Population_Tables!V10)*Population_Tables!J10</f>
        <v>1031.9825931359508</v>
      </c>
      <c r="J92" s="253">
        <f>(J144/Population_Tables!W10)*Population_Tables!K10</f>
        <v>1143.4909982119539</v>
      </c>
      <c r="K92" s="253">
        <f>(K144/Population_Tables!X10)*Population_Tables!L10</f>
        <v>1243.9001066395401</v>
      </c>
      <c r="L92" s="170"/>
      <c r="M92" s="170"/>
      <c r="N92" s="195">
        <f t="shared" si="9"/>
        <v>2604.2793491686425</v>
      </c>
      <c r="O92" s="195">
        <f t="shared" si="11"/>
        <v>3119.5324614873771</v>
      </c>
      <c r="P92" s="195">
        <f t="shared" si="10"/>
        <v>3704.7723454516708</v>
      </c>
      <c r="Q92" s="195">
        <f t="shared" si="12"/>
        <v>9428.5841561076904</v>
      </c>
      <c r="R92" s="196">
        <f t="shared" si="13"/>
        <v>0.27621107326932337</v>
      </c>
      <c r="S92" s="170"/>
      <c r="T92" s="170"/>
      <c r="U92" s="195">
        <f t="shared" si="18"/>
        <v>3.7142428880151783</v>
      </c>
      <c r="V92" s="195">
        <f t="shared" si="14"/>
        <v>3.2700637597890818</v>
      </c>
      <c r="W92" s="195">
        <f t="shared" si="14"/>
        <v>4.2580279190842703</v>
      </c>
      <c r="X92" s="195">
        <f t="shared" si="17"/>
        <v>11.24233456688853</v>
      </c>
      <c r="Y92" s="207">
        <f t="shared" si="16"/>
        <v>0.33038003502889396</v>
      </c>
      <c r="AC92" s="251">
        <f t="shared" si="15"/>
        <v>1.2570376634359752</v>
      </c>
    </row>
    <row r="93" spans="1:35" ht="15.6" x14ac:dyDescent="0.3">
      <c r="A93" s="206">
        <v>2022</v>
      </c>
      <c r="B93" s="253">
        <f>(B145/Population_Tables!O11)*Population_Tables!C11</f>
        <v>11477.17552089848</v>
      </c>
      <c r="C93" s="253">
        <f>(C145/Population_Tables!P11)*Population_Tables!D11</f>
        <v>2813.8982786366714</v>
      </c>
      <c r="D93" s="253">
        <f>(D145/Population_Tables!Q11)*Population_Tables!E11</f>
        <v>522.43942718131154</v>
      </c>
      <c r="E93" s="253">
        <f>(E145/Population_Tables!R11)*Population_Tables!F11</f>
        <v>4789.6878201955469</v>
      </c>
      <c r="F93" s="253">
        <f>(F145/Population_Tables!S11)*Population_Tables!G11</f>
        <v>1117.4636278086678</v>
      </c>
      <c r="G93" s="253">
        <f>(G145/Population_Tables!T11)*Population_Tables!H11</f>
        <v>409.64486085085264</v>
      </c>
      <c r="H93" s="253">
        <f>(H145/Population_Tables!U11)*Population_Tables!I11</f>
        <v>3191.731770151232</v>
      </c>
      <c r="I93" s="253">
        <f>(I145/Population_Tables!V11)*Population_Tables!J11</f>
        <v>1087.9715090399438</v>
      </c>
      <c r="J93" s="253">
        <f>(J145/Population_Tables!W11)*Population_Tables!K11</f>
        <v>1152.5771139428557</v>
      </c>
      <c r="K93" s="253">
        <f>(K145/Population_Tables!X11)*Population_Tables!L11</f>
        <v>1258.2938830183361</v>
      </c>
      <c r="L93" s="170"/>
      <c r="M93" s="170"/>
      <c r="N93" s="195">
        <f t="shared" si="9"/>
        <v>2715.4196778529831</v>
      </c>
      <c r="O93" s="195">
        <f t="shared" si="11"/>
        <v>3191.731770151232</v>
      </c>
      <c r="P93" s="195">
        <f t="shared" si="10"/>
        <v>3745.9825666688357</v>
      </c>
      <c r="Q93" s="195">
        <f t="shared" si="12"/>
        <v>9653.1340146730508</v>
      </c>
      <c r="R93" s="196">
        <f t="shared" si="13"/>
        <v>0.28129928308520991</v>
      </c>
      <c r="S93" s="170"/>
      <c r="T93" s="170"/>
      <c r="U93" s="195">
        <f t="shared" si="18"/>
        <v>9.0102186503045232</v>
      </c>
      <c r="V93" s="195">
        <f t="shared" si="14"/>
        <v>7.4522493456424854</v>
      </c>
      <c r="W93" s="195">
        <f t="shared" si="14"/>
        <v>9.5395266141649699</v>
      </c>
      <c r="X93" s="195">
        <f t="shared" si="17"/>
        <v>26.001994610111979</v>
      </c>
      <c r="Y93" s="207">
        <f t="shared" si="16"/>
        <v>0.34652028759364933</v>
      </c>
      <c r="AC93" s="251">
        <f t="shared" si="15"/>
        <v>1.2450542136768843</v>
      </c>
    </row>
    <row r="94" spans="1:35" ht="15.6" x14ac:dyDescent="0.3">
      <c r="A94" s="206">
        <v>2023</v>
      </c>
      <c r="B94" s="253">
        <f>(B146/Population_Tables!O12)*Population_Tables!C12</f>
        <v>11773.190728371497</v>
      </c>
      <c r="C94" s="253">
        <f>(C146/Population_Tables!P12)*Population_Tables!D12</f>
        <v>2839.7128187081348</v>
      </c>
      <c r="D94" s="253">
        <f>(D146/Population_Tables!Q12)*Population_Tables!E12</f>
        <v>530.14111472454897</v>
      </c>
      <c r="E94" s="253">
        <f>(E146/Population_Tables!R12)*Population_Tables!F12</f>
        <v>4942.780009650678</v>
      </c>
      <c r="F94" s="253">
        <f>(F146/Population_Tables!S12)*Population_Tables!G12</f>
        <v>1154.0393818290456</v>
      </c>
      <c r="G94" s="253">
        <f>(G146/Population_Tables!T12)*Population_Tables!H12</f>
        <v>418.19904913146797</v>
      </c>
      <c r="H94" s="253">
        <f>(H146/Population_Tables!U12)*Population_Tables!I12</f>
        <v>3263.6380083642443</v>
      </c>
      <c r="I94" s="253">
        <f>(I146/Population_Tables!V12)*Population_Tables!J12</f>
        <v>1147.5608831757086</v>
      </c>
      <c r="J94" s="253">
        <f>(J146/Population_Tables!W12)*Population_Tables!K12</f>
        <v>1161.8359279323113</v>
      </c>
      <c r="K94" s="253">
        <f>(K146/Population_Tables!X12)*Population_Tables!L12</f>
        <v>1273.1382016554871</v>
      </c>
      <c r="L94" s="170"/>
      <c r="M94" s="170"/>
      <c r="N94" s="195">
        <f t="shared" si="9"/>
        <v>2833.1813831154795</v>
      </c>
      <c r="O94" s="195">
        <f t="shared" si="11"/>
        <v>3263.6380083642443</v>
      </c>
      <c r="P94" s="195">
        <f t="shared" si="10"/>
        <v>3788.0529825641515</v>
      </c>
      <c r="Q94" s="195">
        <f t="shared" si="12"/>
        <v>9884.8723740438763</v>
      </c>
      <c r="R94" s="196">
        <f t="shared" si="13"/>
        <v>0.28661790217494049</v>
      </c>
      <c r="S94" s="170"/>
      <c r="T94" s="170"/>
      <c r="U94" s="195">
        <f>N94-N146</f>
        <v>15.756477128568804</v>
      </c>
      <c r="V94" s="195">
        <f t="shared" si="14"/>
        <v>12.454990689207989</v>
      </c>
      <c r="W94" s="195">
        <f t="shared" si="14"/>
        <v>15.739315076027651</v>
      </c>
      <c r="X94" s="195">
        <f t="shared" si="17"/>
        <v>43.950782893804444</v>
      </c>
      <c r="Y94" s="207">
        <f t="shared" si="16"/>
        <v>0.35850276357170258</v>
      </c>
      <c r="AC94" s="251">
        <f t="shared" si="15"/>
        <v>1.2373578504141176</v>
      </c>
    </row>
    <row r="95" spans="1:35" ht="15.6" x14ac:dyDescent="0.3">
      <c r="A95" s="206">
        <v>2024</v>
      </c>
      <c r="B95" s="253">
        <f>(B147/Population_Tables!O13)*Population_Tables!C13</f>
        <v>12077.532919593707</v>
      </c>
      <c r="C95" s="253">
        <f>(C147/Population_Tables!P13)*Population_Tables!D13</f>
        <v>2866.0072531615579</v>
      </c>
      <c r="D95" s="253">
        <f>(D147/Population_Tables!Q13)*Population_Tables!E13</f>
        <v>537.9727066660505</v>
      </c>
      <c r="E95" s="253">
        <f>(E147/Population_Tables!R13)*Population_Tables!F13</f>
        <v>5100.6354982649164</v>
      </c>
      <c r="F95" s="253">
        <f>(F147/Population_Tables!S13)*Population_Tables!G13</f>
        <v>1192.1110385167988</v>
      </c>
      <c r="G95" s="253">
        <f>(G147/Population_Tables!T13)*Population_Tables!H13</f>
        <v>426.97415196665202</v>
      </c>
      <c r="H95" s="253">
        <f>(H147/Population_Tables!U13)*Population_Tables!I13</f>
        <v>3335.2129491577643</v>
      </c>
      <c r="I95" s="253">
        <f>(I147/Population_Tables!V13)*Population_Tables!J13</f>
        <v>1210.718452704104</v>
      </c>
      <c r="J95" s="253">
        <f>(J147/Population_Tables!W13)*Population_Tables!K13</f>
        <v>1171.2391907102738</v>
      </c>
      <c r="K95" s="253">
        <f>(K147/Population_Tables!X13)*Population_Tables!L13</f>
        <v>1288.3639787651023</v>
      </c>
      <c r="L95" s="170"/>
      <c r="M95" s="170"/>
      <c r="N95" s="195">
        <f t="shared" si="9"/>
        <v>2957.5335876239506</v>
      </c>
      <c r="O95" s="195">
        <f t="shared" si="11"/>
        <v>3335.2129491577643</v>
      </c>
      <c r="P95" s="195">
        <f t="shared" si="10"/>
        <v>3830.9541117942608</v>
      </c>
      <c r="Q95" s="195">
        <f t="shared" si="12"/>
        <v>10123.700648575976</v>
      </c>
      <c r="R95" s="196">
        <f t="shared" si="13"/>
        <v>0.29213957329328621</v>
      </c>
      <c r="S95" s="170"/>
      <c r="T95" s="170"/>
      <c r="U95" s="195">
        <f t="shared" si="18"/>
        <v>23.904001131527821</v>
      </c>
      <c r="V95" s="195">
        <f t="shared" si="14"/>
        <v>18.203043571425496</v>
      </c>
      <c r="W95" s="195">
        <f t="shared" si="14"/>
        <v>22.803546000083315</v>
      </c>
      <c r="X95" s="195">
        <f t="shared" si="17"/>
        <v>64.910590703036632</v>
      </c>
      <c r="Y95" s="207">
        <f t="shared" si="16"/>
        <v>0.36826041594487524</v>
      </c>
      <c r="AC95" s="251">
        <f t="shared" si="15"/>
        <v>1.2333911663240809</v>
      </c>
    </row>
    <row r="96" spans="1:35" ht="15.6" x14ac:dyDescent="0.3">
      <c r="A96" s="206">
        <v>2025</v>
      </c>
      <c r="B96" s="253">
        <f>(B148/Population_Tables!O14)*Population_Tables!C14</f>
        <v>12390.203734211467</v>
      </c>
      <c r="C96" s="253">
        <f>(C148/Population_Tables!P14)*Population_Tables!D14</f>
        <v>2892.723891378846</v>
      </c>
      <c r="D96" s="253">
        <f>(D148/Population_Tables!Q14)*Population_Tables!E14</f>
        <v>545.93032502042649</v>
      </c>
      <c r="E96" s="253">
        <f>(E148/Population_Tables!R14)*Population_Tables!F14</f>
        <v>5263.1352118922669</v>
      </c>
      <c r="F96" s="253">
        <f>(F148/Population_Tables!S14)*Population_Tables!G14</f>
        <v>1231.7704946096333</v>
      </c>
      <c r="G96" s="253">
        <f>(G148/Population_Tables!T14)*Population_Tables!H14</f>
        <v>436.00802743111143</v>
      </c>
      <c r="H96" s="253">
        <f>(H148/Population_Tables!U14)*Population_Tables!I14</f>
        <v>3406.4321118819453</v>
      </c>
      <c r="I96" s="253">
        <f>(I148/Population_Tables!V14)*Population_Tables!J14</f>
        <v>1277.4232931696947</v>
      </c>
      <c r="J96" s="253">
        <f>(J148/Population_Tables!W14)*Population_Tables!K14</f>
        <v>1180.7646210837806</v>
      </c>
      <c r="K96" s="253">
        <f>(K148/Population_Tables!X14)*Population_Tables!L14</f>
        <v>1303.9189764810919</v>
      </c>
      <c r="L96" s="170"/>
      <c r="M96" s="170"/>
      <c r="N96" s="195">
        <f t="shared" si="9"/>
        <v>3088.4735946199553</v>
      </c>
      <c r="O96" s="195">
        <f t="shared" si="11"/>
        <v>3406.4321118819453</v>
      </c>
      <c r="P96" s="195">
        <f t="shared" si="10"/>
        <v>3874.6622438303839</v>
      </c>
      <c r="Q96" s="195">
        <f t="shared" si="12"/>
        <v>10369.567950332284</v>
      </c>
      <c r="R96" s="196">
        <f t="shared" si="13"/>
        <v>0.29784014236783968</v>
      </c>
      <c r="S96" s="170"/>
      <c r="T96" s="170"/>
      <c r="U96" s="195">
        <f t="shared" si="18"/>
        <v>33.432452899074633</v>
      </c>
      <c r="V96" s="195">
        <f t="shared" si="14"/>
        <v>24.639885164166117</v>
      </c>
      <c r="W96" s="195">
        <f t="shared" si="14"/>
        <v>30.692078112978834</v>
      </c>
      <c r="X96" s="195">
        <f t="shared" si="17"/>
        <v>88.764416176219584</v>
      </c>
      <c r="Y96" s="207">
        <f t="shared" si="16"/>
        <v>0.37664251441369079</v>
      </c>
      <c r="AC96" s="251">
        <f t="shared" si="15"/>
        <v>1.232026962193165</v>
      </c>
    </row>
    <row r="97" spans="1:29" ht="15.6" x14ac:dyDescent="0.3">
      <c r="A97" s="206">
        <v>2026</v>
      </c>
      <c r="B97" s="253">
        <f>(B149/Population_Tables!O15)*Population_Tables!C15</f>
        <v>12711.1461680346</v>
      </c>
      <c r="C97" s="253">
        <f>(C149/Population_Tables!P15)*Population_Tables!D15</f>
        <v>2919.8178861260731</v>
      </c>
      <c r="D97" s="253">
        <f>(D149/Population_Tables!Q15)*Population_Tables!E15</f>
        <v>554.01983520693602</v>
      </c>
      <c r="E97" s="253">
        <f>(E149/Population_Tables!R15)*Population_Tables!F15</f>
        <v>5430.1796542371549</v>
      </c>
      <c r="F97" s="253">
        <f>(F149/Population_Tables!S15)*Population_Tables!G15</f>
        <v>1273.1052066559298</v>
      </c>
      <c r="G97" s="253">
        <f>(G149/Population_Tables!T15)*Population_Tables!H15</f>
        <v>445.3038081905417</v>
      </c>
      <c r="H97" s="253">
        <f>(H149/Population_Tables!U15)*Population_Tables!I15</f>
        <v>3477.2726868471714</v>
      </c>
      <c r="I97" s="253">
        <f>(I149/Population_Tables!V15)*Population_Tables!J15</f>
        <v>1347.6607235805657</v>
      </c>
      <c r="J97" s="253">
        <f>(J149/Population_Tables!W15)*Population_Tables!K15</f>
        <v>1190.3914704872598</v>
      </c>
      <c r="K97" s="253">
        <f>(K149/Population_Tables!X15)*Population_Tables!L15</f>
        <v>1319.7735765786663</v>
      </c>
      <c r="L97" s="170"/>
      <c r="M97" s="170"/>
      <c r="N97" s="195">
        <f t="shared" si="9"/>
        <v>3226.0121740459131</v>
      </c>
      <c r="O97" s="195">
        <f t="shared" si="11"/>
        <v>3477.2726868471714</v>
      </c>
      <c r="P97" s="195">
        <f t="shared" si="10"/>
        <v>3919.1415295235506</v>
      </c>
      <c r="Q97" s="195">
        <f t="shared" si="12"/>
        <v>10622.426390416635</v>
      </c>
      <c r="R97" s="196">
        <f t="shared" si="13"/>
        <v>0.30369823762265508</v>
      </c>
      <c r="S97" s="170"/>
      <c r="T97" s="170"/>
      <c r="U97" s="195">
        <f>N97-N149</f>
        <v>44.336979238310505</v>
      </c>
      <c r="V97" s="195">
        <f t="shared" si="14"/>
        <v>31.731232054884913</v>
      </c>
      <c r="W97" s="195">
        <f t="shared" si="14"/>
        <v>39.364834852244257</v>
      </c>
      <c r="X97" s="195">
        <f t="shared" si="17"/>
        <v>115.43304614543968</v>
      </c>
      <c r="Y97" s="207">
        <f t="shared" si="16"/>
        <v>0.3840926036245132</v>
      </c>
      <c r="AC97" s="251">
        <f t="shared" si="15"/>
        <v>1.2320548822559081</v>
      </c>
    </row>
    <row r="98" spans="1:29" ht="15.6" x14ac:dyDescent="0.3">
      <c r="A98" s="206">
        <v>2027</v>
      </c>
      <c r="B98" s="253">
        <f>(B150/Population_Tables!O16)*Population_Tables!C16</f>
        <v>13040.293812945685</v>
      </c>
      <c r="C98" s="253">
        <f>(C150/Population_Tables!P16)*Population_Tables!D16</f>
        <v>2947.2532572206342</v>
      </c>
      <c r="D98" s="253">
        <f>(D150/Population_Tables!Q16)*Population_Tables!E16</f>
        <v>562.24965506274145</v>
      </c>
      <c r="E98" s="253">
        <f>(E150/Population_Tables!R16)*Population_Tables!F16</f>
        <v>5601.7169939348687</v>
      </c>
      <c r="F98" s="253">
        <f>(F150/Population_Tables!S16)*Population_Tables!G16</f>
        <v>1316.1963933831362</v>
      </c>
      <c r="G98" s="253">
        <f>(G150/Population_Tables!T16)*Population_Tables!H16</f>
        <v>454.84118080182003</v>
      </c>
      <c r="H98" s="253">
        <f>(H150/Population_Tables!U16)*Population_Tables!I16</f>
        <v>3547.7305603009941</v>
      </c>
      <c r="I98" s="253">
        <f>(I150/Population_Tables!V16)*Population_Tables!J16</f>
        <v>1421.4316419845306</v>
      </c>
      <c r="J98" s="253">
        <f>(J150/Population_Tables!W16)*Population_Tables!K16</f>
        <v>1200.1062340525368</v>
      </c>
      <c r="K98" s="253">
        <f>(K150/Population_Tables!X16)*Population_Tables!L16</f>
        <v>1335.9173641772363</v>
      </c>
      <c r="L98" s="170"/>
      <c r="M98" s="170"/>
      <c r="N98" s="195">
        <f t="shared" si="9"/>
        <v>3370.1828270170113</v>
      </c>
      <c r="O98" s="195">
        <f t="shared" si="11"/>
        <v>3547.7305603009941</v>
      </c>
      <c r="P98" s="195">
        <f t="shared" si="10"/>
        <v>3964.3440930851957</v>
      </c>
      <c r="Q98" s="195">
        <f t="shared" si="12"/>
        <v>10882.257480403201</v>
      </c>
      <c r="R98" s="196">
        <f t="shared" si="13"/>
        <v>0.30969519266439394</v>
      </c>
      <c r="S98" s="170"/>
      <c r="T98" s="170"/>
      <c r="U98" s="195">
        <f t="shared" si="18"/>
        <v>56.63587741379888</v>
      </c>
      <c r="V98" s="195">
        <f t="shared" si="14"/>
        <v>39.466715994100923</v>
      </c>
      <c r="W98" s="195">
        <f t="shared" si="14"/>
        <v>48.783754925043922</v>
      </c>
      <c r="X98" s="195">
        <f t="shared" si="17"/>
        <v>144.88634833294373</v>
      </c>
      <c r="Y98" s="207">
        <f t="shared" si="16"/>
        <v>0.39089864618336317</v>
      </c>
      <c r="AC98" s="251">
        <f t="shared" si="15"/>
        <v>1.2325590746464552</v>
      </c>
    </row>
    <row r="99" spans="1:29" ht="15.6" x14ac:dyDescent="0.3">
      <c r="A99" s="206">
        <v>2028</v>
      </c>
      <c r="B99" s="253">
        <f>(B151/Population_Tables!O17)*Population_Tables!C17</f>
        <v>13377.740535599014</v>
      </c>
      <c r="C99" s="253">
        <f>(C151/Population_Tables!P17)*Population_Tables!D17</f>
        <v>2975.0090637329695</v>
      </c>
      <c r="D99" s="253">
        <f>(D151/Population_Tables!Q17)*Population_Tables!E17</f>
        <v>570.62257656927125</v>
      </c>
      <c r="E99" s="253">
        <f>(E151/Population_Tables!R17)*Population_Tables!F17</f>
        <v>5777.7827892003952</v>
      </c>
      <c r="F99" s="253">
        <f>(F151/Population_Tables!S17)*Population_Tables!G17</f>
        <v>1361.1335599028585</v>
      </c>
      <c r="G99" s="253">
        <f>(G151/Population_Tables!T17)*Population_Tables!H17</f>
        <v>464.61230090095671</v>
      </c>
      <c r="H99" s="253">
        <f>(H151/Population_Tables!U17)*Population_Tables!I17</f>
        <v>3617.8409256059513</v>
      </c>
      <c r="I99" s="253">
        <f>(I151/Population_Tables!V17)*Population_Tables!J17</f>
        <v>1498.7680799853811</v>
      </c>
      <c r="J99" s="253">
        <f>(J151/Population_Tables!W17)*Population_Tables!K17</f>
        <v>1209.9099248187558</v>
      </c>
      <c r="K99" s="253">
        <f>(K151/Population_Tables!X17)*Population_Tables!L17</f>
        <v>1352.3497962613569</v>
      </c>
      <c r="L99" s="170"/>
      <c r="M99" s="170"/>
      <c r="N99" s="195">
        <f t="shared" si="9"/>
        <v>3521.0754234973028</v>
      </c>
      <c r="O99" s="195">
        <f t="shared" si="11"/>
        <v>3617.8409256059513</v>
      </c>
      <c r="P99" s="195">
        <f t="shared" si="10"/>
        <v>4010.2439412031972</v>
      </c>
      <c r="Q99" s="195">
        <f t="shared" si="12"/>
        <v>11149.160290306452</v>
      </c>
      <c r="R99" s="196">
        <f t="shared" si="13"/>
        <v>0.31581530194329288</v>
      </c>
      <c r="S99" s="170"/>
      <c r="T99" s="170"/>
      <c r="U99" s="195">
        <f t="shared" si="18"/>
        <v>70.402337220992194</v>
      </c>
      <c r="V99" s="195">
        <f t="shared" si="14"/>
        <v>47.858459542118908</v>
      </c>
      <c r="W99" s="195">
        <f t="shared" si="14"/>
        <v>58.938137688677216</v>
      </c>
      <c r="X99" s="195">
        <f t="shared" si="17"/>
        <v>177.19893445178832</v>
      </c>
      <c r="Y99" s="207">
        <f t="shared" si="16"/>
        <v>0.39730677522864577</v>
      </c>
      <c r="AC99" s="251">
        <f t="shared" si="15"/>
        <v>1.2331783287620026</v>
      </c>
    </row>
    <row r="100" spans="1:29" ht="15.6" x14ac:dyDescent="0.3">
      <c r="A100" s="206">
        <v>2029</v>
      </c>
      <c r="B100" s="253">
        <f>(B152/Population_Tables!O18)*Population_Tables!C18</f>
        <v>13723.62793290467</v>
      </c>
      <c r="C100" s="253">
        <f>(C152/Population_Tables!P18)*Population_Tables!D18</f>
        <v>3003.0708890942456</v>
      </c>
      <c r="D100" s="253">
        <f>(D152/Population_Tables!Q18)*Population_Tables!E18</f>
        <v>579.14021050020312</v>
      </c>
      <c r="E100" s="253">
        <f>(E152/Population_Tables!R18)*Population_Tables!F18</f>
        <v>5958.4657987530682</v>
      </c>
      <c r="F100" s="253">
        <f>(F152/Population_Tables!S18)*Population_Tables!G18</f>
        <v>1408.0060972691085</v>
      </c>
      <c r="G100" s="253">
        <f>(G152/Population_Tables!T18)*Population_Tables!H18</f>
        <v>474.60359781584873</v>
      </c>
      <c r="H100" s="253">
        <f>(H152/Population_Tables!U18)*Population_Tables!I18</f>
        <v>3687.6602003571597</v>
      </c>
      <c r="I100" s="253">
        <f>(I152/Population_Tables!V18)*Population_Tables!J18</f>
        <v>1579.7238312614215</v>
      </c>
      <c r="J100" s="253">
        <f>(J152/Population_Tables!W18)*Population_Tables!K18</f>
        <v>1219.809884933333</v>
      </c>
      <c r="K100" s="253">
        <f>(K152/Population_Tables!X18)*Population_Tables!L18</f>
        <v>1369.0809578266601</v>
      </c>
      <c r="L100" s="170"/>
      <c r="M100" s="170"/>
      <c r="N100" s="195">
        <f t="shared" si="9"/>
        <v>3678.8116956650165</v>
      </c>
      <c r="O100" s="195">
        <f t="shared" si="11"/>
        <v>3687.6602003571597</v>
      </c>
      <c r="P100" s="195">
        <f t="shared" si="10"/>
        <v>4056.8146974102974</v>
      </c>
      <c r="Q100" s="195">
        <f t="shared" si="12"/>
        <v>11423.286593432473</v>
      </c>
      <c r="R100" s="196">
        <f t="shared" si="13"/>
        <v>0.32204494438404929</v>
      </c>
      <c r="S100" s="170"/>
      <c r="T100" s="170"/>
      <c r="U100" s="195">
        <f t="shared" si="18"/>
        <v>85.7413950632249</v>
      </c>
      <c r="V100" s="195">
        <f t="shared" si="14"/>
        <v>56.936619836519185</v>
      </c>
      <c r="W100" s="195">
        <f t="shared" si="14"/>
        <v>69.82418894476632</v>
      </c>
      <c r="X100" s="195">
        <f t="shared" si="17"/>
        <v>212.5022038445104</v>
      </c>
      <c r="Y100" s="207">
        <f t="shared" si="16"/>
        <v>0.40348473339110674</v>
      </c>
      <c r="AC100" s="251">
        <f t="shared" si="15"/>
        <v>1.2336337907448724</v>
      </c>
    </row>
    <row r="101" spans="1:29" ht="15.6" x14ac:dyDescent="0.3">
      <c r="A101" s="206">
        <v>2030</v>
      </c>
      <c r="B101" s="253">
        <f>(B153/Population_Tables!O19)*Population_Tables!C19</f>
        <v>14086.436870127698</v>
      </c>
      <c r="C101" s="253">
        <f>(C153/Population_Tables!P19)*Population_Tables!D19</f>
        <v>3031.5861855213066</v>
      </c>
      <c r="D101" s="253">
        <f>(D153/Population_Tables!Q19)*Population_Tables!E19</f>
        <v>587.14990300684701</v>
      </c>
      <c r="E101" s="253">
        <f>(E153/Population_Tables!R19)*Population_Tables!F19</f>
        <v>6148.9949216241948</v>
      </c>
      <c r="F101" s="253">
        <f>(F153/Population_Tables!S19)*Population_Tables!G19</f>
        <v>1455.8005295099854</v>
      </c>
      <c r="G101" s="253">
        <f>(G153/Population_Tables!T19)*Population_Tables!H19</f>
        <v>484.79914127541917</v>
      </c>
      <c r="H101" s="253">
        <f>(H153/Population_Tables!U19)*Population_Tables!I19</f>
        <v>3761.7594927995365</v>
      </c>
      <c r="I101" s="253">
        <f>(I153/Population_Tables!V19)*Population_Tables!J19</f>
        <v>1663.0442336677063</v>
      </c>
      <c r="J101" s="253">
        <f>(J153/Population_Tables!W19)*Population_Tables!K19</f>
        <v>1230.5522396969086</v>
      </c>
      <c r="K101" s="253">
        <f>(K153/Population_Tables!X19)*Population_Tables!L19</f>
        <v>1385.9305398284337</v>
      </c>
      <c r="L101" s="170"/>
      <c r="M101" s="170"/>
      <c r="N101" s="195">
        <f t="shared" si="9"/>
        <v>3843.035958334644</v>
      </c>
      <c r="O101" s="195">
        <f t="shared" si="11"/>
        <v>3761.7594927995365</v>
      </c>
      <c r="P101" s="195">
        <f t="shared" si="10"/>
        <v>4103.5352298035732</v>
      </c>
      <c r="Q101" s="195">
        <f t="shared" si="12"/>
        <v>11708.330680937754</v>
      </c>
      <c r="R101" s="196">
        <f t="shared" si="13"/>
        <v>0.32823090353874806</v>
      </c>
      <c r="S101" s="170"/>
      <c r="T101" s="170"/>
      <c r="U101" s="195">
        <f t="shared" si="18"/>
        <v>102.77679137039695</v>
      </c>
      <c r="V101" s="195">
        <f t="shared" si="14"/>
        <v>66.80947254407829</v>
      </c>
      <c r="W101" s="195">
        <f t="shared" si="14"/>
        <v>81.430976226035909</v>
      </c>
      <c r="X101" s="195">
        <f t="shared" si="17"/>
        <v>251.01724014051115</v>
      </c>
      <c r="Y101" s="207">
        <f t="shared" si="16"/>
        <v>0.40944116552658255</v>
      </c>
      <c r="AC101" s="251">
        <f t="shared" si="15"/>
        <v>1.234145164777825</v>
      </c>
    </row>
    <row r="102" spans="1:29" ht="15.6" x14ac:dyDescent="0.3">
      <c r="A102" s="206">
        <v>2031</v>
      </c>
      <c r="B102" s="253">
        <f>(B154/Population_Tables!O20)*Population_Tables!C20</f>
        <v>14441.262077751069</v>
      </c>
      <c r="C102" s="253">
        <f>(C154/Population_Tables!P20)*Population_Tables!D20</f>
        <v>3060.0487446012353</v>
      </c>
      <c r="D102" s="253">
        <f>(D154/Population_Tables!Q20)*Population_Tables!E20</f>
        <v>596.62485553029376</v>
      </c>
      <c r="E102" s="253">
        <f>(E154/Population_Tables!R20)*Population_Tables!F20</f>
        <v>6333.9548554674311</v>
      </c>
      <c r="F102" s="253">
        <f>(F154/Population_Tables!S20)*Population_Tables!G20</f>
        <v>1507.930790973166</v>
      </c>
      <c r="G102" s="253">
        <f>(G154/Population_Tables!T20)*Population_Tables!H20</f>
        <v>495.21283923886591</v>
      </c>
      <c r="H102" s="253">
        <f>(H154/Population_Tables!U20)*Population_Tables!I20</f>
        <v>3826.6007408700079</v>
      </c>
      <c r="I102" s="253">
        <f>(I154/Population_Tables!V20)*Population_Tables!J20</f>
        <v>1752.6929546071708</v>
      </c>
      <c r="J102" s="253">
        <f>(J154/Population_Tables!W20)*Population_Tables!K20</f>
        <v>1239.9118562545586</v>
      </c>
      <c r="K102" s="253">
        <f>(K154/Population_Tables!X20)*Population_Tables!L20</f>
        <v>1403.4553139153436</v>
      </c>
      <c r="L102" s="170"/>
      <c r="M102" s="170"/>
      <c r="N102" s="195">
        <f t="shared" si="9"/>
        <v>4015.2849055705892</v>
      </c>
      <c r="O102" s="195">
        <f t="shared" si="11"/>
        <v>3826.6007408700079</v>
      </c>
      <c r="P102" s="195">
        <f t="shared" si="10"/>
        <v>4151.8864393703952</v>
      </c>
      <c r="Q102" s="195">
        <f t="shared" si="12"/>
        <v>11993.772085810993</v>
      </c>
      <c r="R102" s="196">
        <f t="shared" si="13"/>
        <v>0.33478082431804723</v>
      </c>
      <c r="S102" s="170"/>
      <c r="T102" s="170"/>
      <c r="U102" s="195">
        <f t="shared" si="18"/>
        <v>121.54139635485672</v>
      </c>
      <c r="V102" s="195">
        <f t="shared" si="14"/>
        <v>77.238072930157159</v>
      </c>
      <c r="W102" s="195">
        <f t="shared" si="14"/>
        <v>93.773874642507053</v>
      </c>
      <c r="X102" s="195">
        <f t="shared" si="17"/>
        <v>292.55334392752093</v>
      </c>
      <c r="Y102" s="207">
        <f t="shared" si="16"/>
        <v>0.41545037470147039</v>
      </c>
      <c r="AC102" s="251">
        <f t="shared" si="15"/>
        <v>1.2338382206438994</v>
      </c>
    </row>
    <row r="103" spans="1:29" ht="15.6" x14ac:dyDescent="0.3">
      <c r="A103" s="206">
        <v>2032</v>
      </c>
      <c r="B103" s="253">
        <f>(B155/Population_Tables!O21)*Population_Tables!C21</f>
        <v>14812.947569859778</v>
      </c>
      <c r="C103" s="253">
        <f>(C155/Population_Tables!P21)*Population_Tables!D21</f>
        <v>3088.876753162589</v>
      </c>
      <c r="D103" s="253">
        <f>(D155/Population_Tables!Q21)*Population_Tables!E21</f>
        <v>605.59775225688441</v>
      </c>
      <c r="E103" s="253">
        <f>(E155/Population_Tables!R21)*Population_Tables!F21</f>
        <v>6528.6590427372557</v>
      </c>
      <c r="F103" s="253">
        <f>(F155/Population_Tables!S21)*Population_Tables!G21</f>
        <v>1561.1523771135608</v>
      </c>
      <c r="G103" s="253">
        <f>(G155/Population_Tables!T21)*Population_Tables!H21</f>
        <v>505.82559055493647</v>
      </c>
      <c r="H103" s="253">
        <f>(H155/Population_Tables!U21)*Population_Tables!I21</f>
        <v>3895.707528080075</v>
      </c>
      <c r="I103" s="253">
        <f>(I155/Population_Tables!V21)*Population_Tables!J21</f>
        <v>1844.7158682304046</v>
      </c>
      <c r="J103" s="253">
        <f>(J155/Population_Tables!W21)*Population_Tables!K21</f>
        <v>1250.0873623477266</v>
      </c>
      <c r="K103" s="253">
        <f>(K155/Population_Tables!X21)*Population_Tables!L21</f>
        <v>1421.0587710574971</v>
      </c>
      <c r="L103" s="170"/>
      <c r="M103" s="170"/>
      <c r="N103" s="195">
        <f t="shared" si="9"/>
        <v>4194.103891770741</v>
      </c>
      <c r="O103" s="195">
        <f t="shared" si="11"/>
        <v>3895.707528080075</v>
      </c>
      <c r="P103" s="195">
        <f t="shared" si="10"/>
        <v>4200.3000959744104</v>
      </c>
      <c r="Q103" s="195">
        <f t="shared" si="12"/>
        <v>12290.111515825225</v>
      </c>
      <c r="R103" s="196">
        <f t="shared" si="13"/>
        <v>0.3412584081413948</v>
      </c>
      <c r="S103" s="170"/>
      <c r="T103" s="170"/>
      <c r="U103" s="195">
        <f t="shared" si="18"/>
        <v>142.05157964144746</v>
      </c>
      <c r="V103" s="195">
        <f t="shared" si="14"/>
        <v>88.414856748219336</v>
      </c>
      <c r="W103" s="195">
        <f t="shared" si="14"/>
        <v>106.76181031206079</v>
      </c>
      <c r="X103" s="195">
        <f t="shared" si="17"/>
        <v>337.22824670172758</v>
      </c>
      <c r="Y103" s="207">
        <f t="shared" si="16"/>
        <v>0.42123274378937053</v>
      </c>
      <c r="AC103" s="251">
        <f t="shared" si="15"/>
        <v>1.2337617752568888</v>
      </c>
    </row>
    <row r="104" spans="1:29" ht="15.6" x14ac:dyDescent="0.3">
      <c r="A104" s="206">
        <v>2033</v>
      </c>
      <c r="B104" s="253">
        <f>(B156/Population_Tables!O22)*Population_Tables!C22</f>
        <v>15192.652155896922</v>
      </c>
      <c r="C104" s="253">
        <f>(C156/Population_Tables!P22)*Population_Tables!D22</f>
        <v>3117.7815811758414</v>
      </c>
      <c r="D104" s="253">
        <f>(D156/Population_Tables!Q22)*Population_Tables!E22</f>
        <v>614.71694212759348</v>
      </c>
      <c r="E104" s="253">
        <f>(E156/Population_Tables!R22)*Population_Tables!F22</f>
        <v>6727.7017444458806</v>
      </c>
      <c r="F104" s="253">
        <f>(F156/Population_Tables!S22)*Population_Tables!G22</f>
        <v>1616.6013167606486</v>
      </c>
      <c r="G104" s="253">
        <f>(G156/Population_Tables!T22)*Population_Tables!H22</f>
        <v>516.62002176722956</v>
      </c>
      <c r="H104" s="253">
        <f>(H156/Population_Tables!U22)*Population_Tables!I22</f>
        <v>3964.4753887286502</v>
      </c>
      <c r="I104" s="253">
        <f>(I156/Population_Tables!V22)*Population_Tables!J22</f>
        <v>1940.3509303976061</v>
      </c>
      <c r="J104" s="253">
        <f>(J156/Population_Tables!W22)*Population_Tables!K22</f>
        <v>1260.2975529477283</v>
      </c>
      <c r="K104" s="253">
        <f>(K156/Population_Tables!X22)*Population_Tables!L22</f>
        <v>1438.8758813462744</v>
      </c>
      <c r="L104" s="170"/>
      <c r="M104" s="170"/>
      <c r="N104" s="195">
        <f t="shared" si="9"/>
        <v>4379.8276724778789</v>
      </c>
      <c r="O104" s="195">
        <f t="shared" si="11"/>
        <v>3964.4753887286502</v>
      </c>
      <c r="P104" s="195">
        <f t="shared" si="10"/>
        <v>4249.1185450706644</v>
      </c>
      <c r="Q104" s="195">
        <f t="shared" si="12"/>
        <v>12593.421606277192</v>
      </c>
      <c r="R104" s="196">
        <f t="shared" si="13"/>
        <v>0.34778694856803283</v>
      </c>
      <c r="S104" s="170"/>
      <c r="T104" s="170"/>
      <c r="U104" s="195">
        <f t="shared" si="18"/>
        <v>164.13891381834401</v>
      </c>
      <c r="V104" s="195">
        <f t="shared" si="14"/>
        <v>100.14711599578095</v>
      </c>
      <c r="W104" s="195">
        <f t="shared" si="14"/>
        <v>120.25888950660283</v>
      </c>
      <c r="X104" s="195">
        <f t="shared" si="17"/>
        <v>384.54491932072779</v>
      </c>
      <c r="Y104" s="207">
        <f t="shared" si="16"/>
        <v>0.42683937707013303</v>
      </c>
      <c r="AC104" s="251">
        <f t="shared" si="15"/>
        <v>1.2335772152823601</v>
      </c>
    </row>
    <row r="105" spans="1:29" ht="15.6" x14ac:dyDescent="0.3">
      <c r="A105" s="206">
        <v>2034</v>
      </c>
      <c r="B105" s="253">
        <f>(B157/Population_Tables!O23)*Population_Tables!C23</f>
        <v>15579.646977386186</v>
      </c>
      <c r="C105" s="253">
        <f>(C157/Population_Tables!P23)*Population_Tables!D23</f>
        <v>3146.6003867505228</v>
      </c>
      <c r="D105" s="253">
        <f>(D157/Population_Tables!Q23)*Population_Tables!E23</f>
        <v>623.96974518147533</v>
      </c>
      <c r="E105" s="253">
        <f>(E157/Population_Tables!R23)*Population_Tables!F23</f>
        <v>6930.709377790381</v>
      </c>
      <c r="F105" s="253">
        <f>(F157/Population_Tables!S23)*Population_Tables!G23</f>
        <v>1674.2850399357553</v>
      </c>
      <c r="G105" s="253">
        <f>(G157/Population_Tables!T23)*Population_Tables!H23</f>
        <v>527.56659224612929</v>
      </c>
      <c r="H105" s="253">
        <f>(H157/Population_Tables!U23)*Population_Tables!I23</f>
        <v>4032.777432162713</v>
      </c>
      <c r="I105" s="253">
        <f>(I157/Population_Tables!V23)*Population_Tables!J23</f>
        <v>2039.4775187046062</v>
      </c>
      <c r="J105" s="253">
        <f>(J157/Population_Tables!W23)*Population_Tables!K23</f>
        <v>1270.4878002382188</v>
      </c>
      <c r="K105" s="253">
        <f>(K157/Population_Tables!X23)*Population_Tables!L23</f>
        <v>1456.8378271139261</v>
      </c>
      <c r="L105" s="170"/>
      <c r="M105" s="170"/>
      <c r="N105" s="195">
        <f t="shared" si="9"/>
        <v>4572.2169855634238</v>
      </c>
      <c r="O105" s="195">
        <f t="shared" si="11"/>
        <v>4032.777432162713</v>
      </c>
      <c r="P105" s="195">
        <f t="shared" si="10"/>
        <v>4298.1367241781272</v>
      </c>
      <c r="Q105" s="195">
        <f t="shared" si="12"/>
        <v>12903.131141904263</v>
      </c>
      <c r="R105" s="196">
        <f t="shared" si="13"/>
        <v>0.35434941606651371</v>
      </c>
      <c r="S105" s="170"/>
      <c r="T105" s="170"/>
      <c r="U105" s="195">
        <f t="shared" si="18"/>
        <v>187.55921745923024</v>
      </c>
      <c r="V105" s="195">
        <f t="shared" si="14"/>
        <v>112.27880814983928</v>
      </c>
      <c r="W105" s="195">
        <f t="shared" si="14"/>
        <v>134.07383066789043</v>
      </c>
      <c r="X105" s="195">
        <f t="shared" si="17"/>
        <v>433.91185627695995</v>
      </c>
      <c r="Y105" s="207">
        <f t="shared" si="16"/>
        <v>0.43225188421565919</v>
      </c>
      <c r="AC105" s="251">
        <f t="shared" si="15"/>
        <v>1.233280343520796</v>
      </c>
    </row>
    <row r="106" spans="1:29" ht="15.6" x14ac:dyDescent="0.3">
      <c r="A106" s="206">
        <v>2035</v>
      </c>
      <c r="B106" s="253">
        <f>(B158/Population_Tables!O24)*Population_Tables!C24</f>
        <v>15973.389678440386</v>
      </c>
      <c r="C106" s="253">
        <f>(C158/Population_Tables!P24)*Population_Tables!D24</f>
        <v>3175.2062983228566</v>
      </c>
      <c r="D106" s="253">
        <f>(D158/Population_Tables!Q24)*Population_Tables!E24</f>
        <v>633.34749659611668</v>
      </c>
      <c r="E106" s="253">
        <f>(E158/Population_Tables!R24)*Population_Tables!F24</f>
        <v>7137.3857982111467</v>
      </c>
      <c r="F106" s="253">
        <f>(F158/Population_Tables!S24)*Population_Tables!G24</f>
        <v>1734.2327387340631</v>
      </c>
      <c r="G106" s="253">
        <f>(G158/Population_Tables!T24)*Population_Tables!H24</f>
        <v>538.64250827234673</v>
      </c>
      <c r="H106" s="253">
        <f>(H158/Population_Tables!U24)*Population_Tables!I24</f>
        <v>4100.5148901269758</v>
      </c>
      <c r="I106" s="253">
        <f>(I158/Population_Tables!V24)*Population_Tables!J24</f>
        <v>2141.995777003182</v>
      </c>
      <c r="J106" s="253">
        <f>(J158/Population_Tables!W24)*Population_Tables!K24</f>
        <v>1280.6158957411444</v>
      </c>
      <c r="K106" s="253">
        <f>(K158/Population_Tables!X24)*Population_Tables!L24</f>
        <v>1474.8920067896115</v>
      </c>
      <c r="L106" s="170"/>
      <c r="M106" s="170"/>
      <c r="N106" s="195">
        <f t="shared" si="9"/>
        <v>4771.1036468182347</v>
      </c>
      <c r="O106" s="195">
        <f t="shared" si="11"/>
        <v>4100.5148901269758</v>
      </c>
      <c r="P106" s="195">
        <f t="shared" si="10"/>
        <v>4347.1963031913201</v>
      </c>
      <c r="Q106" s="195">
        <f t="shared" si="12"/>
        <v>13218.814840136529</v>
      </c>
      <c r="R106" s="196">
        <f t="shared" si="13"/>
        <v>0.36093278440754351</v>
      </c>
      <c r="S106" s="170"/>
      <c r="T106" s="170"/>
      <c r="U106" s="195">
        <f t="shared" si="18"/>
        <v>212.13556021935892</v>
      </c>
      <c r="V106" s="195">
        <f t="shared" si="14"/>
        <v>124.68709349765686</v>
      </c>
      <c r="W106" s="195">
        <f t="shared" si="14"/>
        <v>148.06045020604961</v>
      </c>
      <c r="X106" s="195">
        <f t="shared" si="17"/>
        <v>484.88310392306539</v>
      </c>
      <c r="Y106" s="207">
        <f t="shared" si="16"/>
        <v>0.43749835476432208</v>
      </c>
      <c r="AC106" s="251">
        <f t="shared" si="15"/>
        <v>1.2328916526583611</v>
      </c>
    </row>
    <row r="107" spans="1:29" ht="15.6" x14ac:dyDescent="0.3">
      <c r="A107" s="206">
        <v>2036</v>
      </c>
      <c r="B107" s="253">
        <f>(B159/Population_Tables!O25)*Population_Tables!C25</f>
        <v>16373.659551474693</v>
      </c>
      <c r="C107" s="253">
        <f>(C159/Population_Tables!P25)*Population_Tables!D25</f>
        <v>3203.529793192889</v>
      </c>
      <c r="D107" s="253">
        <f>(D159/Population_Tables!Q25)*Population_Tables!E25</f>
        <v>642.84626555049545</v>
      </c>
      <c r="E107" s="253">
        <f>(E159/Population_Tables!R25)*Population_Tables!F25</f>
        <v>7347.5809376821162</v>
      </c>
      <c r="F107" s="253">
        <f>(F159/Population_Tables!S25)*Population_Tables!G25</f>
        <v>1796.5110915525725</v>
      </c>
      <c r="G107" s="253">
        <f>(G159/Population_Tables!T25)*Population_Tables!H25</f>
        <v>549.8356083878391</v>
      </c>
      <c r="H107" s="253">
        <f>(H159/Population_Tables!U25)*Population_Tables!I25</f>
        <v>4167.641411480432</v>
      </c>
      <c r="I107" s="253">
        <f>(I159/Population_Tables!V25)*Population_Tables!J25</f>
        <v>2247.8600540221064</v>
      </c>
      <c r="J107" s="253">
        <f>(J159/Population_Tables!W25)*Population_Tables!K25</f>
        <v>1290.6585206407406</v>
      </c>
      <c r="K107" s="253">
        <f>(K159/Population_Tables!X25)*Population_Tables!L25</f>
        <v>1493.013734326385</v>
      </c>
      <c r="L107" s="170"/>
      <c r="M107" s="170"/>
      <c r="N107" s="195">
        <f t="shared" si="9"/>
        <v>4976.4506177542571</v>
      </c>
      <c r="O107" s="195">
        <f t="shared" si="11"/>
        <v>4167.641411480432</v>
      </c>
      <c r="P107" s="195">
        <f t="shared" si="10"/>
        <v>4396.2116671312233</v>
      </c>
      <c r="Q107" s="195">
        <f t="shared" si="12"/>
        <v>13540.303696365912</v>
      </c>
      <c r="R107" s="196">
        <f t="shared" si="13"/>
        <v>0.36752872973520445</v>
      </c>
      <c r="S107" s="170"/>
      <c r="T107" s="170"/>
      <c r="U107" s="195">
        <f t="shared" si="18"/>
        <v>237.81784097748186</v>
      </c>
      <c r="V107" s="195">
        <f t="shared" si="14"/>
        <v>137.30902706680808</v>
      </c>
      <c r="W107" s="195">
        <f t="shared" si="14"/>
        <v>162.14399283321109</v>
      </c>
      <c r="X107" s="195">
        <f t="shared" si="17"/>
        <v>537.27086087750104</v>
      </c>
      <c r="Y107" s="207">
        <f t="shared" si="16"/>
        <v>0.44264049717690696</v>
      </c>
      <c r="AC107" s="251">
        <f t="shared" si="15"/>
        <v>1.2324441630101852</v>
      </c>
    </row>
    <row r="108" spans="1:29" ht="15.6" x14ac:dyDescent="0.3">
      <c r="A108" s="206">
        <v>2037</v>
      </c>
      <c r="B108" s="253">
        <f>(B160/Population_Tables!O26)*Population_Tables!C26</f>
        <v>16780.621055117237</v>
      </c>
      <c r="C108" s="253">
        <f>(C160/Population_Tables!P26)*Population_Tables!D26</f>
        <v>3231.5673261234328</v>
      </c>
      <c r="D108" s="253">
        <f>(D160/Population_Tables!Q26)*Population_Tables!E26</f>
        <v>652.47289033890331</v>
      </c>
      <c r="E108" s="253">
        <f>(E160/Population_Tables!R26)*Population_Tables!F26</f>
        <v>7561.32542670985</v>
      </c>
      <c r="F108" s="253">
        <f>(F160/Population_Tables!S26)*Population_Tables!G26</f>
        <v>1861.22815569052</v>
      </c>
      <c r="G108" s="253">
        <f>(G160/Population_Tables!T26)*Population_Tables!H26</f>
        <v>561.14741733582127</v>
      </c>
      <c r="H108" s="253">
        <f>(H160/Population_Tables!U26)*Population_Tables!I26</f>
        <v>4234.176054655326</v>
      </c>
      <c r="I108" s="253">
        <f>(I160/Population_Tables!V26)*Population_Tables!J26</f>
        <v>2357.0883605565537</v>
      </c>
      <c r="J108" s="253">
        <f>(J160/Population_Tables!W26)*Population_Tables!K26</f>
        <v>1300.6168493659213</v>
      </c>
      <c r="K108" s="253">
        <f>(K160/Population_Tables!X26)*Population_Tables!L26</f>
        <v>1511.206050263542</v>
      </c>
      <c r="L108" s="170"/>
      <c r="M108" s="170"/>
      <c r="N108" s="195">
        <f t="shared" si="9"/>
        <v>5188.377527745045</v>
      </c>
      <c r="O108" s="195">
        <f t="shared" si="11"/>
        <v>4234.176054655326</v>
      </c>
      <c r="P108" s="195">
        <f t="shared" si="10"/>
        <v>4445.1876337981575</v>
      </c>
      <c r="Q108" s="195">
        <f t="shared" si="12"/>
        <v>13867.74121619853</v>
      </c>
      <c r="R108" s="196">
        <f t="shared" si="13"/>
        <v>0.37413284880775266</v>
      </c>
      <c r="S108" s="170"/>
      <c r="T108" s="170"/>
      <c r="U108" s="195">
        <f t="shared" si="18"/>
        <v>264.70467979774457</v>
      </c>
      <c r="V108" s="195">
        <f t="shared" si="14"/>
        <v>150.15542717015478</v>
      </c>
      <c r="W108" s="195">
        <f t="shared" si="14"/>
        <v>176.33626097816705</v>
      </c>
      <c r="X108" s="195">
        <f t="shared" si="17"/>
        <v>591.1963679460664</v>
      </c>
      <c r="Y108" s="207">
        <f t="shared" si="16"/>
        <v>0.44774409003455351</v>
      </c>
      <c r="AC108" s="251">
        <f t="shared" si="15"/>
        <v>1.2319722325454923</v>
      </c>
    </row>
    <row r="109" spans="1:29" ht="15.6" x14ac:dyDescent="0.3">
      <c r="A109" s="206">
        <v>2038</v>
      </c>
      <c r="B109" s="253">
        <f>(B161/Population_Tables!O27)*Population_Tables!C27</f>
        <v>17194.601652600202</v>
      </c>
      <c r="C109" s="253">
        <f>(C161/Population_Tables!P27)*Population_Tables!D27</f>
        <v>3259.3417296614707</v>
      </c>
      <c r="D109" s="253">
        <f>(D161/Population_Tables!Q27)*Population_Tables!E27</f>
        <v>662.24220478605332</v>
      </c>
      <c r="E109" s="253">
        <f>(E161/Population_Tables!R27)*Population_Tables!F27</f>
        <v>7778.7267614374159</v>
      </c>
      <c r="F109" s="253">
        <f>(F161/Population_Tables!S27)*Population_Tables!G27</f>
        <v>1928.5071733996447</v>
      </c>
      <c r="G109" s="253">
        <f>(G161/Population_Tables!T27)*Population_Tables!H27</f>
        <v>572.58739958753029</v>
      </c>
      <c r="H109" s="253">
        <f>(H161/Population_Tables!U27)*Population_Tables!I27</f>
        <v>4300.1659016912445</v>
      </c>
      <c r="I109" s="253">
        <f>(I161/Population_Tables!V27)*Population_Tables!J27</f>
        <v>2469.7202918743869</v>
      </c>
      <c r="J109" s="253">
        <f>(J161/Population_Tables!W27)*Population_Tables!K27</f>
        <v>1310.5021310974441</v>
      </c>
      <c r="K109" s="253">
        <f>(K161/Population_Tables!X27)*Population_Tables!L27</f>
        <v>1529.4796742103963</v>
      </c>
      <c r="L109" s="170"/>
      <c r="M109" s="170"/>
      <c r="N109" s="195">
        <f t="shared" si="9"/>
        <v>5407.0680331458161</v>
      </c>
      <c r="O109" s="195">
        <f t="shared" si="11"/>
        <v>4300.1659016912445</v>
      </c>
      <c r="P109" s="195">
        <f t="shared" si="10"/>
        <v>4494.1713340350543</v>
      </c>
      <c r="Q109" s="195">
        <f t="shared" si="12"/>
        <v>14201.405268872117</v>
      </c>
      <c r="R109" s="196">
        <f t="shared" si="13"/>
        <v>0.38074175976074009</v>
      </c>
      <c r="S109" s="170"/>
      <c r="T109" s="170"/>
      <c r="U109" s="195">
        <f t="shared" si="18"/>
        <v>292.95290514093813</v>
      </c>
      <c r="V109" s="195">
        <f t="shared" si="14"/>
        <v>163.26898495139994</v>
      </c>
      <c r="W109" s="195">
        <f t="shared" si="14"/>
        <v>190.68757955986075</v>
      </c>
      <c r="X109" s="195">
        <f t="shared" si="17"/>
        <v>646.90946965219882</v>
      </c>
      <c r="Y109" s="207">
        <f t="shared" si="16"/>
        <v>0.45284992550571235</v>
      </c>
      <c r="AC109" s="251">
        <f t="shared" si="15"/>
        <v>1.2315031407921488</v>
      </c>
    </row>
    <row r="110" spans="1:29" ht="15.6" x14ac:dyDescent="0.3">
      <c r="A110" s="206">
        <v>2039</v>
      </c>
      <c r="B110" s="253">
        <f>(B162/Population_Tables!O28)*Population_Tables!C28</f>
        <v>17616.151422640291</v>
      </c>
      <c r="C110" s="253">
        <f>(C162/Population_Tables!P28)*Population_Tables!D28</f>
        <v>3286.9111720755536</v>
      </c>
      <c r="D110" s="253">
        <f>(D162/Population_Tables!Q28)*Population_Tables!E28</f>
        <v>672.17683549090793</v>
      </c>
      <c r="E110" s="253">
        <f>(E162/Population_Tables!R28)*Population_Tables!F28</f>
        <v>8000.0041975891418</v>
      </c>
      <c r="F110" s="253">
        <f>(F162/Population_Tables!S28)*Population_Tables!G28</f>
        <v>1998.4945017576365</v>
      </c>
      <c r="G110" s="253">
        <f>(G162/Population_Tables!T28)*Population_Tables!H28</f>
        <v>584.17293211856258</v>
      </c>
      <c r="H110" s="253">
        <f>(H162/Population_Tables!U28)*Population_Tables!I28</f>
        <v>4365.6974465333451</v>
      </c>
      <c r="I110" s="253">
        <f>(I162/Population_Tables!V28)*Population_Tables!J28</f>
        <v>2585.8372002428609</v>
      </c>
      <c r="J110" s="253">
        <f>(J162/Population_Tables!W28)*Population_Tables!K28</f>
        <v>1320.3395012788649</v>
      </c>
      <c r="K110" s="253">
        <f>(K162/Population_Tables!X28)*Population_Tables!L28</f>
        <v>1547.8595236139322</v>
      </c>
      <c r="L110" s="170"/>
      <c r="M110" s="170"/>
      <c r="N110" s="195">
        <f t="shared" si="9"/>
        <v>5632.8012528134341</v>
      </c>
      <c r="O110" s="195">
        <f t="shared" si="11"/>
        <v>4365.6974465333451</v>
      </c>
      <c r="P110" s="195">
        <f t="shared" si="10"/>
        <v>4543.2609396850239</v>
      </c>
      <c r="Q110" s="195">
        <f t="shared" si="12"/>
        <v>14541.759639031803</v>
      </c>
      <c r="R110" s="196">
        <f t="shared" si="13"/>
        <v>0.38735348352852217</v>
      </c>
      <c r="S110" s="170"/>
      <c r="T110" s="170"/>
      <c r="U110" s="195">
        <f t="shared" si="18"/>
        <v>322.80988689197147</v>
      </c>
      <c r="V110" s="195">
        <f t="shared" si="14"/>
        <v>176.736642852964</v>
      </c>
      <c r="W110" s="195">
        <f t="shared" si="14"/>
        <v>205.29677397894739</v>
      </c>
      <c r="X110" s="195">
        <f t="shared" si="17"/>
        <v>704.84330372388285</v>
      </c>
      <c r="Y110" s="207">
        <f t="shared" si="16"/>
        <v>0.45798815876731358</v>
      </c>
      <c r="AC110" s="251">
        <f t="shared" si="15"/>
        <v>1.2310536514104999</v>
      </c>
    </row>
    <row r="111" spans="1:29" ht="15.6" x14ac:dyDescent="0.3">
      <c r="A111" s="206">
        <v>2040</v>
      </c>
      <c r="B111" s="253">
        <f>(B163/Population_Tables!O29)*Population_Tables!C29</f>
        <v>18033.229312421623</v>
      </c>
      <c r="C111" s="253">
        <f>(C163/Population_Tables!P29)*Population_Tables!D29</f>
        <v>3314.318007878097</v>
      </c>
      <c r="D111" s="253">
        <f>(D163/Population_Tables!Q29)*Population_Tables!E29</f>
        <v>683.30854061108471</v>
      </c>
      <c r="E111" s="253">
        <f>(E163/Population_Tables!R29)*Population_Tables!F29</f>
        <v>8217.387206510497</v>
      </c>
      <c r="F111" s="253">
        <f>(F163/Population_Tables!S29)*Population_Tables!G29</f>
        <v>2073.0405097716916</v>
      </c>
      <c r="G111" s="253">
        <f>(G163/Population_Tables!T29)*Population_Tables!H29</f>
        <v>595.92679382557867</v>
      </c>
      <c r="H111" s="253">
        <f>(H163/Population_Tables!U29)*Population_Tables!I29</f>
        <v>4423.8894970095853</v>
      </c>
      <c r="I111" s="253">
        <f>(I163/Population_Tables!V29)*Population_Tables!J29</f>
        <v>2707.5530347625772</v>
      </c>
      <c r="J111" s="253">
        <f>(J163/Population_Tables!W29)*Population_Tables!K29</f>
        <v>1330.1125227923853</v>
      </c>
      <c r="K111" s="253">
        <f>(K163/Population_Tables!X29)*Population_Tables!L29</f>
        <v>1566.6587067939313</v>
      </c>
      <c r="L111" s="170"/>
      <c r="M111" s="170"/>
      <c r="N111" s="195">
        <f t="shared" si="9"/>
        <v>5866.5382192726038</v>
      </c>
      <c r="O111" s="195">
        <f t="shared" si="11"/>
        <v>4423.8894970095853</v>
      </c>
      <c r="P111" s="195">
        <f t="shared" si="10"/>
        <v>4593.5533423147608</v>
      </c>
      <c r="Q111" s="195">
        <f t="shared" si="12"/>
        <v>14883.98105859695</v>
      </c>
      <c r="R111" s="196">
        <f>N111/Q111</f>
        <v>0.39415114788016381</v>
      </c>
      <c r="S111" s="170"/>
      <c r="T111" s="170"/>
      <c r="U111" s="195">
        <f t="shared" si="18"/>
        <v>354.46486566916246</v>
      </c>
      <c r="V111" s="195">
        <f t="shared" si="14"/>
        <v>190.33463779825433</v>
      </c>
      <c r="W111" s="195">
        <f t="shared" si="14"/>
        <v>220.29222690141069</v>
      </c>
      <c r="X111" s="195">
        <f t="shared" si="17"/>
        <v>765.09173036882748</v>
      </c>
      <c r="Y111" s="207">
        <f t="shared" si="16"/>
        <v>0.46329721208499497</v>
      </c>
      <c r="AC111" s="251">
        <f t="shared" si="15"/>
        <v>1.2302535722470158</v>
      </c>
    </row>
    <row r="112" spans="1:29" ht="15.6" x14ac:dyDescent="0.3">
      <c r="A112" s="206">
        <v>2041</v>
      </c>
      <c r="B112" s="253">
        <f>(B164/Population_Tables!O30)*Population_Tables!C30</f>
        <v>18483.61714062815</v>
      </c>
      <c r="C112" s="253">
        <f>(C164/Population_Tables!P30)*Population_Tables!D30</f>
        <v>3341.5722799469781</v>
      </c>
      <c r="D112" s="253">
        <f>(D164/Population_Tables!Q30)*Population_Tables!E30</f>
        <v>692.60729699643468</v>
      </c>
      <c r="E112" s="253">
        <f>(E164/Population_Tables!R30)*Population_Tables!F30</f>
        <v>8454.8321995903916</v>
      </c>
      <c r="F112" s="253">
        <f>(F164/Population_Tables!S30)*Population_Tables!G30</f>
        <v>2147.1313749296364</v>
      </c>
      <c r="G112" s="253">
        <f>(G164/Population_Tables!T30)*Population_Tables!H30</f>
        <v>607.82851272235723</v>
      </c>
      <c r="H112" s="253">
        <f>(H164/Population_Tables!U30)*Population_Tables!I30</f>
        <v>4495.6268829829614</v>
      </c>
      <c r="I112" s="253">
        <f>(I164/Population_Tables!V30)*Population_Tables!J30</f>
        <v>2828.8037077800382</v>
      </c>
      <c r="J112" s="253">
        <f>(J164/Population_Tables!W30)*Population_Tables!K30</f>
        <v>1339.9317638146863</v>
      </c>
      <c r="K112" s="253">
        <f>(K164/Population_Tables!X30)*Population_Tables!L30</f>
        <v>1585.0079962346808</v>
      </c>
      <c r="L112" s="170"/>
      <c r="M112" s="170"/>
      <c r="N112" s="195">
        <f t="shared" si="9"/>
        <v>6106.3366915370671</v>
      </c>
      <c r="O112" s="195">
        <f t="shared" si="11"/>
        <v>4495.6268829829614</v>
      </c>
      <c r="P112" s="195">
        <f t="shared" si="10"/>
        <v>4642.0080896657701</v>
      </c>
      <c r="Q112" s="195">
        <f t="shared" si="12"/>
        <v>15243.971664185799</v>
      </c>
      <c r="R112" s="196">
        <f t="shared" si="13"/>
        <v>0.40057386789056426</v>
      </c>
      <c r="S112" s="170"/>
      <c r="T112" s="170"/>
      <c r="U112" s="195">
        <f t="shared" si="18"/>
        <v>388.17766199036942</v>
      </c>
      <c r="V112" s="195">
        <f t="shared" si="14"/>
        <v>204.97467364585918</v>
      </c>
      <c r="W112" s="195">
        <f t="shared" si="14"/>
        <v>235.55152357037241</v>
      </c>
      <c r="X112" s="195">
        <f t="shared" si="17"/>
        <v>828.70385920660101</v>
      </c>
      <c r="Y112" s="207">
        <f t="shared" si="16"/>
        <v>0.46841541484072458</v>
      </c>
      <c r="AC112" s="251">
        <f t="shared" si="15"/>
        <v>1.2302192117557977</v>
      </c>
    </row>
    <row r="113" spans="1:29" ht="15.6" x14ac:dyDescent="0.3">
      <c r="A113" s="206">
        <v>2042</v>
      </c>
      <c r="B113" s="253">
        <f>(B165/Population_Tables!O31)*Population_Tables!C31</f>
        <v>18929.821266522216</v>
      </c>
      <c r="C113" s="253">
        <f>(C165/Population_Tables!P31)*Population_Tables!D31</f>
        <v>3368.6482302779123</v>
      </c>
      <c r="D113" s="253">
        <f>(D165/Population_Tables!Q31)*Population_Tables!E31</f>
        <v>703.11367718714132</v>
      </c>
      <c r="E113" s="253">
        <f>(E165/Population_Tables!R31)*Population_Tables!F31</f>
        <v>8688.4522504187371</v>
      </c>
      <c r="F113" s="253">
        <f>(F165/Population_Tables!S31)*Population_Tables!G31</f>
        <v>2225.9979755478712</v>
      </c>
      <c r="G113" s="253">
        <f>(G165/Population_Tables!T31)*Population_Tables!H31</f>
        <v>619.90024631823587</v>
      </c>
      <c r="H113" s="253">
        <f>(H165/Population_Tables!U31)*Population_Tables!I31</f>
        <v>4560.0414042055554</v>
      </c>
      <c r="I113" s="253">
        <f>(I165/Population_Tables!V31)*Population_Tables!J31</f>
        <v>2955.7189952662079</v>
      </c>
      <c r="J113" s="253">
        <f>(J165/Population_Tables!W31)*Population_Tables!K31</f>
        <v>1349.6837572454731</v>
      </c>
      <c r="K113" s="253">
        <f>(K165/Population_Tables!X31)*Population_Tables!L31</f>
        <v>1603.7823202490372</v>
      </c>
      <c r="L113" s="170"/>
      <c r="M113" s="170"/>
      <c r="N113" s="195">
        <f t="shared" si="9"/>
        <v>6354.4088217610524</v>
      </c>
      <c r="O113" s="195">
        <f t="shared" si="11"/>
        <v>4560.0414042055554</v>
      </c>
      <c r="P113" s="195">
        <f t="shared" si="10"/>
        <v>4691.6621537832898</v>
      </c>
      <c r="Q113" s="195">
        <f t="shared" si="12"/>
        <v>15606.112379749899</v>
      </c>
      <c r="R113" s="196">
        <f t="shared" si="13"/>
        <v>0.40717436009280406</v>
      </c>
      <c r="S113" s="170"/>
      <c r="T113" s="170"/>
      <c r="U113" s="195">
        <f t="shared" si="18"/>
        <v>423.91372142147975</v>
      </c>
      <c r="V113" s="195">
        <f t="shared" si="14"/>
        <v>219.75661718831088</v>
      </c>
      <c r="W113" s="195">
        <f t="shared" si="14"/>
        <v>251.20759392396121</v>
      </c>
      <c r="X113" s="195">
        <f t="shared" si="17"/>
        <v>894.87793253375185</v>
      </c>
      <c r="Y113" s="207">
        <f t="shared" si="16"/>
        <v>0.47371122474907057</v>
      </c>
      <c r="AC113" s="251">
        <f t="shared" si="15"/>
        <v>1.2298149679213328</v>
      </c>
    </row>
    <row r="114" spans="1:29" ht="15.6" x14ac:dyDescent="0.3">
      <c r="A114" s="206">
        <v>2043</v>
      </c>
      <c r="B114" s="253">
        <f>(B166/Population_Tables!O32)*Population_Tables!C32</f>
        <v>19384.734023954858</v>
      </c>
      <c r="C114" s="253">
        <f>(C166/Population_Tables!P32)*Population_Tables!D32</f>
        <v>3395.5532528360609</v>
      </c>
      <c r="D114" s="253">
        <f>(D166/Population_Tables!Q32)*Population_Tables!E32</f>
        <v>713.8223484570683</v>
      </c>
      <c r="E114" s="253">
        <f>(E166/Population_Tables!R32)*Population_Tables!F32</f>
        <v>8926.373072165894</v>
      </c>
      <c r="F114" s="253">
        <f>(F166/Population_Tables!S32)*Population_Tables!G32</f>
        <v>2308.0652778567505</v>
      </c>
      <c r="G114" s="253">
        <f>(G166/Population_Tables!T32)*Population_Tables!H32</f>
        <v>632.14132030597864</v>
      </c>
      <c r="H114" s="253">
        <f>(H166/Population_Tables!U32)*Population_Tables!I32</f>
        <v>4624.1465272050564</v>
      </c>
      <c r="I114" s="253">
        <f>(I166/Population_Tables!V32)*Population_Tables!J32</f>
        <v>3086.3636262845084</v>
      </c>
      <c r="J114" s="253">
        <f>(J166/Population_Tables!W32)*Population_Tables!K32</f>
        <v>1359.4063117685309</v>
      </c>
      <c r="K114" s="253">
        <f>(K166/Population_Tables!X32)*Population_Tables!L32</f>
        <v>1622.705392582244</v>
      </c>
      <c r="L114" s="170"/>
      <c r="M114" s="170"/>
      <c r="N114" s="195">
        <f t="shared" si="9"/>
        <v>6610.2918228175886</v>
      </c>
      <c r="O114" s="195">
        <f t="shared" si="11"/>
        <v>4624.1465272050564</v>
      </c>
      <c r="P114" s="195">
        <f t="shared" si="10"/>
        <v>4741.5169215991073</v>
      </c>
      <c r="Q114" s="195">
        <f t="shared" si="12"/>
        <v>15975.955271621751</v>
      </c>
      <c r="R114" s="196">
        <f t="shared" si="13"/>
        <v>0.41376504318083035</v>
      </c>
      <c r="S114" s="170"/>
      <c r="T114" s="170"/>
      <c r="U114" s="195">
        <f t="shared" si="18"/>
        <v>461.94164091918265</v>
      </c>
      <c r="V114" s="195">
        <f t="shared" si="14"/>
        <v>235.03190669205196</v>
      </c>
      <c r="W114" s="195">
        <f t="shared" si="14"/>
        <v>267.24546917649513</v>
      </c>
      <c r="X114" s="195">
        <f t="shared" si="17"/>
        <v>964.21901678772974</v>
      </c>
      <c r="Y114" s="207">
        <f t="shared" si="16"/>
        <v>0.47908372773867192</v>
      </c>
      <c r="AC114" s="251">
        <f t="shared" si="15"/>
        <v>1.2294135830086996</v>
      </c>
    </row>
    <row r="115" spans="1:29" ht="15.6" x14ac:dyDescent="0.3">
      <c r="A115" s="206">
        <v>2044</v>
      </c>
      <c r="B115" s="253">
        <f>(B167/Population_Tables!O33)*Population_Tables!C33</f>
        <v>19848.76932046971</v>
      </c>
      <c r="C115" s="253">
        <f>(C167/Population_Tables!P33)*Population_Tables!D33</f>
        <v>3422.2917203559336</v>
      </c>
      <c r="D115" s="253">
        <f>(D167/Population_Tables!Q33)*Population_Tables!E33</f>
        <v>724.73975810656736</v>
      </c>
      <c r="E115" s="253">
        <f>(E167/Population_Tables!R33)*Population_Tables!F33</f>
        <v>9168.7909552492001</v>
      </c>
      <c r="F115" s="253">
        <f>(F167/Population_Tables!S33)*Population_Tables!G33</f>
        <v>2393.4737762085292</v>
      </c>
      <c r="G115" s="253">
        <f>(G167/Population_Tables!T33)*Population_Tables!H33</f>
        <v>644.55989287692898</v>
      </c>
      <c r="H115" s="253">
        <f>(H167/Population_Tables!U33)*Population_Tables!I33</f>
        <v>4688.0120589114358</v>
      </c>
      <c r="I115" s="253">
        <f>(I167/Population_Tables!V33)*Population_Tables!J33</f>
        <v>3220.8625958993412</v>
      </c>
      <c r="J115" s="253">
        <f>(J167/Population_Tables!W33)*Population_Tables!K33</f>
        <v>1369.1004982304883</v>
      </c>
      <c r="K115" s="253">
        <f>(K167/Population_Tables!X33)*Population_Tables!L33</f>
        <v>1641.7955490760614</v>
      </c>
      <c r="L115" s="170"/>
      <c r="M115" s="170"/>
      <c r="N115" s="195">
        <f t="shared" si="9"/>
        <v>6874.252672546294</v>
      </c>
      <c r="O115" s="195">
        <f t="shared" si="11"/>
        <v>4688.0120589114358</v>
      </c>
      <c r="P115" s="195">
        <f t="shared" si="10"/>
        <v>4791.5913713394293</v>
      </c>
      <c r="Q115" s="195">
        <f t="shared" si="12"/>
        <v>16353.856102797159</v>
      </c>
      <c r="R115" s="196">
        <f t="shared" si="13"/>
        <v>0.42034445144533977</v>
      </c>
      <c r="S115" s="170"/>
      <c r="T115" s="170"/>
      <c r="U115" s="195">
        <f t="shared" si="18"/>
        <v>502.5214437895138</v>
      </c>
      <c r="V115" s="195">
        <f t="shared" si="14"/>
        <v>250.86524900812401</v>
      </c>
      <c r="W115" s="195">
        <f t="shared" si="14"/>
        <v>283.69903039553355</v>
      </c>
      <c r="X115" s="195">
        <f t="shared" si="17"/>
        <v>1037.0857231931714</v>
      </c>
      <c r="Y115" s="207">
        <f t="shared" si="16"/>
        <v>0.48455150095235888</v>
      </c>
      <c r="AC115" s="251">
        <f t="shared" si="15"/>
        <v>1.2290087162393961</v>
      </c>
    </row>
    <row r="116" spans="1:29" ht="15.6" x14ac:dyDescent="0.3">
      <c r="A116" s="206">
        <v>2045</v>
      </c>
      <c r="B116" s="253">
        <f>(B168/Population_Tables!O34)*Population_Tables!C34</f>
        <v>20322.323556631069</v>
      </c>
      <c r="C116" s="253">
        <f>(C168/Population_Tables!P34)*Population_Tables!D34</f>
        <v>3448.8749391924007</v>
      </c>
      <c r="D116" s="253">
        <f>(D168/Population_Tables!Q34)*Population_Tables!E34</f>
        <v>735.87276277606566</v>
      </c>
      <c r="E116" s="253">
        <f>(E168/Population_Tables!R34)*Population_Tables!F34</f>
        <v>9415.8926342928153</v>
      </c>
      <c r="F116" s="253">
        <f>(F168/Population_Tables!S34)*Population_Tables!G34</f>
        <v>2482.3636866153875</v>
      </c>
      <c r="G116" s="253">
        <f>(G168/Population_Tables!T34)*Population_Tables!H34</f>
        <v>657.16372871739839</v>
      </c>
      <c r="H116" s="253">
        <f>(H168/Population_Tables!U34)*Population_Tables!I34</f>
        <v>4751.6974285091883</v>
      </c>
      <c r="I116" s="253">
        <f>(I168/Population_Tables!V34)*Population_Tables!J34</f>
        <v>3359.3416508692044</v>
      </c>
      <c r="J116" s="253">
        <f>(J168/Population_Tables!W34)*Population_Tables!K34</f>
        <v>1378.7701725700547</v>
      </c>
      <c r="K116" s="253">
        <f>(K168/Population_Tables!X34)*Population_Tables!L34</f>
        <v>1661.0720082573052</v>
      </c>
      <c r="L116" s="170"/>
      <c r="M116" s="170"/>
      <c r="N116" s="195">
        <f t="shared" si="9"/>
        <v>7146.5588923990153</v>
      </c>
      <c r="O116" s="195">
        <f t="shared" si="11"/>
        <v>4751.6974285091883</v>
      </c>
      <c r="P116" s="195">
        <f t="shared" si="10"/>
        <v>4841.9114306858646</v>
      </c>
      <c r="Q116" s="195">
        <f t="shared" si="12"/>
        <v>16740.167751594068</v>
      </c>
      <c r="R116" s="196">
        <f t="shared" si="13"/>
        <v>0.42691082899802424</v>
      </c>
      <c r="S116" s="170"/>
      <c r="T116" s="170"/>
      <c r="U116" s="195">
        <f t="shared" si="18"/>
        <v>545.90776850928705</v>
      </c>
      <c r="V116" s="195">
        <f t="shared" si="14"/>
        <v>267.3156014049564</v>
      </c>
      <c r="W116" s="195">
        <f t="shared" si="14"/>
        <v>300.60631369014118</v>
      </c>
      <c r="X116" s="195">
        <f t="shared" si="17"/>
        <v>1113.8296836043846</v>
      </c>
      <c r="Y116" s="207">
        <f t="shared" si="16"/>
        <v>0.49011781293412288</v>
      </c>
      <c r="AC116" s="251">
        <f t="shared" si="15"/>
        <v>1.2285867071642287</v>
      </c>
    </row>
    <row r="117" spans="1:29" ht="15.6" x14ac:dyDescent="0.3">
      <c r="A117" s="206">
        <v>2046</v>
      </c>
      <c r="B117" s="253">
        <f>(B169/Population_Tables!O35)*Population_Tables!C35</f>
        <v>20805.697295136288</v>
      </c>
      <c r="C117" s="253">
        <f>(C169/Population_Tables!P35)*Population_Tables!D35</f>
        <v>3475.3106258667503</v>
      </c>
      <c r="D117" s="253">
        <f>(D169/Population_Tables!Q35)*Population_Tables!E35</f>
        <v>747.22933217035211</v>
      </c>
      <c r="E117" s="253">
        <f>(E169/Population_Tables!R35)*Population_Tables!F35</f>
        <v>9667.8061773544032</v>
      </c>
      <c r="F117" s="253">
        <f>(F169/Population_Tables!S35)*Population_Tables!G35</f>
        <v>2574.867608538661</v>
      </c>
      <c r="G117" s="253">
        <f>(G169/Population_Tables!T35)*Population_Tables!H35</f>
        <v>669.95828536194483</v>
      </c>
      <c r="H117" s="253">
        <f>(H169/Population_Tables!U35)*Population_Tables!I35</f>
        <v>4815.2419302756625</v>
      </c>
      <c r="I117" s="253">
        <f>(I169/Population_Tables!V35)*Population_Tables!J35</f>
        <v>3501.8904665853693</v>
      </c>
      <c r="J117" s="253">
        <f>(J169/Population_Tables!W35)*Population_Tables!K35</f>
        <v>1388.4199673092157</v>
      </c>
      <c r="K117" s="253">
        <f>(K169/Population_Tables!X35)*Population_Tables!L35</f>
        <v>1680.5473542141267</v>
      </c>
      <c r="L117" s="170"/>
      <c r="M117" s="170"/>
      <c r="N117" s="195">
        <f t="shared" si="9"/>
        <v>7427.4318556174021</v>
      </c>
      <c r="O117" s="195">
        <f t="shared" si="11"/>
        <v>4815.2419302756625</v>
      </c>
      <c r="P117" s="195">
        <f t="shared" si="10"/>
        <v>4892.4982433990472</v>
      </c>
      <c r="Q117" s="195">
        <f t="shared" si="12"/>
        <v>17135.172029292109</v>
      </c>
      <c r="R117" s="196">
        <f t="shared" si="13"/>
        <v>0.43346117814985519</v>
      </c>
      <c r="S117" s="170"/>
      <c r="T117" s="170"/>
      <c r="U117" s="195">
        <f t="shared" si="18"/>
        <v>592.30108138637206</v>
      </c>
      <c r="V117" s="195">
        <f t="shared" si="14"/>
        <v>284.42415978698864</v>
      </c>
      <c r="W117" s="195">
        <f t="shared" si="14"/>
        <v>317.99780603891395</v>
      </c>
      <c r="X117" s="195">
        <f t="shared" si="17"/>
        <v>1194.7230472122747</v>
      </c>
      <c r="Y117" s="207">
        <f t="shared" si="16"/>
        <v>0.49576433866277786</v>
      </c>
      <c r="AC117" s="251">
        <f t="shared" si="15"/>
        <v>1.2281329252225452</v>
      </c>
    </row>
    <row r="118" spans="1:29" ht="15.6" x14ac:dyDescent="0.3">
      <c r="A118" s="206">
        <v>2047</v>
      </c>
      <c r="B118" s="253">
        <f>(B170/Population_Tables!O36)*Population_Tables!C36</f>
        <v>21299.175107795243</v>
      </c>
      <c r="C118" s="253">
        <f>(C170/Population_Tables!P36)*Population_Tables!D36</f>
        <v>3501.6232266157822</v>
      </c>
      <c r="D118" s="253">
        <f>(D170/Population_Tables!Q36)*Population_Tables!E36</f>
        <v>758.8168884144078</v>
      </c>
      <c r="E118" s="253">
        <f>(E170/Population_Tables!R36)*Population_Tables!F36</f>
        <v>9924.648717651984</v>
      </c>
      <c r="F118" s="253">
        <f>(F170/Population_Tables!S36)*Population_Tables!G36</f>
        <v>2671.1169013560998</v>
      </c>
      <c r="G118" s="253">
        <f>(G170/Population_Tables!T36)*Population_Tables!H36</f>
        <v>682.94885798583402</v>
      </c>
      <c r="H118" s="253">
        <f>(H170/Population_Tables!U36)*Population_Tables!I36</f>
        <v>4878.6630763430821</v>
      </c>
      <c r="I118" s="253">
        <f>(I170/Population_Tables!V36)*Population_Tables!J36</f>
        <v>3648.6007250541625</v>
      </c>
      <c r="J118" s="253">
        <f>(J170/Population_Tables!W36)*Population_Tables!K36</f>
        <v>1398.0597635443733</v>
      </c>
      <c r="K118" s="253">
        <f>(K170/Population_Tables!X36)*Population_Tables!L36</f>
        <v>1700.2390779498664</v>
      </c>
      <c r="L118" s="170"/>
      <c r="M118" s="170"/>
      <c r="N118" s="195">
        <f t="shared" si="9"/>
        <v>7717.1025426650012</v>
      </c>
      <c r="O118" s="195">
        <f t="shared" si="11"/>
        <v>4878.6630763430821</v>
      </c>
      <c r="P118" s="195">
        <f t="shared" si="10"/>
        <v>4943.3889730160245</v>
      </c>
      <c r="Q118" s="195">
        <f t="shared" si="12"/>
        <v>17539.154592024108</v>
      </c>
      <c r="R118" s="196">
        <f t="shared" si="13"/>
        <v>0.4399928458452802</v>
      </c>
      <c r="S118" s="170"/>
      <c r="T118" s="170"/>
      <c r="U118" s="195">
        <f t="shared" si="18"/>
        <v>641.90041138084416</v>
      </c>
      <c r="V118" s="195">
        <f t="shared" si="14"/>
        <v>302.2200433533344</v>
      </c>
      <c r="W118" s="195">
        <f t="shared" si="14"/>
        <v>335.91397512026924</v>
      </c>
      <c r="X118" s="195">
        <f t="shared" si="17"/>
        <v>1280.0344298544478</v>
      </c>
      <c r="Y118" s="207">
        <f t="shared" si="16"/>
        <v>0.50147120765637088</v>
      </c>
      <c r="AC118" s="251">
        <f t="shared" si="15"/>
        <v>1.2276273506257767</v>
      </c>
    </row>
    <row r="119" spans="1:29" ht="15.6" x14ac:dyDescent="0.3">
      <c r="A119" s="206">
        <v>2048</v>
      </c>
      <c r="B119" s="253">
        <f>(B171/Population_Tables!O37)*Population_Tables!C37</f>
        <v>21803.129019230728</v>
      </c>
      <c r="C119" s="253">
        <f>(C171/Population_Tables!P37)*Population_Tables!D37</f>
        <v>3527.8639492158859</v>
      </c>
      <c r="D119" s="253">
        <f>(D171/Population_Tables!Q37)*Population_Tables!E37</f>
        <v>770.64018139526002</v>
      </c>
      <c r="E119" s="253">
        <f>(E171/Population_Tables!R37)*Population_Tables!F37</f>
        <v>10186.594366411573</v>
      </c>
      <c r="F119" s="253">
        <f>(F171/Population_Tables!S37)*Population_Tables!G37</f>
        <v>2771.2516619599178</v>
      </c>
      <c r="G119" s="253">
        <f>(G171/Population_Tables!T37)*Population_Tables!H37</f>
        <v>696.14237532121319</v>
      </c>
      <c r="H119" s="253">
        <f>(H171/Population_Tables!U37)*Population_Tables!I37</f>
        <v>4941.9722387895963</v>
      </c>
      <c r="I119" s="253">
        <f>(I171/Population_Tables!V37)*Population_Tables!J37</f>
        <v>3799.6147320700056</v>
      </c>
      <c r="J119" s="253">
        <f>(J171/Population_Tables!W37)*Population_Tables!K37</f>
        <v>1407.7056041870103</v>
      </c>
      <c r="K119" s="253">
        <f>(K171/Population_Tables!X37)*Population_Tables!L37</f>
        <v>1720.1784917540563</v>
      </c>
      <c r="L119" s="170"/>
      <c r="M119" s="170"/>
      <c r="N119" s="195">
        <f t="shared" si="9"/>
        <v>8015.873789581894</v>
      </c>
      <c r="O119" s="195">
        <f t="shared" si="11"/>
        <v>4941.9722387895963</v>
      </c>
      <c r="P119" s="195">
        <f t="shared" si="10"/>
        <v>4994.6465059323591</v>
      </c>
      <c r="Q119" s="195">
        <f t="shared" si="12"/>
        <v>17952.492534303849</v>
      </c>
      <c r="R119" s="196">
        <f t="shared" si="13"/>
        <v>0.44650478334777532</v>
      </c>
      <c r="S119" s="170"/>
      <c r="T119" s="170"/>
      <c r="U119" s="195">
        <f t="shared" si="18"/>
        <v>694.97066280363924</v>
      </c>
      <c r="V119" s="195">
        <f t="shared" si="14"/>
        <v>320.73718162883324</v>
      </c>
      <c r="W119" s="195">
        <f t="shared" si="14"/>
        <v>354.41651334010112</v>
      </c>
      <c r="X119" s="195">
        <f t="shared" si="17"/>
        <v>1370.1243577725736</v>
      </c>
      <c r="Y119" s="207">
        <f t="shared" si="16"/>
        <v>0.50723181356578517</v>
      </c>
      <c r="AC119" s="251">
        <f t="shared" si="15"/>
        <v>1.227043235299021</v>
      </c>
    </row>
    <row r="120" spans="1:29" ht="15.6" x14ac:dyDescent="0.3">
      <c r="A120" s="206">
        <v>2049</v>
      </c>
      <c r="B120" s="253">
        <f>(B172/Population_Tables!O38)*Population_Tables!C38</f>
        <v>22317.949937739206</v>
      </c>
      <c r="C120" s="253">
        <f>(C172/Population_Tables!P38)*Population_Tables!D38</f>
        <v>3554.0989428756225</v>
      </c>
      <c r="D120" s="253">
        <f>(D172/Population_Tables!Q38)*Population_Tables!E38</f>
        <v>782.70338421153178</v>
      </c>
      <c r="E120" s="253">
        <f>(E172/Population_Tables!R38)*Population_Tables!F38</f>
        <v>10453.829501229118</v>
      </c>
      <c r="F120" s="253">
        <f>(F172/Population_Tables!S38)*Population_Tables!G38</f>
        <v>2875.4144813105636</v>
      </c>
      <c r="G120" s="253">
        <f>(G172/Population_Tables!T38)*Population_Tables!H38</f>
        <v>709.54634879152093</v>
      </c>
      <c r="H120" s="253">
        <f>(H172/Population_Tables!U38)*Population_Tables!I38</f>
        <v>5005.1689938814297</v>
      </c>
      <c r="I120" s="253">
        <f>(I172/Population_Tables!V38)*Population_Tables!J38</f>
        <v>3955.0942506065007</v>
      </c>
      <c r="J120" s="253">
        <f>(J172/Population_Tables!W38)*Population_Tables!K38</f>
        <v>1417.3781986147039</v>
      </c>
      <c r="K120" s="253">
        <f>(K172/Population_Tables!X38)*Population_Tables!L38</f>
        <v>1740.4026493629742</v>
      </c>
      <c r="L120" s="170"/>
      <c r="M120" s="170"/>
      <c r="N120" s="195">
        <f t="shared" si="9"/>
        <v>8324.0749886582526</v>
      </c>
      <c r="O120" s="195">
        <f t="shared" si="11"/>
        <v>5005.1689938814297</v>
      </c>
      <c r="P120" s="195">
        <f t="shared" si="10"/>
        <v>5046.3486758786757</v>
      </c>
      <c r="Q120" s="195">
        <f t="shared" si="12"/>
        <v>18375.592658418358</v>
      </c>
      <c r="R120" s="196">
        <f t="shared" si="13"/>
        <v>0.452996273012439</v>
      </c>
      <c r="S120" s="170"/>
      <c r="T120" s="170"/>
      <c r="U120" s="195">
        <f t="shared" si="18"/>
        <v>751.79730332856616</v>
      </c>
      <c r="V120" s="195">
        <f t="shared" si="14"/>
        <v>340.0049511698453</v>
      </c>
      <c r="W120" s="195">
        <f t="shared" si="14"/>
        <v>373.57859308225397</v>
      </c>
      <c r="X120" s="195">
        <f t="shared" si="17"/>
        <v>1465.3808475806654</v>
      </c>
      <c r="Y120" s="207">
        <f t="shared" si="16"/>
        <v>0.51303884895846619</v>
      </c>
      <c r="AC120" s="251">
        <f t="shared" si="15"/>
        <v>1.2263533419844577</v>
      </c>
    </row>
    <row r="121" spans="1:29" ht="16.2" thickBot="1" x14ac:dyDescent="0.35">
      <c r="A121" s="208">
        <v>2050</v>
      </c>
      <c r="B121" s="253">
        <f>(B173/Population_Tables!O39)*Population_Tables!C39</f>
        <v>22852.395980796038</v>
      </c>
      <c r="C121" s="253">
        <f>(C173/Population_Tables!P39)*Population_Tables!D39</f>
        <v>3580.2155027546642</v>
      </c>
      <c r="D121" s="253">
        <f>(D173/Population_Tables!Q39)*Population_Tables!E39</f>
        <v>794.31282163408764</v>
      </c>
      <c r="E121" s="253">
        <f>(E173/Population_Tables!R39)*Population_Tables!F39</f>
        <v>10732.031502217607</v>
      </c>
      <c r="F121" s="253">
        <f>(F173/Population_Tables!S39)*Population_Tables!G39</f>
        <v>2982.5728840738652</v>
      </c>
      <c r="G121" s="253">
        <f>(G173/Population_Tables!T39)*Population_Tables!H39</f>
        <v>723.16220422072115</v>
      </c>
      <c r="H121" s="253">
        <f>(H173/Population_Tables!U39)*Population_Tables!I39</f>
        <v>5073.0332015324448</v>
      </c>
      <c r="I121" s="253">
        <f>(I173/Population_Tables!V39)*Population_Tables!J39</f>
        <v>4113.7881194962129</v>
      </c>
      <c r="J121" s="253">
        <f>(J173/Population_Tables!W39)*Population_Tables!K39</f>
        <v>1426.3625071376939</v>
      </c>
      <c r="K121" s="253">
        <f>(K173/Population_Tables!X39)*Population_Tables!L39</f>
        <v>1760.7437997002016</v>
      </c>
      <c r="L121" s="209"/>
      <c r="M121" s="209"/>
      <c r="N121" s="195">
        <f t="shared" si="9"/>
        <v>8641.5711847590283</v>
      </c>
      <c r="O121" s="195">
        <f t="shared" si="11"/>
        <v>5073.0332015324448</v>
      </c>
      <c r="P121" s="195">
        <f t="shared" si="10"/>
        <v>5097.6905286094725</v>
      </c>
      <c r="Q121" s="195">
        <f t="shared" si="12"/>
        <v>18812.294914900947</v>
      </c>
      <c r="R121" s="210">
        <f t="shared" si="13"/>
        <v>0.45935762881934006</v>
      </c>
      <c r="S121" s="209"/>
      <c r="T121" s="209"/>
      <c r="U121" s="211">
        <f t="shared" si="18"/>
        <v>812.69989504335354</v>
      </c>
      <c r="V121" s="195">
        <f t="shared" si="14"/>
        <v>360.3914617372493</v>
      </c>
      <c r="W121" s="211">
        <f t="shared" si="14"/>
        <v>393.397461418077</v>
      </c>
      <c r="X121" s="195">
        <f t="shared" si="17"/>
        <v>1566.4888181986798</v>
      </c>
      <c r="Y121" s="212">
        <f t="shared" si="16"/>
        <v>0.51880350858672886</v>
      </c>
      <c r="AC121" s="251">
        <f t="shared" si="15"/>
        <v>1.2257381832738963</v>
      </c>
    </row>
    <row r="122" spans="1:29" ht="15.6" x14ac:dyDescent="0.3">
      <c r="A122" s="213">
        <v>2051</v>
      </c>
      <c r="B122" s="253">
        <f>(B174/Population_Tables!O40)*Population_Tables!C40</f>
        <v>23381.601876264449</v>
      </c>
      <c r="C122" s="253">
        <f>(C174/Population_Tables!P40)*Population_Tables!D40</f>
        <v>3606.739421627341</v>
      </c>
      <c r="D122" s="253">
        <f>(D174/Population_Tables!Q40)*Population_Tables!E40</f>
        <v>807.5702340912668</v>
      </c>
      <c r="E122" s="253">
        <f>(E174/Population_Tables!R40)*Population_Tables!F40</f>
        <v>11004.82954978093</v>
      </c>
      <c r="F122" s="253">
        <f>(F174/Population_Tables!S40)*Population_Tables!G40</f>
        <v>3096.3954498011658</v>
      </c>
      <c r="G122" s="253">
        <f>(G174/Population_Tables!T40)*Population_Tables!H40</f>
        <v>737.01150338959769</v>
      </c>
      <c r="H122" s="253">
        <f>(H174/Population_Tables!U40)*Population_Tables!I40</f>
        <v>5131.2629229135528</v>
      </c>
      <c r="I122" s="253">
        <f>(I174/Population_Tables!V40)*Population_Tables!J40</f>
        <v>4280.0310749139398</v>
      </c>
      <c r="J122" s="253">
        <f>(J174/Population_Tables!W40)*Population_Tables!K40</f>
        <v>1436.868465614833</v>
      </c>
      <c r="K122" s="253">
        <f>(K174/Population_Tables!X40)*Population_Tables!L40</f>
        <v>1781.8205707480354</v>
      </c>
      <c r="N122" s="195">
        <f t="shared" si="9"/>
        <v>8969.9620766685439</v>
      </c>
      <c r="O122" s="195">
        <f t="shared" si="11"/>
        <v>5131.2629229135528</v>
      </c>
      <c r="P122" s="195">
        <f t="shared" si="10"/>
        <v>5151.3211591082054</v>
      </c>
      <c r="Q122" s="195">
        <f t="shared" si="12"/>
        <v>19252.546158690304</v>
      </c>
      <c r="R122" s="214">
        <f t="shared" si="13"/>
        <v>0.4659104308974551</v>
      </c>
      <c r="U122" s="215">
        <f t="shared" si="18"/>
        <v>877.76697289244112</v>
      </c>
      <c r="V122" s="195">
        <f t="shared" si="14"/>
        <v>380.91304071399645</v>
      </c>
      <c r="W122" s="215">
        <f t="shared" si="14"/>
        <v>414.11455761737579</v>
      </c>
      <c r="X122" s="195">
        <f t="shared" si="17"/>
        <v>1672.7945712238134</v>
      </c>
      <c r="Y122" s="214">
        <f t="shared" si="16"/>
        <v>0.52473088327293438</v>
      </c>
      <c r="AC122" s="251">
        <f t="shared" si="15"/>
        <v>1.2245985271183124</v>
      </c>
    </row>
    <row r="123" spans="1:29" ht="15.6" x14ac:dyDescent="0.3">
      <c r="A123" s="194">
        <v>2052</v>
      </c>
      <c r="B123" s="253">
        <f>(B175/Population_Tables!O41)*Population_Tables!C41</f>
        <v>23931.015702586537</v>
      </c>
      <c r="C123" s="253">
        <f>(C175/Population_Tables!P41)*Population_Tables!D41</f>
        <v>3633.1806527346976</v>
      </c>
      <c r="D123" s="253">
        <f>(D175/Population_Tables!Q41)*Population_Tables!E41</f>
        <v>820.38795878875681</v>
      </c>
      <c r="E123" s="253">
        <f>(E175/Population_Tables!R41)*Population_Tables!F41</f>
        <v>11288.854443453103</v>
      </c>
      <c r="F123" s="253">
        <f>(F175/Population_Tables!S41)*Population_Tables!G41</f>
        <v>3213.4964573687585</v>
      </c>
      <c r="G123" s="253">
        <f>(G175/Population_Tables!T41)*Population_Tables!H41</f>
        <v>751.08222066949224</v>
      </c>
      <c r="H123" s="253">
        <f>(H175/Population_Tables!U41)*Population_Tables!I41</f>
        <v>5194.2127686620624</v>
      </c>
      <c r="I123" s="253">
        <f>(I175/Population_Tables!V41)*Population_Tables!J41</f>
        <v>4449.7132874052895</v>
      </c>
      <c r="J123" s="253">
        <f>(J175/Population_Tables!W41)*Population_Tables!K41</f>
        <v>1446.7043813327693</v>
      </c>
      <c r="K123" s="253">
        <f>(K175/Population_Tables!X41)*Population_Tables!L41</f>
        <v>1803.0457207786196</v>
      </c>
      <c r="N123" s="195">
        <f t="shared" si="9"/>
        <v>9308.1381321597983</v>
      </c>
      <c r="O123" s="195">
        <f t="shared" si="11"/>
        <v>5194.2127686620624</v>
      </c>
      <c r="P123" s="195">
        <f t="shared" si="10"/>
        <v>5204.6508321929468</v>
      </c>
      <c r="Q123" s="195">
        <f t="shared" si="12"/>
        <v>19707.001733014808</v>
      </c>
      <c r="R123" s="196">
        <f t="shared" si="13"/>
        <v>0.47232644814589075</v>
      </c>
      <c r="U123" s="195">
        <f t="shared" si="18"/>
        <v>947.34879612472287</v>
      </c>
      <c r="V123" s="195">
        <f t="shared" si="14"/>
        <v>402.61818967189265</v>
      </c>
      <c r="W123" s="195">
        <f t="shared" si="14"/>
        <v>435.56034530058605</v>
      </c>
      <c r="X123" s="195">
        <f t="shared" si="17"/>
        <v>1785.5273310972016</v>
      </c>
      <c r="Y123" s="196">
        <f t="shared" si="16"/>
        <v>0.53057087372758371</v>
      </c>
      <c r="AC123" s="251">
        <f t="shared" si="15"/>
        <v>1.2235302676554192</v>
      </c>
    </row>
    <row r="124" spans="1:29" ht="15.6" x14ac:dyDescent="0.3">
      <c r="A124" s="194">
        <v>2053</v>
      </c>
      <c r="B124" s="253">
        <f>(B176/Population_Tables!O42)*Population_Tables!C42</f>
        <v>24492.453658465118</v>
      </c>
      <c r="C124" s="253">
        <f>(C176/Population_Tables!P42)*Population_Tables!D42</f>
        <v>3659.7347080820091</v>
      </c>
      <c r="D124" s="253">
        <f>(D176/Population_Tables!Q42)*Population_Tables!E42</f>
        <v>833.47019853361633</v>
      </c>
      <c r="E124" s="253">
        <f>(E176/Population_Tables!R42)*Population_Tables!F42</f>
        <v>11578.664255631857</v>
      </c>
      <c r="F124" s="253">
        <f>(F176/Population_Tables!S42)*Population_Tables!G42</f>
        <v>3335.1901122555973</v>
      </c>
      <c r="G124" s="253">
        <f>(G176/Population_Tables!T42)*Population_Tables!H42</f>
        <v>765.38362442555615</v>
      </c>
      <c r="H124" s="253">
        <f>(H176/Population_Tables!U42)*Population_Tables!I42</f>
        <v>5257.0836128099991</v>
      </c>
      <c r="I124" s="253">
        <f>(I176/Population_Tables!V42)*Population_Tables!J42</f>
        <v>4624.3150296751301</v>
      </c>
      <c r="J124" s="253">
        <f>(J176/Population_Tables!W42)*Population_Tables!K42</f>
        <v>1456.6174138850611</v>
      </c>
      <c r="K124" s="253">
        <f>(K176/Population_Tables!X42)*Population_Tables!L42</f>
        <v>1824.6426017963531</v>
      </c>
      <c r="N124" s="195">
        <f t="shared" si="9"/>
        <v>9656.7707550774539</v>
      </c>
      <c r="O124" s="195">
        <f t="shared" si="11"/>
        <v>5257.0836128099991</v>
      </c>
      <c r="P124" s="195">
        <f t="shared" si="10"/>
        <v>5258.5885310411813</v>
      </c>
      <c r="Q124" s="195">
        <f t="shared" si="12"/>
        <v>20172.442898928635</v>
      </c>
      <c r="R124" s="196">
        <f t="shared" si="13"/>
        <v>0.47871102193529214</v>
      </c>
      <c r="U124" s="195">
        <f t="shared" si="18"/>
        <v>1021.5800332233048</v>
      </c>
      <c r="V124" s="195">
        <f t="shared" si="14"/>
        <v>425.1834634378456</v>
      </c>
      <c r="W124" s="195">
        <f t="shared" si="14"/>
        <v>457.84936272864252</v>
      </c>
      <c r="X124" s="195">
        <f t="shared" si="17"/>
        <v>1904.6128593897929</v>
      </c>
      <c r="Y124" s="196">
        <f t="shared" si="16"/>
        <v>0.53637148787843558</v>
      </c>
      <c r="AC124" s="251">
        <f t="shared" si="15"/>
        <v>1.2223336163271548</v>
      </c>
    </row>
    <row r="125" spans="1:29" ht="15.6" x14ac:dyDescent="0.3">
      <c r="A125" s="194">
        <v>2054</v>
      </c>
      <c r="B125" s="253">
        <f>(B177/Population_Tables!O43)*Population_Tables!C43</f>
        <v>25066.079766476087</v>
      </c>
      <c r="C125" s="253">
        <f>(C177/Population_Tables!P43)*Population_Tables!D43</f>
        <v>3686.4270341154706</v>
      </c>
      <c r="D125" s="253">
        <f>(D177/Population_Tables!Q43)*Population_Tables!E43</f>
        <v>846.82282069573387</v>
      </c>
      <c r="E125" s="253">
        <f>(E177/Population_Tables!R43)*Population_Tables!F43</f>
        <v>11874.287632195632</v>
      </c>
      <c r="F125" s="253">
        <f>(F177/Population_Tables!S43)*Population_Tables!G43</f>
        <v>3461.6141064812923</v>
      </c>
      <c r="G125" s="253">
        <f>(G177/Population_Tables!T43)*Population_Tables!H43</f>
        <v>779.91826788784203</v>
      </c>
      <c r="H125" s="253">
        <f>(H177/Population_Tables!U43)*Population_Tables!I43</f>
        <v>5319.8373899190074</v>
      </c>
      <c r="I125" s="253">
        <f>(I177/Population_Tables!V43)*Population_Tables!J43</f>
        <v>4803.8903844195402</v>
      </c>
      <c r="J125" s="253">
        <f>(J177/Population_Tables!W43)*Population_Tables!K43</f>
        <v>1466.6213134347997</v>
      </c>
      <c r="K125" s="253">
        <f>(K177/Population_Tables!X43)*Population_Tables!L43</f>
        <v>1846.6342119672925</v>
      </c>
      <c r="N125" s="195">
        <f t="shared" si="9"/>
        <v>10016.064348757918</v>
      </c>
      <c r="O125" s="195">
        <f t="shared" si="11"/>
        <v>5319.8373899190074</v>
      </c>
      <c r="P125" s="195">
        <f t="shared" si="10"/>
        <v>5313.1681226990468</v>
      </c>
      <c r="Q125" s="195">
        <f t="shared" si="12"/>
        <v>20649.069861375974</v>
      </c>
      <c r="R125" s="196">
        <f t="shared" si="13"/>
        <v>0.48506128440646801</v>
      </c>
      <c r="U125" s="195">
        <f t="shared" si="18"/>
        <v>1100.6199864288865</v>
      </c>
      <c r="V125" s="195">
        <f t="shared" si="14"/>
        <v>448.61671367599774</v>
      </c>
      <c r="W125" s="195">
        <f t="shared" si="14"/>
        <v>481.02697939865266</v>
      </c>
      <c r="X125" s="195">
        <f t="shared" si="17"/>
        <v>2030.2636795035369</v>
      </c>
      <c r="Y125" s="196">
        <f t="shared" si="16"/>
        <v>0.54210691819991708</v>
      </c>
      <c r="AC125" s="251">
        <f t="shared" si="15"/>
        <v>1.2210106884832077</v>
      </c>
    </row>
    <row r="126" spans="1:29" ht="15.6" x14ac:dyDescent="0.3">
      <c r="A126" s="194">
        <v>2055</v>
      </c>
      <c r="B126" s="253">
        <f>(B178/Population_Tables!O44)*Population_Tables!C44</f>
        <v>25652.062673866374</v>
      </c>
      <c r="C126" s="253">
        <f>(C178/Population_Tables!P44)*Population_Tables!D44</f>
        <v>3713.2768711638673</v>
      </c>
      <c r="D126" s="253">
        <f>(D178/Population_Tables!Q44)*Population_Tables!E44</f>
        <v>860.45208244030607</v>
      </c>
      <c r="E126" s="253">
        <f>(E178/Population_Tables!R44)*Population_Tables!F44</f>
        <v>12175.757993845462</v>
      </c>
      <c r="F126" s="253">
        <f>(F178/Population_Tables!S44)*Population_Tables!G44</f>
        <v>3592.9080190069303</v>
      </c>
      <c r="G126" s="253">
        <f>(G178/Population_Tables!T44)*Population_Tables!H44</f>
        <v>794.68853660358832</v>
      </c>
      <c r="H126" s="253">
        <f>(H178/Population_Tables!U44)*Population_Tables!I44</f>
        <v>5382.4517380993211</v>
      </c>
      <c r="I126" s="253">
        <f>(I178/Population_Tables!V44)*Population_Tables!J44</f>
        <v>4988.4919393220507</v>
      </c>
      <c r="J126" s="253">
        <f>(J178/Population_Tables!W44)*Population_Tables!K44</f>
        <v>1476.7283448663441</v>
      </c>
      <c r="K126" s="253">
        <f>(K178/Population_Tables!X44)*Population_Tables!L44</f>
        <v>1869.0384183360945</v>
      </c>
      <c r="N126" s="195">
        <f t="shared" si="9"/>
        <v>10386.214274753071</v>
      </c>
      <c r="O126" s="195">
        <f t="shared" si="11"/>
        <v>5382.4517380993211</v>
      </c>
      <c r="P126" s="195">
        <f t="shared" si="10"/>
        <v>5368.4174902077621</v>
      </c>
      <c r="Q126" s="195">
        <f t="shared" si="12"/>
        <v>21137.083503060152</v>
      </c>
      <c r="R126" s="196">
        <f t="shared" si="13"/>
        <v>0.49137404757138758</v>
      </c>
      <c r="U126" s="195">
        <f t="shared" si="18"/>
        <v>1184.6264838967163</v>
      </c>
      <c r="V126" s="195">
        <f t="shared" si="14"/>
        <v>472.92636446617962</v>
      </c>
      <c r="W126" s="195">
        <f t="shared" si="14"/>
        <v>505.13160685346975</v>
      </c>
      <c r="X126" s="195">
        <f t="shared" si="17"/>
        <v>2162.6844552163657</v>
      </c>
      <c r="Y126" s="196">
        <f t="shared" si="16"/>
        <v>0.54775743222244611</v>
      </c>
      <c r="AC126" s="251">
        <f t="shared" si="15"/>
        <v>1.2195671452763615</v>
      </c>
    </row>
    <row r="127" spans="1:29" ht="15.6" x14ac:dyDescent="0.3">
      <c r="A127" s="194">
        <v>2056</v>
      </c>
      <c r="B127" s="253">
        <f>(B179/Population_Tables!O45)*Population_Tables!C45</f>
        <v>26250.649454359551</v>
      </c>
      <c r="C127" s="253">
        <f>(C179/Population_Tables!P45)*Population_Tables!D45</f>
        <v>3740.2981862967827</v>
      </c>
      <c r="D127" s="253">
        <f>(D179/Population_Tables!Q45)*Population_Tables!E45</f>
        <v>874.36554374282457</v>
      </c>
      <c r="E127" s="253">
        <f>(E179/Population_Tables!R45)*Population_Tables!F45</f>
        <v>12483.170159209174</v>
      </c>
      <c r="F127" s="253">
        <f>(F179/Population_Tables!S45)*Population_Tables!G45</f>
        <v>3729.2200153357799</v>
      </c>
      <c r="G127" s="253">
        <f>(G179/Population_Tables!T45)*Population_Tables!H45</f>
        <v>809.69810277785223</v>
      </c>
      <c r="H127" s="253">
        <f>(H179/Population_Tables!U45)*Population_Tables!I45</f>
        <v>5444.9334840632582</v>
      </c>
      <c r="I127" s="253">
        <f>(I179/Population_Tables!V45)*Population_Tables!J45</f>
        <v>5178.2122664566195</v>
      </c>
      <c r="J127" s="253">
        <f>(J179/Population_Tables!W45)*Population_Tables!K45</f>
        <v>1486.9484443404438</v>
      </c>
      <c r="K127" s="253">
        <f>(K179/Population_Tables!X45)*Population_Tables!L45</f>
        <v>1891.8686458774114</v>
      </c>
      <c r="N127" s="195">
        <f t="shared" si="9"/>
        <v>10767.456690481697</v>
      </c>
      <c r="O127" s="195">
        <f t="shared" si="11"/>
        <v>5444.9334840632582</v>
      </c>
      <c r="P127" s="195">
        <f t="shared" si="10"/>
        <v>5424.3618328174589</v>
      </c>
      <c r="Q127" s="195">
        <f t="shared" si="12"/>
        <v>21636.752007362415</v>
      </c>
      <c r="R127" s="196">
        <f t="shared" si="13"/>
        <v>0.49764662860755698</v>
      </c>
      <c r="U127" s="195">
        <f t="shared" si="18"/>
        <v>1273.8060699587077</v>
      </c>
      <c r="V127" s="195">
        <f t="shared" si="14"/>
        <v>498.13106880807572</v>
      </c>
      <c r="W127" s="195">
        <f t="shared" si="14"/>
        <v>530.19431909469768</v>
      </c>
      <c r="X127" s="195">
        <f t="shared" si="17"/>
        <v>2302.1314578614811</v>
      </c>
      <c r="Y127" s="196">
        <f t="shared" si="16"/>
        <v>0.55331595665782884</v>
      </c>
      <c r="AC127" s="251">
        <f t="shared" si="15"/>
        <v>1.2180099729292795</v>
      </c>
    </row>
    <row r="128" spans="1:29" ht="15.6" x14ac:dyDescent="0.3">
      <c r="A128" s="194">
        <v>2057</v>
      </c>
      <c r="B128" s="253">
        <f>(B180/Population_Tables!O46)*Population_Tables!C46</f>
        <v>26862.066322164872</v>
      </c>
      <c r="C128" s="253">
        <f>(C180/Population_Tables!P46)*Population_Tables!D46</f>
        <v>3767.4915861254281</v>
      </c>
      <c r="D128" s="253">
        <f>(D180/Population_Tables!Q46)*Population_Tables!E46</f>
        <v>888.57109854027442</v>
      </c>
      <c r="E128" s="253">
        <f>(E180/Population_Tables!R46)*Population_Tables!F46</f>
        <v>12796.609517803974</v>
      </c>
      <c r="F128" s="253">
        <f>(F180/Population_Tables!S46)*Population_Tables!G46</f>
        <v>3870.6979116380958</v>
      </c>
      <c r="G128" s="253">
        <f>(G180/Population_Tables!T46)*Population_Tables!H46</f>
        <v>824.94935593492778</v>
      </c>
      <c r="H128" s="253">
        <f>(H180/Population_Tables!U46)*Population_Tables!I46</f>
        <v>5507.3178548784208</v>
      </c>
      <c r="I128" s="253">
        <f>(I180/Population_Tables!V46)*Population_Tables!J46</f>
        <v>5373.1298202272465</v>
      </c>
      <c r="J128" s="253">
        <f>(J180/Population_Tables!W46)*Population_Tables!K46</f>
        <v>1497.2880991030713</v>
      </c>
      <c r="K128" s="253">
        <f>(K180/Population_Tables!X46)*Population_Tables!L46</f>
        <v>1915.1283374816237</v>
      </c>
      <c r="N128" s="195">
        <f t="shared" si="9"/>
        <v>11159.98957456365</v>
      </c>
      <c r="O128" s="195">
        <f t="shared" si="11"/>
        <v>5507.3178548784208</v>
      </c>
      <c r="P128" s="195">
        <f t="shared" si="10"/>
        <v>5481.0120406006299</v>
      </c>
      <c r="Q128" s="195">
        <f t="shared" si="12"/>
        <v>22148.319470042698</v>
      </c>
      <c r="R128" s="196">
        <f t="shared" si="13"/>
        <v>0.50387523033783188</v>
      </c>
      <c r="U128" s="195">
        <f t="shared" si="18"/>
        <v>1368.3411361787221</v>
      </c>
      <c r="V128" s="195">
        <f t="shared" si="14"/>
        <v>524.25065496518073</v>
      </c>
      <c r="W128" s="195">
        <f t="shared" si="14"/>
        <v>556.23180092015264</v>
      </c>
      <c r="X128" s="195">
        <f t="shared" si="17"/>
        <v>2448.8235920640554</v>
      </c>
      <c r="Y128" s="196">
        <f t="shared" si="16"/>
        <v>0.55877489118167945</v>
      </c>
      <c r="AC128" s="251">
        <f t="shared" si="15"/>
        <v>1.2163493757948352</v>
      </c>
    </row>
    <row r="129" spans="1:29" ht="15.6" x14ac:dyDescent="0.3">
      <c r="A129" s="194">
        <v>2058</v>
      </c>
      <c r="B129" s="253">
        <f>(B181/Population_Tables!O47)*Population_Tables!C47</f>
        <v>27486.412052379364</v>
      </c>
      <c r="C129" s="253">
        <f>(C181/Population_Tables!P47)*Population_Tables!D47</f>
        <v>3794.838522538199</v>
      </c>
      <c r="D129" s="253">
        <f>(D181/Population_Tables!Q47)*Population_Tables!E47</f>
        <v>903.07352445921504</v>
      </c>
      <c r="E129" s="253">
        <f>(E181/Population_Tables!R47)*Population_Tables!F47</f>
        <v>13116.072978700575</v>
      </c>
      <c r="F129" s="253">
        <f>(F181/Population_Tables!S47)*Population_Tables!G47</f>
        <v>4017.4807135297565</v>
      </c>
      <c r="G129" s="253">
        <f>(G181/Population_Tables!T47)*Population_Tables!H47</f>
        <v>840.44140519918835</v>
      </c>
      <c r="H129" s="253">
        <f>(H181/Population_Tables!U47)*Population_Tables!I47</f>
        <v>5569.6447745419473</v>
      </c>
      <c r="I129" s="253">
        <f>(I181/Population_Tables!V47)*Population_Tables!J47</f>
        <v>5573.2520353177724</v>
      </c>
      <c r="J129" s="253">
        <f>(J181/Population_Tables!W47)*Population_Tables!K47</f>
        <v>1507.7475998996779</v>
      </c>
      <c r="K129" s="253">
        <f>(K181/Population_Tables!X47)*Population_Tables!L47</f>
        <v>1938.8105207389478</v>
      </c>
      <c r="N129" s="195">
        <f t="shared" si="9"/>
        <v>11563.908917688386</v>
      </c>
      <c r="O129" s="195">
        <f t="shared" si="11"/>
        <v>5569.6447745419473</v>
      </c>
      <c r="P129" s="195">
        <f t="shared" si="10"/>
        <v>5538.3534521966021</v>
      </c>
      <c r="Q129" s="195">
        <f t="shared" si="12"/>
        <v>22671.907144426936</v>
      </c>
      <c r="R129" s="196">
        <f t="shared" si="13"/>
        <v>0.5100545288944055</v>
      </c>
      <c r="U129" s="195">
        <f t="shared" si="18"/>
        <v>1468.32273219538</v>
      </c>
      <c r="V129" s="195">
        <f t="shared" si="14"/>
        <v>551.29251679122808</v>
      </c>
      <c r="W129" s="195">
        <f t="shared" si="14"/>
        <v>583.23979512893766</v>
      </c>
      <c r="X129" s="195">
        <f t="shared" si="17"/>
        <v>2602.8550441155458</v>
      </c>
      <c r="Y129" s="196">
        <f t="shared" si="16"/>
        <v>0.56412005559622636</v>
      </c>
      <c r="AC129" s="251">
        <f t="shared" si="15"/>
        <v>1.2146008920811617</v>
      </c>
    </row>
    <row r="130" spans="1:29" ht="15.6" x14ac:dyDescent="0.3">
      <c r="A130" s="194">
        <v>2059</v>
      </c>
      <c r="B130" s="253">
        <f>(B182/Population_Tables!O48)*Population_Tables!C48</f>
        <v>28123.731044787073</v>
      </c>
      <c r="C130" s="253">
        <f>(C182/Population_Tables!P48)*Population_Tables!D48</f>
        <v>3822.3082632460132</v>
      </c>
      <c r="D130" s="253">
        <f>(D182/Population_Tables!Q48)*Population_Tables!E48</f>
        <v>917.87700265328283</v>
      </c>
      <c r="E130" s="253">
        <f>(E182/Population_Tables!R48)*Population_Tables!F48</f>
        <v>13441.519403199991</v>
      </c>
      <c r="F130" s="253">
        <f>(F182/Population_Tables!S48)*Population_Tables!G48</f>
        <v>4169.7043137790915</v>
      </c>
      <c r="G130" s="253">
        <f>(G182/Population_Tables!T48)*Population_Tables!H48</f>
        <v>856.17176704081123</v>
      </c>
      <c r="H130" s="253">
        <f>(H182/Population_Tables!U48)*Population_Tables!I48</f>
        <v>5631.9657416921964</v>
      </c>
      <c r="I130" s="253">
        <f>(I182/Population_Tables!V48)*Population_Tables!J48</f>
        <v>5778.5517451658707</v>
      </c>
      <c r="J130" s="253">
        <f>(J182/Population_Tables!W48)*Population_Tables!K48</f>
        <v>1518.3240125109267</v>
      </c>
      <c r="K130" s="253">
        <f>(K182/Population_Tables!X48)*Population_Tables!L48</f>
        <v>1962.9002247826934</v>
      </c>
      <c r="N130" s="195">
        <f t="shared" si="9"/>
        <v>11979.257975286886</v>
      </c>
      <c r="O130" s="195">
        <f t="shared" si="11"/>
        <v>5631.9657416921964</v>
      </c>
      <c r="P130" s="195">
        <f t="shared" si="10"/>
        <v>5596.3570329401073</v>
      </c>
      <c r="Q130" s="195">
        <f t="shared" si="12"/>
        <v>23207.580749919187</v>
      </c>
      <c r="R130" s="196">
        <f t="shared" si="13"/>
        <v>0.5161786618076768</v>
      </c>
      <c r="U130" s="195">
        <f t="shared" si="18"/>
        <v>1573.7978180880364</v>
      </c>
      <c r="V130" s="195">
        <f t="shared" si="14"/>
        <v>579.25928459099669</v>
      </c>
      <c r="W130" s="195">
        <f t="shared" si="14"/>
        <v>611.2008064437905</v>
      </c>
      <c r="X130" s="195">
        <f t="shared" si="17"/>
        <v>2764.2579091228235</v>
      </c>
      <c r="Y130" s="196">
        <f t="shared" si="16"/>
        <v>0.56933827082272748</v>
      </c>
      <c r="AC130" s="251">
        <f t="shared" si="15"/>
        <v>1.212781919385524</v>
      </c>
    </row>
    <row r="131" spans="1:29" ht="15.6" x14ac:dyDescent="0.3">
      <c r="A131" s="194">
        <v>2060</v>
      </c>
      <c r="B131" s="253">
        <f>(B183/Population_Tables!O49)*Population_Tables!C49</f>
        <v>28771.963059899063</v>
      </c>
      <c r="C131" s="253">
        <f>(C183/Population_Tables!P49)*Population_Tables!D49</f>
        <v>3849.9579740150598</v>
      </c>
      <c r="D131" s="253">
        <f>(D183/Population_Tables!Q49)*Population_Tables!E49</f>
        <v>933.16893902035076</v>
      </c>
      <c r="E131" s="253">
        <f>(E183/Population_Tables!R49)*Population_Tables!F49</f>
        <v>13771.476836578613</v>
      </c>
      <c r="F131" s="253">
        <f>(F183/Population_Tables!S49)*Population_Tables!G49</f>
        <v>4327.8149447455253</v>
      </c>
      <c r="G131" s="253">
        <f>(G183/Population_Tables!T49)*Population_Tables!H49</f>
        <v>872.13994395167708</v>
      </c>
      <c r="H131" s="253">
        <f>(H183/Population_Tables!U49)*Population_Tables!I49</f>
        <v>5693.0851069403816</v>
      </c>
      <c r="I131" s="253">
        <f>(I183/Population_Tables!V49)*Population_Tables!J49</f>
        <v>5989.3808414726291</v>
      </c>
      <c r="J131" s="253">
        <f>(J183/Population_Tables!W49)*Population_Tables!K49</f>
        <v>1529.4011361005685</v>
      </c>
      <c r="K131" s="253">
        <f>(K183/Population_Tables!X49)*Population_Tables!L49</f>
        <v>1987.4356125138306</v>
      </c>
      <c r="N131" s="195">
        <f t="shared" si="9"/>
        <v>12406.206674383755</v>
      </c>
      <c r="O131" s="195">
        <f t="shared" si="11"/>
        <v>5693.0851069403816</v>
      </c>
      <c r="P131" s="195">
        <f t="shared" si="10"/>
        <v>5655.2668569870875</v>
      </c>
      <c r="Q131" s="195">
        <f t="shared" si="12"/>
        <v>23754.558638311224</v>
      </c>
      <c r="R131" s="196">
        <f>N131/Q131</f>
        <v>0.52226635162040402</v>
      </c>
      <c r="U131" s="195">
        <f t="shared" si="18"/>
        <v>1684.8119995368779</v>
      </c>
      <c r="V131" s="195">
        <f t="shared" si="14"/>
        <v>608.0217081519877</v>
      </c>
      <c r="W131" s="195">
        <f t="shared" si="14"/>
        <v>640.12845248240592</v>
      </c>
      <c r="X131" s="195">
        <f t="shared" si="17"/>
        <v>2932.9621601712715</v>
      </c>
      <c r="Y131" s="196">
        <f t="shared" si="16"/>
        <v>0.57444041468250395</v>
      </c>
      <c r="AC131" s="251">
        <f t="shared" si="15"/>
        <v>1.2108689031072741</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9420.048251321914</v>
      </c>
      <c r="C137" s="229">
        <v>2629.4350904716298</v>
      </c>
      <c r="D137" s="229">
        <v>467.02649557183969</v>
      </c>
      <c r="E137" s="229">
        <v>3740.7188081675804</v>
      </c>
      <c r="F137" s="229">
        <v>871.70102318165959</v>
      </c>
      <c r="G137" s="229">
        <v>350.48342727572367</v>
      </c>
      <c r="H137" s="229">
        <v>2609.2302768909922</v>
      </c>
      <c r="I137" s="229">
        <v>737.63652435843073</v>
      </c>
      <c r="J137" s="229">
        <v>1087.5007224082237</v>
      </c>
      <c r="K137" s="229">
        <v>1156.6354982699991</v>
      </c>
      <c r="N137" s="195">
        <f t="shared" ref="N137:N183" si="19">SUMIF($C$83:$G$83,"Y",C137:G137)-H137</f>
        <v>2003.1895544582476</v>
      </c>
      <c r="O137" s="195">
        <f>H137</f>
        <v>2609.2302768909922</v>
      </c>
      <c r="P137" s="195">
        <f t="shared" ref="P137:P183" si="20">SUMIF($C$83:$G$83,"N",C137:G137)-(IF($E$83="N",H137))</f>
        <v>3446.9450133191931</v>
      </c>
      <c r="Q137" s="195">
        <f>N137+P137+O137</f>
        <v>8059.3648446684329</v>
      </c>
      <c r="R137" s="196">
        <f>N137/Q137</f>
        <v>0.2485542710953744</v>
      </c>
      <c r="AC137" s="251"/>
    </row>
    <row r="138" spans="1:29" ht="15.6" x14ac:dyDescent="0.3">
      <c r="A138" s="194">
        <v>2015</v>
      </c>
      <c r="B138" s="229">
        <v>9656.2092789826384</v>
      </c>
      <c r="C138" s="229">
        <v>2652.4042453043076</v>
      </c>
      <c r="D138" s="229">
        <v>473.74437880607616</v>
      </c>
      <c r="E138" s="229">
        <v>3858.4863101039646</v>
      </c>
      <c r="F138" s="229">
        <v>899.46205941002859</v>
      </c>
      <c r="G138" s="229">
        <v>357.27366553649546</v>
      </c>
      <c r="H138" s="229">
        <v>2684.7210625164607</v>
      </c>
      <c r="I138" s="229">
        <v>770.08082363718938</v>
      </c>
      <c r="J138" s="229">
        <v>1095.260534069424</v>
      </c>
      <c r="K138" s="229">
        <v>1168.6007941555526</v>
      </c>
      <c r="N138" s="195">
        <f t="shared" si="19"/>
        <v>2073.2273069975327</v>
      </c>
      <c r="O138" s="195">
        <f t="shared" ref="O138:O183" si="21">H138</f>
        <v>2684.7210625164607</v>
      </c>
      <c r="P138" s="195">
        <f t="shared" si="20"/>
        <v>3483.4222896468796</v>
      </c>
      <c r="Q138" s="195">
        <f t="shared" ref="Q138:Q183" si="22">N138+P138+O138</f>
        <v>8241.3706591608734</v>
      </c>
      <c r="R138" s="196">
        <f t="shared" ref="R138:R182" si="23">N138/Q138</f>
        <v>0.25156341010982103</v>
      </c>
      <c r="AC138" s="251"/>
    </row>
    <row r="139" spans="1:29" ht="15.6" x14ac:dyDescent="0.3">
      <c r="A139" s="194">
        <v>2016</v>
      </c>
      <c r="B139" s="229">
        <v>9897.405910873902</v>
      </c>
      <c r="C139" s="229">
        <v>2675.1602341720754</v>
      </c>
      <c r="D139" s="229">
        <v>480.46244846594254</v>
      </c>
      <c r="E139" s="229">
        <v>3979.7957882197779</v>
      </c>
      <c r="F139" s="229">
        <v>927.80773992512832</v>
      </c>
      <c r="G139" s="229">
        <v>364.19233776381185</v>
      </c>
      <c r="H139" s="229">
        <v>2759.2447388326059</v>
      </c>
      <c r="I139" s="229">
        <v>805.72206037947171</v>
      </c>
      <c r="J139" s="229">
        <v>1103.1102147588815</v>
      </c>
      <c r="K139" s="229">
        <v>1180.6873355601149</v>
      </c>
      <c r="N139" s="195">
        <f t="shared" si="19"/>
        <v>2148.3587893122999</v>
      </c>
      <c r="O139" s="195">
        <f t="shared" si="21"/>
        <v>2759.2447388326059</v>
      </c>
      <c r="P139" s="195">
        <f t="shared" si="20"/>
        <v>3519.8150204018298</v>
      </c>
      <c r="Q139" s="195">
        <f t="shared" si="22"/>
        <v>8427.4185485467351</v>
      </c>
      <c r="R139" s="196">
        <f t="shared" si="23"/>
        <v>0.25492489508341476</v>
      </c>
      <c r="AC139" s="251"/>
    </row>
    <row r="140" spans="1:29" ht="15.6" x14ac:dyDescent="0.3">
      <c r="A140" s="194">
        <v>2017</v>
      </c>
      <c r="B140" s="229">
        <v>10143.559473789928</v>
      </c>
      <c r="C140" s="229">
        <v>2697.6903467607099</v>
      </c>
      <c r="D140" s="229">
        <v>487.18599917044969</v>
      </c>
      <c r="E140" s="229">
        <v>4104.5758006553433</v>
      </c>
      <c r="F140" s="229">
        <v>956.80369136810032</v>
      </c>
      <c r="G140" s="229">
        <v>371.23308243580243</v>
      </c>
      <c r="H140" s="229">
        <v>2832.8021593047833</v>
      </c>
      <c r="I140" s="229">
        <v>844.53454489497062</v>
      </c>
      <c r="J140" s="229">
        <v>1111.0170546167001</v>
      </c>
      <c r="K140" s="229">
        <v>1192.8805409750839</v>
      </c>
      <c r="N140" s="195">
        <f t="shared" si="19"/>
        <v>2228.5773327186598</v>
      </c>
      <c r="O140" s="195">
        <f t="shared" si="21"/>
        <v>2832.8021593047833</v>
      </c>
      <c r="P140" s="195">
        <f t="shared" si="20"/>
        <v>3556.1094283669618</v>
      </c>
      <c r="Q140" s="195">
        <f t="shared" si="22"/>
        <v>8617.4889203904058</v>
      </c>
      <c r="R140" s="196">
        <f t="shared" si="23"/>
        <v>0.25861098903712854</v>
      </c>
      <c r="AC140" s="251"/>
    </row>
    <row r="141" spans="1:29" ht="15.6" x14ac:dyDescent="0.3">
      <c r="A141" s="194">
        <v>2018</v>
      </c>
      <c r="B141" s="229">
        <v>10394.560211666314</v>
      </c>
      <c r="C141" s="229">
        <v>2720.0017550399202</v>
      </c>
      <c r="D141" s="229">
        <v>493.91855706875924</v>
      </c>
      <c r="E141" s="229">
        <v>4232.7126420736204</v>
      </c>
      <c r="F141" s="229">
        <v>986.52686898869933</v>
      </c>
      <c r="G141" s="229">
        <v>378.39072654769217</v>
      </c>
      <c r="H141" s="229">
        <v>2905.3448801429599</v>
      </c>
      <c r="I141" s="229">
        <v>886.48701995570002</v>
      </c>
      <c r="J141" s="229">
        <v>1118.9437538443153</v>
      </c>
      <c r="K141" s="229">
        <v>1205.1763790426421</v>
      </c>
      <c r="N141" s="195">
        <f t="shared" si="19"/>
        <v>2313.8946309193602</v>
      </c>
      <c r="O141" s="195">
        <f t="shared" si="21"/>
        <v>2905.3448801429599</v>
      </c>
      <c r="P141" s="195">
        <f t="shared" si="20"/>
        <v>3592.3110386563717</v>
      </c>
      <c r="Q141" s="195">
        <f t="shared" si="22"/>
        <v>8811.5505497186914</v>
      </c>
      <c r="R141" s="196">
        <f t="shared" si="23"/>
        <v>0.26259789555349383</v>
      </c>
      <c r="AC141" s="251"/>
    </row>
    <row r="142" spans="1:29" ht="16.2" thickBot="1" x14ac:dyDescent="0.35">
      <c r="A142" s="198">
        <v>2019</v>
      </c>
      <c r="B142" s="230">
        <v>10650.261250630272</v>
      </c>
      <c r="C142" s="230">
        <v>2742.1092280783487</v>
      </c>
      <c r="D142" s="230">
        <v>500.6717256054859</v>
      </c>
      <c r="E142" s="230">
        <v>4364.0640762054863</v>
      </c>
      <c r="F142" s="230">
        <v>1017.0572835957753</v>
      </c>
      <c r="G142" s="230">
        <v>385.65846512391283</v>
      </c>
      <c r="H142" s="230">
        <v>2976.7986834632438</v>
      </c>
      <c r="I142" s="230">
        <v>931.53709237213911</v>
      </c>
      <c r="J142" s="230">
        <v>1126.8264992002069</v>
      </c>
      <c r="K142" s="230">
        <v>1217.5639826387901</v>
      </c>
      <c r="N142" s="195">
        <f t="shared" si="19"/>
        <v>2404.322676338018</v>
      </c>
      <c r="O142" s="195">
        <f t="shared" si="21"/>
        <v>2976.7986834632438</v>
      </c>
      <c r="P142" s="195">
        <f t="shared" si="20"/>
        <v>3628.4394188077472</v>
      </c>
      <c r="Q142" s="195">
        <f t="shared" si="22"/>
        <v>9009.5607786090077</v>
      </c>
      <c r="R142" s="199">
        <f t="shared" si="23"/>
        <v>0.26686347263969767</v>
      </c>
      <c r="AC142" s="251"/>
    </row>
    <row r="143" spans="1:29" ht="15.6" x14ac:dyDescent="0.3">
      <c r="A143" s="201">
        <v>2020</v>
      </c>
      <c r="B143" s="228">
        <v>10908.460354198847</v>
      </c>
      <c r="C143" s="228">
        <v>2763.9468054892232</v>
      </c>
      <c r="D143" s="228">
        <v>507.61530266510613</v>
      </c>
      <c r="E143" s="228">
        <v>4497.2552602930873</v>
      </c>
      <c r="F143" s="228">
        <v>1048.7428944153305</v>
      </c>
      <c r="G143" s="228">
        <v>393.03164346324149</v>
      </c>
      <c r="H143" s="228">
        <v>3045.9995826031782</v>
      </c>
      <c r="I143" s="228">
        <v>979.96817876905379</v>
      </c>
      <c r="J143" s="228">
        <v>1134.2595673351702</v>
      </c>
      <c r="K143" s="228">
        <v>1230.0799290821146</v>
      </c>
      <c r="L143" s="202"/>
      <c r="M143" s="202"/>
      <c r="N143" s="195">
        <f t="shared" si="19"/>
        <v>2499.9985721052399</v>
      </c>
      <c r="O143" s="195">
        <f t="shared" si="21"/>
        <v>3045.9995826031782</v>
      </c>
      <c r="P143" s="195">
        <f t="shared" si="20"/>
        <v>3664.5937516175709</v>
      </c>
      <c r="Q143" s="195">
        <f t="shared" si="22"/>
        <v>9210.5919063259898</v>
      </c>
      <c r="R143" s="220">
        <f t="shared" si="23"/>
        <v>0.27142648350191245</v>
      </c>
      <c r="AC143" s="251"/>
    </row>
    <row r="144" spans="1:29" ht="15.6" x14ac:dyDescent="0.3">
      <c r="A144" s="206">
        <v>2021</v>
      </c>
      <c r="B144" s="229">
        <v>11175.394190832472</v>
      </c>
      <c r="C144" s="229">
        <v>2785.7461583305176</v>
      </c>
      <c r="D144" s="229">
        <v>514.26487845699648</v>
      </c>
      <c r="E144" s="229">
        <v>4635.981753747119</v>
      </c>
      <c r="F144" s="229">
        <v>1080.8457502610968</v>
      </c>
      <c r="G144" s="229">
        <v>400.50328074507274</v>
      </c>
      <c r="H144" s="229">
        <v>3116.262397727588</v>
      </c>
      <c r="I144" s="229">
        <v>1030.7967155859953</v>
      </c>
      <c r="J144" s="229">
        <v>1142.3091795671289</v>
      </c>
      <c r="K144" s="229">
        <v>1242.5873436600386</v>
      </c>
      <c r="L144" s="170"/>
      <c r="M144" s="170"/>
      <c r="N144" s="195">
        <f t="shared" si="19"/>
        <v>2600.5651062806273</v>
      </c>
      <c r="O144" s="195">
        <f t="shared" si="21"/>
        <v>3116.262397727588</v>
      </c>
      <c r="P144" s="195">
        <f t="shared" si="20"/>
        <v>3700.5143175325866</v>
      </c>
      <c r="Q144" s="195">
        <f t="shared" si="22"/>
        <v>9417.3418215408019</v>
      </c>
      <c r="R144" s="221">
        <f t="shared" si="23"/>
        <v>0.27614640686952791</v>
      </c>
      <c r="AC144" s="251"/>
    </row>
    <row r="145" spans="1:29" ht="15.6" x14ac:dyDescent="0.3">
      <c r="A145" s="206">
        <v>2022</v>
      </c>
      <c r="B145" s="229">
        <v>11444.801627945155</v>
      </c>
      <c r="C145" s="229">
        <v>2807.2701850274329</v>
      </c>
      <c r="D145" s="229">
        <v>521.09767340243968</v>
      </c>
      <c r="E145" s="229">
        <v>4776.4432028281408</v>
      </c>
      <c r="F145" s="229">
        <v>1114.2457771801273</v>
      </c>
      <c r="G145" s="229">
        <v>408.07518162479823</v>
      </c>
      <c r="H145" s="229">
        <v>3184.2795208055895</v>
      </c>
      <c r="I145" s="229">
        <v>1084.9722148538242</v>
      </c>
      <c r="J145" s="229">
        <v>1149.9173414863878</v>
      </c>
      <c r="K145" s="229">
        <v>1255.2246381078508</v>
      </c>
      <c r="L145" s="170"/>
      <c r="M145" s="170"/>
      <c r="N145" s="195">
        <f t="shared" si="19"/>
        <v>2706.4094592026786</v>
      </c>
      <c r="O145" s="195">
        <f t="shared" si="21"/>
        <v>3184.2795208055895</v>
      </c>
      <c r="P145" s="195">
        <f t="shared" si="20"/>
        <v>3736.4430400546707</v>
      </c>
      <c r="Q145" s="195">
        <f t="shared" si="22"/>
        <v>9627.132020062938</v>
      </c>
      <c r="R145" s="221">
        <f t="shared" si="23"/>
        <v>0.2811231271745856</v>
      </c>
      <c r="AC145" s="251"/>
    </row>
    <row r="146" spans="1:29" ht="15.6" x14ac:dyDescent="0.3">
      <c r="A146" s="206">
        <v>2023</v>
      </c>
      <c r="B146" s="229">
        <v>11718.807882126002</v>
      </c>
      <c r="C146" s="229">
        <v>2828.6166313422141</v>
      </c>
      <c r="D146" s="229">
        <v>527.95364034365525</v>
      </c>
      <c r="E146" s="229">
        <v>4919.8731126518278</v>
      </c>
      <c r="F146" s="229">
        <v>1148.7348110101193</v>
      </c>
      <c r="G146" s="229">
        <v>415.74339580225444</v>
      </c>
      <c r="H146" s="229">
        <v>3251.1830176750364</v>
      </c>
      <c r="I146" s="229">
        <v>1142.1600173801307</v>
      </c>
      <c r="J146" s="229">
        <v>1157.4418185136042</v>
      </c>
      <c r="K146" s="229">
        <v>1267.9309243923099</v>
      </c>
      <c r="L146" s="170"/>
      <c r="M146" s="170"/>
      <c r="N146" s="195">
        <f t="shared" si="19"/>
        <v>2817.4249059869107</v>
      </c>
      <c r="O146" s="195">
        <f t="shared" si="21"/>
        <v>3251.1830176750364</v>
      </c>
      <c r="P146" s="195">
        <f t="shared" si="20"/>
        <v>3772.3136674881239</v>
      </c>
      <c r="Q146" s="195">
        <f>N146+P146+O146</f>
        <v>9840.9215911500723</v>
      </c>
      <c r="R146" s="221">
        <f t="shared" si="23"/>
        <v>0.28629685542059569</v>
      </c>
      <c r="AC146" s="251"/>
    </row>
    <row r="147" spans="1:29" ht="15.6" x14ac:dyDescent="0.3">
      <c r="A147" s="206">
        <v>2024</v>
      </c>
      <c r="B147" s="229">
        <v>11997.472770419705</v>
      </c>
      <c r="C147" s="229">
        <v>2849.8108085586646</v>
      </c>
      <c r="D147" s="229">
        <v>534.83421175507567</v>
      </c>
      <c r="E147" s="229">
        <v>5066.2678792333772</v>
      </c>
      <c r="F147" s="229">
        <v>1184.3716128453843</v>
      </c>
      <c r="G147" s="229">
        <v>423.50554548043726</v>
      </c>
      <c r="H147" s="229">
        <v>3317.0099055863388</v>
      </c>
      <c r="I147" s="229">
        <v>1202.3494033962738</v>
      </c>
      <c r="J147" s="229">
        <v>1164.8866715567274</v>
      </c>
      <c r="K147" s="229">
        <v>1280.6869265186424</v>
      </c>
      <c r="L147" s="170"/>
      <c r="M147" s="170"/>
      <c r="N147" s="195">
        <f t="shared" si="19"/>
        <v>2933.6295864924227</v>
      </c>
      <c r="O147" s="195">
        <f t="shared" si="21"/>
        <v>3317.0099055863388</v>
      </c>
      <c r="P147" s="195">
        <f t="shared" si="20"/>
        <v>3808.1505657941775</v>
      </c>
      <c r="Q147" s="195">
        <f t="shared" si="22"/>
        <v>10058.790057872939</v>
      </c>
      <c r="R147" s="221">
        <f t="shared" si="23"/>
        <v>0.2916483562748477</v>
      </c>
      <c r="AC147" s="251"/>
    </row>
    <row r="148" spans="1:29" ht="15.6" x14ac:dyDescent="0.3">
      <c r="A148" s="206">
        <v>2025</v>
      </c>
      <c r="B148" s="229">
        <v>12280.843580199029</v>
      </c>
      <c r="C148" s="229">
        <v>2870.8698496803208</v>
      </c>
      <c r="D148" s="229">
        <v>541.74105764825583</v>
      </c>
      <c r="E148" s="229">
        <v>5215.6149943797473</v>
      </c>
      <c r="F148" s="229">
        <v>1221.2183740589126</v>
      </c>
      <c r="G148" s="229">
        <v>431.35925838882849</v>
      </c>
      <c r="H148" s="229">
        <v>3381.7922267177792</v>
      </c>
      <c r="I148" s="229">
        <v>1265.5278448412607</v>
      </c>
      <c r="J148" s="229">
        <v>1172.2546053886406</v>
      </c>
      <c r="K148" s="229">
        <v>1293.477706009819</v>
      </c>
      <c r="L148" s="170"/>
      <c r="M148" s="170"/>
      <c r="N148" s="195">
        <f t="shared" si="19"/>
        <v>3055.0411417208807</v>
      </c>
      <c r="O148" s="195">
        <f t="shared" si="21"/>
        <v>3381.7922267177792</v>
      </c>
      <c r="P148" s="195">
        <f t="shared" si="20"/>
        <v>3843.9701657174051</v>
      </c>
      <c r="Q148" s="195">
        <f t="shared" si="22"/>
        <v>10280.803534156064</v>
      </c>
      <c r="R148" s="221">
        <f t="shared" si="23"/>
        <v>0.29715976300598224</v>
      </c>
      <c r="AC148" s="251"/>
    </row>
    <row r="149" spans="1:29" ht="15.6" x14ac:dyDescent="0.3">
      <c r="A149" s="206">
        <v>2026</v>
      </c>
      <c r="B149" s="229">
        <v>12568.926319957438</v>
      </c>
      <c r="C149" s="229">
        <v>2891.7990258635537</v>
      </c>
      <c r="D149" s="229">
        <v>548.67604796358648</v>
      </c>
      <c r="E149" s="229">
        <v>5367.8731028084821</v>
      </c>
      <c r="F149" s="229">
        <v>1259.3435467914067</v>
      </c>
      <c r="G149" s="229">
        <v>439.30162084416645</v>
      </c>
      <c r="H149" s="229">
        <v>3445.5414547922865</v>
      </c>
      <c r="I149" s="229">
        <v>1331.6780233699201</v>
      </c>
      <c r="J149" s="229">
        <v>1179.5416926265009</v>
      </c>
      <c r="K149" s="229">
        <v>1306.2973508953919</v>
      </c>
      <c r="L149" s="170"/>
      <c r="M149" s="170"/>
      <c r="N149" s="195">
        <f t="shared" si="19"/>
        <v>3181.6751948076026</v>
      </c>
      <c r="O149" s="195">
        <f t="shared" si="21"/>
        <v>3445.5414547922865</v>
      </c>
      <c r="P149" s="195">
        <f t="shared" si="20"/>
        <v>3879.7766946713064</v>
      </c>
      <c r="Q149" s="195">
        <f t="shared" si="22"/>
        <v>10506.993344271195</v>
      </c>
      <c r="R149" s="221">
        <f t="shared" si="23"/>
        <v>0.30281500050082077</v>
      </c>
      <c r="AC149" s="251"/>
    </row>
    <row r="150" spans="1:29" ht="15.6" x14ac:dyDescent="0.3">
      <c r="A150" s="206">
        <v>2027</v>
      </c>
      <c r="B150" s="229">
        <v>12861.712829515525</v>
      </c>
      <c r="C150" s="229">
        <v>2912.589071931272</v>
      </c>
      <c r="D150" s="229">
        <v>555.6413601759109</v>
      </c>
      <c r="E150" s="229">
        <v>5522.9892146527945</v>
      </c>
      <c r="F150" s="229">
        <v>1298.8215792573108</v>
      </c>
      <c r="G150" s="229">
        <v>447.32990605296879</v>
      </c>
      <c r="H150" s="229">
        <v>3508.2638443068931</v>
      </c>
      <c r="I150" s="229">
        <v>1400.7790380352399</v>
      </c>
      <c r="J150" s="229">
        <v>1186.7433728046938</v>
      </c>
      <c r="K150" s="229">
        <v>1319.1458712745311</v>
      </c>
      <c r="L150" s="170"/>
      <c r="M150" s="170"/>
      <c r="N150" s="195">
        <f t="shared" si="19"/>
        <v>3313.5469496032124</v>
      </c>
      <c r="O150" s="195">
        <f t="shared" si="21"/>
        <v>3508.2638443068931</v>
      </c>
      <c r="P150" s="195">
        <f t="shared" si="20"/>
        <v>3915.5603381601518</v>
      </c>
      <c r="Q150" s="195">
        <f t="shared" si="22"/>
        <v>10737.371132070257</v>
      </c>
      <c r="R150" s="221">
        <f t="shared" si="23"/>
        <v>0.30859946152986634</v>
      </c>
      <c r="AC150" s="251"/>
    </row>
    <row r="151" spans="1:29" ht="15.6" x14ac:dyDescent="0.3">
      <c r="A151" s="206">
        <v>2028</v>
      </c>
      <c r="B151" s="229">
        <v>13159.222649753348</v>
      </c>
      <c r="C151" s="229">
        <v>2933.2239502128286</v>
      </c>
      <c r="D151" s="229">
        <v>562.63959196963629</v>
      </c>
      <c r="E151" s="229">
        <v>5680.9275380640274</v>
      </c>
      <c r="F151" s="229">
        <v>1339.7280142761153</v>
      </c>
      <c r="G151" s="229">
        <v>455.44226133205512</v>
      </c>
      <c r="H151" s="229">
        <v>3569.9824660638324</v>
      </c>
      <c r="I151" s="229">
        <v>1472.8108495996678</v>
      </c>
      <c r="J151" s="229">
        <v>1193.8616596017509</v>
      </c>
      <c r="K151" s="229">
        <v>1332.0217341422353</v>
      </c>
      <c r="L151" s="170"/>
      <c r="M151" s="170"/>
      <c r="N151" s="195">
        <f t="shared" si="19"/>
        <v>3450.6730862763106</v>
      </c>
      <c r="O151" s="195">
        <f t="shared" si="21"/>
        <v>3569.9824660638324</v>
      </c>
      <c r="P151" s="195">
        <f t="shared" si="20"/>
        <v>3951.30580351452</v>
      </c>
      <c r="Q151" s="195">
        <f t="shared" si="22"/>
        <v>10971.961355854663</v>
      </c>
      <c r="R151" s="221">
        <f t="shared" si="23"/>
        <v>0.31449920158851308</v>
      </c>
      <c r="AC151" s="251"/>
    </row>
    <row r="152" spans="1:29" ht="15.6" x14ac:dyDescent="0.3">
      <c r="A152" s="206">
        <v>2029</v>
      </c>
      <c r="B152" s="229">
        <v>13461.478033634328</v>
      </c>
      <c r="C152" s="229">
        <v>2953.6796888335612</v>
      </c>
      <c r="D152" s="229">
        <v>569.67366774757079</v>
      </c>
      <c r="E152" s="229">
        <v>5841.6528327030446</v>
      </c>
      <c r="F152" s="229">
        <v>1382.1410484193871</v>
      </c>
      <c r="G152" s="229">
        <v>463.63715188439903</v>
      </c>
      <c r="H152" s="229">
        <v>3630.7235805206406</v>
      </c>
      <c r="I152" s="229">
        <v>1547.7522276744717</v>
      </c>
      <c r="J152" s="229">
        <v>1200.9001486610703</v>
      </c>
      <c r="K152" s="229">
        <v>1344.925446908775</v>
      </c>
      <c r="L152" s="170"/>
      <c r="M152" s="170"/>
      <c r="N152" s="195">
        <f t="shared" si="19"/>
        <v>3593.0703006017916</v>
      </c>
      <c r="O152" s="195">
        <f t="shared" si="21"/>
        <v>3630.7235805206406</v>
      </c>
      <c r="P152" s="195">
        <f t="shared" si="20"/>
        <v>3986.9905084655311</v>
      </c>
      <c r="Q152" s="195">
        <f t="shared" si="22"/>
        <v>11210.784389587963</v>
      </c>
      <c r="R152" s="221">
        <f t="shared" si="23"/>
        <v>0.32050124021106519</v>
      </c>
      <c r="AC152" s="251"/>
    </row>
    <row r="153" spans="1:29" ht="15.6" x14ac:dyDescent="0.3">
      <c r="A153" s="206">
        <v>2030</v>
      </c>
      <c r="B153" s="229">
        <v>13776.645156932413</v>
      </c>
      <c r="C153" s="229">
        <v>2974.0933254724732</v>
      </c>
      <c r="D153" s="229">
        <v>576.10300583316916</v>
      </c>
      <c r="E153" s="229">
        <v>6010.1545331255711</v>
      </c>
      <c r="F153" s="229">
        <v>1425.0546540941345</v>
      </c>
      <c r="G153" s="229">
        <v>471.90792227189502</v>
      </c>
      <c r="H153" s="229">
        <v>3694.9500202554582</v>
      </c>
      <c r="I153" s="229">
        <v>1624.3009449504577</v>
      </c>
      <c r="J153" s="229">
        <v>1208.5879419397863</v>
      </c>
      <c r="K153" s="229">
        <v>1357.6729403161332</v>
      </c>
      <c r="L153" s="170"/>
      <c r="M153" s="170"/>
      <c r="N153" s="195">
        <f t="shared" si="19"/>
        <v>3740.259166964247</v>
      </c>
      <c r="O153" s="195">
        <f t="shared" si="21"/>
        <v>3694.9500202554582</v>
      </c>
      <c r="P153" s="195">
        <f t="shared" si="20"/>
        <v>4022.1042535775373</v>
      </c>
      <c r="Q153" s="195">
        <f t="shared" si="22"/>
        <v>11457.313440797243</v>
      </c>
      <c r="R153" s="221">
        <f t="shared" si="23"/>
        <v>0.3264516752806918</v>
      </c>
      <c r="AC153" s="251"/>
    </row>
    <row r="154" spans="1:29" ht="15.6" x14ac:dyDescent="0.3">
      <c r="A154" s="206">
        <v>2031</v>
      </c>
      <c r="B154" s="229">
        <v>14080.298580436112</v>
      </c>
      <c r="C154" s="229">
        <v>2993.9839028317529</v>
      </c>
      <c r="D154" s="229">
        <v>583.86166104707661</v>
      </c>
      <c r="E154" s="229">
        <v>6171.3170933709134</v>
      </c>
      <c r="F154" s="229">
        <v>1471.7890837846696</v>
      </c>
      <c r="G154" s="229">
        <v>480.26700084905849</v>
      </c>
      <c r="H154" s="229">
        <v>3749.3626679398508</v>
      </c>
      <c r="I154" s="229">
        <v>1706.2835613579473</v>
      </c>
      <c r="J154" s="229">
        <v>1214.7438134143958</v>
      </c>
      <c r="K154" s="229">
        <v>1370.8153962001384</v>
      </c>
      <c r="L154" s="170"/>
      <c r="M154" s="170"/>
      <c r="N154" s="195">
        <f t="shared" si="19"/>
        <v>3893.7435092157325</v>
      </c>
      <c r="O154" s="195">
        <f t="shared" si="21"/>
        <v>3749.3626679398508</v>
      </c>
      <c r="P154" s="195">
        <f t="shared" si="20"/>
        <v>4058.1125647278882</v>
      </c>
      <c r="Q154" s="195">
        <f t="shared" si="22"/>
        <v>11701.218741883471</v>
      </c>
      <c r="R154" s="221">
        <f t="shared" si="23"/>
        <v>0.33276392785295295</v>
      </c>
      <c r="AC154" s="251"/>
    </row>
    <row r="155" spans="1:29" ht="15.6" x14ac:dyDescent="0.3">
      <c r="A155" s="206">
        <v>2032</v>
      </c>
      <c r="B155" s="229">
        <v>14396.888249542288</v>
      </c>
      <c r="C155" s="229">
        <v>3013.8193199134976</v>
      </c>
      <c r="D155" s="229">
        <v>591.02189401230657</v>
      </c>
      <c r="E155" s="229">
        <v>6340.1784006816215</v>
      </c>
      <c r="F155" s="229">
        <v>1519.1665827795282</v>
      </c>
      <c r="G155" s="229">
        <v>488.69707173654513</v>
      </c>
      <c r="H155" s="229">
        <v>3807.2926713318557</v>
      </c>
      <c r="I155" s="229">
        <v>1789.8376541760263</v>
      </c>
      <c r="J155" s="229">
        <v>1221.5456378623558</v>
      </c>
      <c r="K155" s="229">
        <v>1383.7976016579273</v>
      </c>
      <c r="L155" s="170"/>
      <c r="M155" s="170"/>
      <c r="N155" s="195">
        <f t="shared" si="19"/>
        <v>4052.0523121292936</v>
      </c>
      <c r="O155" s="195">
        <f t="shared" si="21"/>
        <v>3807.2926713318557</v>
      </c>
      <c r="P155" s="195">
        <f t="shared" si="20"/>
        <v>4093.5382856623496</v>
      </c>
      <c r="Q155" s="195">
        <f t="shared" si="22"/>
        <v>11952.883269123498</v>
      </c>
      <c r="R155" s="221">
        <f t="shared" si="23"/>
        <v>0.33900208183212932</v>
      </c>
      <c r="AC155" s="251"/>
    </row>
    <row r="156" spans="1:29" ht="15.6" x14ac:dyDescent="0.3">
      <c r="A156" s="206">
        <v>2033</v>
      </c>
      <c r="B156" s="229">
        <v>14718.286305170281</v>
      </c>
      <c r="C156" s="229">
        <v>3033.4247367422045</v>
      </c>
      <c r="D156" s="229">
        <v>598.23485667218768</v>
      </c>
      <c r="E156" s="229">
        <v>6511.6699555901787</v>
      </c>
      <c r="F156" s="229">
        <v>1568.3470758022263</v>
      </c>
      <c r="G156" s="229">
        <v>497.20006214966975</v>
      </c>
      <c r="H156" s="229">
        <v>3864.3282727328692</v>
      </c>
      <c r="I156" s="229">
        <v>1876.2236809421031</v>
      </c>
      <c r="J156" s="229">
        <v>1228.2620460963431</v>
      </c>
      <c r="K156" s="229">
        <v>1396.8094165714724</v>
      </c>
      <c r="L156" s="170"/>
      <c r="M156" s="170"/>
      <c r="N156" s="195">
        <f t="shared" si="19"/>
        <v>4215.6887586595349</v>
      </c>
      <c r="O156" s="195">
        <f t="shared" si="21"/>
        <v>3864.3282727328692</v>
      </c>
      <c r="P156" s="195">
        <f t="shared" si="20"/>
        <v>4128.8596555640615</v>
      </c>
      <c r="Q156" s="195">
        <f t="shared" si="22"/>
        <v>12208.876686956466</v>
      </c>
      <c r="R156" s="221">
        <f t="shared" si="23"/>
        <v>0.34529702172874172</v>
      </c>
      <c r="AC156" s="251"/>
    </row>
    <row r="157" spans="1:29" ht="15.6" x14ac:dyDescent="0.3">
      <c r="A157" s="206">
        <v>2034</v>
      </c>
      <c r="B157" s="229">
        <v>15044.512014219195</v>
      </c>
      <c r="C157" s="229">
        <v>3052.7807557619885</v>
      </c>
      <c r="D157" s="229">
        <v>605.50937184782867</v>
      </c>
      <c r="E157" s="229">
        <v>6685.7475439721256</v>
      </c>
      <c r="F157" s="229">
        <v>1619.4088481449426</v>
      </c>
      <c r="G157" s="229">
        <v>505.77276590041936</v>
      </c>
      <c r="H157" s="229">
        <v>3920.4986240128737</v>
      </c>
      <c r="I157" s="229">
        <v>1965.4197661441308</v>
      </c>
      <c r="J157" s="229">
        <v>1234.8872544998844</v>
      </c>
      <c r="K157" s="229">
        <v>1409.8583553980172</v>
      </c>
      <c r="L157" s="170"/>
      <c r="M157" s="170"/>
      <c r="N157" s="195">
        <f t="shared" si="19"/>
        <v>4384.6577681041936</v>
      </c>
      <c r="O157" s="195">
        <f t="shared" si="21"/>
        <v>3920.4986240128737</v>
      </c>
      <c r="P157" s="195">
        <f t="shared" si="20"/>
        <v>4164.0628935102368</v>
      </c>
      <c r="Q157" s="195">
        <f t="shared" si="22"/>
        <v>12469.219285627303</v>
      </c>
      <c r="R157" s="221">
        <f t="shared" si="23"/>
        <v>0.35163851622676867</v>
      </c>
      <c r="AC157" s="251"/>
    </row>
    <row r="158" spans="1:29" ht="15.6" x14ac:dyDescent="0.3">
      <c r="A158" s="206">
        <v>2035</v>
      </c>
      <c r="B158" s="229">
        <v>15375.581347098563</v>
      </c>
      <c r="C158" s="229">
        <v>3071.8707315958327</v>
      </c>
      <c r="D158" s="229">
        <v>612.85295161381418</v>
      </c>
      <c r="E158" s="229">
        <v>6862.3679872409575</v>
      </c>
      <c r="F158" s="229">
        <v>1672.4278959872365</v>
      </c>
      <c r="G158" s="229">
        <v>514.41216977562385</v>
      </c>
      <c r="H158" s="229">
        <v>3975.827796629319</v>
      </c>
      <c r="I158" s="229">
        <v>2057.4053869420077</v>
      </c>
      <c r="J158" s="229">
        <v>1241.4164388440172</v>
      </c>
      <c r="K158" s="229">
        <v>1422.9497514308821</v>
      </c>
      <c r="L158" s="170"/>
      <c r="M158" s="170"/>
      <c r="N158" s="195">
        <f t="shared" si="19"/>
        <v>4558.9680865988757</v>
      </c>
      <c r="O158" s="195">
        <f t="shared" si="21"/>
        <v>3975.827796629319</v>
      </c>
      <c r="P158" s="195">
        <f t="shared" si="20"/>
        <v>4199.1358529852705</v>
      </c>
      <c r="Q158" s="195">
        <f t="shared" si="22"/>
        <v>12733.931736213466</v>
      </c>
      <c r="R158" s="221">
        <f t="shared" si="23"/>
        <v>0.35801731790612851</v>
      </c>
      <c r="AC158" s="251"/>
    </row>
    <row r="159" spans="1:29" ht="15.6" x14ac:dyDescent="0.3">
      <c r="A159" s="206">
        <v>2036</v>
      </c>
      <c r="B159" s="229">
        <v>15711.50321503076</v>
      </c>
      <c r="C159" s="229">
        <v>3090.6824488783677</v>
      </c>
      <c r="D159" s="229">
        <v>620.26954661467289</v>
      </c>
      <c r="E159" s="229">
        <v>7041.4876732283428</v>
      </c>
      <c r="F159" s="229">
        <v>1727.4774879620563</v>
      </c>
      <c r="G159" s="229">
        <v>523.11567880497159</v>
      </c>
      <c r="H159" s="229">
        <v>4030.3323844136239</v>
      </c>
      <c r="I159" s="229">
        <v>2152.1607791905353</v>
      </c>
      <c r="J159" s="229">
        <v>1247.8468494152671</v>
      </c>
      <c r="K159" s="229">
        <v>1436.0862070848216</v>
      </c>
      <c r="L159" s="170"/>
      <c r="M159" s="170"/>
      <c r="N159" s="195">
        <f t="shared" si="19"/>
        <v>4738.6327767767752</v>
      </c>
      <c r="O159" s="195">
        <f t="shared" si="21"/>
        <v>4030.3323844136239</v>
      </c>
      <c r="P159" s="195">
        <f t="shared" si="20"/>
        <v>4234.0676742980122</v>
      </c>
      <c r="Q159" s="195">
        <f t="shared" si="22"/>
        <v>13003.032835488411</v>
      </c>
      <c r="R159" s="221">
        <f t="shared" si="23"/>
        <v>0.36442519500865245</v>
      </c>
      <c r="AC159" s="251"/>
    </row>
    <row r="160" spans="1:29" ht="15.6" x14ac:dyDescent="0.3">
      <c r="A160" s="206">
        <v>2037</v>
      </c>
      <c r="B160" s="229">
        <v>16052.283545825936</v>
      </c>
      <c r="C160" s="229">
        <v>3109.2085869195644</v>
      </c>
      <c r="D160" s="229">
        <v>627.76174594729207</v>
      </c>
      <c r="E160" s="229">
        <v>7223.0667012550884</v>
      </c>
      <c r="F160" s="229">
        <v>1784.6267741773831</v>
      </c>
      <c r="G160" s="229">
        <v>531.8810399531335</v>
      </c>
      <c r="H160" s="229">
        <v>4084.0206274851712</v>
      </c>
      <c r="I160" s="229">
        <v>2249.6695438033112</v>
      </c>
      <c r="J160" s="229">
        <v>1254.1774584731293</v>
      </c>
      <c r="K160" s="229">
        <v>1449.2659098263393</v>
      </c>
      <c r="L160" s="170"/>
      <c r="M160" s="170"/>
      <c r="N160" s="195">
        <f t="shared" si="19"/>
        <v>4923.6728479473004</v>
      </c>
      <c r="O160" s="195">
        <f t="shared" si="21"/>
        <v>4084.0206274851712</v>
      </c>
      <c r="P160" s="195">
        <f t="shared" si="20"/>
        <v>4268.8513728199905</v>
      </c>
      <c r="Q160" s="195">
        <f t="shared" si="22"/>
        <v>13276.544848252463</v>
      </c>
      <c r="R160" s="221">
        <f t="shared" si="23"/>
        <v>0.37085498555713337</v>
      </c>
      <c r="AC160" s="251"/>
    </row>
    <row r="161" spans="1:29" ht="15.6" x14ac:dyDescent="0.3">
      <c r="A161" s="206">
        <v>2038</v>
      </c>
      <c r="B161" s="229">
        <v>16397.930608915336</v>
      </c>
      <c r="C161" s="229">
        <v>3127.4437614846452</v>
      </c>
      <c r="D161" s="229">
        <v>635.3339738944959</v>
      </c>
      <c r="E161" s="229">
        <v>7407.0697835756955</v>
      </c>
      <c r="F161" s="229">
        <v>1843.942261169027</v>
      </c>
      <c r="G161" s="229">
        <v>540.70601909605193</v>
      </c>
      <c r="H161" s="229">
        <v>4136.8969167398445</v>
      </c>
      <c r="I161" s="229">
        <v>2349.9188793244284</v>
      </c>
      <c r="J161" s="229">
        <v>1260.4070956504356</v>
      </c>
      <c r="K161" s="229">
        <v>1462.4845219780482</v>
      </c>
      <c r="L161" s="170"/>
      <c r="M161" s="170"/>
      <c r="N161" s="195">
        <f t="shared" si="19"/>
        <v>5114.115128004878</v>
      </c>
      <c r="O161" s="195">
        <f t="shared" si="21"/>
        <v>4136.8969167398445</v>
      </c>
      <c r="P161" s="195">
        <f t="shared" si="20"/>
        <v>4303.4837544751936</v>
      </c>
      <c r="Q161" s="195">
        <f t="shared" si="22"/>
        <v>13554.495799219916</v>
      </c>
      <c r="R161" s="221">
        <f t="shared" si="23"/>
        <v>0.37730028499468082</v>
      </c>
      <c r="AC161" s="251"/>
    </row>
    <row r="162" spans="1:29" ht="15.6" x14ac:dyDescent="0.3">
      <c r="A162" s="206">
        <v>2039</v>
      </c>
      <c r="B162" s="229">
        <v>16748.451499918767</v>
      </c>
      <c r="C162" s="229">
        <v>3145.3851002705878</v>
      </c>
      <c r="D162" s="229">
        <v>642.99055617744602</v>
      </c>
      <c r="E162" s="229">
        <v>7593.4640413162861</v>
      </c>
      <c r="F162" s="229">
        <v>1905.4881282855579</v>
      </c>
      <c r="G162" s="229">
        <v>549.58850925804302</v>
      </c>
      <c r="H162" s="229">
        <v>4188.9608036803811</v>
      </c>
      <c r="I162" s="229">
        <v>2452.898438047449</v>
      </c>
      <c r="J162" s="229">
        <v>1266.5352312045325</v>
      </c>
      <c r="K162" s="229">
        <v>1475.7354783957321</v>
      </c>
      <c r="L162" s="170"/>
      <c r="M162" s="170"/>
      <c r="N162" s="195">
        <f t="shared" si="19"/>
        <v>5309.9913659214626</v>
      </c>
      <c r="O162" s="195">
        <f t="shared" si="21"/>
        <v>4188.9608036803811</v>
      </c>
      <c r="P162" s="195">
        <f t="shared" si="20"/>
        <v>4337.9641657060765</v>
      </c>
      <c r="Q162" s="195">
        <f t="shared" si="22"/>
        <v>13836.91633530792</v>
      </c>
      <c r="R162" s="221">
        <f t="shared" si="23"/>
        <v>0.38375540020950027</v>
      </c>
      <c r="AC162" s="251"/>
    </row>
    <row r="163" spans="1:29" ht="15.6" x14ac:dyDescent="0.3">
      <c r="A163" s="206">
        <v>2040</v>
      </c>
      <c r="B163" s="229">
        <v>17091.972478038722</v>
      </c>
      <c r="C163" s="229">
        <v>3163.0266466965036</v>
      </c>
      <c r="D163" s="229">
        <v>651.70082336760163</v>
      </c>
      <c r="E163" s="229">
        <v>7774.6739242548938</v>
      </c>
      <c r="F163" s="229">
        <v>1970.9542885598783</v>
      </c>
      <c r="G163" s="229">
        <v>558.53364534924526</v>
      </c>
      <c r="H163" s="229">
        <v>4233.5548592113309</v>
      </c>
      <c r="I163" s="229">
        <v>2560.5185442909424</v>
      </c>
      <c r="J163" s="229">
        <v>1272.5267677159538</v>
      </c>
      <c r="K163" s="229">
        <v>1489.2914025300629</v>
      </c>
      <c r="L163" s="170"/>
      <c r="M163" s="170"/>
      <c r="N163" s="195">
        <f t="shared" si="19"/>
        <v>5512.0733536034413</v>
      </c>
      <c r="O163" s="195">
        <f t="shared" si="21"/>
        <v>4233.5548592113309</v>
      </c>
      <c r="P163" s="195">
        <f t="shared" si="20"/>
        <v>4373.2611154133501</v>
      </c>
      <c r="Q163" s="195">
        <f t="shared" si="22"/>
        <v>14118.889328228121</v>
      </c>
      <c r="R163" s="221">
        <f t="shared" si="23"/>
        <v>0.39040417595618271</v>
      </c>
      <c r="AC163" s="251"/>
    </row>
    <row r="164" spans="1:29" ht="15.6" x14ac:dyDescent="0.3">
      <c r="A164" s="206">
        <v>2041</v>
      </c>
      <c r="B164" s="229">
        <v>17464.129732176021</v>
      </c>
      <c r="C164" s="229">
        <v>3180.3696171264028</v>
      </c>
      <c r="D164" s="229">
        <v>658.5699365283765</v>
      </c>
      <c r="E164" s="229">
        <v>7973.2745948841321</v>
      </c>
      <c r="F164" s="229">
        <v>2035.5366439996681</v>
      </c>
      <c r="G164" s="229">
        <v>567.51701244061871</v>
      </c>
      <c r="H164" s="229">
        <v>4290.6522093371022</v>
      </c>
      <c r="I164" s="229">
        <v>2666.9973511427916</v>
      </c>
      <c r="J164" s="229">
        <v>1278.4834196391266</v>
      </c>
      <c r="K164" s="229">
        <v>1502.3206715120457</v>
      </c>
      <c r="L164" s="170"/>
      <c r="M164" s="170"/>
      <c r="N164" s="195">
        <f t="shared" si="19"/>
        <v>5718.1590295466976</v>
      </c>
      <c r="O164" s="195">
        <f t="shared" si="21"/>
        <v>4290.6522093371022</v>
      </c>
      <c r="P164" s="195">
        <f t="shared" si="20"/>
        <v>4406.4565660953976</v>
      </c>
      <c r="Q164" s="195">
        <f>N164+P164+O164</f>
        <v>14415.267804979198</v>
      </c>
      <c r="R164" s="221">
        <f>N164/Q164</f>
        <v>0.39667379801099362</v>
      </c>
      <c r="AC164" s="251"/>
    </row>
    <row r="165" spans="1:29" ht="15.6" x14ac:dyDescent="0.3">
      <c r="A165" s="206">
        <v>2042</v>
      </c>
      <c r="B165" s="229">
        <v>17829.286990629713</v>
      </c>
      <c r="C165" s="229">
        <v>3197.3997335190593</v>
      </c>
      <c r="D165" s="229">
        <v>666.49681131802322</v>
      </c>
      <c r="E165" s="229">
        <v>8166.6006532958327</v>
      </c>
      <c r="F165" s="229">
        <v>2104.1792340609854</v>
      </c>
      <c r="G165" s="229">
        <v>576.55801502224585</v>
      </c>
      <c r="H165" s="229">
        <v>4340.2847870172445</v>
      </c>
      <c r="I165" s="229">
        <v>2778.0833340701247</v>
      </c>
      <c r="J165" s="229">
        <v>1284.300566228042</v>
      </c>
      <c r="K165" s="229">
        <v>1515.6573424366125</v>
      </c>
      <c r="L165" s="170"/>
      <c r="M165" s="170"/>
      <c r="N165" s="195">
        <f t="shared" si="19"/>
        <v>5930.4951003395727</v>
      </c>
      <c r="O165" s="195">
        <f t="shared" si="21"/>
        <v>4340.2847870172445</v>
      </c>
      <c r="P165" s="195">
        <f t="shared" si="20"/>
        <v>4440.4545598593286</v>
      </c>
      <c r="Q165" s="195">
        <f t="shared" si="22"/>
        <v>14711.234447216146</v>
      </c>
      <c r="R165" s="221">
        <f t="shared" si="23"/>
        <v>0.40312695182842523</v>
      </c>
      <c r="AC165" s="251"/>
    </row>
    <row r="166" spans="1:29" ht="15.6" x14ac:dyDescent="0.3">
      <c r="A166" s="206">
        <v>2043</v>
      </c>
      <c r="B166" s="229">
        <v>18199.310067720726</v>
      </c>
      <c r="C166" s="229">
        <v>3214.1088779244797</v>
      </c>
      <c r="D166" s="229">
        <v>674.5154003287779</v>
      </c>
      <c r="E166" s="229">
        <v>8362.1393387184053</v>
      </c>
      <c r="F166" s="229">
        <v>2175.3254636930051</v>
      </c>
      <c r="G166" s="229">
        <v>585.647174169354</v>
      </c>
      <c r="H166" s="229">
        <v>4389.1146205130044</v>
      </c>
      <c r="I166" s="229">
        <v>2891.8357384253445</v>
      </c>
      <c r="J166" s="229">
        <v>1290.0087385951756</v>
      </c>
      <c r="K166" s="229">
        <v>1529.0273710757674</v>
      </c>
      <c r="L166" s="170"/>
      <c r="M166" s="170"/>
      <c r="N166" s="195">
        <f t="shared" si="19"/>
        <v>6148.3501818984059</v>
      </c>
      <c r="O166" s="195">
        <f t="shared" si="21"/>
        <v>4389.1146205130044</v>
      </c>
      <c r="P166" s="195">
        <f t="shared" si="20"/>
        <v>4474.2714524226121</v>
      </c>
      <c r="Q166" s="195">
        <f t="shared" si="22"/>
        <v>15011.736254834022</v>
      </c>
      <c r="R166" s="221">
        <f t="shared" si="23"/>
        <v>0.4095695579462727</v>
      </c>
      <c r="AC166" s="251"/>
    </row>
    <row r="167" spans="1:29" ht="15.6" x14ac:dyDescent="0.3">
      <c r="A167" s="206">
        <v>2044</v>
      </c>
      <c r="B167" s="229">
        <v>18574.181927177862</v>
      </c>
      <c r="C167" s="229">
        <v>3230.4855048836225</v>
      </c>
      <c r="D167" s="229">
        <v>682.62441798703389</v>
      </c>
      <c r="E167" s="229">
        <v>8559.8350212139958</v>
      </c>
      <c r="F167" s="229">
        <v>2249.0430174460971</v>
      </c>
      <c r="G167" s="229">
        <v>594.78241807323934</v>
      </c>
      <c r="H167" s="229">
        <v>4437.1468099033118</v>
      </c>
      <c r="I167" s="229">
        <v>3008.2347092330856</v>
      </c>
      <c r="J167" s="229">
        <v>1295.6035002208791</v>
      </c>
      <c r="K167" s="229">
        <v>1542.4350969604193</v>
      </c>
      <c r="L167" s="170"/>
      <c r="M167" s="170"/>
      <c r="N167" s="195">
        <f t="shared" si="19"/>
        <v>6371.7312287567802</v>
      </c>
      <c r="O167" s="195">
        <f t="shared" si="21"/>
        <v>4437.1468099033118</v>
      </c>
      <c r="P167" s="195">
        <f t="shared" si="20"/>
        <v>4507.8923409438958</v>
      </c>
      <c r="Q167" s="195">
        <f t="shared" si="22"/>
        <v>15316.770379603988</v>
      </c>
      <c r="R167" s="221">
        <f t="shared" si="23"/>
        <v>0.41599704577679514</v>
      </c>
      <c r="AC167" s="251"/>
    </row>
    <row r="168" spans="1:29" ht="15.6" x14ac:dyDescent="0.3">
      <c r="A168" s="206">
        <v>2045</v>
      </c>
      <c r="B168" s="229">
        <v>18953.887213309783</v>
      </c>
      <c r="C168" s="229">
        <v>3246.5209437503663</v>
      </c>
      <c r="D168" s="229">
        <v>690.82266909755276</v>
      </c>
      <c r="E168" s="229">
        <v>8759.6328206392791</v>
      </c>
      <c r="F168" s="229">
        <v>2325.4001303546811</v>
      </c>
      <c r="G168" s="229">
        <v>603.96150414780436</v>
      </c>
      <c r="H168" s="229">
        <v>4484.3818271042319</v>
      </c>
      <c r="I168" s="229">
        <v>3127.2611357636179</v>
      </c>
      <c r="J168" s="229">
        <v>1301.0817731078409</v>
      </c>
      <c r="K168" s="229">
        <v>1555.8843568552104</v>
      </c>
      <c r="L168" s="170"/>
      <c r="M168" s="170"/>
      <c r="N168" s="195">
        <f t="shared" si="19"/>
        <v>6600.6511238897283</v>
      </c>
      <c r="O168" s="195">
        <f t="shared" si="21"/>
        <v>4484.3818271042319</v>
      </c>
      <c r="P168" s="195">
        <f t="shared" si="20"/>
        <v>4541.3051169957234</v>
      </c>
      <c r="Q168" s="195">
        <f t="shared" si="22"/>
        <v>15626.338067989684</v>
      </c>
      <c r="R168" s="221">
        <f t="shared" si="23"/>
        <v>0.42240549866325122</v>
      </c>
      <c r="AC168" s="251"/>
    </row>
    <row r="169" spans="1:29" ht="15.6" x14ac:dyDescent="0.3">
      <c r="A169" s="206">
        <v>2046</v>
      </c>
      <c r="B169" s="229">
        <v>19338.418584332685</v>
      </c>
      <c r="C169" s="229">
        <v>3262.2076768494444</v>
      </c>
      <c r="D169" s="229">
        <v>699.1107350500115</v>
      </c>
      <c r="E169" s="229">
        <v>8961.48277878724</v>
      </c>
      <c r="F169" s="229">
        <v>2404.465765932463</v>
      </c>
      <c r="G169" s="229">
        <v>613.18202546067744</v>
      </c>
      <c r="H169" s="229">
        <v>4530.8177704886739</v>
      </c>
      <c r="I169" s="229">
        <v>3248.8968499881285</v>
      </c>
      <c r="J169" s="229">
        <v>1306.4419515514601</v>
      </c>
      <c r="K169" s="229">
        <v>1569.3770619647196</v>
      </c>
      <c r="L169" s="170"/>
      <c r="M169" s="170"/>
      <c r="N169" s="195">
        <f t="shared" si="19"/>
        <v>6835.13077423103</v>
      </c>
      <c r="O169" s="195">
        <f t="shared" si="21"/>
        <v>4530.8177704886739</v>
      </c>
      <c r="P169" s="195">
        <f t="shared" si="20"/>
        <v>4574.5004373601332</v>
      </c>
      <c r="Q169" s="195">
        <f t="shared" si="22"/>
        <v>15940.448982079837</v>
      </c>
      <c r="R169" s="221">
        <f t="shared" si="23"/>
        <v>0.4287916094405525</v>
      </c>
      <c r="AC169" s="251"/>
    </row>
    <row r="170" spans="1:29" ht="15.6" x14ac:dyDescent="0.3">
      <c r="A170" s="206">
        <v>2047</v>
      </c>
      <c r="B170" s="229">
        <v>19727.769831963251</v>
      </c>
      <c r="C170" s="229">
        <v>3277.5451634880751</v>
      </c>
      <c r="D170" s="229">
        <v>707.48856102021318</v>
      </c>
      <c r="E170" s="229">
        <v>9165.3353572737196</v>
      </c>
      <c r="F170" s="229">
        <v>2486.3098070001843</v>
      </c>
      <c r="G170" s="229">
        <v>622.44127338746739</v>
      </c>
      <c r="H170" s="229">
        <v>4576.4430329897477</v>
      </c>
      <c r="I170" s="229">
        <v>3373.1257287924459</v>
      </c>
      <c r="J170" s="229">
        <v>1311.6848974969773</v>
      </c>
      <c r="K170" s="229">
        <v>1582.9146961430349</v>
      </c>
      <c r="L170" s="170"/>
      <c r="M170" s="170"/>
      <c r="N170" s="195">
        <f t="shared" si="19"/>
        <v>7075.2021312841571</v>
      </c>
      <c r="O170" s="195">
        <f t="shared" si="21"/>
        <v>4576.4430329897477</v>
      </c>
      <c r="P170" s="195">
        <f t="shared" si="20"/>
        <v>4607.4749978957552</v>
      </c>
      <c r="Q170" s="195">
        <f t="shared" si="22"/>
        <v>16259.12016216966</v>
      </c>
      <c r="R170" s="221">
        <f t="shared" si="23"/>
        <v>0.43515282873338601</v>
      </c>
      <c r="AC170" s="251"/>
    </row>
    <row r="171" spans="1:29" ht="15.6" x14ac:dyDescent="0.3">
      <c r="A171" s="206">
        <v>2048</v>
      </c>
      <c r="B171" s="229">
        <v>20121.927194507472</v>
      </c>
      <c r="C171" s="229">
        <v>3292.5404993109032</v>
      </c>
      <c r="D171" s="229">
        <v>715.95318313246116</v>
      </c>
      <c r="E171" s="229">
        <v>9371.135509942309</v>
      </c>
      <c r="F171" s="229">
        <v>2571.0026739967088</v>
      </c>
      <c r="G171" s="229">
        <v>631.73631014889372</v>
      </c>
      <c r="H171" s="229">
        <v>4621.2350571607631</v>
      </c>
      <c r="I171" s="229">
        <v>3499.933002288406</v>
      </c>
      <c r="J171" s="229">
        <v>1316.813107633064</v>
      </c>
      <c r="K171" s="229">
        <v>1596.5004004978659</v>
      </c>
      <c r="L171" s="170"/>
      <c r="M171" s="170"/>
      <c r="N171" s="195">
        <f t="shared" si="19"/>
        <v>7320.9031267782548</v>
      </c>
      <c r="O171" s="195">
        <f t="shared" si="21"/>
        <v>4621.2350571607631</v>
      </c>
      <c r="P171" s="195">
        <f t="shared" si="20"/>
        <v>4640.229992592258</v>
      </c>
      <c r="Q171" s="195">
        <f t="shared" si="22"/>
        <v>16582.368176531276</v>
      </c>
      <c r="R171" s="221">
        <f t="shared" si="23"/>
        <v>0.4414871898176399</v>
      </c>
      <c r="AC171" s="251"/>
    </row>
    <row r="172" spans="1:29" ht="15.6" x14ac:dyDescent="0.3">
      <c r="A172" s="206">
        <v>2049</v>
      </c>
      <c r="B172" s="229">
        <v>20520.875238028635</v>
      </c>
      <c r="C172" s="229">
        <v>3307.2055914389916</v>
      </c>
      <c r="D172" s="229">
        <v>724.50049911811175</v>
      </c>
      <c r="E172" s="229">
        <v>9578.8264119364812</v>
      </c>
      <c r="F172" s="229">
        <v>2658.6153161047887</v>
      </c>
      <c r="G172" s="229">
        <v>641.06399223931794</v>
      </c>
      <c r="H172" s="229">
        <v>4665.1640427115844</v>
      </c>
      <c r="I172" s="229">
        <v>3629.3050129618559</v>
      </c>
      <c r="J172" s="229">
        <v>1321.8305695686158</v>
      </c>
      <c r="K172" s="229">
        <v>1610.1376708001171</v>
      </c>
      <c r="L172" s="170"/>
      <c r="M172" s="170"/>
      <c r="N172" s="195">
        <f t="shared" si="19"/>
        <v>7572.2776853296864</v>
      </c>
      <c r="O172" s="195">
        <f t="shared" si="21"/>
        <v>4665.1640427115844</v>
      </c>
      <c r="P172" s="195">
        <f t="shared" si="20"/>
        <v>4672.7700827964218</v>
      </c>
      <c r="Q172" s="195">
        <f t="shared" si="22"/>
        <v>16910.211810837693</v>
      </c>
      <c r="R172" s="221">
        <f t="shared" si="23"/>
        <v>0.4477931897030788</v>
      </c>
      <c r="AC172" s="251"/>
    </row>
    <row r="173" spans="1:29" ht="16.2" thickBot="1" x14ac:dyDescent="0.35">
      <c r="A173" s="208">
        <v>2050</v>
      </c>
      <c r="B173" s="231">
        <v>20932.290822658317</v>
      </c>
      <c r="C173" s="231">
        <v>3321.3934554064408</v>
      </c>
      <c r="D173" s="231">
        <v>732.48325493212872</v>
      </c>
      <c r="E173" s="231">
        <v>9793.3774952075091</v>
      </c>
      <c r="F173" s="231">
        <v>2748.1355343033606</v>
      </c>
      <c r="G173" s="231">
        <v>650.41635685282642</v>
      </c>
      <c r="H173" s="231">
        <v>4712.6417397951955</v>
      </c>
      <c r="I173" s="231">
        <v>3759.9453443125003</v>
      </c>
      <c r="J173" s="231">
        <v>1326.0591174841149</v>
      </c>
      <c r="K173" s="231">
        <v>1623.6451667465644</v>
      </c>
      <c r="L173" s="209"/>
      <c r="M173" s="209"/>
      <c r="N173" s="195">
        <f t="shared" si="19"/>
        <v>7828.8712897156747</v>
      </c>
      <c r="O173" s="195">
        <f t="shared" si="21"/>
        <v>4712.6417397951955</v>
      </c>
      <c r="P173" s="195">
        <f t="shared" si="20"/>
        <v>4704.2930671913955</v>
      </c>
      <c r="Q173" s="195">
        <f t="shared" si="22"/>
        <v>17245.806096702265</v>
      </c>
      <c r="R173" s="222">
        <f t="shared" si="23"/>
        <v>0.4539579794540719</v>
      </c>
      <c r="AC173" s="251"/>
    </row>
    <row r="174" spans="1:29" ht="15.6" x14ac:dyDescent="0.3">
      <c r="A174" s="213">
        <v>2051</v>
      </c>
      <c r="B174" s="227">
        <v>21333.100108172257</v>
      </c>
      <c r="C174" s="227">
        <v>3335.5692135381996</v>
      </c>
      <c r="D174" s="227">
        <v>741.83218782270296</v>
      </c>
      <c r="E174" s="227">
        <v>9999.6622041993614</v>
      </c>
      <c r="F174" s="227">
        <v>2842.8827817762976</v>
      </c>
      <c r="G174" s="227">
        <v>659.80520012992679</v>
      </c>
      <c r="H174" s="227">
        <v>4750.3498821995563</v>
      </c>
      <c r="I174" s="227">
        <v>3895.6821021339647</v>
      </c>
      <c r="J174" s="227">
        <v>1331.5443445834499</v>
      </c>
      <c r="K174" s="227">
        <v>1637.5783778721359</v>
      </c>
      <c r="N174" s="195">
        <f t="shared" si="19"/>
        <v>8092.1951037761028</v>
      </c>
      <c r="O174" s="195">
        <f t="shared" si="21"/>
        <v>4750.3498821995563</v>
      </c>
      <c r="P174" s="195">
        <f t="shared" si="20"/>
        <v>4737.2066014908296</v>
      </c>
      <c r="Q174" s="195">
        <f t="shared" si="22"/>
        <v>17579.75158746649</v>
      </c>
      <c r="R174" s="214">
        <f t="shared" si="23"/>
        <v>0.46031339313949382</v>
      </c>
      <c r="AC174" s="251"/>
    </row>
    <row r="175" spans="1:29" ht="15.6" x14ac:dyDescent="0.3">
      <c r="A175" s="194">
        <v>2052</v>
      </c>
      <c r="B175" s="229">
        <v>21746.368969263109</v>
      </c>
      <c r="C175" s="229">
        <v>3349.2619639624554</v>
      </c>
      <c r="D175" s="229">
        <v>750.61535582722524</v>
      </c>
      <c r="E175" s="229">
        <v>10212.705801074757</v>
      </c>
      <c r="F175" s="229">
        <v>2939.6781139504892</v>
      </c>
      <c r="G175" s="229">
        <v>669.21316710268002</v>
      </c>
      <c r="H175" s="229">
        <v>4791.5945789901698</v>
      </c>
      <c r="I175" s="229">
        <v>4032.6516348938167</v>
      </c>
      <c r="J175" s="229">
        <v>1336.2421313503482</v>
      </c>
      <c r="K175" s="229">
        <v>1651.3854981271388</v>
      </c>
      <c r="N175" s="195">
        <f t="shared" si="19"/>
        <v>8360.7893360350754</v>
      </c>
      <c r="O175" s="195">
        <f t="shared" si="21"/>
        <v>4791.5945789901698</v>
      </c>
      <c r="P175" s="195">
        <f t="shared" si="20"/>
        <v>4769.0904868923608</v>
      </c>
      <c r="Q175" s="195">
        <f t="shared" si="22"/>
        <v>17921.474401917607</v>
      </c>
      <c r="R175" s="196">
        <f t="shared" si="23"/>
        <v>0.46652352080699716</v>
      </c>
      <c r="AC175" s="251"/>
    </row>
    <row r="176" spans="1:29" ht="15.6" x14ac:dyDescent="0.3">
      <c r="A176" s="194">
        <v>2053</v>
      </c>
      <c r="B176" s="229">
        <v>22164.381334343991</v>
      </c>
      <c r="C176" s="229">
        <v>3362.6218833492203</v>
      </c>
      <c r="D176" s="229">
        <v>759.47511813700839</v>
      </c>
      <c r="E176" s="229">
        <v>10427.416376116887</v>
      </c>
      <c r="F176" s="229">
        <v>3039.6744951094156</v>
      </c>
      <c r="G176" s="229">
        <v>678.6421668263099</v>
      </c>
      <c r="H176" s="229">
        <v>4831.9001493721535</v>
      </c>
      <c r="I176" s="229">
        <v>4172.1140683806861</v>
      </c>
      <c r="J176" s="229">
        <v>1340.8349013922016</v>
      </c>
      <c r="K176" s="229">
        <v>1665.2565182165317</v>
      </c>
      <c r="N176" s="195">
        <f t="shared" si="19"/>
        <v>8635.1907218541492</v>
      </c>
      <c r="O176" s="195">
        <f t="shared" si="21"/>
        <v>4831.9001493721535</v>
      </c>
      <c r="P176" s="195">
        <f t="shared" si="20"/>
        <v>4800.7391683125388</v>
      </c>
      <c r="Q176" s="195">
        <f t="shared" si="22"/>
        <v>18267.830039538843</v>
      </c>
      <c r="R176" s="196">
        <f t="shared" si="23"/>
        <v>0.47269931366583579</v>
      </c>
      <c r="AC176" s="251"/>
    </row>
    <row r="177" spans="1:29" ht="15.6" x14ac:dyDescent="0.3">
      <c r="A177" s="194">
        <v>2054</v>
      </c>
      <c r="B177" s="229">
        <v>22587.106113363028</v>
      </c>
      <c r="C177" s="229">
        <v>3375.6420463384366</v>
      </c>
      <c r="D177" s="229">
        <v>768.40991059411101</v>
      </c>
      <c r="E177" s="229">
        <v>10643.723254269549</v>
      </c>
      <c r="F177" s="229">
        <v>3142.9417843024939</v>
      </c>
      <c r="G177" s="229">
        <v>688.08918636784665</v>
      </c>
      <c r="H177" s="229">
        <v>4871.2206762430096</v>
      </c>
      <c r="I177" s="229">
        <v>4314.0462175819439</v>
      </c>
      <c r="J177" s="229">
        <v>1345.3234857866819</v>
      </c>
      <c r="K177" s="229">
        <v>1679.1976929012744</v>
      </c>
      <c r="N177" s="195">
        <f t="shared" si="19"/>
        <v>8915.4443623290317</v>
      </c>
      <c r="O177" s="195">
        <f t="shared" si="21"/>
        <v>4871.2206762430096</v>
      </c>
      <c r="P177" s="195">
        <f t="shared" si="20"/>
        <v>4832.1411433003941</v>
      </c>
      <c r="Q177" s="195">
        <f t="shared" si="22"/>
        <v>18618.806181872435</v>
      </c>
      <c r="R177" s="196">
        <f t="shared" si="23"/>
        <v>0.47884081692677216</v>
      </c>
      <c r="AC177" s="251"/>
    </row>
    <row r="178" spans="1:29" ht="15.6" x14ac:dyDescent="0.3">
      <c r="A178" s="194">
        <v>2055</v>
      </c>
      <c r="B178" s="229">
        <v>23014.523766684586</v>
      </c>
      <c r="C178" s="229">
        <v>3388.3159640294275</v>
      </c>
      <c r="D178" s="229">
        <v>777.41868192637412</v>
      </c>
      <c r="E178" s="229">
        <v>10861.562911389105</v>
      </c>
      <c r="F178" s="229">
        <v>3249.5502531003904</v>
      </c>
      <c r="G178" s="229">
        <v>697.55123739849125</v>
      </c>
      <c r="H178" s="229">
        <v>4909.5253736331415</v>
      </c>
      <c r="I178" s="229">
        <v>4458.4259056064302</v>
      </c>
      <c r="J178" s="229">
        <v>1349.7088495782</v>
      </c>
      <c r="K178" s="229">
        <v>1693.2134576591563</v>
      </c>
      <c r="N178" s="195">
        <f t="shared" si="19"/>
        <v>9201.5877908563543</v>
      </c>
      <c r="O178" s="195">
        <f t="shared" si="21"/>
        <v>4909.5253736331415</v>
      </c>
      <c r="P178" s="195">
        <f t="shared" si="20"/>
        <v>4863.2858833542923</v>
      </c>
      <c r="Q178" s="195">
        <f t="shared" si="22"/>
        <v>18974.399047843788</v>
      </c>
      <c r="R178" s="196">
        <f t="shared" si="23"/>
        <v>0.48494752153439102</v>
      </c>
      <c r="AC178" s="251"/>
    </row>
    <row r="179" spans="1:29" ht="15.6" x14ac:dyDescent="0.3">
      <c r="A179" s="194">
        <v>2056</v>
      </c>
      <c r="B179" s="229">
        <v>23446.630379690047</v>
      </c>
      <c r="C179" s="229">
        <v>3400.6406659526947</v>
      </c>
      <c r="D179" s="229">
        <v>786.50140000795932</v>
      </c>
      <c r="E179" s="229">
        <v>11080.882263488516</v>
      </c>
      <c r="F179" s="229">
        <v>3359.570772289655</v>
      </c>
      <c r="G179" s="229">
        <v>707.02544776210755</v>
      </c>
      <c r="H179" s="229">
        <v>4946.8024152551825</v>
      </c>
      <c r="I179" s="229">
        <v>4605.2343223745011</v>
      </c>
      <c r="J179" s="229">
        <v>1353.9926103763671</v>
      </c>
      <c r="K179" s="229">
        <v>1707.3057278809504</v>
      </c>
      <c r="N179" s="195">
        <f t="shared" si="19"/>
        <v>9493.6506205229889</v>
      </c>
      <c r="O179" s="195">
        <f t="shared" si="21"/>
        <v>4946.8024152551825</v>
      </c>
      <c r="P179" s="195">
        <f t="shared" si="20"/>
        <v>4894.1675137227612</v>
      </c>
      <c r="Q179" s="195">
        <f t="shared" si="22"/>
        <v>19334.620549500934</v>
      </c>
      <c r="R179" s="196">
        <f t="shared" si="23"/>
        <v>0.49101820210110297</v>
      </c>
      <c r="AC179" s="251"/>
    </row>
    <row r="180" spans="1:29" ht="15.6" x14ac:dyDescent="0.3">
      <c r="A180" s="194">
        <v>2057</v>
      </c>
      <c r="B180" s="229">
        <v>23883.441274526089</v>
      </c>
      <c r="C180" s="229">
        <v>3412.6127774651941</v>
      </c>
      <c r="D180" s="229">
        <v>795.65853681906492</v>
      </c>
      <c r="E180" s="229">
        <v>11301.640864750691</v>
      </c>
      <c r="F180" s="229">
        <v>3473.0747735474752</v>
      </c>
      <c r="G180" s="229">
        <v>716.50892539621907</v>
      </c>
      <c r="H180" s="229">
        <v>4983.0671999132401</v>
      </c>
      <c r="I180" s="229">
        <v>4754.4538348086753</v>
      </c>
      <c r="J180" s="229">
        <v>1358.1763201320832</v>
      </c>
      <c r="K180" s="229">
        <v>1721.4735100133876</v>
      </c>
      <c r="N180" s="195">
        <f t="shared" si="19"/>
        <v>9791.6484383849274</v>
      </c>
      <c r="O180" s="195">
        <f t="shared" si="21"/>
        <v>4983.0671999132401</v>
      </c>
      <c r="P180" s="195">
        <f t="shared" si="20"/>
        <v>4924.7802396804773</v>
      </c>
      <c r="Q180" s="195">
        <f t="shared" si="22"/>
        <v>19699.495877978643</v>
      </c>
      <c r="R180" s="196">
        <f t="shared" si="23"/>
        <v>0.4970507112991992</v>
      </c>
      <c r="AC180" s="251"/>
    </row>
    <row r="181" spans="1:29" ht="15.6" x14ac:dyDescent="0.3">
      <c r="A181" s="194">
        <v>2058</v>
      </c>
      <c r="B181" s="229">
        <v>24324.981993838675</v>
      </c>
      <c r="C181" s="229">
        <v>3424.2245764623044</v>
      </c>
      <c r="D181" s="229">
        <v>804.89043963778818</v>
      </c>
      <c r="E181" s="229">
        <v>11523.804532735179</v>
      </c>
      <c r="F181" s="229">
        <v>3590.1339105085453</v>
      </c>
      <c r="G181" s="229">
        <v>725.99864096757165</v>
      </c>
      <c r="H181" s="229">
        <v>5018.3522577507192</v>
      </c>
      <c r="I181" s="229">
        <v>4906.0647291534624</v>
      </c>
      <c r="J181" s="229">
        <v>1362.2608758553215</v>
      </c>
      <c r="K181" s="229">
        <v>1735.7144277246066</v>
      </c>
      <c r="N181" s="195">
        <f t="shared" si="19"/>
        <v>10095.586185493006</v>
      </c>
      <c r="O181" s="195">
        <f t="shared" si="21"/>
        <v>5018.3522577507192</v>
      </c>
      <c r="P181" s="195">
        <f t="shared" si="20"/>
        <v>4955.1136570676645</v>
      </c>
      <c r="Q181" s="195">
        <f t="shared" si="22"/>
        <v>20069.05210031139</v>
      </c>
      <c r="R181" s="196">
        <f t="shared" si="23"/>
        <v>0.50304250220848068</v>
      </c>
      <c r="AC181" s="251"/>
    </row>
    <row r="182" spans="1:29" ht="15.6" x14ac:dyDescent="0.3">
      <c r="A182" s="194">
        <v>2059</v>
      </c>
      <c r="B182" s="229">
        <v>24771.289032084482</v>
      </c>
      <c r="C182" s="229">
        <v>3435.4669790480452</v>
      </c>
      <c r="D182" s="229">
        <v>814.19772026241662</v>
      </c>
      <c r="E182" s="229">
        <v>11747.346461278152</v>
      </c>
      <c r="F182" s="229">
        <v>3710.8201530218971</v>
      </c>
      <c r="G182" s="229">
        <v>735.49152718585447</v>
      </c>
      <c r="H182" s="229">
        <v>5052.7064571011997</v>
      </c>
      <c r="I182" s="229">
        <v>5060.0472407125317</v>
      </c>
      <c r="J182" s="229">
        <v>1366.2469338325782</v>
      </c>
      <c r="K182" s="229">
        <v>1750.0244793899933</v>
      </c>
      <c r="N182" s="195">
        <f t="shared" si="19"/>
        <v>10405.46015719885</v>
      </c>
      <c r="O182" s="195">
        <f t="shared" si="21"/>
        <v>5052.7064571011997</v>
      </c>
      <c r="P182" s="195">
        <f t="shared" si="20"/>
        <v>4985.1562264963168</v>
      </c>
      <c r="Q182" s="195">
        <f t="shared" si="22"/>
        <v>20443.322840796369</v>
      </c>
      <c r="R182" s="196">
        <f t="shared" si="23"/>
        <v>0.50899064884079803</v>
      </c>
      <c r="AC182" s="251"/>
    </row>
    <row r="183" spans="1:29" ht="15.6" x14ac:dyDescent="0.3">
      <c r="A183" s="194">
        <v>2060</v>
      </c>
      <c r="B183" s="229">
        <v>25220.530386157334</v>
      </c>
      <c r="C183" s="229">
        <v>3446.4100463921168</v>
      </c>
      <c r="D183" s="229">
        <v>823.74256436060978</v>
      </c>
      <c r="E183" s="229">
        <v>11970.981797827328</v>
      </c>
      <c r="F183" s="229">
        <v>3835.4762758079428</v>
      </c>
      <c r="G183" s="229">
        <v>744.98579375195527</v>
      </c>
      <c r="H183" s="229">
        <v>5085.0633987883939</v>
      </c>
      <c r="I183" s="229">
        <v>5216.702681889662</v>
      </c>
      <c r="J183" s="229">
        <v>1370.4819899145368</v>
      </c>
      <c r="K183" s="229">
        <v>1764.4462296950142</v>
      </c>
      <c r="N183" s="195">
        <f t="shared" si="19"/>
        <v>10721.394674846877</v>
      </c>
      <c r="O183" s="195">
        <f t="shared" si="21"/>
        <v>5085.0633987883939</v>
      </c>
      <c r="P183" s="195">
        <f t="shared" si="20"/>
        <v>5015.1384045046816</v>
      </c>
      <c r="Q183" s="195">
        <f t="shared" si="22"/>
        <v>20821.596478139953</v>
      </c>
      <c r="R183" s="196">
        <f>N183/Q183</f>
        <v>0.5149170327118282</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O24:R24 F3:G14">
      <formula1>"Y,N"</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sheetPr>
  <dimension ref="A1:EG183"/>
  <sheetViews>
    <sheetView showGridLines="0" topLeftCell="K1" zoomScale="96" zoomScaleNormal="96" zoomScalePageLayoutView="80" workbookViewId="0">
      <selection activeCell="E62" sqref="E62"/>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45.5" style="153" bestFit="1"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SpaceCooling_cluster_mdc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c r="E3" s="249"/>
      <c r="F3" s="167"/>
      <c r="G3" s="167"/>
      <c r="I3" s="618"/>
      <c r="J3" s="618"/>
      <c r="K3" s="618"/>
      <c r="L3" s="618"/>
      <c r="M3" s="166"/>
      <c r="N3" s="164">
        <f ca="1">SUM(OFFSET(O27,B3-2015,0,B4-B3+1,4))/1000</f>
        <v>1.4945070279964845</v>
      </c>
      <c r="O3" s="165" t="s">
        <v>209</v>
      </c>
      <c r="Q3" s="165"/>
      <c r="S3" s="671" t="s">
        <v>210</v>
      </c>
      <c r="T3" s="671"/>
      <c r="U3" s="671"/>
      <c r="V3" s="671"/>
      <c r="W3" s="671"/>
    </row>
    <row r="4" spans="1:137" ht="13.8" x14ac:dyDescent="0.25">
      <c r="A4" s="153" t="s">
        <v>215</v>
      </c>
      <c r="B4" s="234">
        <v>2050</v>
      </c>
      <c r="D4" s="248"/>
      <c r="E4" s="249"/>
      <c r="F4" s="167"/>
      <c r="G4" s="167"/>
      <c r="I4" s="168"/>
      <c r="J4" s="168"/>
      <c r="K4" s="168"/>
      <c r="L4" s="168"/>
      <c r="M4" s="168"/>
      <c r="N4" s="168"/>
      <c r="S4" s="671"/>
      <c r="T4" s="671"/>
      <c r="U4" s="671"/>
      <c r="V4" s="671"/>
      <c r="W4" s="671"/>
    </row>
    <row r="5" spans="1:137" ht="12.75" customHeight="1" x14ac:dyDescent="0.25">
      <c r="D5" s="248"/>
      <c r="E5" s="249"/>
      <c r="F5" s="167"/>
      <c r="G5" s="167"/>
      <c r="I5" s="618" t="s">
        <v>214</v>
      </c>
      <c r="J5" s="618"/>
      <c r="K5" s="618"/>
      <c r="L5" s="618"/>
      <c r="M5" s="169"/>
      <c r="N5" s="164">
        <f>SUM(J27:M72)/1000</f>
        <v>0</v>
      </c>
      <c r="O5" s="165" t="s">
        <v>208</v>
      </c>
      <c r="S5" s="671"/>
      <c r="T5" s="671"/>
      <c r="U5" s="671"/>
      <c r="V5" s="671"/>
      <c r="W5" s="671"/>
    </row>
    <row r="6" spans="1:137" ht="13.8" x14ac:dyDescent="0.25">
      <c r="D6" s="248"/>
      <c r="E6" s="249"/>
      <c r="F6" s="167"/>
      <c r="G6" s="167"/>
      <c r="I6" s="618"/>
      <c r="J6" s="618"/>
      <c r="K6" s="618"/>
      <c r="L6" s="618"/>
      <c r="M6" s="163"/>
      <c r="N6" s="164">
        <f>SUM(O27:R72)/1000</f>
        <v>2.9697677254871744</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t="s">
        <v>172</v>
      </c>
      <c r="E10" s="249">
        <v>0.95</v>
      </c>
      <c r="F10" s="167"/>
      <c r="G10" s="167" t="s">
        <v>213</v>
      </c>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326</v>
      </c>
      <c r="P15" s="260" t="s">
        <v>268</v>
      </c>
    </row>
    <row r="16" spans="1:137" ht="13.8" x14ac:dyDescent="0.25">
      <c r="F16" s="153" t="s">
        <v>217</v>
      </c>
      <c r="O16" s="261">
        <f>1/3.7</f>
        <v>0.27027027027027023</v>
      </c>
      <c r="P16" s="261">
        <v>1403.3616727979031</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211</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IFERROR(IF($F$17="Y",$E$17,1-$Y85)*(SUMIF($G$3:$G$14,"Y",$E$3:$E$14))*(B85-B137),0)</f>
        <v>-1.5136178592820215E-2</v>
      </c>
      <c r="F26" s="183" t="str">
        <f>IFERROR(E26-E25,"")</f>
        <v/>
      </c>
      <c r="G26" s="247">
        <f t="shared" ref="G26:G72" si="1">IFERROR(E26/(B85-B137),"")</f>
        <v>0.95</v>
      </c>
      <c r="H26" s="245" t="s">
        <v>264</v>
      </c>
      <c r="J26" s="182"/>
      <c r="K26" s="182"/>
      <c r="L26" s="182"/>
      <c r="M26" s="182"/>
      <c r="N26" s="163"/>
      <c r="O26" s="259">
        <f>IF($O$24="Y",IFERROR(E26*$E$6*'Emissions Factors'!B12*$O$16,""),"")</f>
        <v>0</v>
      </c>
      <c r="P26" s="259" t="str">
        <f>IF($Q$24="Y",IFERROR($E26*SUM($E$3,$E$4,$E$5)*('Emissions Factors'!$T$143*$P$16)/10^6,""),"")</f>
        <v/>
      </c>
      <c r="Q26" s="259"/>
      <c r="R26" s="245" t="s">
        <v>264</v>
      </c>
      <c r="T26" s="180" t="str">
        <f t="shared" ref="T26:T72" si="2">IF(AND(A26&gt;=$B$3,A26&lt;=$B$4),SUM(O26:R26),"")</f>
        <v/>
      </c>
      <c r="U26" s="180" t="str">
        <f t="shared" ref="U26:U72" si="3">IF(AND(A26&gt;=$B$3,A26&lt;=$B$4),SUM(J26:M26),"")</f>
        <v/>
      </c>
      <c r="V26" s="177"/>
      <c r="X26" s="180">
        <f t="shared" ref="X26:X72" si="4">SUM(O26:R26)</f>
        <v>0</v>
      </c>
      <c r="Y26" s="180">
        <f t="shared" ref="Y26:Y72" si="5">SUM(J26:M26)</f>
        <v>0</v>
      </c>
    </row>
    <row r="27" spans="1:26" ht="15.6" x14ac:dyDescent="0.3">
      <c r="A27" s="152">
        <v>2015</v>
      </c>
      <c r="B27" s="178">
        <f t="shared" si="0"/>
        <v>0</v>
      </c>
      <c r="C27" s="182">
        <f>IFERROR(B27-B26,"")</f>
        <v>0</v>
      </c>
      <c r="D27" s="183"/>
      <c r="E27" s="179">
        <f t="shared" ref="E27:E72" si="6">IFERROR(IF($F$17="Y",$E$17,1-$Y86)*(SUMIF($G$3:$G$14,"Y",$E$3:$E$14))*(B86-B138),0)</f>
        <v>-1.5243479872515307E-2</v>
      </c>
      <c r="F27" s="183">
        <f>IFERROR(E27-E26,"")</f>
        <v>-1.0730127969509236E-4</v>
      </c>
      <c r="G27" s="247">
        <f t="shared" si="1"/>
        <v>0.95</v>
      </c>
      <c r="H27" s="246"/>
      <c r="J27" s="182"/>
      <c r="K27" s="182"/>
      <c r="L27" s="182"/>
      <c r="M27" s="182"/>
      <c r="N27" s="163"/>
      <c r="O27" s="259">
        <f>IF($O$24="Y",IFERROR(E27*$E$10*'Emissions Factors'!B12*$O$16,""),"")</f>
        <v>-2.4163492411272717E-3</v>
      </c>
      <c r="P27" s="259" t="str">
        <f>IF($Q$24="Y",IFERROR($E27*SUM($E$3,$E$4,$E$5)*('Emissions Factors'!$T$143*$P$16)/10^6,""),"")</f>
        <v/>
      </c>
      <c r="Q27" s="259"/>
      <c r="R27" s="258"/>
      <c r="T27" s="180" t="str">
        <f t="shared" si="2"/>
        <v/>
      </c>
      <c r="U27" s="180" t="str">
        <f t="shared" si="3"/>
        <v/>
      </c>
      <c r="V27" s="177"/>
      <c r="X27" s="180">
        <f t="shared" si="4"/>
        <v>-2.4163492411272717E-3</v>
      </c>
      <c r="Y27" s="180">
        <f t="shared" si="5"/>
        <v>0</v>
      </c>
    </row>
    <row r="28" spans="1:26" ht="15.6" x14ac:dyDescent="0.3">
      <c r="A28" s="152">
        <v>2016</v>
      </c>
      <c r="B28" s="178">
        <f t="shared" si="0"/>
        <v>0</v>
      </c>
      <c r="C28" s="182">
        <f t="shared" ref="C28:C72" si="7">IFERROR(B28-B27,"")</f>
        <v>0</v>
      </c>
      <c r="D28" s="183"/>
      <c r="E28" s="179">
        <f t="shared" si="6"/>
        <v>0</v>
      </c>
      <c r="F28" s="183">
        <f t="shared" ref="F28:F72" si="8">IFERROR(E28-E27,"")</f>
        <v>1.5243479872515307E-2</v>
      </c>
      <c r="G28" s="247">
        <f t="shared" si="1"/>
        <v>0</v>
      </c>
      <c r="H28" s="246"/>
      <c r="J28" s="182"/>
      <c r="K28" s="182"/>
      <c r="L28" s="182"/>
      <c r="M28" s="182"/>
      <c r="N28" s="163"/>
      <c r="O28" s="259">
        <f>IF($O$24="Y",IFERROR(E28*$E$10*'Emissions Factors'!B13*$O$16,""),"")</f>
        <v>0</v>
      </c>
      <c r="P28" s="259" t="str">
        <f>IF($Q$24="Y",IFERROR($E28*SUM($E$3,$E$4,$E$5)*('Emissions Factors'!$T$143*$P$16)/10^6,""),"")</f>
        <v/>
      </c>
      <c r="Q28" s="259"/>
      <c r="R28" s="258"/>
      <c r="T28" s="180" t="str">
        <f t="shared" si="2"/>
        <v/>
      </c>
      <c r="U28" s="180" t="str">
        <f t="shared" si="3"/>
        <v/>
      </c>
      <c r="V28" s="177"/>
      <c r="X28" s="180">
        <f t="shared" si="4"/>
        <v>0</v>
      </c>
      <c r="Y28" s="180">
        <f t="shared" si="5"/>
        <v>0</v>
      </c>
    </row>
    <row r="29" spans="1:26" ht="15.6" x14ac:dyDescent="0.3">
      <c r="A29" s="152">
        <v>2017</v>
      </c>
      <c r="B29" s="178">
        <f t="shared" si="0"/>
        <v>0</v>
      </c>
      <c r="C29" s="182">
        <f>IFERROR(B29-B28,"")</f>
        <v>0</v>
      </c>
      <c r="D29" s="183"/>
      <c r="E29" s="179">
        <f t="shared" si="6"/>
        <v>0</v>
      </c>
      <c r="F29" s="183">
        <f>IFERROR(E29-E28,"")</f>
        <v>0</v>
      </c>
      <c r="G29" s="247">
        <f t="shared" si="1"/>
        <v>0</v>
      </c>
      <c r="H29" s="246"/>
      <c r="J29" s="182"/>
      <c r="K29" s="182"/>
      <c r="L29" s="182"/>
      <c r="M29" s="182"/>
      <c r="N29" s="163"/>
      <c r="O29" s="259">
        <f>IF($O$24="Y",IFERROR(E29*$E$10*'Emissions Factors'!B14*$O$16,""),"")</f>
        <v>0</v>
      </c>
      <c r="P29" s="259" t="str">
        <f>IF($Q$24="Y",IFERROR($E29*SUM($E$3,$E$4,$E$5)*('Emissions Factors'!$T$143*$P$16)/10^6,""),"")</f>
        <v/>
      </c>
      <c r="Q29" s="259"/>
      <c r="R29" s="258"/>
      <c r="T29" s="180" t="str">
        <f t="shared" si="2"/>
        <v/>
      </c>
      <c r="U29" s="180" t="str">
        <f t="shared" si="3"/>
        <v/>
      </c>
      <c r="V29" s="177"/>
      <c r="X29" s="180">
        <f t="shared" si="4"/>
        <v>0</v>
      </c>
      <c r="Y29" s="180">
        <f t="shared" si="5"/>
        <v>0</v>
      </c>
    </row>
    <row r="30" spans="1:26" ht="15.6" x14ac:dyDescent="0.3">
      <c r="A30" s="152">
        <v>2018</v>
      </c>
      <c r="B30" s="178">
        <f t="shared" si="0"/>
        <v>0</v>
      </c>
      <c r="C30" s="182">
        <f t="shared" si="7"/>
        <v>0</v>
      </c>
      <c r="D30" s="183"/>
      <c r="E30" s="179">
        <f t="shared" si="6"/>
        <v>0</v>
      </c>
      <c r="F30" s="183">
        <f t="shared" si="8"/>
        <v>0</v>
      </c>
      <c r="G30" s="247">
        <f t="shared" si="1"/>
        <v>0</v>
      </c>
      <c r="H30" s="246"/>
      <c r="J30" s="182"/>
      <c r="K30" s="182"/>
      <c r="L30" s="182"/>
      <c r="M30" s="182"/>
      <c r="N30" s="163"/>
      <c r="O30" s="259">
        <f>IF($O$24="Y",IFERROR(E30*$E$10*'Emissions Factors'!B15*$O$16,""),"")</f>
        <v>0</v>
      </c>
      <c r="P30" s="259" t="str">
        <f>IF($Q$24="Y",IFERROR($E30*SUM($E$3,$E$4,$E$5)*('Emissions Factors'!$T$143*$P$16)/10^6,""),"")</f>
        <v/>
      </c>
      <c r="Q30" s="259"/>
      <c r="R30" s="258"/>
      <c r="T30" s="180" t="str">
        <f t="shared" si="2"/>
        <v/>
      </c>
      <c r="U30" s="180" t="str">
        <f t="shared" si="3"/>
        <v/>
      </c>
      <c r="V30" s="177"/>
      <c r="X30" s="180">
        <f t="shared" si="4"/>
        <v>0</v>
      </c>
      <c r="Y30" s="180">
        <f t="shared" si="5"/>
        <v>0</v>
      </c>
    </row>
    <row r="31" spans="1:26" ht="15.6" x14ac:dyDescent="0.3">
      <c r="A31" s="152">
        <v>2019</v>
      </c>
      <c r="B31" s="178">
        <f t="shared" si="0"/>
        <v>0</v>
      </c>
      <c r="C31" s="182">
        <f t="shared" si="7"/>
        <v>0</v>
      </c>
      <c r="D31" s="183"/>
      <c r="E31" s="179">
        <f t="shared" si="6"/>
        <v>0</v>
      </c>
      <c r="F31" s="183">
        <f t="shared" si="8"/>
        <v>0</v>
      </c>
      <c r="G31" s="247">
        <f t="shared" si="1"/>
        <v>0</v>
      </c>
      <c r="H31" s="246"/>
      <c r="J31" s="182"/>
      <c r="K31" s="182"/>
      <c r="L31" s="182"/>
      <c r="M31" s="182"/>
      <c r="N31" s="163"/>
      <c r="O31" s="259">
        <f>IF($O$24="Y",IFERROR(E31*$E$10*'Emissions Factors'!B16*$O$16,""),"")</f>
        <v>0</v>
      </c>
      <c r="P31" s="259" t="str">
        <f>IF($Q$24="Y",IFERROR($E31*SUM($E$3,$E$4,$E$5)*('Emissions Factors'!$T$143*$P$16)/10^6,""),"")</f>
        <v/>
      </c>
      <c r="Q31" s="259"/>
      <c r="R31" s="258"/>
      <c r="T31" s="180" t="str">
        <f t="shared" si="2"/>
        <v/>
      </c>
      <c r="U31" s="180" t="str">
        <f t="shared" si="3"/>
        <v/>
      </c>
      <c r="V31" s="177"/>
      <c r="X31" s="180">
        <f t="shared" si="4"/>
        <v>0</v>
      </c>
      <c r="Y31" s="180">
        <f t="shared" si="5"/>
        <v>0</v>
      </c>
    </row>
    <row r="32" spans="1:26" ht="15.6" x14ac:dyDescent="0.3">
      <c r="A32" s="152">
        <v>2020</v>
      </c>
      <c r="B32" s="178">
        <f t="shared" si="0"/>
        <v>0</v>
      </c>
      <c r="C32" s="182">
        <f t="shared" si="7"/>
        <v>0</v>
      </c>
      <c r="D32" s="183"/>
      <c r="E32" s="179">
        <f t="shared" si="6"/>
        <v>0</v>
      </c>
      <c r="F32" s="183">
        <f t="shared" si="8"/>
        <v>0</v>
      </c>
      <c r="G32" s="247">
        <f t="shared" si="1"/>
        <v>0</v>
      </c>
      <c r="H32" s="246"/>
      <c r="J32" s="182"/>
      <c r="K32" s="182"/>
      <c r="L32" s="182"/>
      <c r="M32" s="182"/>
      <c r="N32" s="163"/>
      <c r="O32" s="259">
        <f>IF($O$24="Y",IFERROR(E32*$E$10*'Emissions Factors'!B17*$O$16,""),"")</f>
        <v>0</v>
      </c>
      <c r="P32" s="259" t="str">
        <f>IF($Q$24="Y",IFERROR($E32*SUM($E$3,$E$4,$E$5)*('Emissions Factors'!$T$143*$P$16)/10^6,""),"")</f>
        <v/>
      </c>
      <c r="Q32" s="259"/>
      <c r="R32" s="258"/>
      <c r="T32" s="180">
        <f t="shared" si="2"/>
        <v>0</v>
      </c>
      <c r="U32" s="180">
        <f t="shared" si="3"/>
        <v>0</v>
      </c>
      <c r="V32" s="177"/>
      <c r="X32" s="180">
        <f t="shared" si="4"/>
        <v>0</v>
      </c>
      <c r="Y32" s="180">
        <f t="shared" si="5"/>
        <v>0</v>
      </c>
    </row>
    <row r="33" spans="1:25" ht="15.6" x14ac:dyDescent="0.3">
      <c r="A33" s="152">
        <v>2021</v>
      </c>
      <c r="B33" s="178">
        <f t="shared" si="0"/>
        <v>0</v>
      </c>
      <c r="C33" s="182">
        <f t="shared" si="7"/>
        <v>0</v>
      </c>
      <c r="D33" s="183"/>
      <c r="E33" s="179">
        <f t="shared" si="6"/>
        <v>8.9899400354356285</v>
      </c>
      <c r="F33" s="183">
        <f t="shared" si="8"/>
        <v>8.9899400354356285</v>
      </c>
      <c r="G33" s="247">
        <f t="shared" si="1"/>
        <v>0.63613896672255077</v>
      </c>
      <c r="H33" s="246"/>
      <c r="J33" s="182"/>
      <c r="K33" s="182"/>
      <c r="L33" s="182"/>
      <c r="M33" s="182"/>
      <c r="N33" s="163"/>
      <c r="O33" s="259">
        <f>IF($O$24="Y",IFERROR(E33*$E$10*'Emissions Factors'!B18*$O$16,""),"")</f>
        <v>1.3604561294952058</v>
      </c>
      <c r="P33" s="259" t="str">
        <f>IF($Q$24="Y",IFERROR($E33*SUM($E$3,$E$4,$E$5)*('Emissions Factors'!$T$143*$P$16)/10^6,""),"")</f>
        <v/>
      </c>
      <c r="Q33" s="259"/>
      <c r="R33" s="258"/>
      <c r="T33" s="180">
        <f t="shared" si="2"/>
        <v>1.3604561294952058</v>
      </c>
      <c r="U33" s="180">
        <f t="shared" si="3"/>
        <v>0</v>
      </c>
      <c r="V33" s="177"/>
      <c r="X33" s="180">
        <f t="shared" si="4"/>
        <v>1.3604561294952058</v>
      </c>
      <c r="Y33" s="180">
        <f t="shared" si="5"/>
        <v>0</v>
      </c>
    </row>
    <row r="34" spans="1:25" ht="15.6" x14ac:dyDescent="0.3">
      <c r="A34" s="152">
        <v>2022</v>
      </c>
      <c r="B34" s="178">
        <f t="shared" si="0"/>
        <v>0</v>
      </c>
      <c r="C34" s="182">
        <f t="shared" si="7"/>
        <v>0</v>
      </c>
      <c r="D34" s="183"/>
      <c r="E34" s="179">
        <f t="shared" si="6"/>
        <v>20.097898143781968</v>
      </c>
      <c r="F34" s="183">
        <f t="shared" si="8"/>
        <v>11.10795810834634</v>
      </c>
      <c r="G34" s="247">
        <f t="shared" si="1"/>
        <v>0.62080572678603319</v>
      </c>
      <c r="H34" s="246"/>
      <c r="J34" s="182"/>
      <c r="K34" s="182"/>
      <c r="L34" s="182"/>
      <c r="M34" s="182"/>
      <c r="N34" s="163"/>
      <c r="O34" s="259">
        <f>IF($O$24="Y",IFERROR(E34*$E$10*'Emissions Factors'!B19*$O$16,""),"")</f>
        <v>3.0233509556929525</v>
      </c>
      <c r="P34" s="259" t="str">
        <f>IF($Q$24="Y",IFERROR($E34*SUM($E$3,$E$4,$E$5)*('Emissions Factors'!$T$143*$P$16)/10^6,""),"")</f>
        <v/>
      </c>
      <c r="Q34" s="259"/>
      <c r="R34" s="258"/>
      <c r="T34" s="180">
        <f t="shared" si="2"/>
        <v>3.0233509556929525</v>
      </c>
      <c r="U34" s="180">
        <f t="shared" si="3"/>
        <v>0</v>
      </c>
      <c r="V34" s="177"/>
      <c r="X34" s="180">
        <f t="shared" si="4"/>
        <v>3.0233509556929525</v>
      </c>
      <c r="Y34" s="180">
        <f t="shared" si="5"/>
        <v>0</v>
      </c>
    </row>
    <row r="35" spans="1:25" ht="15.6" x14ac:dyDescent="0.3">
      <c r="A35" s="152">
        <v>2023</v>
      </c>
      <c r="B35" s="178">
        <f t="shared" si="0"/>
        <v>0</v>
      </c>
      <c r="C35" s="182">
        <f t="shared" si="7"/>
        <v>0</v>
      </c>
      <c r="D35" s="183"/>
      <c r="E35" s="179">
        <f t="shared" si="6"/>
        <v>33.142123296810468</v>
      </c>
      <c r="F35" s="183">
        <f t="shared" si="8"/>
        <v>13.044225153028499</v>
      </c>
      <c r="G35" s="247">
        <f t="shared" si="1"/>
        <v>0.60942237460688242</v>
      </c>
      <c r="H35" s="246"/>
      <c r="J35" s="182"/>
      <c r="K35" s="182"/>
      <c r="L35" s="182"/>
      <c r="M35" s="182"/>
      <c r="N35" s="163"/>
      <c r="O35" s="259">
        <f>IF($O$24="Y",IFERROR(E35*$E$10*'Emissions Factors'!B20*$O$16,""),"")</f>
        <v>4.9565072631758431</v>
      </c>
      <c r="P35" s="259" t="str">
        <f>IF($Q$24="Y",IFERROR($E35*SUM($E$3,$E$4,$E$5)*('Emissions Factors'!$T$143*$P$16)/10^6,""),"")</f>
        <v/>
      </c>
      <c r="Q35" s="259"/>
      <c r="R35" s="258"/>
      <c r="T35" s="180">
        <f t="shared" si="2"/>
        <v>4.9565072631758431</v>
      </c>
      <c r="U35" s="180">
        <f t="shared" si="3"/>
        <v>0</v>
      </c>
      <c r="V35" s="177"/>
      <c r="X35" s="180">
        <f t="shared" si="4"/>
        <v>4.9565072631758431</v>
      </c>
      <c r="Y35" s="180">
        <f t="shared" si="5"/>
        <v>0</v>
      </c>
    </row>
    <row r="36" spans="1:25" ht="15.6" x14ac:dyDescent="0.3">
      <c r="A36" s="152">
        <v>2024</v>
      </c>
      <c r="B36" s="178">
        <f t="shared" si="0"/>
        <v>0</v>
      </c>
      <c r="C36" s="182">
        <f t="shared" si="7"/>
        <v>0</v>
      </c>
      <c r="D36" s="183"/>
      <c r="E36" s="179">
        <f t="shared" si="6"/>
        <v>48.048307071646327</v>
      </c>
      <c r="F36" s="183">
        <f t="shared" si="8"/>
        <v>14.90618377483586</v>
      </c>
      <c r="G36" s="247">
        <f t="shared" si="1"/>
        <v>0.60015260485236854</v>
      </c>
      <c r="H36" s="246"/>
      <c r="J36" s="182"/>
      <c r="K36" s="182"/>
      <c r="L36" s="182"/>
      <c r="M36" s="182"/>
      <c r="N36" s="163"/>
      <c r="O36" s="259">
        <f>IF($O$24="Y",IFERROR(E36*$E$10*'Emissions Factors'!B21*$O$16,""),"")</f>
        <v>7.1445259163748895</v>
      </c>
      <c r="P36" s="259" t="str">
        <f>IF($Q$24="Y",IFERROR($E36*SUM($E$3,$E$4,$E$5)*('Emissions Factors'!$T$143*$P$16)/10^6,""),"")</f>
        <v/>
      </c>
      <c r="Q36" s="259"/>
      <c r="R36" s="258"/>
      <c r="T36" s="180">
        <f t="shared" si="2"/>
        <v>7.1445259163748895</v>
      </c>
      <c r="U36" s="180">
        <f t="shared" si="3"/>
        <v>0</v>
      </c>
      <c r="V36" s="177"/>
      <c r="X36" s="180">
        <f t="shared" si="4"/>
        <v>7.1445259163748895</v>
      </c>
      <c r="Y36" s="180">
        <f t="shared" si="5"/>
        <v>0</v>
      </c>
    </row>
    <row r="37" spans="1:25" ht="15.6" x14ac:dyDescent="0.3">
      <c r="A37" s="152">
        <v>2025</v>
      </c>
      <c r="B37" s="178">
        <f t="shared" si="0"/>
        <v>0</v>
      </c>
      <c r="C37" s="182">
        <f t="shared" si="7"/>
        <v>0</v>
      </c>
      <c r="D37" s="183"/>
      <c r="E37" s="179">
        <f t="shared" si="6"/>
        <v>64.761947097098755</v>
      </c>
      <c r="F37" s="183">
        <f t="shared" si="8"/>
        <v>16.713640025452428</v>
      </c>
      <c r="G37" s="247">
        <f t="shared" si="1"/>
        <v>0.59218961130699366</v>
      </c>
      <c r="H37" s="246"/>
      <c r="J37" s="182"/>
      <c r="K37" s="182"/>
      <c r="L37" s="182"/>
      <c r="M37" s="182"/>
      <c r="N37" s="163"/>
      <c r="O37" s="259">
        <f>IF($O$24="Y",IFERROR(E37*$E$10*'Emissions Factors'!B22*$O$16,""),"")</f>
        <v>9.5807719662338489</v>
      </c>
      <c r="P37" s="259" t="str">
        <f>IF($Q$24="Y",IFERROR($E37*SUM($E$3,$E$4,$E$5)*('Emissions Factors'!$T$143*$P$16)/10^6,""),"")</f>
        <v/>
      </c>
      <c r="Q37" s="259"/>
      <c r="R37" s="258"/>
      <c r="T37" s="180">
        <f t="shared" si="2"/>
        <v>9.5807719662338489</v>
      </c>
      <c r="U37" s="180">
        <f t="shared" si="3"/>
        <v>0</v>
      </c>
      <c r="V37" s="177"/>
      <c r="X37" s="180">
        <f t="shared" si="4"/>
        <v>9.5807719662338489</v>
      </c>
      <c r="Y37" s="180">
        <f t="shared" si="5"/>
        <v>0</v>
      </c>
    </row>
    <row r="38" spans="1:25" ht="15.6" x14ac:dyDescent="0.3">
      <c r="A38" s="152">
        <v>2026</v>
      </c>
      <c r="B38" s="178">
        <f t="shared" si="0"/>
        <v>0</v>
      </c>
      <c r="C38" s="182">
        <f t="shared" si="7"/>
        <v>0</v>
      </c>
      <c r="D38" s="183"/>
      <c r="E38" s="179">
        <f t="shared" si="6"/>
        <v>83.214543525016126</v>
      </c>
      <c r="F38" s="183">
        <f t="shared" si="8"/>
        <v>18.452596427917371</v>
      </c>
      <c r="G38" s="247">
        <f t="shared" si="1"/>
        <v>0.58511202655671246</v>
      </c>
      <c r="H38" s="246"/>
      <c r="J38" s="182"/>
      <c r="K38" s="182"/>
      <c r="L38" s="182"/>
      <c r="M38" s="182"/>
      <c r="N38" s="163"/>
      <c r="O38" s="259">
        <f>IF($O$24="Y",IFERROR(E38*$E$10*'Emissions Factors'!B23*$O$16,""),"")</f>
        <v>12.234976972008898</v>
      </c>
      <c r="P38" s="259" t="str">
        <f>IF($Q$24="Y",IFERROR($E38*SUM($E$3,$E$4,$E$5)*('Emissions Factors'!$T$143*$P$16)/10^6,""),"")</f>
        <v/>
      </c>
      <c r="Q38" s="259"/>
      <c r="R38" s="258"/>
      <c r="T38" s="180">
        <f t="shared" si="2"/>
        <v>12.234976972008898</v>
      </c>
      <c r="U38" s="180">
        <f t="shared" si="3"/>
        <v>0</v>
      </c>
      <c r="V38" s="177"/>
      <c r="X38" s="180">
        <f t="shared" si="4"/>
        <v>12.234976972008898</v>
      </c>
      <c r="Y38" s="180">
        <f t="shared" si="5"/>
        <v>0</v>
      </c>
    </row>
    <row r="39" spans="1:25" ht="15.6" x14ac:dyDescent="0.3">
      <c r="A39" s="152">
        <v>2027</v>
      </c>
      <c r="B39" s="178">
        <f t="shared" si="0"/>
        <v>0</v>
      </c>
      <c r="C39" s="182">
        <f t="shared" si="7"/>
        <v>0</v>
      </c>
      <c r="D39" s="183"/>
      <c r="E39" s="179">
        <f t="shared" si="6"/>
        <v>103.33522283455594</v>
      </c>
      <c r="F39" s="183">
        <f t="shared" si="8"/>
        <v>20.12067930953981</v>
      </c>
      <c r="G39" s="247">
        <f t="shared" si="1"/>
        <v>0.57864628612580493</v>
      </c>
      <c r="H39" s="246"/>
      <c r="J39" s="182"/>
      <c r="K39" s="182"/>
      <c r="L39" s="182"/>
      <c r="M39" s="182"/>
      <c r="N39" s="163"/>
      <c r="O39" s="259">
        <f>IF($O$24="Y",IFERROR(E39*$E$10*'Emissions Factors'!B24*$O$16,""),"")</f>
        <v>15.109576330525391</v>
      </c>
      <c r="P39" s="259" t="str">
        <f>IF($Q$24="Y",IFERROR($E39*SUM($E$3,$E$4,$E$5)*('Emissions Factors'!$T$143*$P$16)/10^6,""),"")</f>
        <v/>
      </c>
      <c r="Q39" s="259"/>
      <c r="R39" s="258"/>
      <c r="T39" s="180">
        <f t="shared" si="2"/>
        <v>15.109576330525391</v>
      </c>
      <c r="U39" s="180">
        <f t="shared" si="3"/>
        <v>0</v>
      </c>
      <c r="V39" s="177"/>
      <c r="X39" s="180">
        <f t="shared" si="4"/>
        <v>15.109576330525391</v>
      </c>
      <c r="Y39" s="180">
        <f t="shared" si="5"/>
        <v>0</v>
      </c>
    </row>
    <row r="40" spans="1:25" ht="15.6" x14ac:dyDescent="0.3">
      <c r="A40" s="152">
        <v>2028</v>
      </c>
      <c r="B40" s="178">
        <f t="shared" si="0"/>
        <v>0</v>
      </c>
      <c r="C40" s="182">
        <f t="shared" si="7"/>
        <v>0</v>
      </c>
      <c r="D40" s="183"/>
      <c r="E40" s="179">
        <f t="shared" si="6"/>
        <v>125.11428682601574</v>
      </c>
      <c r="F40" s="183">
        <f t="shared" si="8"/>
        <v>21.779063991459807</v>
      </c>
      <c r="G40" s="247">
        <f t="shared" si="1"/>
        <v>0.57255856353278645</v>
      </c>
      <c r="H40" s="246"/>
      <c r="J40" s="182"/>
      <c r="K40" s="182"/>
      <c r="L40" s="182"/>
      <c r="M40" s="182"/>
      <c r="N40" s="163"/>
      <c r="O40" s="259">
        <f>IF($O$24="Y",IFERROR(E40*$E$10*'Emissions Factors'!B25*$O$16,""),"")</f>
        <v>18.194317349022882</v>
      </c>
      <c r="P40" s="259" t="str">
        <f>IF($Q$24="Y",IFERROR($E40*SUM($E$3,$E$4,$E$5)*('Emissions Factors'!$T$143*$P$16)/10^6,""),"")</f>
        <v/>
      </c>
      <c r="Q40" s="259"/>
      <c r="R40" s="258"/>
      <c r="T40" s="180">
        <f t="shared" si="2"/>
        <v>18.194317349022882</v>
      </c>
      <c r="U40" s="180">
        <f t="shared" si="3"/>
        <v>0</v>
      </c>
      <c r="V40" s="177"/>
      <c r="X40" s="180">
        <f t="shared" si="4"/>
        <v>18.194317349022882</v>
      </c>
      <c r="Y40" s="180">
        <f t="shared" si="5"/>
        <v>0</v>
      </c>
    </row>
    <row r="41" spans="1:25" ht="15.6" x14ac:dyDescent="0.3">
      <c r="A41" s="152">
        <v>2029</v>
      </c>
      <c r="B41" s="178">
        <f t="shared" si="0"/>
        <v>0</v>
      </c>
      <c r="C41" s="182">
        <f t="shared" si="7"/>
        <v>0</v>
      </c>
      <c r="D41" s="183"/>
      <c r="E41" s="179">
        <f t="shared" si="6"/>
        <v>148.55759620200536</v>
      </c>
      <c r="F41" s="183">
        <f t="shared" si="8"/>
        <v>23.443309375989614</v>
      </c>
      <c r="G41" s="247">
        <f t="shared" si="1"/>
        <v>0.56668950327844858</v>
      </c>
      <c r="H41" s="246"/>
      <c r="J41" s="182"/>
      <c r="K41" s="182"/>
      <c r="L41" s="182"/>
      <c r="M41" s="182"/>
      <c r="N41" s="163"/>
      <c r="O41" s="259">
        <f>IF($O$24="Y",IFERROR(E41*$E$10*'Emissions Factors'!B26*$O$16,""),"")</f>
        <v>21.486700860773322</v>
      </c>
      <c r="P41" s="259" t="str">
        <f>IF($Q$24="Y",IFERROR($E41*SUM($E$3,$E$4,$E$5)*('Emissions Factors'!$T$143*$P$16)/10^6,""),"")</f>
        <v/>
      </c>
      <c r="Q41" s="259"/>
      <c r="R41" s="258"/>
      <c r="T41" s="180">
        <f t="shared" si="2"/>
        <v>21.486700860773322</v>
      </c>
      <c r="U41" s="180">
        <f t="shared" si="3"/>
        <v>0</v>
      </c>
      <c r="V41" s="177"/>
      <c r="X41" s="180">
        <f t="shared" si="4"/>
        <v>21.486700860773322</v>
      </c>
      <c r="Y41" s="180">
        <f t="shared" si="5"/>
        <v>0</v>
      </c>
    </row>
    <row r="42" spans="1:25" ht="15.6" x14ac:dyDescent="0.3">
      <c r="A42" s="152">
        <v>2030</v>
      </c>
      <c r="B42" s="178">
        <f t="shared" si="0"/>
        <v>0</v>
      </c>
      <c r="C42" s="182">
        <f t="shared" si="7"/>
        <v>0</v>
      </c>
      <c r="D42" s="183"/>
      <c r="E42" s="179">
        <f t="shared" si="6"/>
        <v>173.8027214204244</v>
      </c>
      <c r="F42" s="183">
        <f t="shared" si="8"/>
        <v>25.245125218419048</v>
      </c>
      <c r="G42" s="247">
        <f t="shared" si="1"/>
        <v>0.56103089274974649</v>
      </c>
      <c r="H42" s="246"/>
      <c r="J42" s="182"/>
      <c r="K42" s="182"/>
      <c r="L42" s="182"/>
      <c r="M42" s="182"/>
      <c r="N42" s="163"/>
      <c r="O42" s="259">
        <f>IF($O$24="Y",IFERROR(E42*$E$10*'Emissions Factors'!B27*$O$16,""),"")</f>
        <v>25.008982857077264</v>
      </c>
      <c r="P42" s="259" t="str">
        <f>IF($Q$24="Y",IFERROR($E42*SUM($E$3,$E$4,$E$5)*('Emissions Factors'!$T$143*$P$16)/10^6,""),"")</f>
        <v/>
      </c>
      <c r="Q42" s="259"/>
      <c r="R42" s="258"/>
      <c r="T42" s="180">
        <f t="shared" si="2"/>
        <v>25.008982857077264</v>
      </c>
      <c r="U42" s="180">
        <f t="shared" si="3"/>
        <v>0</v>
      </c>
      <c r="V42" s="177"/>
      <c r="X42" s="180">
        <f t="shared" si="4"/>
        <v>25.008982857077264</v>
      </c>
      <c r="Y42" s="180">
        <f t="shared" si="5"/>
        <v>0</v>
      </c>
    </row>
    <row r="43" spans="1:25" ht="15.6" x14ac:dyDescent="0.3">
      <c r="A43" s="152">
        <v>2031</v>
      </c>
      <c r="B43" s="178">
        <f t="shared" si="0"/>
        <v>0</v>
      </c>
      <c r="C43" s="182">
        <f t="shared" si="7"/>
        <v>0</v>
      </c>
      <c r="D43" s="183"/>
      <c r="E43" s="179">
        <f t="shared" si="6"/>
        <v>200.45102324680957</v>
      </c>
      <c r="F43" s="183">
        <f t="shared" si="8"/>
        <v>26.648301826385165</v>
      </c>
      <c r="G43" s="247">
        <f t="shared" si="1"/>
        <v>0.55532214403360314</v>
      </c>
      <c r="H43" s="246"/>
      <c r="J43" s="182"/>
      <c r="K43" s="182"/>
      <c r="L43" s="182"/>
      <c r="M43" s="182"/>
      <c r="N43" s="163"/>
      <c r="O43" s="259">
        <f>IF($O$24="Y",IFERROR(E43*$E$10*'Emissions Factors'!B28*$O$16,""),"")</f>
        <v>28.68292525440577</v>
      </c>
      <c r="P43" s="259" t="str">
        <f>IF($Q$24="Y",IFERROR($E43*SUM($E$3,$E$4,$E$5)*('Emissions Factors'!$T$143*$P$16)/10^6,""),"")</f>
        <v/>
      </c>
      <c r="Q43" s="259"/>
      <c r="R43" s="258"/>
      <c r="T43" s="180">
        <f t="shared" si="2"/>
        <v>28.68292525440577</v>
      </c>
      <c r="U43" s="180">
        <f t="shared" si="3"/>
        <v>0</v>
      </c>
      <c r="V43" s="177"/>
      <c r="X43" s="180">
        <f t="shared" si="4"/>
        <v>28.68292525440577</v>
      </c>
      <c r="Y43" s="180">
        <f t="shared" si="5"/>
        <v>0</v>
      </c>
    </row>
    <row r="44" spans="1:25" ht="15.6" x14ac:dyDescent="0.3">
      <c r="A44" s="152">
        <v>2032</v>
      </c>
      <c r="B44" s="178">
        <f t="shared" si="0"/>
        <v>0</v>
      </c>
      <c r="C44" s="182">
        <f t="shared" si="7"/>
        <v>0</v>
      </c>
      <c r="D44" s="183"/>
      <c r="E44" s="179">
        <f t="shared" si="6"/>
        <v>228.76143567896258</v>
      </c>
      <c r="F44" s="183">
        <f t="shared" si="8"/>
        <v>28.310412432153015</v>
      </c>
      <c r="G44" s="247">
        <f t="shared" si="1"/>
        <v>0.54982889340009788</v>
      </c>
      <c r="H44" s="246"/>
      <c r="J44" s="182"/>
      <c r="K44" s="182"/>
      <c r="L44" s="182"/>
      <c r="M44" s="182"/>
      <c r="N44" s="163"/>
      <c r="O44" s="259">
        <f>IF($O$24="Y",IFERROR(E44*$E$10*'Emissions Factors'!B29*$O$16,""),"")</f>
        <v>32.560053921009604</v>
      </c>
      <c r="P44" s="259" t="str">
        <f>IF($Q$24="Y",IFERROR($E44*SUM($E$3,$E$4,$E$5)*('Emissions Factors'!$T$143*$P$16)/10^6,""),"")</f>
        <v/>
      </c>
      <c r="Q44" s="259"/>
      <c r="R44" s="258"/>
      <c r="T44" s="180">
        <f t="shared" si="2"/>
        <v>32.560053921009604</v>
      </c>
      <c r="U44" s="180">
        <f t="shared" si="3"/>
        <v>0</v>
      </c>
      <c r="V44" s="177"/>
      <c r="X44" s="180">
        <f t="shared" si="4"/>
        <v>32.560053921009604</v>
      </c>
      <c r="Y44" s="180">
        <f t="shared" si="5"/>
        <v>0</v>
      </c>
    </row>
    <row r="45" spans="1:25" ht="15.6" x14ac:dyDescent="0.3">
      <c r="A45" s="152">
        <v>2033</v>
      </c>
      <c r="B45" s="178">
        <f t="shared" si="0"/>
        <v>0</v>
      </c>
      <c r="C45" s="182">
        <f t="shared" si="7"/>
        <v>0</v>
      </c>
      <c r="D45" s="183"/>
      <c r="E45" s="179">
        <f t="shared" si="6"/>
        <v>258.2934351741809</v>
      </c>
      <c r="F45" s="183">
        <f t="shared" si="8"/>
        <v>29.531999495218315</v>
      </c>
      <c r="G45" s="247">
        <f t="shared" si="1"/>
        <v>0.54450259178337357</v>
      </c>
      <c r="H45" s="246"/>
      <c r="J45" s="182"/>
      <c r="K45" s="182"/>
      <c r="L45" s="182"/>
      <c r="M45" s="182"/>
      <c r="N45" s="163"/>
      <c r="O45" s="259">
        <f>IF($O$24="Y",IFERROR(E45*$E$10*'Emissions Factors'!B30*$O$16,""),"")</f>
        <v>36.568703724724948</v>
      </c>
      <c r="P45" s="259" t="str">
        <f>IF($Q$24="Y",IFERROR($E45*SUM($E$3,$E$4,$E$5)*('Emissions Factors'!$T$143*$P$16)/10^6,""),"")</f>
        <v/>
      </c>
      <c r="Q45" s="259"/>
      <c r="R45" s="258"/>
      <c r="T45" s="180">
        <f t="shared" si="2"/>
        <v>36.568703724724948</v>
      </c>
      <c r="U45" s="180">
        <f t="shared" si="3"/>
        <v>0</v>
      </c>
      <c r="V45" s="177"/>
      <c r="X45" s="180">
        <f t="shared" si="4"/>
        <v>36.568703724724948</v>
      </c>
      <c r="Y45" s="180">
        <f t="shared" si="5"/>
        <v>0</v>
      </c>
    </row>
    <row r="46" spans="1:25" ht="15.6" x14ac:dyDescent="0.3">
      <c r="A46" s="152">
        <v>2034</v>
      </c>
      <c r="B46" s="178">
        <f t="shared" si="0"/>
        <v>0</v>
      </c>
      <c r="C46" s="182">
        <f t="shared" si="7"/>
        <v>0</v>
      </c>
      <c r="D46" s="183"/>
      <c r="E46" s="179">
        <f t="shared" si="6"/>
        <v>288.63077367696263</v>
      </c>
      <c r="F46" s="183">
        <f t="shared" si="8"/>
        <v>30.337338502781733</v>
      </c>
      <c r="G46" s="247">
        <f t="shared" si="1"/>
        <v>0.53936070999512375</v>
      </c>
      <c r="H46" s="246"/>
      <c r="J46" s="182"/>
      <c r="K46" s="182"/>
      <c r="L46" s="182"/>
      <c r="M46" s="182"/>
      <c r="N46" s="163"/>
      <c r="O46" s="259">
        <f>IF($O$24="Y",IFERROR(E46*$E$10*'Emissions Factors'!B31*$O$16,""),"")</f>
        <v>40.647718811831005</v>
      </c>
      <c r="P46" s="259" t="str">
        <f>IF($Q$24="Y",IFERROR($E46*SUM($E$3,$E$4,$E$5)*('Emissions Factors'!$T$143*$P$16)/10^6,""),"")</f>
        <v/>
      </c>
      <c r="Q46" s="259"/>
      <c r="R46" s="258"/>
      <c r="T46" s="180">
        <f t="shared" si="2"/>
        <v>40.647718811831005</v>
      </c>
      <c r="U46" s="180">
        <f t="shared" si="3"/>
        <v>0</v>
      </c>
      <c r="V46" s="177"/>
      <c r="X46" s="180">
        <f t="shared" si="4"/>
        <v>40.647718811831005</v>
      </c>
      <c r="Y46" s="180">
        <f t="shared" si="5"/>
        <v>0</v>
      </c>
    </row>
    <row r="47" spans="1:25" ht="15.6" x14ac:dyDescent="0.3">
      <c r="A47" s="152">
        <v>2035</v>
      </c>
      <c r="B47" s="178">
        <f t="shared" si="0"/>
        <v>0</v>
      </c>
      <c r="C47" s="182">
        <f t="shared" si="7"/>
        <v>0</v>
      </c>
      <c r="D47" s="183"/>
      <c r="E47" s="179">
        <f t="shared" si="6"/>
        <v>319.45476141960211</v>
      </c>
      <c r="F47" s="183">
        <f t="shared" si="8"/>
        <v>30.823987742639474</v>
      </c>
      <c r="G47" s="247">
        <f t="shared" si="1"/>
        <v>0.53437656297389402</v>
      </c>
      <c r="H47" s="246"/>
      <c r="J47" s="182"/>
      <c r="K47" s="182"/>
      <c r="L47" s="182"/>
      <c r="M47" s="182"/>
      <c r="N47" s="163"/>
      <c r="O47" s="259">
        <f>IF($O$24="Y",IFERROR(E47*$E$10*'Emissions Factors'!B32*$O$16,""),"")</f>
        <v>44.744220172562947</v>
      </c>
      <c r="P47" s="259" t="str">
        <f>IF($Q$24="Y",IFERROR($E47*SUM($E$3,$E$4,$E$5)*('Emissions Factors'!$T$143*$P$16)/10^6,""),"")</f>
        <v/>
      </c>
      <c r="Q47" s="259"/>
      <c r="R47" s="258"/>
      <c r="T47" s="180">
        <f t="shared" si="2"/>
        <v>44.744220172562947</v>
      </c>
      <c r="U47" s="180">
        <f t="shared" si="3"/>
        <v>0</v>
      </c>
      <c r="V47" s="177"/>
      <c r="X47" s="180">
        <f t="shared" si="4"/>
        <v>44.744220172562947</v>
      </c>
      <c r="Y47" s="180">
        <f t="shared" si="5"/>
        <v>0</v>
      </c>
    </row>
    <row r="48" spans="1:25" ht="15.6" x14ac:dyDescent="0.3">
      <c r="A48" s="152">
        <v>2036</v>
      </c>
      <c r="B48" s="178">
        <f t="shared" si="0"/>
        <v>0</v>
      </c>
      <c r="C48" s="182">
        <f t="shared" si="7"/>
        <v>0</v>
      </c>
      <c r="D48" s="183"/>
      <c r="E48" s="179">
        <f t="shared" si="6"/>
        <v>350.6061701479739</v>
      </c>
      <c r="F48" s="183">
        <f t="shared" si="8"/>
        <v>31.151408728371791</v>
      </c>
      <c r="G48" s="247">
        <f t="shared" si="1"/>
        <v>0.52949152768193841</v>
      </c>
      <c r="H48" s="246"/>
      <c r="J48" s="182"/>
      <c r="K48" s="182"/>
      <c r="L48" s="182"/>
      <c r="M48" s="182"/>
      <c r="N48" s="163"/>
      <c r="O48" s="259">
        <f>IF($O$24="Y",IFERROR(E48*$E$10*'Emissions Factors'!B33*$O$16,""),"")</f>
        <v>48.853051819051267</v>
      </c>
      <c r="P48" s="259" t="str">
        <f>IF($Q$24="Y",IFERROR($E48*SUM($E$3,$E$4,$E$5)*('Emissions Factors'!$T$143*$P$16)/10^6,""),"")</f>
        <v/>
      </c>
      <c r="Q48" s="259"/>
      <c r="R48" s="258"/>
      <c r="T48" s="180">
        <f t="shared" si="2"/>
        <v>48.853051819051267</v>
      </c>
      <c r="U48" s="180">
        <f t="shared" si="3"/>
        <v>0</v>
      </c>
      <c r="V48" s="177"/>
      <c r="X48" s="180">
        <f t="shared" si="4"/>
        <v>48.853051819051267</v>
      </c>
      <c r="Y48" s="180">
        <f t="shared" si="5"/>
        <v>0</v>
      </c>
    </row>
    <row r="49" spans="1:25" ht="15.6" x14ac:dyDescent="0.3">
      <c r="A49" s="152">
        <v>2037</v>
      </c>
      <c r="B49" s="178">
        <f t="shared" si="0"/>
        <v>0</v>
      </c>
      <c r="C49" s="182">
        <f t="shared" si="7"/>
        <v>0</v>
      </c>
      <c r="D49" s="183"/>
      <c r="E49" s="179">
        <f t="shared" si="6"/>
        <v>382.1172592578526</v>
      </c>
      <c r="F49" s="183">
        <f t="shared" si="8"/>
        <v>31.511089109878696</v>
      </c>
      <c r="G49" s="247">
        <f t="shared" si="1"/>
        <v>0.52464311446717415</v>
      </c>
      <c r="H49" s="246"/>
      <c r="J49" s="182"/>
      <c r="K49" s="182"/>
      <c r="L49" s="182"/>
      <c r="M49" s="182"/>
      <c r="N49" s="163"/>
      <c r="O49" s="259">
        <f>IF($O$24="Y",IFERROR(E49*$E$10*'Emissions Factors'!B34*$O$16,""),"")</f>
        <v>52.959870298142562</v>
      </c>
      <c r="P49" s="259" t="str">
        <f>IF($Q$24="Y",IFERROR($E49*SUM($E$3,$E$4,$E$5)*('Emissions Factors'!$T$143*$P$16)/10^6,""),"")</f>
        <v/>
      </c>
      <c r="Q49" s="259"/>
      <c r="R49" s="258"/>
      <c r="T49" s="180">
        <f t="shared" si="2"/>
        <v>52.959870298142562</v>
      </c>
      <c r="U49" s="180">
        <f t="shared" si="3"/>
        <v>0</v>
      </c>
      <c r="V49" s="177"/>
      <c r="X49" s="180">
        <f t="shared" si="4"/>
        <v>52.959870298142562</v>
      </c>
      <c r="Y49" s="180">
        <f t="shared" si="5"/>
        <v>0</v>
      </c>
    </row>
    <row r="50" spans="1:25" ht="15.6" x14ac:dyDescent="0.3">
      <c r="A50" s="152">
        <v>2038</v>
      </c>
      <c r="B50" s="178">
        <f t="shared" si="0"/>
        <v>0</v>
      </c>
      <c r="C50" s="182">
        <f t="shared" si="7"/>
        <v>0</v>
      </c>
      <c r="D50" s="183"/>
      <c r="E50" s="179">
        <f t="shared" si="6"/>
        <v>414.10368985463555</v>
      </c>
      <c r="F50" s="183">
        <f t="shared" si="8"/>
        <v>31.986430596782952</v>
      </c>
      <c r="G50" s="247">
        <f t="shared" si="1"/>
        <v>0.51979257076957319</v>
      </c>
      <c r="H50" s="246"/>
      <c r="J50" s="182"/>
      <c r="K50" s="182"/>
      <c r="L50" s="182"/>
      <c r="M50" s="182"/>
      <c r="N50" s="163"/>
      <c r="O50" s="259">
        <f>IF($O$24="Y",IFERROR(E50*$E$10*'Emissions Factors'!B35*$O$16,""),"")</f>
        <v>57.085689360567827</v>
      </c>
      <c r="P50" s="259" t="str">
        <f>IF($Q$24="Y",IFERROR($E50*SUM($E$3,$E$4,$E$5)*('Emissions Factors'!$T$143*$P$16)/10^6,""),"")</f>
        <v/>
      </c>
      <c r="Q50" s="259"/>
      <c r="R50" s="258"/>
      <c r="T50" s="180">
        <f t="shared" si="2"/>
        <v>57.085689360567827</v>
      </c>
      <c r="U50" s="180">
        <f t="shared" si="3"/>
        <v>0</v>
      </c>
      <c r="V50" s="177"/>
      <c r="X50" s="180">
        <f t="shared" si="4"/>
        <v>57.085689360567827</v>
      </c>
      <c r="Y50" s="180">
        <f t="shared" si="5"/>
        <v>0</v>
      </c>
    </row>
    <row r="51" spans="1:25" ht="15.6" x14ac:dyDescent="0.3">
      <c r="A51" s="152">
        <v>2039</v>
      </c>
      <c r="B51" s="178">
        <f t="shared" si="0"/>
        <v>0</v>
      </c>
      <c r="C51" s="182">
        <f t="shared" si="7"/>
        <v>0</v>
      </c>
      <c r="D51" s="183"/>
      <c r="E51" s="179">
        <f t="shared" si="6"/>
        <v>446.78845111416513</v>
      </c>
      <c r="F51" s="183">
        <f t="shared" si="8"/>
        <v>32.68476125952958</v>
      </c>
      <c r="G51" s="247">
        <f t="shared" si="1"/>
        <v>0.51491124917105202</v>
      </c>
      <c r="H51" s="246"/>
      <c r="J51" s="182"/>
      <c r="K51" s="182"/>
      <c r="L51" s="182"/>
      <c r="M51" s="182"/>
      <c r="N51" s="163"/>
      <c r="O51" s="259">
        <f>IF($O$24="Y",IFERROR(E51*$E$10*'Emissions Factors'!B36*$O$16,""),"")</f>
        <v>61.258129621822015</v>
      </c>
      <c r="P51" s="259" t="str">
        <f>IF($Q$24="Y",IFERROR($E51*SUM($E$3,$E$4,$E$5)*('Emissions Factors'!$T$143*$P$16)/10^6,""),"")</f>
        <v/>
      </c>
      <c r="Q51" s="259"/>
      <c r="R51" s="258"/>
      <c r="T51" s="180">
        <f t="shared" si="2"/>
        <v>61.258129621822015</v>
      </c>
      <c r="U51" s="180">
        <f t="shared" si="3"/>
        <v>0</v>
      </c>
      <c r="V51" s="177"/>
      <c r="X51" s="180">
        <f t="shared" si="4"/>
        <v>61.258129621822015</v>
      </c>
      <c r="Y51" s="180">
        <f t="shared" si="5"/>
        <v>0</v>
      </c>
    </row>
    <row r="52" spans="1:25" ht="15.6" x14ac:dyDescent="0.3">
      <c r="A52" s="152">
        <v>2040</v>
      </c>
      <c r="B52" s="178">
        <f t="shared" si="0"/>
        <v>0</v>
      </c>
      <c r="C52" s="182">
        <f t="shared" si="7"/>
        <v>0</v>
      </c>
      <c r="D52" s="183"/>
      <c r="E52" s="179">
        <f t="shared" si="6"/>
        <v>479.91640879948716</v>
      </c>
      <c r="F52" s="183">
        <f t="shared" si="8"/>
        <v>33.127957685322031</v>
      </c>
      <c r="G52" s="247">
        <f t="shared" si="1"/>
        <v>0.5098676485192547</v>
      </c>
      <c r="H52" s="246"/>
      <c r="J52" s="182"/>
      <c r="K52" s="182"/>
      <c r="L52" s="182"/>
      <c r="M52" s="182"/>
      <c r="N52" s="163"/>
      <c r="O52" s="259">
        <f>IF($O$24="Y",IFERROR(E52*$E$10*'Emissions Factors'!B37*$O$16,""),"")</f>
        <v>65.416001603391535</v>
      </c>
      <c r="P52" s="259" t="str">
        <f>IF($Q$24="Y",IFERROR($E52*SUM($E$3,$E$4,$E$5)*('Emissions Factors'!$T$143*$P$16)/10^6,""),"")</f>
        <v/>
      </c>
      <c r="Q52" s="259"/>
      <c r="R52" s="258"/>
      <c r="T52" s="180">
        <f t="shared" si="2"/>
        <v>65.416001603391535</v>
      </c>
      <c r="U52" s="180">
        <f t="shared" si="3"/>
        <v>0</v>
      </c>
      <c r="V52" s="177"/>
      <c r="X52" s="180">
        <f t="shared" si="4"/>
        <v>65.416001603391535</v>
      </c>
      <c r="Y52" s="180">
        <f t="shared" si="5"/>
        <v>0</v>
      </c>
    </row>
    <row r="53" spans="1:25" ht="15.6" x14ac:dyDescent="0.3">
      <c r="A53" s="152">
        <v>2041</v>
      </c>
      <c r="B53" s="178">
        <f t="shared" si="0"/>
        <v>0</v>
      </c>
      <c r="C53" s="182">
        <f t="shared" si="7"/>
        <v>0</v>
      </c>
      <c r="D53" s="183"/>
      <c r="E53" s="179">
        <f t="shared" si="6"/>
        <v>514.84660154227322</v>
      </c>
      <c r="F53" s="183">
        <f t="shared" si="8"/>
        <v>34.930192742786062</v>
      </c>
      <c r="G53" s="247">
        <f t="shared" si="1"/>
        <v>0.50500535590131168</v>
      </c>
      <c r="H53" s="246"/>
      <c r="J53" s="182"/>
      <c r="K53" s="182"/>
      <c r="L53" s="182"/>
      <c r="M53" s="182"/>
      <c r="N53" s="163"/>
      <c r="O53" s="259">
        <f>IF($O$24="Y",IFERROR(E53*$E$10*'Emissions Factors'!B38*$O$16,""),"")</f>
        <v>69.820963871776428</v>
      </c>
      <c r="P53" s="259" t="str">
        <f>IF($Q$24="Y",IFERROR($E53*SUM($E$3,$E$4,$E$5)*('Emissions Factors'!$T$143*$P$16)/10^6,""),"")</f>
        <v/>
      </c>
      <c r="Q53" s="259"/>
      <c r="R53" s="258"/>
      <c r="T53" s="180">
        <f t="shared" si="2"/>
        <v>69.820963871776428</v>
      </c>
      <c r="U53" s="180">
        <f t="shared" si="3"/>
        <v>0</v>
      </c>
      <c r="V53" s="177"/>
      <c r="X53" s="180">
        <f t="shared" si="4"/>
        <v>69.820963871776428</v>
      </c>
      <c r="Y53" s="180">
        <f t="shared" si="5"/>
        <v>0</v>
      </c>
    </row>
    <row r="54" spans="1:25" ht="15.6" x14ac:dyDescent="0.3">
      <c r="A54" s="152">
        <v>2042</v>
      </c>
      <c r="B54" s="178">
        <f t="shared" si="0"/>
        <v>0</v>
      </c>
      <c r="C54" s="182">
        <f t="shared" si="7"/>
        <v>0</v>
      </c>
      <c r="D54" s="183"/>
      <c r="E54" s="179">
        <f t="shared" si="6"/>
        <v>550.23889437207743</v>
      </c>
      <c r="F54" s="183">
        <f t="shared" si="8"/>
        <v>35.392292829804205</v>
      </c>
      <c r="G54" s="247">
        <f t="shared" si="1"/>
        <v>0.49997433648838296</v>
      </c>
      <c r="H54" s="246"/>
      <c r="J54" s="182"/>
      <c r="K54" s="182"/>
      <c r="L54" s="182"/>
      <c r="M54" s="182"/>
      <c r="N54" s="163"/>
      <c r="O54" s="259">
        <f>IF($O$24="Y",IFERROR(E54*$E$10*'Emissions Factors'!B39*$O$16,""),"")</f>
        <v>74.20864494566348</v>
      </c>
      <c r="P54" s="259" t="str">
        <f>IF($Q$24="Y",IFERROR($E54*SUM($E$3,$E$4,$E$5)*('Emissions Factors'!$T$143*$P$16)/10^6,""),"")</f>
        <v/>
      </c>
      <c r="Q54" s="259"/>
      <c r="R54" s="258"/>
      <c r="T54" s="180">
        <f t="shared" si="2"/>
        <v>74.20864494566348</v>
      </c>
      <c r="U54" s="180">
        <f t="shared" si="3"/>
        <v>0</v>
      </c>
      <c r="V54" s="177"/>
      <c r="X54" s="180">
        <f t="shared" si="4"/>
        <v>74.20864494566348</v>
      </c>
      <c r="Y54" s="180">
        <f t="shared" si="5"/>
        <v>0</v>
      </c>
    </row>
    <row r="55" spans="1:25" ht="15.6" x14ac:dyDescent="0.3">
      <c r="A55" s="152">
        <v>2043</v>
      </c>
      <c r="B55" s="178">
        <f t="shared" si="0"/>
        <v>0</v>
      </c>
      <c r="C55" s="182">
        <f t="shared" si="7"/>
        <v>0</v>
      </c>
      <c r="D55" s="183"/>
      <c r="E55" s="179">
        <f t="shared" si="6"/>
        <v>586.63129691422171</v>
      </c>
      <c r="F55" s="183">
        <f t="shared" si="8"/>
        <v>36.392402542144282</v>
      </c>
      <c r="G55" s="247">
        <f t="shared" si="1"/>
        <v>0.49487045864826174</v>
      </c>
      <c r="H55" s="246"/>
      <c r="J55" s="182"/>
      <c r="K55" s="182"/>
      <c r="L55" s="182"/>
      <c r="M55" s="182"/>
      <c r="N55" s="163"/>
      <c r="O55" s="259">
        <f>IF($O$24="Y",IFERROR(E55*$E$10*'Emissions Factors'!B40*$O$16,""),"")</f>
        <v>78.675337464597249</v>
      </c>
      <c r="P55" s="259" t="str">
        <f>IF($Q$24="Y",IFERROR($E55*SUM($E$3,$E$4,$E$5)*('Emissions Factors'!$T$143*$P$16)/10^6,""),"")</f>
        <v/>
      </c>
      <c r="Q55" s="259"/>
      <c r="R55" s="258"/>
      <c r="T55" s="180">
        <f t="shared" si="2"/>
        <v>78.675337464597249</v>
      </c>
      <c r="U55" s="180">
        <f t="shared" si="3"/>
        <v>0</v>
      </c>
      <c r="V55" s="177"/>
      <c r="X55" s="180">
        <f t="shared" si="4"/>
        <v>78.675337464597249</v>
      </c>
      <c r="Y55" s="180">
        <f t="shared" si="5"/>
        <v>0</v>
      </c>
    </row>
    <row r="56" spans="1:25" ht="15.6" x14ac:dyDescent="0.3">
      <c r="A56" s="152">
        <v>2044</v>
      </c>
      <c r="B56" s="178">
        <f t="shared" si="0"/>
        <v>0</v>
      </c>
      <c r="C56" s="182">
        <f t="shared" si="7"/>
        <v>0</v>
      </c>
      <c r="D56" s="183"/>
      <c r="E56" s="179">
        <f t="shared" si="6"/>
        <v>624.1349508384618</v>
      </c>
      <c r="F56" s="183">
        <f t="shared" si="8"/>
        <v>37.503653924240098</v>
      </c>
      <c r="G56" s="247">
        <f t="shared" si="1"/>
        <v>0.48967607409525904</v>
      </c>
      <c r="H56" s="246"/>
      <c r="J56" s="182"/>
      <c r="K56" s="182"/>
      <c r="L56" s="182"/>
      <c r="M56" s="182"/>
      <c r="N56" s="163"/>
      <c r="O56" s="259">
        <f>IF($O$24="Y",IFERROR(E56*$E$10*'Emissions Factors'!B41*$O$16,""),"")</f>
        <v>83.232717598291515</v>
      </c>
      <c r="P56" s="259" t="str">
        <f>IF($Q$24="Y",IFERROR($E56*SUM($E$3,$E$4,$E$5)*('Emissions Factors'!$T$143*$P$16)/10^6,""),"")</f>
        <v/>
      </c>
      <c r="Q56" s="259"/>
      <c r="R56" s="258"/>
      <c r="T56" s="180">
        <f t="shared" si="2"/>
        <v>83.232717598291515</v>
      </c>
      <c r="U56" s="180">
        <f t="shared" si="3"/>
        <v>0</v>
      </c>
      <c r="V56" s="177"/>
      <c r="X56" s="180">
        <f t="shared" si="4"/>
        <v>83.232717598291515</v>
      </c>
      <c r="Y56" s="180">
        <f t="shared" si="5"/>
        <v>0</v>
      </c>
    </row>
    <row r="57" spans="1:25" ht="15.6" x14ac:dyDescent="0.3">
      <c r="A57" s="152">
        <v>2045</v>
      </c>
      <c r="B57" s="178">
        <f t="shared" si="0"/>
        <v>0</v>
      </c>
      <c r="C57" s="182">
        <f t="shared" si="7"/>
        <v>0</v>
      </c>
      <c r="D57" s="183"/>
      <c r="E57" s="179">
        <f t="shared" si="6"/>
        <v>662.85424981343419</v>
      </c>
      <c r="F57" s="183">
        <f t="shared" si="8"/>
        <v>38.719298974972389</v>
      </c>
      <c r="G57" s="247">
        <f t="shared" si="1"/>
        <v>0.48438807771258324</v>
      </c>
      <c r="H57" s="246"/>
      <c r="J57" s="182"/>
      <c r="K57" s="182"/>
      <c r="L57" s="182"/>
      <c r="M57" s="182"/>
      <c r="N57" s="163"/>
      <c r="O57" s="259">
        <f>IF($O$24="Y",IFERROR(E57*$E$10*'Emissions Factors'!B42*$O$16,""),"")</f>
        <v>87.8730424557573</v>
      </c>
      <c r="P57" s="259" t="str">
        <f>IF($Q$24="Y",IFERROR($E57*SUM($E$3,$E$4,$E$5)*('Emissions Factors'!$T$143*$P$16)/10^6,""),"")</f>
        <v/>
      </c>
      <c r="Q57" s="259"/>
      <c r="R57" s="258"/>
      <c r="T57" s="180">
        <f t="shared" si="2"/>
        <v>87.8730424557573</v>
      </c>
      <c r="U57" s="180">
        <f t="shared" si="3"/>
        <v>0</v>
      </c>
      <c r="V57" s="177"/>
      <c r="X57" s="180">
        <f t="shared" si="4"/>
        <v>87.8730424557573</v>
      </c>
      <c r="Y57" s="180">
        <f t="shared" si="5"/>
        <v>0</v>
      </c>
    </row>
    <row r="58" spans="1:25" ht="15.6" x14ac:dyDescent="0.3">
      <c r="A58" s="152">
        <v>2046</v>
      </c>
      <c r="B58" s="178">
        <f t="shared" si="0"/>
        <v>0</v>
      </c>
      <c r="C58" s="182">
        <f t="shared" si="7"/>
        <v>0</v>
      </c>
      <c r="D58" s="183"/>
      <c r="E58" s="179">
        <f t="shared" si="6"/>
        <v>702.86153855267719</v>
      </c>
      <c r="F58" s="183">
        <f t="shared" si="8"/>
        <v>40.007288739242995</v>
      </c>
      <c r="G58" s="247">
        <f t="shared" si="1"/>
        <v>0.47902387827036097</v>
      </c>
      <c r="H58" s="246"/>
      <c r="J58" s="182"/>
      <c r="K58" s="182"/>
      <c r="L58" s="182"/>
      <c r="M58" s="182"/>
      <c r="N58" s="163"/>
      <c r="O58" s="259">
        <f>IF($O$24="Y",IFERROR(E58*$E$10*'Emissions Factors'!B43*$O$16,""),"")</f>
        <v>92.656099796319907</v>
      </c>
      <c r="P58" s="259" t="str">
        <f>IF($Q$24="Y",IFERROR($E58*SUM($E$3,$E$4,$E$5)*('Emissions Factors'!$T$143*$P$16)/10^6,""),"")</f>
        <v/>
      </c>
      <c r="Q58" s="259"/>
      <c r="R58" s="258"/>
      <c r="T58" s="180">
        <f t="shared" si="2"/>
        <v>92.656099796319907</v>
      </c>
      <c r="U58" s="180">
        <f t="shared" si="3"/>
        <v>0</v>
      </c>
      <c r="V58" s="177"/>
      <c r="X58" s="180">
        <f t="shared" si="4"/>
        <v>92.656099796319907</v>
      </c>
      <c r="Y58" s="180">
        <f t="shared" si="5"/>
        <v>0</v>
      </c>
    </row>
    <row r="59" spans="1:25" ht="15.6" x14ac:dyDescent="0.3">
      <c r="A59" s="152">
        <v>2047</v>
      </c>
      <c r="B59" s="178">
        <f t="shared" si="0"/>
        <v>0</v>
      </c>
      <c r="C59" s="182">
        <f t="shared" si="7"/>
        <v>0</v>
      </c>
      <c r="D59" s="183"/>
      <c r="E59" s="179">
        <f t="shared" si="6"/>
        <v>744.22123572078385</v>
      </c>
      <c r="F59" s="183">
        <f t="shared" si="8"/>
        <v>41.359697168106663</v>
      </c>
      <c r="G59" s="247">
        <f t="shared" si="1"/>
        <v>0.47360235272644763</v>
      </c>
      <c r="H59" s="246"/>
      <c r="J59" s="182"/>
      <c r="K59" s="182"/>
      <c r="L59" s="182"/>
      <c r="M59" s="182"/>
      <c r="N59" s="163"/>
      <c r="O59" s="259">
        <f>IF($O$24="Y",IFERROR(E59*$E$10*'Emissions Factors'!B44*$O$16,""),"")</f>
        <v>97.531936704461017</v>
      </c>
      <c r="P59" s="259" t="str">
        <f>IF($Q$24="Y",IFERROR($E59*SUM($E$3,$E$4,$E$5)*('Emissions Factors'!$T$143*$P$16)/10^6,""),"")</f>
        <v/>
      </c>
      <c r="Q59" s="259"/>
      <c r="R59" s="258"/>
      <c r="T59" s="180">
        <f t="shared" si="2"/>
        <v>97.531936704461017</v>
      </c>
      <c r="U59" s="180">
        <f t="shared" si="3"/>
        <v>0</v>
      </c>
      <c r="V59" s="177"/>
      <c r="X59" s="180">
        <f t="shared" si="4"/>
        <v>97.531936704461017</v>
      </c>
      <c r="Y59" s="180">
        <f t="shared" si="5"/>
        <v>0</v>
      </c>
    </row>
    <row r="60" spans="1:25" ht="15.6" x14ac:dyDescent="0.3">
      <c r="A60" s="152">
        <v>2048</v>
      </c>
      <c r="B60" s="178">
        <f t="shared" si="0"/>
        <v>0</v>
      </c>
      <c r="C60" s="182">
        <f t="shared" si="7"/>
        <v>0</v>
      </c>
      <c r="D60" s="183"/>
      <c r="E60" s="179">
        <f t="shared" si="6"/>
        <v>787.02063548883268</v>
      </c>
      <c r="F60" s="183">
        <f t="shared" si="8"/>
        <v>42.799399768048829</v>
      </c>
      <c r="G60" s="247">
        <f t="shared" si="1"/>
        <v>0.46812977711250409</v>
      </c>
      <c r="H60" s="246"/>
      <c r="J60" s="182"/>
      <c r="K60" s="182"/>
      <c r="L60" s="182"/>
      <c r="M60" s="182"/>
      <c r="N60" s="163"/>
      <c r="O60" s="259">
        <f>IF($O$24="Y",IFERROR(E60*$E$10*'Emissions Factors'!B45*$O$16,""),"")</f>
        <v>102.52543316102212</v>
      </c>
      <c r="P60" s="259" t="str">
        <f>IF($Q$24="Y",IFERROR($E60*SUM($E$3,$E$4,$E$5)*('Emissions Factors'!$T$143*$P$16)/10^6,""),"")</f>
        <v/>
      </c>
      <c r="Q60" s="259"/>
      <c r="R60" s="258"/>
      <c r="T60" s="180">
        <f t="shared" si="2"/>
        <v>102.52543316102212</v>
      </c>
      <c r="U60" s="180">
        <f t="shared" si="3"/>
        <v>0</v>
      </c>
      <c r="V60" s="177"/>
      <c r="X60" s="180">
        <f t="shared" si="4"/>
        <v>102.52543316102212</v>
      </c>
      <c r="Y60" s="180">
        <f t="shared" si="5"/>
        <v>0</v>
      </c>
    </row>
    <row r="61" spans="1:25" ht="15.6" x14ac:dyDescent="0.3">
      <c r="A61" s="152">
        <v>2049</v>
      </c>
      <c r="B61" s="178">
        <f t="shared" si="0"/>
        <v>0</v>
      </c>
      <c r="C61" s="182">
        <f t="shared" si="7"/>
        <v>0</v>
      </c>
      <c r="D61" s="183"/>
      <c r="E61" s="179">
        <f t="shared" si="6"/>
        <v>831.3502860647443</v>
      </c>
      <c r="F61" s="183">
        <f t="shared" si="8"/>
        <v>44.329650575911614</v>
      </c>
      <c r="G61" s="247">
        <f t="shared" si="1"/>
        <v>0.46261309348945712</v>
      </c>
      <c r="H61" s="246"/>
      <c r="J61" s="182"/>
      <c r="K61" s="182"/>
      <c r="L61" s="182"/>
      <c r="M61" s="182"/>
      <c r="N61" s="163"/>
      <c r="O61" s="259">
        <f>IF($O$24="Y",IFERROR(E61*$E$10*'Emissions Factors'!B46*$O$16,""),"")</f>
        <v>107.74205292095367</v>
      </c>
      <c r="P61" s="259" t="str">
        <f>IF($Q$24="Y",IFERROR($E61*SUM($E$3,$E$4,$E$5)*('Emissions Factors'!$T$143*$P$16)/10^6,""),"")</f>
        <v/>
      </c>
      <c r="Q61" s="259"/>
      <c r="R61" s="258"/>
      <c r="T61" s="180">
        <f t="shared" si="2"/>
        <v>107.74205292095367</v>
      </c>
      <c r="U61" s="180">
        <f t="shared" si="3"/>
        <v>0</v>
      </c>
      <c r="V61" s="177"/>
      <c r="X61" s="180">
        <f t="shared" si="4"/>
        <v>107.74205292095367</v>
      </c>
      <c r="Y61" s="180">
        <f t="shared" si="5"/>
        <v>0</v>
      </c>
    </row>
    <row r="62" spans="1:25" ht="15.6" x14ac:dyDescent="0.3">
      <c r="A62" s="152">
        <v>2050</v>
      </c>
      <c r="B62" s="178">
        <f t="shared" si="0"/>
        <v>0</v>
      </c>
      <c r="C62" s="182">
        <f t="shared" si="7"/>
        <v>0</v>
      </c>
      <c r="D62" s="183"/>
      <c r="E62" s="179">
        <f t="shared" si="6"/>
        <v>877.75047197837591</v>
      </c>
      <c r="F62" s="183">
        <f t="shared" si="8"/>
        <v>46.400185913631617</v>
      </c>
      <c r="G62" s="247">
        <f t="shared" si="1"/>
        <v>0.45713666684260756</v>
      </c>
      <c r="H62" s="246"/>
      <c r="J62" s="182"/>
      <c r="K62" s="182"/>
      <c r="L62" s="182"/>
      <c r="M62" s="182"/>
      <c r="N62" s="163"/>
      <c r="O62" s="259">
        <f>IF($O$24="Y",IFERROR(E62*$E$10*'Emissions Factors'!B47*$O$16,""),"")</f>
        <v>113.36426788975186</v>
      </c>
      <c r="P62" s="259" t="str">
        <f>IF($Q$24="Y",IFERROR($E62*SUM($E$3,$E$4,$E$5)*('Emissions Factors'!$T$143*$P$16)/10^6,""),"")</f>
        <v/>
      </c>
      <c r="Q62" s="259"/>
      <c r="R62" s="258"/>
      <c r="T62" s="180">
        <f t="shared" si="2"/>
        <v>113.36426788975186</v>
      </c>
      <c r="U62" s="180">
        <f t="shared" si="3"/>
        <v>0</v>
      </c>
      <c r="V62" s="177"/>
      <c r="X62" s="180">
        <f t="shared" si="4"/>
        <v>113.36426788975186</v>
      </c>
      <c r="Y62" s="180">
        <f t="shared" si="5"/>
        <v>0</v>
      </c>
    </row>
    <row r="63" spans="1:25" ht="15.6" x14ac:dyDescent="0.3">
      <c r="A63" s="152">
        <v>2051</v>
      </c>
      <c r="B63" s="178">
        <f t="shared" si="0"/>
        <v>0</v>
      </c>
      <c r="C63" s="182">
        <f t="shared" si="7"/>
        <v>0</v>
      </c>
      <c r="D63" s="183"/>
      <c r="E63" s="179">
        <f t="shared" si="6"/>
        <v>924.91014463825775</v>
      </c>
      <c r="F63" s="183">
        <f t="shared" si="8"/>
        <v>47.159672659881835</v>
      </c>
      <c r="G63" s="247">
        <f t="shared" si="1"/>
        <v>0.45150566089071231</v>
      </c>
      <c r="H63" s="246"/>
      <c r="J63" s="182"/>
      <c r="K63" s="182"/>
      <c r="L63" s="182"/>
      <c r="M63" s="182"/>
      <c r="N63" s="163"/>
      <c r="O63" s="259">
        <f>IF($O$24="Y",IFERROR(E63*$E$10*'Emissions Factors'!B48*$O$16,""),"")</f>
        <v>118.99852492327774</v>
      </c>
      <c r="P63" s="259" t="str">
        <f>IF($Q$24="Y",IFERROR($E63*SUM($E$3,$E$4,$E$5)*('Emissions Factors'!$T$143*$P$16)/10^6,""),"")</f>
        <v/>
      </c>
      <c r="Q63" s="259"/>
      <c r="R63" s="258"/>
      <c r="T63" s="180" t="str">
        <f t="shared" si="2"/>
        <v/>
      </c>
      <c r="U63" s="180" t="str">
        <f t="shared" si="3"/>
        <v/>
      </c>
      <c r="V63" s="177"/>
      <c r="X63" s="180">
        <f t="shared" si="4"/>
        <v>118.99852492327774</v>
      </c>
      <c r="Y63" s="180">
        <f t="shared" si="5"/>
        <v>0</v>
      </c>
    </row>
    <row r="64" spans="1:25" ht="15.6" x14ac:dyDescent="0.3">
      <c r="A64" s="152">
        <v>2052</v>
      </c>
      <c r="B64" s="178">
        <f t="shared" si="0"/>
        <v>0</v>
      </c>
      <c r="C64" s="182">
        <f t="shared" si="7"/>
        <v>0</v>
      </c>
      <c r="D64" s="183"/>
      <c r="E64" s="179">
        <f t="shared" si="6"/>
        <v>974.25996687601014</v>
      </c>
      <c r="F64" s="183">
        <f t="shared" si="8"/>
        <v>49.349822237752392</v>
      </c>
      <c r="G64" s="247">
        <f t="shared" si="1"/>
        <v>0.44595766995879543</v>
      </c>
      <c r="H64" s="246"/>
      <c r="J64" s="182"/>
      <c r="K64" s="182"/>
      <c r="L64" s="182"/>
      <c r="M64" s="182"/>
      <c r="N64" s="163"/>
      <c r="O64" s="259">
        <f>IF($O$24="Y",IFERROR(E64*$E$10*'Emissions Factors'!B49*$O$16,""),"")</f>
        <v>124.88498835732723</v>
      </c>
      <c r="P64" s="259" t="str">
        <f>IF($Q$24="Y",IFERROR($E64*SUM($E$3,$E$4,$E$5)*('Emissions Factors'!$T$143*$P$16)/10^6,""),"")</f>
        <v/>
      </c>
      <c r="Q64" s="259"/>
      <c r="R64" s="258"/>
      <c r="T64" s="180" t="str">
        <f t="shared" si="2"/>
        <v/>
      </c>
      <c r="U64" s="180" t="str">
        <f t="shared" si="3"/>
        <v/>
      </c>
      <c r="V64" s="177"/>
      <c r="X64" s="180">
        <f t="shared" si="4"/>
        <v>124.88498835732723</v>
      </c>
      <c r="Y64" s="180">
        <f t="shared" si="5"/>
        <v>0</v>
      </c>
    </row>
    <row r="65" spans="1:25" ht="15.6" x14ac:dyDescent="0.3">
      <c r="A65" s="152">
        <v>2053</v>
      </c>
      <c r="B65" s="178">
        <f t="shared" si="0"/>
        <v>0</v>
      </c>
      <c r="C65" s="182">
        <f t="shared" si="7"/>
        <v>0</v>
      </c>
      <c r="D65" s="183"/>
      <c r="E65" s="179">
        <f t="shared" si="6"/>
        <v>1025.3926723564871</v>
      </c>
      <c r="F65" s="183">
        <f t="shared" si="8"/>
        <v>51.132705480476943</v>
      </c>
      <c r="G65" s="247">
        <f t="shared" si="1"/>
        <v>0.4404470865154862</v>
      </c>
      <c r="H65" s="246"/>
      <c r="J65" s="182"/>
      <c r="K65" s="182"/>
      <c r="L65" s="182"/>
      <c r="M65" s="182"/>
      <c r="N65" s="163"/>
      <c r="O65" s="259">
        <f>IF($O$24="Y",IFERROR(E65*$E$10*'Emissions Factors'!B50*$O$16,""),"")</f>
        <v>130.94204277195303</v>
      </c>
      <c r="P65" s="259" t="str">
        <f>IF($Q$24="Y",IFERROR($E65*SUM($E$3,$E$4,$E$5)*('Emissions Factors'!$T$143*$P$16)/10^6,""),"")</f>
        <v/>
      </c>
      <c r="Q65" s="259"/>
      <c r="R65" s="258"/>
      <c r="T65" s="180" t="str">
        <f t="shared" si="2"/>
        <v/>
      </c>
      <c r="U65" s="180" t="str">
        <f t="shared" si="3"/>
        <v/>
      </c>
      <c r="V65" s="177"/>
      <c r="X65" s="180">
        <f t="shared" si="4"/>
        <v>130.94204277195303</v>
      </c>
      <c r="Y65" s="180">
        <f t="shared" si="5"/>
        <v>0</v>
      </c>
    </row>
    <row r="66" spans="1:25" ht="15.6" x14ac:dyDescent="0.3">
      <c r="A66" s="152">
        <v>2054</v>
      </c>
      <c r="B66" s="178">
        <f t="shared" si="0"/>
        <v>0</v>
      </c>
      <c r="C66" s="182">
        <f t="shared" si="7"/>
        <v>0</v>
      </c>
      <c r="D66" s="183"/>
      <c r="E66" s="179">
        <f t="shared" si="6"/>
        <v>1078.3496414388906</v>
      </c>
      <c r="F66" s="183">
        <f t="shared" si="8"/>
        <v>52.956969082403475</v>
      </c>
      <c r="G66" s="247">
        <f t="shared" si="1"/>
        <v>0.43499842771007874</v>
      </c>
      <c r="H66" s="246"/>
      <c r="J66" s="182"/>
      <c r="K66" s="182"/>
      <c r="L66" s="182"/>
      <c r="M66" s="182"/>
      <c r="N66" s="163"/>
      <c r="O66" s="259">
        <f>IF($O$24="Y",IFERROR(E66*$E$10*'Emissions Factors'!B51*$O$16,""),"")</f>
        <v>137.17029010227108</v>
      </c>
      <c r="P66" s="259" t="str">
        <f>IF($Q$24="Y",IFERROR($E66*SUM($E$3,$E$4,$E$5)*('Emissions Factors'!$T$143*$P$16)/10^6,""),"")</f>
        <v/>
      </c>
      <c r="Q66" s="259"/>
      <c r="R66" s="258"/>
      <c r="T66" s="180" t="str">
        <f t="shared" si="2"/>
        <v/>
      </c>
      <c r="U66" s="180" t="str">
        <f t="shared" si="3"/>
        <v/>
      </c>
      <c r="V66" s="177"/>
      <c r="X66" s="180">
        <f t="shared" si="4"/>
        <v>137.17029010227108</v>
      </c>
      <c r="Y66" s="180">
        <f t="shared" si="5"/>
        <v>0</v>
      </c>
    </row>
    <row r="67" spans="1:25" ht="15.6" x14ac:dyDescent="0.3">
      <c r="A67" s="152">
        <v>2055</v>
      </c>
      <c r="B67" s="178">
        <f t="shared" si="0"/>
        <v>0</v>
      </c>
      <c r="C67" s="182">
        <f t="shared" si="7"/>
        <v>0</v>
      </c>
      <c r="D67" s="183"/>
      <c r="E67" s="179">
        <f t="shared" si="6"/>
        <v>1133.1669995972404</v>
      </c>
      <c r="F67" s="183">
        <f t="shared" si="8"/>
        <v>54.817358158349862</v>
      </c>
      <c r="G67" s="247">
        <f t="shared" si="1"/>
        <v>0.42963043938867618</v>
      </c>
      <c r="H67" s="246"/>
      <c r="J67" s="182"/>
      <c r="K67" s="182"/>
      <c r="L67" s="182"/>
      <c r="M67" s="182"/>
      <c r="N67" s="163"/>
      <c r="O67" s="259">
        <f>IF($O$24="Y",IFERROR(E67*$E$10*'Emissions Factors'!B52*$O$16,""),"")</f>
        <v>143.55744413829632</v>
      </c>
      <c r="P67" s="259" t="str">
        <f>IF($Q$24="Y",IFERROR($E67*SUM($E$3,$E$4,$E$5)*('Emissions Factors'!$T$143*$P$16)/10^6,""),"")</f>
        <v/>
      </c>
      <c r="Q67" s="259"/>
      <c r="R67" s="258"/>
      <c r="T67" s="180" t="str">
        <f t="shared" si="2"/>
        <v/>
      </c>
      <c r="U67" s="180" t="str">
        <f t="shared" si="3"/>
        <v/>
      </c>
      <c r="V67" s="177"/>
      <c r="X67" s="180">
        <f t="shared" si="4"/>
        <v>143.55744413829632</v>
      </c>
      <c r="Y67" s="180">
        <f t="shared" si="5"/>
        <v>0</v>
      </c>
    </row>
    <row r="68" spans="1:25" ht="15.6" x14ac:dyDescent="0.3">
      <c r="A68" s="152">
        <v>2056</v>
      </c>
      <c r="B68" s="178">
        <f t="shared" si="0"/>
        <v>0</v>
      </c>
      <c r="C68" s="182">
        <f t="shared" si="7"/>
        <v>0</v>
      </c>
      <c r="D68" s="183"/>
      <c r="E68" s="179">
        <f t="shared" si="6"/>
        <v>1189.88504898785</v>
      </c>
      <c r="F68" s="183">
        <f t="shared" si="8"/>
        <v>56.718049390609622</v>
      </c>
      <c r="G68" s="247">
        <f t="shared" si="1"/>
        <v>0.42434984117506258</v>
      </c>
      <c r="H68" s="246"/>
      <c r="J68" s="182"/>
      <c r="K68" s="182"/>
      <c r="L68" s="182"/>
      <c r="M68" s="182"/>
      <c r="N68" s="163"/>
      <c r="O68" s="259">
        <f>IF($O$24="Y",IFERROR(E68*$E$10*'Emissions Factors'!B53*$O$16,""),"")</f>
        <v>150.13929915243563</v>
      </c>
      <c r="P68" s="259" t="str">
        <f>IF($Q$24="Y",IFERROR($E68*SUM($E$3,$E$4,$E$5)*('Emissions Factors'!$T$143*$P$16)/10^6,""),"")</f>
        <v/>
      </c>
      <c r="Q68" s="259"/>
      <c r="R68" s="258"/>
      <c r="T68" s="180" t="str">
        <f t="shared" si="2"/>
        <v/>
      </c>
      <c r="U68" s="180" t="str">
        <f t="shared" si="3"/>
        <v/>
      </c>
      <c r="V68" s="177"/>
      <c r="X68" s="180">
        <f t="shared" si="4"/>
        <v>150.13929915243563</v>
      </c>
      <c r="Y68" s="180">
        <f t="shared" si="5"/>
        <v>0</v>
      </c>
    </row>
    <row r="69" spans="1:25" ht="15.6" x14ac:dyDescent="0.3">
      <c r="A69" s="152">
        <v>2057</v>
      </c>
      <c r="B69" s="178">
        <f t="shared" si="0"/>
        <v>0</v>
      </c>
      <c r="C69" s="182">
        <f t="shared" si="7"/>
        <v>0</v>
      </c>
      <c r="D69" s="183"/>
      <c r="E69" s="179">
        <f t="shared" si="6"/>
        <v>1248.5319527347274</v>
      </c>
      <c r="F69" s="183">
        <f t="shared" si="8"/>
        <v>58.646903746877342</v>
      </c>
      <c r="G69" s="247">
        <f t="shared" si="1"/>
        <v>0.41916385337740447</v>
      </c>
      <c r="H69" s="246"/>
      <c r="J69" s="182"/>
      <c r="K69" s="182"/>
      <c r="L69" s="182"/>
      <c r="M69" s="182"/>
      <c r="N69" s="163"/>
      <c r="O69" s="259">
        <f>IF($O$24="Y",IFERROR(E69*$E$10*'Emissions Factors'!B54*$O$16,""),"")</f>
        <v>156.87811903233515</v>
      </c>
      <c r="P69" s="259" t="str">
        <f>IF($Q$24="Y",IFERROR($E69*SUM($E$3,$E$4,$E$5)*('Emissions Factors'!$T$143*$P$16)/10^6,""),"")</f>
        <v/>
      </c>
      <c r="Q69" s="259"/>
      <c r="R69" s="258"/>
      <c r="T69" s="180" t="str">
        <f t="shared" si="2"/>
        <v/>
      </c>
      <c r="U69" s="180" t="str">
        <f t="shared" si="3"/>
        <v/>
      </c>
      <c r="V69" s="177"/>
      <c r="X69" s="180">
        <f t="shared" si="4"/>
        <v>156.87811903233515</v>
      </c>
      <c r="Y69" s="180">
        <f t="shared" si="5"/>
        <v>0</v>
      </c>
    </row>
    <row r="70" spans="1:25" ht="15.6" x14ac:dyDescent="0.3">
      <c r="A70" s="152">
        <v>2058</v>
      </c>
      <c r="B70" s="178">
        <f t="shared" si="0"/>
        <v>0</v>
      </c>
      <c r="C70" s="182">
        <f t="shared" si="7"/>
        <v>0</v>
      </c>
      <c r="D70" s="183"/>
      <c r="E70" s="179">
        <f t="shared" si="6"/>
        <v>1309.1037602454776</v>
      </c>
      <c r="F70" s="183">
        <f t="shared" si="8"/>
        <v>60.571807510750205</v>
      </c>
      <c r="G70" s="247">
        <f t="shared" si="1"/>
        <v>0.41408594718358493</v>
      </c>
      <c r="H70" s="246"/>
      <c r="J70" s="182"/>
      <c r="K70" s="182"/>
      <c r="L70" s="182"/>
      <c r="M70" s="182"/>
      <c r="N70" s="163"/>
      <c r="O70" s="259">
        <f>IF($O$24="Y",IFERROR(E70*$E$10*'Emissions Factors'!B55*$O$16,""),"")</f>
        <v>163.77970842131046</v>
      </c>
      <c r="P70" s="259" t="str">
        <f>IF($Q$24="Y",IFERROR($E70*SUM($E$3,$E$4,$E$5)*('Emissions Factors'!$T$143*$P$16)/10^6,""),"")</f>
        <v/>
      </c>
      <c r="Q70" s="259"/>
      <c r="R70" s="258"/>
      <c r="T70" s="180" t="str">
        <f t="shared" si="2"/>
        <v/>
      </c>
      <c r="U70" s="180" t="str">
        <f t="shared" si="3"/>
        <v/>
      </c>
      <c r="V70" s="177"/>
      <c r="X70" s="180">
        <f t="shared" si="4"/>
        <v>163.77970842131046</v>
      </c>
      <c r="Y70" s="180">
        <f t="shared" si="5"/>
        <v>0</v>
      </c>
    </row>
    <row r="71" spans="1:25" ht="15.6" x14ac:dyDescent="0.3">
      <c r="A71" s="152">
        <v>2059</v>
      </c>
      <c r="B71" s="178">
        <f t="shared" si="0"/>
        <v>0</v>
      </c>
      <c r="C71" s="182">
        <f t="shared" si="7"/>
        <v>0</v>
      </c>
      <c r="D71" s="183"/>
      <c r="E71" s="179">
        <f t="shared" si="6"/>
        <v>1371.5800504491822</v>
      </c>
      <c r="F71" s="183">
        <f t="shared" si="8"/>
        <v>62.476290203704593</v>
      </c>
      <c r="G71" s="247">
        <f t="shared" si="1"/>
        <v>0.40912864271840893</v>
      </c>
      <c r="H71" s="246"/>
      <c r="J71" s="182"/>
      <c r="K71" s="182"/>
      <c r="L71" s="182"/>
      <c r="M71" s="182"/>
      <c r="N71" s="163"/>
      <c r="O71" s="259">
        <f>IF($O$24="Y",IFERROR(E71*$E$10*'Emissions Factors'!B56*$O$16,""),"")</f>
        <v>170.83567367805364</v>
      </c>
      <c r="P71" s="259" t="str">
        <f>IF($Q$24="Y",IFERROR($E71*SUM($E$3,$E$4,$E$5)*('Emissions Factors'!$T$143*$P$16)/10^6,""),"")</f>
        <v/>
      </c>
      <c r="Q71" s="259"/>
      <c r="R71" s="258"/>
      <c r="T71" s="180" t="str">
        <f t="shared" si="2"/>
        <v/>
      </c>
      <c r="U71" s="180" t="str">
        <f t="shared" si="3"/>
        <v/>
      </c>
      <c r="V71" s="177"/>
      <c r="X71" s="180">
        <f t="shared" si="4"/>
        <v>170.83567367805364</v>
      </c>
      <c r="Y71" s="180">
        <f t="shared" si="5"/>
        <v>0</v>
      </c>
    </row>
    <row r="72" spans="1:25" ht="15.6" x14ac:dyDescent="0.3">
      <c r="A72" s="152">
        <v>2060</v>
      </c>
      <c r="B72" s="178">
        <f t="shared" si="0"/>
        <v>0</v>
      </c>
      <c r="C72" s="182">
        <f t="shared" si="7"/>
        <v>0</v>
      </c>
      <c r="D72" s="183"/>
      <c r="E72" s="179">
        <f t="shared" si="6"/>
        <v>1435.7789051245095</v>
      </c>
      <c r="F72" s="183">
        <f t="shared" si="8"/>
        <v>64.198854675327311</v>
      </c>
      <c r="G72" s="247">
        <f t="shared" si="1"/>
        <v>0.40428160605162128</v>
      </c>
      <c r="H72" s="246"/>
      <c r="J72" s="182"/>
      <c r="K72" s="182"/>
      <c r="L72" s="182"/>
      <c r="M72" s="182"/>
      <c r="N72" s="163"/>
      <c r="O72" s="259">
        <f>IF($O$24="Y",IFERROR(E72*$E$10*'Emissions Factors'!B57*$O$16,""),"")</f>
        <v>178.07702326267031</v>
      </c>
      <c r="P72" s="259" t="str">
        <f>IF($Q$24="Y",IFERROR($E72*SUM($E$3,$E$4,$E$5)*('Emissions Factors'!$T$143*$P$16)/10^6,""),"")</f>
        <v/>
      </c>
      <c r="Q72" s="259"/>
      <c r="R72" s="258"/>
      <c r="T72" s="180" t="str">
        <f t="shared" si="2"/>
        <v/>
      </c>
      <c r="U72" s="180" t="str">
        <f t="shared" si="3"/>
        <v/>
      </c>
      <c r="V72" s="177"/>
      <c r="X72" s="180">
        <f t="shared" si="4"/>
        <v>178.07702326267031</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9420.0323185023426</v>
      </c>
      <c r="C85" s="253">
        <f>(C137/Population_Tables!P3)*Population_Tables!D3</f>
        <v>2629.4350904716298</v>
      </c>
      <c r="D85" s="253">
        <f>(D137/Population_Tables!Q3)*Population_Tables!E3</f>
        <v>467.02649557183969</v>
      </c>
      <c r="E85" s="253">
        <f>(E137/Population_Tables!R3)*Population_Tables!F3</f>
        <v>3740.7071435252124</v>
      </c>
      <c r="F85" s="253">
        <f>(F137/Population_Tables!S3)*Population_Tables!G3</f>
        <v>871.70102318165971</v>
      </c>
      <c r="G85" s="253">
        <f>(G137/Population_Tables!T3)*Population_Tables!H3</f>
        <v>350.48342727572367</v>
      </c>
      <c r="H85" s="253">
        <f>(H137/Population_Tables!U3)*Population_Tables!I3</f>
        <v>2609.2302768909922</v>
      </c>
      <c r="I85" s="253">
        <f>(I137/Population_Tables!V3)*Population_Tables!J3</f>
        <v>737.63652435843073</v>
      </c>
      <c r="J85" s="253">
        <f>(J137/Population_Tables!W3)*Population_Tables!K3</f>
        <v>1087.5007224082237</v>
      </c>
      <c r="K85" s="253">
        <f>(K137/Population_Tables!X3)*Population_Tables!L3</f>
        <v>1156.6354982699991</v>
      </c>
      <c r="N85" s="195">
        <f t="shared" ref="N85:N131" si="9">SUMIF($C$83:$G$83,"Y",C85:G85)-H85</f>
        <v>2003.17788981588</v>
      </c>
      <c r="O85" s="195">
        <f>H85</f>
        <v>2609.2302768909922</v>
      </c>
      <c r="P85" s="195">
        <f t="shared" ref="P85:P131" si="10">SUMIF($C$83:$G$83,"N",C85:G85)-(IF($E$83="N",H85))</f>
        <v>3446.9450133191931</v>
      </c>
      <c r="Q85" s="195">
        <f>N85+P85+O85</f>
        <v>8059.3531800260653</v>
      </c>
      <c r="R85" s="196">
        <f>N85/Q85</f>
        <v>0.24855318349622213</v>
      </c>
      <c r="U85" s="197">
        <v>0</v>
      </c>
      <c r="V85" s="195">
        <f>O85-O137</f>
        <v>0</v>
      </c>
      <c r="W85" s="197">
        <v>0</v>
      </c>
      <c r="X85" s="195">
        <f>U85+V85+W85</f>
        <v>0</v>
      </c>
      <c r="Y85" s="196">
        <v>0</v>
      </c>
      <c r="AC85" s="251">
        <f>(B85-B137)/((SUM(C85:G85)-SUM(C137:G137)))</f>
        <v>1.3659072493877624</v>
      </c>
      <c r="AF85" s="250">
        <f>B85</f>
        <v>9420.0323185023426</v>
      </c>
      <c r="AG85" s="250">
        <f>SUM(C85:G85)</f>
        <v>8059.3531800260653</v>
      </c>
      <c r="AH85" s="250">
        <f>AG85-AF85</f>
        <v>-1360.6791384762773</v>
      </c>
      <c r="AI85" s="251">
        <f>AH85/AG85</f>
        <v>-0.16883230056830401</v>
      </c>
    </row>
    <row r="86" spans="1:35" ht="15.6" x14ac:dyDescent="0.3">
      <c r="A86" s="194">
        <v>2015</v>
      </c>
      <c r="B86" s="253">
        <f>(B138/Population_Tables!O4)*Population_Tables!C4</f>
        <v>9656.1932332143515</v>
      </c>
      <c r="C86" s="253">
        <f>(C138/Population_Tables!P4)*Population_Tables!D4</f>
        <v>2652.4042453043076</v>
      </c>
      <c r="D86" s="253">
        <f>(D138/Population_Tables!Q4)*Population_Tables!E4</f>
        <v>473.74437880607616</v>
      </c>
      <c r="E86" s="253">
        <f>(E138/Population_Tables!R4)*Population_Tables!F4</f>
        <v>3858.4744677916547</v>
      </c>
      <c r="F86" s="253">
        <f>(F138/Population_Tables!S4)*Population_Tables!G4</f>
        <v>899.46205941002859</v>
      </c>
      <c r="G86" s="253">
        <f>(G138/Population_Tables!T4)*Population_Tables!H4</f>
        <v>357.27366553649551</v>
      </c>
      <c r="H86" s="253">
        <f>(H138/Population_Tables!U4)*Population_Tables!I4</f>
        <v>2684.7210625164607</v>
      </c>
      <c r="I86" s="253">
        <f>(I138/Population_Tables!V4)*Population_Tables!J4</f>
        <v>770.08082363718938</v>
      </c>
      <c r="J86" s="253">
        <f>(J138/Population_Tables!W4)*Population_Tables!K4</f>
        <v>1095.260534069424</v>
      </c>
      <c r="K86" s="253">
        <f>(K138/Population_Tables!X4)*Population_Tables!L4</f>
        <v>1168.6007941555526</v>
      </c>
      <c r="N86" s="195">
        <f t="shared" si="9"/>
        <v>2073.2154646852223</v>
      </c>
      <c r="O86" s="195">
        <f t="shared" ref="O86:O131" si="11">H86</f>
        <v>2684.7210625164607</v>
      </c>
      <c r="P86" s="195">
        <f t="shared" si="10"/>
        <v>3483.4222896468796</v>
      </c>
      <c r="Q86" s="195">
        <f t="shared" ref="Q86:Q131" si="12">N86+P86+O86</f>
        <v>8241.3588168485621</v>
      </c>
      <c r="R86" s="196">
        <f t="shared" ref="R86:R130" si="13">N86/Q86</f>
        <v>0.2515623346536931</v>
      </c>
      <c r="U86" s="197">
        <v>0</v>
      </c>
      <c r="V86" s="195">
        <f t="shared" ref="V86:W131" si="14">O86-O138</f>
        <v>0</v>
      </c>
      <c r="W86" s="197">
        <v>0</v>
      </c>
      <c r="X86" s="195">
        <f>U86+V86+W86</f>
        <v>0</v>
      </c>
      <c r="Y86" s="196">
        <v>0</v>
      </c>
      <c r="AC86" s="251">
        <f t="shared" ref="AC86:AC131" si="15">(B86-B138)/((SUM(C86:G86)-SUM(C138:G138)))</f>
        <v>1.3549522985965567</v>
      </c>
    </row>
    <row r="87" spans="1:35" ht="15.6" x14ac:dyDescent="0.3">
      <c r="A87" s="194">
        <v>2016</v>
      </c>
      <c r="B87" s="253">
        <f>(B139/Population_Tables!O5)*Population_Tables!C5</f>
        <v>9897.3898673926869</v>
      </c>
      <c r="C87" s="253">
        <f>(C139/Population_Tables!P5)*Population_Tables!D5</f>
        <v>2675.1602341720754</v>
      </c>
      <c r="D87" s="253">
        <f>(D139/Population_Tables!Q5)*Population_Tables!E5</f>
        <v>480.46244846594254</v>
      </c>
      <c r="E87" s="253">
        <f>(E139/Population_Tables!R5)*Population_Tables!F5</f>
        <v>3979.7838507687679</v>
      </c>
      <c r="F87" s="253">
        <f>(F139/Population_Tables!S5)*Population_Tables!G5</f>
        <v>927.80773992512832</v>
      </c>
      <c r="G87" s="253">
        <f>(G139/Population_Tables!T5)*Population_Tables!H5</f>
        <v>364.19233776381185</v>
      </c>
      <c r="H87" s="253">
        <f>(H139/Population_Tables!U5)*Population_Tables!I5</f>
        <v>2759.2447388326059</v>
      </c>
      <c r="I87" s="253">
        <f>(I139/Population_Tables!V5)*Population_Tables!J5</f>
        <v>805.72206037947171</v>
      </c>
      <c r="J87" s="253">
        <f>(J139/Population_Tables!W5)*Population_Tables!K5</f>
        <v>1103.1102147588815</v>
      </c>
      <c r="K87" s="253">
        <f>(K139/Population_Tables!X5)*Population_Tables!L5</f>
        <v>1180.6873355601149</v>
      </c>
      <c r="N87" s="195">
        <f t="shared" si="9"/>
        <v>2148.3468518612904</v>
      </c>
      <c r="O87" s="195">
        <f t="shared" si="11"/>
        <v>2759.2447388326059</v>
      </c>
      <c r="P87" s="195">
        <f t="shared" si="10"/>
        <v>3519.8150204018298</v>
      </c>
      <c r="Q87" s="195">
        <f t="shared" si="12"/>
        <v>8427.4066110957265</v>
      </c>
      <c r="R87" s="196">
        <f t="shared" si="13"/>
        <v>0.25492383968191651</v>
      </c>
      <c r="U87" s="195">
        <f>N87-N139</f>
        <v>-1.193745100954402E-2</v>
      </c>
      <c r="V87" s="195">
        <f>O87-O139</f>
        <v>0</v>
      </c>
      <c r="W87" s="195">
        <f>P87-P139</f>
        <v>0</v>
      </c>
      <c r="X87" s="195">
        <f>U87+V87+W87</f>
        <v>-1.193745100954402E-2</v>
      </c>
      <c r="Y87" s="196">
        <f t="shared" ref="Y87:Y131" si="16">U87/X87</f>
        <v>1</v>
      </c>
      <c r="AC87" s="251">
        <f>(B87-B139)/((SUM(C87:G87)-SUM(C139:G139)))</f>
        <v>1.3439620569787756</v>
      </c>
    </row>
    <row r="88" spans="1:35" ht="15.6" x14ac:dyDescent="0.3">
      <c r="A88" s="194">
        <v>2017</v>
      </c>
      <c r="B88" s="253">
        <f>(B140/Population_Tables!O6)*Population_Tables!C6</f>
        <v>10143.54348812484</v>
      </c>
      <c r="C88" s="253">
        <f>(C140/Population_Tables!P6)*Population_Tables!D6</f>
        <v>2697.6903467607099</v>
      </c>
      <c r="D88" s="253">
        <f>(D140/Population_Tables!Q6)*Population_Tables!E6</f>
        <v>487.18599917044963</v>
      </c>
      <c r="E88" s="253">
        <f>(E140/Population_Tables!R6)*Population_Tables!F6</f>
        <v>4104.5638081927609</v>
      </c>
      <c r="F88" s="253">
        <f>(F140/Population_Tables!S6)*Population_Tables!G6</f>
        <v>956.80369136810032</v>
      </c>
      <c r="G88" s="253">
        <f>(G140/Population_Tables!T6)*Population_Tables!H6</f>
        <v>371.23308243580243</v>
      </c>
      <c r="H88" s="253">
        <f>(H140/Population_Tables!U6)*Population_Tables!I6</f>
        <v>2832.8021593047833</v>
      </c>
      <c r="I88" s="253">
        <f>(I140/Population_Tables!V6)*Population_Tables!J6</f>
        <v>844.53454489497062</v>
      </c>
      <c r="J88" s="253">
        <f>(J140/Population_Tables!W6)*Population_Tables!K6</f>
        <v>1111.0170546167001</v>
      </c>
      <c r="K88" s="253">
        <f>(K140/Population_Tables!X6)*Population_Tables!L6</f>
        <v>1192.8805409750839</v>
      </c>
      <c r="N88" s="195">
        <f t="shared" si="9"/>
        <v>2228.5653402560783</v>
      </c>
      <c r="O88" s="195">
        <f>H88</f>
        <v>2832.8021593047833</v>
      </c>
      <c r="P88" s="195">
        <f t="shared" si="10"/>
        <v>3556.1094283669618</v>
      </c>
      <c r="Q88" s="195">
        <f t="shared" si="12"/>
        <v>8617.4769279278225</v>
      </c>
      <c r="R88" s="196">
        <f t="shared" si="13"/>
        <v>0.25860995728734304</v>
      </c>
      <c r="U88" s="195">
        <f>N88-N140</f>
        <v>-1.1992462581474683E-2</v>
      </c>
      <c r="V88" s="195">
        <f t="shared" si="14"/>
        <v>0</v>
      </c>
      <c r="W88" s="195">
        <f t="shared" si="14"/>
        <v>0</v>
      </c>
      <c r="X88" s="195">
        <f t="shared" ref="X88:X131" si="17">U88+V88+W88</f>
        <v>-1.1992462581474683E-2</v>
      </c>
      <c r="Y88" s="196">
        <f t="shared" si="16"/>
        <v>1</v>
      </c>
      <c r="AC88" s="251">
        <f t="shared" si="15"/>
        <v>1.3329760238488415</v>
      </c>
    </row>
    <row r="89" spans="1:35" ht="15.6" x14ac:dyDescent="0.3">
      <c r="A89" s="194">
        <v>2018</v>
      </c>
      <c r="B89" s="253">
        <f>(B141/Population_Tables!O7)*Population_Tables!C7</f>
        <v>10394.544337423597</v>
      </c>
      <c r="C89" s="253">
        <f>(C141/Population_Tables!P7)*Population_Tables!D7</f>
        <v>2720.0017550399202</v>
      </c>
      <c r="D89" s="253">
        <f>(D141/Population_Tables!Q7)*Population_Tables!E7</f>
        <v>493.91855706875918</v>
      </c>
      <c r="E89" s="253">
        <f>(E141/Population_Tables!R7)*Population_Tables!F7</f>
        <v>4232.7006344701258</v>
      </c>
      <c r="F89" s="253">
        <f>(F141/Population_Tables!S7)*Population_Tables!G7</f>
        <v>986.52686898869933</v>
      </c>
      <c r="G89" s="253">
        <f>(G141/Population_Tables!T7)*Population_Tables!H7</f>
        <v>378.39072654769217</v>
      </c>
      <c r="H89" s="253">
        <f>(H141/Population_Tables!U7)*Population_Tables!I7</f>
        <v>2905.3448801429599</v>
      </c>
      <c r="I89" s="253">
        <f>(I141/Population_Tables!V7)*Population_Tables!J7</f>
        <v>886.48701995570002</v>
      </c>
      <c r="J89" s="253">
        <f>(J141/Population_Tables!W7)*Population_Tables!K7</f>
        <v>1118.9437538443153</v>
      </c>
      <c r="K89" s="253">
        <f>(K141/Population_Tables!X7)*Population_Tables!L7</f>
        <v>1205.1763790426421</v>
      </c>
      <c r="N89" s="195">
        <f t="shared" si="9"/>
        <v>2313.8826233158657</v>
      </c>
      <c r="O89" s="195">
        <f t="shared" si="11"/>
        <v>2905.3448801429599</v>
      </c>
      <c r="P89" s="195">
        <f t="shared" si="10"/>
        <v>3592.3110386563717</v>
      </c>
      <c r="Q89" s="195">
        <f t="shared" si="12"/>
        <v>8811.5385421151968</v>
      </c>
      <c r="R89" s="196">
        <f t="shared" si="13"/>
        <v>0.26259689068561021</v>
      </c>
      <c r="U89" s="195">
        <f t="shared" ref="U89:U131" si="18">N89-N141</f>
        <v>-1.2007603494566865E-2</v>
      </c>
      <c r="V89" s="195">
        <f t="shared" si="14"/>
        <v>0</v>
      </c>
      <c r="W89" s="195">
        <f t="shared" si="14"/>
        <v>0</v>
      </c>
      <c r="X89" s="195">
        <f t="shared" si="17"/>
        <v>-1.2007603494566865E-2</v>
      </c>
      <c r="Y89" s="196">
        <f t="shared" si="16"/>
        <v>1</v>
      </c>
      <c r="AC89" s="251">
        <f t="shared" si="15"/>
        <v>1.3220158980645591</v>
      </c>
    </row>
    <row r="90" spans="1:35" ht="16.2" thickBot="1" x14ac:dyDescent="0.35">
      <c r="A90" s="198">
        <v>2019</v>
      </c>
      <c r="B90" s="253">
        <f>(B142/Population_Tables!O8)*Population_Tables!C8</f>
        <v>10650.245459248501</v>
      </c>
      <c r="C90" s="253">
        <f>(C142/Population_Tables!P8)*Population_Tables!D8</f>
        <v>2742.1092280783487</v>
      </c>
      <c r="D90" s="253">
        <f>(D142/Population_Tables!Q8)*Population_Tables!E8</f>
        <v>500.67172560548596</v>
      </c>
      <c r="E90" s="253">
        <f>(E142/Population_Tables!R8)*Population_Tables!F8</f>
        <v>4364.0520317802575</v>
      </c>
      <c r="F90" s="253">
        <f>(F142/Population_Tables!S8)*Population_Tables!G8</f>
        <v>1017.0572835957752</v>
      </c>
      <c r="G90" s="253">
        <f>(G142/Population_Tables!T8)*Population_Tables!H8</f>
        <v>385.65846512391289</v>
      </c>
      <c r="H90" s="253">
        <f>(H142/Population_Tables!U8)*Population_Tables!I8</f>
        <v>2976.7986834632438</v>
      </c>
      <c r="I90" s="253">
        <f>(I142/Population_Tables!V8)*Population_Tables!J8</f>
        <v>931.53709237213911</v>
      </c>
      <c r="J90" s="253">
        <f>(J142/Population_Tables!W8)*Population_Tables!K8</f>
        <v>1126.8264992002069</v>
      </c>
      <c r="K90" s="253">
        <f>(K142/Population_Tables!X8)*Population_Tables!L8</f>
        <v>1217.5639826387901</v>
      </c>
      <c r="N90" s="195">
        <f t="shared" si="9"/>
        <v>2404.3106319127892</v>
      </c>
      <c r="O90" s="195">
        <f t="shared" si="11"/>
        <v>2976.7986834632438</v>
      </c>
      <c r="P90" s="195">
        <f t="shared" si="10"/>
        <v>3628.4394188077472</v>
      </c>
      <c r="Q90" s="195">
        <f t="shared" si="12"/>
        <v>9009.5487341837797</v>
      </c>
      <c r="R90" s="199">
        <f t="shared" si="13"/>
        <v>0.26686249254531702</v>
      </c>
      <c r="U90" s="200">
        <f t="shared" si="18"/>
        <v>-1.2044425228850741E-2</v>
      </c>
      <c r="V90" s="195">
        <f t="shared" si="14"/>
        <v>0</v>
      </c>
      <c r="W90" s="200">
        <f t="shared" si="14"/>
        <v>0</v>
      </c>
      <c r="X90" s="195">
        <f t="shared" si="17"/>
        <v>-1.2044425228850741E-2</v>
      </c>
      <c r="Y90" s="199">
        <f t="shared" si="16"/>
        <v>1</v>
      </c>
      <c r="AC90" s="251">
        <f t="shared" si="15"/>
        <v>1.3110946742804837</v>
      </c>
    </row>
    <row r="91" spans="1:35" ht="15.6" x14ac:dyDescent="0.3">
      <c r="A91" s="201">
        <v>2020</v>
      </c>
      <c r="B91" s="253">
        <f>(B143/Population_Tables!O9)*Population_Tables!C9</f>
        <v>10908.444615929657</v>
      </c>
      <c r="C91" s="253">
        <f>(C143/Population_Tables!P9)*Population_Tables!D9</f>
        <v>2763.9468054892232</v>
      </c>
      <c r="D91" s="253">
        <f>(D143/Population_Tables!Q9)*Population_Tables!E9</f>
        <v>507.61530266510613</v>
      </c>
      <c r="E91" s="253">
        <f>(E143/Population_Tables!R9)*Population_Tables!F9</f>
        <v>4497.2431561235944</v>
      </c>
      <c r="F91" s="253">
        <f>(F143/Population_Tables!S9)*Population_Tables!G9</f>
        <v>1048.7428944153305</v>
      </c>
      <c r="G91" s="253">
        <f>(G143/Population_Tables!T9)*Population_Tables!H9</f>
        <v>393.03164346324144</v>
      </c>
      <c r="H91" s="253">
        <f>(H143/Population_Tables!U9)*Population_Tables!I9</f>
        <v>3045.9995826031782</v>
      </c>
      <c r="I91" s="253">
        <f>(I143/Population_Tables!V9)*Population_Tables!J9</f>
        <v>979.96817876905391</v>
      </c>
      <c r="J91" s="253">
        <f>(J143/Population_Tables!W9)*Population_Tables!K9</f>
        <v>1134.2595673351702</v>
      </c>
      <c r="K91" s="253">
        <f>(K143/Population_Tables!X9)*Population_Tables!L9</f>
        <v>1230.0799290821146</v>
      </c>
      <c r="L91" s="202"/>
      <c r="M91" s="202"/>
      <c r="N91" s="195">
        <f t="shared" si="9"/>
        <v>2499.986467935747</v>
      </c>
      <c r="O91" s="195">
        <f t="shared" si="11"/>
        <v>3045.9995826031782</v>
      </c>
      <c r="P91" s="195">
        <f t="shared" si="10"/>
        <v>3664.5937516175709</v>
      </c>
      <c r="Q91" s="195">
        <f t="shared" si="12"/>
        <v>9210.5798021564951</v>
      </c>
      <c r="R91" s="203">
        <f t="shared" si="13"/>
        <v>0.27142552604021947</v>
      </c>
      <c r="S91" s="202"/>
      <c r="T91" s="202"/>
      <c r="U91" s="204">
        <f>N91-N143</f>
        <v>-1.2104169492886285E-2</v>
      </c>
      <c r="V91" s="195">
        <f t="shared" si="14"/>
        <v>0</v>
      </c>
      <c r="W91" s="204">
        <f t="shared" si="14"/>
        <v>0</v>
      </c>
      <c r="X91" s="195">
        <f t="shared" si="17"/>
        <v>-1.2104169492886285E-2</v>
      </c>
      <c r="Y91" s="205">
        <f>U91/X91</f>
        <v>1</v>
      </c>
      <c r="AC91" s="251">
        <f t="shared" si="15"/>
        <v>1.3002353610239932</v>
      </c>
    </row>
    <row r="92" spans="1:35" ht="15.6" x14ac:dyDescent="0.3">
      <c r="A92" s="206">
        <v>2021</v>
      </c>
      <c r="B92" s="253">
        <f>(B144/Population_Tables!O10)*Population_Tables!C10</f>
        <v>11189.526228807999</v>
      </c>
      <c r="C92" s="253">
        <f>(C144/Population_Tables!P10)*Population_Tables!D10</f>
        <v>2788.6356150444499</v>
      </c>
      <c r="D92" s="253">
        <f>(D144/Population_Tables!Q10)*Population_Tables!E10</f>
        <v>514.87498340930961</v>
      </c>
      <c r="E92" s="253">
        <f>(E144/Population_Tables!R10)*Population_Tables!F10</f>
        <v>4641.5169286764913</v>
      </c>
      <c r="F92" s="253">
        <f>(F144/Population_Tables!S10)*Population_Tables!G10</f>
        <v>1082.2948819795288</v>
      </c>
      <c r="G92" s="253">
        <f>(G144/Population_Tables!T10)*Population_Tables!H10</f>
        <v>401.26174699791159</v>
      </c>
      <c r="H92" s="253">
        <f>(H144/Population_Tables!U10)*Population_Tables!I10</f>
        <v>3119.5324614873771</v>
      </c>
      <c r="I92" s="253">
        <f>(I144/Population_Tables!V10)*Population_Tables!J10</f>
        <v>1031.9825931359508</v>
      </c>
      <c r="J92" s="253">
        <f>(J144/Population_Tables!W10)*Population_Tables!K10</f>
        <v>1143.4909982119539</v>
      </c>
      <c r="K92" s="253">
        <f>(K144/Population_Tables!X10)*Population_Tables!L10</f>
        <v>1243.9001066395401</v>
      </c>
      <c r="L92" s="170"/>
      <c r="M92" s="170"/>
      <c r="N92" s="195">
        <f t="shared" si="9"/>
        <v>2604.2793491686425</v>
      </c>
      <c r="O92" s="195">
        <f t="shared" si="11"/>
        <v>3119.5324614873771</v>
      </c>
      <c r="P92" s="195">
        <f t="shared" si="10"/>
        <v>3704.7723454516708</v>
      </c>
      <c r="Q92" s="195">
        <f t="shared" si="12"/>
        <v>9428.5841561076904</v>
      </c>
      <c r="R92" s="196">
        <f t="shared" si="13"/>
        <v>0.27621107326932337</v>
      </c>
      <c r="S92" s="170"/>
      <c r="T92" s="170"/>
      <c r="U92" s="195">
        <f t="shared" si="18"/>
        <v>3.7142428880151783</v>
      </c>
      <c r="V92" s="195">
        <f t="shared" si="14"/>
        <v>3.2700637597890818</v>
      </c>
      <c r="W92" s="195">
        <f t="shared" si="14"/>
        <v>4.2580279190842703</v>
      </c>
      <c r="X92" s="195">
        <f t="shared" si="17"/>
        <v>11.24233456688853</v>
      </c>
      <c r="Y92" s="207">
        <f t="shared" si="16"/>
        <v>0.33038003502889396</v>
      </c>
      <c r="AC92" s="251">
        <f t="shared" si="15"/>
        <v>1.2570376634359752</v>
      </c>
    </row>
    <row r="93" spans="1:35" ht="15.6" x14ac:dyDescent="0.3">
      <c r="A93" s="206">
        <v>2022</v>
      </c>
      <c r="B93" s="253">
        <f>(B145/Population_Tables!O11)*Population_Tables!C11</f>
        <v>11477.17552089848</v>
      </c>
      <c r="C93" s="253">
        <f>(C145/Population_Tables!P11)*Population_Tables!D11</f>
        <v>2813.8982786366714</v>
      </c>
      <c r="D93" s="253">
        <f>(D145/Population_Tables!Q11)*Population_Tables!E11</f>
        <v>522.43942718131154</v>
      </c>
      <c r="E93" s="253">
        <f>(E145/Population_Tables!R11)*Population_Tables!F11</f>
        <v>4789.6878201955469</v>
      </c>
      <c r="F93" s="253">
        <f>(F145/Population_Tables!S11)*Population_Tables!G11</f>
        <v>1117.4636278086678</v>
      </c>
      <c r="G93" s="253">
        <f>(G145/Population_Tables!T11)*Population_Tables!H11</f>
        <v>409.64486085085264</v>
      </c>
      <c r="H93" s="253">
        <f>(H145/Population_Tables!U11)*Population_Tables!I11</f>
        <v>3191.731770151232</v>
      </c>
      <c r="I93" s="253">
        <f>(I145/Population_Tables!V11)*Population_Tables!J11</f>
        <v>1087.9715090399438</v>
      </c>
      <c r="J93" s="253">
        <f>(J145/Population_Tables!W11)*Population_Tables!K11</f>
        <v>1152.5771139428557</v>
      </c>
      <c r="K93" s="253">
        <f>(K145/Population_Tables!X11)*Population_Tables!L11</f>
        <v>1258.2938830183361</v>
      </c>
      <c r="L93" s="170"/>
      <c r="M93" s="170"/>
      <c r="N93" s="195">
        <f t="shared" si="9"/>
        <v>2715.4196778529831</v>
      </c>
      <c r="O93" s="195">
        <f t="shared" si="11"/>
        <v>3191.731770151232</v>
      </c>
      <c r="P93" s="195">
        <f t="shared" si="10"/>
        <v>3745.9825666688357</v>
      </c>
      <c r="Q93" s="195">
        <f t="shared" si="12"/>
        <v>9653.1340146730508</v>
      </c>
      <c r="R93" s="196">
        <f t="shared" si="13"/>
        <v>0.28129928308520991</v>
      </c>
      <c r="S93" s="170"/>
      <c r="T93" s="170"/>
      <c r="U93" s="195">
        <f t="shared" si="18"/>
        <v>9.0102186503045232</v>
      </c>
      <c r="V93" s="195">
        <f t="shared" si="14"/>
        <v>7.4522493456424854</v>
      </c>
      <c r="W93" s="195">
        <f t="shared" si="14"/>
        <v>9.5395266141649699</v>
      </c>
      <c r="X93" s="195">
        <f t="shared" si="17"/>
        <v>26.001994610111979</v>
      </c>
      <c r="Y93" s="207">
        <f t="shared" si="16"/>
        <v>0.34652028759364933</v>
      </c>
      <c r="AC93" s="251">
        <f t="shared" si="15"/>
        <v>1.2450542136768843</v>
      </c>
    </row>
    <row r="94" spans="1:35" ht="15.6" x14ac:dyDescent="0.3">
      <c r="A94" s="206">
        <v>2023</v>
      </c>
      <c r="B94" s="253">
        <f>(B146/Population_Tables!O12)*Population_Tables!C12</f>
        <v>11773.190728371497</v>
      </c>
      <c r="C94" s="253">
        <f>(C146/Population_Tables!P12)*Population_Tables!D12</f>
        <v>2839.7128187081348</v>
      </c>
      <c r="D94" s="253">
        <f>(D146/Population_Tables!Q12)*Population_Tables!E12</f>
        <v>530.14111472454897</v>
      </c>
      <c r="E94" s="253">
        <f>(E146/Population_Tables!R12)*Population_Tables!F12</f>
        <v>4942.780009650678</v>
      </c>
      <c r="F94" s="253">
        <f>(F146/Population_Tables!S12)*Population_Tables!G12</f>
        <v>1154.0393818290456</v>
      </c>
      <c r="G94" s="253">
        <f>(G146/Population_Tables!T12)*Population_Tables!H12</f>
        <v>418.19904913146797</v>
      </c>
      <c r="H94" s="253">
        <f>(H146/Population_Tables!U12)*Population_Tables!I12</f>
        <v>3263.6380083642443</v>
      </c>
      <c r="I94" s="253">
        <f>(I146/Population_Tables!V12)*Population_Tables!J12</f>
        <v>1147.5608831757086</v>
      </c>
      <c r="J94" s="253">
        <f>(J146/Population_Tables!W12)*Population_Tables!K12</f>
        <v>1161.8359279323113</v>
      </c>
      <c r="K94" s="253">
        <f>(K146/Population_Tables!X12)*Population_Tables!L12</f>
        <v>1273.1382016554871</v>
      </c>
      <c r="L94" s="170"/>
      <c r="M94" s="170"/>
      <c r="N94" s="195">
        <f t="shared" si="9"/>
        <v>2833.1813831154795</v>
      </c>
      <c r="O94" s="195">
        <f t="shared" si="11"/>
        <v>3263.6380083642443</v>
      </c>
      <c r="P94" s="195">
        <f t="shared" si="10"/>
        <v>3788.0529825641515</v>
      </c>
      <c r="Q94" s="195">
        <f t="shared" si="12"/>
        <v>9884.8723740438763</v>
      </c>
      <c r="R94" s="196">
        <f t="shared" si="13"/>
        <v>0.28661790217494049</v>
      </c>
      <c r="S94" s="170"/>
      <c r="T94" s="170"/>
      <c r="U94" s="195">
        <f>N94-N146</f>
        <v>15.756477128568804</v>
      </c>
      <c r="V94" s="195">
        <f t="shared" si="14"/>
        <v>12.454990689207989</v>
      </c>
      <c r="W94" s="195">
        <f t="shared" si="14"/>
        <v>15.739315076027651</v>
      </c>
      <c r="X94" s="195">
        <f t="shared" si="17"/>
        <v>43.950782893804444</v>
      </c>
      <c r="Y94" s="207">
        <f t="shared" si="16"/>
        <v>0.35850276357170258</v>
      </c>
      <c r="AC94" s="251">
        <f t="shared" si="15"/>
        <v>1.2373578504141176</v>
      </c>
    </row>
    <row r="95" spans="1:35" ht="15.6" x14ac:dyDescent="0.3">
      <c r="A95" s="206">
        <v>2024</v>
      </c>
      <c r="B95" s="253">
        <f>(B147/Population_Tables!O13)*Population_Tables!C13</f>
        <v>12077.532919593707</v>
      </c>
      <c r="C95" s="253">
        <f>(C147/Population_Tables!P13)*Population_Tables!D13</f>
        <v>2866.0072531615579</v>
      </c>
      <c r="D95" s="253">
        <f>(D147/Population_Tables!Q13)*Population_Tables!E13</f>
        <v>537.9727066660505</v>
      </c>
      <c r="E95" s="253">
        <f>(E147/Population_Tables!R13)*Population_Tables!F13</f>
        <v>5100.6354982649164</v>
      </c>
      <c r="F95" s="253">
        <f>(F147/Population_Tables!S13)*Population_Tables!G13</f>
        <v>1192.1110385167988</v>
      </c>
      <c r="G95" s="253">
        <f>(G147/Population_Tables!T13)*Population_Tables!H13</f>
        <v>426.97415196665202</v>
      </c>
      <c r="H95" s="253">
        <f>(H147/Population_Tables!U13)*Population_Tables!I13</f>
        <v>3335.2129491577643</v>
      </c>
      <c r="I95" s="253">
        <f>(I147/Population_Tables!V13)*Population_Tables!J13</f>
        <v>1210.718452704104</v>
      </c>
      <c r="J95" s="253">
        <f>(J147/Population_Tables!W13)*Population_Tables!K13</f>
        <v>1171.2391907102738</v>
      </c>
      <c r="K95" s="253">
        <f>(K147/Population_Tables!X13)*Population_Tables!L13</f>
        <v>1288.3639787651023</v>
      </c>
      <c r="L95" s="170"/>
      <c r="M95" s="170"/>
      <c r="N95" s="195">
        <f t="shared" si="9"/>
        <v>2957.5335876239506</v>
      </c>
      <c r="O95" s="195">
        <f t="shared" si="11"/>
        <v>3335.2129491577643</v>
      </c>
      <c r="P95" s="195">
        <f t="shared" si="10"/>
        <v>3830.9541117942608</v>
      </c>
      <c r="Q95" s="195">
        <f t="shared" si="12"/>
        <v>10123.700648575976</v>
      </c>
      <c r="R95" s="196">
        <f t="shared" si="13"/>
        <v>0.29213957329328621</v>
      </c>
      <c r="S95" s="170"/>
      <c r="T95" s="170"/>
      <c r="U95" s="195">
        <f t="shared" si="18"/>
        <v>23.904001131527821</v>
      </c>
      <c r="V95" s="195">
        <f t="shared" si="14"/>
        <v>18.203043571425496</v>
      </c>
      <c r="W95" s="195">
        <f t="shared" si="14"/>
        <v>22.803546000083315</v>
      </c>
      <c r="X95" s="195">
        <f t="shared" si="17"/>
        <v>64.910590703036632</v>
      </c>
      <c r="Y95" s="207">
        <f t="shared" si="16"/>
        <v>0.36826041594487524</v>
      </c>
      <c r="AC95" s="251">
        <f t="shared" si="15"/>
        <v>1.2333911663240809</v>
      </c>
    </row>
    <row r="96" spans="1:35" ht="15.6" x14ac:dyDescent="0.3">
      <c r="A96" s="206">
        <v>2025</v>
      </c>
      <c r="B96" s="253">
        <f>(B148/Population_Tables!O14)*Population_Tables!C14</f>
        <v>12390.203734211467</v>
      </c>
      <c r="C96" s="253">
        <f>(C148/Population_Tables!P14)*Population_Tables!D14</f>
        <v>2892.723891378846</v>
      </c>
      <c r="D96" s="253">
        <f>(D148/Population_Tables!Q14)*Population_Tables!E14</f>
        <v>545.93032502042649</v>
      </c>
      <c r="E96" s="253">
        <f>(E148/Population_Tables!R14)*Population_Tables!F14</f>
        <v>5263.1352118922669</v>
      </c>
      <c r="F96" s="253">
        <f>(F148/Population_Tables!S14)*Population_Tables!G14</f>
        <v>1231.7704946096333</v>
      </c>
      <c r="G96" s="253">
        <f>(G148/Population_Tables!T14)*Population_Tables!H14</f>
        <v>436.00802743111143</v>
      </c>
      <c r="H96" s="253">
        <f>(H148/Population_Tables!U14)*Population_Tables!I14</f>
        <v>3406.4321118819453</v>
      </c>
      <c r="I96" s="253">
        <f>(I148/Population_Tables!V14)*Population_Tables!J14</f>
        <v>1277.4232931696947</v>
      </c>
      <c r="J96" s="253">
        <f>(J148/Population_Tables!W14)*Population_Tables!K14</f>
        <v>1180.7646210837806</v>
      </c>
      <c r="K96" s="253">
        <f>(K148/Population_Tables!X14)*Population_Tables!L14</f>
        <v>1303.9189764810919</v>
      </c>
      <c r="L96" s="170"/>
      <c r="M96" s="170"/>
      <c r="N96" s="195">
        <f t="shared" si="9"/>
        <v>3088.4735946199553</v>
      </c>
      <c r="O96" s="195">
        <f t="shared" si="11"/>
        <v>3406.4321118819453</v>
      </c>
      <c r="P96" s="195">
        <f t="shared" si="10"/>
        <v>3874.6622438303839</v>
      </c>
      <c r="Q96" s="195">
        <f t="shared" si="12"/>
        <v>10369.567950332284</v>
      </c>
      <c r="R96" s="196">
        <f t="shared" si="13"/>
        <v>0.29784014236783968</v>
      </c>
      <c r="S96" s="170"/>
      <c r="T96" s="170"/>
      <c r="U96" s="195">
        <f t="shared" si="18"/>
        <v>33.432452899074633</v>
      </c>
      <c r="V96" s="195">
        <f t="shared" si="14"/>
        <v>24.639885164166117</v>
      </c>
      <c r="W96" s="195">
        <f t="shared" si="14"/>
        <v>30.692078112978834</v>
      </c>
      <c r="X96" s="195">
        <f t="shared" si="17"/>
        <v>88.764416176219584</v>
      </c>
      <c r="Y96" s="207">
        <f t="shared" si="16"/>
        <v>0.37664251441369079</v>
      </c>
      <c r="AC96" s="251">
        <f t="shared" si="15"/>
        <v>1.232026962193165</v>
      </c>
    </row>
    <row r="97" spans="1:29" ht="15.6" x14ac:dyDescent="0.3">
      <c r="A97" s="206">
        <v>2026</v>
      </c>
      <c r="B97" s="253">
        <f>(B149/Population_Tables!O15)*Population_Tables!C15</f>
        <v>12711.1461680346</v>
      </c>
      <c r="C97" s="253">
        <f>(C149/Population_Tables!P15)*Population_Tables!D15</f>
        <v>2919.8178861260731</v>
      </c>
      <c r="D97" s="253">
        <f>(D149/Population_Tables!Q15)*Population_Tables!E15</f>
        <v>554.01983520693602</v>
      </c>
      <c r="E97" s="253">
        <f>(E149/Population_Tables!R15)*Population_Tables!F15</f>
        <v>5430.1796542371549</v>
      </c>
      <c r="F97" s="253">
        <f>(F149/Population_Tables!S15)*Population_Tables!G15</f>
        <v>1273.1052066559298</v>
      </c>
      <c r="G97" s="253">
        <f>(G149/Population_Tables!T15)*Population_Tables!H15</f>
        <v>445.3038081905417</v>
      </c>
      <c r="H97" s="253">
        <f>(H149/Population_Tables!U15)*Population_Tables!I15</f>
        <v>3477.2726868471714</v>
      </c>
      <c r="I97" s="253">
        <f>(I149/Population_Tables!V15)*Population_Tables!J15</f>
        <v>1347.6607235805657</v>
      </c>
      <c r="J97" s="253">
        <f>(J149/Population_Tables!W15)*Population_Tables!K15</f>
        <v>1190.3914704872598</v>
      </c>
      <c r="K97" s="253">
        <f>(K149/Population_Tables!X15)*Population_Tables!L15</f>
        <v>1319.7735765786663</v>
      </c>
      <c r="L97" s="170"/>
      <c r="M97" s="170"/>
      <c r="N97" s="195">
        <f t="shared" si="9"/>
        <v>3226.0121740459131</v>
      </c>
      <c r="O97" s="195">
        <f t="shared" si="11"/>
        <v>3477.2726868471714</v>
      </c>
      <c r="P97" s="195">
        <f t="shared" si="10"/>
        <v>3919.1415295235506</v>
      </c>
      <c r="Q97" s="195">
        <f t="shared" si="12"/>
        <v>10622.426390416635</v>
      </c>
      <c r="R97" s="196">
        <f t="shared" si="13"/>
        <v>0.30369823762265508</v>
      </c>
      <c r="S97" s="170"/>
      <c r="T97" s="170"/>
      <c r="U97" s="195">
        <f>N97-N149</f>
        <v>44.336979238310505</v>
      </c>
      <c r="V97" s="195">
        <f t="shared" si="14"/>
        <v>31.731232054884913</v>
      </c>
      <c r="W97" s="195">
        <f t="shared" si="14"/>
        <v>39.364834852244257</v>
      </c>
      <c r="X97" s="195">
        <f t="shared" si="17"/>
        <v>115.43304614543968</v>
      </c>
      <c r="Y97" s="207">
        <f t="shared" si="16"/>
        <v>0.3840926036245132</v>
      </c>
      <c r="AC97" s="251">
        <f t="shared" si="15"/>
        <v>1.2320548822559081</v>
      </c>
    </row>
    <row r="98" spans="1:29" ht="15.6" x14ac:dyDescent="0.3">
      <c r="A98" s="206">
        <v>2027</v>
      </c>
      <c r="B98" s="253">
        <f>(B150/Population_Tables!O16)*Population_Tables!C16</f>
        <v>13040.293812945685</v>
      </c>
      <c r="C98" s="253">
        <f>(C150/Population_Tables!P16)*Population_Tables!D16</f>
        <v>2947.2532572206342</v>
      </c>
      <c r="D98" s="253">
        <f>(D150/Population_Tables!Q16)*Population_Tables!E16</f>
        <v>562.24965506274145</v>
      </c>
      <c r="E98" s="253">
        <f>(E150/Population_Tables!R16)*Population_Tables!F16</f>
        <v>5601.7169939348687</v>
      </c>
      <c r="F98" s="253">
        <f>(F150/Population_Tables!S16)*Population_Tables!G16</f>
        <v>1316.1963933831362</v>
      </c>
      <c r="G98" s="253">
        <f>(G150/Population_Tables!T16)*Population_Tables!H16</f>
        <v>454.84118080182003</v>
      </c>
      <c r="H98" s="253">
        <f>(H150/Population_Tables!U16)*Population_Tables!I16</f>
        <v>3547.7305603009941</v>
      </c>
      <c r="I98" s="253">
        <f>(I150/Population_Tables!V16)*Population_Tables!J16</f>
        <v>1421.4316419845306</v>
      </c>
      <c r="J98" s="253">
        <f>(J150/Population_Tables!W16)*Population_Tables!K16</f>
        <v>1200.1062340525368</v>
      </c>
      <c r="K98" s="253">
        <f>(K150/Population_Tables!X16)*Population_Tables!L16</f>
        <v>1335.9173641772363</v>
      </c>
      <c r="L98" s="170"/>
      <c r="M98" s="170"/>
      <c r="N98" s="195">
        <f t="shared" si="9"/>
        <v>3370.1828270170113</v>
      </c>
      <c r="O98" s="195">
        <f t="shared" si="11"/>
        <v>3547.7305603009941</v>
      </c>
      <c r="P98" s="195">
        <f t="shared" si="10"/>
        <v>3964.3440930851957</v>
      </c>
      <c r="Q98" s="195">
        <f t="shared" si="12"/>
        <v>10882.257480403201</v>
      </c>
      <c r="R98" s="196">
        <f t="shared" si="13"/>
        <v>0.30969519266439394</v>
      </c>
      <c r="S98" s="170"/>
      <c r="T98" s="170"/>
      <c r="U98" s="195">
        <f t="shared" si="18"/>
        <v>56.63587741379888</v>
      </c>
      <c r="V98" s="195">
        <f t="shared" si="14"/>
        <v>39.466715994100923</v>
      </c>
      <c r="W98" s="195">
        <f t="shared" si="14"/>
        <v>48.783754925043922</v>
      </c>
      <c r="X98" s="195">
        <f t="shared" si="17"/>
        <v>144.88634833294373</v>
      </c>
      <c r="Y98" s="207">
        <f t="shared" si="16"/>
        <v>0.39089864618336317</v>
      </c>
      <c r="AC98" s="251">
        <f t="shared" si="15"/>
        <v>1.2325590746464552</v>
      </c>
    </row>
    <row r="99" spans="1:29" ht="15.6" x14ac:dyDescent="0.3">
      <c r="A99" s="206">
        <v>2028</v>
      </c>
      <c r="B99" s="253">
        <f>(B151/Population_Tables!O17)*Population_Tables!C17</f>
        <v>13377.740535599014</v>
      </c>
      <c r="C99" s="253">
        <f>(C151/Population_Tables!P17)*Population_Tables!D17</f>
        <v>2975.0090637329695</v>
      </c>
      <c r="D99" s="253">
        <f>(D151/Population_Tables!Q17)*Population_Tables!E17</f>
        <v>570.62257656927125</v>
      </c>
      <c r="E99" s="253">
        <f>(E151/Population_Tables!R17)*Population_Tables!F17</f>
        <v>5777.7827892003952</v>
      </c>
      <c r="F99" s="253">
        <f>(F151/Population_Tables!S17)*Population_Tables!G17</f>
        <v>1361.1335599028585</v>
      </c>
      <c r="G99" s="253">
        <f>(G151/Population_Tables!T17)*Population_Tables!H17</f>
        <v>464.61230090095671</v>
      </c>
      <c r="H99" s="253">
        <f>(H151/Population_Tables!U17)*Population_Tables!I17</f>
        <v>3617.8409256059513</v>
      </c>
      <c r="I99" s="253">
        <f>(I151/Population_Tables!V17)*Population_Tables!J17</f>
        <v>1498.7680799853811</v>
      </c>
      <c r="J99" s="253">
        <f>(J151/Population_Tables!W17)*Population_Tables!K17</f>
        <v>1209.9099248187558</v>
      </c>
      <c r="K99" s="253">
        <f>(K151/Population_Tables!X17)*Population_Tables!L17</f>
        <v>1352.3497962613569</v>
      </c>
      <c r="L99" s="170"/>
      <c r="M99" s="170"/>
      <c r="N99" s="195">
        <f t="shared" si="9"/>
        <v>3521.0754234973028</v>
      </c>
      <c r="O99" s="195">
        <f t="shared" si="11"/>
        <v>3617.8409256059513</v>
      </c>
      <c r="P99" s="195">
        <f t="shared" si="10"/>
        <v>4010.2439412031972</v>
      </c>
      <c r="Q99" s="195">
        <f t="shared" si="12"/>
        <v>11149.160290306452</v>
      </c>
      <c r="R99" s="196">
        <f t="shared" si="13"/>
        <v>0.31581530194329288</v>
      </c>
      <c r="S99" s="170"/>
      <c r="T99" s="170"/>
      <c r="U99" s="195">
        <f t="shared" si="18"/>
        <v>70.402337220992194</v>
      </c>
      <c r="V99" s="195">
        <f t="shared" si="14"/>
        <v>47.858459542118908</v>
      </c>
      <c r="W99" s="195">
        <f t="shared" si="14"/>
        <v>58.938137688677216</v>
      </c>
      <c r="X99" s="195">
        <f t="shared" si="17"/>
        <v>177.19893445178832</v>
      </c>
      <c r="Y99" s="207">
        <f t="shared" si="16"/>
        <v>0.39730677522864577</v>
      </c>
      <c r="AC99" s="251">
        <f t="shared" si="15"/>
        <v>1.2331783287620026</v>
      </c>
    </row>
    <row r="100" spans="1:29" ht="15.6" x14ac:dyDescent="0.3">
      <c r="A100" s="206">
        <v>2029</v>
      </c>
      <c r="B100" s="253">
        <f>(B152/Population_Tables!O18)*Population_Tables!C18</f>
        <v>13723.62793290467</v>
      </c>
      <c r="C100" s="253">
        <f>(C152/Population_Tables!P18)*Population_Tables!D18</f>
        <v>3003.0708890942456</v>
      </c>
      <c r="D100" s="253">
        <f>(D152/Population_Tables!Q18)*Population_Tables!E18</f>
        <v>579.14021050020312</v>
      </c>
      <c r="E100" s="253">
        <f>(E152/Population_Tables!R18)*Population_Tables!F18</f>
        <v>5958.4657987530682</v>
      </c>
      <c r="F100" s="253">
        <f>(F152/Population_Tables!S18)*Population_Tables!G18</f>
        <v>1408.0060972691085</v>
      </c>
      <c r="G100" s="253">
        <f>(G152/Population_Tables!T18)*Population_Tables!H18</f>
        <v>474.60359781584873</v>
      </c>
      <c r="H100" s="253">
        <f>(H152/Population_Tables!U18)*Population_Tables!I18</f>
        <v>3687.6602003571597</v>
      </c>
      <c r="I100" s="253">
        <f>(I152/Population_Tables!V18)*Population_Tables!J18</f>
        <v>1579.7238312614215</v>
      </c>
      <c r="J100" s="253">
        <f>(J152/Population_Tables!W18)*Population_Tables!K18</f>
        <v>1219.809884933333</v>
      </c>
      <c r="K100" s="253">
        <f>(K152/Population_Tables!X18)*Population_Tables!L18</f>
        <v>1369.0809578266601</v>
      </c>
      <c r="L100" s="170"/>
      <c r="M100" s="170"/>
      <c r="N100" s="195">
        <f t="shared" si="9"/>
        <v>3678.8116956650165</v>
      </c>
      <c r="O100" s="195">
        <f t="shared" si="11"/>
        <v>3687.6602003571597</v>
      </c>
      <c r="P100" s="195">
        <f t="shared" si="10"/>
        <v>4056.8146974102974</v>
      </c>
      <c r="Q100" s="195">
        <f t="shared" si="12"/>
        <v>11423.286593432473</v>
      </c>
      <c r="R100" s="196">
        <f t="shared" si="13"/>
        <v>0.32204494438404929</v>
      </c>
      <c r="S100" s="170"/>
      <c r="T100" s="170"/>
      <c r="U100" s="195">
        <f t="shared" si="18"/>
        <v>85.7413950632249</v>
      </c>
      <c r="V100" s="195">
        <f t="shared" si="14"/>
        <v>56.936619836519185</v>
      </c>
      <c r="W100" s="195">
        <f t="shared" si="14"/>
        <v>69.82418894476632</v>
      </c>
      <c r="X100" s="195">
        <f t="shared" si="17"/>
        <v>212.5022038445104</v>
      </c>
      <c r="Y100" s="207">
        <f t="shared" si="16"/>
        <v>0.40348473339110674</v>
      </c>
      <c r="AC100" s="251">
        <f t="shared" si="15"/>
        <v>1.2336337907448724</v>
      </c>
    </row>
    <row r="101" spans="1:29" ht="15.6" x14ac:dyDescent="0.3">
      <c r="A101" s="206">
        <v>2030</v>
      </c>
      <c r="B101" s="253">
        <f>(B153/Population_Tables!O19)*Population_Tables!C19</f>
        <v>14086.436870127698</v>
      </c>
      <c r="C101" s="253">
        <f>(C153/Population_Tables!P19)*Population_Tables!D19</f>
        <v>3031.5861855213066</v>
      </c>
      <c r="D101" s="253">
        <f>(D153/Population_Tables!Q19)*Population_Tables!E19</f>
        <v>587.14990300684701</v>
      </c>
      <c r="E101" s="253">
        <f>(E153/Population_Tables!R19)*Population_Tables!F19</f>
        <v>6148.9949216241948</v>
      </c>
      <c r="F101" s="253">
        <f>(F153/Population_Tables!S19)*Population_Tables!G19</f>
        <v>1455.8005295099854</v>
      </c>
      <c r="G101" s="253">
        <f>(G153/Population_Tables!T19)*Population_Tables!H19</f>
        <v>484.79914127541917</v>
      </c>
      <c r="H101" s="253">
        <f>(H153/Population_Tables!U19)*Population_Tables!I19</f>
        <v>3761.7594927995365</v>
      </c>
      <c r="I101" s="253">
        <f>(I153/Population_Tables!V19)*Population_Tables!J19</f>
        <v>1663.0442336677063</v>
      </c>
      <c r="J101" s="253">
        <f>(J153/Population_Tables!W19)*Population_Tables!K19</f>
        <v>1230.5522396969086</v>
      </c>
      <c r="K101" s="253">
        <f>(K153/Population_Tables!X19)*Population_Tables!L19</f>
        <v>1385.9305398284337</v>
      </c>
      <c r="L101" s="170"/>
      <c r="M101" s="170"/>
      <c r="N101" s="195">
        <f t="shared" si="9"/>
        <v>3843.035958334644</v>
      </c>
      <c r="O101" s="195">
        <f t="shared" si="11"/>
        <v>3761.7594927995365</v>
      </c>
      <c r="P101" s="195">
        <f t="shared" si="10"/>
        <v>4103.5352298035732</v>
      </c>
      <c r="Q101" s="195">
        <f t="shared" si="12"/>
        <v>11708.330680937754</v>
      </c>
      <c r="R101" s="196">
        <f t="shared" si="13"/>
        <v>0.32823090353874806</v>
      </c>
      <c r="S101" s="170"/>
      <c r="T101" s="170"/>
      <c r="U101" s="195">
        <f t="shared" si="18"/>
        <v>102.77679137039695</v>
      </c>
      <c r="V101" s="195">
        <f t="shared" si="14"/>
        <v>66.80947254407829</v>
      </c>
      <c r="W101" s="195">
        <f t="shared" si="14"/>
        <v>81.430976226035909</v>
      </c>
      <c r="X101" s="195">
        <f t="shared" si="17"/>
        <v>251.01724014051115</v>
      </c>
      <c r="Y101" s="207">
        <f t="shared" si="16"/>
        <v>0.40944116552658255</v>
      </c>
      <c r="AC101" s="251">
        <f t="shared" si="15"/>
        <v>1.234145164777825</v>
      </c>
    </row>
    <row r="102" spans="1:29" ht="15.6" x14ac:dyDescent="0.3">
      <c r="A102" s="206">
        <v>2031</v>
      </c>
      <c r="B102" s="253">
        <f>(B154/Population_Tables!O20)*Population_Tables!C20</f>
        <v>14441.262077751069</v>
      </c>
      <c r="C102" s="253">
        <f>(C154/Population_Tables!P20)*Population_Tables!D20</f>
        <v>3060.0487446012353</v>
      </c>
      <c r="D102" s="253">
        <f>(D154/Population_Tables!Q20)*Population_Tables!E20</f>
        <v>596.62485553029376</v>
      </c>
      <c r="E102" s="253">
        <f>(E154/Population_Tables!R20)*Population_Tables!F20</f>
        <v>6333.9548554674311</v>
      </c>
      <c r="F102" s="253">
        <f>(F154/Population_Tables!S20)*Population_Tables!G20</f>
        <v>1507.930790973166</v>
      </c>
      <c r="G102" s="253">
        <f>(G154/Population_Tables!T20)*Population_Tables!H20</f>
        <v>495.21283923886591</v>
      </c>
      <c r="H102" s="253">
        <f>(H154/Population_Tables!U20)*Population_Tables!I20</f>
        <v>3826.6007408700079</v>
      </c>
      <c r="I102" s="253">
        <f>(I154/Population_Tables!V20)*Population_Tables!J20</f>
        <v>1752.6929546071708</v>
      </c>
      <c r="J102" s="253">
        <f>(J154/Population_Tables!W20)*Population_Tables!K20</f>
        <v>1239.9118562545586</v>
      </c>
      <c r="K102" s="253">
        <f>(K154/Population_Tables!X20)*Population_Tables!L20</f>
        <v>1403.4553139153436</v>
      </c>
      <c r="L102" s="170"/>
      <c r="M102" s="170"/>
      <c r="N102" s="195">
        <f t="shared" si="9"/>
        <v>4015.2849055705892</v>
      </c>
      <c r="O102" s="195">
        <f t="shared" si="11"/>
        <v>3826.6007408700079</v>
      </c>
      <c r="P102" s="195">
        <f t="shared" si="10"/>
        <v>4151.8864393703952</v>
      </c>
      <c r="Q102" s="195">
        <f t="shared" si="12"/>
        <v>11993.772085810993</v>
      </c>
      <c r="R102" s="196">
        <f t="shared" si="13"/>
        <v>0.33478082431804723</v>
      </c>
      <c r="S102" s="170"/>
      <c r="T102" s="170"/>
      <c r="U102" s="195">
        <f t="shared" si="18"/>
        <v>121.54139635485672</v>
      </c>
      <c r="V102" s="195">
        <f t="shared" si="14"/>
        <v>77.238072930157159</v>
      </c>
      <c r="W102" s="195">
        <f t="shared" si="14"/>
        <v>93.773874642507053</v>
      </c>
      <c r="X102" s="195">
        <f t="shared" si="17"/>
        <v>292.55334392752093</v>
      </c>
      <c r="Y102" s="207">
        <f t="shared" si="16"/>
        <v>0.41545037470147039</v>
      </c>
      <c r="AC102" s="251">
        <f t="shared" si="15"/>
        <v>1.2338382206438994</v>
      </c>
    </row>
    <row r="103" spans="1:29" ht="15.6" x14ac:dyDescent="0.3">
      <c r="A103" s="206">
        <v>2032</v>
      </c>
      <c r="B103" s="253">
        <f>(B155/Population_Tables!O21)*Population_Tables!C21</f>
        <v>14812.947569859778</v>
      </c>
      <c r="C103" s="253">
        <f>(C155/Population_Tables!P21)*Population_Tables!D21</f>
        <v>3088.876753162589</v>
      </c>
      <c r="D103" s="253">
        <f>(D155/Population_Tables!Q21)*Population_Tables!E21</f>
        <v>605.59775225688441</v>
      </c>
      <c r="E103" s="253">
        <f>(E155/Population_Tables!R21)*Population_Tables!F21</f>
        <v>6528.6590427372557</v>
      </c>
      <c r="F103" s="253">
        <f>(F155/Population_Tables!S21)*Population_Tables!G21</f>
        <v>1561.1523771135608</v>
      </c>
      <c r="G103" s="253">
        <f>(G155/Population_Tables!T21)*Population_Tables!H21</f>
        <v>505.82559055493647</v>
      </c>
      <c r="H103" s="253">
        <f>(H155/Population_Tables!U21)*Population_Tables!I21</f>
        <v>3895.707528080075</v>
      </c>
      <c r="I103" s="253">
        <f>(I155/Population_Tables!V21)*Population_Tables!J21</f>
        <v>1844.7158682304046</v>
      </c>
      <c r="J103" s="253">
        <f>(J155/Population_Tables!W21)*Population_Tables!K21</f>
        <v>1250.0873623477266</v>
      </c>
      <c r="K103" s="253">
        <f>(K155/Population_Tables!X21)*Population_Tables!L21</f>
        <v>1421.0587710574971</v>
      </c>
      <c r="L103" s="170"/>
      <c r="M103" s="170"/>
      <c r="N103" s="195">
        <f t="shared" si="9"/>
        <v>4194.103891770741</v>
      </c>
      <c r="O103" s="195">
        <f t="shared" si="11"/>
        <v>3895.707528080075</v>
      </c>
      <c r="P103" s="195">
        <f t="shared" si="10"/>
        <v>4200.3000959744104</v>
      </c>
      <c r="Q103" s="195">
        <f t="shared" si="12"/>
        <v>12290.111515825225</v>
      </c>
      <c r="R103" s="196">
        <f t="shared" si="13"/>
        <v>0.3412584081413948</v>
      </c>
      <c r="S103" s="170"/>
      <c r="T103" s="170"/>
      <c r="U103" s="195">
        <f t="shared" si="18"/>
        <v>142.05157964144746</v>
      </c>
      <c r="V103" s="195">
        <f t="shared" si="14"/>
        <v>88.414856748219336</v>
      </c>
      <c r="W103" s="195">
        <f t="shared" si="14"/>
        <v>106.76181031206079</v>
      </c>
      <c r="X103" s="195">
        <f t="shared" si="17"/>
        <v>337.22824670172758</v>
      </c>
      <c r="Y103" s="207">
        <f t="shared" si="16"/>
        <v>0.42123274378937053</v>
      </c>
      <c r="AC103" s="251">
        <f t="shared" si="15"/>
        <v>1.2337617752568888</v>
      </c>
    </row>
    <row r="104" spans="1:29" ht="15.6" x14ac:dyDescent="0.3">
      <c r="A104" s="206">
        <v>2033</v>
      </c>
      <c r="B104" s="253">
        <f>(B156/Population_Tables!O22)*Population_Tables!C22</f>
        <v>15192.652155896922</v>
      </c>
      <c r="C104" s="253">
        <f>(C156/Population_Tables!P22)*Population_Tables!D22</f>
        <v>3117.7815811758414</v>
      </c>
      <c r="D104" s="253">
        <f>(D156/Population_Tables!Q22)*Population_Tables!E22</f>
        <v>614.71694212759348</v>
      </c>
      <c r="E104" s="253">
        <f>(E156/Population_Tables!R22)*Population_Tables!F22</f>
        <v>6727.7017444458806</v>
      </c>
      <c r="F104" s="253">
        <f>(F156/Population_Tables!S22)*Population_Tables!G22</f>
        <v>1616.6013167606486</v>
      </c>
      <c r="G104" s="253">
        <f>(G156/Population_Tables!T22)*Population_Tables!H22</f>
        <v>516.62002176722956</v>
      </c>
      <c r="H104" s="253">
        <f>(H156/Population_Tables!U22)*Population_Tables!I22</f>
        <v>3964.4753887286502</v>
      </c>
      <c r="I104" s="253">
        <f>(I156/Population_Tables!V22)*Population_Tables!J22</f>
        <v>1940.3509303976061</v>
      </c>
      <c r="J104" s="253">
        <f>(J156/Population_Tables!W22)*Population_Tables!K22</f>
        <v>1260.2975529477283</v>
      </c>
      <c r="K104" s="253">
        <f>(K156/Population_Tables!X22)*Population_Tables!L22</f>
        <v>1438.8758813462744</v>
      </c>
      <c r="L104" s="170"/>
      <c r="M104" s="170"/>
      <c r="N104" s="195">
        <f t="shared" si="9"/>
        <v>4379.8276724778789</v>
      </c>
      <c r="O104" s="195">
        <f t="shared" si="11"/>
        <v>3964.4753887286502</v>
      </c>
      <c r="P104" s="195">
        <f t="shared" si="10"/>
        <v>4249.1185450706644</v>
      </c>
      <c r="Q104" s="195">
        <f t="shared" si="12"/>
        <v>12593.421606277192</v>
      </c>
      <c r="R104" s="196">
        <f t="shared" si="13"/>
        <v>0.34778694856803283</v>
      </c>
      <c r="S104" s="170"/>
      <c r="T104" s="170"/>
      <c r="U104" s="195">
        <f t="shared" si="18"/>
        <v>164.13891381834401</v>
      </c>
      <c r="V104" s="195">
        <f t="shared" si="14"/>
        <v>100.14711599578095</v>
      </c>
      <c r="W104" s="195">
        <f t="shared" si="14"/>
        <v>120.25888950660283</v>
      </c>
      <c r="X104" s="195">
        <f t="shared" si="17"/>
        <v>384.54491932072779</v>
      </c>
      <c r="Y104" s="207">
        <f t="shared" si="16"/>
        <v>0.42683937707013303</v>
      </c>
      <c r="AC104" s="251">
        <f t="shared" si="15"/>
        <v>1.2335772152823601</v>
      </c>
    </row>
    <row r="105" spans="1:29" ht="15.6" x14ac:dyDescent="0.3">
      <c r="A105" s="206">
        <v>2034</v>
      </c>
      <c r="B105" s="253">
        <f>(B157/Population_Tables!O23)*Population_Tables!C23</f>
        <v>15579.646977386186</v>
      </c>
      <c r="C105" s="253">
        <f>(C157/Population_Tables!P23)*Population_Tables!D23</f>
        <v>3146.6003867505228</v>
      </c>
      <c r="D105" s="253">
        <f>(D157/Population_Tables!Q23)*Population_Tables!E23</f>
        <v>623.96974518147533</v>
      </c>
      <c r="E105" s="253">
        <f>(E157/Population_Tables!R23)*Population_Tables!F23</f>
        <v>6930.709377790381</v>
      </c>
      <c r="F105" s="253">
        <f>(F157/Population_Tables!S23)*Population_Tables!G23</f>
        <v>1674.2850399357553</v>
      </c>
      <c r="G105" s="253">
        <f>(G157/Population_Tables!T23)*Population_Tables!H23</f>
        <v>527.56659224612929</v>
      </c>
      <c r="H105" s="253">
        <f>(H157/Population_Tables!U23)*Population_Tables!I23</f>
        <v>4032.777432162713</v>
      </c>
      <c r="I105" s="253">
        <f>(I157/Population_Tables!V23)*Population_Tables!J23</f>
        <v>2039.4775187046062</v>
      </c>
      <c r="J105" s="253">
        <f>(J157/Population_Tables!W23)*Population_Tables!K23</f>
        <v>1270.4878002382188</v>
      </c>
      <c r="K105" s="253">
        <f>(K157/Population_Tables!X23)*Population_Tables!L23</f>
        <v>1456.8378271139261</v>
      </c>
      <c r="L105" s="170"/>
      <c r="M105" s="170"/>
      <c r="N105" s="195">
        <f t="shared" si="9"/>
        <v>4572.2169855634238</v>
      </c>
      <c r="O105" s="195">
        <f t="shared" si="11"/>
        <v>4032.777432162713</v>
      </c>
      <c r="P105" s="195">
        <f t="shared" si="10"/>
        <v>4298.1367241781272</v>
      </c>
      <c r="Q105" s="195">
        <f t="shared" si="12"/>
        <v>12903.131141904263</v>
      </c>
      <c r="R105" s="196">
        <f t="shared" si="13"/>
        <v>0.35434941606651371</v>
      </c>
      <c r="S105" s="170"/>
      <c r="T105" s="170"/>
      <c r="U105" s="195">
        <f t="shared" si="18"/>
        <v>187.55921745923024</v>
      </c>
      <c r="V105" s="195">
        <f t="shared" si="14"/>
        <v>112.27880814983928</v>
      </c>
      <c r="W105" s="195">
        <f t="shared" si="14"/>
        <v>134.07383066789043</v>
      </c>
      <c r="X105" s="195">
        <f t="shared" si="17"/>
        <v>433.91185627695995</v>
      </c>
      <c r="Y105" s="207">
        <f t="shared" si="16"/>
        <v>0.43225188421565919</v>
      </c>
      <c r="AC105" s="251">
        <f t="shared" si="15"/>
        <v>1.233280343520796</v>
      </c>
    </row>
    <row r="106" spans="1:29" ht="15.6" x14ac:dyDescent="0.3">
      <c r="A106" s="206">
        <v>2035</v>
      </c>
      <c r="B106" s="253">
        <f>(B158/Population_Tables!O24)*Population_Tables!C24</f>
        <v>15973.389678440386</v>
      </c>
      <c r="C106" s="253">
        <f>(C158/Population_Tables!P24)*Population_Tables!D24</f>
        <v>3175.2062983228566</v>
      </c>
      <c r="D106" s="253">
        <f>(D158/Population_Tables!Q24)*Population_Tables!E24</f>
        <v>633.34749659611668</v>
      </c>
      <c r="E106" s="253">
        <f>(E158/Population_Tables!R24)*Population_Tables!F24</f>
        <v>7137.3857982111467</v>
      </c>
      <c r="F106" s="253">
        <f>(F158/Population_Tables!S24)*Population_Tables!G24</f>
        <v>1734.2327387340631</v>
      </c>
      <c r="G106" s="253">
        <f>(G158/Population_Tables!T24)*Population_Tables!H24</f>
        <v>538.64250827234673</v>
      </c>
      <c r="H106" s="253">
        <f>(H158/Population_Tables!U24)*Population_Tables!I24</f>
        <v>4100.5148901269758</v>
      </c>
      <c r="I106" s="253">
        <f>(I158/Population_Tables!V24)*Population_Tables!J24</f>
        <v>2141.995777003182</v>
      </c>
      <c r="J106" s="253">
        <f>(J158/Population_Tables!W24)*Population_Tables!K24</f>
        <v>1280.6158957411444</v>
      </c>
      <c r="K106" s="253">
        <f>(K158/Population_Tables!X24)*Population_Tables!L24</f>
        <v>1474.8920067896115</v>
      </c>
      <c r="L106" s="170"/>
      <c r="M106" s="170"/>
      <c r="N106" s="195">
        <f t="shared" si="9"/>
        <v>4771.1036468182347</v>
      </c>
      <c r="O106" s="195">
        <f t="shared" si="11"/>
        <v>4100.5148901269758</v>
      </c>
      <c r="P106" s="195">
        <f t="shared" si="10"/>
        <v>4347.1963031913201</v>
      </c>
      <c r="Q106" s="195">
        <f t="shared" si="12"/>
        <v>13218.814840136529</v>
      </c>
      <c r="R106" s="196">
        <f t="shared" si="13"/>
        <v>0.36093278440754351</v>
      </c>
      <c r="S106" s="170"/>
      <c r="T106" s="170"/>
      <c r="U106" s="195">
        <f t="shared" si="18"/>
        <v>212.13556021935892</v>
      </c>
      <c r="V106" s="195">
        <f t="shared" si="14"/>
        <v>124.68709349765686</v>
      </c>
      <c r="W106" s="195">
        <f t="shared" si="14"/>
        <v>148.06045020604961</v>
      </c>
      <c r="X106" s="195">
        <f t="shared" si="17"/>
        <v>484.88310392306539</v>
      </c>
      <c r="Y106" s="207">
        <f t="shared" si="16"/>
        <v>0.43749835476432208</v>
      </c>
      <c r="AC106" s="251">
        <f t="shared" si="15"/>
        <v>1.2328916526583611</v>
      </c>
    </row>
    <row r="107" spans="1:29" ht="15.6" x14ac:dyDescent="0.3">
      <c r="A107" s="206">
        <v>2036</v>
      </c>
      <c r="B107" s="253">
        <f>(B159/Population_Tables!O25)*Population_Tables!C25</f>
        <v>16373.659551474693</v>
      </c>
      <c r="C107" s="253">
        <f>(C159/Population_Tables!P25)*Population_Tables!D25</f>
        <v>3203.529793192889</v>
      </c>
      <c r="D107" s="253">
        <f>(D159/Population_Tables!Q25)*Population_Tables!E25</f>
        <v>642.84626555049545</v>
      </c>
      <c r="E107" s="253">
        <f>(E159/Population_Tables!R25)*Population_Tables!F25</f>
        <v>7347.5809376821162</v>
      </c>
      <c r="F107" s="253">
        <f>(F159/Population_Tables!S25)*Population_Tables!G25</f>
        <v>1796.5110915525725</v>
      </c>
      <c r="G107" s="253">
        <f>(G159/Population_Tables!T25)*Population_Tables!H25</f>
        <v>549.8356083878391</v>
      </c>
      <c r="H107" s="253">
        <f>(H159/Population_Tables!U25)*Population_Tables!I25</f>
        <v>4167.641411480432</v>
      </c>
      <c r="I107" s="253">
        <f>(I159/Population_Tables!V25)*Population_Tables!J25</f>
        <v>2247.8600540221064</v>
      </c>
      <c r="J107" s="253">
        <f>(J159/Population_Tables!W25)*Population_Tables!K25</f>
        <v>1290.6585206407406</v>
      </c>
      <c r="K107" s="253">
        <f>(K159/Population_Tables!X25)*Population_Tables!L25</f>
        <v>1493.013734326385</v>
      </c>
      <c r="L107" s="170"/>
      <c r="M107" s="170"/>
      <c r="N107" s="195">
        <f t="shared" si="9"/>
        <v>4976.4506177542571</v>
      </c>
      <c r="O107" s="195">
        <f t="shared" si="11"/>
        <v>4167.641411480432</v>
      </c>
      <c r="P107" s="195">
        <f t="shared" si="10"/>
        <v>4396.2116671312233</v>
      </c>
      <c r="Q107" s="195">
        <f t="shared" si="12"/>
        <v>13540.303696365912</v>
      </c>
      <c r="R107" s="196">
        <f t="shared" si="13"/>
        <v>0.36752872973520445</v>
      </c>
      <c r="S107" s="170"/>
      <c r="T107" s="170"/>
      <c r="U107" s="195">
        <f t="shared" si="18"/>
        <v>237.81784097748186</v>
      </c>
      <c r="V107" s="195">
        <f t="shared" si="14"/>
        <v>137.30902706680808</v>
      </c>
      <c r="W107" s="195">
        <f t="shared" si="14"/>
        <v>162.14399283321109</v>
      </c>
      <c r="X107" s="195">
        <f t="shared" si="17"/>
        <v>537.27086087750104</v>
      </c>
      <c r="Y107" s="207">
        <f t="shared" si="16"/>
        <v>0.44264049717690696</v>
      </c>
      <c r="AC107" s="251">
        <f t="shared" si="15"/>
        <v>1.2324441630101852</v>
      </c>
    </row>
    <row r="108" spans="1:29" ht="15.6" x14ac:dyDescent="0.3">
      <c r="A108" s="206">
        <v>2037</v>
      </c>
      <c r="B108" s="253">
        <f>(B160/Population_Tables!O26)*Population_Tables!C26</f>
        <v>16780.621055117237</v>
      </c>
      <c r="C108" s="253">
        <f>(C160/Population_Tables!P26)*Population_Tables!D26</f>
        <v>3231.5673261234328</v>
      </c>
      <c r="D108" s="253">
        <f>(D160/Population_Tables!Q26)*Population_Tables!E26</f>
        <v>652.47289033890331</v>
      </c>
      <c r="E108" s="253">
        <f>(E160/Population_Tables!R26)*Population_Tables!F26</f>
        <v>7561.32542670985</v>
      </c>
      <c r="F108" s="253">
        <f>(F160/Population_Tables!S26)*Population_Tables!G26</f>
        <v>1861.22815569052</v>
      </c>
      <c r="G108" s="253">
        <f>(G160/Population_Tables!T26)*Population_Tables!H26</f>
        <v>561.14741733582127</v>
      </c>
      <c r="H108" s="253">
        <f>(H160/Population_Tables!U26)*Population_Tables!I26</f>
        <v>4234.176054655326</v>
      </c>
      <c r="I108" s="253">
        <f>(I160/Population_Tables!V26)*Population_Tables!J26</f>
        <v>2357.0883605565537</v>
      </c>
      <c r="J108" s="253">
        <f>(J160/Population_Tables!W26)*Population_Tables!K26</f>
        <v>1300.6168493659213</v>
      </c>
      <c r="K108" s="253">
        <f>(K160/Population_Tables!X26)*Population_Tables!L26</f>
        <v>1511.206050263542</v>
      </c>
      <c r="L108" s="170"/>
      <c r="M108" s="170"/>
      <c r="N108" s="195">
        <f t="shared" si="9"/>
        <v>5188.377527745045</v>
      </c>
      <c r="O108" s="195">
        <f t="shared" si="11"/>
        <v>4234.176054655326</v>
      </c>
      <c r="P108" s="195">
        <f t="shared" si="10"/>
        <v>4445.1876337981575</v>
      </c>
      <c r="Q108" s="195">
        <f t="shared" si="12"/>
        <v>13867.74121619853</v>
      </c>
      <c r="R108" s="196">
        <f t="shared" si="13"/>
        <v>0.37413284880775266</v>
      </c>
      <c r="S108" s="170"/>
      <c r="T108" s="170"/>
      <c r="U108" s="195">
        <f t="shared" si="18"/>
        <v>264.70467979774457</v>
      </c>
      <c r="V108" s="195">
        <f t="shared" si="14"/>
        <v>150.15542717015478</v>
      </c>
      <c r="W108" s="195">
        <f t="shared" si="14"/>
        <v>176.33626097816705</v>
      </c>
      <c r="X108" s="195">
        <f t="shared" si="17"/>
        <v>591.1963679460664</v>
      </c>
      <c r="Y108" s="207">
        <f t="shared" si="16"/>
        <v>0.44774409003455351</v>
      </c>
      <c r="AC108" s="251">
        <f t="shared" si="15"/>
        <v>1.2319722325454923</v>
      </c>
    </row>
    <row r="109" spans="1:29" ht="15.6" x14ac:dyDescent="0.3">
      <c r="A109" s="206">
        <v>2038</v>
      </c>
      <c r="B109" s="253">
        <f>(B161/Population_Tables!O27)*Population_Tables!C27</f>
        <v>17194.601652600202</v>
      </c>
      <c r="C109" s="253">
        <f>(C161/Population_Tables!P27)*Population_Tables!D27</f>
        <v>3259.3417296614707</v>
      </c>
      <c r="D109" s="253">
        <f>(D161/Population_Tables!Q27)*Population_Tables!E27</f>
        <v>662.24220478605332</v>
      </c>
      <c r="E109" s="253">
        <f>(E161/Population_Tables!R27)*Population_Tables!F27</f>
        <v>7778.7267614374159</v>
      </c>
      <c r="F109" s="253">
        <f>(F161/Population_Tables!S27)*Population_Tables!G27</f>
        <v>1928.5071733996447</v>
      </c>
      <c r="G109" s="253">
        <f>(G161/Population_Tables!T27)*Population_Tables!H27</f>
        <v>572.58739958753029</v>
      </c>
      <c r="H109" s="253">
        <f>(H161/Population_Tables!U27)*Population_Tables!I27</f>
        <v>4300.1659016912445</v>
      </c>
      <c r="I109" s="253">
        <f>(I161/Population_Tables!V27)*Population_Tables!J27</f>
        <v>2469.7202918743869</v>
      </c>
      <c r="J109" s="253">
        <f>(J161/Population_Tables!W27)*Population_Tables!K27</f>
        <v>1310.5021310974441</v>
      </c>
      <c r="K109" s="253">
        <f>(K161/Population_Tables!X27)*Population_Tables!L27</f>
        <v>1529.4796742103963</v>
      </c>
      <c r="L109" s="170"/>
      <c r="M109" s="170"/>
      <c r="N109" s="195">
        <f t="shared" si="9"/>
        <v>5407.0680331458161</v>
      </c>
      <c r="O109" s="195">
        <f t="shared" si="11"/>
        <v>4300.1659016912445</v>
      </c>
      <c r="P109" s="195">
        <f t="shared" si="10"/>
        <v>4494.1713340350543</v>
      </c>
      <c r="Q109" s="195">
        <f t="shared" si="12"/>
        <v>14201.405268872117</v>
      </c>
      <c r="R109" s="196">
        <f t="shared" si="13"/>
        <v>0.38074175976074009</v>
      </c>
      <c r="S109" s="170"/>
      <c r="T109" s="170"/>
      <c r="U109" s="195">
        <f t="shared" si="18"/>
        <v>292.95290514093813</v>
      </c>
      <c r="V109" s="195">
        <f t="shared" si="14"/>
        <v>163.26898495139994</v>
      </c>
      <c r="W109" s="195">
        <f t="shared" si="14"/>
        <v>190.68757955986075</v>
      </c>
      <c r="X109" s="195">
        <f t="shared" si="17"/>
        <v>646.90946965219882</v>
      </c>
      <c r="Y109" s="207">
        <f t="shared" si="16"/>
        <v>0.45284992550571235</v>
      </c>
      <c r="AC109" s="251">
        <f t="shared" si="15"/>
        <v>1.2315031407921488</v>
      </c>
    </row>
    <row r="110" spans="1:29" ht="15.6" x14ac:dyDescent="0.3">
      <c r="A110" s="206">
        <v>2039</v>
      </c>
      <c r="B110" s="253">
        <f>(B162/Population_Tables!O28)*Population_Tables!C28</f>
        <v>17616.151422640291</v>
      </c>
      <c r="C110" s="253">
        <f>(C162/Population_Tables!P28)*Population_Tables!D28</f>
        <v>3286.9111720755536</v>
      </c>
      <c r="D110" s="253">
        <f>(D162/Population_Tables!Q28)*Population_Tables!E28</f>
        <v>672.17683549090793</v>
      </c>
      <c r="E110" s="253">
        <f>(E162/Population_Tables!R28)*Population_Tables!F28</f>
        <v>8000.0041975891418</v>
      </c>
      <c r="F110" s="253">
        <f>(F162/Population_Tables!S28)*Population_Tables!G28</f>
        <v>1998.4945017576365</v>
      </c>
      <c r="G110" s="253">
        <f>(G162/Population_Tables!T28)*Population_Tables!H28</f>
        <v>584.17293211856258</v>
      </c>
      <c r="H110" s="253">
        <f>(H162/Population_Tables!U28)*Population_Tables!I28</f>
        <v>4365.6974465333451</v>
      </c>
      <c r="I110" s="253">
        <f>(I162/Population_Tables!V28)*Population_Tables!J28</f>
        <v>2585.8372002428609</v>
      </c>
      <c r="J110" s="253">
        <f>(J162/Population_Tables!W28)*Population_Tables!K28</f>
        <v>1320.3395012788649</v>
      </c>
      <c r="K110" s="253">
        <f>(K162/Population_Tables!X28)*Population_Tables!L28</f>
        <v>1547.8595236139322</v>
      </c>
      <c r="L110" s="170"/>
      <c r="M110" s="170"/>
      <c r="N110" s="195">
        <f t="shared" si="9"/>
        <v>5632.8012528134341</v>
      </c>
      <c r="O110" s="195">
        <f t="shared" si="11"/>
        <v>4365.6974465333451</v>
      </c>
      <c r="P110" s="195">
        <f t="shared" si="10"/>
        <v>4543.2609396850239</v>
      </c>
      <c r="Q110" s="195">
        <f t="shared" si="12"/>
        <v>14541.759639031803</v>
      </c>
      <c r="R110" s="196">
        <f t="shared" si="13"/>
        <v>0.38735348352852217</v>
      </c>
      <c r="S110" s="170"/>
      <c r="T110" s="170"/>
      <c r="U110" s="195">
        <f t="shared" si="18"/>
        <v>322.80988689197147</v>
      </c>
      <c r="V110" s="195">
        <f t="shared" si="14"/>
        <v>176.736642852964</v>
      </c>
      <c r="W110" s="195">
        <f t="shared" si="14"/>
        <v>205.29677397894739</v>
      </c>
      <c r="X110" s="195">
        <f t="shared" si="17"/>
        <v>704.84330372388285</v>
      </c>
      <c r="Y110" s="207">
        <f t="shared" si="16"/>
        <v>0.45798815876731358</v>
      </c>
      <c r="AC110" s="251">
        <f t="shared" si="15"/>
        <v>1.2310536514104999</v>
      </c>
    </row>
    <row r="111" spans="1:29" ht="15.6" x14ac:dyDescent="0.3">
      <c r="A111" s="206">
        <v>2040</v>
      </c>
      <c r="B111" s="253">
        <f>(B163/Population_Tables!O29)*Population_Tables!C29</f>
        <v>18033.229312421623</v>
      </c>
      <c r="C111" s="253">
        <f>(C163/Population_Tables!P29)*Population_Tables!D29</f>
        <v>3314.318007878097</v>
      </c>
      <c r="D111" s="253">
        <f>(D163/Population_Tables!Q29)*Population_Tables!E29</f>
        <v>683.30854061108471</v>
      </c>
      <c r="E111" s="253">
        <f>(E163/Population_Tables!R29)*Population_Tables!F29</f>
        <v>8217.387206510497</v>
      </c>
      <c r="F111" s="253">
        <f>(F163/Population_Tables!S29)*Population_Tables!G29</f>
        <v>2073.0405097716916</v>
      </c>
      <c r="G111" s="253">
        <f>(G163/Population_Tables!T29)*Population_Tables!H29</f>
        <v>595.92679382557867</v>
      </c>
      <c r="H111" s="253">
        <f>(H163/Population_Tables!U29)*Population_Tables!I29</f>
        <v>4423.8894970095853</v>
      </c>
      <c r="I111" s="253">
        <f>(I163/Population_Tables!V29)*Population_Tables!J29</f>
        <v>2707.5530347625772</v>
      </c>
      <c r="J111" s="253">
        <f>(J163/Population_Tables!W29)*Population_Tables!K29</f>
        <v>1330.1125227923853</v>
      </c>
      <c r="K111" s="253">
        <f>(K163/Population_Tables!X29)*Population_Tables!L29</f>
        <v>1566.6587067939313</v>
      </c>
      <c r="L111" s="170"/>
      <c r="M111" s="170"/>
      <c r="N111" s="195">
        <f t="shared" si="9"/>
        <v>5866.5382192726038</v>
      </c>
      <c r="O111" s="195">
        <f t="shared" si="11"/>
        <v>4423.8894970095853</v>
      </c>
      <c r="P111" s="195">
        <f t="shared" si="10"/>
        <v>4593.5533423147608</v>
      </c>
      <c r="Q111" s="195">
        <f t="shared" si="12"/>
        <v>14883.98105859695</v>
      </c>
      <c r="R111" s="196">
        <f>N111/Q111</f>
        <v>0.39415114788016381</v>
      </c>
      <c r="S111" s="170"/>
      <c r="T111" s="170"/>
      <c r="U111" s="195">
        <f t="shared" si="18"/>
        <v>354.46486566916246</v>
      </c>
      <c r="V111" s="195">
        <f t="shared" si="14"/>
        <v>190.33463779825433</v>
      </c>
      <c r="W111" s="195">
        <f t="shared" si="14"/>
        <v>220.29222690141069</v>
      </c>
      <c r="X111" s="195">
        <f t="shared" si="17"/>
        <v>765.09173036882748</v>
      </c>
      <c r="Y111" s="207">
        <f t="shared" si="16"/>
        <v>0.46329721208499497</v>
      </c>
      <c r="AC111" s="251">
        <f t="shared" si="15"/>
        <v>1.2302535722470158</v>
      </c>
    </row>
    <row r="112" spans="1:29" ht="15.6" x14ac:dyDescent="0.3">
      <c r="A112" s="206">
        <v>2041</v>
      </c>
      <c r="B112" s="253">
        <f>(B164/Population_Tables!O30)*Population_Tables!C30</f>
        <v>18483.61714062815</v>
      </c>
      <c r="C112" s="253">
        <f>(C164/Population_Tables!P30)*Population_Tables!D30</f>
        <v>3341.5722799469781</v>
      </c>
      <c r="D112" s="253">
        <f>(D164/Population_Tables!Q30)*Population_Tables!E30</f>
        <v>692.60729699643468</v>
      </c>
      <c r="E112" s="253">
        <f>(E164/Population_Tables!R30)*Population_Tables!F30</f>
        <v>8454.8321995903916</v>
      </c>
      <c r="F112" s="253">
        <f>(F164/Population_Tables!S30)*Population_Tables!G30</f>
        <v>2147.1313749296364</v>
      </c>
      <c r="G112" s="253">
        <f>(G164/Population_Tables!T30)*Population_Tables!H30</f>
        <v>607.82851272235723</v>
      </c>
      <c r="H112" s="253">
        <f>(H164/Population_Tables!U30)*Population_Tables!I30</f>
        <v>4495.6268829829614</v>
      </c>
      <c r="I112" s="253">
        <f>(I164/Population_Tables!V30)*Population_Tables!J30</f>
        <v>2828.8037077800382</v>
      </c>
      <c r="J112" s="253">
        <f>(J164/Population_Tables!W30)*Population_Tables!K30</f>
        <v>1339.9317638146863</v>
      </c>
      <c r="K112" s="253">
        <f>(K164/Population_Tables!X30)*Population_Tables!L30</f>
        <v>1585.0079962346808</v>
      </c>
      <c r="L112" s="170"/>
      <c r="M112" s="170"/>
      <c r="N112" s="195">
        <f t="shared" si="9"/>
        <v>6106.3366915370671</v>
      </c>
      <c r="O112" s="195">
        <f t="shared" si="11"/>
        <v>4495.6268829829614</v>
      </c>
      <c r="P112" s="195">
        <f t="shared" si="10"/>
        <v>4642.0080896657701</v>
      </c>
      <c r="Q112" s="195">
        <f t="shared" si="12"/>
        <v>15243.971664185799</v>
      </c>
      <c r="R112" s="196">
        <f t="shared" si="13"/>
        <v>0.40057386789056426</v>
      </c>
      <c r="S112" s="170"/>
      <c r="T112" s="170"/>
      <c r="U112" s="195">
        <f t="shared" si="18"/>
        <v>388.17766199036942</v>
      </c>
      <c r="V112" s="195">
        <f t="shared" si="14"/>
        <v>204.97467364585918</v>
      </c>
      <c r="W112" s="195">
        <f t="shared" si="14"/>
        <v>235.55152357037241</v>
      </c>
      <c r="X112" s="195">
        <f t="shared" si="17"/>
        <v>828.70385920660101</v>
      </c>
      <c r="Y112" s="207">
        <f t="shared" si="16"/>
        <v>0.46841541484072458</v>
      </c>
      <c r="AC112" s="251">
        <f t="shared" si="15"/>
        <v>1.2302192117557977</v>
      </c>
    </row>
    <row r="113" spans="1:29" ht="15.6" x14ac:dyDescent="0.3">
      <c r="A113" s="206">
        <v>2042</v>
      </c>
      <c r="B113" s="253">
        <f>(B165/Population_Tables!O31)*Population_Tables!C31</f>
        <v>18929.821266522216</v>
      </c>
      <c r="C113" s="253">
        <f>(C165/Population_Tables!P31)*Population_Tables!D31</f>
        <v>3368.6482302779123</v>
      </c>
      <c r="D113" s="253">
        <f>(D165/Population_Tables!Q31)*Population_Tables!E31</f>
        <v>703.11367718714132</v>
      </c>
      <c r="E113" s="253">
        <f>(E165/Population_Tables!R31)*Population_Tables!F31</f>
        <v>8688.4522504187371</v>
      </c>
      <c r="F113" s="253">
        <f>(F165/Population_Tables!S31)*Population_Tables!G31</f>
        <v>2225.9979755478712</v>
      </c>
      <c r="G113" s="253">
        <f>(G165/Population_Tables!T31)*Population_Tables!H31</f>
        <v>619.90024631823587</v>
      </c>
      <c r="H113" s="253">
        <f>(H165/Population_Tables!U31)*Population_Tables!I31</f>
        <v>4560.0414042055554</v>
      </c>
      <c r="I113" s="253">
        <f>(I165/Population_Tables!V31)*Population_Tables!J31</f>
        <v>2955.7189952662079</v>
      </c>
      <c r="J113" s="253">
        <f>(J165/Population_Tables!W31)*Population_Tables!K31</f>
        <v>1349.6837572454731</v>
      </c>
      <c r="K113" s="253">
        <f>(K165/Population_Tables!X31)*Population_Tables!L31</f>
        <v>1603.7823202490372</v>
      </c>
      <c r="L113" s="170"/>
      <c r="M113" s="170"/>
      <c r="N113" s="195">
        <f t="shared" si="9"/>
        <v>6354.4088217610524</v>
      </c>
      <c r="O113" s="195">
        <f t="shared" si="11"/>
        <v>4560.0414042055554</v>
      </c>
      <c r="P113" s="195">
        <f t="shared" si="10"/>
        <v>4691.6621537832898</v>
      </c>
      <c r="Q113" s="195">
        <f t="shared" si="12"/>
        <v>15606.112379749899</v>
      </c>
      <c r="R113" s="196">
        <f t="shared" si="13"/>
        <v>0.40717436009280406</v>
      </c>
      <c r="S113" s="170"/>
      <c r="T113" s="170"/>
      <c r="U113" s="195">
        <f t="shared" si="18"/>
        <v>423.91372142147975</v>
      </c>
      <c r="V113" s="195">
        <f t="shared" si="14"/>
        <v>219.75661718831088</v>
      </c>
      <c r="W113" s="195">
        <f t="shared" si="14"/>
        <v>251.20759392396121</v>
      </c>
      <c r="X113" s="195">
        <f t="shared" si="17"/>
        <v>894.87793253375185</v>
      </c>
      <c r="Y113" s="207">
        <f t="shared" si="16"/>
        <v>0.47371122474907057</v>
      </c>
      <c r="AC113" s="251">
        <f t="shared" si="15"/>
        <v>1.2298149679213328</v>
      </c>
    </row>
    <row r="114" spans="1:29" ht="15.6" x14ac:dyDescent="0.3">
      <c r="A114" s="206">
        <v>2043</v>
      </c>
      <c r="B114" s="253">
        <f>(B166/Population_Tables!O32)*Population_Tables!C32</f>
        <v>19384.734023954858</v>
      </c>
      <c r="C114" s="253">
        <f>(C166/Population_Tables!P32)*Population_Tables!D32</f>
        <v>3395.5532528360609</v>
      </c>
      <c r="D114" s="253">
        <f>(D166/Population_Tables!Q32)*Population_Tables!E32</f>
        <v>713.8223484570683</v>
      </c>
      <c r="E114" s="253">
        <f>(E166/Population_Tables!R32)*Population_Tables!F32</f>
        <v>8926.373072165894</v>
      </c>
      <c r="F114" s="253">
        <f>(F166/Population_Tables!S32)*Population_Tables!G32</f>
        <v>2308.0652778567505</v>
      </c>
      <c r="G114" s="253">
        <f>(G166/Population_Tables!T32)*Population_Tables!H32</f>
        <v>632.14132030597864</v>
      </c>
      <c r="H114" s="253">
        <f>(H166/Population_Tables!U32)*Population_Tables!I32</f>
        <v>4624.1465272050564</v>
      </c>
      <c r="I114" s="253">
        <f>(I166/Population_Tables!V32)*Population_Tables!J32</f>
        <v>3086.3636262845084</v>
      </c>
      <c r="J114" s="253">
        <f>(J166/Population_Tables!W32)*Population_Tables!K32</f>
        <v>1359.4063117685309</v>
      </c>
      <c r="K114" s="253">
        <f>(K166/Population_Tables!X32)*Population_Tables!L32</f>
        <v>1622.705392582244</v>
      </c>
      <c r="L114" s="170"/>
      <c r="M114" s="170"/>
      <c r="N114" s="195">
        <f t="shared" si="9"/>
        <v>6610.2918228175886</v>
      </c>
      <c r="O114" s="195">
        <f t="shared" si="11"/>
        <v>4624.1465272050564</v>
      </c>
      <c r="P114" s="195">
        <f t="shared" si="10"/>
        <v>4741.5169215991073</v>
      </c>
      <c r="Q114" s="195">
        <f t="shared" si="12"/>
        <v>15975.955271621751</v>
      </c>
      <c r="R114" s="196">
        <f t="shared" si="13"/>
        <v>0.41376504318083035</v>
      </c>
      <c r="S114" s="170"/>
      <c r="T114" s="170"/>
      <c r="U114" s="195">
        <f t="shared" si="18"/>
        <v>461.94164091918265</v>
      </c>
      <c r="V114" s="195">
        <f t="shared" si="14"/>
        <v>235.03190669205196</v>
      </c>
      <c r="W114" s="195">
        <f t="shared" si="14"/>
        <v>267.24546917649513</v>
      </c>
      <c r="X114" s="195">
        <f t="shared" si="17"/>
        <v>964.21901678772974</v>
      </c>
      <c r="Y114" s="207">
        <f t="shared" si="16"/>
        <v>0.47908372773867192</v>
      </c>
      <c r="AC114" s="251">
        <f t="shared" si="15"/>
        <v>1.2294135830086996</v>
      </c>
    </row>
    <row r="115" spans="1:29" ht="15.6" x14ac:dyDescent="0.3">
      <c r="A115" s="206">
        <v>2044</v>
      </c>
      <c r="B115" s="253">
        <f>(B167/Population_Tables!O33)*Population_Tables!C33</f>
        <v>19848.76932046971</v>
      </c>
      <c r="C115" s="253">
        <f>(C167/Population_Tables!P33)*Population_Tables!D33</f>
        <v>3422.2917203559336</v>
      </c>
      <c r="D115" s="253">
        <f>(D167/Population_Tables!Q33)*Population_Tables!E33</f>
        <v>724.73975810656736</v>
      </c>
      <c r="E115" s="253">
        <f>(E167/Population_Tables!R33)*Population_Tables!F33</f>
        <v>9168.7909552492001</v>
      </c>
      <c r="F115" s="253">
        <f>(F167/Population_Tables!S33)*Population_Tables!G33</f>
        <v>2393.4737762085292</v>
      </c>
      <c r="G115" s="253">
        <f>(G167/Population_Tables!T33)*Population_Tables!H33</f>
        <v>644.55989287692898</v>
      </c>
      <c r="H115" s="253">
        <f>(H167/Population_Tables!U33)*Population_Tables!I33</f>
        <v>4688.0120589114358</v>
      </c>
      <c r="I115" s="253">
        <f>(I167/Population_Tables!V33)*Population_Tables!J33</f>
        <v>3220.8625958993412</v>
      </c>
      <c r="J115" s="253">
        <f>(J167/Population_Tables!W33)*Population_Tables!K33</f>
        <v>1369.1004982304883</v>
      </c>
      <c r="K115" s="253">
        <f>(K167/Population_Tables!X33)*Population_Tables!L33</f>
        <v>1641.7955490760614</v>
      </c>
      <c r="L115" s="170"/>
      <c r="M115" s="170"/>
      <c r="N115" s="195">
        <f t="shared" si="9"/>
        <v>6874.252672546294</v>
      </c>
      <c r="O115" s="195">
        <f t="shared" si="11"/>
        <v>4688.0120589114358</v>
      </c>
      <c r="P115" s="195">
        <f t="shared" si="10"/>
        <v>4791.5913713394293</v>
      </c>
      <c r="Q115" s="195">
        <f t="shared" si="12"/>
        <v>16353.856102797159</v>
      </c>
      <c r="R115" s="196">
        <f t="shared" si="13"/>
        <v>0.42034445144533977</v>
      </c>
      <c r="S115" s="170"/>
      <c r="T115" s="170"/>
      <c r="U115" s="195">
        <f t="shared" si="18"/>
        <v>502.5214437895138</v>
      </c>
      <c r="V115" s="195">
        <f t="shared" si="14"/>
        <v>250.86524900812401</v>
      </c>
      <c r="W115" s="195">
        <f t="shared" si="14"/>
        <v>283.69903039553355</v>
      </c>
      <c r="X115" s="195">
        <f t="shared" si="17"/>
        <v>1037.0857231931714</v>
      </c>
      <c r="Y115" s="207">
        <f t="shared" si="16"/>
        <v>0.48455150095235888</v>
      </c>
      <c r="AC115" s="251">
        <f t="shared" si="15"/>
        <v>1.2290087162393961</v>
      </c>
    </row>
    <row r="116" spans="1:29" ht="15.6" x14ac:dyDescent="0.3">
      <c r="A116" s="206">
        <v>2045</v>
      </c>
      <c r="B116" s="253">
        <f>(B168/Population_Tables!O34)*Population_Tables!C34</f>
        <v>20322.323556631069</v>
      </c>
      <c r="C116" s="253">
        <f>(C168/Population_Tables!P34)*Population_Tables!D34</f>
        <v>3448.8749391924007</v>
      </c>
      <c r="D116" s="253">
        <f>(D168/Population_Tables!Q34)*Population_Tables!E34</f>
        <v>735.87276277606566</v>
      </c>
      <c r="E116" s="253">
        <f>(E168/Population_Tables!R34)*Population_Tables!F34</f>
        <v>9415.8926342928153</v>
      </c>
      <c r="F116" s="253">
        <f>(F168/Population_Tables!S34)*Population_Tables!G34</f>
        <v>2482.3636866153875</v>
      </c>
      <c r="G116" s="253">
        <f>(G168/Population_Tables!T34)*Population_Tables!H34</f>
        <v>657.16372871739839</v>
      </c>
      <c r="H116" s="253">
        <f>(H168/Population_Tables!U34)*Population_Tables!I34</f>
        <v>4751.6974285091883</v>
      </c>
      <c r="I116" s="253">
        <f>(I168/Population_Tables!V34)*Population_Tables!J34</f>
        <v>3359.3416508692044</v>
      </c>
      <c r="J116" s="253">
        <f>(J168/Population_Tables!W34)*Population_Tables!K34</f>
        <v>1378.7701725700547</v>
      </c>
      <c r="K116" s="253">
        <f>(K168/Population_Tables!X34)*Population_Tables!L34</f>
        <v>1661.0720082573052</v>
      </c>
      <c r="L116" s="170"/>
      <c r="M116" s="170"/>
      <c r="N116" s="195">
        <f t="shared" si="9"/>
        <v>7146.5588923990153</v>
      </c>
      <c r="O116" s="195">
        <f t="shared" si="11"/>
        <v>4751.6974285091883</v>
      </c>
      <c r="P116" s="195">
        <f t="shared" si="10"/>
        <v>4841.9114306858646</v>
      </c>
      <c r="Q116" s="195">
        <f t="shared" si="12"/>
        <v>16740.167751594068</v>
      </c>
      <c r="R116" s="196">
        <f t="shared" si="13"/>
        <v>0.42691082899802424</v>
      </c>
      <c r="S116" s="170"/>
      <c r="T116" s="170"/>
      <c r="U116" s="195">
        <f t="shared" si="18"/>
        <v>545.90776850928705</v>
      </c>
      <c r="V116" s="195">
        <f t="shared" si="14"/>
        <v>267.3156014049564</v>
      </c>
      <c r="W116" s="195">
        <f t="shared" si="14"/>
        <v>300.60631369014118</v>
      </c>
      <c r="X116" s="195">
        <f t="shared" si="17"/>
        <v>1113.8296836043846</v>
      </c>
      <c r="Y116" s="207">
        <f t="shared" si="16"/>
        <v>0.49011781293412288</v>
      </c>
      <c r="AC116" s="251">
        <f t="shared" si="15"/>
        <v>1.2285867071642287</v>
      </c>
    </row>
    <row r="117" spans="1:29" ht="15.6" x14ac:dyDescent="0.3">
      <c r="A117" s="206">
        <v>2046</v>
      </c>
      <c r="B117" s="253">
        <f>(B169/Population_Tables!O35)*Population_Tables!C35</f>
        <v>20805.697295136288</v>
      </c>
      <c r="C117" s="253">
        <f>(C169/Population_Tables!P35)*Population_Tables!D35</f>
        <v>3475.3106258667503</v>
      </c>
      <c r="D117" s="253">
        <f>(D169/Population_Tables!Q35)*Population_Tables!E35</f>
        <v>747.22933217035211</v>
      </c>
      <c r="E117" s="253">
        <f>(E169/Population_Tables!R35)*Population_Tables!F35</f>
        <v>9667.8061773544032</v>
      </c>
      <c r="F117" s="253">
        <f>(F169/Population_Tables!S35)*Population_Tables!G35</f>
        <v>2574.867608538661</v>
      </c>
      <c r="G117" s="253">
        <f>(G169/Population_Tables!T35)*Population_Tables!H35</f>
        <v>669.95828536194483</v>
      </c>
      <c r="H117" s="253">
        <f>(H169/Population_Tables!U35)*Population_Tables!I35</f>
        <v>4815.2419302756625</v>
      </c>
      <c r="I117" s="253">
        <f>(I169/Population_Tables!V35)*Population_Tables!J35</f>
        <v>3501.8904665853693</v>
      </c>
      <c r="J117" s="253">
        <f>(J169/Population_Tables!W35)*Population_Tables!K35</f>
        <v>1388.4199673092157</v>
      </c>
      <c r="K117" s="253">
        <f>(K169/Population_Tables!X35)*Population_Tables!L35</f>
        <v>1680.5473542141267</v>
      </c>
      <c r="L117" s="170"/>
      <c r="M117" s="170"/>
      <c r="N117" s="195">
        <f t="shared" si="9"/>
        <v>7427.4318556174021</v>
      </c>
      <c r="O117" s="195">
        <f t="shared" si="11"/>
        <v>4815.2419302756625</v>
      </c>
      <c r="P117" s="195">
        <f t="shared" si="10"/>
        <v>4892.4982433990472</v>
      </c>
      <c r="Q117" s="195">
        <f t="shared" si="12"/>
        <v>17135.172029292109</v>
      </c>
      <c r="R117" s="196">
        <f t="shared" si="13"/>
        <v>0.43346117814985519</v>
      </c>
      <c r="S117" s="170"/>
      <c r="T117" s="170"/>
      <c r="U117" s="195">
        <f t="shared" si="18"/>
        <v>592.30108138637206</v>
      </c>
      <c r="V117" s="195">
        <f t="shared" si="14"/>
        <v>284.42415978698864</v>
      </c>
      <c r="W117" s="195">
        <f t="shared" si="14"/>
        <v>317.99780603891395</v>
      </c>
      <c r="X117" s="195">
        <f t="shared" si="17"/>
        <v>1194.7230472122747</v>
      </c>
      <c r="Y117" s="207">
        <f t="shared" si="16"/>
        <v>0.49576433866277786</v>
      </c>
      <c r="AC117" s="251">
        <f t="shared" si="15"/>
        <v>1.2281329252225452</v>
      </c>
    </row>
    <row r="118" spans="1:29" ht="15.6" x14ac:dyDescent="0.3">
      <c r="A118" s="206">
        <v>2047</v>
      </c>
      <c r="B118" s="253">
        <f>(B170/Population_Tables!O36)*Population_Tables!C36</f>
        <v>21299.175107795243</v>
      </c>
      <c r="C118" s="253">
        <f>(C170/Population_Tables!P36)*Population_Tables!D36</f>
        <v>3501.6232266157822</v>
      </c>
      <c r="D118" s="253">
        <f>(D170/Population_Tables!Q36)*Population_Tables!E36</f>
        <v>758.8168884144078</v>
      </c>
      <c r="E118" s="253">
        <f>(E170/Population_Tables!R36)*Population_Tables!F36</f>
        <v>9924.648717651984</v>
      </c>
      <c r="F118" s="253">
        <f>(F170/Population_Tables!S36)*Population_Tables!G36</f>
        <v>2671.1169013560998</v>
      </c>
      <c r="G118" s="253">
        <f>(G170/Population_Tables!T36)*Population_Tables!H36</f>
        <v>682.94885798583402</v>
      </c>
      <c r="H118" s="253">
        <f>(H170/Population_Tables!U36)*Population_Tables!I36</f>
        <v>4878.6630763430821</v>
      </c>
      <c r="I118" s="253">
        <f>(I170/Population_Tables!V36)*Population_Tables!J36</f>
        <v>3648.6007250541625</v>
      </c>
      <c r="J118" s="253">
        <f>(J170/Population_Tables!W36)*Population_Tables!K36</f>
        <v>1398.0597635443733</v>
      </c>
      <c r="K118" s="253">
        <f>(K170/Population_Tables!X36)*Population_Tables!L36</f>
        <v>1700.2390779498664</v>
      </c>
      <c r="L118" s="170"/>
      <c r="M118" s="170"/>
      <c r="N118" s="195">
        <f t="shared" si="9"/>
        <v>7717.1025426650012</v>
      </c>
      <c r="O118" s="195">
        <f t="shared" si="11"/>
        <v>4878.6630763430821</v>
      </c>
      <c r="P118" s="195">
        <f t="shared" si="10"/>
        <v>4943.3889730160245</v>
      </c>
      <c r="Q118" s="195">
        <f t="shared" si="12"/>
        <v>17539.154592024108</v>
      </c>
      <c r="R118" s="196">
        <f t="shared" si="13"/>
        <v>0.4399928458452802</v>
      </c>
      <c r="S118" s="170"/>
      <c r="T118" s="170"/>
      <c r="U118" s="195">
        <f t="shared" si="18"/>
        <v>641.90041138084416</v>
      </c>
      <c r="V118" s="195">
        <f t="shared" si="14"/>
        <v>302.2200433533344</v>
      </c>
      <c r="W118" s="195">
        <f t="shared" si="14"/>
        <v>335.91397512026924</v>
      </c>
      <c r="X118" s="195">
        <f t="shared" si="17"/>
        <v>1280.0344298544478</v>
      </c>
      <c r="Y118" s="207">
        <f t="shared" si="16"/>
        <v>0.50147120765637088</v>
      </c>
      <c r="AC118" s="251">
        <f t="shared" si="15"/>
        <v>1.2276273506257767</v>
      </c>
    </row>
    <row r="119" spans="1:29" ht="15.6" x14ac:dyDescent="0.3">
      <c r="A119" s="206">
        <v>2048</v>
      </c>
      <c r="B119" s="253">
        <f>(B171/Population_Tables!O37)*Population_Tables!C37</f>
        <v>21803.129019230728</v>
      </c>
      <c r="C119" s="253">
        <f>(C171/Population_Tables!P37)*Population_Tables!D37</f>
        <v>3527.8639492158859</v>
      </c>
      <c r="D119" s="253">
        <f>(D171/Population_Tables!Q37)*Population_Tables!E37</f>
        <v>770.64018139526002</v>
      </c>
      <c r="E119" s="253">
        <f>(E171/Population_Tables!R37)*Population_Tables!F37</f>
        <v>10186.594366411573</v>
      </c>
      <c r="F119" s="253">
        <f>(F171/Population_Tables!S37)*Population_Tables!G37</f>
        <v>2771.2516619599178</v>
      </c>
      <c r="G119" s="253">
        <f>(G171/Population_Tables!T37)*Population_Tables!H37</f>
        <v>696.14237532121319</v>
      </c>
      <c r="H119" s="253">
        <f>(H171/Population_Tables!U37)*Population_Tables!I37</f>
        <v>4941.9722387895963</v>
      </c>
      <c r="I119" s="253">
        <f>(I171/Population_Tables!V37)*Population_Tables!J37</f>
        <v>3799.6147320700056</v>
      </c>
      <c r="J119" s="253">
        <f>(J171/Population_Tables!W37)*Population_Tables!K37</f>
        <v>1407.7056041870103</v>
      </c>
      <c r="K119" s="253">
        <f>(K171/Population_Tables!X37)*Population_Tables!L37</f>
        <v>1720.1784917540563</v>
      </c>
      <c r="L119" s="170"/>
      <c r="M119" s="170"/>
      <c r="N119" s="195">
        <f t="shared" si="9"/>
        <v>8015.873789581894</v>
      </c>
      <c r="O119" s="195">
        <f t="shared" si="11"/>
        <v>4941.9722387895963</v>
      </c>
      <c r="P119" s="195">
        <f t="shared" si="10"/>
        <v>4994.6465059323591</v>
      </c>
      <c r="Q119" s="195">
        <f t="shared" si="12"/>
        <v>17952.492534303849</v>
      </c>
      <c r="R119" s="196">
        <f t="shared" si="13"/>
        <v>0.44650478334777532</v>
      </c>
      <c r="S119" s="170"/>
      <c r="T119" s="170"/>
      <c r="U119" s="195">
        <f t="shared" si="18"/>
        <v>694.97066280363924</v>
      </c>
      <c r="V119" s="195">
        <f t="shared" si="14"/>
        <v>320.73718162883324</v>
      </c>
      <c r="W119" s="195">
        <f t="shared" si="14"/>
        <v>354.41651334010112</v>
      </c>
      <c r="X119" s="195">
        <f t="shared" si="17"/>
        <v>1370.1243577725736</v>
      </c>
      <c r="Y119" s="207">
        <f t="shared" si="16"/>
        <v>0.50723181356578517</v>
      </c>
      <c r="AC119" s="251">
        <f t="shared" si="15"/>
        <v>1.227043235299021</v>
      </c>
    </row>
    <row r="120" spans="1:29" ht="15.6" x14ac:dyDescent="0.3">
      <c r="A120" s="206">
        <v>2049</v>
      </c>
      <c r="B120" s="253">
        <f>(B172/Population_Tables!O38)*Population_Tables!C38</f>
        <v>22317.949937739206</v>
      </c>
      <c r="C120" s="253">
        <f>(C172/Population_Tables!P38)*Population_Tables!D38</f>
        <v>3554.0989428756225</v>
      </c>
      <c r="D120" s="253">
        <f>(D172/Population_Tables!Q38)*Population_Tables!E38</f>
        <v>782.70338421153178</v>
      </c>
      <c r="E120" s="253">
        <f>(E172/Population_Tables!R38)*Population_Tables!F38</f>
        <v>10453.829501229118</v>
      </c>
      <c r="F120" s="253">
        <f>(F172/Population_Tables!S38)*Population_Tables!G38</f>
        <v>2875.4144813105636</v>
      </c>
      <c r="G120" s="253">
        <f>(G172/Population_Tables!T38)*Population_Tables!H38</f>
        <v>709.54634879152093</v>
      </c>
      <c r="H120" s="253">
        <f>(H172/Population_Tables!U38)*Population_Tables!I38</f>
        <v>5005.1689938814297</v>
      </c>
      <c r="I120" s="253">
        <f>(I172/Population_Tables!V38)*Population_Tables!J38</f>
        <v>3955.0942506065007</v>
      </c>
      <c r="J120" s="253">
        <f>(J172/Population_Tables!W38)*Population_Tables!K38</f>
        <v>1417.3781986147039</v>
      </c>
      <c r="K120" s="253">
        <f>(K172/Population_Tables!X38)*Population_Tables!L38</f>
        <v>1740.4026493629742</v>
      </c>
      <c r="L120" s="170"/>
      <c r="M120" s="170"/>
      <c r="N120" s="195">
        <f t="shared" si="9"/>
        <v>8324.0749886582526</v>
      </c>
      <c r="O120" s="195">
        <f t="shared" si="11"/>
        <v>5005.1689938814297</v>
      </c>
      <c r="P120" s="195">
        <f t="shared" si="10"/>
        <v>5046.3486758786757</v>
      </c>
      <c r="Q120" s="195">
        <f t="shared" si="12"/>
        <v>18375.592658418358</v>
      </c>
      <c r="R120" s="196">
        <f t="shared" si="13"/>
        <v>0.452996273012439</v>
      </c>
      <c r="S120" s="170"/>
      <c r="T120" s="170"/>
      <c r="U120" s="195">
        <f t="shared" si="18"/>
        <v>751.79730332856616</v>
      </c>
      <c r="V120" s="195">
        <f t="shared" si="14"/>
        <v>340.0049511698453</v>
      </c>
      <c r="W120" s="195">
        <f t="shared" si="14"/>
        <v>373.57859308225397</v>
      </c>
      <c r="X120" s="195">
        <f t="shared" si="17"/>
        <v>1465.3808475806654</v>
      </c>
      <c r="Y120" s="207">
        <f t="shared" si="16"/>
        <v>0.51303884895846619</v>
      </c>
      <c r="AC120" s="251">
        <f t="shared" si="15"/>
        <v>1.2263533419844577</v>
      </c>
    </row>
    <row r="121" spans="1:29" ht="16.2" thickBot="1" x14ac:dyDescent="0.35">
      <c r="A121" s="208">
        <v>2050</v>
      </c>
      <c r="B121" s="253">
        <f>(B173/Population_Tables!O39)*Population_Tables!C39</f>
        <v>22852.395980796038</v>
      </c>
      <c r="C121" s="253">
        <f>(C173/Population_Tables!P39)*Population_Tables!D39</f>
        <v>3580.2155027546642</v>
      </c>
      <c r="D121" s="253">
        <f>(D173/Population_Tables!Q39)*Population_Tables!E39</f>
        <v>794.31282163408764</v>
      </c>
      <c r="E121" s="253">
        <f>(E173/Population_Tables!R39)*Population_Tables!F39</f>
        <v>10732.031502217607</v>
      </c>
      <c r="F121" s="253">
        <f>(F173/Population_Tables!S39)*Population_Tables!G39</f>
        <v>2982.5728840738652</v>
      </c>
      <c r="G121" s="253">
        <f>(G173/Population_Tables!T39)*Population_Tables!H39</f>
        <v>723.16220422072115</v>
      </c>
      <c r="H121" s="253">
        <f>(H173/Population_Tables!U39)*Population_Tables!I39</f>
        <v>5073.0332015324448</v>
      </c>
      <c r="I121" s="253">
        <f>(I173/Population_Tables!V39)*Population_Tables!J39</f>
        <v>4113.7881194962129</v>
      </c>
      <c r="J121" s="253">
        <f>(J173/Population_Tables!W39)*Population_Tables!K39</f>
        <v>1426.3625071376939</v>
      </c>
      <c r="K121" s="253">
        <f>(K173/Population_Tables!X39)*Population_Tables!L39</f>
        <v>1760.7437997002016</v>
      </c>
      <c r="L121" s="209"/>
      <c r="M121" s="209"/>
      <c r="N121" s="195">
        <f t="shared" si="9"/>
        <v>8641.5711847590283</v>
      </c>
      <c r="O121" s="195">
        <f t="shared" si="11"/>
        <v>5073.0332015324448</v>
      </c>
      <c r="P121" s="195">
        <f t="shared" si="10"/>
        <v>5097.6905286094725</v>
      </c>
      <c r="Q121" s="195">
        <f t="shared" si="12"/>
        <v>18812.294914900947</v>
      </c>
      <c r="R121" s="210">
        <f t="shared" si="13"/>
        <v>0.45935762881934006</v>
      </c>
      <c r="S121" s="209"/>
      <c r="T121" s="209"/>
      <c r="U121" s="211">
        <f t="shared" si="18"/>
        <v>812.69989504335354</v>
      </c>
      <c r="V121" s="195">
        <f t="shared" si="14"/>
        <v>360.3914617372493</v>
      </c>
      <c r="W121" s="211">
        <f t="shared" si="14"/>
        <v>393.397461418077</v>
      </c>
      <c r="X121" s="195">
        <f t="shared" si="17"/>
        <v>1566.4888181986798</v>
      </c>
      <c r="Y121" s="212">
        <f t="shared" si="16"/>
        <v>0.51880350858672886</v>
      </c>
      <c r="AC121" s="251">
        <f t="shared" si="15"/>
        <v>1.2257381832738963</v>
      </c>
    </row>
    <row r="122" spans="1:29" ht="15.6" x14ac:dyDescent="0.3">
      <c r="A122" s="213">
        <v>2051</v>
      </c>
      <c r="B122" s="253">
        <f>(B174/Population_Tables!O40)*Population_Tables!C40</f>
        <v>23381.601876264449</v>
      </c>
      <c r="C122" s="253">
        <f>(C174/Population_Tables!P40)*Population_Tables!D40</f>
        <v>3606.739421627341</v>
      </c>
      <c r="D122" s="253">
        <f>(D174/Population_Tables!Q40)*Population_Tables!E40</f>
        <v>807.5702340912668</v>
      </c>
      <c r="E122" s="253">
        <f>(E174/Population_Tables!R40)*Population_Tables!F40</f>
        <v>11004.82954978093</v>
      </c>
      <c r="F122" s="253">
        <f>(F174/Population_Tables!S40)*Population_Tables!G40</f>
        <v>3096.3954498011658</v>
      </c>
      <c r="G122" s="253">
        <f>(G174/Population_Tables!T40)*Population_Tables!H40</f>
        <v>737.01150338959769</v>
      </c>
      <c r="H122" s="253">
        <f>(H174/Population_Tables!U40)*Population_Tables!I40</f>
        <v>5131.2629229135528</v>
      </c>
      <c r="I122" s="253">
        <f>(I174/Population_Tables!V40)*Population_Tables!J40</f>
        <v>4280.0310749139398</v>
      </c>
      <c r="J122" s="253">
        <f>(J174/Population_Tables!W40)*Population_Tables!K40</f>
        <v>1436.868465614833</v>
      </c>
      <c r="K122" s="253">
        <f>(K174/Population_Tables!X40)*Population_Tables!L40</f>
        <v>1781.8205707480354</v>
      </c>
      <c r="N122" s="195">
        <f t="shared" si="9"/>
        <v>8969.9620766685439</v>
      </c>
      <c r="O122" s="195">
        <f t="shared" si="11"/>
        <v>5131.2629229135528</v>
      </c>
      <c r="P122" s="195">
        <f t="shared" si="10"/>
        <v>5151.3211591082054</v>
      </c>
      <c r="Q122" s="195">
        <f t="shared" si="12"/>
        <v>19252.546158690304</v>
      </c>
      <c r="R122" s="214">
        <f t="shared" si="13"/>
        <v>0.4659104308974551</v>
      </c>
      <c r="U122" s="215">
        <f t="shared" si="18"/>
        <v>877.76697289244112</v>
      </c>
      <c r="V122" s="195">
        <f t="shared" si="14"/>
        <v>380.91304071399645</v>
      </c>
      <c r="W122" s="215">
        <f t="shared" si="14"/>
        <v>414.11455761737579</v>
      </c>
      <c r="X122" s="195">
        <f t="shared" si="17"/>
        <v>1672.7945712238134</v>
      </c>
      <c r="Y122" s="214">
        <f t="shared" si="16"/>
        <v>0.52473088327293438</v>
      </c>
      <c r="AC122" s="251">
        <f t="shared" si="15"/>
        <v>1.2245985271183124</v>
      </c>
    </row>
    <row r="123" spans="1:29" ht="15.6" x14ac:dyDescent="0.3">
      <c r="A123" s="194">
        <v>2052</v>
      </c>
      <c r="B123" s="253">
        <f>(B175/Population_Tables!O41)*Population_Tables!C41</f>
        <v>23931.015702586537</v>
      </c>
      <c r="C123" s="253">
        <f>(C175/Population_Tables!P41)*Population_Tables!D41</f>
        <v>3633.1806527346976</v>
      </c>
      <c r="D123" s="253">
        <f>(D175/Population_Tables!Q41)*Population_Tables!E41</f>
        <v>820.38795878875681</v>
      </c>
      <c r="E123" s="253">
        <f>(E175/Population_Tables!R41)*Population_Tables!F41</f>
        <v>11288.854443453103</v>
      </c>
      <c r="F123" s="253">
        <f>(F175/Population_Tables!S41)*Population_Tables!G41</f>
        <v>3213.4964573687585</v>
      </c>
      <c r="G123" s="253">
        <f>(G175/Population_Tables!T41)*Population_Tables!H41</f>
        <v>751.08222066949224</v>
      </c>
      <c r="H123" s="253">
        <f>(H175/Population_Tables!U41)*Population_Tables!I41</f>
        <v>5194.2127686620624</v>
      </c>
      <c r="I123" s="253">
        <f>(I175/Population_Tables!V41)*Population_Tables!J41</f>
        <v>4449.7132874052895</v>
      </c>
      <c r="J123" s="253">
        <f>(J175/Population_Tables!W41)*Population_Tables!K41</f>
        <v>1446.7043813327693</v>
      </c>
      <c r="K123" s="253">
        <f>(K175/Population_Tables!X41)*Population_Tables!L41</f>
        <v>1803.0457207786196</v>
      </c>
      <c r="N123" s="195">
        <f t="shared" si="9"/>
        <v>9308.1381321597983</v>
      </c>
      <c r="O123" s="195">
        <f t="shared" si="11"/>
        <v>5194.2127686620624</v>
      </c>
      <c r="P123" s="195">
        <f t="shared" si="10"/>
        <v>5204.6508321929468</v>
      </c>
      <c r="Q123" s="195">
        <f t="shared" si="12"/>
        <v>19707.001733014808</v>
      </c>
      <c r="R123" s="196">
        <f t="shared" si="13"/>
        <v>0.47232644814589075</v>
      </c>
      <c r="U123" s="195">
        <f t="shared" si="18"/>
        <v>947.34879612472287</v>
      </c>
      <c r="V123" s="195">
        <f t="shared" si="14"/>
        <v>402.61818967189265</v>
      </c>
      <c r="W123" s="195">
        <f t="shared" si="14"/>
        <v>435.56034530058605</v>
      </c>
      <c r="X123" s="195">
        <f t="shared" si="17"/>
        <v>1785.5273310972016</v>
      </c>
      <c r="Y123" s="196">
        <f t="shared" si="16"/>
        <v>0.53057087372758371</v>
      </c>
      <c r="AC123" s="251">
        <f t="shared" si="15"/>
        <v>1.2235302676554192</v>
      </c>
    </row>
    <row r="124" spans="1:29" ht="15.6" x14ac:dyDescent="0.3">
      <c r="A124" s="194">
        <v>2053</v>
      </c>
      <c r="B124" s="253">
        <f>(B176/Population_Tables!O42)*Population_Tables!C42</f>
        <v>24492.453658465118</v>
      </c>
      <c r="C124" s="253">
        <f>(C176/Population_Tables!P42)*Population_Tables!D42</f>
        <v>3659.7347080820091</v>
      </c>
      <c r="D124" s="253">
        <f>(D176/Population_Tables!Q42)*Population_Tables!E42</f>
        <v>833.47019853361633</v>
      </c>
      <c r="E124" s="253">
        <f>(E176/Population_Tables!R42)*Population_Tables!F42</f>
        <v>11578.664255631857</v>
      </c>
      <c r="F124" s="253">
        <f>(F176/Population_Tables!S42)*Population_Tables!G42</f>
        <v>3335.1901122555973</v>
      </c>
      <c r="G124" s="253">
        <f>(G176/Population_Tables!T42)*Population_Tables!H42</f>
        <v>765.38362442555615</v>
      </c>
      <c r="H124" s="253">
        <f>(H176/Population_Tables!U42)*Population_Tables!I42</f>
        <v>5257.0836128099991</v>
      </c>
      <c r="I124" s="253">
        <f>(I176/Population_Tables!V42)*Population_Tables!J42</f>
        <v>4624.3150296751301</v>
      </c>
      <c r="J124" s="253">
        <f>(J176/Population_Tables!W42)*Population_Tables!K42</f>
        <v>1456.6174138850611</v>
      </c>
      <c r="K124" s="253">
        <f>(K176/Population_Tables!X42)*Population_Tables!L42</f>
        <v>1824.6426017963531</v>
      </c>
      <c r="N124" s="195">
        <f t="shared" si="9"/>
        <v>9656.7707550774539</v>
      </c>
      <c r="O124" s="195">
        <f t="shared" si="11"/>
        <v>5257.0836128099991</v>
      </c>
      <c r="P124" s="195">
        <f t="shared" si="10"/>
        <v>5258.5885310411813</v>
      </c>
      <c r="Q124" s="195">
        <f t="shared" si="12"/>
        <v>20172.442898928635</v>
      </c>
      <c r="R124" s="196">
        <f t="shared" si="13"/>
        <v>0.47871102193529214</v>
      </c>
      <c r="U124" s="195">
        <f t="shared" si="18"/>
        <v>1021.5800332233048</v>
      </c>
      <c r="V124" s="195">
        <f t="shared" si="14"/>
        <v>425.1834634378456</v>
      </c>
      <c r="W124" s="195">
        <f t="shared" si="14"/>
        <v>457.84936272864252</v>
      </c>
      <c r="X124" s="195">
        <f t="shared" si="17"/>
        <v>1904.6128593897929</v>
      </c>
      <c r="Y124" s="196">
        <f t="shared" si="16"/>
        <v>0.53637148787843558</v>
      </c>
      <c r="AC124" s="251">
        <f t="shared" si="15"/>
        <v>1.2223336163271548</v>
      </c>
    </row>
    <row r="125" spans="1:29" ht="15.6" x14ac:dyDescent="0.3">
      <c r="A125" s="194">
        <v>2054</v>
      </c>
      <c r="B125" s="253">
        <f>(B177/Population_Tables!O43)*Population_Tables!C43</f>
        <v>25066.079766476087</v>
      </c>
      <c r="C125" s="253">
        <f>(C177/Population_Tables!P43)*Population_Tables!D43</f>
        <v>3686.4270341154706</v>
      </c>
      <c r="D125" s="253">
        <f>(D177/Population_Tables!Q43)*Population_Tables!E43</f>
        <v>846.82282069573387</v>
      </c>
      <c r="E125" s="253">
        <f>(E177/Population_Tables!R43)*Population_Tables!F43</f>
        <v>11874.287632195632</v>
      </c>
      <c r="F125" s="253">
        <f>(F177/Population_Tables!S43)*Population_Tables!G43</f>
        <v>3461.6141064812923</v>
      </c>
      <c r="G125" s="253">
        <f>(G177/Population_Tables!T43)*Population_Tables!H43</f>
        <v>779.91826788784203</v>
      </c>
      <c r="H125" s="253">
        <f>(H177/Population_Tables!U43)*Population_Tables!I43</f>
        <v>5319.8373899190074</v>
      </c>
      <c r="I125" s="253">
        <f>(I177/Population_Tables!V43)*Population_Tables!J43</f>
        <v>4803.8903844195402</v>
      </c>
      <c r="J125" s="253">
        <f>(J177/Population_Tables!W43)*Population_Tables!K43</f>
        <v>1466.6213134347997</v>
      </c>
      <c r="K125" s="253">
        <f>(K177/Population_Tables!X43)*Population_Tables!L43</f>
        <v>1846.6342119672925</v>
      </c>
      <c r="N125" s="195">
        <f t="shared" si="9"/>
        <v>10016.064348757918</v>
      </c>
      <c r="O125" s="195">
        <f t="shared" si="11"/>
        <v>5319.8373899190074</v>
      </c>
      <c r="P125" s="195">
        <f t="shared" si="10"/>
        <v>5313.1681226990468</v>
      </c>
      <c r="Q125" s="195">
        <f t="shared" si="12"/>
        <v>20649.069861375974</v>
      </c>
      <c r="R125" s="196">
        <f t="shared" si="13"/>
        <v>0.48506128440646801</v>
      </c>
      <c r="U125" s="195">
        <f t="shared" si="18"/>
        <v>1100.6199864288865</v>
      </c>
      <c r="V125" s="195">
        <f t="shared" si="14"/>
        <v>448.61671367599774</v>
      </c>
      <c r="W125" s="195">
        <f t="shared" si="14"/>
        <v>481.02697939865266</v>
      </c>
      <c r="X125" s="195">
        <f t="shared" si="17"/>
        <v>2030.2636795035369</v>
      </c>
      <c r="Y125" s="196">
        <f t="shared" si="16"/>
        <v>0.54210691819991708</v>
      </c>
      <c r="AC125" s="251">
        <f t="shared" si="15"/>
        <v>1.2210106884832077</v>
      </c>
    </row>
    <row r="126" spans="1:29" ht="15.6" x14ac:dyDescent="0.3">
      <c r="A126" s="194">
        <v>2055</v>
      </c>
      <c r="B126" s="253">
        <f>(B178/Population_Tables!O44)*Population_Tables!C44</f>
        <v>25652.062673866374</v>
      </c>
      <c r="C126" s="253">
        <f>(C178/Population_Tables!P44)*Population_Tables!D44</f>
        <v>3713.2768711638673</v>
      </c>
      <c r="D126" s="253">
        <f>(D178/Population_Tables!Q44)*Population_Tables!E44</f>
        <v>860.45208244030607</v>
      </c>
      <c r="E126" s="253">
        <f>(E178/Population_Tables!R44)*Population_Tables!F44</f>
        <v>12175.757993845462</v>
      </c>
      <c r="F126" s="253">
        <f>(F178/Population_Tables!S44)*Population_Tables!G44</f>
        <v>3592.9080190069303</v>
      </c>
      <c r="G126" s="253">
        <f>(G178/Population_Tables!T44)*Population_Tables!H44</f>
        <v>794.68853660358832</v>
      </c>
      <c r="H126" s="253">
        <f>(H178/Population_Tables!U44)*Population_Tables!I44</f>
        <v>5382.4517380993211</v>
      </c>
      <c r="I126" s="253">
        <f>(I178/Population_Tables!V44)*Population_Tables!J44</f>
        <v>4988.4919393220507</v>
      </c>
      <c r="J126" s="253">
        <f>(J178/Population_Tables!W44)*Population_Tables!K44</f>
        <v>1476.7283448663441</v>
      </c>
      <c r="K126" s="253">
        <f>(K178/Population_Tables!X44)*Population_Tables!L44</f>
        <v>1869.0384183360945</v>
      </c>
      <c r="N126" s="195">
        <f t="shared" si="9"/>
        <v>10386.214274753071</v>
      </c>
      <c r="O126" s="195">
        <f t="shared" si="11"/>
        <v>5382.4517380993211</v>
      </c>
      <c r="P126" s="195">
        <f t="shared" si="10"/>
        <v>5368.4174902077621</v>
      </c>
      <c r="Q126" s="195">
        <f t="shared" si="12"/>
        <v>21137.083503060152</v>
      </c>
      <c r="R126" s="196">
        <f t="shared" si="13"/>
        <v>0.49137404757138758</v>
      </c>
      <c r="U126" s="195">
        <f t="shared" si="18"/>
        <v>1184.6264838967163</v>
      </c>
      <c r="V126" s="195">
        <f t="shared" si="14"/>
        <v>472.92636446617962</v>
      </c>
      <c r="W126" s="195">
        <f t="shared" si="14"/>
        <v>505.13160685346975</v>
      </c>
      <c r="X126" s="195">
        <f t="shared" si="17"/>
        <v>2162.6844552163657</v>
      </c>
      <c r="Y126" s="196">
        <f t="shared" si="16"/>
        <v>0.54775743222244611</v>
      </c>
      <c r="AC126" s="251">
        <f t="shared" si="15"/>
        <v>1.2195671452763615</v>
      </c>
    </row>
    <row r="127" spans="1:29" ht="15.6" x14ac:dyDescent="0.3">
      <c r="A127" s="194">
        <v>2056</v>
      </c>
      <c r="B127" s="253">
        <f>(B179/Population_Tables!O45)*Population_Tables!C45</f>
        <v>26250.649454359551</v>
      </c>
      <c r="C127" s="253">
        <f>(C179/Population_Tables!P45)*Population_Tables!D45</f>
        <v>3740.2981862967827</v>
      </c>
      <c r="D127" s="253">
        <f>(D179/Population_Tables!Q45)*Population_Tables!E45</f>
        <v>874.36554374282457</v>
      </c>
      <c r="E127" s="253">
        <f>(E179/Population_Tables!R45)*Population_Tables!F45</f>
        <v>12483.170159209174</v>
      </c>
      <c r="F127" s="253">
        <f>(F179/Population_Tables!S45)*Population_Tables!G45</f>
        <v>3729.2200153357799</v>
      </c>
      <c r="G127" s="253">
        <f>(G179/Population_Tables!T45)*Population_Tables!H45</f>
        <v>809.69810277785223</v>
      </c>
      <c r="H127" s="253">
        <f>(H179/Population_Tables!U45)*Population_Tables!I45</f>
        <v>5444.9334840632582</v>
      </c>
      <c r="I127" s="253">
        <f>(I179/Population_Tables!V45)*Population_Tables!J45</f>
        <v>5178.2122664566195</v>
      </c>
      <c r="J127" s="253">
        <f>(J179/Population_Tables!W45)*Population_Tables!K45</f>
        <v>1486.9484443404438</v>
      </c>
      <c r="K127" s="253">
        <f>(K179/Population_Tables!X45)*Population_Tables!L45</f>
        <v>1891.8686458774114</v>
      </c>
      <c r="N127" s="195">
        <f t="shared" si="9"/>
        <v>10767.456690481697</v>
      </c>
      <c r="O127" s="195">
        <f t="shared" si="11"/>
        <v>5444.9334840632582</v>
      </c>
      <c r="P127" s="195">
        <f t="shared" si="10"/>
        <v>5424.3618328174589</v>
      </c>
      <c r="Q127" s="195">
        <f t="shared" si="12"/>
        <v>21636.752007362415</v>
      </c>
      <c r="R127" s="196">
        <f t="shared" si="13"/>
        <v>0.49764662860755698</v>
      </c>
      <c r="U127" s="195">
        <f t="shared" si="18"/>
        <v>1273.8060699587077</v>
      </c>
      <c r="V127" s="195">
        <f t="shared" si="14"/>
        <v>498.13106880807572</v>
      </c>
      <c r="W127" s="195">
        <f t="shared" si="14"/>
        <v>530.19431909469768</v>
      </c>
      <c r="X127" s="195">
        <f t="shared" si="17"/>
        <v>2302.1314578614811</v>
      </c>
      <c r="Y127" s="196">
        <f t="shared" si="16"/>
        <v>0.55331595665782884</v>
      </c>
      <c r="AC127" s="251">
        <f t="shared" si="15"/>
        <v>1.2180099729292795</v>
      </c>
    </row>
    <row r="128" spans="1:29" ht="15.6" x14ac:dyDescent="0.3">
      <c r="A128" s="194">
        <v>2057</v>
      </c>
      <c r="B128" s="253">
        <f>(B180/Population_Tables!O46)*Population_Tables!C46</f>
        <v>26862.066322164872</v>
      </c>
      <c r="C128" s="253">
        <f>(C180/Population_Tables!P46)*Population_Tables!D46</f>
        <v>3767.4915861254281</v>
      </c>
      <c r="D128" s="253">
        <f>(D180/Population_Tables!Q46)*Population_Tables!E46</f>
        <v>888.57109854027442</v>
      </c>
      <c r="E128" s="253">
        <f>(E180/Population_Tables!R46)*Population_Tables!F46</f>
        <v>12796.609517803974</v>
      </c>
      <c r="F128" s="253">
        <f>(F180/Population_Tables!S46)*Population_Tables!G46</f>
        <v>3870.6979116380958</v>
      </c>
      <c r="G128" s="253">
        <f>(G180/Population_Tables!T46)*Population_Tables!H46</f>
        <v>824.94935593492778</v>
      </c>
      <c r="H128" s="253">
        <f>(H180/Population_Tables!U46)*Population_Tables!I46</f>
        <v>5507.3178548784208</v>
      </c>
      <c r="I128" s="253">
        <f>(I180/Population_Tables!V46)*Population_Tables!J46</f>
        <v>5373.1298202272465</v>
      </c>
      <c r="J128" s="253">
        <f>(J180/Population_Tables!W46)*Population_Tables!K46</f>
        <v>1497.2880991030713</v>
      </c>
      <c r="K128" s="253">
        <f>(K180/Population_Tables!X46)*Population_Tables!L46</f>
        <v>1915.1283374816237</v>
      </c>
      <c r="N128" s="195">
        <f t="shared" si="9"/>
        <v>11159.98957456365</v>
      </c>
      <c r="O128" s="195">
        <f t="shared" si="11"/>
        <v>5507.3178548784208</v>
      </c>
      <c r="P128" s="195">
        <f t="shared" si="10"/>
        <v>5481.0120406006299</v>
      </c>
      <c r="Q128" s="195">
        <f t="shared" si="12"/>
        <v>22148.319470042698</v>
      </c>
      <c r="R128" s="196">
        <f t="shared" si="13"/>
        <v>0.50387523033783188</v>
      </c>
      <c r="U128" s="195">
        <f t="shared" si="18"/>
        <v>1368.3411361787221</v>
      </c>
      <c r="V128" s="195">
        <f t="shared" si="14"/>
        <v>524.25065496518073</v>
      </c>
      <c r="W128" s="195">
        <f t="shared" si="14"/>
        <v>556.23180092015264</v>
      </c>
      <c r="X128" s="195">
        <f t="shared" si="17"/>
        <v>2448.8235920640554</v>
      </c>
      <c r="Y128" s="196">
        <f t="shared" si="16"/>
        <v>0.55877489118167945</v>
      </c>
      <c r="AC128" s="251">
        <f t="shared" si="15"/>
        <v>1.2163493757948352</v>
      </c>
    </row>
    <row r="129" spans="1:29" ht="15.6" x14ac:dyDescent="0.3">
      <c r="A129" s="194">
        <v>2058</v>
      </c>
      <c r="B129" s="253">
        <f>(B181/Population_Tables!O47)*Population_Tables!C47</f>
        <v>27486.412052379364</v>
      </c>
      <c r="C129" s="253">
        <f>(C181/Population_Tables!P47)*Population_Tables!D47</f>
        <v>3794.838522538199</v>
      </c>
      <c r="D129" s="253">
        <f>(D181/Population_Tables!Q47)*Population_Tables!E47</f>
        <v>903.07352445921504</v>
      </c>
      <c r="E129" s="253">
        <f>(E181/Population_Tables!R47)*Population_Tables!F47</f>
        <v>13116.072978700575</v>
      </c>
      <c r="F129" s="253">
        <f>(F181/Population_Tables!S47)*Population_Tables!G47</f>
        <v>4017.4807135297565</v>
      </c>
      <c r="G129" s="253">
        <f>(G181/Population_Tables!T47)*Population_Tables!H47</f>
        <v>840.44140519918835</v>
      </c>
      <c r="H129" s="253">
        <f>(H181/Population_Tables!U47)*Population_Tables!I47</f>
        <v>5569.6447745419473</v>
      </c>
      <c r="I129" s="253">
        <f>(I181/Population_Tables!V47)*Population_Tables!J47</f>
        <v>5573.2520353177724</v>
      </c>
      <c r="J129" s="253">
        <f>(J181/Population_Tables!W47)*Population_Tables!K47</f>
        <v>1507.7475998996779</v>
      </c>
      <c r="K129" s="253">
        <f>(K181/Population_Tables!X47)*Population_Tables!L47</f>
        <v>1938.8105207389478</v>
      </c>
      <c r="N129" s="195">
        <f t="shared" si="9"/>
        <v>11563.908917688386</v>
      </c>
      <c r="O129" s="195">
        <f t="shared" si="11"/>
        <v>5569.6447745419473</v>
      </c>
      <c r="P129" s="195">
        <f t="shared" si="10"/>
        <v>5538.3534521966021</v>
      </c>
      <c r="Q129" s="195">
        <f t="shared" si="12"/>
        <v>22671.907144426936</v>
      </c>
      <c r="R129" s="196">
        <f t="shared" si="13"/>
        <v>0.5100545288944055</v>
      </c>
      <c r="U129" s="195">
        <f t="shared" si="18"/>
        <v>1468.32273219538</v>
      </c>
      <c r="V129" s="195">
        <f t="shared" si="14"/>
        <v>551.29251679122808</v>
      </c>
      <c r="W129" s="195">
        <f t="shared" si="14"/>
        <v>583.23979512893766</v>
      </c>
      <c r="X129" s="195">
        <f t="shared" si="17"/>
        <v>2602.8550441155458</v>
      </c>
      <c r="Y129" s="196">
        <f t="shared" si="16"/>
        <v>0.56412005559622636</v>
      </c>
      <c r="AC129" s="251">
        <f t="shared" si="15"/>
        <v>1.2146008920811617</v>
      </c>
    </row>
    <row r="130" spans="1:29" ht="15.6" x14ac:dyDescent="0.3">
      <c r="A130" s="194">
        <v>2059</v>
      </c>
      <c r="B130" s="253">
        <f>(B182/Population_Tables!O48)*Population_Tables!C48</f>
        <v>28123.731044787073</v>
      </c>
      <c r="C130" s="253">
        <f>(C182/Population_Tables!P48)*Population_Tables!D48</f>
        <v>3822.3082632460132</v>
      </c>
      <c r="D130" s="253">
        <f>(D182/Population_Tables!Q48)*Population_Tables!E48</f>
        <v>917.87700265328283</v>
      </c>
      <c r="E130" s="253">
        <f>(E182/Population_Tables!R48)*Population_Tables!F48</f>
        <v>13441.519403199991</v>
      </c>
      <c r="F130" s="253">
        <f>(F182/Population_Tables!S48)*Population_Tables!G48</f>
        <v>4169.7043137790915</v>
      </c>
      <c r="G130" s="253">
        <f>(G182/Population_Tables!T48)*Population_Tables!H48</f>
        <v>856.17176704081123</v>
      </c>
      <c r="H130" s="253">
        <f>(H182/Population_Tables!U48)*Population_Tables!I48</f>
        <v>5631.9657416921964</v>
      </c>
      <c r="I130" s="253">
        <f>(I182/Population_Tables!V48)*Population_Tables!J48</f>
        <v>5778.5517451658707</v>
      </c>
      <c r="J130" s="253">
        <f>(J182/Population_Tables!W48)*Population_Tables!K48</f>
        <v>1518.3240125109267</v>
      </c>
      <c r="K130" s="253">
        <f>(K182/Population_Tables!X48)*Population_Tables!L48</f>
        <v>1962.9002247826934</v>
      </c>
      <c r="N130" s="195">
        <f t="shared" si="9"/>
        <v>11979.257975286886</v>
      </c>
      <c r="O130" s="195">
        <f t="shared" si="11"/>
        <v>5631.9657416921964</v>
      </c>
      <c r="P130" s="195">
        <f t="shared" si="10"/>
        <v>5596.3570329401073</v>
      </c>
      <c r="Q130" s="195">
        <f t="shared" si="12"/>
        <v>23207.580749919187</v>
      </c>
      <c r="R130" s="196">
        <f t="shared" si="13"/>
        <v>0.5161786618076768</v>
      </c>
      <c r="U130" s="195">
        <f t="shared" si="18"/>
        <v>1573.7978180880364</v>
      </c>
      <c r="V130" s="195">
        <f t="shared" si="14"/>
        <v>579.25928459099669</v>
      </c>
      <c r="W130" s="195">
        <f t="shared" si="14"/>
        <v>611.2008064437905</v>
      </c>
      <c r="X130" s="195">
        <f t="shared" si="17"/>
        <v>2764.2579091228235</v>
      </c>
      <c r="Y130" s="196">
        <f t="shared" si="16"/>
        <v>0.56933827082272748</v>
      </c>
      <c r="AC130" s="251">
        <f t="shared" si="15"/>
        <v>1.212781919385524</v>
      </c>
    </row>
    <row r="131" spans="1:29" ht="15.6" x14ac:dyDescent="0.3">
      <c r="A131" s="194">
        <v>2060</v>
      </c>
      <c r="B131" s="253">
        <f>(B183/Population_Tables!O49)*Population_Tables!C49</f>
        <v>28771.963059899063</v>
      </c>
      <c r="C131" s="253">
        <f>(C183/Population_Tables!P49)*Population_Tables!D49</f>
        <v>3849.9579740150598</v>
      </c>
      <c r="D131" s="253">
        <f>(D183/Population_Tables!Q49)*Population_Tables!E49</f>
        <v>933.16893902035076</v>
      </c>
      <c r="E131" s="253">
        <f>(E183/Population_Tables!R49)*Population_Tables!F49</f>
        <v>13771.476836578613</v>
      </c>
      <c r="F131" s="253">
        <f>(F183/Population_Tables!S49)*Population_Tables!G49</f>
        <v>4327.8149447455253</v>
      </c>
      <c r="G131" s="253">
        <f>(G183/Population_Tables!T49)*Population_Tables!H49</f>
        <v>872.13994395167708</v>
      </c>
      <c r="H131" s="253">
        <f>(H183/Population_Tables!U49)*Population_Tables!I49</f>
        <v>5693.0851069403816</v>
      </c>
      <c r="I131" s="253">
        <f>(I183/Population_Tables!V49)*Population_Tables!J49</f>
        <v>5989.3808414726291</v>
      </c>
      <c r="J131" s="253">
        <f>(J183/Population_Tables!W49)*Population_Tables!K49</f>
        <v>1529.4011361005685</v>
      </c>
      <c r="K131" s="253">
        <f>(K183/Population_Tables!X49)*Population_Tables!L49</f>
        <v>1987.4356125138306</v>
      </c>
      <c r="N131" s="195">
        <f t="shared" si="9"/>
        <v>12406.206674383755</v>
      </c>
      <c r="O131" s="195">
        <f t="shared" si="11"/>
        <v>5693.0851069403816</v>
      </c>
      <c r="P131" s="195">
        <f t="shared" si="10"/>
        <v>5655.2668569870875</v>
      </c>
      <c r="Q131" s="195">
        <f t="shared" si="12"/>
        <v>23754.558638311224</v>
      </c>
      <c r="R131" s="196">
        <f>N131/Q131</f>
        <v>0.52226635162040402</v>
      </c>
      <c r="U131" s="195">
        <f t="shared" si="18"/>
        <v>1684.8119995368779</v>
      </c>
      <c r="V131" s="195">
        <f t="shared" si="14"/>
        <v>608.0217081519877</v>
      </c>
      <c r="W131" s="195">
        <f t="shared" si="14"/>
        <v>640.12845248240592</v>
      </c>
      <c r="X131" s="195">
        <f t="shared" si="17"/>
        <v>2932.9621601712715</v>
      </c>
      <c r="Y131" s="196">
        <f t="shared" si="16"/>
        <v>0.57444041468250395</v>
      </c>
      <c r="AC131" s="251">
        <f t="shared" si="15"/>
        <v>1.2108689031072741</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9420.048251321914</v>
      </c>
      <c r="C137" s="229">
        <v>2629.4350904716298</v>
      </c>
      <c r="D137" s="229">
        <v>467.02649557183969</v>
      </c>
      <c r="E137" s="229">
        <v>3740.7188081675804</v>
      </c>
      <c r="F137" s="229">
        <v>871.70102318165959</v>
      </c>
      <c r="G137" s="229">
        <v>350.48342727572367</v>
      </c>
      <c r="H137" s="229">
        <v>2609.2302768909922</v>
      </c>
      <c r="I137" s="229">
        <v>737.63652435843073</v>
      </c>
      <c r="J137" s="229">
        <v>1087.5007224082237</v>
      </c>
      <c r="K137" s="229">
        <v>1156.6354982699991</v>
      </c>
      <c r="N137" s="195">
        <f t="shared" ref="N137:N183" si="19">SUMIF($C$83:$G$83,"Y",C137:G137)-H137</f>
        <v>2003.1895544582476</v>
      </c>
      <c r="O137" s="195">
        <f>H137</f>
        <v>2609.2302768909922</v>
      </c>
      <c r="P137" s="195">
        <f t="shared" ref="P137:P183" si="20">SUMIF($C$83:$G$83,"N",C137:G137)-(IF($E$83="N",H137))</f>
        <v>3446.9450133191931</v>
      </c>
      <c r="Q137" s="195">
        <f>N137+P137+O137</f>
        <v>8059.3648446684329</v>
      </c>
      <c r="R137" s="196">
        <f>N137/Q137</f>
        <v>0.2485542710953744</v>
      </c>
      <c r="AC137" s="251"/>
    </row>
    <row r="138" spans="1:29" ht="15.6" x14ac:dyDescent="0.3">
      <c r="A138" s="194">
        <v>2015</v>
      </c>
      <c r="B138" s="229">
        <v>9656.2092789826384</v>
      </c>
      <c r="C138" s="229">
        <v>2652.4042453043076</v>
      </c>
      <c r="D138" s="229">
        <v>473.74437880607616</v>
      </c>
      <c r="E138" s="229">
        <v>3858.4863101039646</v>
      </c>
      <c r="F138" s="229">
        <v>899.46205941002859</v>
      </c>
      <c r="G138" s="229">
        <v>357.27366553649546</v>
      </c>
      <c r="H138" s="229">
        <v>2684.7210625164607</v>
      </c>
      <c r="I138" s="229">
        <v>770.08082363718938</v>
      </c>
      <c r="J138" s="229">
        <v>1095.260534069424</v>
      </c>
      <c r="K138" s="229">
        <v>1168.6007941555526</v>
      </c>
      <c r="N138" s="195">
        <f t="shared" si="19"/>
        <v>2073.2273069975327</v>
      </c>
      <c r="O138" s="195">
        <f t="shared" ref="O138:O183" si="21">H138</f>
        <v>2684.7210625164607</v>
      </c>
      <c r="P138" s="195">
        <f t="shared" si="20"/>
        <v>3483.4222896468796</v>
      </c>
      <c r="Q138" s="195">
        <f t="shared" ref="Q138:Q183" si="22">N138+P138+O138</f>
        <v>8241.3706591608734</v>
      </c>
      <c r="R138" s="196">
        <f t="shared" ref="R138:R182" si="23">N138/Q138</f>
        <v>0.25156341010982103</v>
      </c>
      <c r="AC138" s="251"/>
    </row>
    <row r="139" spans="1:29" ht="15.6" x14ac:dyDescent="0.3">
      <c r="A139" s="194">
        <v>2016</v>
      </c>
      <c r="B139" s="229">
        <v>9897.405910873902</v>
      </c>
      <c r="C139" s="229">
        <v>2675.1602341720754</v>
      </c>
      <c r="D139" s="229">
        <v>480.46244846594254</v>
      </c>
      <c r="E139" s="229">
        <v>3979.7957882197779</v>
      </c>
      <c r="F139" s="229">
        <v>927.80773992512832</v>
      </c>
      <c r="G139" s="229">
        <v>364.19233776381185</v>
      </c>
      <c r="H139" s="229">
        <v>2759.2447388326059</v>
      </c>
      <c r="I139" s="229">
        <v>805.72206037947171</v>
      </c>
      <c r="J139" s="229">
        <v>1103.1102147588815</v>
      </c>
      <c r="K139" s="229">
        <v>1180.6873355601149</v>
      </c>
      <c r="N139" s="195">
        <f t="shared" si="19"/>
        <v>2148.3587893122999</v>
      </c>
      <c r="O139" s="195">
        <f t="shared" si="21"/>
        <v>2759.2447388326059</v>
      </c>
      <c r="P139" s="195">
        <f t="shared" si="20"/>
        <v>3519.8150204018298</v>
      </c>
      <c r="Q139" s="195">
        <f t="shared" si="22"/>
        <v>8427.4185485467351</v>
      </c>
      <c r="R139" s="196">
        <f t="shared" si="23"/>
        <v>0.25492489508341476</v>
      </c>
      <c r="AC139" s="251"/>
    </row>
    <row r="140" spans="1:29" ht="15.6" x14ac:dyDescent="0.3">
      <c r="A140" s="194">
        <v>2017</v>
      </c>
      <c r="B140" s="229">
        <v>10143.559473789928</v>
      </c>
      <c r="C140" s="229">
        <v>2697.6903467607099</v>
      </c>
      <c r="D140" s="229">
        <v>487.18599917044969</v>
      </c>
      <c r="E140" s="229">
        <v>4104.5758006553433</v>
      </c>
      <c r="F140" s="229">
        <v>956.80369136810032</v>
      </c>
      <c r="G140" s="229">
        <v>371.23308243580243</v>
      </c>
      <c r="H140" s="229">
        <v>2832.8021593047833</v>
      </c>
      <c r="I140" s="229">
        <v>844.53454489497062</v>
      </c>
      <c r="J140" s="229">
        <v>1111.0170546167001</v>
      </c>
      <c r="K140" s="229">
        <v>1192.8805409750839</v>
      </c>
      <c r="N140" s="195">
        <f t="shared" si="19"/>
        <v>2228.5773327186598</v>
      </c>
      <c r="O140" s="195">
        <f t="shared" si="21"/>
        <v>2832.8021593047833</v>
      </c>
      <c r="P140" s="195">
        <f t="shared" si="20"/>
        <v>3556.1094283669618</v>
      </c>
      <c r="Q140" s="195">
        <f t="shared" si="22"/>
        <v>8617.4889203904058</v>
      </c>
      <c r="R140" s="196">
        <f t="shared" si="23"/>
        <v>0.25861098903712854</v>
      </c>
      <c r="AC140" s="251"/>
    </row>
    <row r="141" spans="1:29" ht="15.6" x14ac:dyDescent="0.3">
      <c r="A141" s="194">
        <v>2018</v>
      </c>
      <c r="B141" s="229">
        <v>10394.560211666314</v>
      </c>
      <c r="C141" s="229">
        <v>2720.0017550399202</v>
      </c>
      <c r="D141" s="229">
        <v>493.91855706875924</v>
      </c>
      <c r="E141" s="229">
        <v>4232.7126420736204</v>
      </c>
      <c r="F141" s="229">
        <v>986.52686898869933</v>
      </c>
      <c r="G141" s="229">
        <v>378.39072654769217</v>
      </c>
      <c r="H141" s="229">
        <v>2905.3448801429599</v>
      </c>
      <c r="I141" s="229">
        <v>886.48701995570002</v>
      </c>
      <c r="J141" s="229">
        <v>1118.9437538443153</v>
      </c>
      <c r="K141" s="229">
        <v>1205.1763790426421</v>
      </c>
      <c r="N141" s="195">
        <f t="shared" si="19"/>
        <v>2313.8946309193602</v>
      </c>
      <c r="O141" s="195">
        <f t="shared" si="21"/>
        <v>2905.3448801429599</v>
      </c>
      <c r="P141" s="195">
        <f t="shared" si="20"/>
        <v>3592.3110386563717</v>
      </c>
      <c r="Q141" s="195">
        <f t="shared" si="22"/>
        <v>8811.5505497186914</v>
      </c>
      <c r="R141" s="196">
        <f t="shared" si="23"/>
        <v>0.26259789555349383</v>
      </c>
      <c r="AC141" s="251"/>
    </row>
    <row r="142" spans="1:29" ht="16.2" thickBot="1" x14ac:dyDescent="0.35">
      <c r="A142" s="198">
        <v>2019</v>
      </c>
      <c r="B142" s="230">
        <v>10650.261250630272</v>
      </c>
      <c r="C142" s="230">
        <v>2742.1092280783487</v>
      </c>
      <c r="D142" s="230">
        <v>500.6717256054859</v>
      </c>
      <c r="E142" s="230">
        <v>4364.0640762054863</v>
      </c>
      <c r="F142" s="230">
        <v>1017.0572835957753</v>
      </c>
      <c r="G142" s="230">
        <v>385.65846512391283</v>
      </c>
      <c r="H142" s="230">
        <v>2976.7986834632438</v>
      </c>
      <c r="I142" s="230">
        <v>931.53709237213911</v>
      </c>
      <c r="J142" s="230">
        <v>1126.8264992002069</v>
      </c>
      <c r="K142" s="230">
        <v>1217.5639826387901</v>
      </c>
      <c r="N142" s="195">
        <f t="shared" si="19"/>
        <v>2404.322676338018</v>
      </c>
      <c r="O142" s="195">
        <f t="shared" si="21"/>
        <v>2976.7986834632438</v>
      </c>
      <c r="P142" s="195">
        <f t="shared" si="20"/>
        <v>3628.4394188077472</v>
      </c>
      <c r="Q142" s="195">
        <f t="shared" si="22"/>
        <v>9009.5607786090077</v>
      </c>
      <c r="R142" s="199">
        <f t="shared" si="23"/>
        <v>0.26686347263969767</v>
      </c>
      <c r="AC142" s="251"/>
    </row>
    <row r="143" spans="1:29" ht="15.6" x14ac:dyDescent="0.3">
      <c r="A143" s="201">
        <v>2020</v>
      </c>
      <c r="B143" s="228">
        <v>10908.460354198847</v>
      </c>
      <c r="C143" s="228">
        <v>2763.9468054892232</v>
      </c>
      <c r="D143" s="228">
        <v>507.61530266510613</v>
      </c>
      <c r="E143" s="228">
        <v>4497.2552602930873</v>
      </c>
      <c r="F143" s="228">
        <v>1048.7428944153305</v>
      </c>
      <c r="G143" s="228">
        <v>393.03164346324149</v>
      </c>
      <c r="H143" s="228">
        <v>3045.9995826031782</v>
      </c>
      <c r="I143" s="228">
        <v>979.96817876905379</v>
      </c>
      <c r="J143" s="228">
        <v>1134.2595673351702</v>
      </c>
      <c r="K143" s="228">
        <v>1230.0799290821146</v>
      </c>
      <c r="L143" s="202"/>
      <c r="M143" s="202"/>
      <c r="N143" s="195">
        <f t="shared" si="19"/>
        <v>2499.9985721052399</v>
      </c>
      <c r="O143" s="195">
        <f t="shared" si="21"/>
        <v>3045.9995826031782</v>
      </c>
      <c r="P143" s="195">
        <f t="shared" si="20"/>
        <v>3664.5937516175709</v>
      </c>
      <c r="Q143" s="195">
        <f t="shared" si="22"/>
        <v>9210.5919063259898</v>
      </c>
      <c r="R143" s="220">
        <f t="shared" si="23"/>
        <v>0.27142648350191245</v>
      </c>
      <c r="AC143" s="251"/>
    </row>
    <row r="144" spans="1:29" ht="15.6" x14ac:dyDescent="0.3">
      <c r="A144" s="206">
        <v>2021</v>
      </c>
      <c r="B144" s="229">
        <v>11175.394190832472</v>
      </c>
      <c r="C144" s="229">
        <v>2785.7461583305176</v>
      </c>
      <c r="D144" s="229">
        <v>514.26487845699648</v>
      </c>
      <c r="E144" s="229">
        <v>4635.981753747119</v>
      </c>
      <c r="F144" s="229">
        <v>1080.8457502610968</v>
      </c>
      <c r="G144" s="229">
        <v>400.50328074507274</v>
      </c>
      <c r="H144" s="229">
        <v>3116.262397727588</v>
      </c>
      <c r="I144" s="229">
        <v>1030.7967155859953</v>
      </c>
      <c r="J144" s="229">
        <v>1142.3091795671289</v>
      </c>
      <c r="K144" s="229">
        <v>1242.5873436600386</v>
      </c>
      <c r="L144" s="170"/>
      <c r="M144" s="170"/>
      <c r="N144" s="195">
        <f t="shared" si="19"/>
        <v>2600.5651062806273</v>
      </c>
      <c r="O144" s="195">
        <f t="shared" si="21"/>
        <v>3116.262397727588</v>
      </c>
      <c r="P144" s="195">
        <f t="shared" si="20"/>
        <v>3700.5143175325866</v>
      </c>
      <c r="Q144" s="195">
        <f t="shared" si="22"/>
        <v>9417.3418215408019</v>
      </c>
      <c r="R144" s="221">
        <f t="shared" si="23"/>
        <v>0.27614640686952791</v>
      </c>
      <c r="AC144" s="251"/>
    </row>
    <row r="145" spans="1:29" ht="15.6" x14ac:dyDescent="0.3">
      <c r="A145" s="206">
        <v>2022</v>
      </c>
      <c r="B145" s="229">
        <v>11444.801627945155</v>
      </c>
      <c r="C145" s="229">
        <v>2807.2701850274329</v>
      </c>
      <c r="D145" s="229">
        <v>521.09767340243968</v>
      </c>
      <c r="E145" s="229">
        <v>4776.4432028281408</v>
      </c>
      <c r="F145" s="229">
        <v>1114.2457771801273</v>
      </c>
      <c r="G145" s="229">
        <v>408.07518162479823</v>
      </c>
      <c r="H145" s="229">
        <v>3184.2795208055895</v>
      </c>
      <c r="I145" s="229">
        <v>1084.9722148538242</v>
      </c>
      <c r="J145" s="229">
        <v>1149.9173414863878</v>
      </c>
      <c r="K145" s="229">
        <v>1255.2246381078508</v>
      </c>
      <c r="L145" s="170"/>
      <c r="M145" s="170"/>
      <c r="N145" s="195">
        <f t="shared" si="19"/>
        <v>2706.4094592026786</v>
      </c>
      <c r="O145" s="195">
        <f t="shared" si="21"/>
        <v>3184.2795208055895</v>
      </c>
      <c r="P145" s="195">
        <f t="shared" si="20"/>
        <v>3736.4430400546707</v>
      </c>
      <c r="Q145" s="195">
        <f t="shared" si="22"/>
        <v>9627.132020062938</v>
      </c>
      <c r="R145" s="221">
        <f t="shared" si="23"/>
        <v>0.2811231271745856</v>
      </c>
      <c r="AC145" s="251"/>
    </row>
    <row r="146" spans="1:29" ht="15.6" x14ac:dyDescent="0.3">
      <c r="A146" s="206">
        <v>2023</v>
      </c>
      <c r="B146" s="229">
        <v>11718.807882126002</v>
      </c>
      <c r="C146" s="229">
        <v>2828.6166313422141</v>
      </c>
      <c r="D146" s="229">
        <v>527.95364034365525</v>
      </c>
      <c r="E146" s="229">
        <v>4919.8731126518278</v>
      </c>
      <c r="F146" s="229">
        <v>1148.7348110101193</v>
      </c>
      <c r="G146" s="229">
        <v>415.74339580225444</v>
      </c>
      <c r="H146" s="229">
        <v>3251.1830176750364</v>
      </c>
      <c r="I146" s="229">
        <v>1142.1600173801307</v>
      </c>
      <c r="J146" s="229">
        <v>1157.4418185136042</v>
      </c>
      <c r="K146" s="229">
        <v>1267.9309243923099</v>
      </c>
      <c r="L146" s="170"/>
      <c r="M146" s="170"/>
      <c r="N146" s="195">
        <f t="shared" si="19"/>
        <v>2817.4249059869107</v>
      </c>
      <c r="O146" s="195">
        <f t="shared" si="21"/>
        <v>3251.1830176750364</v>
      </c>
      <c r="P146" s="195">
        <f t="shared" si="20"/>
        <v>3772.3136674881239</v>
      </c>
      <c r="Q146" s="195">
        <f>N146+P146+O146</f>
        <v>9840.9215911500723</v>
      </c>
      <c r="R146" s="221">
        <f t="shared" si="23"/>
        <v>0.28629685542059569</v>
      </c>
      <c r="AC146" s="251"/>
    </row>
    <row r="147" spans="1:29" ht="15.6" x14ac:dyDescent="0.3">
      <c r="A147" s="206">
        <v>2024</v>
      </c>
      <c r="B147" s="229">
        <v>11997.472770419705</v>
      </c>
      <c r="C147" s="229">
        <v>2849.8108085586646</v>
      </c>
      <c r="D147" s="229">
        <v>534.83421175507567</v>
      </c>
      <c r="E147" s="229">
        <v>5066.2678792333772</v>
      </c>
      <c r="F147" s="229">
        <v>1184.3716128453843</v>
      </c>
      <c r="G147" s="229">
        <v>423.50554548043726</v>
      </c>
      <c r="H147" s="229">
        <v>3317.0099055863388</v>
      </c>
      <c r="I147" s="229">
        <v>1202.3494033962738</v>
      </c>
      <c r="J147" s="229">
        <v>1164.8866715567274</v>
      </c>
      <c r="K147" s="229">
        <v>1280.6869265186424</v>
      </c>
      <c r="L147" s="170"/>
      <c r="M147" s="170"/>
      <c r="N147" s="195">
        <f t="shared" si="19"/>
        <v>2933.6295864924227</v>
      </c>
      <c r="O147" s="195">
        <f t="shared" si="21"/>
        <v>3317.0099055863388</v>
      </c>
      <c r="P147" s="195">
        <f t="shared" si="20"/>
        <v>3808.1505657941775</v>
      </c>
      <c r="Q147" s="195">
        <f t="shared" si="22"/>
        <v>10058.790057872939</v>
      </c>
      <c r="R147" s="221">
        <f t="shared" si="23"/>
        <v>0.2916483562748477</v>
      </c>
      <c r="AC147" s="251"/>
    </row>
    <row r="148" spans="1:29" ht="15.6" x14ac:dyDescent="0.3">
      <c r="A148" s="206">
        <v>2025</v>
      </c>
      <c r="B148" s="229">
        <v>12280.843580199029</v>
      </c>
      <c r="C148" s="229">
        <v>2870.8698496803208</v>
      </c>
      <c r="D148" s="229">
        <v>541.74105764825583</v>
      </c>
      <c r="E148" s="229">
        <v>5215.6149943797473</v>
      </c>
      <c r="F148" s="229">
        <v>1221.2183740589126</v>
      </c>
      <c r="G148" s="229">
        <v>431.35925838882849</v>
      </c>
      <c r="H148" s="229">
        <v>3381.7922267177792</v>
      </c>
      <c r="I148" s="229">
        <v>1265.5278448412607</v>
      </c>
      <c r="J148" s="229">
        <v>1172.2546053886406</v>
      </c>
      <c r="K148" s="229">
        <v>1293.477706009819</v>
      </c>
      <c r="L148" s="170"/>
      <c r="M148" s="170"/>
      <c r="N148" s="195">
        <f t="shared" si="19"/>
        <v>3055.0411417208807</v>
      </c>
      <c r="O148" s="195">
        <f t="shared" si="21"/>
        <v>3381.7922267177792</v>
      </c>
      <c r="P148" s="195">
        <f t="shared" si="20"/>
        <v>3843.9701657174051</v>
      </c>
      <c r="Q148" s="195">
        <f t="shared" si="22"/>
        <v>10280.803534156064</v>
      </c>
      <c r="R148" s="221">
        <f t="shared" si="23"/>
        <v>0.29715976300598224</v>
      </c>
      <c r="AC148" s="251"/>
    </row>
    <row r="149" spans="1:29" ht="15.6" x14ac:dyDescent="0.3">
      <c r="A149" s="206">
        <v>2026</v>
      </c>
      <c r="B149" s="229">
        <v>12568.926319957438</v>
      </c>
      <c r="C149" s="229">
        <v>2891.7990258635537</v>
      </c>
      <c r="D149" s="229">
        <v>548.67604796358648</v>
      </c>
      <c r="E149" s="229">
        <v>5367.8731028084821</v>
      </c>
      <c r="F149" s="229">
        <v>1259.3435467914067</v>
      </c>
      <c r="G149" s="229">
        <v>439.30162084416645</v>
      </c>
      <c r="H149" s="229">
        <v>3445.5414547922865</v>
      </c>
      <c r="I149" s="229">
        <v>1331.6780233699201</v>
      </c>
      <c r="J149" s="229">
        <v>1179.5416926265009</v>
      </c>
      <c r="K149" s="229">
        <v>1306.2973508953919</v>
      </c>
      <c r="L149" s="170"/>
      <c r="M149" s="170"/>
      <c r="N149" s="195">
        <f t="shared" si="19"/>
        <v>3181.6751948076026</v>
      </c>
      <c r="O149" s="195">
        <f t="shared" si="21"/>
        <v>3445.5414547922865</v>
      </c>
      <c r="P149" s="195">
        <f t="shared" si="20"/>
        <v>3879.7766946713064</v>
      </c>
      <c r="Q149" s="195">
        <f t="shared" si="22"/>
        <v>10506.993344271195</v>
      </c>
      <c r="R149" s="221">
        <f t="shared" si="23"/>
        <v>0.30281500050082077</v>
      </c>
      <c r="AC149" s="251"/>
    </row>
    <row r="150" spans="1:29" ht="15.6" x14ac:dyDescent="0.3">
      <c r="A150" s="206">
        <v>2027</v>
      </c>
      <c r="B150" s="229">
        <v>12861.712829515525</v>
      </c>
      <c r="C150" s="229">
        <v>2912.589071931272</v>
      </c>
      <c r="D150" s="229">
        <v>555.6413601759109</v>
      </c>
      <c r="E150" s="229">
        <v>5522.9892146527945</v>
      </c>
      <c r="F150" s="229">
        <v>1298.8215792573108</v>
      </c>
      <c r="G150" s="229">
        <v>447.32990605296879</v>
      </c>
      <c r="H150" s="229">
        <v>3508.2638443068931</v>
      </c>
      <c r="I150" s="229">
        <v>1400.7790380352399</v>
      </c>
      <c r="J150" s="229">
        <v>1186.7433728046938</v>
      </c>
      <c r="K150" s="229">
        <v>1319.1458712745311</v>
      </c>
      <c r="L150" s="170"/>
      <c r="M150" s="170"/>
      <c r="N150" s="195">
        <f t="shared" si="19"/>
        <v>3313.5469496032124</v>
      </c>
      <c r="O150" s="195">
        <f t="shared" si="21"/>
        <v>3508.2638443068931</v>
      </c>
      <c r="P150" s="195">
        <f t="shared" si="20"/>
        <v>3915.5603381601518</v>
      </c>
      <c r="Q150" s="195">
        <f t="shared" si="22"/>
        <v>10737.371132070257</v>
      </c>
      <c r="R150" s="221">
        <f t="shared" si="23"/>
        <v>0.30859946152986634</v>
      </c>
      <c r="AC150" s="251"/>
    </row>
    <row r="151" spans="1:29" ht="15.6" x14ac:dyDescent="0.3">
      <c r="A151" s="206">
        <v>2028</v>
      </c>
      <c r="B151" s="229">
        <v>13159.222649753348</v>
      </c>
      <c r="C151" s="229">
        <v>2933.2239502128286</v>
      </c>
      <c r="D151" s="229">
        <v>562.63959196963629</v>
      </c>
      <c r="E151" s="229">
        <v>5680.9275380640274</v>
      </c>
      <c r="F151" s="229">
        <v>1339.7280142761153</v>
      </c>
      <c r="G151" s="229">
        <v>455.44226133205512</v>
      </c>
      <c r="H151" s="229">
        <v>3569.9824660638324</v>
      </c>
      <c r="I151" s="229">
        <v>1472.8108495996678</v>
      </c>
      <c r="J151" s="229">
        <v>1193.8616596017509</v>
      </c>
      <c r="K151" s="229">
        <v>1332.0217341422353</v>
      </c>
      <c r="L151" s="170"/>
      <c r="M151" s="170"/>
      <c r="N151" s="195">
        <f t="shared" si="19"/>
        <v>3450.6730862763106</v>
      </c>
      <c r="O151" s="195">
        <f t="shared" si="21"/>
        <v>3569.9824660638324</v>
      </c>
      <c r="P151" s="195">
        <f t="shared" si="20"/>
        <v>3951.30580351452</v>
      </c>
      <c r="Q151" s="195">
        <f t="shared" si="22"/>
        <v>10971.961355854663</v>
      </c>
      <c r="R151" s="221">
        <f t="shared" si="23"/>
        <v>0.31449920158851308</v>
      </c>
      <c r="AC151" s="251"/>
    </row>
    <row r="152" spans="1:29" ht="15.6" x14ac:dyDescent="0.3">
      <c r="A152" s="206">
        <v>2029</v>
      </c>
      <c r="B152" s="229">
        <v>13461.478033634328</v>
      </c>
      <c r="C152" s="229">
        <v>2953.6796888335612</v>
      </c>
      <c r="D152" s="229">
        <v>569.67366774757079</v>
      </c>
      <c r="E152" s="229">
        <v>5841.6528327030446</v>
      </c>
      <c r="F152" s="229">
        <v>1382.1410484193871</v>
      </c>
      <c r="G152" s="229">
        <v>463.63715188439903</v>
      </c>
      <c r="H152" s="229">
        <v>3630.7235805206406</v>
      </c>
      <c r="I152" s="229">
        <v>1547.7522276744717</v>
      </c>
      <c r="J152" s="229">
        <v>1200.9001486610703</v>
      </c>
      <c r="K152" s="229">
        <v>1344.925446908775</v>
      </c>
      <c r="L152" s="170"/>
      <c r="M152" s="170"/>
      <c r="N152" s="195">
        <f t="shared" si="19"/>
        <v>3593.0703006017916</v>
      </c>
      <c r="O152" s="195">
        <f t="shared" si="21"/>
        <v>3630.7235805206406</v>
      </c>
      <c r="P152" s="195">
        <f t="shared" si="20"/>
        <v>3986.9905084655311</v>
      </c>
      <c r="Q152" s="195">
        <f t="shared" si="22"/>
        <v>11210.784389587963</v>
      </c>
      <c r="R152" s="221">
        <f t="shared" si="23"/>
        <v>0.32050124021106519</v>
      </c>
      <c r="AC152" s="251"/>
    </row>
    <row r="153" spans="1:29" ht="15.6" x14ac:dyDescent="0.3">
      <c r="A153" s="206">
        <v>2030</v>
      </c>
      <c r="B153" s="229">
        <v>13776.645156932413</v>
      </c>
      <c r="C153" s="229">
        <v>2974.0933254724732</v>
      </c>
      <c r="D153" s="229">
        <v>576.10300583316916</v>
      </c>
      <c r="E153" s="229">
        <v>6010.1545331255711</v>
      </c>
      <c r="F153" s="229">
        <v>1425.0546540941345</v>
      </c>
      <c r="G153" s="229">
        <v>471.90792227189502</v>
      </c>
      <c r="H153" s="229">
        <v>3694.9500202554582</v>
      </c>
      <c r="I153" s="229">
        <v>1624.3009449504577</v>
      </c>
      <c r="J153" s="229">
        <v>1208.5879419397863</v>
      </c>
      <c r="K153" s="229">
        <v>1357.6729403161332</v>
      </c>
      <c r="L153" s="170"/>
      <c r="M153" s="170"/>
      <c r="N153" s="195">
        <f t="shared" si="19"/>
        <v>3740.259166964247</v>
      </c>
      <c r="O153" s="195">
        <f t="shared" si="21"/>
        <v>3694.9500202554582</v>
      </c>
      <c r="P153" s="195">
        <f t="shared" si="20"/>
        <v>4022.1042535775373</v>
      </c>
      <c r="Q153" s="195">
        <f t="shared" si="22"/>
        <v>11457.313440797243</v>
      </c>
      <c r="R153" s="221">
        <f t="shared" si="23"/>
        <v>0.3264516752806918</v>
      </c>
      <c r="AC153" s="251"/>
    </row>
    <row r="154" spans="1:29" ht="15.6" x14ac:dyDescent="0.3">
      <c r="A154" s="206">
        <v>2031</v>
      </c>
      <c r="B154" s="229">
        <v>14080.298580436112</v>
      </c>
      <c r="C154" s="229">
        <v>2993.9839028317529</v>
      </c>
      <c r="D154" s="229">
        <v>583.86166104707661</v>
      </c>
      <c r="E154" s="229">
        <v>6171.3170933709134</v>
      </c>
      <c r="F154" s="229">
        <v>1471.7890837846696</v>
      </c>
      <c r="G154" s="229">
        <v>480.26700084905849</v>
      </c>
      <c r="H154" s="229">
        <v>3749.3626679398508</v>
      </c>
      <c r="I154" s="229">
        <v>1706.2835613579473</v>
      </c>
      <c r="J154" s="229">
        <v>1214.7438134143958</v>
      </c>
      <c r="K154" s="229">
        <v>1370.8153962001384</v>
      </c>
      <c r="L154" s="170"/>
      <c r="M154" s="170"/>
      <c r="N154" s="195">
        <f t="shared" si="19"/>
        <v>3893.7435092157325</v>
      </c>
      <c r="O154" s="195">
        <f t="shared" si="21"/>
        <v>3749.3626679398508</v>
      </c>
      <c r="P154" s="195">
        <f t="shared" si="20"/>
        <v>4058.1125647278882</v>
      </c>
      <c r="Q154" s="195">
        <f t="shared" si="22"/>
        <v>11701.218741883471</v>
      </c>
      <c r="R154" s="221">
        <f t="shared" si="23"/>
        <v>0.33276392785295295</v>
      </c>
      <c r="AC154" s="251"/>
    </row>
    <row r="155" spans="1:29" ht="15.6" x14ac:dyDescent="0.3">
      <c r="A155" s="206">
        <v>2032</v>
      </c>
      <c r="B155" s="229">
        <v>14396.888249542288</v>
      </c>
      <c r="C155" s="229">
        <v>3013.8193199134976</v>
      </c>
      <c r="D155" s="229">
        <v>591.02189401230657</v>
      </c>
      <c r="E155" s="229">
        <v>6340.1784006816215</v>
      </c>
      <c r="F155" s="229">
        <v>1519.1665827795282</v>
      </c>
      <c r="G155" s="229">
        <v>488.69707173654513</v>
      </c>
      <c r="H155" s="229">
        <v>3807.2926713318557</v>
      </c>
      <c r="I155" s="229">
        <v>1789.8376541760263</v>
      </c>
      <c r="J155" s="229">
        <v>1221.5456378623558</v>
      </c>
      <c r="K155" s="229">
        <v>1383.7976016579273</v>
      </c>
      <c r="L155" s="170"/>
      <c r="M155" s="170"/>
      <c r="N155" s="195">
        <f t="shared" si="19"/>
        <v>4052.0523121292936</v>
      </c>
      <c r="O155" s="195">
        <f t="shared" si="21"/>
        <v>3807.2926713318557</v>
      </c>
      <c r="P155" s="195">
        <f t="shared" si="20"/>
        <v>4093.5382856623496</v>
      </c>
      <c r="Q155" s="195">
        <f t="shared" si="22"/>
        <v>11952.883269123498</v>
      </c>
      <c r="R155" s="221">
        <f t="shared" si="23"/>
        <v>0.33900208183212932</v>
      </c>
      <c r="AC155" s="251"/>
    </row>
    <row r="156" spans="1:29" ht="15.6" x14ac:dyDescent="0.3">
      <c r="A156" s="206">
        <v>2033</v>
      </c>
      <c r="B156" s="229">
        <v>14718.286305170281</v>
      </c>
      <c r="C156" s="229">
        <v>3033.4247367422045</v>
      </c>
      <c r="D156" s="229">
        <v>598.23485667218768</v>
      </c>
      <c r="E156" s="229">
        <v>6511.6699555901787</v>
      </c>
      <c r="F156" s="229">
        <v>1568.3470758022263</v>
      </c>
      <c r="G156" s="229">
        <v>497.20006214966975</v>
      </c>
      <c r="H156" s="229">
        <v>3864.3282727328692</v>
      </c>
      <c r="I156" s="229">
        <v>1876.2236809421031</v>
      </c>
      <c r="J156" s="229">
        <v>1228.2620460963431</v>
      </c>
      <c r="K156" s="229">
        <v>1396.8094165714724</v>
      </c>
      <c r="L156" s="170"/>
      <c r="M156" s="170"/>
      <c r="N156" s="195">
        <f t="shared" si="19"/>
        <v>4215.6887586595349</v>
      </c>
      <c r="O156" s="195">
        <f t="shared" si="21"/>
        <v>3864.3282727328692</v>
      </c>
      <c r="P156" s="195">
        <f t="shared" si="20"/>
        <v>4128.8596555640615</v>
      </c>
      <c r="Q156" s="195">
        <f t="shared" si="22"/>
        <v>12208.876686956466</v>
      </c>
      <c r="R156" s="221">
        <f t="shared" si="23"/>
        <v>0.34529702172874172</v>
      </c>
      <c r="AC156" s="251"/>
    </row>
    <row r="157" spans="1:29" ht="15.6" x14ac:dyDescent="0.3">
      <c r="A157" s="206">
        <v>2034</v>
      </c>
      <c r="B157" s="229">
        <v>15044.512014219195</v>
      </c>
      <c r="C157" s="229">
        <v>3052.7807557619885</v>
      </c>
      <c r="D157" s="229">
        <v>605.50937184782867</v>
      </c>
      <c r="E157" s="229">
        <v>6685.7475439721256</v>
      </c>
      <c r="F157" s="229">
        <v>1619.4088481449426</v>
      </c>
      <c r="G157" s="229">
        <v>505.77276590041936</v>
      </c>
      <c r="H157" s="229">
        <v>3920.4986240128737</v>
      </c>
      <c r="I157" s="229">
        <v>1965.4197661441308</v>
      </c>
      <c r="J157" s="229">
        <v>1234.8872544998844</v>
      </c>
      <c r="K157" s="229">
        <v>1409.8583553980172</v>
      </c>
      <c r="L157" s="170"/>
      <c r="M157" s="170"/>
      <c r="N157" s="195">
        <f t="shared" si="19"/>
        <v>4384.6577681041936</v>
      </c>
      <c r="O157" s="195">
        <f t="shared" si="21"/>
        <v>3920.4986240128737</v>
      </c>
      <c r="P157" s="195">
        <f t="shared" si="20"/>
        <v>4164.0628935102368</v>
      </c>
      <c r="Q157" s="195">
        <f t="shared" si="22"/>
        <v>12469.219285627303</v>
      </c>
      <c r="R157" s="221">
        <f t="shared" si="23"/>
        <v>0.35163851622676867</v>
      </c>
      <c r="AC157" s="251"/>
    </row>
    <row r="158" spans="1:29" ht="15.6" x14ac:dyDescent="0.3">
      <c r="A158" s="206">
        <v>2035</v>
      </c>
      <c r="B158" s="229">
        <v>15375.581347098563</v>
      </c>
      <c r="C158" s="229">
        <v>3071.8707315958327</v>
      </c>
      <c r="D158" s="229">
        <v>612.85295161381418</v>
      </c>
      <c r="E158" s="229">
        <v>6862.3679872409575</v>
      </c>
      <c r="F158" s="229">
        <v>1672.4278959872365</v>
      </c>
      <c r="G158" s="229">
        <v>514.41216977562385</v>
      </c>
      <c r="H158" s="229">
        <v>3975.827796629319</v>
      </c>
      <c r="I158" s="229">
        <v>2057.4053869420077</v>
      </c>
      <c r="J158" s="229">
        <v>1241.4164388440172</v>
      </c>
      <c r="K158" s="229">
        <v>1422.9497514308821</v>
      </c>
      <c r="L158" s="170"/>
      <c r="M158" s="170"/>
      <c r="N158" s="195">
        <f t="shared" si="19"/>
        <v>4558.9680865988757</v>
      </c>
      <c r="O158" s="195">
        <f t="shared" si="21"/>
        <v>3975.827796629319</v>
      </c>
      <c r="P158" s="195">
        <f t="shared" si="20"/>
        <v>4199.1358529852705</v>
      </c>
      <c r="Q158" s="195">
        <f t="shared" si="22"/>
        <v>12733.931736213466</v>
      </c>
      <c r="R158" s="221">
        <f t="shared" si="23"/>
        <v>0.35801731790612851</v>
      </c>
      <c r="AC158" s="251"/>
    </row>
    <row r="159" spans="1:29" ht="15.6" x14ac:dyDescent="0.3">
      <c r="A159" s="206">
        <v>2036</v>
      </c>
      <c r="B159" s="229">
        <v>15711.50321503076</v>
      </c>
      <c r="C159" s="229">
        <v>3090.6824488783677</v>
      </c>
      <c r="D159" s="229">
        <v>620.26954661467289</v>
      </c>
      <c r="E159" s="229">
        <v>7041.4876732283428</v>
      </c>
      <c r="F159" s="229">
        <v>1727.4774879620563</v>
      </c>
      <c r="G159" s="229">
        <v>523.11567880497159</v>
      </c>
      <c r="H159" s="229">
        <v>4030.3323844136239</v>
      </c>
      <c r="I159" s="229">
        <v>2152.1607791905353</v>
      </c>
      <c r="J159" s="229">
        <v>1247.8468494152671</v>
      </c>
      <c r="K159" s="229">
        <v>1436.0862070848216</v>
      </c>
      <c r="L159" s="170"/>
      <c r="M159" s="170"/>
      <c r="N159" s="195">
        <f t="shared" si="19"/>
        <v>4738.6327767767752</v>
      </c>
      <c r="O159" s="195">
        <f t="shared" si="21"/>
        <v>4030.3323844136239</v>
      </c>
      <c r="P159" s="195">
        <f t="shared" si="20"/>
        <v>4234.0676742980122</v>
      </c>
      <c r="Q159" s="195">
        <f t="shared" si="22"/>
        <v>13003.032835488411</v>
      </c>
      <c r="R159" s="221">
        <f t="shared" si="23"/>
        <v>0.36442519500865245</v>
      </c>
      <c r="AC159" s="251"/>
    </row>
    <row r="160" spans="1:29" ht="15.6" x14ac:dyDescent="0.3">
      <c r="A160" s="206">
        <v>2037</v>
      </c>
      <c r="B160" s="229">
        <v>16052.283545825936</v>
      </c>
      <c r="C160" s="229">
        <v>3109.2085869195644</v>
      </c>
      <c r="D160" s="229">
        <v>627.76174594729207</v>
      </c>
      <c r="E160" s="229">
        <v>7223.0667012550884</v>
      </c>
      <c r="F160" s="229">
        <v>1784.6267741773831</v>
      </c>
      <c r="G160" s="229">
        <v>531.8810399531335</v>
      </c>
      <c r="H160" s="229">
        <v>4084.0206274851712</v>
      </c>
      <c r="I160" s="229">
        <v>2249.6695438033112</v>
      </c>
      <c r="J160" s="229">
        <v>1254.1774584731293</v>
      </c>
      <c r="K160" s="229">
        <v>1449.2659098263393</v>
      </c>
      <c r="L160" s="170"/>
      <c r="M160" s="170"/>
      <c r="N160" s="195">
        <f t="shared" si="19"/>
        <v>4923.6728479473004</v>
      </c>
      <c r="O160" s="195">
        <f t="shared" si="21"/>
        <v>4084.0206274851712</v>
      </c>
      <c r="P160" s="195">
        <f t="shared" si="20"/>
        <v>4268.8513728199905</v>
      </c>
      <c r="Q160" s="195">
        <f t="shared" si="22"/>
        <v>13276.544848252463</v>
      </c>
      <c r="R160" s="221">
        <f t="shared" si="23"/>
        <v>0.37085498555713337</v>
      </c>
      <c r="AC160" s="251"/>
    </row>
    <row r="161" spans="1:29" ht="15.6" x14ac:dyDescent="0.3">
      <c r="A161" s="206">
        <v>2038</v>
      </c>
      <c r="B161" s="229">
        <v>16397.930608915336</v>
      </c>
      <c r="C161" s="229">
        <v>3127.4437614846452</v>
      </c>
      <c r="D161" s="229">
        <v>635.3339738944959</v>
      </c>
      <c r="E161" s="229">
        <v>7407.0697835756955</v>
      </c>
      <c r="F161" s="229">
        <v>1843.942261169027</v>
      </c>
      <c r="G161" s="229">
        <v>540.70601909605193</v>
      </c>
      <c r="H161" s="229">
        <v>4136.8969167398445</v>
      </c>
      <c r="I161" s="229">
        <v>2349.9188793244284</v>
      </c>
      <c r="J161" s="229">
        <v>1260.4070956504356</v>
      </c>
      <c r="K161" s="229">
        <v>1462.4845219780482</v>
      </c>
      <c r="L161" s="170"/>
      <c r="M161" s="170"/>
      <c r="N161" s="195">
        <f t="shared" si="19"/>
        <v>5114.115128004878</v>
      </c>
      <c r="O161" s="195">
        <f t="shared" si="21"/>
        <v>4136.8969167398445</v>
      </c>
      <c r="P161" s="195">
        <f t="shared" si="20"/>
        <v>4303.4837544751936</v>
      </c>
      <c r="Q161" s="195">
        <f t="shared" si="22"/>
        <v>13554.495799219916</v>
      </c>
      <c r="R161" s="221">
        <f t="shared" si="23"/>
        <v>0.37730028499468082</v>
      </c>
      <c r="AC161" s="251"/>
    </row>
    <row r="162" spans="1:29" ht="15.6" x14ac:dyDescent="0.3">
      <c r="A162" s="206">
        <v>2039</v>
      </c>
      <c r="B162" s="229">
        <v>16748.451499918767</v>
      </c>
      <c r="C162" s="229">
        <v>3145.3851002705878</v>
      </c>
      <c r="D162" s="229">
        <v>642.99055617744602</v>
      </c>
      <c r="E162" s="229">
        <v>7593.4640413162861</v>
      </c>
      <c r="F162" s="229">
        <v>1905.4881282855579</v>
      </c>
      <c r="G162" s="229">
        <v>549.58850925804302</v>
      </c>
      <c r="H162" s="229">
        <v>4188.9608036803811</v>
      </c>
      <c r="I162" s="229">
        <v>2452.898438047449</v>
      </c>
      <c r="J162" s="229">
        <v>1266.5352312045325</v>
      </c>
      <c r="K162" s="229">
        <v>1475.7354783957321</v>
      </c>
      <c r="L162" s="170"/>
      <c r="M162" s="170"/>
      <c r="N162" s="195">
        <f t="shared" si="19"/>
        <v>5309.9913659214626</v>
      </c>
      <c r="O162" s="195">
        <f t="shared" si="21"/>
        <v>4188.9608036803811</v>
      </c>
      <c r="P162" s="195">
        <f t="shared" si="20"/>
        <v>4337.9641657060765</v>
      </c>
      <c r="Q162" s="195">
        <f t="shared" si="22"/>
        <v>13836.91633530792</v>
      </c>
      <c r="R162" s="221">
        <f t="shared" si="23"/>
        <v>0.38375540020950027</v>
      </c>
      <c r="AC162" s="251"/>
    </row>
    <row r="163" spans="1:29" ht="15.6" x14ac:dyDescent="0.3">
      <c r="A163" s="206">
        <v>2040</v>
      </c>
      <c r="B163" s="229">
        <v>17091.972478038722</v>
      </c>
      <c r="C163" s="229">
        <v>3163.0266466965036</v>
      </c>
      <c r="D163" s="229">
        <v>651.70082336760163</v>
      </c>
      <c r="E163" s="229">
        <v>7774.6739242548938</v>
      </c>
      <c r="F163" s="229">
        <v>1970.9542885598783</v>
      </c>
      <c r="G163" s="229">
        <v>558.53364534924526</v>
      </c>
      <c r="H163" s="229">
        <v>4233.5548592113309</v>
      </c>
      <c r="I163" s="229">
        <v>2560.5185442909424</v>
      </c>
      <c r="J163" s="229">
        <v>1272.5267677159538</v>
      </c>
      <c r="K163" s="229">
        <v>1489.2914025300629</v>
      </c>
      <c r="L163" s="170"/>
      <c r="M163" s="170"/>
      <c r="N163" s="195">
        <f t="shared" si="19"/>
        <v>5512.0733536034413</v>
      </c>
      <c r="O163" s="195">
        <f t="shared" si="21"/>
        <v>4233.5548592113309</v>
      </c>
      <c r="P163" s="195">
        <f t="shared" si="20"/>
        <v>4373.2611154133501</v>
      </c>
      <c r="Q163" s="195">
        <f t="shared" si="22"/>
        <v>14118.889328228121</v>
      </c>
      <c r="R163" s="221">
        <f t="shared" si="23"/>
        <v>0.39040417595618271</v>
      </c>
      <c r="AC163" s="251"/>
    </row>
    <row r="164" spans="1:29" ht="15.6" x14ac:dyDescent="0.3">
      <c r="A164" s="206">
        <v>2041</v>
      </c>
      <c r="B164" s="229">
        <v>17464.129732176021</v>
      </c>
      <c r="C164" s="229">
        <v>3180.3696171264028</v>
      </c>
      <c r="D164" s="229">
        <v>658.5699365283765</v>
      </c>
      <c r="E164" s="229">
        <v>7973.2745948841321</v>
      </c>
      <c r="F164" s="229">
        <v>2035.5366439996681</v>
      </c>
      <c r="G164" s="229">
        <v>567.51701244061871</v>
      </c>
      <c r="H164" s="229">
        <v>4290.6522093371022</v>
      </c>
      <c r="I164" s="229">
        <v>2666.9973511427916</v>
      </c>
      <c r="J164" s="229">
        <v>1278.4834196391266</v>
      </c>
      <c r="K164" s="229">
        <v>1502.3206715120457</v>
      </c>
      <c r="L164" s="170"/>
      <c r="M164" s="170"/>
      <c r="N164" s="195">
        <f t="shared" si="19"/>
        <v>5718.1590295466976</v>
      </c>
      <c r="O164" s="195">
        <f t="shared" si="21"/>
        <v>4290.6522093371022</v>
      </c>
      <c r="P164" s="195">
        <f t="shared" si="20"/>
        <v>4406.4565660953976</v>
      </c>
      <c r="Q164" s="195">
        <f>N164+P164+O164</f>
        <v>14415.267804979198</v>
      </c>
      <c r="R164" s="221">
        <f>N164/Q164</f>
        <v>0.39667379801099362</v>
      </c>
      <c r="AC164" s="251"/>
    </row>
    <row r="165" spans="1:29" ht="15.6" x14ac:dyDescent="0.3">
      <c r="A165" s="206">
        <v>2042</v>
      </c>
      <c r="B165" s="229">
        <v>17829.286990629713</v>
      </c>
      <c r="C165" s="229">
        <v>3197.3997335190593</v>
      </c>
      <c r="D165" s="229">
        <v>666.49681131802322</v>
      </c>
      <c r="E165" s="229">
        <v>8166.6006532958327</v>
      </c>
      <c r="F165" s="229">
        <v>2104.1792340609854</v>
      </c>
      <c r="G165" s="229">
        <v>576.55801502224585</v>
      </c>
      <c r="H165" s="229">
        <v>4340.2847870172445</v>
      </c>
      <c r="I165" s="229">
        <v>2778.0833340701247</v>
      </c>
      <c r="J165" s="229">
        <v>1284.300566228042</v>
      </c>
      <c r="K165" s="229">
        <v>1515.6573424366125</v>
      </c>
      <c r="L165" s="170"/>
      <c r="M165" s="170"/>
      <c r="N165" s="195">
        <f t="shared" si="19"/>
        <v>5930.4951003395727</v>
      </c>
      <c r="O165" s="195">
        <f t="shared" si="21"/>
        <v>4340.2847870172445</v>
      </c>
      <c r="P165" s="195">
        <f t="shared" si="20"/>
        <v>4440.4545598593286</v>
      </c>
      <c r="Q165" s="195">
        <f t="shared" si="22"/>
        <v>14711.234447216146</v>
      </c>
      <c r="R165" s="221">
        <f t="shared" si="23"/>
        <v>0.40312695182842523</v>
      </c>
      <c r="AC165" s="251"/>
    </row>
    <row r="166" spans="1:29" ht="15.6" x14ac:dyDescent="0.3">
      <c r="A166" s="206">
        <v>2043</v>
      </c>
      <c r="B166" s="229">
        <v>18199.310067720726</v>
      </c>
      <c r="C166" s="229">
        <v>3214.1088779244797</v>
      </c>
      <c r="D166" s="229">
        <v>674.5154003287779</v>
      </c>
      <c r="E166" s="229">
        <v>8362.1393387184053</v>
      </c>
      <c r="F166" s="229">
        <v>2175.3254636930051</v>
      </c>
      <c r="G166" s="229">
        <v>585.647174169354</v>
      </c>
      <c r="H166" s="229">
        <v>4389.1146205130044</v>
      </c>
      <c r="I166" s="229">
        <v>2891.8357384253445</v>
      </c>
      <c r="J166" s="229">
        <v>1290.0087385951756</v>
      </c>
      <c r="K166" s="229">
        <v>1529.0273710757674</v>
      </c>
      <c r="L166" s="170"/>
      <c r="M166" s="170"/>
      <c r="N166" s="195">
        <f t="shared" si="19"/>
        <v>6148.3501818984059</v>
      </c>
      <c r="O166" s="195">
        <f t="shared" si="21"/>
        <v>4389.1146205130044</v>
      </c>
      <c r="P166" s="195">
        <f t="shared" si="20"/>
        <v>4474.2714524226121</v>
      </c>
      <c r="Q166" s="195">
        <f t="shared" si="22"/>
        <v>15011.736254834022</v>
      </c>
      <c r="R166" s="221">
        <f t="shared" si="23"/>
        <v>0.4095695579462727</v>
      </c>
      <c r="AC166" s="251"/>
    </row>
    <row r="167" spans="1:29" ht="15.6" x14ac:dyDescent="0.3">
      <c r="A167" s="206">
        <v>2044</v>
      </c>
      <c r="B167" s="229">
        <v>18574.181927177862</v>
      </c>
      <c r="C167" s="229">
        <v>3230.4855048836225</v>
      </c>
      <c r="D167" s="229">
        <v>682.62441798703389</v>
      </c>
      <c r="E167" s="229">
        <v>8559.8350212139958</v>
      </c>
      <c r="F167" s="229">
        <v>2249.0430174460971</v>
      </c>
      <c r="G167" s="229">
        <v>594.78241807323934</v>
      </c>
      <c r="H167" s="229">
        <v>4437.1468099033118</v>
      </c>
      <c r="I167" s="229">
        <v>3008.2347092330856</v>
      </c>
      <c r="J167" s="229">
        <v>1295.6035002208791</v>
      </c>
      <c r="K167" s="229">
        <v>1542.4350969604193</v>
      </c>
      <c r="L167" s="170"/>
      <c r="M167" s="170"/>
      <c r="N167" s="195">
        <f t="shared" si="19"/>
        <v>6371.7312287567802</v>
      </c>
      <c r="O167" s="195">
        <f t="shared" si="21"/>
        <v>4437.1468099033118</v>
      </c>
      <c r="P167" s="195">
        <f t="shared" si="20"/>
        <v>4507.8923409438958</v>
      </c>
      <c r="Q167" s="195">
        <f t="shared" si="22"/>
        <v>15316.770379603988</v>
      </c>
      <c r="R167" s="221">
        <f t="shared" si="23"/>
        <v>0.41599704577679514</v>
      </c>
      <c r="AC167" s="251"/>
    </row>
    <row r="168" spans="1:29" ht="15.6" x14ac:dyDescent="0.3">
      <c r="A168" s="206">
        <v>2045</v>
      </c>
      <c r="B168" s="229">
        <v>18953.887213309783</v>
      </c>
      <c r="C168" s="229">
        <v>3246.5209437503663</v>
      </c>
      <c r="D168" s="229">
        <v>690.82266909755276</v>
      </c>
      <c r="E168" s="229">
        <v>8759.6328206392791</v>
      </c>
      <c r="F168" s="229">
        <v>2325.4001303546811</v>
      </c>
      <c r="G168" s="229">
        <v>603.96150414780436</v>
      </c>
      <c r="H168" s="229">
        <v>4484.3818271042319</v>
      </c>
      <c r="I168" s="229">
        <v>3127.2611357636179</v>
      </c>
      <c r="J168" s="229">
        <v>1301.0817731078409</v>
      </c>
      <c r="K168" s="229">
        <v>1555.8843568552104</v>
      </c>
      <c r="L168" s="170"/>
      <c r="M168" s="170"/>
      <c r="N168" s="195">
        <f t="shared" si="19"/>
        <v>6600.6511238897283</v>
      </c>
      <c r="O168" s="195">
        <f t="shared" si="21"/>
        <v>4484.3818271042319</v>
      </c>
      <c r="P168" s="195">
        <f t="shared" si="20"/>
        <v>4541.3051169957234</v>
      </c>
      <c r="Q168" s="195">
        <f t="shared" si="22"/>
        <v>15626.338067989684</v>
      </c>
      <c r="R168" s="221">
        <f t="shared" si="23"/>
        <v>0.42240549866325122</v>
      </c>
      <c r="AC168" s="251"/>
    </row>
    <row r="169" spans="1:29" ht="15.6" x14ac:dyDescent="0.3">
      <c r="A169" s="206">
        <v>2046</v>
      </c>
      <c r="B169" s="229">
        <v>19338.418584332685</v>
      </c>
      <c r="C169" s="229">
        <v>3262.2076768494444</v>
      </c>
      <c r="D169" s="229">
        <v>699.1107350500115</v>
      </c>
      <c r="E169" s="229">
        <v>8961.48277878724</v>
      </c>
      <c r="F169" s="229">
        <v>2404.465765932463</v>
      </c>
      <c r="G169" s="229">
        <v>613.18202546067744</v>
      </c>
      <c r="H169" s="229">
        <v>4530.8177704886739</v>
      </c>
      <c r="I169" s="229">
        <v>3248.8968499881285</v>
      </c>
      <c r="J169" s="229">
        <v>1306.4419515514601</v>
      </c>
      <c r="K169" s="229">
        <v>1569.3770619647196</v>
      </c>
      <c r="L169" s="170"/>
      <c r="M169" s="170"/>
      <c r="N169" s="195">
        <f t="shared" si="19"/>
        <v>6835.13077423103</v>
      </c>
      <c r="O169" s="195">
        <f t="shared" si="21"/>
        <v>4530.8177704886739</v>
      </c>
      <c r="P169" s="195">
        <f t="shared" si="20"/>
        <v>4574.5004373601332</v>
      </c>
      <c r="Q169" s="195">
        <f t="shared" si="22"/>
        <v>15940.448982079837</v>
      </c>
      <c r="R169" s="221">
        <f t="shared" si="23"/>
        <v>0.4287916094405525</v>
      </c>
      <c r="AC169" s="251"/>
    </row>
    <row r="170" spans="1:29" ht="15.6" x14ac:dyDescent="0.3">
      <c r="A170" s="206">
        <v>2047</v>
      </c>
      <c r="B170" s="229">
        <v>19727.769831963251</v>
      </c>
      <c r="C170" s="229">
        <v>3277.5451634880751</v>
      </c>
      <c r="D170" s="229">
        <v>707.48856102021318</v>
      </c>
      <c r="E170" s="229">
        <v>9165.3353572737196</v>
      </c>
      <c r="F170" s="229">
        <v>2486.3098070001843</v>
      </c>
      <c r="G170" s="229">
        <v>622.44127338746739</v>
      </c>
      <c r="H170" s="229">
        <v>4576.4430329897477</v>
      </c>
      <c r="I170" s="229">
        <v>3373.1257287924459</v>
      </c>
      <c r="J170" s="229">
        <v>1311.6848974969773</v>
      </c>
      <c r="K170" s="229">
        <v>1582.9146961430349</v>
      </c>
      <c r="L170" s="170"/>
      <c r="M170" s="170"/>
      <c r="N170" s="195">
        <f t="shared" si="19"/>
        <v>7075.2021312841571</v>
      </c>
      <c r="O170" s="195">
        <f t="shared" si="21"/>
        <v>4576.4430329897477</v>
      </c>
      <c r="P170" s="195">
        <f t="shared" si="20"/>
        <v>4607.4749978957552</v>
      </c>
      <c r="Q170" s="195">
        <f t="shared" si="22"/>
        <v>16259.12016216966</v>
      </c>
      <c r="R170" s="221">
        <f t="shared" si="23"/>
        <v>0.43515282873338601</v>
      </c>
      <c r="AC170" s="251"/>
    </row>
    <row r="171" spans="1:29" ht="15.6" x14ac:dyDescent="0.3">
      <c r="A171" s="206">
        <v>2048</v>
      </c>
      <c r="B171" s="229">
        <v>20121.927194507472</v>
      </c>
      <c r="C171" s="229">
        <v>3292.5404993109032</v>
      </c>
      <c r="D171" s="229">
        <v>715.95318313246116</v>
      </c>
      <c r="E171" s="229">
        <v>9371.135509942309</v>
      </c>
      <c r="F171" s="229">
        <v>2571.0026739967088</v>
      </c>
      <c r="G171" s="229">
        <v>631.73631014889372</v>
      </c>
      <c r="H171" s="229">
        <v>4621.2350571607631</v>
      </c>
      <c r="I171" s="229">
        <v>3499.933002288406</v>
      </c>
      <c r="J171" s="229">
        <v>1316.813107633064</v>
      </c>
      <c r="K171" s="229">
        <v>1596.5004004978659</v>
      </c>
      <c r="L171" s="170"/>
      <c r="M171" s="170"/>
      <c r="N171" s="195">
        <f t="shared" si="19"/>
        <v>7320.9031267782548</v>
      </c>
      <c r="O171" s="195">
        <f t="shared" si="21"/>
        <v>4621.2350571607631</v>
      </c>
      <c r="P171" s="195">
        <f t="shared" si="20"/>
        <v>4640.229992592258</v>
      </c>
      <c r="Q171" s="195">
        <f t="shared" si="22"/>
        <v>16582.368176531276</v>
      </c>
      <c r="R171" s="221">
        <f t="shared" si="23"/>
        <v>0.4414871898176399</v>
      </c>
      <c r="AC171" s="251"/>
    </row>
    <row r="172" spans="1:29" ht="15.6" x14ac:dyDescent="0.3">
      <c r="A172" s="206">
        <v>2049</v>
      </c>
      <c r="B172" s="229">
        <v>20520.875238028635</v>
      </c>
      <c r="C172" s="229">
        <v>3307.2055914389916</v>
      </c>
      <c r="D172" s="229">
        <v>724.50049911811175</v>
      </c>
      <c r="E172" s="229">
        <v>9578.8264119364812</v>
      </c>
      <c r="F172" s="229">
        <v>2658.6153161047887</v>
      </c>
      <c r="G172" s="229">
        <v>641.06399223931794</v>
      </c>
      <c r="H172" s="229">
        <v>4665.1640427115844</v>
      </c>
      <c r="I172" s="229">
        <v>3629.3050129618559</v>
      </c>
      <c r="J172" s="229">
        <v>1321.8305695686158</v>
      </c>
      <c r="K172" s="229">
        <v>1610.1376708001171</v>
      </c>
      <c r="L172" s="170"/>
      <c r="M172" s="170"/>
      <c r="N172" s="195">
        <f t="shared" si="19"/>
        <v>7572.2776853296864</v>
      </c>
      <c r="O172" s="195">
        <f t="shared" si="21"/>
        <v>4665.1640427115844</v>
      </c>
      <c r="P172" s="195">
        <f t="shared" si="20"/>
        <v>4672.7700827964218</v>
      </c>
      <c r="Q172" s="195">
        <f t="shared" si="22"/>
        <v>16910.211810837693</v>
      </c>
      <c r="R172" s="221">
        <f t="shared" si="23"/>
        <v>0.4477931897030788</v>
      </c>
      <c r="AC172" s="251"/>
    </row>
    <row r="173" spans="1:29" ht="16.2" thickBot="1" x14ac:dyDescent="0.35">
      <c r="A173" s="208">
        <v>2050</v>
      </c>
      <c r="B173" s="231">
        <v>20932.290822658317</v>
      </c>
      <c r="C173" s="231">
        <v>3321.3934554064408</v>
      </c>
      <c r="D173" s="231">
        <v>732.48325493212872</v>
      </c>
      <c r="E173" s="231">
        <v>9793.3774952075091</v>
      </c>
      <c r="F173" s="231">
        <v>2748.1355343033606</v>
      </c>
      <c r="G173" s="231">
        <v>650.41635685282642</v>
      </c>
      <c r="H173" s="231">
        <v>4712.6417397951955</v>
      </c>
      <c r="I173" s="231">
        <v>3759.9453443125003</v>
      </c>
      <c r="J173" s="231">
        <v>1326.0591174841149</v>
      </c>
      <c r="K173" s="231">
        <v>1623.6451667465644</v>
      </c>
      <c r="L173" s="209"/>
      <c r="M173" s="209"/>
      <c r="N173" s="195">
        <f t="shared" si="19"/>
        <v>7828.8712897156747</v>
      </c>
      <c r="O173" s="195">
        <f t="shared" si="21"/>
        <v>4712.6417397951955</v>
      </c>
      <c r="P173" s="195">
        <f t="shared" si="20"/>
        <v>4704.2930671913955</v>
      </c>
      <c r="Q173" s="195">
        <f t="shared" si="22"/>
        <v>17245.806096702265</v>
      </c>
      <c r="R173" s="222">
        <f t="shared" si="23"/>
        <v>0.4539579794540719</v>
      </c>
      <c r="AC173" s="251"/>
    </row>
    <row r="174" spans="1:29" ht="15.6" x14ac:dyDescent="0.3">
      <c r="A174" s="213">
        <v>2051</v>
      </c>
      <c r="B174" s="227">
        <v>21333.100108172257</v>
      </c>
      <c r="C174" s="227">
        <v>3335.5692135381996</v>
      </c>
      <c r="D174" s="227">
        <v>741.83218782270296</v>
      </c>
      <c r="E174" s="227">
        <v>9999.6622041993614</v>
      </c>
      <c r="F174" s="227">
        <v>2842.8827817762976</v>
      </c>
      <c r="G174" s="227">
        <v>659.80520012992679</v>
      </c>
      <c r="H174" s="227">
        <v>4750.3498821995563</v>
      </c>
      <c r="I174" s="227">
        <v>3895.6821021339647</v>
      </c>
      <c r="J174" s="227">
        <v>1331.5443445834499</v>
      </c>
      <c r="K174" s="227">
        <v>1637.5783778721359</v>
      </c>
      <c r="N174" s="195">
        <f t="shared" si="19"/>
        <v>8092.1951037761028</v>
      </c>
      <c r="O174" s="195">
        <f t="shared" si="21"/>
        <v>4750.3498821995563</v>
      </c>
      <c r="P174" s="195">
        <f t="shared" si="20"/>
        <v>4737.2066014908296</v>
      </c>
      <c r="Q174" s="195">
        <f t="shared" si="22"/>
        <v>17579.75158746649</v>
      </c>
      <c r="R174" s="214">
        <f t="shared" si="23"/>
        <v>0.46031339313949382</v>
      </c>
      <c r="AC174" s="251"/>
    </row>
    <row r="175" spans="1:29" ht="15.6" x14ac:dyDescent="0.3">
      <c r="A175" s="194">
        <v>2052</v>
      </c>
      <c r="B175" s="229">
        <v>21746.368969263109</v>
      </c>
      <c r="C175" s="229">
        <v>3349.2619639624554</v>
      </c>
      <c r="D175" s="229">
        <v>750.61535582722524</v>
      </c>
      <c r="E175" s="229">
        <v>10212.705801074757</v>
      </c>
      <c r="F175" s="229">
        <v>2939.6781139504892</v>
      </c>
      <c r="G175" s="229">
        <v>669.21316710268002</v>
      </c>
      <c r="H175" s="229">
        <v>4791.5945789901698</v>
      </c>
      <c r="I175" s="229">
        <v>4032.6516348938167</v>
      </c>
      <c r="J175" s="229">
        <v>1336.2421313503482</v>
      </c>
      <c r="K175" s="229">
        <v>1651.3854981271388</v>
      </c>
      <c r="N175" s="195">
        <f t="shared" si="19"/>
        <v>8360.7893360350754</v>
      </c>
      <c r="O175" s="195">
        <f t="shared" si="21"/>
        <v>4791.5945789901698</v>
      </c>
      <c r="P175" s="195">
        <f t="shared" si="20"/>
        <v>4769.0904868923608</v>
      </c>
      <c r="Q175" s="195">
        <f t="shared" si="22"/>
        <v>17921.474401917607</v>
      </c>
      <c r="R175" s="196">
        <f t="shared" si="23"/>
        <v>0.46652352080699716</v>
      </c>
      <c r="AC175" s="251"/>
    </row>
    <row r="176" spans="1:29" ht="15.6" x14ac:dyDescent="0.3">
      <c r="A176" s="194">
        <v>2053</v>
      </c>
      <c r="B176" s="229">
        <v>22164.381334343991</v>
      </c>
      <c r="C176" s="229">
        <v>3362.6218833492203</v>
      </c>
      <c r="D176" s="229">
        <v>759.47511813700839</v>
      </c>
      <c r="E176" s="229">
        <v>10427.416376116887</v>
      </c>
      <c r="F176" s="229">
        <v>3039.6744951094156</v>
      </c>
      <c r="G176" s="229">
        <v>678.6421668263099</v>
      </c>
      <c r="H176" s="229">
        <v>4831.9001493721535</v>
      </c>
      <c r="I176" s="229">
        <v>4172.1140683806861</v>
      </c>
      <c r="J176" s="229">
        <v>1340.8349013922016</v>
      </c>
      <c r="K176" s="229">
        <v>1665.2565182165317</v>
      </c>
      <c r="N176" s="195">
        <f t="shared" si="19"/>
        <v>8635.1907218541492</v>
      </c>
      <c r="O176" s="195">
        <f t="shared" si="21"/>
        <v>4831.9001493721535</v>
      </c>
      <c r="P176" s="195">
        <f t="shared" si="20"/>
        <v>4800.7391683125388</v>
      </c>
      <c r="Q176" s="195">
        <f t="shared" si="22"/>
        <v>18267.830039538843</v>
      </c>
      <c r="R176" s="196">
        <f t="shared" si="23"/>
        <v>0.47269931366583579</v>
      </c>
      <c r="AC176" s="251"/>
    </row>
    <row r="177" spans="1:29" ht="15.6" x14ac:dyDescent="0.3">
      <c r="A177" s="194">
        <v>2054</v>
      </c>
      <c r="B177" s="229">
        <v>22587.106113363028</v>
      </c>
      <c r="C177" s="229">
        <v>3375.6420463384366</v>
      </c>
      <c r="D177" s="229">
        <v>768.40991059411101</v>
      </c>
      <c r="E177" s="229">
        <v>10643.723254269549</v>
      </c>
      <c r="F177" s="229">
        <v>3142.9417843024939</v>
      </c>
      <c r="G177" s="229">
        <v>688.08918636784665</v>
      </c>
      <c r="H177" s="229">
        <v>4871.2206762430096</v>
      </c>
      <c r="I177" s="229">
        <v>4314.0462175819439</v>
      </c>
      <c r="J177" s="229">
        <v>1345.3234857866819</v>
      </c>
      <c r="K177" s="229">
        <v>1679.1976929012744</v>
      </c>
      <c r="N177" s="195">
        <f t="shared" si="19"/>
        <v>8915.4443623290317</v>
      </c>
      <c r="O177" s="195">
        <f t="shared" si="21"/>
        <v>4871.2206762430096</v>
      </c>
      <c r="P177" s="195">
        <f t="shared" si="20"/>
        <v>4832.1411433003941</v>
      </c>
      <c r="Q177" s="195">
        <f t="shared" si="22"/>
        <v>18618.806181872435</v>
      </c>
      <c r="R177" s="196">
        <f t="shared" si="23"/>
        <v>0.47884081692677216</v>
      </c>
      <c r="AC177" s="251"/>
    </row>
    <row r="178" spans="1:29" ht="15.6" x14ac:dyDescent="0.3">
      <c r="A178" s="194">
        <v>2055</v>
      </c>
      <c r="B178" s="229">
        <v>23014.523766684586</v>
      </c>
      <c r="C178" s="229">
        <v>3388.3159640294275</v>
      </c>
      <c r="D178" s="229">
        <v>777.41868192637412</v>
      </c>
      <c r="E178" s="229">
        <v>10861.562911389105</v>
      </c>
      <c r="F178" s="229">
        <v>3249.5502531003904</v>
      </c>
      <c r="G178" s="229">
        <v>697.55123739849125</v>
      </c>
      <c r="H178" s="229">
        <v>4909.5253736331415</v>
      </c>
      <c r="I178" s="229">
        <v>4458.4259056064302</v>
      </c>
      <c r="J178" s="229">
        <v>1349.7088495782</v>
      </c>
      <c r="K178" s="229">
        <v>1693.2134576591563</v>
      </c>
      <c r="N178" s="195">
        <f t="shared" si="19"/>
        <v>9201.5877908563543</v>
      </c>
      <c r="O178" s="195">
        <f t="shared" si="21"/>
        <v>4909.5253736331415</v>
      </c>
      <c r="P178" s="195">
        <f t="shared" si="20"/>
        <v>4863.2858833542923</v>
      </c>
      <c r="Q178" s="195">
        <f t="shared" si="22"/>
        <v>18974.399047843788</v>
      </c>
      <c r="R178" s="196">
        <f t="shared" si="23"/>
        <v>0.48494752153439102</v>
      </c>
      <c r="AC178" s="251"/>
    </row>
    <row r="179" spans="1:29" ht="15.6" x14ac:dyDescent="0.3">
      <c r="A179" s="194">
        <v>2056</v>
      </c>
      <c r="B179" s="229">
        <v>23446.630379690047</v>
      </c>
      <c r="C179" s="229">
        <v>3400.6406659526947</v>
      </c>
      <c r="D179" s="229">
        <v>786.50140000795932</v>
      </c>
      <c r="E179" s="229">
        <v>11080.882263488516</v>
      </c>
      <c r="F179" s="229">
        <v>3359.570772289655</v>
      </c>
      <c r="G179" s="229">
        <v>707.02544776210755</v>
      </c>
      <c r="H179" s="229">
        <v>4946.8024152551825</v>
      </c>
      <c r="I179" s="229">
        <v>4605.2343223745011</v>
      </c>
      <c r="J179" s="229">
        <v>1353.9926103763671</v>
      </c>
      <c r="K179" s="229">
        <v>1707.3057278809504</v>
      </c>
      <c r="N179" s="195">
        <f t="shared" si="19"/>
        <v>9493.6506205229889</v>
      </c>
      <c r="O179" s="195">
        <f t="shared" si="21"/>
        <v>4946.8024152551825</v>
      </c>
      <c r="P179" s="195">
        <f t="shared" si="20"/>
        <v>4894.1675137227612</v>
      </c>
      <c r="Q179" s="195">
        <f t="shared" si="22"/>
        <v>19334.620549500934</v>
      </c>
      <c r="R179" s="196">
        <f t="shared" si="23"/>
        <v>0.49101820210110297</v>
      </c>
      <c r="AC179" s="251"/>
    </row>
    <row r="180" spans="1:29" ht="15.6" x14ac:dyDescent="0.3">
      <c r="A180" s="194">
        <v>2057</v>
      </c>
      <c r="B180" s="229">
        <v>23883.441274526089</v>
      </c>
      <c r="C180" s="229">
        <v>3412.6127774651941</v>
      </c>
      <c r="D180" s="229">
        <v>795.65853681906492</v>
      </c>
      <c r="E180" s="229">
        <v>11301.640864750691</v>
      </c>
      <c r="F180" s="229">
        <v>3473.0747735474752</v>
      </c>
      <c r="G180" s="229">
        <v>716.50892539621907</v>
      </c>
      <c r="H180" s="229">
        <v>4983.0671999132401</v>
      </c>
      <c r="I180" s="229">
        <v>4754.4538348086753</v>
      </c>
      <c r="J180" s="229">
        <v>1358.1763201320832</v>
      </c>
      <c r="K180" s="229">
        <v>1721.4735100133876</v>
      </c>
      <c r="N180" s="195">
        <f t="shared" si="19"/>
        <v>9791.6484383849274</v>
      </c>
      <c r="O180" s="195">
        <f t="shared" si="21"/>
        <v>4983.0671999132401</v>
      </c>
      <c r="P180" s="195">
        <f t="shared" si="20"/>
        <v>4924.7802396804773</v>
      </c>
      <c r="Q180" s="195">
        <f t="shared" si="22"/>
        <v>19699.495877978643</v>
      </c>
      <c r="R180" s="196">
        <f t="shared" si="23"/>
        <v>0.4970507112991992</v>
      </c>
      <c r="AC180" s="251"/>
    </row>
    <row r="181" spans="1:29" ht="15.6" x14ac:dyDescent="0.3">
      <c r="A181" s="194">
        <v>2058</v>
      </c>
      <c r="B181" s="229">
        <v>24324.981993838675</v>
      </c>
      <c r="C181" s="229">
        <v>3424.2245764623044</v>
      </c>
      <c r="D181" s="229">
        <v>804.89043963778818</v>
      </c>
      <c r="E181" s="229">
        <v>11523.804532735179</v>
      </c>
      <c r="F181" s="229">
        <v>3590.1339105085453</v>
      </c>
      <c r="G181" s="229">
        <v>725.99864096757165</v>
      </c>
      <c r="H181" s="229">
        <v>5018.3522577507192</v>
      </c>
      <c r="I181" s="229">
        <v>4906.0647291534624</v>
      </c>
      <c r="J181" s="229">
        <v>1362.2608758553215</v>
      </c>
      <c r="K181" s="229">
        <v>1735.7144277246066</v>
      </c>
      <c r="N181" s="195">
        <f t="shared" si="19"/>
        <v>10095.586185493006</v>
      </c>
      <c r="O181" s="195">
        <f t="shared" si="21"/>
        <v>5018.3522577507192</v>
      </c>
      <c r="P181" s="195">
        <f t="shared" si="20"/>
        <v>4955.1136570676645</v>
      </c>
      <c r="Q181" s="195">
        <f t="shared" si="22"/>
        <v>20069.05210031139</v>
      </c>
      <c r="R181" s="196">
        <f t="shared" si="23"/>
        <v>0.50304250220848068</v>
      </c>
      <c r="AC181" s="251"/>
    </row>
    <row r="182" spans="1:29" ht="15.6" x14ac:dyDescent="0.3">
      <c r="A182" s="194">
        <v>2059</v>
      </c>
      <c r="B182" s="229">
        <v>24771.289032084482</v>
      </c>
      <c r="C182" s="229">
        <v>3435.4669790480452</v>
      </c>
      <c r="D182" s="229">
        <v>814.19772026241662</v>
      </c>
      <c r="E182" s="229">
        <v>11747.346461278152</v>
      </c>
      <c r="F182" s="229">
        <v>3710.8201530218971</v>
      </c>
      <c r="G182" s="229">
        <v>735.49152718585447</v>
      </c>
      <c r="H182" s="229">
        <v>5052.7064571011997</v>
      </c>
      <c r="I182" s="229">
        <v>5060.0472407125317</v>
      </c>
      <c r="J182" s="229">
        <v>1366.2469338325782</v>
      </c>
      <c r="K182" s="229">
        <v>1750.0244793899933</v>
      </c>
      <c r="N182" s="195">
        <f t="shared" si="19"/>
        <v>10405.46015719885</v>
      </c>
      <c r="O182" s="195">
        <f t="shared" si="21"/>
        <v>5052.7064571011997</v>
      </c>
      <c r="P182" s="195">
        <f t="shared" si="20"/>
        <v>4985.1562264963168</v>
      </c>
      <c r="Q182" s="195">
        <f t="shared" si="22"/>
        <v>20443.322840796369</v>
      </c>
      <c r="R182" s="196">
        <f t="shared" si="23"/>
        <v>0.50899064884079803</v>
      </c>
      <c r="AC182" s="251"/>
    </row>
    <row r="183" spans="1:29" ht="15.6" x14ac:dyDescent="0.3">
      <c r="A183" s="194">
        <v>2060</v>
      </c>
      <c r="B183" s="229">
        <v>25220.530386157334</v>
      </c>
      <c r="C183" s="229">
        <v>3446.4100463921168</v>
      </c>
      <c r="D183" s="229">
        <v>823.74256436060978</v>
      </c>
      <c r="E183" s="229">
        <v>11970.981797827328</v>
      </c>
      <c r="F183" s="229">
        <v>3835.4762758079428</v>
      </c>
      <c r="G183" s="229">
        <v>744.98579375195527</v>
      </c>
      <c r="H183" s="229">
        <v>5085.0633987883939</v>
      </c>
      <c r="I183" s="229">
        <v>5216.702681889662</v>
      </c>
      <c r="J183" s="229">
        <v>1370.4819899145368</v>
      </c>
      <c r="K183" s="229">
        <v>1764.4462296950142</v>
      </c>
      <c r="N183" s="195">
        <f t="shared" si="19"/>
        <v>10721.394674846877</v>
      </c>
      <c r="O183" s="195">
        <f t="shared" si="21"/>
        <v>5085.0633987883939</v>
      </c>
      <c r="P183" s="195">
        <f t="shared" si="20"/>
        <v>5015.1384045046816</v>
      </c>
      <c r="Q183" s="195">
        <f t="shared" si="22"/>
        <v>20821.596478139953</v>
      </c>
      <c r="R183" s="196">
        <f>N183/Q183</f>
        <v>0.5149170327118282</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O24:R24 F3:G14">
      <formula1>"Y,N"</formula1>
    </dataValidation>
  </dataValidation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2" tint="-0.249977111117893"/>
  </sheetPr>
  <dimension ref="A1:EX343"/>
  <sheetViews>
    <sheetView showGridLines="0" topLeftCell="A187" zoomScaleNormal="100" zoomScalePageLayoutView="80" workbookViewId="0">
      <selection activeCell="AP124" sqref="AP124"/>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8.796875"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8.7968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CleanCookstoves_cluster</v>
      </c>
      <c r="B1" s="156"/>
      <c r="C1" s="157" t="s">
        <v>534</v>
      </c>
      <c r="D1" s="157" t="s">
        <v>525</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SUM(OFFSET(AV136,J2-2015,0,J3-J2+1,1))/1000</f>
        <v>0</v>
      </c>
      <c r="O4" s="164">
        <f>SUM(AV136:AV181)/1000</f>
        <v>0</v>
      </c>
    </row>
    <row r="5" spans="1:154" ht="12.75" customHeight="1" x14ac:dyDescent="0.25">
      <c r="E5" s="498" t="s">
        <v>145</v>
      </c>
      <c r="F5" s="499">
        <v>0.23772260465075706</v>
      </c>
      <c r="G5" s="167" t="s">
        <v>211</v>
      </c>
      <c r="H5" s="167" t="s">
        <v>211</v>
      </c>
      <c r="L5" s="617"/>
      <c r="M5" s="153" t="s">
        <v>375</v>
      </c>
      <c r="N5" s="164">
        <f ca="1">SUM(OFFSET(AU136,J2-2015,0,J3-J2+1,1))/1000</f>
        <v>5.4593300904108446</v>
      </c>
      <c r="O5" s="164">
        <f>SUM(AU136:AU181)/1000</f>
        <v>11.177923136316002</v>
      </c>
    </row>
    <row r="6" spans="1:154" ht="13.8" x14ac:dyDescent="0.25">
      <c r="E6" s="498" t="s">
        <v>172</v>
      </c>
      <c r="F6" s="499">
        <v>3.0908662873351398E-2</v>
      </c>
      <c r="G6" s="167" t="s">
        <v>211</v>
      </c>
      <c r="H6" s="167" t="s">
        <v>211</v>
      </c>
    </row>
    <row r="7" spans="1:154" ht="13.8" x14ac:dyDescent="0.25">
      <c r="A7" s="35" t="s">
        <v>491</v>
      </c>
      <c r="E7" s="498" t="s">
        <v>304</v>
      </c>
      <c r="F7" s="499">
        <v>0.44507463958955379</v>
      </c>
      <c r="G7" s="167" t="s">
        <v>211</v>
      </c>
      <c r="H7" s="167" t="s">
        <v>213</v>
      </c>
      <c r="I7" s="516"/>
      <c r="J7" s="516"/>
      <c r="K7" s="516"/>
      <c r="L7" s="618" t="s">
        <v>369</v>
      </c>
      <c r="M7" s="497" t="s">
        <v>377</v>
      </c>
      <c r="N7" s="164">
        <f ca="1">SUM(OFFSET(AA195,J2-2015,0,J3-J2+1,1))/1000</f>
        <v>0</v>
      </c>
      <c r="O7" s="164">
        <f>SUM(AA195:AA240)/1000</f>
        <v>0</v>
      </c>
      <c r="P7" s="165"/>
    </row>
    <row r="8" spans="1:154" ht="13.8" x14ac:dyDescent="0.25">
      <c r="A8" s="486" t="s">
        <v>368</v>
      </c>
      <c r="B8" s="487" t="s">
        <v>492</v>
      </c>
      <c r="C8" s="487"/>
      <c r="E8" s="498" t="s">
        <v>305</v>
      </c>
      <c r="F8" s="499">
        <v>1.0012728633901718E-2</v>
      </c>
      <c r="G8" s="167" t="s">
        <v>211</v>
      </c>
      <c r="H8" s="167" t="s">
        <v>211</v>
      </c>
      <c r="L8" s="618"/>
      <c r="M8" s="153" t="s">
        <v>375</v>
      </c>
      <c r="N8" s="164">
        <f ca="1">SUM(OFFSET(Z195,J2-2015,0,J3-J2+1,1))/1000</f>
        <v>0</v>
      </c>
      <c r="O8" s="164">
        <f>SUM(Z195:Z240)/1000</f>
        <v>0</v>
      </c>
    </row>
    <row r="9" spans="1:154" ht="13.8" x14ac:dyDescent="0.25">
      <c r="A9" s="488" t="s">
        <v>369</v>
      </c>
      <c r="B9" s="489" t="s">
        <v>455</v>
      </c>
      <c r="C9" s="489"/>
      <c r="E9" s="498" t="s">
        <v>61</v>
      </c>
      <c r="F9" s="499">
        <v>0.15397256006280655</v>
      </c>
      <c r="G9" s="167" t="s">
        <v>211</v>
      </c>
      <c r="H9" s="167" t="s">
        <v>211</v>
      </c>
    </row>
    <row r="10" spans="1:154" ht="39.6" x14ac:dyDescent="0.25">
      <c r="A10" s="527" t="s">
        <v>592</v>
      </c>
      <c r="B10" s="490" t="s">
        <v>509</v>
      </c>
      <c r="C10" s="493" t="s">
        <v>512</v>
      </c>
      <c r="E10" s="498" t="s">
        <v>23</v>
      </c>
      <c r="F10" s="499">
        <v>2.9205578974819502E-2</v>
      </c>
      <c r="G10" s="167" t="s">
        <v>211</v>
      </c>
      <c r="H10" s="167" t="s">
        <v>211</v>
      </c>
    </row>
    <row r="11" spans="1:154" ht="39.6" x14ac:dyDescent="0.25">
      <c r="A11" s="527" t="s">
        <v>593</v>
      </c>
      <c r="B11" s="490" t="s">
        <v>507</v>
      </c>
      <c r="C11" s="493" t="s">
        <v>512</v>
      </c>
      <c r="E11" s="498" t="s">
        <v>54</v>
      </c>
      <c r="F11" s="499">
        <v>2.3007208681836054E-2</v>
      </c>
      <c r="G11" s="167" t="s">
        <v>211</v>
      </c>
      <c r="H11" s="167" t="s">
        <v>211</v>
      </c>
      <c r="L11" s="617" t="s">
        <v>522</v>
      </c>
      <c r="M11" s="497" t="s">
        <v>377</v>
      </c>
      <c r="N11" s="164">
        <f ca="1">N4+N7</f>
        <v>0</v>
      </c>
      <c r="O11" s="164">
        <f>O4+O7</f>
        <v>0</v>
      </c>
    </row>
    <row r="12" spans="1:154" ht="13.8" x14ac:dyDescent="0.25">
      <c r="A12" s="488" t="s">
        <v>493</v>
      </c>
      <c r="B12" s="489" t="s">
        <v>506</v>
      </c>
      <c r="C12" s="489"/>
      <c r="E12" s="498" t="s">
        <v>306</v>
      </c>
      <c r="F12" s="499">
        <v>2.9205578974819502E-2</v>
      </c>
      <c r="G12" s="167" t="s">
        <v>211</v>
      </c>
      <c r="H12" s="167" t="s">
        <v>211</v>
      </c>
      <c r="L12" s="617"/>
      <c r="M12" s="153" t="s">
        <v>375</v>
      </c>
      <c r="N12" s="164">
        <f ca="1">N5+N8</f>
        <v>5.4593300904108446</v>
      </c>
      <c r="O12" s="164">
        <f>O5+O8</f>
        <v>11.177923136316002</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ht="13.8" x14ac:dyDescent="0.25">
      <c r="E21" s="500" t="s">
        <v>326</v>
      </c>
      <c r="F21" s="501"/>
    </row>
    <row r="22" spans="1:68" ht="13.8" x14ac:dyDescent="0.25">
      <c r="E22" s="500" t="s">
        <v>268</v>
      </c>
      <c r="F22" s="518">
        <v>16997.562599850444</v>
      </c>
    </row>
    <row r="23" spans="1:68" x14ac:dyDescent="0.25">
      <c r="D23" s="443"/>
      <c r="E23" s="443" t="s">
        <v>527</v>
      </c>
      <c r="F23" s="420"/>
    </row>
    <row r="24" spans="1:68" ht="13.8" thickBot="1" x14ac:dyDescent="0.3">
      <c r="E24" s="443" t="s">
        <v>528</v>
      </c>
      <c r="F24" s="420"/>
    </row>
    <row r="25" spans="1:68" ht="15" customHeight="1" thickBot="1" x14ac:dyDescent="0.3">
      <c r="A25" s="646" t="str">
        <f>CONCATENATE("Table 2: REF2, ",C1," TAM ",D1)</f>
        <v>Table 2: REF2, Cooking Heat Demand TAM (TWh Therms)</v>
      </c>
      <c r="B25" s="647"/>
      <c r="C25" s="647"/>
      <c r="D25" s="647"/>
      <c r="E25" s="647"/>
      <c r="F25" s="699"/>
      <c r="G25" s="647"/>
      <c r="H25" s="647"/>
      <c r="I25" s="647"/>
      <c r="J25" s="647"/>
      <c r="K25" s="648"/>
      <c r="M25" s="638" t="str">
        <f>CONCATENATE("Table 3: REF1 ,",C1," TAM ",D1)</f>
        <v>Table 3: REF1 ,Cooking Heat Demand TAM (TWh Therms)</v>
      </c>
      <c r="N25" s="639"/>
      <c r="O25" s="639"/>
      <c r="P25" s="639"/>
      <c r="Q25" s="639"/>
      <c r="R25" s="639"/>
      <c r="S25" s="639"/>
      <c r="T25" s="639"/>
      <c r="U25" s="639"/>
      <c r="V25" s="639"/>
      <c r="W25" s="640"/>
      <c r="Y25" s="627" t="str">
        <f>CONCATENATE("Table 3: REF1 ",$C$1," TAM ",$D$1)</f>
        <v>Table 3: REF1 Cooking Heat Demand TAM (TWh Therms)</v>
      </c>
      <c r="Z25" s="627"/>
      <c r="AA25" s="627"/>
      <c r="AB25" s="627"/>
      <c r="AC25" s="627"/>
      <c r="AD25" s="627"/>
      <c r="AE25" s="627"/>
      <c r="AF25" s="627"/>
      <c r="AG25" s="627"/>
      <c r="AH25" s="627"/>
      <c r="AI25" s="627"/>
      <c r="AK25" s="628" t="str">
        <f>CONCATENATE("Table 3: REF1 ",$C$1," TAM ",$D$1)</f>
        <v>Table 3: REF1 Cooking Heat Demand TAM (TWh Therms)</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CleanCookstoves_cluster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528" t="s">
        <v>594</v>
      </c>
      <c r="C27" s="460" t="s">
        <v>211</v>
      </c>
      <c r="D27" s="460" t="s">
        <v>211</v>
      </c>
      <c r="E27" s="460" t="s">
        <v>213</v>
      </c>
      <c r="F27" s="460" t="s">
        <v>213</v>
      </c>
      <c r="G27" s="460" t="s">
        <v>211</v>
      </c>
      <c r="H27" s="435"/>
      <c r="I27" s="435"/>
      <c r="J27" s="435"/>
      <c r="K27" s="435"/>
      <c r="M27" s="455"/>
      <c r="N27" s="461" t="str">
        <f>B27</f>
        <v>Regions included as LLDC</v>
      </c>
      <c r="O27" s="462" t="str">
        <f>C27</f>
        <v>N</v>
      </c>
      <c r="P27" s="462" t="str">
        <f t="shared" ref="P27:S27" si="0">D27</f>
        <v>N</v>
      </c>
      <c r="Q27" s="462" t="str">
        <f t="shared" si="0"/>
        <v>Y</v>
      </c>
      <c r="R27" s="462" t="str">
        <f t="shared" si="0"/>
        <v>Y</v>
      </c>
      <c r="S27" s="462" t="str">
        <f t="shared" si="0"/>
        <v>N</v>
      </c>
      <c r="T27" s="435"/>
      <c r="U27" s="435"/>
      <c r="V27" s="435"/>
      <c r="W27" s="435"/>
      <c r="Y27" s="455"/>
      <c r="Z27" s="461" t="str">
        <f>B27</f>
        <v>Regions included as LLDC</v>
      </c>
      <c r="AA27" s="462" t="str">
        <f>O27</f>
        <v>N</v>
      </c>
      <c r="AB27" s="462" t="str">
        <f t="shared" ref="AB27:AE27" si="1">P27</f>
        <v>N</v>
      </c>
      <c r="AC27" s="462" t="str">
        <f t="shared" si="1"/>
        <v>Y</v>
      </c>
      <c r="AD27" s="462" t="str">
        <f t="shared" si="1"/>
        <v>Y</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40.200000000000003" thickBot="1" x14ac:dyDescent="0.3">
      <c r="A28" s="213"/>
      <c r="B28" s="474" t="s">
        <v>4</v>
      </c>
      <c r="C28" s="475" t="s">
        <v>5</v>
      </c>
      <c r="D28" s="475" t="s">
        <v>6</v>
      </c>
      <c r="E28" s="475" t="s">
        <v>7</v>
      </c>
      <c r="F28" s="475" t="s">
        <v>8</v>
      </c>
      <c r="G28" s="475" t="s">
        <v>9</v>
      </c>
      <c r="H28" s="475" t="s">
        <v>10</v>
      </c>
      <c r="I28" s="475" t="s">
        <v>11</v>
      </c>
      <c r="J28" s="475" t="s">
        <v>12</v>
      </c>
      <c r="K28" s="476" t="s">
        <v>13</v>
      </c>
      <c r="M28" s="189"/>
      <c r="N28" s="190" t="s">
        <v>4</v>
      </c>
      <c r="O28" s="191" t="s">
        <v>5</v>
      </c>
      <c r="P28" s="191" t="s">
        <v>6</v>
      </c>
      <c r="Q28" s="191" t="s">
        <v>460</v>
      </c>
      <c r="R28" s="191" t="s">
        <v>8</v>
      </c>
      <c r="S28" s="191" t="s">
        <v>9</v>
      </c>
      <c r="T28" s="191" t="s">
        <v>10</v>
      </c>
      <c r="U28" s="191" t="s">
        <v>11</v>
      </c>
      <c r="V28" s="191" t="s">
        <v>12</v>
      </c>
      <c r="W28" s="192" t="s">
        <v>13</v>
      </c>
      <c r="Y28" s="456"/>
      <c r="Z28" s="457" t="s">
        <v>4</v>
      </c>
      <c r="AA28" s="458" t="s">
        <v>5</v>
      </c>
      <c r="AB28" s="458" t="s">
        <v>6</v>
      </c>
      <c r="AC28" s="458" t="s">
        <v>7</v>
      </c>
      <c r="AD28" s="458" t="s">
        <v>8</v>
      </c>
      <c r="AE28" s="458" t="s">
        <v>9</v>
      </c>
      <c r="AF28" s="458" t="s">
        <v>10</v>
      </c>
      <c r="AG28" s="458" t="s">
        <v>11</v>
      </c>
      <c r="AH28" s="458" t="s">
        <v>12</v>
      </c>
      <c r="AI28" s="458" t="s">
        <v>13</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4417.4541439706236</v>
      </c>
      <c r="C29" s="229">
        <v>0</v>
      </c>
      <c r="D29" s="229">
        <v>0</v>
      </c>
      <c r="E29" s="229">
        <v>4053.2987311542274</v>
      </c>
      <c r="F29" s="229">
        <v>1783.7577542717631</v>
      </c>
      <c r="G29" s="229">
        <v>173.25410753661035</v>
      </c>
      <c r="H29" s="229">
        <v>1086.4921571737311</v>
      </c>
      <c r="I29" s="229">
        <v>1622.3703887665038</v>
      </c>
      <c r="J29" s="229">
        <v>0</v>
      </c>
      <c r="K29" s="229">
        <v>0</v>
      </c>
      <c r="M29" s="194">
        <v>2014</v>
      </c>
      <c r="N29" s="419">
        <f t="shared" ref="N29:N75" si="2">SUM(O29:S29)</f>
        <v>2573.0542852452954</v>
      </c>
      <c r="O29" s="418">
        <f>(C29/Population_Tables!P3)*Population_Tables!D62</f>
        <v>0</v>
      </c>
      <c r="P29" s="418">
        <f>(D29/Population_Tables!Q3)*Population_Tables!E62</f>
        <v>0</v>
      </c>
      <c r="Q29" s="418">
        <f>((E29-H29)/Population_Tables!R3)*Population_Tables!F62</f>
        <v>1506.2787657341999</v>
      </c>
      <c r="R29" s="418">
        <f>(F29/Population_Tables!S3)*Population_Tables!G62</f>
        <v>1020.8117629015194</v>
      </c>
      <c r="S29" s="418">
        <f>(G29/Population_Tables!T3)*Population_Tables!H62</f>
        <v>45.963756609576272</v>
      </c>
      <c r="T29" s="418">
        <f>(H29/Population_Tables!U3)*Population_Tables!I62</f>
        <v>0</v>
      </c>
      <c r="U29" s="418">
        <f>(I29/Population_Tables!V3)*Population_Tables!J62</f>
        <v>0</v>
      </c>
      <c r="V29" s="418">
        <f>(J29/Population_Tables!W3)*Population_Tables!K62</f>
        <v>0</v>
      </c>
      <c r="W29" s="418">
        <f>(K29/Population_Tables!X3)*Population_Tables!L62</f>
        <v>0</v>
      </c>
      <c r="Y29" s="456">
        <v>2014</v>
      </c>
      <c r="Z29" s="459">
        <f>((B29/Population_Tables!O3)*Population_Tables!C3)-N29</f>
        <v>1844.3923871606439</v>
      </c>
      <c r="AA29" s="459">
        <f>((C29/Population_Tables!P3)*Population_Tables!D3)-O29</f>
        <v>0</v>
      </c>
      <c r="AB29" s="459">
        <f>((D29/Population_Tables!Q3)*Population_Tables!E3)-P29</f>
        <v>0</v>
      </c>
      <c r="AC29" s="459">
        <f>((E29/Population_Tables!R3)*Population_Tables!F3)-Q29</f>
        <v>2547.0073260631198</v>
      </c>
      <c r="AD29" s="459">
        <f>((F29/Population_Tables!S3)*Population_Tables!G3)-R29</f>
        <v>762.94599137024397</v>
      </c>
      <c r="AE29" s="459">
        <f>((G29/Population_Tables!T3)*Population_Tables!H3)-S29</f>
        <v>127.29035092703407</v>
      </c>
      <c r="AF29" s="459">
        <f>(H29/Population_Tables!U3)*Population_Tables!I3</f>
        <v>1086.4921571737311</v>
      </c>
      <c r="AG29" s="459">
        <f>(I29/Population_Tables!V3)*Population_Tables!J3</f>
        <v>1622.3703887665038</v>
      </c>
      <c r="AH29" s="459">
        <f>(J29/Population_Tables!W3)*Population_Tables!K3</f>
        <v>0</v>
      </c>
      <c r="AI29" s="459">
        <f>(K29/Population_Tables!X3)*Population_Tables!L3</f>
        <v>0</v>
      </c>
      <c r="AK29" s="456">
        <v>2014</v>
      </c>
      <c r="AL29" s="459">
        <f>Z29+N29</f>
        <v>4417.4466724059394</v>
      </c>
      <c r="AM29" s="459">
        <f t="shared" ref="AM29:AU44" si="3">AA29+O29</f>
        <v>0</v>
      </c>
      <c r="AN29" s="459">
        <f t="shared" si="3"/>
        <v>0</v>
      </c>
      <c r="AO29" s="459">
        <f t="shared" si="3"/>
        <v>4053.2860917973194</v>
      </c>
      <c r="AP29" s="459">
        <f t="shared" si="3"/>
        <v>1783.7577542717634</v>
      </c>
      <c r="AQ29" s="459">
        <f t="shared" si="3"/>
        <v>173.25410753661035</v>
      </c>
      <c r="AR29" s="459">
        <f t="shared" si="3"/>
        <v>1086.4921571737311</v>
      </c>
      <c r="AS29" s="459">
        <f t="shared" si="3"/>
        <v>1622.3703887665038</v>
      </c>
      <c r="AT29" s="459">
        <f t="shared" si="3"/>
        <v>0</v>
      </c>
      <c r="AU29" s="459">
        <f t="shared" si="3"/>
        <v>0</v>
      </c>
      <c r="AW29" s="216">
        <f>(B29/Population_Tables!O3)*Population_Tables!C3</f>
        <v>4417.4466724059394</v>
      </c>
      <c r="AX29" s="153" t="str">
        <f>IF(AW29-AL29=0,"OK")</f>
        <v>OK</v>
      </c>
      <c r="AY29" s="421">
        <f t="shared" ref="AY29:AY75" si="4">SUM(BB29:BF29)</f>
        <v>6010.2979536056937</v>
      </c>
      <c r="AZ29" s="153" t="str">
        <f t="shared" ref="AZ29:AZ75" si="5">IF(AY29-(SUM(AM29:AQ29))=0,"OK")</f>
        <v>OK</v>
      </c>
      <c r="BB29" s="216">
        <f>(C29/Population_Tables!P3)*Population_Tables!D3</f>
        <v>0</v>
      </c>
      <c r="BC29" s="216">
        <f>(D29/Population_Tables!Q3)*Population_Tables!E3</f>
        <v>0</v>
      </c>
      <c r="BD29" s="216">
        <f>(E29/Population_Tables!R3)*Population_Tables!F3</f>
        <v>4053.2860917973194</v>
      </c>
      <c r="BE29" s="216">
        <f>(F29/Population_Tables!S3)*Population_Tables!G3</f>
        <v>1783.7577542717634</v>
      </c>
      <c r="BF29" s="216">
        <f>(G29/Population_Tables!T3)*Population_Tables!H3</f>
        <v>173.25410753661035</v>
      </c>
      <c r="BG29" s="216"/>
      <c r="BN29" s="216"/>
      <c r="BO29" s="216"/>
      <c r="BP29" s="216"/>
    </row>
    <row r="30" spans="1:68" ht="15.6" x14ac:dyDescent="0.3">
      <c r="A30" s="194">
        <v>2015</v>
      </c>
      <c r="B30" s="229">
        <v>4499.7847185780383</v>
      </c>
      <c r="C30" s="229">
        <v>0</v>
      </c>
      <c r="D30" s="229">
        <v>0</v>
      </c>
      <c r="E30" s="229">
        <v>4063.4589702924864</v>
      </c>
      <c r="F30" s="229">
        <v>1813.7143585332071</v>
      </c>
      <c r="G30" s="229">
        <v>173.11008613161991</v>
      </c>
      <c r="H30" s="229">
        <v>1083.1677488787807</v>
      </c>
      <c r="I30" s="229">
        <v>1629.3408486576739</v>
      </c>
      <c r="J30" s="229">
        <v>0</v>
      </c>
      <c r="K30" s="229">
        <v>0</v>
      </c>
      <c r="M30" s="194">
        <v>2015</v>
      </c>
      <c r="N30" s="419">
        <f t="shared" si="2"/>
        <v>2605.1239332138216</v>
      </c>
      <c r="O30" s="418">
        <f>(C30/Population_Tables!P4)*Population_Tables!D63</f>
        <v>0</v>
      </c>
      <c r="P30" s="418">
        <f>(D30/Population_Tables!Q4)*Population_Tables!E63</f>
        <v>0</v>
      </c>
      <c r="Q30" s="418">
        <f>((E30-H30)/Population_Tables!R4)*Population_Tables!F63</f>
        <v>1517.514070088821</v>
      </c>
      <c r="R30" s="418">
        <f>(F30/Population_Tables!S4)*Population_Tables!G63</f>
        <v>1041.553499479727</v>
      </c>
      <c r="S30" s="418">
        <f>(G30/Population_Tables!T4)*Population_Tables!H63</f>
        <v>46.05636364527389</v>
      </c>
      <c r="T30" s="418">
        <f>(H30/Population_Tables!U4)*Population_Tables!I63</f>
        <v>0</v>
      </c>
      <c r="U30" s="418">
        <f>(I30/Population_Tables!V4)*Population_Tables!J63</f>
        <v>0</v>
      </c>
      <c r="V30" s="418">
        <f>(J30/Population_Tables!W4)*Population_Tables!K63</f>
        <v>0</v>
      </c>
      <c r="W30" s="418">
        <f>(K30/Population_Tables!X4)*Population_Tables!L63</f>
        <v>0</v>
      </c>
      <c r="Y30" s="456">
        <v>2015</v>
      </c>
      <c r="Z30" s="459">
        <f>((B30/Population_Tables!O4)*Population_Tables!C4)-N30</f>
        <v>1894.6533080508275</v>
      </c>
      <c r="AA30" s="459">
        <f>((C30/Population_Tables!P4)*Population_Tables!D4)-O30</f>
        <v>0</v>
      </c>
      <c r="AB30" s="459">
        <f>((D30/Population_Tables!Q4)*Population_Tables!E4)-P30</f>
        <v>0</v>
      </c>
      <c r="AC30" s="459">
        <f>((E30/Population_Tables!R4)*Population_Tables!F4)-Q30</f>
        <v>2545.9324287974418</v>
      </c>
      <c r="AD30" s="459">
        <f>((F30/Population_Tables!S4)*Population_Tables!G4)-R30</f>
        <v>772.16085905348018</v>
      </c>
      <c r="AE30" s="459">
        <f>((G30/Population_Tables!T4)*Population_Tables!H4)-S30</f>
        <v>127.05372248634602</v>
      </c>
      <c r="AF30" s="459">
        <f>(H30/Population_Tables!U4)*Population_Tables!I4</f>
        <v>1083.1677488787807</v>
      </c>
      <c r="AG30" s="459">
        <f>(I30/Population_Tables!V4)*Population_Tables!J4</f>
        <v>1629.3408486576739</v>
      </c>
      <c r="AH30" s="459">
        <f>(J30/Population_Tables!W4)*Population_Tables!K4</f>
        <v>0</v>
      </c>
      <c r="AI30" s="459">
        <f>(K30/Population_Tables!X4)*Population_Tables!L4</f>
        <v>0</v>
      </c>
      <c r="AK30" s="456">
        <v>2015</v>
      </c>
      <c r="AL30" s="459">
        <f t="shared" ref="AL30:AU68" si="6">Z30+N30</f>
        <v>4499.7772412646491</v>
      </c>
      <c r="AM30" s="459">
        <f t="shared" si="3"/>
        <v>0</v>
      </c>
      <c r="AN30" s="459">
        <f t="shared" si="3"/>
        <v>0</v>
      </c>
      <c r="AO30" s="459">
        <f t="shared" si="3"/>
        <v>4063.4464988862628</v>
      </c>
      <c r="AP30" s="459">
        <f t="shared" si="3"/>
        <v>1813.7143585332071</v>
      </c>
      <c r="AQ30" s="459">
        <f t="shared" si="3"/>
        <v>173.11008613161991</v>
      </c>
      <c r="AR30" s="459">
        <f t="shared" si="3"/>
        <v>1083.1677488787807</v>
      </c>
      <c r="AS30" s="459">
        <f t="shared" si="3"/>
        <v>1629.3408486576739</v>
      </c>
      <c r="AT30" s="459">
        <f t="shared" si="3"/>
        <v>0</v>
      </c>
      <c r="AU30" s="459">
        <f t="shared" si="3"/>
        <v>0</v>
      </c>
      <c r="AW30" s="216">
        <f>(B30/Population_Tables!O4)*Population_Tables!C4</f>
        <v>4499.7772412646491</v>
      </c>
      <c r="AX30" s="153" t="str">
        <f t="shared" ref="AX30:AX75" si="7">IF(AW30-AL30=0,"OK")</f>
        <v>OK</v>
      </c>
      <c r="AY30" s="421">
        <f t="shared" si="4"/>
        <v>6050.2709435510897</v>
      </c>
      <c r="AZ30" s="153" t="str">
        <f t="shared" si="5"/>
        <v>OK</v>
      </c>
      <c r="BB30" s="216">
        <f>(C30/Population_Tables!P4)*Population_Tables!D4</f>
        <v>0</v>
      </c>
      <c r="BC30" s="216">
        <f>(D30/Population_Tables!Q4)*Population_Tables!E4</f>
        <v>0</v>
      </c>
      <c r="BD30" s="216">
        <f>(E30/Population_Tables!R4)*Population_Tables!F4</f>
        <v>4063.4464988862628</v>
      </c>
      <c r="BE30" s="216">
        <f>(F30/Population_Tables!S4)*Population_Tables!G4</f>
        <v>1813.7143585332071</v>
      </c>
      <c r="BF30" s="216">
        <f>(G30/Population_Tables!T4)*Population_Tables!H4</f>
        <v>173.11008613161991</v>
      </c>
      <c r="BG30" s="216"/>
      <c r="BN30" s="216"/>
      <c r="BO30" s="216"/>
      <c r="BP30" s="216"/>
    </row>
    <row r="31" spans="1:68" ht="15.6" x14ac:dyDescent="0.3">
      <c r="A31" s="194">
        <v>2016</v>
      </c>
      <c r="B31" s="229">
        <v>4566.4595759123849</v>
      </c>
      <c r="C31" s="229">
        <v>0</v>
      </c>
      <c r="D31" s="229">
        <v>0</v>
      </c>
      <c r="E31" s="229">
        <v>4072.7223221421327</v>
      </c>
      <c r="F31" s="229">
        <v>1846.4013746132573</v>
      </c>
      <c r="G31" s="229">
        <v>173.13275302879063</v>
      </c>
      <c r="H31" s="229">
        <v>1079.2916426316124</v>
      </c>
      <c r="I31" s="229">
        <v>1640.767841948769</v>
      </c>
      <c r="J31" s="229">
        <v>0</v>
      </c>
      <c r="K31" s="229">
        <v>0</v>
      </c>
      <c r="M31" s="194">
        <v>2016</v>
      </c>
      <c r="N31" s="419">
        <f t="shared" si="2"/>
        <v>2638.5909667020346</v>
      </c>
      <c r="O31" s="418">
        <f>(C31/Population_Tables!P5)*Population_Tables!D64</f>
        <v>0</v>
      </c>
      <c r="P31" s="418">
        <f>(D31/Population_Tables!Q5)*Population_Tables!E64</f>
        <v>0</v>
      </c>
      <c r="Q31" s="418">
        <f>((E31-H31)/Population_Tables!R5)*Population_Tables!F64</f>
        <v>1528.479558560455</v>
      </c>
      <c r="R31" s="418">
        <f>(F31/Population_Tables!S5)*Population_Tables!G64</f>
        <v>1063.9185789895864</v>
      </c>
      <c r="S31" s="418">
        <f>(G31/Population_Tables!T5)*Population_Tables!H64</f>
        <v>46.19282915199291</v>
      </c>
      <c r="T31" s="418">
        <f>(H31/Population_Tables!U5)*Population_Tables!I64</f>
        <v>0</v>
      </c>
      <c r="U31" s="418">
        <f>(I31/Population_Tables!V5)*Population_Tables!J64</f>
        <v>0</v>
      </c>
      <c r="V31" s="418">
        <f>(J31/Population_Tables!W5)*Population_Tables!K64</f>
        <v>0</v>
      </c>
      <c r="W31" s="418">
        <f>(K31/Population_Tables!X5)*Population_Tables!L64</f>
        <v>0</v>
      </c>
      <c r="Y31" s="456">
        <v>2016</v>
      </c>
      <c r="Z31" s="459">
        <f>((B31/Population_Tables!O5)*Population_Tables!C5)-N31</f>
        <v>1927.861207078005</v>
      </c>
      <c r="AA31" s="459">
        <f>((C31/Population_Tables!P5)*Population_Tables!D5)-O31</f>
        <v>0</v>
      </c>
      <c r="AB31" s="459">
        <f>((D31/Population_Tables!Q5)*Population_Tables!E5)-P31</f>
        <v>0</v>
      </c>
      <c r="AC31" s="459">
        <f>((E31/Population_Tables!R5)*Population_Tables!F5)-Q31</f>
        <v>2544.2305473962788</v>
      </c>
      <c r="AD31" s="459">
        <f>((F31/Population_Tables!S5)*Population_Tables!G5)-R31</f>
        <v>782.48279562367088</v>
      </c>
      <c r="AE31" s="459">
        <f>((G31/Population_Tables!T5)*Population_Tables!H5)-S31</f>
        <v>126.93992387679772</v>
      </c>
      <c r="AF31" s="459">
        <f>(H31/Population_Tables!U5)*Population_Tables!I5</f>
        <v>1079.2916426316124</v>
      </c>
      <c r="AG31" s="459">
        <f>(I31/Population_Tables!V5)*Population_Tables!J5</f>
        <v>1640.767841948769</v>
      </c>
      <c r="AH31" s="459">
        <f>(J31/Population_Tables!W5)*Population_Tables!K5</f>
        <v>0</v>
      </c>
      <c r="AI31" s="459">
        <f>(K31/Population_Tables!X5)*Population_Tables!L5</f>
        <v>0</v>
      </c>
      <c r="AK31" s="456">
        <v>2016</v>
      </c>
      <c r="AL31" s="459">
        <f t="shared" si="6"/>
        <v>4566.4521737800396</v>
      </c>
      <c r="AM31" s="459">
        <f t="shared" si="3"/>
        <v>0</v>
      </c>
      <c r="AN31" s="459">
        <f t="shared" si="3"/>
        <v>0</v>
      </c>
      <c r="AO31" s="459">
        <f t="shared" si="3"/>
        <v>4072.710105956734</v>
      </c>
      <c r="AP31" s="459">
        <f t="shared" si="3"/>
        <v>1846.4013746132573</v>
      </c>
      <c r="AQ31" s="459">
        <f t="shared" si="3"/>
        <v>173.13275302879063</v>
      </c>
      <c r="AR31" s="459">
        <f t="shared" si="3"/>
        <v>1079.2916426316124</v>
      </c>
      <c r="AS31" s="459">
        <f t="shared" si="3"/>
        <v>1640.767841948769</v>
      </c>
      <c r="AT31" s="459">
        <f t="shared" si="3"/>
        <v>0</v>
      </c>
      <c r="AU31" s="459">
        <f t="shared" si="3"/>
        <v>0</v>
      </c>
      <c r="AW31" s="216">
        <f>(B31/Population_Tables!O5)*Population_Tables!C5</f>
        <v>4566.4521737800396</v>
      </c>
      <c r="AX31" s="153" t="str">
        <f t="shared" si="7"/>
        <v>OK</v>
      </c>
      <c r="AY31" s="421">
        <f t="shared" si="4"/>
        <v>6092.2442335987816</v>
      </c>
      <c r="AZ31" s="153" t="str">
        <f t="shared" si="5"/>
        <v>OK</v>
      </c>
      <c r="BB31" s="216">
        <f>(C31/Population_Tables!P5)*Population_Tables!D5</f>
        <v>0</v>
      </c>
      <c r="BC31" s="216">
        <f>(D31/Population_Tables!Q5)*Population_Tables!E5</f>
        <v>0</v>
      </c>
      <c r="BD31" s="216">
        <f>(E31/Population_Tables!R5)*Population_Tables!F5</f>
        <v>4072.710105956734</v>
      </c>
      <c r="BE31" s="216">
        <f>(F31/Population_Tables!S5)*Population_Tables!G5</f>
        <v>1846.4013746132573</v>
      </c>
      <c r="BF31" s="216">
        <f>(G31/Population_Tables!T5)*Population_Tables!H5</f>
        <v>173.13275302879063</v>
      </c>
      <c r="BG31" s="216"/>
      <c r="BN31" s="216"/>
      <c r="BO31" s="216"/>
      <c r="BP31" s="216"/>
    </row>
    <row r="32" spans="1:68" ht="15.6" x14ac:dyDescent="0.3">
      <c r="A32" s="194">
        <v>2017</v>
      </c>
      <c r="B32" s="229">
        <v>4640.6194842280265</v>
      </c>
      <c r="C32" s="229">
        <v>0</v>
      </c>
      <c r="D32" s="229">
        <v>0</v>
      </c>
      <c r="E32" s="229">
        <v>4081.3706079670906</v>
      </c>
      <c r="F32" s="229">
        <v>1879.2202417136175</v>
      </c>
      <c r="G32" s="229">
        <v>173.12781949673331</v>
      </c>
      <c r="H32" s="229">
        <v>1074.6564004540699</v>
      </c>
      <c r="I32" s="229">
        <v>1651.9130083749465</v>
      </c>
      <c r="J32" s="229">
        <v>0</v>
      </c>
      <c r="K32" s="229">
        <v>0</v>
      </c>
      <c r="M32" s="194">
        <v>2017</v>
      </c>
      <c r="N32" s="419">
        <f t="shared" si="2"/>
        <v>2672.2109725387077</v>
      </c>
      <c r="O32" s="418">
        <f>(C32/Population_Tables!P6)*Population_Tables!D65</f>
        <v>0</v>
      </c>
      <c r="P32" s="418">
        <f>(D32/Population_Tables!Q6)*Population_Tables!E65</f>
        <v>0</v>
      </c>
      <c r="Q32" s="418">
        <f>((E32-H32)/Population_Tables!R6)*Population_Tables!F65</f>
        <v>1539.4507155863878</v>
      </c>
      <c r="R32" s="418">
        <f>(F32/Population_Tables!S6)*Population_Tables!G65</f>
        <v>1086.4400227363005</v>
      </c>
      <c r="S32" s="418">
        <f>(G32/Population_Tables!T6)*Population_Tables!H65</f>
        <v>46.320234216019557</v>
      </c>
      <c r="T32" s="418">
        <f>(H32/Population_Tables!U6)*Population_Tables!I65</f>
        <v>0</v>
      </c>
      <c r="U32" s="418">
        <f>(I32/Population_Tables!V6)*Population_Tables!J65</f>
        <v>0</v>
      </c>
      <c r="V32" s="418">
        <f>(J32/Population_Tables!W6)*Population_Tables!K65</f>
        <v>0</v>
      </c>
      <c r="W32" s="418">
        <f>(K32/Population_Tables!X6)*Population_Tables!L65</f>
        <v>0</v>
      </c>
      <c r="Y32" s="456">
        <v>2017</v>
      </c>
      <c r="Z32" s="459">
        <f>((B32/Population_Tables!O6)*Population_Tables!C6)-N32</f>
        <v>1968.4011983404821</v>
      </c>
      <c r="AA32" s="459">
        <f>((C32/Population_Tables!P6)*Population_Tables!D6)-O32</f>
        <v>0</v>
      </c>
      <c r="AB32" s="459">
        <f>((D32/Population_Tables!Q6)*Population_Tables!E6)-P32</f>
        <v>0</v>
      </c>
      <c r="AC32" s="459">
        <f>((E32/Population_Tables!R6)*Population_Tables!F6)-Q32</f>
        <v>2541.9079677174295</v>
      </c>
      <c r="AD32" s="459">
        <f>((F32/Population_Tables!S6)*Population_Tables!G6)-R32</f>
        <v>792.78021897731719</v>
      </c>
      <c r="AE32" s="459">
        <f>((G32/Population_Tables!T6)*Population_Tables!H6)-S32</f>
        <v>126.80758528071375</v>
      </c>
      <c r="AF32" s="459">
        <f>(H32/Population_Tables!U6)*Population_Tables!I6</f>
        <v>1074.6564004540699</v>
      </c>
      <c r="AG32" s="459">
        <f>(I32/Population_Tables!V6)*Population_Tables!J6</f>
        <v>1651.9130083749465</v>
      </c>
      <c r="AH32" s="459">
        <f>(J32/Population_Tables!W6)*Population_Tables!K6</f>
        <v>0</v>
      </c>
      <c r="AI32" s="459">
        <f>(K32/Population_Tables!X6)*Population_Tables!L6</f>
        <v>0</v>
      </c>
      <c r="AK32" s="456">
        <v>2017</v>
      </c>
      <c r="AL32" s="459">
        <f t="shared" si="6"/>
        <v>4640.6121708791898</v>
      </c>
      <c r="AM32" s="459">
        <f t="shared" si="3"/>
        <v>0</v>
      </c>
      <c r="AN32" s="459">
        <f t="shared" si="3"/>
        <v>0</v>
      </c>
      <c r="AO32" s="459">
        <f t="shared" si="3"/>
        <v>4081.3586833038171</v>
      </c>
      <c r="AP32" s="459">
        <f t="shared" si="3"/>
        <v>1879.2202417136177</v>
      </c>
      <c r="AQ32" s="459">
        <f t="shared" si="3"/>
        <v>173.12781949673331</v>
      </c>
      <c r="AR32" s="459">
        <f t="shared" si="3"/>
        <v>1074.6564004540699</v>
      </c>
      <c r="AS32" s="459">
        <f t="shared" si="3"/>
        <v>1651.9130083749465</v>
      </c>
      <c r="AT32" s="459">
        <f t="shared" si="3"/>
        <v>0</v>
      </c>
      <c r="AU32" s="459">
        <f t="shared" si="3"/>
        <v>0</v>
      </c>
      <c r="AW32" s="216">
        <f>(B32/Population_Tables!O6)*Population_Tables!C6</f>
        <v>4640.6121708791898</v>
      </c>
      <c r="AX32" s="153" t="str">
        <f t="shared" si="7"/>
        <v>OK</v>
      </c>
      <c r="AY32" s="421">
        <f t="shared" si="4"/>
        <v>6133.7067445141683</v>
      </c>
      <c r="AZ32" s="153" t="str">
        <f t="shared" si="5"/>
        <v>OK</v>
      </c>
      <c r="BB32" s="216">
        <f>(C32/Population_Tables!P6)*Population_Tables!D6</f>
        <v>0</v>
      </c>
      <c r="BC32" s="216">
        <f>(D32/Population_Tables!Q6)*Population_Tables!E6</f>
        <v>0</v>
      </c>
      <c r="BD32" s="216">
        <f>(E32/Population_Tables!R6)*Population_Tables!F6</f>
        <v>4081.3586833038171</v>
      </c>
      <c r="BE32" s="216">
        <f>(F32/Population_Tables!S6)*Population_Tables!G6</f>
        <v>1879.2202417136177</v>
      </c>
      <c r="BF32" s="216">
        <f>(G32/Population_Tables!T6)*Population_Tables!H6</f>
        <v>173.12781949673331</v>
      </c>
      <c r="BG32" s="216"/>
      <c r="BN32" s="216"/>
      <c r="BO32" s="216"/>
      <c r="BP32" s="216"/>
    </row>
    <row r="33" spans="1:68" ht="15.6" x14ac:dyDescent="0.3">
      <c r="A33" s="194">
        <v>2018</v>
      </c>
      <c r="B33" s="229">
        <v>4714.5920635800567</v>
      </c>
      <c r="C33" s="229">
        <v>0</v>
      </c>
      <c r="D33" s="229">
        <v>0</v>
      </c>
      <c r="E33" s="229">
        <v>4089.4036739655053</v>
      </c>
      <c r="F33" s="229">
        <v>1912.1669341679742</v>
      </c>
      <c r="G33" s="229">
        <v>173.09545941305481</v>
      </c>
      <c r="H33" s="229">
        <v>1069.3010881543908</v>
      </c>
      <c r="I33" s="229">
        <v>1662.775486621638</v>
      </c>
      <c r="J33" s="229">
        <v>0</v>
      </c>
      <c r="K33" s="229">
        <v>0</v>
      </c>
      <c r="M33" s="194">
        <v>2018</v>
      </c>
      <c r="N33" s="419">
        <f t="shared" si="2"/>
        <v>2706.0128029708108</v>
      </c>
      <c r="O33" s="418">
        <f>(C33/Population_Tables!P7)*Population_Tables!D66</f>
        <v>0</v>
      </c>
      <c r="P33" s="418">
        <f>(D33/Population_Tables!Q7)*Population_Tables!E66</f>
        <v>0</v>
      </c>
      <c r="Q33" s="418">
        <f>((E33-H33)/Population_Tables!R7)*Population_Tables!F66</f>
        <v>1550.493771867458</v>
      </c>
      <c r="R33" s="418">
        <f>(F33/Population_Tables!S7)*Population_Tables!G66</f>
        <v>1109.0813977593607</v>
      </c>
      <c r="S33" s="418">
        <f>(G33/Population_Tables!T7)*Population_Tables!H66</f>
        <v>46.437633343991692</v>
      </c>
      <c r="T33" s="418">
        <f>(H33/Population_Tables!U7)*Population_Tables!I66</f>
        <v>0</v>
      </c>
      <c r="U33" s="418">
        <f>(I33/Population_Tables!V7)*Population_Tables!J66</f>
        <v>0</v>
      </c>
      <c r="V33" s="418">
        <f>(J33/Population_Tables!W7)*Population_Tables!K66</f>
        <v>0</v>
      </c>
      <c r="W33" s="418">
        <f>(K33/Population_Tables!X7)*Population_Tables!L66</f>
        <v>0</v>
      </c>
      <c r="Y33" s="456">
        <v>2018</v>
      </c>
      <c r="Z33" s="459">
        <f>((B33/Population_Tables!O7)*Population_Tables!C7)-N33</f>
        <v>2008.5720606337577</v>
      </c>
      <c r="AA33" s="459">
        <f>((C33/Population_Tables!P7)*Population_Tables!D7)-O33</f>
        <v>0</v>
      </c>
      <c r="AB33" s="459">
        <f>((D33/Population_Tables!Q7)*Population_Tables!E7)-P33</f>
        <v>0</v>
      </c>
      <c r="AC33" s="459">
        <f>((E33/Population_Tables!R7)*Population_Tables!F7)-Q33</f>
        <v>2538.8983010417041</v>
      </c>
      <c r="AD33" s="459">
        <f>((F33/Population_Tables!S7)*Population_Tables!G7)-R33</f>
        <v>803.08553640861351</v>
      </c>
      <c r="AE33" s="459">
        <f>((G33/Population_Tables!T7)*Population_Tables!H7)-S33</f>
        <v>126.65782606906312</v>
      </c>
      <c r="AF33" s="459">
        <f>(H33/Population_Tables!U7)*Population_Tables!I7</f>
        <v>1069.3010881543908</v>
      </c>
      <c r="AG33" s="459">
        <f>(I33/Population_Tables!V7)*Population_Tables!J7</f>
        <v>1662.7754866216378</v>
      </c>
      <c r="AH33" s="459">
        <f>(J33/Population_Tables!W7)*Population_Tables!K7</f>
        <v>0</v>
      </c>
      <c r="AI33" s="459">
        <f>(K33/Population_Tables!X7)*Population_Tables!L7</f>
        <v>0</v>
      </c>
      <c r="AK33" s="456">
        <v>2018</v>
      </c>
      <c r="AL33" s="459">
        <f t="shared" si="6"/>
        <v>4714.5848636045685</v>
      </c>
      <c r="AM33" s="459">
        <f t="shared" si="3"/>
        <v>0</v>
      </c>
      <c r="AN33" s="459">
        <f t="shared" si="3"/>
        <v>0</v>
      </c>
      <c r="AO33" s="459">
        <f t="shared" si="3"/>
        <v>4089.3920729091624</v>
      </c>
      <c r="AP33" s="459">
        <f t="shared" si="3"/>
        <v>1912.1669341679742</v>
      </c>
      <c r="AQ33" s="459">
        <f t="shared" si="3"/>
        <v>173.09545941305481</v>
      </c>
      <c r="AR33" s="459">
        <f t="shared" si="3"/>
        <v>1069.3010881543908</v>
      </c>
      <c r="AS33" s="459">
        <f t="shared" si="3"/>
        <v>1662.7754866216378</v>
      </c>
      <c r="AT33" s="459">
        <f t="shared" si="3"/>
        <v>0</v>
      </c>
      <c r="AU33" s="459">
        <f t="shared" si="3"/>
        <v>0</v>
      </c>
      <c r="AW33" s="216">
        <f>(B33/Population_Tables!O7)*Population_Tables!C7</f>
        <v>4714.5848636045685</v>
      </c>
      <c r="AX33" s="153" t="str">
        <f t="shared" si="7"/>
        <v>OK</v>
      </c>
      <c r="AY33" s="421">
        <f t="shared" si="4"/>
        <v>6174.6544664901903</v>
      </c>
      <c r="AZ33" s="153" t="b">
        <f t="shared" si="5"/>
        <v>0</v>
      </c>
      <c r="BB33" s="216">
        <f>(C33/Population_Tables!P7)*Population_Tables!D7</f>
        <v>0</v>
      </c>
      <c r="BC33" s="216">
        <f>(D33/Population_Tables!Q7)*Population_Tables!E7</f>
        <v>0</v>
      </c>
      <c r="BD33" s="216">
        <f>(E33/Population_Tables!R7)*Population_Tables!F7</f>
        <v>4089.3920729091619</v>
      </c>
      <c r="BE33" s="216">
        <f>(F33/Population_Tables!S7)*Population_Tables!G7</f>
        <v>1912.1669341679742</v>
      </c>
      <c r="BF33" s="216">
        <f>(G33/Population_Tables!T7)*Population_Tables!H7</f>
        <v>173.09545941305481</v>
      </c>
      <c r="BG33" s="216"/>
      <c r="BN33" s="216"/>
      <c r="BO33" s="216"/>
      <c r="BP33" s="216"/>
    </row>
    <row r="34" spans="1:68" ht="16.2" thickBot="1" x14ac:dyDescent="0.35">
      <c r="A34" s="198">
        <v>2019</v>
      </c>
      <c r="B34" s="230">
        <v>4788.4290201034846</v>
      </c>
      <c r="C34" s="230">
        <v>0</v>
      </c>
      <c r="D34" s="230">
        <v>0</v>
      </c>
      <c r="E34" s="230">
        <v>4096.8213663355218</v>
      </c>
      <c r="F34" s="230">
        <v>1945.2374263100141</v>
      </c>
      <c r="G34" s="230">
        <v>173.03584665536212</v>
      </c>
      <c r="H34" s="230">
        <v>1063.2647715408134</v>
      </c>
      <c r="I34" s="230">
        <v>1673.354415374275</v>
      </c>
      <c r="J34" s="230">
        <v>0</v>
      </c>
      <c r="K34" s="230">
        <v>0</v>
      </c>
      <c r="M34" s="198">
        <v>2019</v>
      </c>
      <c r="N34" s="419">
        <f t="shared" si="2"/>
        <v>2740.0461798919691</v>
      </c>
      <c r="O34" s="418">
        <f>(C34/Population_Tables!P8)*Population_Tables!D67</f>
        <v>0</v>
      </c>
      <c r="P34" s="418">
        <f>(D34/Population_Tables!Q8)*Population_Tables!E67</f>
        <v>0</v>
      </c>
      <c r="Q34" s="418">
        <f>((E34-H34)/Population_Tables!R8)*Population_Tables!F67</f>
        <v>1561.6962533791339</v>
      </c>
      <c r="R34" s="418">
        <f>(F34/Population_Tables!S8)*Population_Tables!G67</f>
        <v>1131.8061745618854</v>
      </c>
      <c r="S34" s="418">
        <f>(G34/Population_Tables!T8)*Population_Tables!H67</f>
        <v>46.543751950949883</v>
      </c>
      <c r="T34" s="418">
        <f>(H34/Population_Tables!U8)*Population_Tables!I67</f>
        <v>0</v>
      </c>
      <c r="U34" s="418">
        <f>(I34/Population_Tables!V8)*Population_Tables!J67</f>
        <v>0</v>
      </c>
      <c r="V34" s="418">
        <f>(J34/Population_Tables!W8)*Population_Tables!K67</f>
        <v>0</v>
      </c>
      <c r="W34" s="418">
        <f>(K34/Population_Tables!X8)*Population_Tables!L67</f>
        <v>0</v>
      </c>
      <c r="Y34" s="456">
        <v>2019</v>
      </c>
      <c r="Z34" s="459">
        <f>((B34/Population_Tables!O8)*Population_Tables!C8)-N34</f>
        <v>2048.3757403001641</v>
      </c>
      <c r="AA34" s="459">
        <f>((C34/Population_Tables!P8)*Population_Tables!D8)-O34</f>
        <v>0</v>
      </c>
      <c r="AB34" s="459">
        <f>((D34/Population_Tables!Q8)*Population_Tables!E8)-P34</f>
        <v>0</v>
      </c>
      <c r="AC34" s="459">
        <f>((E34/Population_Tables!R8)*Population_Tables!F8)-Q34</f>
        <v>2535.113806097057</v>
      </c>
      <c r="AD34" s="459">
        <f>((F34/Population_Tables!S8)*Population_Tables!G8)-R34</f>
        <v>813.43125174812872</v>
      </c>
      <c r="AE34" s="459">
        <f>((G34/Population_Tables!T8)*Population_Tables!H8)-S34</f>
        <v>126.49209470441224</v>
      </c>
      <c r="AF34" s="459">
        <f>(H34/Population_Tables!U8)*Population_Tables!I8</f>
        <v>1063.2647715408134</v>
      </c>
      <c r="AG34" s="459">
        <f>(I34/Population_Tables!V8)*Population_Tables!J8</f>
        <v>1673.354415374275</v>
      </c>
      <c r="AH34" s="459">
        <f>(J34/Population_Tables!W8)*Population_Tables!K8</f>
        <v>0</v>
      </c>
      <c r="AI34" s="459">
        <f>(K34/Population_Tables!X8)*Population_Tables!L8</f>
        <v>0</v>
      </c>
      <c r="AK34" s="456">
        <v>2019</v>
      </c>
      <c r="AL34" s="459">
        <f t="shared" si="6"/>
        <v>4788.4219201921333</v>
      </c>
      <c r="AM34" s="459">
        <f t="shared" si="3"/>
        <v>0</v>
      </c>
      <c r="AN34" s="459">
        <f t="shared" si="3"/>
        <v>0</v>
      </c>
      <c r="AO34" s="459">
        <f t="shared" si="3"/>
        <v>4096.8100594761909</v>
      </c>
      <c r="AP34" s="459">
        <f t="shared" si="3"/>
        <v>1945.2374263100141</v>
      </c>
      <c r="AQ34" s="459">
        <f t="shared" si="3"/>
        <v>173.03584665536212</v>
      </c>
      <c r="AR34" s="459">
        <f t="shared" si="3"/>
        <v>1063.2647715408134</v>
      </c>
      <c r="AS34" s="459">
        <f t="shared" si="3"/>
        <v>1673.354415374275</v>
      </c>
      <c r="AT34" s="459">
        <f t="shared" si="3"/>
        <v>0</v>
      </c>
      <c r="AU34" s="459">
        <f t="shared" si="3"/>
        <v>0</v>
      </c>
      <c r="AW34" s="216">
        <f>(B34/Population_Tables!O8)*Population_Tables!C8</f>
        <v>4788.4219201921333</v>
      </c>
      <c r="AX34" s="153" t="str">
        <f t="shared" si="7"/>
        <v>OK</v>
      </c>
      <c r="AY34" s="421">
        <f t="shared" si="4"/>
        <v>6215.0833324415671</v>
      </c>
      <c r="AZ34" s="153" t="str">
        <f t="shared" si="5"/>
        <v>OK</v>
      </c>
      <c r="BB34" s="216">
        <f>(C34/Population_Tables!P8)*Population_Tables!D8</f>
        <v>0</v>
      </c>
      <c r="BC34" s="216">
        <f>(D34/Population_Tables!Q8)*Population_Tables!E8</f>
        <v>0</v>
      </c>
      <c r="BD34" s="216">
        <f>(E34/Population_Tables!R8)*Population_Tables!F8</f>
        <v>4096.8100594761909</v>
      </c>
      <c r="BE34" s="216">
        <f>(F34/Population_Tables!S8)*Population_Tables!G8</f>
        <v>1945.2374263100141</v>
      </c>
      <c r="BF34" s="216">
        <f>(G34/Population_Tables!T8)*Population_Tables!H8</f>
        <v>173.03584665536212</v>
      </c>
      <c r="BG34" s="216"/>
      <c r="BN34" s="216"/>
      <c r="BO34" s="216"/>
      <c r="BP34" s="216"/>
    </row>
    <row r="35" spans="1:68" ht="15.6" x14ac:dyDescent="0.3">
      <c r="A35" s="201">
        <v>2020</v>
      </c>
      <c r="B35" s="228">
        <v>4857.0179010867632</v>
      </c>
      <c r="C35" s="228">
        <v>0</v>
      </c>
      <c r="D35" s="228">
        <v>0</v>
      </c>
      <c r="E35" s="228">
        <v>4103.623531275287</v>
      </c>
      <c r="F35" s="228">
        <v>1978.4276924734238</v>
      </c>
      <c r="G35" s="228">
        <v>172.94915510126211</v>
      </c>
      <c r="H35" s="228">
        <v>1056.5865164215754</v>
      </c>
      <c r="I35" s="228">
        <v>1683.648933318289</v>
      </c>
      <c r="J35" s="228">
        <v>0</v>
      </c>
      <c r="K35" s="228">
        <v>0</v>
      </c>
      <c r="M35" s="201">
        <v>2020</v>
      </c>
      <c r="N35" s="419">
        <f t="shared" si="2"/>
        <v>2774.3446786721665</v>
      </c>
      <c r="O35" s="418">
        <f>(C35/Population_Tables!P9)*Population_Tables!D68</f>
        <v>0</v>
      </c>
      <c r="P35" s="418">
        <f>(D35/Population_Tables!Q9)*Population_Tables!E68</f>
        <v>0</v>
      </c>
      <c r="Q35" s="418">
        <f>((E35-H35)/Population_Tables!R9)*Population_Tables!F68</f>
        <v>1573.1145130287116</v>
      </c>
      <c r="R35" s="418">
        <f>(F35/Population_Tables!S9)*Population_Tables!G68</f>
        <v>1154.5923738193708</v>
      </c>
      <c r="S35" s="418">
        <f>(G35/Population_Tables!T9)*Population_Tables!H68</f>
        <v>46.637791824084175</v>
      </c>
      <c r="T35" s="418">
        <f>(H35/Population_Tables!U9)*Population_Tables!I68</f>
        <v>0</v>
      </c>
      <c r="U35" s="418">
        <f>(I35/Population_Tables!V9)*Population_Tables!J68</f>
        <v>0</v>
      </c>
      <c r="V35" s="418">
        <f>(J35/Population_Tables!W9)*Population_Tables!K68</f>
        <v>0</v>
      </c>
      <c r="W35" s="418">
        <f>(K35/Population_Tables!X9)*Population_Tables!L68</f>
        <v>0</v>
      </c>
      <c r="Y35" s="456">
        <v>2020</v>
      </c>
      <c r="Z35" s="459">
        <f>((B35/Population_Tables!O9)*Population_Tables!C9)-N35</f>
        <v>2082.666214912831</v>
      </c>
      <c r="AA35" s="459">
        <f>((C35/Population_Tables!P9)*Population_Tables!D9)-O35</f>
        <v>0</v>
      </c>
      <c r="AB35" s="459">
        <f>((D35/Population_Tables!Q9)*Population_Tables!E9)-P35</f>
        <v>0</v>
      </c>
      <c r="AC35" s="459">
        <f>((E35/Population_Tables!R9)*Population_Tables!F9)-Q35</f>
        <v>2530.497973519985</v>
      </c>
      <c r="AD35" s="459">
        <f>((F35/Population_Tables!S9)*Population_Tables!G9)-R35</f>
        <v>823.83531865405303</v>
      </c>
      <c r="AE35" s="459">
        <f>((G35/Population_Tables!T9)*Population_Tables!H9)-S35</f>
        <v>126.31136327717793</v>
      </c>
      <c r="AF35" s="459">
        <f>(H35/Population_Tables!U9)*Population_Tables!I9</f>
        <v>1056.5865164215754</v>
      </c>
      <c r="AG35" s="459">
        <f>(I35/Population_Tables!V9)*Population_Tables!J9</f>
        <v>1683.648933318289</v>
      </c>
      <c r="AH35" s="459">
        <f>(J35/Population_Tables!W9)*Population_Tables!K9</f>
        <v>0</v>
      </c>
      <c r="AI35" s="459">
        <f>(K35/Population_Tables!X9)*Population_Tables!L9</f>
        <v>0</v>
      </c>
      <c r="AK35" s="456">
        <v>2020</v>
      </c>
      <c r="AL35" s="459">
        <f t="shared" si="6"/>
        <v>4857.0108935849976</v>
      </c>
      <c r="AM35" s="459">
        <f t="shared" si="3"/>
        <v>0</v>
      </c>
      <c r="AN35" s="459">
        <f t="shared" si="3"/>
        <v>0</v>
      </c>
      <c r="AO35" s="459">
        <f t="shared" si="3"/>
        <v>4103.6124865486963</v>
      </c>
      <c r="AP35" s="459">
        <f t="shared" si="3"/>
        <v>1978.4276924734238</v>
      </c>
      <c r="AQ35" s="459">
        <f t="shared" si="3"/>
        <v>172.94915510126211</v>
      </c>
      <c r="AR35" s="459">
        <f t="shared" si="3"/>
        <v>1056.5865164215754</v>
      </c>
      <c r="AS35" s="459">
        <f t="shared" si="3"/>
        <v>1683.648933318289</v>
      </c>
      <c r="AT35" s="459">
        <f t="shared" si="3"/>
        <v>0</v>
      </c>
      <c r="AU35" s="459">
        <f t="shared" si="3"/>
        <v>0</v>
      </c>
      <c r="AW35" s="216">
        <f>(B35/Population_Tables!O9)*Population_Tables!C9</f>
        <v>4857.0108935849976</v>
      </c>
      <c r="AX35" s="153" t="str">
        <f t="shared" si="7"/>
        <v>OK</v>
      </c>
      <c r="AY35" s="421">
        <f t="shared" si="4"/>
        <v>6254.9893341233828</v>
      </c>
      <c r="AZ35" s="153" t="str">
        <f t="shared" si="5"/>
        <v>OK</v>
      </c>
      <c r="BB35" s="216">
        <f>(C35/Population_Tables!P9)*Population_Tables!D9</f>
        <v>0</v>
      </c>
      <c r="BC35" s="216">
        <f>(D35/Population_Tables!Q9)*Population_Tables!E9</f>
        <v>0</v>
      </c>
      <c r="BD35" s="216">
        <f>(E35/Population_Tables!R9)*Population_Tables!F9</f>
        <v>4103.6124865486963</v>
      </c>
      <c r="BE35" s="216">
        <f>(F35/Population_Tables!S9)*Population_Tables!G9</f>
        <v>1978.4276924734238</v>
      </c>
      <c r="BF35" s="216">
        <f>(G35/Population_Tables!T9)*Population_Tables!H9</f>
        <v>172.94915510126211</v>
      </c>
      <c r="BG35" s="216"/>
      <c r="BN35" s="216"/>
      <c r="BO35" s="216"/>
      <c r="BP35" s="216"/>
    </row>
    <row r="36" spans="1:68" ht="15.6" x14ac:dyDescent="0.3">
      <c r="A36" s="206">
        <v>2021</v>
      </c>
      <c r="B36" s="229">
        <v>4928.7004256463306</v>
      </c>
      <c r="C36" s="229">
        <v>0</v>
      </c>
      <c r="D36" s="229">
        <v>0</v>
      </c>
      <c r="E36" s="229">
        <v>4109.8100149829443</v>
      </c>
      <c r="F36" s="229">
        <v>2011.7337069918901</v>
      </c>
      <c r="G36" s="229">
        <v>172.83555862836172</v>
      </c>
      <c r="H36" s="229">
        <v>1049.3053886049152</v>
      </c>
      <c r="I36" s="229">
        <v>1693.6581791391116</v>
      </c>
      <c r="J36" s="229">
        <v>0</v>
      </c>
      <c r="K36" s="229">
        <v>0</v>
      </c>
      <c r="M36" s="206">
        <v>2021</v>
      </c>
      <c r="N36" s="419">
        <f t="shared" si="2"/>
        <v>2813.0089090881261</v>
      </c>
      <c r="O36" s="418">
        <f>(C36/Population_Tables!P10)*Population_Tables!D69</f>
        <v>0</v>
      </c>
      <c r="P36" s="418">
        <f>(D36/Population_Tables!Q10)*Population_Tables!E69</f>
        <v>0</v>
      </c>
      <c r="Q36" s="418">
        <f>((E36-H36)/Population_Tables!R10)*Population_Tables!F69</f>
        <v>1587.548168330537</v>
      </c>
      <c r="R36" s="418">
        <f>(F36/Population_Tables!S10)*Population_Tables!G69</f>
        <v>1178.6354850219434</v>
      </c>
      <c r="S36" s="418">
        <f>(G36/Population_Tables!T10)*Population_Tables!H69</f>
        <v>46.825255735645733</v>
      </c>
      <c r="T36" s="418">
        <f>(H36/Population_Tables!U10)*Population_Tables!I69</f>
        <v>0</v>
      </c>
      <c r="U36" s="418">
        <f>(I36/Population_Tables!V10)*Population_Tables!J69</f>
        <v>0</v>
      </c>
      <c r="V36" s="418">
        <f>(J36/Population_Tables!W10)*Population_Tables!K69</f>
        <v>0</v>
      </c>
      <c r="W36" s="418">
        <f>(K36/Population_Tables!X10)*Population_Tables!L69</f>
        <v>0</v>
      </c>
      <c r="Y36" s="456">
        <v>2021</v>
      </c>
      <c r="Z36" s="459">
        <f>((B36/Population_Tables!O10)*Population_Tables!C10)-N36</f>
        <v>2121.9241899114518</v>
      </c>
      <c r="AA36" s="459">
        <f>((C36/Population_Tables!P10)*Population_Tables!D10)-O36</f>
        <v>0</v>
      </c>
      <c r="AB36" s="459">
        <f>((D36/Population_Tables!Q10)*Population_Tables!E10)-P36</f>
        <v>0</v>
      </c>
      <c r="AC36" s="459">
        <f>((E36/Population_Tables!R10)*Population_Tables!F10)-Q36</f>
        <v>2527.1687937820052</v>
      </c>
      <c r="AD36" s="459">
        <f>((F36/Population_Tables!S10)*Population_Tables!G10)-R36</f>
        <v>835.79543119072264</v>
      </c>
      <c r="AE36" s="459">
        <f>((G36/Population_Tables!T10)*Population_Tables!H10)-S36</f>
        <v>126.33761591313942</v>
      </c>
      <c r="AF36" s="459">
        <f>(H36/Population_Tables!U10)*Population_Tables!I10</f>
        <v>1050.4064818654604</v>
      </c>
      <c r="AG36" s="459">
        <f>(I36/Population_Tables!V10)*Population_Tables!J10</f>
        <v>1695.606644031918</v>
      </c>
      <c r="AH36" s="459">
        <f>(J36/Population_Tables!W10)*Population_Tables!K10</f>
        <v>0</v>
      </c>
      <c r="AI36" s="459">
        <f>(K36/Population_Tables!X10)*Population_Tables!L10</f>
        <v>0</v>
      </c>
      <c r="AK36" s="456">
        <v>2021</v>
      </c>
      <c r="AL36" s="459">
        <f t="shared" si="6"/>
        <v>4934.9330989995779</v>
      </c>
      <c r="AM36" s="459">
        <f t="shared" si="3"/>
        <v>0</v>
      </c>
      <c r="AN36" s="459">
        <f t="shared" si="3"/>
        <v>0</v>
      </c>
      <c r="AO36" s="459">
        <f t="shared" si="3"/>
        <v>4114.7169621125422</v>
      </c>
      <c r="AP36" s="459">
        <f t="shared" si="3"/>
        <v>2014.430916212666</v>
      </c>
      <c r="AQ36" s="459">
        <f t="shared" si="3"/>
        <v>173.16287164878514</v>
      </c>
      <c r="AR36" s="459">
        <f t="shared" si="3"/>
        <v>1050.4064818654604</v>
      </c>
      <c r="AS36" s="459">
        <f t="shared" si="3"/>
        <v>1695.606644031918</v>
      </c>
      <c r="AT36" s="459">
        <f t="shared" si="3"/>
        <v>0</v>
      </c>
      <c r="AU36" s="459">
        <f t="shared" si="3"/>
        <v>0</v>
      </c>
      <c r="AW36" s="216">
        <f>(B36/Population_Tables!O10)*Population_Tables!C10</f>
        <v>4934.9330989995779</v>
      </c>
      <c r="AX36" s="153" t="str">
        <f t="shared" si="7"/>
        <v>OK</v>
      </c>
      <c r="AY36" s="421">
        <f t="shared" si="4"/>
        <v>6302.3107499739926</v>
      </c>
      <c r="AZ36" s="153" t="str">
        <f t="shared" si="5"/>
        <v>OK</v>
      </c>
      <c r="BB36" s="216">
        <f>(C36/Population_Tables!P10)*Population_Tables!D10</f>
        <v>0</v>
      </c>
      <c r="BC36" s="216">
        <f>(D36/Population_Tables!Q10)*Population_Tables!E10</f>
        <v>0</v>
      </c>
      <c r="BD36" s="216">
        <f>(E36/Population_Tables!R10)*Population_Tables!F10</f>
        <v>4114.7169621125422</v>
      </c>
      <c r="BE36" s="216">
        <f>(F36/Population_Tables!S10)*Population_Tables!G10</f>
        <v>2014.430916212666</v>
      </c>
      <c r="BF36" s="216">
        <f>(G36/Population_Tables!T10)*Population_Tables!H10</f>
        <v>173.16287164878514</v>
      </c>
      <c r="BG36" s="216"/>
      <c r="BN36" s="216"/>
      <c r="BO36" s="216"/>
      <c r="BP36" s="216"/>
    </row>
    <row r="37" spans="1:68" ht="15.6" x14ac:dyDescent="0.3">
      <c r="A37" s="206">
        <v>2022</v>
      </c>
      <c r="B37" s="229">
        <v>4995.1487260746981</v>
      </c>
      <c r="C37" s="229">
        <v>0</v>
      </c>
      <c r="D37" s="229">
        <v>0</v>
      </c>
      <c r="E37" s="229">
        <v>4115.3806636566405</v>
      </c>
      <c r="F37" s="229">
        <v>2045.1514441990996</v>
      </c>
      <c r="G37" s="229">
        <v>172.69523111426787</v>
      </c>
      <c r="H37" s="229">
        <v>1041.4604538990704</v>
      </c>
      <c r="I37" s="229">
        <v>1703.381291522174</v>
      </c>
      <c r="J37" s="229">
        <v>0</v>
      </c>
      <c r="K37" s="229">
        <v>0</v>
      </c>
      <c r="M37" s="206">
        <v>2022</v>
      </c>
      <c r="N37" s="419">
        <f t="shared" si="2"/>
        <v>2853.3480162846636</v>
      </c>
      <c r="O37" s="418">
        <f>(C37/Population_Tables!P11)*Population_Tables!D70</f>
        <v>0</v>
      </c>
      <c r="P37" s="418">
        <f>(D37/Population_Tables!Q11)*Population_Tables!E70</f>
        <v>0</v>
      </c>
      <c r="Q37" s="418">
        <f>((E37-H37)/Population_Tables!R11)*Population_Tables!F70</f>
        <v>1603.0084800325797</v>
      </c>
      <c r="R37" s="418">
        <f>(F37/Population_Tables!S11)*Population_Tables!G70</f>
        <v>1203.3262384896943</v>
      </c>
      <c r="S37" s="418">
        <f>(G37/Population_Tables!T11)*Population_Tables!H70</f>
        <v>47.013297762389954</v>
      </c>
      <c r="T37" s="418">
        <f>(H37/Population_Tables!U11)*Population_Tables!I70</f>
        <v>0</v>
      </c>
      <c r="U37" s="418">
        <f>(I37/Population_Tables!V11)*Population_Tables!J70</f>
        <v>0</v>
      </c>
      <c r="V37" s="418">
        <f>(J37/Population_Tables!W11)*Population_Tables!K70</f>
        <v>0</v>
      </c>
      <c r="W37" s="418">
        <f>(K37/Population_Tables!X11)*Population_Tables!L70</f>
        <v>0</v>
      </c>
      <c r="Y37" s="456">
        <v>2022</v>
      </c>
      <c r="Z37" s="459">
        <f>((B37/Population_Tables!O11)*Population_Tables!C11)-N37</f>
        <v>2155.930479392071</v>
      </c>
      <c r="AA37" s="459">
        <f>((C37/Population_Tables!P11)*Population_Tables!D11)-O37</f>
        <v>0</v>
      </c>
      <c r="AB37" s="459">
        <f>((D37/Population_Tables!Q11)*Population_Tables!E11)-P37</f>
        <v>0</v>
      </c>
      <c r="AC37" s="459">
        <f>((E37/Population_Tables!R11)*Population_Tables!F11)-Q37</f>
        <v>2523.7837381839645</v>
      </c>
      <c r="AD37" s="459">
        <f>((F37/Population_Tables!S11)*Population_Tables!G11)-R37</f>
        <v>847.73143573060497</v>
      </c>
      <c r="AE37" s="459">
        <f>((G37/Population_Tables!T11)*Population_Tables!H11)-S37</f>
        <v>126.34621319276266</v>
      </c>
      <c r="AF37" s="459">
        <f>(H37/Population_Tables!U11)*Population_Tables!I11</f>
        <v>1043.8978099588544</v>
      </c>
      <c r="AG37" s="459">
        <f>(I37/Population_Tables!V11)*Population_Tables!J11</f>
        <v>1708.0901140472706</v>
      </c>
      <c r="AH37" s="459">
        <f>(J37/Population_Tables!W11)*Population_Tables!K11</f>
        <v>0</v>
      </c>
      <c r="AI37" s="459">
        <f>(K37/Population_Tables!X11)*Population_Tables!L11</f>
        <v>0</v>
      </c>
      <c r="AK37" s="456">
        <v>2022</v>
      </c>
      <c r="AL37" s="459">
        <f t="shared" si="6"/>
        <v>5009.2784956767346</v>
      </c>
      <c r="AM37" s="459">
        <f t="shared" si="3"/>
        <v>0</v>
      </c>
      <c r="AN37" s="459">
        <f t="shared" si="3"/>
        <v>0</v>
      </c>
      <c r="AO37" s="459">
        <f t="shared" si="3"/>
        <v>4126.7922182165439</v>
      </c>
      <c r="AP37" s="459">
        <f t="shared" si="3"/>
        <v>2051.0576742202993</v>
      </c>
      <c r="AQ37" s="459">
        <f t="shared" si="3"/>
        <v>173.35951095515261</v>
      </c>
      <c r="AR37" s="459">
        <f t="shared" si="3"/>
        <v>1043.8978099588544</v>
      </c>
      <c r="AS37" s="459">
        <f t="shared" si="3"/>
        <v>1708.0901140472706</v>
      </c>
      <c r="AT37" s="459">
        <f t="shared" si="3"/>
        <v>0</v>
      </c>
      <c r="AU37" s="459">
        <f t="shared" si="3"/>
        <v>0</v>
      </c>
      <c r="AW37" s="216">
        <f>(B37/Population_Tables!O11)*Population_Tables!C11</f>
        <v>5009.2784956767346</v>
      </c>
      <c r="AX37" s="153" t="str">
        <f t="shared" si="7"/>
        <v>OK</v>
      </c>
      <c r="AY37" s="421">
        <f t="shared" si="4"/>
        <v>6351.2094033919957</v>
      </c>
      <c r="AZ37" s="153" t="str">
        <f t="shared" si="5"/>
        <v>OK</v>
      </c>
      <c r="BB37" s="216">
        <f>(C37/Population_Tables!P11)*Population_Tables!D11</f>
        <v>0</v>
      </c>
      <c r="BC37" s="216">
        <f>(D37/Population_Tables!Q11)*Population_Tables!E11</f>
        <v>0</v>
      </c>
      <c r="BD37" s="216">
        <f>(E37/Population_Tables!R11)*Population_Tables!F11</f>
        <v>4126.7922182165439</v>
      </c>
      <c r="BE37" s="216">
        <f>(F37/Population_Tables!S11)*Population_Tables!G11</f>
        <v>2051.0576742202993</v>
      </c>
      <c r="BF37" s="216">
        <f>(G37/Population_Tables!T11)*Population_Tables!H11</f>
        <v>173.35951095515261</v>
      </c>
      <c r="BG37" s="216"/>
      <c r="BN37" s="216"/>
      <c r="BO37" s="216"/>
      <c r="BP37" s="216"/>
    </row>
    <row r="38" spans="1:68" ht="15.6" x14ac:dyDescent="0.3">
      <c r="A38" s="206">
        <v>2023</v>
      </c>
      <c r="B38" s="229">
        <v>5061.4646062802803</v>
      </c>
      <c r="C38" s="229">
        <v>0</v>
      </c>
      <c r="D38" s="229">
        <v>0</v>
      </c>
      <c r="E38" s="229">
        <v>4120.3353234945207</v>
      </c>
      <c r="F38" s="229">
        <v>2078.6768784287387</v>
      </c>
      <c r="G38" s="229">
        <v>172.52834643658747</v>
      </c>
      <c r="H38" s="229">
        <v>1033.0907781122796</v>
      </c>
      <c r="I38" s="229">
        <v>1712.8174091529079</v>
      </c>
      <c r="J38" s="229">
        <v>0</v>
      </c>
      <c r="K38" s="229">
        <v>0</v>
      </c>
      <c r="M38" s="206">
        <v>2023</v>
      </c>
      <c r="N38" s="419">
        <f t="shared" si="2"/>
        <v>2895.1017105599772</v>
      </c>
      <c r="O38" s="418">
        <f>(C38/Population_Tables!P12)*Population_Tables!D71</f>
        <v>0</v>
      </c>
      <c r="P38" s="418">
        <f>(D38/Population_Tables!Q12)*Population_Tables!E71</f>
        <v>0</v>
      </c>
      <c r="Q38" s="418">
        <f>((E38-H38)/Population_Tables!R12)*Population_Tables!F71</f>
        <v>1619.2904542387914</v>
      </c>
      <c r="R38" s="418">
        <f>(F38/Population_Tables!S12)*Population_Tables!G71</f>
        <v>1228.608779591864</v>
      </c>
      <c r="S38" s="418">
        <f>(G38/Population_Tables!T12)*Population_Tables!H71</f>
        <v>47.202476729321823</v>
      </c>
      <c r="T38" s="418">
        <f>(H38/Population_Tables!U12)*Population_Tables!I71</f>
        <v>0</v>
      </c>
      <c r="U38" s="418">
        <f>(I38/Population_Tables!V12)*Population_Tables!J71</f>
        <v>0</v>
      </c>
      <c r="V38" s="418">
        <f>(J38/Population_Tables!W12)*Population_Tables!K71</f>
        <v>0</v>
      </c>
      <c r="W38" s="418">
        <f>(K38/Population_Tables!X12)*Population_Tables!L71</f>
        <v>0</v>
      </c>
      <c r="Y38" s="456">
        <v>2023</v>
      </c>
      <c r="Z38" s="459">
        <f>((B38/Population_Tables!O12)*Population_Tables!C12)-N38</f>
        <v>2189.8513643622532</v>
      </c>
      <c r="AA38" s="459">
        <f>((C38/Population_Tables!P12)*Population_Tables!D12)-O38</f>
        <v>0</v>
      </c>
      <c r="AB38" s="459">
        <f>((D38/Population_Tables!Q12)*Population_Tables!E12)-P38</f>
        <v>0</v>
      </c>
      <c r="AC38" s="459">
        <f>((E38/Population_Tables!R12)*Population_Tables!F12)-Q38</f>
        <v>2520.2291235433649</v>
      </c>
      <c r="AD38" s="459">
        <f>((F38/Population_Tables!S12)*Population_Tables!G12)-R38</f>
        <v>859.66691016008485</v>
      </c>
      <c r="AE38" s="459">
        <f>((G38/Population_Tables!T12)*Population_Tables!H12)-S38</f>
        <v>126.34493534387823</v>
      </c>
      <c r="AF38" s="459">
        <f>(H38/Population_Tables!U12)*Population_Tables!I12</f>
        <v>1037.0484562720583</v>
      </c>
      <c r="AG38" s="459">
        <f>(I38/Population_Tables!V12)*Population_Tables!J12</f>
        <v>1720.9167094421821</v>
      </c>
      <c r="AH38" s="459">
        <f>(J38/Population_Tables!W12)*Population_Tables!K12</f>
        <v>0</v>
      </c>
      <c r="AI38" s="459">
        <f>(K38/Population_Tables!X12)*Population_Tables!L12</f>
        <v>0</v>
      </c>
      <c r="AK38" s="456">
        <v>2023</v>
      </c>
      <c r="AL38" s="459">
        <f t="shared" si="6"/>
        <v>5084.9530749222304</v>
      </c>
      <c r="AM38" s="459">
        <f t="shared" si="3"/>
        <v>0</v>
      </c>
      <c r="AN38" s="459">
        <f t="shared" si="3"/>
        <v>0</v>
      </c>
      <c r="AO38" s="459">
        <f t="shared" si="3"/>
        <v>4139.5195777821564</v>
      </c>
      <c r="AP38" s="459">
        <f t="shared" si="3"/>
        <v>2088.2756897519489</v>
      </c>
      <c r="AQ38" s="459">
        <f t="shared" si="3"/>
        <v>173.54741207320006</v>
      </c>
      <c r="AR38" s="459">
        <f t="shared" si="3"/>
        <v>1037.0484562720583</v>
      </c>
      <c r="AS38" s="459">
        <f t="shared" si="3"/>
        <v>1720.9167094421821</v>
      </c>
      <c r="AT38" s="459">
        <f t="shared" si="3"/>
        <v>0</v>
      </c>
      <c r="AU38" s="459">
        <f t="shared" si="3"/>
        <v>0</v>
      </c>
      <c r="AW38" s="216">
        <f>(B38/Population_Tables!O12)*Population_Tables!C12</f>
        <v>5084.9530749222304</v>
      </c>
      <c r="AX38" s="153" t="str">
        <f t="shared" si="7"/>
        <v>OK</v>
      </c>
      <c r="AY38" s="421">
        <f t="shared" si="4"/>
        <v>6401.3426796073054</v>
      </c>
      <c r="AZ38" s="153" t="str">
        <f t="shared" si="5"/>
        <v>OK</v>
      </c>
      <c r="BB38" s="216">
        <f>(C38/Population_Tables!P12)*Population_Tables!D12</f>
        <v>0</v>
      </c>
      <c r="BC38" s="216">
        <f>(D38/Population_Tables!Q12)*Population_Tables!E12</f>
        <v>0</v>
      </c>
      <c r="BD38" s="216">
        <f>(E38/Population_Tables!R12)*Population_Tables!F12</f>
        <v>4139.5195777821564</v>
      </c>
      <c r="BE38" s="216">
        <f>(F38/Population_Tables!S12)*Population_Tables!G12</f>
        <v>2088.2756897519489</v>
      </c>
      <c r="BF38" s="216">
        <f>(G38/Population_Tables!T12)*Population_Tables!H12</f>
        <v>173.54741207320006</v>
      </c>
      <c r="BG38" s="216"/>
      <c r="BN38" s="216"/>
      <c r="BO38" s="216"/>
      <c r="BP38" s="216"/>
    </row>
    <row r="39" spans="1:68" ht="15.6" x14ac:dyDescent="0.3">
      <c r="A39" s="206">
        <v>2024</v>
      </c>
      <c r="B39" s="229">
        <v>5127.5978484995521</v>
      </c>
      <c r="C39" s="229">
        <v>0</v>
      </c>
      <c r="D39" s="229">
        <v>0</v>
      </c>
      <c r="E39" s="229">
        <v>4124.6738406947306</v>
      </c>
      <c r="F39" s="229">
        <v>2112.3059840144947</v>
      </c>
      <c r="G39" s="229">
        <v>172.33507847292742</v>
      </c>
      <c r="H39" s="229">
        <v>1024.2354270527803</v>
      </c>
      <c r="I39" s="229">
        <v>1721.9656707167446</v>
      </c>
      <c r="J39" s="229">
        <v>0</v>
      </c>
      <c r="K39" s="229">
        <v>0</v>
      </c>
      <c r="M39" s="206">
        <v>2024</v>
      </c>
      <c r="N39" s="419">
        <f t="shared" si="2"/>
        <v>2938.0931161205563</v>
      </c>
      <c r="O39" s="418">
        <f>(C39/Population_Tables!P13)*Population_Tables!D72</f>
        <v>0</v>
      </c>
      <c r="P39" s="418">
        <f>(D39/Population_Tables!Q13)*Population_Tables!E72</f>
        <v>0</v>
      </c>
      <c r="Q39" s="418">
        <f>((E39-H39)/Population_Tables!R13)*Population_Tables!F72</f>
        <v>1636.2282317482204</v>
      </c>
      <c r="R39" s="418">
        <f>(F39/Population_Tables!S13)*Population_Tables!G72</f>
        <v>1254.4678068153564</v>
      </c>
      <c r="S39" s="418">
        <f>(G39/Population_Tables!T13)*Population_Tables!H72</f>
        <v>47.39707755697971</v>
      </c>
      <c r="T39" s="418">
        <f>(H39/Population_Tables!U13)*Population_Tables!I72</f>
        <v>0</v>
      </c>
      <c r="U39" s="418">
        <f>(I39/Population_Tables!V13)*Population_Tables!J72</f>
        <v>0</v>
      </c>
      <c r="V39" s="418">
        <f>(J39/Population_Tables!W13)*Population_Tables!K72</f>
        <v>0</v>
      </c>
      <c r="W39" s="418">
        <f>(K39/Population_Tables!X13)*Population_Tables!L72</f>
        <v>0</v>
      </c>
      <c r="Y39" s="456">
        <v>2024</v>
      </c>
      <c r="Z39" s="459">
        <f>((B39/Population_Tables!O13)*Population_Tables!C13)-N39</f>
        <v>2223.7216259290535</v>
      </c>
      <c r="AA39" s="459">
        <f>((C39/Population_Tables!P13)*Population_Tables!D13)-O39</f>
        <v>0</v>
      </c>
      <c r="AB39" s="459">
        <f>((D39/Population_Tables!Q13)*Population_Tables!E13)-P39</f>
        <v>0</v>
      </c>
      <c r="AC39" s="459">
        <f>((E39/Population_Tables!R13)*Population_Tables!F13)-Q39</f>
        <v>2516.4258150006362</v>
      </c>
      <c r="AD39" s="459">
        <f>((F39/Population_Tables!S13)*Population_Tables!G13)-R39</f>
        <v>871.64130704559625</v>
      </c>
      <c r="AE39" s="459">
        <f>((G39/Population_Tables!T13)*Population_Tables!H13)-S39</f>
        <v>126.34946430142806</v>
      </c>
      <c r="AF39" s="459">
        <f>(H39/Population_Tables!U13)*Population_Tables!I13</f>
        <v>1029.8562128317556</v>
      </c>
      <c r="AG39" s="459">
        <f>(I39/Population_Tables!V13)*Population_Tables!J13</f>
        <v>1733.9515506647133</v>
      </c>
      <c r="AH39" s="459">
        <f>(J39/Population_Tables!W13)*Population_Tables!K13</f>
        <v>0</v>
      </c>
      <c r="AI39" s="459">
        <f>(K39/Population_Tables!X13)*Population_Tables!L13</f>
        <v>0</v>
      </c>
      <c r="AK39" s="456">
        <v>2024</v>
      </c>
      <c r="AL39" s="459">
        <f t="shared" si="6"/>
        <v>5161.8147420496098</v>
      </c>
      <c r="AM39" s="459">
        <f t="shared" si="3"/>
        <v>0</v>
      </c>
      <c r="AN39" s="459">
        <f t="shared" si="3"/>
        <v>0</v>
      </c>
      <c r="AO39" s="459">
        <f t="shared" si="3"/>
        <v>4152.6540467488567</v>
      </c>
      <c r="AP39" s="459">
        <f t="shared" si="3"/>
        <v>2126.1091138609527</v>
      </c>
      <c r="AQ39" s="459">
        <f t="shared" si="3"/>
        <v>173.74654185840777</v>
      </c>
      <c r="AR39" s="459">
        <f t="shared" si="3"/>
        <v>1029.8562128317556</v>
      </c>
      <c r="AS39" s="459">
        <f t="shared" si="3"/>
        <v>1733.9515506647133</v>
      </c>
      <c r="AT39" s="459">
        <f t="shared" si="3"/>
        <v>0</v>
      </c>
      <c r="AU39" s="459">
        <f t="shared" si="3"/>
        <v>0</v>
      </c>
      <c r="AW39" s="216">
        <f>(B39/Population_Tables!O13)*Population_Tables!C13</f>
        <v>5161.8147420496098</v>
      </c>
      <c r="AX39" s="153" t="str">
        <f t="shared" si="7"/>
        <v>OK</v>
      </c>
      <c r="AY39" s="421">
        <f t="shared" si="4"/>
        <v>6452.5097024682173</v>
      </c>
      <c r="AZ39" s="153" t="str">
        <f t="shared" si="5"/>
        <v>OK</v>
      </c>
      <c r="BB39" s="216">
        <f>(C39/Population_Tables!P13)*Population_Tables!D13</f>
        <v>0</v>
      </c>
      <c r="BC39" s="216">
        <f>(D39/Population_Tables!Q13)*Population_Tables!E13</f>
        <v>0</v>
      </c>
      <c r="BD39" s="216">
        <f>(E39/Population_Tables!R13)*Population_Tables!F13</f>
        <v>4152.6540467488567</v>
      </c>
      <c r="BE39" s="216">
        <f>(F39/Population_Tables!S13)*Population_Tables!G13</f>
        <v>2126.1091138609527</v>
      </c>
      <c r="BF39" s="216">
        <f>(G39/Population_Tables!T13)*Population_Tables!H13</f>
        <v>173.74654185840777</v>
      </c>
      <c r="BG39" s="216"/>
      <c r="BN39" s="216"/>
      <c r="BO39" s="216"/>
      <c r="BP39" s="216"/>
    </row>
    <row r="40" spans="1:68" ht="15.6" x14ac:dyDescent="0.3">
      <c r="A40" s="206">
        <v>2025</v>
      </c>
      <c r="B40" s="229">
        <v>5193.508617036513</v>
      </c>
      <c r="C40" s="229">
        <v>0</v>
      </c>
      <c r="D40" s="229">
        <v>0</v>
      </c>
      <c r="E40" s="229">
        <v>4128.3960614554153</v>
      </c>
      <c r="F40" s="229">
        <v>2146.0347352900535</v>
      </c>
      <c r="G40" s="229">
        <v>172.11560110089468</v>
      </c>
      <c r="H40" s="229">
        <v>1014.9334665288106</v>
      </c>
      <c r="I40" s="229">
        <v>1730.8252148991162</v>
      </c>
      <c r="J40" s="229">
        <v>0</v>
      </c>
      <c r="K40" s="229">
        <v>0</v>
      </c>
      <c r="M40" s="206">
        <v>2025</v>
      </c>
      <c r="N40" s="419">
        <f t="shared" si="2"/>
        <v>2982.1827270916378</v>
      </c>
      <c r="O40" s="418">
        <f>(C40/Population_Tables!P14)*Population_Tables!D73</f>
        <v>0</v>
      </c>
      <c r="P40" s="418">
        <f>(D40/Population_Tables!Q14)*Population_Tables!E73</f>
        <v>0</v>
      </c>
      <c r="Q40" s="418">
        <f>((E40-H40)/Population_Tables!R14)*Population_Tables!F73</f>
        <v>1653.689558348977</v>
      </c>
      <c r="R40" s="418">
        <f>(F40/Population_Tables!S14)*Population_Tables!G73</f>
        <v>1280.8929538427049</v>
      </c>
      <c r="S40" s="418">
        <f>(G40/Population_Tables!T14)*Population_Tables!H73</f>
        <v>47.60021489995615</v>
      </c>
      <c r="T40" s="418">
        <f>(H40/Population_Tables!U14)*Population_Tables!I73</f>
        <v>0</v>
      </c>
      <c r="U40" s="418">
        <f>(I40/Population_Tables!V14)*Population_Tables!J73</f>
        <v>0</v>
      </c>
      <c r="V40" s="418">
        <f>(J40/Population_Tables!W14)*Population_Tables!K73</f>
        <v>0</v>
      </c>
      <c r="W40" s="418">
        <f>(K40/Population_Tables!X14)*Population_Tables!L73</f>
        <v>0</v>
      </c>
      <c r="Y40" s="456">
        <v>2025</v>
      </c>
      <c r="Z40" s="459">
        <f>((B40/Population_Tables!O14)*Population_Tables!C14)-N40</f>
        <v>2257.573763595818</v>
      </c>
      <c r="AA40" s="459">
        <f>((C40/Population_Tables!P14)*Population_Tables!D14)-O40</f>
        <v>0</v>
      </c>
      <c r="AB40" s="459">
        <f>((D40/Population_Tables!Q14)*Population_Tables!E14)-P40</f>
        <v>0</v>
      </c>
      <c r="AC40" s="459">
        <f>((E40/Population_Tables!R14)*Population_Tables!F14)-Q40</f>
        <v>2512.320912726319</v>
      </c>
      <c r="AD40" s="459">
        <f>((F40/Population_Tables!S14)*Population_Tables!G14)-R40</f>
        <v>883.68491649497332</v>
      </c>
      <c r="AE40" s="459">
        <f>((G40/Population_Tables!T14)*Population_Tables!H14)-S40</f>
        <v>126.37028014961675</v>
      </c>
      <c r="AF40" s="459">
        <f>(H40/Population_Tables!U14)*Population_Tables!I14</f>
        <v>1022.3283158832343</v>
      </c>
      <c r="AG40" s="459">
        <f>(I40/Population_Tables!V14)*Population_Tables!J14</f>
        <v>1747.0942697392059</v>
      </c>
      <c r="AH40" s="459">
        <f>(J40/Population_Tables!W14)*Population_Tables!K14</f>
        <v>0</v>
      </c>
      <c r="AI40" s="459">
        <f>(K40/Population_Tables!X14)*Population_Tables!L14</f>
        <v>0</v>
      </c>
      <c r="AK40" s="456">
        <v>2025</v>
      </c>
      <c r="AL40" s="459">
        <f t="shared" si="6"/>
        <v>5239.7564906874559</v>
      </c>
      <c r="AM40" s="459">
        <f t="shared" si="3"/>
        <v>0</v>
      </c>
      <c r="AN40" s="459">
        <f t="shared" si="3"/>
        <v>0</v>
      </c>
      <c r="AO40" s="459">
        <f t="shared" si="3"/>
        <v>4166.0104710752958</v>
      </c>
      <c r="AP40" s="459">
        <f t="shared" si="3"/>
        <v>2164.5778703376782</v>
      </c>
      <c r="AQ40" s="459">
        <f t="shared" si="3"/>
        <v>173.97049504957289</v>
      </c>
      <c r="AR40" s="459">
        <f t="shared" si="3"/>
        <v>1022.3283158832343</v>
      </c>
      <c r="AS40" s="459">
        <f t="shared" si="3"/>
        <v>1747.0942697392059</v>
      </c>
      <c r="AT40" s="459">
        <f t="shared" si="3"/>
        <v>0</v>
      </c>
      <c r="AU40" s="459">
        <f t="shared" si="3"/>
        <v>0</v>
      </c>
      <c r="AW40" s="216">
        <f>(B40/Population_Tables!O14)*Population_Tables!C14</f>
        <v>5239.7564906874559</v>
      </c>
      <c r="AX40" s="153" t="str">
        <f t="shared" si="7"/>
        <v>OK</v>
      </c>
      <c r="AY40" s="421">
        <f t="shared" si="4"/>
        <v>6504.5588364625464</v>
      </c>
      <c r="AZ40" s="153" t="str">
        <f t="shared" si="5"/>
        <v>OK</v>
      </c>
      <c r="BB40" s="216">
        <f>(C40/Population_Tables!P14)*Population_Tables!D14</f>
        <v>0</v>
      </c>
      <c r="BC40" s="216">
        <f>(D40/Population_Tables!Q14)*Population_Tables!E14</f>
        <v>0</v>
      </c>
      <c r="BD40" s="216">
        <f>(E40/Population_Tables!R14)*Population_Tables!F14</f>
        <v>4166.0104710752958</v>
      </c>
      <c r="BE40" s="216">
        <f>(F40/Population_Tables!S14)*Population_Tables!G14</f>
        <v>2164.5778703376782</v>
      </c>
      <c r="BF40" s="216">
        <f>(G40/Population_Tables!T14)*Population_Tables!H14</f>
        <v>173.97049504957289</v>
      </c>
      <c r="BG40" s="216"/>
      <c r="BN40" s="216"/>
      <c r="BO40" s="216"/>
      <c r="BP40" s="216"/>
    </row>
    <row r="41" spans="1:68" ht="15.6" x14ac:dyDescent="0.3">
      <c r="A41" s="206">
        <v>2026</v>
      </c>
      <c r="B41" s="229">
        <v>5259.1779602900378</v>
      </c>
      <c r="C41" s="229">
        <v>0</v>
      </c>
      <c r="D41" s="229">
        <v>0</v>
      </c>
      <c r="E41" s="229">
        <v>4131.5018319747196</v>
      </c>
      <c r="F41" s="229">
        <v>2179.8591065891023</v>
      </c>
      <c r="G41" s="229">
        <v>171.87008819809614</v>
      </c>
      <c r="H41" s="229">
        <v>1005.2239623486087</v>
      </c>
      <c r="I41" s="229">
        <v>1739.3951803854534</v>
      </c>
      <c r="J41" s="229">
        <v>0</v>
      </c>
      <c r="K41" s="229">
        <v>0</v>
      </c>
      <c r="M41" s="206">
        <v>2026</v>
      </c>
      <c r="N41" s="419">
        <f t="shared" si="2"/>
        <v>3027.2534559405681</v>
      </c>
      <c r="O41" s="418">
        <f>(C41/Population_Tables!P15)*Population_Tables!D74</f>
        <v>0</v>
      </c>
      <c r="P41" s="418">
        <f>(D41/Population_Tables!Q15)*Population_Tables!E74</f>
        <v>0</v>
      </c>
      <c r="Q41" s="418">
        <f>((E41-H41)/Population_Tables!R15)*Population_Tables!F74</f>
        <v>1671.5739756703292</v>
      </c>
      <c r="R41" s="418">
        <f>(F41/Population_Tables!S15)*Population_Tables!G74</f>
        <v>1307.8679449535098</v>
      </c>
      <c r="S41" s="418">
        <f>(G41/Population_Tables!T15)*Population_Tables!H74</f>
        <v>47.811535316728971</v>
      </c>
      <c r="T41" s="418">
        <f>(H41/Population_Tables!U15)*Population_Tables!I74</f>
        <v>0</v>
      </c>
      <c r="U41" s="418">
        <f>(I41/Population_Tables!V15)*Population_Tables!J74</f>
        <v>0</v>
      </c>
      <c r="V41" s="418">
        <f>(J41/Population_Tables!W15)*Population_Tables!K74</f>
        <v>0</v>
      </c>
      <c r="W41" s="418">
        <f>(K41/Population_Tables!X15)*Population_Tables!L74</f>
        <v>0</v>
      </c>
      <c r="Y41" s="456">
        <v>2026</v>
      </c>
      <c r="Z41" s="459">
        <f>((B41/Population_Tables!O15)*Population_Tables!C15)-N41</f>
        <v>2291.4331267634275</v>
      </c>
      <c r="AA41" s="459">
        <f>((C41/Population_Tables!P15)*Population_Tables!D15)-O41</f>
        <v>0</v>
      </c>
      <c r="AB41" s="459">
        <f>((D41/Population_Tables!Q15)*Population_Tables!E15)-P41</f>
        <v>0</v>
      </c>
      <c r="AC41" s="459">
        <f>((E41/Population_Tables!R15)*Population_Tables!F15)-Q41</f>
        <v>2507.8834667373026</v>
      </c>
      <c r="AD41" s="459">
        <f>((F41/Population_Tables!S15)*Population_Tables!G15)-R41</f>
        <v>895.81188923124591</v>
      </c>
      <c r="AE41" s="459">
        <f>((G41/Population_Tables!T15)*Population_Tables!H15)-S41</f>
        <v>126.40681753520727</v>
      </c>
      <c r="AF41" s="459">
        <f>(H41/Population_Tables!U15)*Population_Tables!I15</f>
        <v>1014.4814318160126</v>
      </c>
      <c r="AG41" s="459">
        <f>(I41/Population_Tables!V15)*Population_Tables!J15</f>
        <v>1760.2712714735917</v>
      </c>
      <c r="AH41" s="459">
        <f>(J41/Population_Tables!W15)*Population_Tables!K15</f>
        <v>0</v>
      </c>
      <c r="AI41" s="459">
        <f>(K41/Population_Tables!X15)*Population_Tables!L15</f>
        <v>0</v>
      </c>
      <c r="AK41" s="456">
        <v>2026</v>
      </c>
      <c r="AL41" s="459">
        <f t="shared" si="6"/>
        <v>5318.6865827039956</v>
      </c>
      <c r="AM41" s="459">
        <f t="shared" si="3"/>
        <v>0</v>
      </c>
      <c r="AN41" s="459">
        <f t="shared" si="3"/>
        <v>0</v>
      </c>
      <c r="AO41" s="459">
        <f t="shared" si="3"/>
        <v>4179.4574424076318</v>
      </c>
      <c r="AP41" s="459">
        <f t="shared" si="3"/>
        <v>2203.6798341847557</v>
      </c>
      <c r="AQ41" s="459">
        <f t="shared" si="3"/>
        <v>174.21835285193623</v>
      </c>
      <c r="AR41" s="459">
        <f t="shared" si="3"/>
        <v>1014.4814318160126</v>
      </c>
      <c r="AS41" s="459">
        <f t="shared" si="3"/>
        <v>1760.2712714735917</v>
      </c>
      <c r="AT41" s="459">
        <f t="shared" si="3"/>
        <v>0</v>
      </c>
      <c r="AU41" s="459">
        <f t="shared" si="3"/>
        <v>0</v>
      </c>
      <c r="AW41" s="216">
        <f>(B41/Population_Tables!O15)*Population_Tables!C15</f>
        <v>5318.6865827039956</v>
      </c>
      <c r="AX41" s="153" t="str">
        <f t="shared" si="7"/>
        <v>OK</v>
      </c>
      <c r="AY41" s="421">
        <f t="shared" si="4"/>
        <v>6557.3556294443242</v>
      </c>
      <c r="AZ41" s="153" t="str">
        <f t="shared" si="5"/>
        <v>OK</v>
      </c>
      <c r="BB41" s="216">
        <f>(C41/Population_Tables!P15)*Population_Tables!D15</f>
        <v>0</v>
      </c>
      <c r="BC41" s="216">
        <f>(D41/Population_Tables!Q15)*Population_Tables!E15</f>
        <v>0</v>
      </c>
      <c r="BD41" s="216">
        <f>(E41/Population_Tables!R15)*Population_Tables!F15</f>
        <v>4179.4574424076318</v>
      </c>
      <c r="BE41" s="216">
        <f>(F41/Population_Tables!S15)*Population_Tables!G15</f>
        <v>2203.6798341847557</v>
      </c>
      <c r="BF41" s="216">
        <f>(G41/Population_Tables!T15)*Population_Tables!H15</f>
        <v>174.21835285193623</v>
      </c>
      <c r="BG41" s="216"/>
      <c r="BN41" s="216"/>
      <c r="BO41" s="216"/>
      <c r="BP41" s="216"/>
    </row>
    <row r="42" spans="1:68" ht="15.6" x14ac:dyDescent="0.3">
      <c r="A42" s="206">
        <v>2027</v>
      </c>
      <c r="B42" s="229">
        <v>5324.5976928216296</v>
      </c>
      <c r="C42" s="229">
        <v>0</v>
      </c>
      <c r="D42" s="229">
        <v>0</v>
      </c>
      <c r="E42" s="229">
        <v>4133.9909984507904</v>
      </c>
      <c r="F42" s="229">
        <v>2213.7750722453275</v>
      </c>
      <c r="G42" s="229">
        <v>171.59871364213873</v>
      </c>
      <c r="H42" s="229">
        <v>995.1459803204126</v>
      </c>
      <c r="I42" s="229">
        <v>1747.6747058611882</v>
      </c>
      <c r="J42" s="229">
        <v>0</v>
      </c>
      <c r="K42" s="229">
        <v>0</v>
      </c>
      <c r="M42" s="206">
        <v>2027</v>
      </c>
      <c r="N42" s="419">
        <f t="shared" si="2"/>
        <v>3073.2107962748628</v>
      </c>
      <c r="O42" s="418">
        <f>(C42/Population_Tables!P16)*Population_Tables!D75</f>
        <v>0</v>
      </c>
      <c r="P42" s="418">
        <f>(D42/Population_Tables!Q16)*Population_Tables!E75</f>
        <v>0</v>
      </c>
      <c r="Q42" s="418">
        <f>((E42-H42)/Population_Tables!R16)*Population_Tables!F75</f>
        <v>1689.8131759189991</v>
      </c>
      <c r="R42" s="418">
        <f>(F42/Population_Tables!S16)*Population_Tables!G75</f>
        <v>1335.3689538830388</v>
      </c>
      <c r="S42" s="418">
        <f>(G42/Population_Tables!T16)*Population_Tables!H75</f>
        <v>48.028666472825122</v>
      </c>
      <c r="T42" s="418">
        <f>(H42/Population_Tables!U16)*Population_Tables!I75</f>
        <v>0</v>
      </c>
      <c r="U42" s="418">
        <f>(I42/Population_Tables!V16)*Population_Tables!J75</f>
        <v>0</v>
      </c>
      <c r="V42" s="418">
        <f>(J42/Population_Tables!W16)*Population_Tables!K75</f>
        <v>0</v>
      </c>
      <c r="W42" s="418">
        <f>(K42/Population_Tables!X16)*Population_Tables!L75</f>
        <v>0</v>
      </c>
      <c r="Y42" s="456">
        <v>2027</v>
      </c>
      <c r="Z42" s="459">
        <f>((B42/Population_Tables!O16)*Population_Tables!C16)-N42</f>
        <v>2325.3173212855268</v>
      </c>
      <c r="AA42" s="459">
        <f>((C42/Population_Tables!P16)*Population_Tables!D16)-O42</f>
        <v>0</v>
      </c>
      <c r="AB42" s="459">
        <f>((D42/Population_Tables!Q16)*Population_Tables!E16)-P42</f>
        <v>0</v>
      </c>
      <c r="AC42" s="459">
        <f>((E42/Population_Tables!R16)*Population_Tables!F16)-Q42</f>
        <v>2503.1060438682816</v>
      </c>
      <c r="AD42" s="459">
        <f>((F42/Population_Tables!S16)*Population_Tables!G16)-R42</f>
        <v>908.02060199185894</v>
      </c>
      <c r="AE42" s="459">
        <f>((G42/Population_Tables!T16)*Population_Tables!H16)-S42</f>
        <v>126.45142189359358</v>
      </c>
      <c r="AF42" s="459">
        <f>(H42/Population_Tables!U16)*Population_Tables!I16</f>
        <v>1006.3410173874541</v>
      </c>
      <c r="AG42" s="459">
        <f>(I42/Population_Tables!V16)*Population_Tables!J16</f>
        <v>1773.4418201256694</v>
      </c>
      <c r="AH42" s="459">
        <f>(J42/Population_Tables!W16)*Population_Tables!K16</f>
        <v>0</v>
      </c>
      <c r="AI42" s="459">
        <f>(K42/Population_Tables!X16)*Population_Tables!L16</f>
        <v>0</v>
      </c>
      <c r="AK42" s="456">
        <v>2027</v>
      </c>
      <c r="AL42" s="459">
        <f t="shared" si="6"/>
        <v>5398.5281175603895</v>
      </c>
      <c r="AM42" s="459">
        <f t="shared" si="3"/>
        <v>0</v>
      </c>
      <c r="AN42" s="459">
        <f t="shared" si="3"/>
        <v>0</v>
      </c>
      <c r="AO42" s="459">
        <f t="shared" si="3"/>
        <v>4192.9192197872808</v>
      </c>
      <c r="AP42" s="459">
        <f t="shared" si="3"/>
        <v>2243.3895558748977</v>
      </c>
      <c r="AQ42" s="459">
        <f t="shared" si="3"/>
        <v>174.4800883664187</v>
      </c>
      <c r="AR42" s="459">
        <f t="shared" si="3"/>
        <v>1006.3410173874541</v>
      </c>
      <c r="AS42" s="459">
        <f t="shared" si="3"/>
        <v>1773.4418201256694</v>
      </c>
      <c r="AT42" s="459">
        <f t="shared" si="3"/>
        <v>0</v>
      </c>
      <c r="AU42" s="459">
        <f t="shared" si="3"/>
        <v>0</v>
      </c>
      <c r="AW42" s="216">
        <f>(B42/Population_Tables!O16)*Population_Tables!C16</f>
        <v>5398.5281175603895</v>
      </c>
      <c r="AX42" s="153" t="str">
        <f t="shared" si="7"/>
        <v>OK</v>
      </c>
      <c r="AY42" s="421">
        <f t="shared" si="4"/>
        <v>6610.7888640285973</v>
      </c>
      <c r="AZ42" s="153" t="str">
        <f t="shared" si="5"/>
        <v>OK</v>
      </c>
      <c r="BB42" s="216">
        <f>(C42/Population_Tables!P16)*Population_Tables!D16</f>
        <v>0</v>
      </c>
      <c r="BC42" s="216">
        <f>(D42/Population_Tables!Q16)*Population_Tables!E16</f>
        <v>0</v>
      </c>
      <c r="BD42" s="216">
        <f>(E42/Population_Tables!R16)*Population_Tables!F16</f>
        <v>4192.9192197872808</v>
      </c>
      <c r="BE42" s="216">
        <f>(F42/Population_Tables!S16)*Population_Tables!G16</f>
        <v>2243.3895558748977</v>
      </c>
      <c r="BF42" s="216">
        <f>(G42/Population_Tables!T16)*Population_Tables!H16</f>
        <v>174.4800883664187</v>
      </c>
      <c r="BG42" s="216"/>
      <c r="BN42" s="216"/>
      <c r="BO42" s="216"/>
      <c r="BP42" s="216"/>
    </row>
    <row r="43" spans="1:68" ht="15.6" x14ac:dyDescent="0.3">
      <c r="A43" s="206">
        <v>2028</v>
      </c>
      <c r="B43" s="229">
        <v>5389.7521233414827</v>
      </c>
      <c r="C43" s="229">
        <v>0</v>
      </c>
      <c r="D43" s="229">
        <v>0</v>
      </c>
      <c r="E43" s="229">
        <v>4135.8634070817716</v>
      </c>
      <c r="F43" s="229">
        <v>2247.7786065924156</v>
      </c>
      <c r="G43" s="229">
        <v>171.30165131062935</v>
      </c>
      <c r="H43" s="229">
        <v>984.73858625246021</v>
      </c>
      <c r="I43" s="229">
        <v>1755.662930011752</v>
      </c>
      <c r="J43" s="229">
        <v>0</v>
      </c>
      <c r="K43" s="229">
        <v>0</v>
      </c>
      <c r="M43" s="206">
        <v>2028</v>
      </c>
      <c r="N43" s="419">
        <f t="shared" si="2"/>
        <v>3120.0046149632421</v>
      </c>
      <c r="O43" s="418">
        <f>(C43/Population_Tables!P17)*Population_Tables!D76</f>
        <v>0</v>
      </c>
      <c r="P43" s="418">
        <f>(D43/Population_Tables!Q17)*Population_Tables!E76</f>
        <v>0</v>
      </c>
      <c r="Q43" s="418">
        <f>((E43-H43)/Population_Tables!R17)*Population_Tables!F76</f>
        <v>1708.3702929731407</v>
      </c>
      <c r="R43" s="418">
        <f>(F43/Population_Tables!S17)*Population_Tables!G76</f>
        <v>1363.3834171387591</v>
      </c>
      <c r="S43" s="418">
        <f>(G43/Population_Tables!T17)*Population_Tables!H76</f>
        <v>48.250904851342611</v>
      </c>
      <c r="T43" s="418">
        <f>(H43/Population_Tables!U17)*Population_Tables!I76</f>
        <v>0</v>
      </c>
      <c r="U43" s="418">
        <f>(I43/Population_Tables!V17)*Population_Tables!J76</f>
        <v>0</v>
      </c>
      <c r="V43" s="418">
        <f>(J43/Population_Tables!W17)*Population_Tables!K76</f>
        <v>0</v>
      </c>
      <c r="W43" s="418">
        <f>(K43/Population_Tables!X17)*Population_Tables!L76</f>
        <v>0</v>
      </c>
      <c r="Y43" s="456">
        <v>2028</v>
      </c>
      <c r="Z43" s="459">
        <f>((B43/Population_Tables!O17)*Population_Tables!C17)-N43</f>
        <v>2359.2480260434572</v>
      </c>
      <c r="AA43" s="459">
        <f>((C43/Population_Tables!P17)*Population_Tables!D17)-O43</f>
        <v>0</v>
      </c>
      <c r="AB43" s="459">
        <f>((D43/Population_Tables!Q17)*Population_Tables!E17)-P43</f>
        <v>0</v>
      </c>
      <c r="AC43" s="459">
        <f>((E43/Population_Tables!R17)*Population_Tables!F17)-Q43</f>
        <v>2498.006262934171</v>
      </c>
      <c r="AD43" s="459">
        <f>((F43/Population_Tables!S17)*Population_Tables!G17)-R43</f>
        <v>920.30914139727452</v>
      </c>
      <c r="AE43" s="459">
        <f>((G43/Population_Tables!T17)*Population_Tables!H17)-S43</f>
        <v>126.49979599663608</v>
      </c>
      <c r="AF43" s="459">
        <f>(H43/Population_Tables!U17)*Population_Tables!I17</f>
        <v>997.93979164708742</v>
      </c>
      <c r="AG43" s="459">
        <f>(I43/Population_Tables!V17)*Population_Tables!J17</f>
        <v>1786.6052245815938</v>
      </c>
      <c r="AH43" s="459">
        <f>(J43/Population_Tables!W17)*Population_Tables!K17</f>
        <v>0</v>
      </c>
      <c r="AI43" s="459">
        <f>(K43/Population_Tables!X17)*Population_Tables!L17</f>
        <v>0</v>
      </c>
      <c r="AK43" s="456">
        <v>2028</v>
      </c>
      <c r="AL43" s="459">
        <f t="shared" si="6"/>
        <v>5479.2526410066994</v>
      </c>
      <c r="AM43" s="459">
        <f t="shared" si="3"/>
        <v>0</v>
      </c>
      <c r="AN43" s="459">
        <f t="shared" si="3"/>
        <v>0</v>
      </c>
      <c r="AO43" s="459">
        <f t="shared" si="3"/>
        <v>4206.3765559073117</v>
      </c>
      <c r="AP43" s="459">
        <f t="shared" si="3"/>
        <v>2283.6925585360336</v>
      </c>
      <c r="AQ43" s="459">
        <f t="shared" si="3"/>
        <v>174.75070084797869</v>
      </c>
      <c r="AR43" s="459">
        <f t="shared" si="3"/>
        <v>997.93979164708742</v>
      </c>
      <c r="AS43" s="459">
        <f t="shared" si="3"/>
        <v>1786.6052245815938</v>
      </c>
      <c r="AT43" s="459">
        <f t="shared" si="3"/>
        <v>0</v>
      </c>
      <c r="AU43" s="459">
        <f t="shared" si="3"/>
        <v>0</v>
      </c>
      <c r="AW43" s="216">
        <f>(B43/Population_Tables!O17)*Population_Tables!C17</f>
        <v>5479.2526410066994</v>
      </c>
      <c r="AX43" s="153" t="str">
        <f t="shared" si="7"/>
        <v>OK</v>
      </c>
      <c r="AY43" s="421">
        <f t="shared" si="4"/>
        <v>6664.8198152913246</v>
      </c>
      <c r="AZ43" s="153" t="str">
        <f t="shared" si="5"/>
        <v>OK</v>
      </c>
      <c r="BB43" s="216">
        <f>(C43/Population_Tables!P17)*Population_Tables!D17</f>
        <v>0</v>
      </c>
      <c r="BC43" s="216">
        <f>(D43/Population_Tables!Q17)*Population_Tables!E17</f>
        <v>0</v>
      </c>
      <c r="BD43" s="216">
        <f>(E43/Population_Tables!R17)*Population_Tables!F17</f>
        <v>4206.3765559073117</v>
      </c>
      <c r="BE43" s="216">
        <f>(F43/Population_Tables!S17)*Population_Tables!G17</f>
        <v>2283.6925585360336</v>
      </c>
      <c r="BF43" s="216">
        <f>(G43/Population_Tables!T17)*Population_Tables!H17</f>
        <v>174.75070084797869</v>
      </c>
      <c r="BG43" s="216"/>
      <c r="BN43" s="216"/>
      <c r="BO43" s="216"/>
      <c r="BP43" s="216"/>
    </row>
    <row r="44" spans="1:68" ht="15.6" x14ac:dyDescent="0.3">
      <c r="A44" s="206">
        <v>2029</v>
      </c>
      <c r="B44" s="229">
        <v>5454.6270857568661</v>
      </c>
      <c r="C44" s="229">
        <v>0</v>
      </c>
      <c r="D44" s="229">
        <v>0</v>
      </c>
      <c r="E44" s="229">
        <v>4137.1189040658091</v>
      </c>
      <c r="F44" s="229">
        <v>2281.8656839640535</v>
      </c>
      <c r="G44" s="229">
        <v>170.97907508117495</v>
      </c>
      <c r="H44" s="229">
        <v>974.04084595298957</v>
      </c>
      <c r="I44" s="229">
        <v>1763.3589915225764</v>
      </c>
      <c r="J44" s="229">
        <v>0</v>
      </c>
      <c r="K44" s="229">
        <v>0</v>
      </c>
      <c r="M44" s="206">
        <v>2029</v>
      </c>
      <c r="N44" s="419">
        <f t="shared" si="2"/>
        <v>3167.6053051732383</v>
      </c>
      <c r="O44" s="418">
        <f>(C44/Population_Tables!P18)*Population_Tables!D77</f>
        <v>0</v>
      </c>
      <c r="P44" s="418">
        <f>(D44/Population_Tables!Q18)*Population_Tables!E77</f>
        <v>0</v>
      </c>
      <c r="Q44" s="418">
        <f>((E44-H44)/Population_Tables!R18)*Population_Tables!F77</f>
        <v>1727.2297073656723</v>
      </c>
      <c r="R44" s="418">
        <f>(F44/Population_Tables!S18)*Population_Tables!G77</f>
        <v>1391.8983553907981</v>
      </c>
      <c r="S44" s="418">
        <f>(G44/Population_Tables!T18)*Population_Tables!H77</f>
        <v>48.4772424167681</v>
      </c>
      <c r="T44" s="418">
        <f>(H44/Population_Tables!U18)*Population_Tables!I77</f>
        <v>0</v>
      </c>
      <c r="U44" s="418">
        <f>(I44/Population_Tables!V18)*Population_Tables!J77</f>
        <v>0</v>
      </c>
      <c r="V44" s="418">
        <f>(J44/Population_Tables!W18)*Population_Tables!K77</f>
        <v>0</v>
      </c>
      <c r="W44" s="418">
        <f>(K44/Population_Tables!X18)*Population_Tables!L77</f>
        <v>0</v>
      </c>
      <c r="Y44" s="456">
        <v>2029</v>
      </c>
      <c r="Z44" s="459">
        <f>((B44/Population_Tables!O18)*Population_Tables!C18)-N44</f>
        <v>2393.2456244673135</v>
      </c>
      <c r="AA44" s="459">
        <f>((C44/Population_Tables!P18)*Population_Tables!D18)-O44</f>
        <v>0</v>
      </c>
      <c r="AB44" s="459">
        <f>((D44/Population_Tables!Q18)*Population_Tables!E18)-P44</f>
        <v>0</v>
      </c>
      <c r="AC44" s="459">
        <f>((E44/Population_Tables!R18)*Population_Tables!F18)-Q44</f>
        <v>2492.6173464080562</v>
      </c>
      <c r="AD44" s="459">
        <f>((F44/Population_Tables!S18)*Population_Tables!G18)-R44</f>
        <v>932.66960375112444</v>
      </c>
      <c r="AE44" s="459">
        <f>((G44/Population_Tables!T18)*Population_Tables!H18)-S44</f>
        <v>126.54601414267307</v>
      </c>
      <c r="AF44" s="459">
        <f>(H44/Population_Tables!U18)*Population_Tables!I18</f>
        <v>989.31565058113881</v>
      </c>
      <c r="AG44" s="459">
        <f>(I44/Population_Tables!V18)*Population_Tables!J18</f>
        <v>1799.7843402640556</v>
      </c>
      <c r="AH44" s="459">
        <f>(J44/Population_Tables!W18)*Population_Tables!K18</f>
        <v>0</v>
      </c>
      <c r="AI44" s="459">
        <f>(K44/Population_Tables!X18)*Population_Tables!L18</f>
        <v>0</v>
      </c>
      <c r="AK44" s="456">
        <v>2029</v>
      </c>
      <c r="AL44" s="459">
        <f t="shared" si="6"/>
        <v>5560.8509296405518</v>
      </c>
      <c r="AM44" s="459">
        <f t="shared" si="3"/>
        <v>0</v>
      </c>
      <c r="AN44" s="459">
        <f t="shared" si="3"/>
        <v>0</v>
      </c>
      <c r="AO44" s="459">
        <f t="shared" si="3"/>
        <v>4219.8470537737285</v>
      </c>
      <c r="AP44" s="459">
        <f t="shared" si="3"/>
        <v>2324.5679591419225</v>
      </c>
      <c r="AQ44" s="459">
        <f t="shared" si="3"/>
        <v>175.02325655944117</v>
      </c>
      <c r="AR44" s="459">
        <f t="shared" si="3"/>
        <v>989.31565058113881</v>
      </c>
      <c r="AS44" s="459">
        <f t="shared" si="3"/>
        <v>1799.7843402640556</v>
      </c>
      <c r="AT44" s="459">
        <f t="shared" si="3"/>
        <v>0</v>
      </c>
      <c r="AU44" s="459">
        <f t="shared" si="3"/>
        <v>0</v>
      </c>
      <c r="AW44" s="216">
        <f>(B44/Population_Tables!O18)*Population_Tables!C18</f>
        <v>5560.8509296405518</v>
      </c>
      <c r="AX44" s="153" t="str">
        <f t="shared" si="7"/>
        <v>OK</v>
      </c>
      <c r="AY44" s="421">
        <f t="shared" si="4"/>
        <v>6719.438269475093</v>
      </c>
      <c r="AZ44" s="153" t="str">
        <f t="shared" si="5"/>
        <v>OK</v>
      </c>
      <c r="BB44" s="216">
        <f>(C44/Population_Tables!P18)*Population_Tables!D18</f>
        <v>0</v>
      </c>
      <c r="BC44" s="216">
        <f>(D44/Population_Tables!Q18)*Population_Tables!E18</f>
        <v>0</v>
      </c>
      <c r="BD44" s="216">
        <f>(E44/Population_Tables!R18)*Population_Tables!F18</f>
        <v>4219.8470537737285</v>
      </c>
      <c r="BE44" s="216">
        <f>(F44/Population_Tables!S18)*Population_Tables!G18</f>
        <v>2324.5679591419225</v>
      </c>
      <c r="BF44" s="216">
        <f>(G44/Population_Tables!T18)*Population_Tables!H18</f>
        <v>175.02325655944117</v>
      </c>
      <c r="BG44" s="216"/>
      <c r="BN44" s="216"/>
      <c r="BO44" s="216"/>
      <c r="BP44" s="216"/>
    </row>
    <row r="45" spans="1:68" ht="15.6" x14ac:dyDescent="0.3">
      <c r="A45" s="206">
        <v>2030</v>
      </c>
      <c r="B45" s="229">
        <v>5519.2063213740985</v>
      </c>
      <c r="C45" s="229">
        <v>0</v>
      </c>
      <c r="D45" s="229">
        <v>0</v>
      </c>
      <c r="E45" s="229">
        <v>4137.7573356010489</v>
      </c>
      <c r="F45" s="229">
        <v>2316.0322786939278</v>
      </c>
      <c r="G45" s="229">
        <v>170.63115883138241</v>
      </c>
      <c r="H45" s="229">
        <v>963.09182523023878</v>
      </c>
      <c r="I45" s="229">
        <v>1770.7620290790928</v>
      </c>
      <c r="J45" s="229">
        <v>0</v>
      </c>
      <c r="K45" s="229">
        <v>0</v>
      </c>
      <c r="M45" s="206">
        <v>2030</v>
      </c>
      <c r="N45" s="419">
        <f t="shared" si="2"/>
        <v>3215.9834853210887</v>
      </c>
      <c r="O45" s="418">
        <f>(C45/Population_Tables!P19)*Population_Tables!D78</f>
        <v>0</v>
      </c>
      <c r="P45" s="418">
        <f>(D45/Population_Tables!Q19)*Population_Tables!E78</f>
        <v>0</v>
      </c>
      <c r="Q45" s="418">
        <f>((E45-H45)/Population_Tables!R19)*Population_Tables!F78</f>
        <v>1746.3733614590169</v>
      </c>
      <c r="R45" s="418">
        <f>(F45/Population_Tables!S19)*Population_Tables!G78</f>
        <v>1420.9032416601208</v>
      </c>
      <c r="S45" s="418">
        <f>(G45/Population_Tables!T19)*Population_Tables!H78</f>
        <v>48.706882201950812</v>
      </c>
      <c r="T45" s="418">
        <f>(H45/Population_Tables!U19)*Population_Tables!I78</f>
        <v>0</v>
      </c>
      <c r="U45" s="418">
        <f>(I45/Population_Tables!V19)*Population_Tables!J78</f>
        <v>0</v>
      </c>
      <c r="V45" s="418">
        <f>(J45/Population_Tables!W19)*Population_Tables!K78</f>
        <v>0</v>
      </c>
      <c r="W45" s="418">
        <f>(K45/Population_Tables!X19)*Population_Tables!L78</f>
        <v>0</v>
      </c>
      <c r="Y45" s="456">
        <v>2030</v>
      </c>
      <c r="Z45" s="459">
        <f>((B45/Population_Tables!O19)*Population_Tables!C19)-N45</f>
        <v>2427.3317437224759</v>
      </c>
      <c r="AA45" s="459">
        <f>((C45/Population_Tables!P19)*Population_Tables!D19)-O45</f>
        <v>0</v>
      </c>
      <c r="AB45" s="459">
        <f>((D45/Population_Tables!Q19)*Population_Tables!E19)-P45</f>
        <v>0</v>
      </c>
      <c r="AC45" s="459">
        <f>((E45/Population_Tables!R19)*Population_Tables!F19)-Q45</f>
        <v>2486.9701746001952</v>
      </c>
      <c r="AD45" s="459">
        <f>((F45/Population_Tables!S19)*Population_Tables!G19)-R45</f>
        <v>945.09795555579694</v>
      </c>
      <c r="AE45" s="459">
        <f>((G45/Population_Tables!T19)*Population_Tables!H19)-S45</f>
        <v>126.58544787387856</v>
      </c>
      <c r="AF45" s="459">
        <f>(H45/Population_Tables!U19)*Population_Tables!I19</f>
        <v>980.50577034517096</v>
      </c>
      <c r="AG45" s="459">
        <f>(I45/Population_Tables!V19)*Population_Tables!J19</f>
        <v>1812.9987492850551</v>
      </c>
      <c r="AH45" s="459">
        <f>(J45/Population_Tables!W19)*Population_Tables!K19</f>
        <v>0</v>
      </c>
      <c r="AI45" s="459">
        <f>(K45/Population_Tables!X19)*Population_Tables!L19</f>
        <v>0</v>
      </c>
      <c r="AK45" s="456">
        <v>2030</v>
      </c>
      <c r="AL45" s="459">
        <f t="shared" si="6"/>
        <v>5643.3152290435646</v>
      </c>
      <c r="AM45" s="459">
        <f t="shared" si="6"/>
        <v>0</v>
      </c>
      <c r="AN45" s="459">
        <f t="shared" si="6"/>
        <v>0</v>
      </c>
      <c r="AO45" s="459">
        <f t="shared" si="6"/>
        <v>4233.3435360592121</v>
      </c>
      <c r="AP45" s="459">
        <f t="shared" si="6"/>
        <v>2366.0011972159177</v>
      </c>
      <c r="AQ45" s="459">
        <f t="shared" si="6"/>
        <v>175.29233007582937</v>
      </c>
      <c r="AR45" s="459">
        <f t="shared" si="6"/>
        <v>980.50577034517096</v>
      </c>
      <c r="AS45" s="459">
        <f t="shared" si="6"/>
        <v>1812.9987492850551</v>
      </c>
      <c r="AT45" s="459">
        <f t="shared" si="6"/>
        <v>0</v>
      </c>
      <c r="AU45" s="459">
        <f t="shared" si="6"/>
        <v>0</v>
      </c>
      <c r="AW45" s="216">
        <f>(B45/Population_Tables!O19)*Population_Tables!C19</f>
        <v>5643.3152290435646</v>
      </c>
      <c r="AX45" s="153" t="str">
        <f t="shared" si="7"/>
        <v>OK</v>
      </c>
      <c r="AY45" s="421">
        <f t="shared" si="4"/>
        <v>6774.6370633509587</v>
      </c>
      <c r="AZ45" s="153" t="str">
        <f t="shared" si="5"/>
        <v>OK</v>
      </c>
      <c r="BB45" s="216">
        <f>(C45/Population_Tables!P19)*Population_Tables!D19</f>
        <v>0</v>
      </c>
      <c r="BC45" s="216">
        <f>(D45/Population_Tables!Q19)*Population_Tables!E19</f>
        <v>0</v>
      </c>
      <c r="BD45" s="216">
        <f>(E45/Population_Tables!R19)*Population_Tables!F19</f>
        <v>4233.3435360592121</v>
      </c>
      <c r="BE45" s="216">
        <f>(F45/Population_Tables!S19)*Population_Tables!G19</f>
        <v>2366.0011972159177</v>
      </c>
      <c r="BF45" s="216">
        <f>(G45/Population_Tables!T19)*Population_Tables!H19</f>
        <v>175.29233007582937</v>
      </c>
      <c r="BG45" s="216"/>
      <c r="BN45" s="216"/>
      <c r="BO45" s="216"/>
      <c r="BP45" s="216"/>
    </row>
    <row r="46" spans="1:68" ht="15.6" x14ac:dyDescent="0.3">
      <c r="A46" s="206">
        <v>2031</v>
      </c>
      <c r="B46" s="229">
        <v>5575.3169470519524</v>
      </c>
      <c r="C46" s="229">
        <v>0</v>
      </c>
      <c r="D46" s="229">
        <v>0</v>
      </c>
      <c r="E46" s="229">
        <v>4137.7785478856358</v>
      </c>
      <c r="F46" s="229">
        <v>2350.2743651157252</v>
      </c>
      <c r="G46" s="229">
        <v>170.25807643885869</v>
      </c>
      <c r="H46" s="229">
        <v>951.93058989244571</v>
      </c>
      <c r="I46" s="229">
        <v>1777.8711813667326</v>
      </c>
      <c r="J46" s="229">
        <v>0</v>
      </c>
      <c r="K46" s="229">
        <v>0</v>
      </c>
      <c r="M46" s="206">
        <v>2031</v>
      </c>
      <c r="N46" s="419">
        <f t="shared" si="2"/>
        <v>3265.0807011366887</v>
      </c>
      <c r="O46" s="418">
        <f>(C46/Population_Tables!P20)*Population_Tables!D79</f>
        <v>0</v>
      </c>
      <c r="P46" s="418">
        <f>(D46/Population_Tables!Q20)*Population_Tables!E79</f>
        <v>0</v>
      </c>
      <c r="Q46" s="418">
        <f>((E46-H46)/Population_Tables!R20)*Population_Tables!F79</f>
        <v>1765.7526630322029</v>
      </c>
      <c r="R46" s="418">
        <f>(F46/Population_Tables!S20)*Population_Tables!G79</f>
        <v>1450.388468550251</v>
      </c>
      <c r="S46" s="418">
        <f>(G46/Population_Tables!T20)*Population_Tables!H79</f>
        <v>48.939569554234765</v>
      </c>
      <c r="T46" s="418">
        <f>(H46/Population_Tables!U20)*Population_Tables!I79</f>
        <v>0</v>
      </c>
      <c r="U46" s="418">
        <f>(I46/Population_Tables!V20)*Population_Tables!J79</f>
        <v>0</v>
      </c>
      <c r="V46" s="418">
        <f>(J46/Population_Tables!W20)*Population_Tables!K79</f>
        <v>0</v>
      </c>
      <c r="W46" s="418">
        <f>(K46/Population_Tables!X20)*Population_Tables!L79</f>
        <v>0</v>
      </c>
      <c r="Y46" s="456">
        <v>2031</v>
      </c>
      <c r="Z46" s="459">
        <f>((B46/Population_Tables!O20)*Population_Tables!C20)-N46</f>
        <v>2453.1654524481046</v>
      </c>
      <c r="AA46" s="459">
        <f>((C46/Population_Tables!P20)*Population_Tables!D20)-O46</f>
        <v>0</v>
      </c>
      <c r="AB46" s="459">
        <f>((D46/Population_Tables!Q20)*Population_Tables!E20)-P46</f>
        <v>0</v>
      </c>
      <c r="AC46" s="459">
        <f>((E46/Population_Tables!R20)*Population_Tables!F20)-Q46</f>
        <v>2481.072144006439</v>
      </c>
      <c r="AD46" s="459">
        <f>((F46/Population_Tables!S20)*Population_Tables!G20)-R46</f>
        <v>957.59995957388651</v>
      </c>
      <c r="AE46" s="459">
        <f>((G46/Population_Tables!T20)*Population_Tables!H20)-S46</f>
        <v>126.61691316803712</v>
      </c>
      <c r="AF46" s="459">
        <f>(H46/Population_Tables!U20)*Population_Tables!I20</f>
        <v>971.54066521411619</v>
      </c>
      <c r="AG46" s="459">
        <f>(I46/Population_Tables!V20)*Population_Tables!J20</f>
        <v>1826.2276941241107</v>
      </c>
      <c r="AH46" s="459">
        <f>(J46/Population_Tables!W20)*Population_Tables!K20</f>
        <v>0</v>
      </c>
      <c r="AI46" s="459">
        <f>(K46/Population_Tables!X20)*Population_Tables!L20</f>
        <v>0</v>
      </c>
      <c r="AK46" s="456">
        <v>2031</v>
      </c>
      <c r="AL46" s="459">
        <f t="shared" si="6"/>
        <v>5718.2461535847933</v>
      </c>
      <c r="AM46" s="459">
        <f t="shared" si="6"/>
        <v>0</v>
      </c>
      <c r="AN46" s="459">
        <f t="shared" si="6"/>
        <v>0</v>
      </c>
      <c r="AO46" s="459">
        <f t="shared" si="6"/>
        <v>4246.8248070386417</v>
      </c>
      <c r="AP46" s="459">
        <f t="shared" si="6"/>
        <v>2407.9884281241375</v>
      </c>
      <c r="AQ46" s="459">
        <f t="shared" si="6"/>
        <v>175.55648272227188</v>
      </c>
      <c r="AR46" s="459">
        <f t="shared" si="6"/>
        <v>971.54066521411619</v>
      </c>
      <c r="AS46" s="459">
        <f t="shared" si="6"/>
        <v>1826.2276941241107</v>
      </c>
      <c r="AT46" s="459">
        <f t="shared" si="6"/>
        <v>0</v>
      </c>
      <c r="AU46" s="459">
        <f t="shared" si="6"/>
        <v>0</v>
      </c>
      <c r="AW46" s="216">
        <f>(B46/Population_Tables!O20)*Population_Tables!C20</f>
        <v>5718.2461535847933</v>
      </c>
      <c r="AX46" s="153" t="str">
        <f t="shared" si="7"/>
        <v>OK</v>
      </c>
      <c r="AY46" s="421">
        <f t="shared" si="4"/>
        <v>6830.3697178850507</v>
      </c>
      <c r="AZ46" s="153" t="str">
        <f t="shared" si="5"/>
        <v>OK</v>
      </c>
      <c r="BB46" s="216">
        <f>(C46/Population_Tables!P20)*Population_Tables!D20</f>
        <v>0</v>
      </c>
      <c r="BC46" s="216">
        <f>(D46/Population_Tables!Q20)*Population_Tables!E20</f>
        <v>0</v>
      </c>
      <c r="BD46" s="216">
        <f>(E46/Population_Tables!R20)*Population_Tables!F20</f>
        <v>4246.8248070386417</v>
      </c>
      <c r="BE46" s="216">
        <f>(F46/Population_Tables!S20)*Population_Tables!G20</f>
        <v>2407.9884281241375</v>
      </c>
      <c r="BF46" s="216">
        <f>(G46/Population_Tables!T20)*Population_Tables!H20</f>
        <v>175.55648272227188</v>
      </c>
      <c r="BG46" s="216"/>
      <c r="BN46" s="216"/>
      <c r="BO46" s="216"/>
      <c r="BP46" s="216"/>
    </row>
    <row r="47" spans="1:68" ht="15.6" x14ac:dyDescent="0.3">
      <c r="A47" s="206">
        <v>2032</v>
      </c>
      <c r="B47" s="229">
        <v>5631.1788205521534</v>
      </c>
      <c r="C47" s="229">
        <v>0</v>
      </c>
      <c r="D47" s="229">
        <v>0</v>
      </c>
      <c r="E47" s="229">
        <v>4137.1823871177157</v>
      </c>
      <c r="F47" s="229">
        <v>2384.5879175631321</v>
      </c>
      <c r="G47" s="229">
        <v>169.86000178121068</v>
      </c>
      <c r="H47" s="229">
        <v>940.59620574784856</v>
      </c>
      <c r="I47" s="229">
        <v>1784.6855870709273</v>
      </c>
      <c r="J47" s="229">
        <v>0</v>
      </c>
      <c r="K47" s="229">
        <v>0</v>
      </c>
      <c r="M47" s="206">
        <v>2032</v>
      </c>
      <c r="N47" s="419">
        <f t="shared" si="2"/>
        <v>3314.7606634424346</v>
      </c>
      <c r="O47" s="418">
        <f>(C47/Population_Tables!P21)*Population_Tables!D80</f>
        <v>0</v>
      </c>
      <c r="P47" s="418">
        <f>(D47/Population_Tables!Q21)*Population_Tables!E80</f>
        <v>0</v>
      </c>
      <c r="Q47" s="418">
        <f>((E47-H47)/Population_Tables!R21)*Population_Tables!F80</f>
        <v>1785.2717318497564</v>
      </c>
      <c r="R47" s="418">
        <f>(F47/Population_Tables!S21)*Population_Tables!G80</f>
        <v>1480.3149681649973</v>
      </c>
      <c r="S47" s="418">
        <f>(G47/Population_Tables!T21)*Population_Tables!H80</f>
        <v>49.173963427681073</v>
      </c>
      <c r="T47" s="418">
        <f>(H47/Population_Tables!U21)*Population_Tables!I80</f>
        <v>0</v>
      </c>
      <c r="U47" s="418">
        <f>(I47/Population_Tables!V21)*Population_Tables!J80</f>
        <v>0</v>
      </c>
      <c r="V47" s="418">
        <f>(J47/Population_Tables!W21)*Population_Tables!K80</f>
        <v>0</v>
      </c>
      <c r="W47" s="418">
        <f>(K47/Population_Tables!X21)*Population_Tables!L80</f>
        <v>0</v>
      </c>
      <c r="Y47" s="456">
        <v>2032</v>
      </c>
      <c r="Z47" s="459">
        <f>((B47/Population_Tables!O21)*Population_Tables!C21)-N47</f>
        <v>2479.1550202467697</v>
      </c>
      <c r="AA47" s="459">
        <f>((C47/Population_Tables!P21)*Population_Tables!D21)-O47</f>
        <v>0</v>
      </c>
      <c r="AB47" s="459">
        <f>((D47/Population_Tables!Q21)*Population_Tables!E21)-P47</f>
        <v>0</v>
      </c>
      <c r="AC47" s="459">
        <f>((E47/Population_Tables!R21)*Population_Tables!F21)-Q47</f>
        <v>2474.9006948765254</v>
      </c>
      <c r="AD47" s="459">
        <f>((F47/Population_Tables!S21)*Population_Tables!G21)-R47</f>
        <v>970.1767278337054</v>
      </c>
      <c r="AE47" s="459">
        <f>((G47/Population_Tables!T21)*Population_Tables!H21)-S47</f>
        <v>126.63952243450224</v>
      </c>
      <c r="AF47" s="459">
        <f>(H47/Population_Tables!U21)*Population_Tables!I21</f>
        <v>962.43920179995473</v>
      </c>
      <c r="AG47" s="459">
        <f>(I47/Population_Tables!V21)*Population_Tables!J21</f>
        <v>1839.4058335907885</v>
      </c>
      <c r="AH47" s="459">
        <f>(J47/Population_Tables!W21)*Population_Tables!K21</f>
        <v>0</v>
      </c>
      <c r="AI47" s="459">
        <f>(K47/Population_Tables!X21)*Population_Tables!L21</f>
        <v>0</v>
      </c>
      <c r="AK47" s="456">
        <v>2032</v>
      </c>
      <c r="AL47" s="459">
        <f t="shared" si="6"/>
        <v>5793.9156836892043</v>
      </c>
      <c r="AM47" s="459">
        <f t="shared" si="6"/>
        <v>0</v>
      </c>
      <c r="AN47" s="459">
        <f t="shared" si="6"/>
        <v>0</v>
      </c>
      <c r="AO47" s="459">
        <f t="shared" si="6"/>
        <v>4260.1724267262816</v>
      </c>
      <c r="AP47" s="459">
        <f t="shared" si="6"/>
        <v>2450.4916959987027</v>
      </c>
      <c r="AQ47" s="459">
        <f t="shared" si="6"/>
        <v>175.81348586218331</v>
      </c>
      <c r="AR47" s="459">
        <f t="shared" si="6"/>
        <v>962.43920179995473</v>
      </c>
      <c r="AS47" s="459">
        <f t="shared" si="6"/>
        <v>1839.4058335907885</v>
      </c>
      <c r="AT47" s="459">
        <f t="shared" si="6"/>
        <v>0</v>
      </c>
      <c r="AU47" s="459">
        <f t="shared" si="6"/>
        <v>0</v>
      </c>
      <c r="AW47" s="216">
        <f>(B47/Population_Tables!O21)*Population_Tables!C21</f>
        <v>5793.9156836892043</v>
      </c>
      <c r="AX47" s="153" t="str">
        <f t="shared" si="7"/>
        <v>OK</v>
      </c>
      <c r="AY47" s="421">
        <f t="shared" si="4"/>
        <v>6886.4776085871672</v>
      </c>
      <c r="AZ47" s="153" t="str">
        <f t="shared" si="5"/>
        <v>OK</v>
      </c>
      <c r="BB47" s="216">
        <f>(C47/Population_Tables!P21)*Population_Tables!D21</f>
        <v>0</v>
      </c>
      <c r="BC47" s="216">
        <f>(D47/Population_Tables!Q21)*Population_Tables!E21</f>
        <v>0</v>
      </c>
      <c r="BD47" s="216">
        <f>(E47/Population_Tables!R21)*Population_Tables!F21</f>
        <v>4260.1724267262816</v>
      </c>
      <c r="BE47" s="216">
        <f>(F47/Population_Tables!S21)*Population_Tables!G21</f>
        <v>2450.4916959987027</v>
      </c>
      <c r="BF47" s="216">
        <f>(G47/Population_Tables!T21)*Population_Tables!H21</f>
        <v>175.81348586218331</v>
      </c>
      <c r="BG47" s="216"/>
      <c r="BN47" s="216"/>
      <c r="BO47" s="216"/>
      <c r="BP47" s="216"/>
    </row>
    <row r="48" spans="1:68" ht="15.6" x14ac:dyDescent="0.3">
      <c r="A48" s="206">
        <v>2033</v>
      </c>
      <c r="B48" s="229">
        <v>5686.7821323566286</v>
      </c>
      <c r="C48" s="229">
        <v>0</v>
      </c>
      <c r="D48" s="229">
        <v>0</v>
      </c>
      <c r="E48" s="229">
        <v>4135.9686994954336</v>
      </c>
      <c r="F48" s="229">
        <v>2418.9689103698356</v>
      </c>
      <c r="G48" s="229">
        <v>169.4371087360453</v>
      </c>
      <c r="H48" s="229">
        <v>929.12773860468531</v>
      </c>
      <c r="I48" s="229">
        <v>1791.2043848771086</v>
      </c>
      <c r="J48" s="229">
        <v>0</v>
      </c>
      <c r="K48" s="229">
        <v>0</v>
      </c>
      <c r="M48" s="206">
        <v>2033</v>
      </c>
      <c r="N48" s="419">
        <f t="shared" si="2"/>
        <v>3364.7732033790271</v>
      </c>
      <c r="O48" s="418">
        <f>(C48/Population_Tables!P22)*Population_Tables!D81</f>
        <v>0</v>
      </c>
      <c r="P48" s="418">
        <f>(D48/Population_Tables!Q22)*Population_Tables!E81</f>
        <v>0</v>
      </c>
      <c r="Q48" s="418">
        <f>((E48-H48)/Population_Tables!R22)*Population_Tables!F81</f>
        <v>1804.7810923753027</v>
      </c>
      <c r="R48" s="418">
        <f>(F48/Population_Tables!S22)*Population_Tables!G81</f>
        <v>1510.5860713014674</v>
      </c>
      <c r="S48" s="418">
        <f>(G48/Population_Tables!T22)*Population_Tables!H81</f>
        <v>49.406039702256692</v>
      </c>
      <c r="T48" s="418">
        <f>(H48/Population_Tables!U22)*Population_Tables!I81</f>
        <v>0</v>
      </c>
      <c r="U48" s="418">
        <f>(I48/Population_Tables!V22)*Population_Tables!J81</f>
        <v>0</v>
      </c>
      <c r="V48" s="418">
        <f>(J48/Population_Tables!W22)*Population_Tables!K81</f>
        <v>0</v>
      </c>
      <c r="W48" s="418">
        <f>(K48/Population_Tables!X22)*Population_Tables!L81</f>
        <v>0</v>
      </c>
      <c r="Y48" s="456">
        <v>2033</v>
      </c>
      <c r="Z48" s="459">
        <f>((B48/Population_Tables!O22)*Population_Tables!C22)-N48</f>
        <v>2505.2921718891621</v>
      </c>
      <c r="AA48" s="459">
        <f>((C48/Population_Tables!P22)*Population_Tables!D22)-O48</f>
        <v>0</v>
      </c>
      <c r="AB48" s="459">
        <f>((D48/Population_Tables!Q22)*Population_Tables!E22)-P48</f>
        <v>0</v>
      </c>
      <c r="AC48" s="459">
        <f>((E48/Population_Tables!R22)*Population_Tables!F22)-Q48</f>
        <v>2468.4029025661371</v>
      </c>
      <c r="AD48" s="459">
        <f>((F48/Population_Tables!S22)*Population_Tables!G22)-R48</f>
        <v>982.80865365549448</v>
      </c>
      <c r="AE48" s="459">
        <f>((G48/Population_Tables!T22)*Population_Tables!H22)-S48</f>
        <v>126.64905253753881</v>
      </c>
      <c r="AF48" s="459">
        <f>(H48/Population_Tables!U22)*Population_Tables!I22</f>
        <v>953.20681699704357</v>
      </c>
      <c r="AG48" s="459">
        <f>(I48/Population_Tables!V22)*Population_Tables!J22</f>
        <v>1852.4257688632272</v>
      </c>
      <c r="AH48" s="459">
        <f>(J48/Population_Tables!W22)*Population_Tables!K22</f>
        <v>0</v>
      </c>
      <c r="AI48" s="459">
        <f>(K48/Population_Tables!X22)*Population_Tables!L22</f>
        <v>0</v>
      </c>
      <c r="AK48" s="456">
        <v>2033</v>
      </c>
      <c r="AL48" s="459">
        <f t="shared" si="6"/>
        <v>5870.0653752681892</v>
      </c>
      <c r="AM48" s="459">
        <f t="shared" si="6"/>
        <v>0</v>
      </c>
      <c r="AN48" s="459">
        <f t="shared" si="6"/>
        <v>0</v>
      </c>
      <c r="AO48" s="459">
        <f t="shared" si="6"/>
        <v>4273.1839949414398</v>
      </c>
      <c r="AP48" s="459">
        <f t="shared" si="6"/>
        <v>2493.3947249569619</v>
      </c>
      <c r="AQ48" s="459">
        <f t="shared" si="6"/>
        <v>176.0550922397955</v>
      </c>
      <c r="AR48" s="459">
        <f t="shared" si="6"/>
        <v>953.20681699704357</v>
      </c>
      <c r="AS48" s="459">
        <f t="shared" si="6"/>
        <v>1852.4257688632272</v>
      </c>
      <c r="AT48" s="459">
        <f t="shared" si="6"/>
        <v>0</v>
      </c>
      <c r="AU48" s="459">
        <f t="shared" si="6"/>
        <v>0</v>
      </c>
      <c r="AW48" s="216">
        <f>(B48/Population_Tables!O22)*Population_Tables!C22</f>
        <v>5870.0653752681892</v>
      </c>
      <c r="AX48" s="153" t="str">
        <f t="shared" si="7"/>
        <v>OK</v>
      </c>
      <c r="AY48" s="421">
        <f t="shared" si="4"/>
        <v>6942.6338121381968</v>
      </c>
      <c r="AZ48" s="153" t="str">
        <f t="shared" si="5"/>
        <v>OK</v>
      </c>
      <c r="BB48" s="216">
        <f>(C48/Population_Tables!P22)*Population_Tables!D22</f>
        <v>0</v>
      </c>
      <c r="BC48" s="216">
        <f>(D48/Population_Tables!Q22)*Population_Tables!E22</f>
        <v>0</v>
      </c>
      <c r="BD48" s="216">
        <f>(E48/Population_Tables!R22)*Population_Tables!F22</f>
        <v>4273.1839949414398</v>
      </c>
      <c r="BE48" s="216">
        <f>(F48/Population_Tables!S22)*Population_Tables!G22</f>
        <v>2493.3947249569619</v>
      </c>
      <c r="BF48" s="216">
        <f>(G48/Population_Tables!T22)*Population_Tables!H22</f>
        <v>176.0550922397955</v>
      </c>
      <c r="BG48" s="216"/>
      <c r="BN48" s="216"/>
      <c r="BO48" s="216"/>
      <c r="BP48" s="216"/>
    </row>
    <row r="49" spans="1:68" ht="15.6" x14ac:dyDescent="0.3">
      <c r="A49" s="206">
        <v>2034</v>
      </c>
      <c r="B49" s="229">
        <v>5742.1177052205576</v>
      </c>
      <c r="C49" s="229">
        <v>0</v>
      </c>
      <c r="D49" s="229">
        <v>0</v>
      </c>
      <c r="E49" s="229">
        <v>4134.1373312169353</v>
      </c>
      <c r="F49" s="229">
        <v>2453.413317869522</v>
      </c>
      <c r="G49" s="229">
        <v>168.98957118096945</v>
      </c>
      <c r="H49" s="229">
        <v>917.56425427119382</v>
      </c>
      <c r="I49" s="229">
        <v>1797.4267134707079</v>
      </c>
      <c r="J49" s="229">
        <v>0</v>
      </c>
      <c r="K49" s="229">
        <v>0</v>
      </c>
      <c r="M49" s="206">
        <v>2034</v>
      </c>
      <c r="N49" s="419">
        <f t="shared" si="2"/>
        <v>3414.8124247532737</v>
      </c>
      <c r="O49" s="418">
        <f>(C49/Population_Tables!P23)*Population_Tables!D82</f>
        <v>0</v>
      </c>
      <c r="P49" s="418">
        <f>(D49/Population_Tables!Q23)*Population_Tables!E82</f>
        <v>0</v>
      </c>
      <c r="Q49" s="418">
        <f>((E49-H49)/Population_Tables!R23)*Population_Tables!F82</f>
        <v>1824.100165640491</v>
      </c>
      <c r="R49" s="418">
        <f>(F49/Population_Tables!S23)*Population_Tables!G82</f>
        <v>1541.0815261648806</v>
      </c>
      <c r="S49" s="418">
        <f>(G49/Population_Tables!T23)*Population_Tables!H82</f>
        <v>49.630732947901897</v>
      </c>
      <c r="T49" s="418">
        <f>(H49/Population_Tables!U23)*Population_Tables!I82</f>
        <v>0</v>
      </c>
      <c r="U49" s="418">
        <f>(I49/Population_Tables!V23)*Population_Tables!J82</f>
        <v>0</v>
      </c>
      <c r="V49" s="418">
        <f>(J49/Population_Tables!W23)*Population_Tables!K82</f>
        <v>0</v>
      </c>
      <c r="W49" s="418">
        <f>(K49/Population_Tables!X23)*Population_Tables!L82</f>
        <v>0</v>
      </c>
      <c r="Y49" s="456">
        <v>2034</v>
      </c>
      <c r="Z49" s="459">
        <f>((B49/Population_Tables!O23)*Population_Tables!C23)-N49</f>
        <v>2531.5530449530638</v>
      </c>
      <c r="AA49" s="459">
        <f>((C49/Population_Tables!P23)*Population_Tables!D23)-O49</f>
        <v>0</v>
      </c>
      <c r="AB49" s="459">
        <f>((D49/Population_Tables!Q23)*Population_Tables!E23)-P49</f>
        <v>0</v>
      </c>
      <c r="AC49" s="459">
        <f>((E49/Population_Tables!R23)*Population_Tables!F23)-Q49</f>
        <v>2461.5095110772049</v>
      </c>
      <c r="AD49" s="459">
        <f>((F49/Population_Tables!S23)*Population_Tables!G23)-R49</f>
        <v>995.46952429623957</v>
      </c>
      <c r="AE49" s="459">
        <f>((G49/Population_Tables!T23)*Population_Tables!H23)-S49</f>
        <v>126.64062487098067</v>
      </c>
      <c r="AF49" s="459">
        <f>(H49/Population_Tables!U23)*Population_Tables!I23</f>
        <v>943.84229457949914</v>
      </c>
      <c r="AG49" s="459">
        <f>(I49/Population_Tables!V23)*Population_Tables!J23</f>
        <v>1865.154424916773</v>
      </c>
      <c r="AH49" s="459">
        <f>(J49/Population_Tables!W23)*Population_Tables!K23</f>
        <v>0</v>
      </c>
      <c r="AI49" s="459">
        <f>(K49/Population_Tables!X23)*Population_Tables!L23</f>
        <v>0</v>
      </c>
      <c r="AK49" s="456">
        <v>2034</v>
      </c>
      <c r="AL49" s="459">
        <f t="shared" si="6"/>
        <v>5946.3654697063375</v>
      </c>
      <c r="AM49" s="459">
        <f t="shared" si="6"/>
        <v>0</v>
      </c>
      <c r="AN49" s="459">
        <f t="shared" si="6"/>
        <v>0</v>
      </c>
      <c r="AO49" s="459">
        <f t="shared" si="6"/>
        <v>4285.6096767176959</v>
      </c>
      <c r="AP49" s="459">
        <f t="shared" si="6"/>
        <v>2536.5510504611202</v>
      </c>
      <c r="AQ49" s="459">
        <f t="shared" si="6"/>
        <v>176.27135781888256</v>
      </c>
      <c r="AR49" s="459">
        <f t="shared" si="6"/>
        <v>943.84229457949914</v>
      </c>
      <c r="AS49" s="459">
        <f t="shared" si="6"/>
        <v>1865.154424916773</v>
      </c>
      <c r="AT49" s="459">
        <f t="shared" si="6"/>
        <v>0</v>
      </c>
      <c r="AU49" s="459">
        <f t="shared" si="6"/>
        <v>0</v>
      </c>
      <c r="AW49" s="216">
        <f>(B49/Population_Tables!O23)*Population_Tables!C23</f>
        <v>5946.3654697063375</v>
      </c>
      <c r="AX49" s="153" t="str">
        <f t="shared" si="7"/>
        <v>OK</v>
      </c>
      <c r="AY49" s="421">
        <f t="shared" si="4"/>
        <v>6998.4320849976984</v>
      </c>
      <c r="AZ49" s="153" t="str">
        <f t="shared" si="5"/>
        <v>OK</v>
      </c>
      <c r="BB49" s="216">
        <f>(C49/Population_Tables!P23)*Population_Tables!D23</f>
        <v>0</v>
      </c>
      <c r="BC49" s="216">
        <f>(D49/Population_Tables!Q23)*Population_Tables!E23</f>
        <v>0</v>
      </c>
      <c r="BD49" s="216">
        <f>(E49/Population_Tables!R23)*Population_Tables!F23</f>
        <v>4285.6096767176959</v>
      </c>
      <c r="BE49" s="216">
        <f>(F49/Population_Tables!S23)*Population_Tables!G23</f>
        <v>2536.5510504611202</v>
      </c>
      <c r="BF49" s="216">
        <f>(G49/Population_Tables!T23)*Population_Tables!H23</f>
        <v>176.27135781888256</v>
      </c>
      <c r="BG49" s="216"/>
      <c r="BN49" s="216"/>
      <c r="BO49" s="216"/>
      <c r="BP49" s="216"/>
    </row>
    <row r="50" spans="1:68" ht="15.6" x14ac:dyDescent="0.3">
      <c r="A50" s="206">
        <v>2035</v>
      </c>
      <c r="B50" s="229">
        <v>5797.1723864159267</v>
      </c>
      <c r="C50" s="229">
        <v>0</v>
      </c>
      <c r="D50" s="229">
        <v>0</v>
      </c>
      <c r="E50" s="229">
        <v>4131.6881284803658</v>
      </c>
      <c r="F50" s="229">
        <v>2487.9171143958783</v>
      </c>
      <c r="G50" s="229">
        <v>168.5175629935901</v>
      </c>
      <c r="H50" s="229">
        <v>905.9448185556123</v>
      </c>
      <c r="I50" s="229">
        <v>1803.3517115371567</v>
      </c>
      <c r="J50" s="229">
        <v>0</v>
      </c>
      <c r="K50" s="229">
        <v>0</v>
      </c>
      <c r="M50" s="206">
        <v>2035</v>
      </c>
      <c r="N50" s="419">
        <f t="shared" si="2"/>
        <v>3464.6496991727345</v>
      </c>
      <c r="O50" s="418">
        <f>(C50/Population_Tables!P24)*Population_Tables!D83</f>
        <v>0</v>
      </c>
      <c r="P50" s="418">
        <f>(D50/Population_Tables!Q24)*Population_Tables!E83</f>
        <v>0</v>
      </c>
      <c r="Q50" s="418">
        <f>((E50-H50)/Population_Tables!R24)*Population_Tables!F83</f>
        <v>1843.0899453136531</v>
      </c>
      <c r="R50" s="418">
        <f>(F50/Population_Tables!S24)*Population_Tables!G83</f>
        <v>1571.7153421160506</v>
      </c>
      <c r="S50" s="418">
        <f>(G50/Population_Tables!T24)*Population_Tables!H83</f>
        <v>49.844411743031003</v>
      </c>
      <c r="T50" s="418">
        <f>(H50/Population_Tables!U24)*Population_Tables!I83</f>
        <v>0</v>
      </c>
      <c r="U50" s="418">
        <f>(I50/Population_Tables!V24)*Population_Tables!J83</f>
        <v>0</v>
      </c>
      <c r="V50" s="418">
        <f>(J50/Population_Tables!W24)*Population_Tables!K83</f>
        <v>0</v>
      </c>
      <c r="W50" s="418">
        <f>(K50/Population_Tables!X24)*Population_Tables!L83</f>
        <v>0</v>
      </c>
      <c r="Y50" s="456">
        <v>2035</v>
      </c>
      <c r="Z50" s="459">
        <f>((B50/Population_Tables!O24)*Population_Tables!C24)-N50</f>
        <v>2557.9189095120937</v>
      </c>
      <c r="AA50" s="459">
        <f>((C50/Population_Tables!P24)*Population_Tables!D24)-O50</f>
        <v>0</v>
      </c>
      <c r="AB50" s="459">
        <f>((D50/Population_Tables!Q24)*Population_Tables!E24)-P50</f>
        <v>0</v>
      </c>
      <c r="AC50" s="459">
        <f>((E50/Population_Tables!R24)*Population_Tables!F24)-Q50</f>
        <v>2454.1806507375072</v>
      </c>
      <c r="AD50" s="459">
        <f>((F50/Population_Tables!S24)*Population_Tables!G24)-R50</f>
        <v>1008.1431506742656</v>
      </c>
      <c r="AE50" s="459">
        <f>((G50/Population_Tables!T24)*Population_Tables!H24)-S50</f>
        <v>126.61082814447579</v>
      </c>
      <c r="AF50" s="459">
        <f>(H50/Population_Tables!U24)*Population_Tables!I24</f>
        <v>934.35641786852216</v>
      </c>
      <c r="AG50" s="459">
        <f>(I50/Population_Tables!V24)*Population_Tables!J24</f>
        <v>1877.4966640412176</v>
      </c>
      <c r="AH50" s="459">
        <f>(J50/Population_Tables!W24)*Population_Tables!K24</f>
        <v>0</v>
      </c>
      <c r="AI50" s="459">
        <f>(K50/Population_Tables!X24)*Population_Tables!L24</f>
        <v>0</v>
      </c>
      <c r="AK50" s="456">
        <v>2035</v>
      </c>
      <c r="AL50" s="459">
        <f t="shared" si="6"/>
        <v>6022.5686086848282</v>
      </c>
      <c r="AM50" s="459">
        <f t="shared" si="6"/>
        <v>0</v>
      </c>
      <c r="AN50" s="459">
        <f t="shared" si="6"/>
        <v>0</v>
      </c>
      <c r="AO50" s="459">
        <f t="shared" si="6"/>
        <v>4297.2705960511603</v>
      </c>
      <c r="AP50" s="459">
        <f t="shared" si="6"/>
        <v>2579.8584927903162</v>
      </c>
      <c r="AQ50" s="459">
        <f t="shared" si="6"/>
        <v>176.45523988750679</v>
      </c>
      <c r="AR50" s="459">
        <f t="shared" si="6"/>
        <v>934.35641786852216</v>
      </c>
      <c r="AS50" s="459">
        <f t="shared" si="6"/>
        <v>1877.4966640412176</v>
      </c>
      <c r="AT50" s="459">
        <f t="shared" si="6"/>
        <v>0</v>
      </c>
      <c r="AU50" s="459">
        <f t="shared" si="6"/>
        <v>0</v>
      </c>
      <c r="AW50" s="216">
        <f>(B50/Population_Tables!O24)*Population_Tables!C24</f>
        <v>6022.5686086848282</v>
      </c>
      <c r="AX50" s="153" t="str">
        <f t="shared" si="7"/>
        <v>OK</v>
      </c>
      <c r="AY50" s="421">
        <f t="shared" si="4"/>
        <v>7053.5843287289836</v>
      </c>
      <c r="AZ50" s="153" t="str">
        <f t="shared" si="5"/>
        <v>OK</v>
      </c>
      <c r="BB50" s="216">
        <f>(C50/Population_Tables!P24)*Population_Tables!D24</f>
        <v>0</v>
      </c>
      <c r="BC50" s="216">
        <f>(D50/Population_Tables!Q24)*Population_Tables!E24</f>
        <v>0</v>
      </c>
      <c r="BD50" s="216">
        <f>(E50/Population_Tables!R24)*Population_Tables!F24</f>
        <v>4297.2705960511603</v>
      </c>
      <c r="BE50" s="216">
        <f>(F50/Population_Tables!S24)*Population_Tables!G24</f>
        <v>2579.8584927903162</v>
      </c>
      <c r="BF50" s="216">
        <f>(G50/Population_Tables!T24)*Population_Tables!H24</f>
        <v>176.45523988750679</v>
      </c>
      <c r="BG50" s="216"/>
      <c r="BN50" s="216"/>
      <c r="BO50" s="216"/>
      <c r="BP50" s="216"/>
    </row>
    <row r="51" spans="1:68" ht="15.6" x14ac:dyDescent="0.3">
      <c r="A51" s="206">
        <v>2036</v>
      </c>
      <c r="B51" s="229">
        <v>5851.9287919537901</v>
      </c>
      <c r="C51" s="229">
        <v>0</v>
      </c>
      <c r="D51" s="229">
        <v>0</v>
      </c>
      <c r="E51" s="229">
        <v>4128.6209374838709</v>
      </c>
      <c r="F51" s="229">
        <v>2522.4762742825906</v>
      </c>
      <c r="G51" s="229">
        <v>168.02125805151414</v>
      </c>
      <c r="H51" s="229">
        <v>894.30849726617885</v>
      </c>
      <c r="I51" s="229">
        <v>1808.9785177618865</v>
      </c>
      <c r="J51" s="229">
        <v>0</v>
      </c>
      <c r="K51" s="229">
        <v>0</v>
      </c>
      <c r="M51" s="206">
        <v>2036</v>
      </c>
      <c r="N51" s="419">
        <f t="shared" si="2"/>
        <v>3514.1750226221207</v>
      </c>
      <c r="O51" s="418">
        <f>(C51/Population_Tables!P25)*Population_Tables!D84</f>
        <v>0</v>
      </c>
      <c r="P51" s="418">
        <f>(D51/Population_Tables!Q25)*Population_Tables!E84</f>
        <v>0</v>
      </c>
      <c r="Q51" s="418">
        <f>((E51-H51)/Population_Tables!R25)*Population_Tables!F84</f>
        <v>1861.6759518909848</v>
      </c>
      <c r="R51" s="418">
        <f>(F51/Population_Tables!S25)*Population_Tables!G84</f>
        <v>1602.4534611995161</v>
      </c>
      <c r="S51" s="418">
        <f>(G51/Population_Tables!T25)*Population_Tables!H84</f>
        <v>50.045609531620109</v>
      </c>
      <c r="T51" s="418">
        <f>(H51/Population_Tables!U25)*Population_Tables!I84</f>
        <v>0</v>
      </c>
      <c r="U51" s="418">
        <f>(I51/Population_Tables!V25)*Population_Tables!J84</f>
        <v>0</v>
      </c>
      <c r="V51" s="418">
        <f>(J51/Population_Tables!W25)*Population_Tables!K84</f>
        <v>0</v>
      </c>
      <c r="W51" s="418">
        <f>(K51/Population_Tables!X25)*Population_Tables!L84</f>
        <v>0</v>
      </c>
      <c r="Y51" s="456">
        <v>2036</v>
      </c>
      <c r="Z51" s="459">
        <f>((B51/Population_Tables!O25)*Population_Tables!C25)-N51</f>
        <v>2584.3814584189799</v>
      </c>
      <c r="AA51" s="459">
        <f>((C51/Population_Tables!P25)*Population_Tables!D25)-O51</f>
        <v>0</v>
      </c>
      <c r="AB51" s="459">
        <f>((D51/Population_Tables!Q25)*Population_Tables!E25)-P51</f>
        <v>0</v>
      </c>
      <c r="AC51" s="459">
        <f>((E51/Population_Tables!R25)*Population_Tables!F25)-Q51</f>
        <v>2446.4160177231242</v>
      </c>
      <c r="AD51" s="459">
        <f>((F51/Population_Tables!S25)*Population_Tables!G25)-R51</f>
        <v>1020.8262263829708</v>
      </c>
      <c r="AE51" s="459">
        <f>((G51/Population_Tables!T25)*Population_Tables!H25)-S51</f>
        <v>126.55791123053828</v>
      </c>
      <c r="AF51" s="459">
        <f>(H51/Population_Tables!U25)*Population_Tables!I25</f>
        <v>924.77661203807361</v>
      </c>
      <c r="AG51" s="459">
        <f>(I51/Population_Tables!V25)*Population_Tables!J25</f>
        <v>1889.417643876254</v>
      </c>
      <c r="AH51" s="459">
        <f>(J51/Population_Tables!W25)*Population_Tables!K25</f>
        <v>0</v>
      </c>
      <c r="AI51" s="459">
        <f>(K51/Population_Tables!X25)*Population_Tables!L25</f>
        <v>0</v>
      </c>
      <c r="AK51" s="456">
        <v>2036</v>
      </c>
      <c r="AL51" s="459">
        <f t="shared" si="6"/>
        <v>6098.5564810411006</v>
      </c>
      <c r="AM51" s="459">
        <f t="shared" si="6"/>
        <v>0</v>
      </c>
      <c r="AN51" s="459">
        <f t="shared" si="6"/>
        <v>0</v>
      </c>
      <c r="AO51" s="459">
        <f t="shared" si="6"/>
        <v>4308.0919696141091</v>
      </c>
      <c r="AP51" s="459">
        <f t="shared" si="6"/>
        <v>2623.279687582487</v>
      </c>
      <c r="AQ51" s="459">
        <f t="shared" si="6"/>
        <v>176.60352076215838</v>
      </c>
      <c r="AR51" s="459">
        <f t="shared" si="6"/>
        <v>924.77661203807361</v>
      </c>
      <c r="AS51" s="459">
        <f t="shared" si="6"/>
        <v>1889.417643876254</v>
      </c>
      <c r="AT51" s="459">
        <f t="shared" si="6"/>
        <v>0</v>
      </c>
      <c r="AU51" s="459">
        <f t="shared" si="6"/>
        <v>0</v>
      </c>
      <c r="AW51" s="216">
        <f>(B51/Population_Tables!O25)*Population_Tables!C25</f>
        <v>6098.5564810411006</v>
      </c>
      <c r="AX51" s="153" t="str">
        <f t="shared" si="7"/>
        <v>OK</v>
      </c>
      <c r="AY51" s="421">
        <f t="shared" si="4"/>
        <v>7107.9751779587541</v>
      </c>
      <c r="AZ51" s="153" t="str">
        <f t="shared" si="5"/>
        <v>OK</v>
      </c>
      <c r="BB51" s="216">
        <f>(C51/Population_Tables!P25)*Population_Tables!D25</f>
        <v>0</v>
      </c>
      <c r="BC51" s="216">
        <f>(D51/Population_Tables!Q25)*Population_Tables!E25</f>
        <v>0</v>
      </c>
      <c r="BD51" s="216">
        <f>(E51/Population_Tables!R25)*Population_Tables!F25</f>
        <v>4308.0919696141091</v>
      </c>
      <c r="BE51" s="216">
        <f>(F51/Population_Tables!S25)*Population_Tables!G25</f>
        <v>2623.279687582487</v>
      </c>
      <c r="BF51" s="216">
        <f>(G51/Population_Tables!T25)*Population_Tables!H25</f>
        <v>176.60352076215838</v>
      </c>
      <c r="BG51" s="216"/>
      <c r="BN51" s="216"/>
      <c r="BO51" s="216"/>
      <c r="BP51" s="216"/>
    </row>
    <row r="52" spans="1:68" ht="15.6" x14ac:dyDescent="0.3">
      <c r="A52" s="206">
        <v>2037</v>
      </c>
      <c r="B52" s="229">
        <v>5906.3633029043349</v>
      </c>
      <c r="C52" s="229">
        <v>0</v>
      </c>
      <c r="D52" s="229">
        <v>0</v>
      </c>
      <c r="E52" s="229">
        <v>4124.9356044255946</v>
      </c>
      <c r="F52" s="229">
        <v>2557.0867718633458</v>
      </c>
      <c r="G52" s="229">
        <v>167.50083023234848</v>
      </c>
      <c r="H52" s="229">
        <v>882.69435621113121</v>
      </c>
      <c r="I52" s="229">
        <v>1814.3062708303289</v>
      </c>
      <c r="J52" s="229">
        <v>0</v>
      </c>
      <c r="K52" s="229">
        <v>0</v>
      </c>
      <c r="M52" s="206">
        <v>2037</v>
      </c>
      <c r="N52" s="419">
        <f t="shared" si="2"/>
        <v>3563.3989014804602</v>
      </c>
      <c r="O52" s="418">
        <f>(C52/Population_Tables!P26)*Population_Tables!D85</f>
        <v>0</v>
      </c>
      <c r="P52" s="418">
        <f>(D52/Population_Tables!Q26)*Population_Tables!E85</f>
        <v>0</v>
      </c>
      <c r="Q52" s="418">
        <f>((E52-H52)/Population_Tables!R26)*Population_Tables!F85</f>
        <v>1879.8499655654603</v>
      </c>
      <c r="R52" s="418">
        <f>(F52/Population_Tables!S26)*Population_Tables!G85</f>
        <v>1633.3139260621786</v>
      </c>
      <c r="S52" s="418">
        <f>(G52/Population_Tables!T26)*Population_Tables!H85</f>
        <v>50.235009852821428</v>
      </c>
      <c r="T52" s="418">
        <f>(H52/Population_Tables!U26)*Population_Tables!I85</f>
        <v>0</v>
      </c>
      <c r="U52" s="418">
        <f>(I52/Population_Tables!V26)*Population_Tables!J85</f>
        <v>0</v>
      </c>
      <c r="V52" s="418">
        <f>(J52/Population_Tables!W26)*Population_Tables!K85</f>
        <v>0</v>
      </c>
      <c r="W52" s="418">
        <f>(K52/Population_Tables!X26)*Population_Tables!L85</f>
        <v>0</v>
      </c>
      <c r="Y52" s="456">
        <v>2037</v>
      </c>
      <c r="Z52" s="459">
        <f>((B52/Population_Tables!O26)*Population_Tables!C26)-N52</f>
        <v>2610.9528109686016</v>
      </c>
      <c r="AA52" s="459">
        <f>((C52/Population_Tables!P26)*Population_Tables!D26)-O52</f>
        <v>0</v>
      </c>
      <c r="AB52" s="459">
        <f>((D52/Population_Tables!Q26)*Population_Tables!E26)-P52</f>
        <v>0</v>
      </c>
      <c r="AC52" s="459">
        <f>((E52/Population_Tables!R26)*Population_Tables!F26)-Q52</f>
        <v>2438.2578076694736</v>
      </c>
      <c r="AD52" s="459">
        <f>((F52/Population_Tables!S26)*Population_Tables!G26)-R52</f>
        <v>1033.5304613474138</v>
      </c>
      <c r="AE52" s="459">
        <f>((G52/Population_Tables!T26)*Population_Tables!H26)-S52</f>
        <v>126.48243488777382</v>
      </c>
      <c r="AF52" s="459">
        <f>(H52/Population_Tables!U26)*Population_Tables!I26</f>
        <v>915.14799937482474</v>
      </c>
      <c r="AG52" s="459">
        <f>(I52/Population_Tables!V26)*Population_Tables!J26</f>
        <v>1900.9370532834257</v>
      </c>
      <c r="AH52" s="459">
        <f>(J52/Population_Tables!W26)*Population_Tables!K26</f>
        <v>0</v>
      </c>
      <c r="AI52" s="459">
        <f>(K52/Population_Tables!X26)*Population_Tables!L26</f>
        <v>0</v>
      </c>
      <c r="AK52" s="456">
        <v>2037</v>
      </c>
      <c r="AL52" s="459">
        <f t="shared" si="6"/>
        <v>6174.3517124490618</v>
      </c>
      <c r="AM52" s="459">
        <f t="shared" si="6"/>
        <v>0</v>
      </c>
      <c r="AN52" s="459">
        <f t="shared" si="6"/>
        <v>0</v>
      </c>
      <c r="AO52" s="459">
        <f t="shared" si="6"/>
        <v>4318.107773234934</v>
      </c>
      <c r="AP52" s="459">
        <f t="shared" si="6"/>
        <v>2666.8443874095924</v>
      </c>
      <c r="AQ52" s="459">
        <f t="shared" si="6"/>
        <v>176.71744474059525</v>
      </c>
      <c r="AR52" s="459">
        <f t="shared" si="6"/>
        <v>915.14799937482474</v>
      </c>
      <c r="AS52" s="459">
        <f t="shared" si="6"/>
        <v>1900.9370532834257</v>
      </c>
      <c r="AT52" s="459">
        <f t="shared" si="6"/>
        <v>0</v>
      </c>
      <c r="AU52" s="459">
        <f t="shared" si="6"/>
        <v>0</v>
      </c>
      <c r="AW52" s="216">
        <f>(B52/Population_Tables!O26)*Population_Tables!C26</f>
        <v>6174.3517124490618</v>
      </c>
      <c r="AX52" s="153" t="str">
        <f t="shared" si="7"/>
        <v>OK</v>
      </c>
      <c r="AY52" s="421">
        <f t="shared" si="4"/>
        <v>7161.6696053851219</v>
      </c>
      <c r="AZ52" s="153" t="str">
        <f t="shared" si="5"/>
        <v>OK</v>
      </c>
      <c r="BB52" s="216">
        <f>(C52/Population_Tables!P26)*Population_Tables!D26</f>
        <v>0</v>
      </c>
      <c r="BC52" s="216">
        <f>(D52/Population_Tables!Q26)*Population_Tables!E26</f>
        <v>0</v>
      </c>
      <c r="BD52" s="216">
        <f>(E52/Population_Tables!R26)*Population_Tables!F26</f>
        <v>4318.107773234934</v>
      </c>
      <c r="BE52" s="216">
        <f>(F52/Population_Tables!S26)*Population_Tables!G26</f>
        <v>2666.8443874095924</v>
      </c>
      <c r="BF52" s="216">
        <f>(G52/Population_Tables!T26)*Population_Tables!H26</f>
        <v>176.71744474059525</v>
      </c>
      <c r="BG52" s="216"/>
      <c r="BN52" s="216"/>
      <c r="BO52" s="216"/>
      <c r="BP52" s="216"/>
    </row>
    <row r="53" spans="1:68" ht="15.6" x14ac:dyDescent="0.3">
      <c r="A53" s="206">
        <v>2038</v>
      </c>
      <c r="B53" s="229">
        <v>5960.4478613526053</v>
      </c>
      <c r="C53" s="229">
        <v>0</v>
      </c>
      <c r="D53" s="229">
        <v>0</v>
      </c>
      <c r="E53" s="229">
        <v>4120.6319755036848</v>
      </c>
      <c r="F53" s="229">
        <v>2591.7445814718312</v>
      </c>
      <c r="G53" s="229">
        <v>166.95645341370005</v>
      </c>
      <c r="H53" s="229">
        <v>871.14146119870747</v>
      </c>
      <c r="I53" s="229">
        <v>1819.3341094279153</v>
      </c>
      <c r="J53" s="229">
        <v>0</v>
      </c>
      <c r="K53" s="229">
        <v>0</v>
      </c>
      <c r="M53" s="206">
        <v>2038</v>
      </c>
      <c r="N53" s="419">
        <f t="shared" si="2"/>
        <v>3612.3698063966335</v>
      </c>
      <c r="O53" s="418">
        <f>(C53/Population_Tables!P27)*Population_Tables!D86</f>
        <v>0</v>
      </c>
      <c r="P53" s="418">
        <f>(D53/Population_Tables!Q27)*Population_Tables!E86</f>
        <v>0</v>
      </c>
      <c r="Q53" s="418">
        <f>((E53-H53)/Population_Tables!R27)*Population_Tables!F86</f>
        <v>1897.6248555229704</v>
      </c>
      <c r="R53" s="418">
        <f>(F53/Population_Tables!S27)*Population_Tables!G86</f>
        <v>1664.3308967054684</v>
      </c>
      <c r="S53" s="418">
        <f>(G53/Population_Tables!T27)*Population_Tables!H86</f>
        <v>50.4140541681952</v>
      </c>
      <c r="T53" s="418">
        <f>(H53/Population_Tables!U27)*Population_Tables!I86</f>
        <v>0</v>
      </c>
      <c r="U53" s="418">
        <f>(I53/Population_Tables!V27)*Population_Tables!J86</f>
        <v>0</v>
      </c>
      <c r="V53" s="418">
        <f>(J53/Population_Tables!W27)*Population_Tables!K86</f>
        <v>0</v>
      </c>
      <c r="W53" s="418">
        <f>(K53/Population_Tables!X27)*Population_Tables!L86</f>
        <v>0</v>
      </c>
      <c r="Y53" s="456">
        <v>2038</v>
      </c>
      <c r="Z53" s="459">
        <f>((B53/Population_Tables!O27)*Population_Tables!C27)-N53</f>
        <v>2637.6582667389935</v>
      </c>
      <c r="AA53" s="459">
        <f>((C53/Population_Tables!P27)*Population_Tables!D27)-O53</f>
        <v>0</v>
      </c>
      <c r="AB53" s="459">
        <f>((D53/Population_Tables!Q27)*Population_Tables!E27)-P53</f>
        <v>0</v>
      </c>
      <c r="AC53" s="459">
        <f>((E53/Population_Tables!R27)*Population_Tables!F27)-Q53</f>
        <v>2429.7638634222176</v>
      </c>
      <c r="AD53" s="459">
        <f>((F53/Population_Tables!S27)*Population_Tables!G27)-R53</f>
        <v>1046.2735089982746</v>
      </c>
      <c r="AE53" s="459">
        <f>((G53/Population_Tables!T27)*Population_Tables!H27)-S53</f>
        <v>126.38656969821881</v>
      </c>
      <c r="AF53" s="459">
        <f>(H53/Population_Tables!U27)*Population_Tables!I27</f>
        <v>905.52239574495172</v>
      </c>
      <c r="AG53" s="459">
        <f>(I53/Population_Tables!V27)*Population_Tables!J27</f>
        <v>1912.0857350808169</v>
      </c>
      <c r="AH53" s="459">
        <f>(J53/Population_Tables!W27)*Population_Tables!K27</f>
        <v>0</v>
      </c>
      <c r="AI53" s="459">
        <f>(K53/Population_Tables!X27)*Population_Tables!L27</f>
        <v>0</v>
      </c>
      <c r="AK53" s="456">
        <v>2038</v>
      </c>
      <c r="AL53" s="459">
        <f t="shared" si="6"/>
        <v>6250.028073135627</v>
      </c>
      <c r="AM53" s="459">
        <f t="shared" si="6"/>
        <v>0</v>
      </c>
      <c r="AN53" s="459">
        <f t="shared" si="6"/>
        <v>0</v>
      </c>
      <c r="AO53" s="459">
        <f t="shared" si="6"/>
        <v>4327.388718945188</v>
      </c>
      <c r="AP53" s="459">
        <f t="shared" si="6"/>
        <v>2710.6044057037429</v>
      </c>
      <c r="AQ53" s="459">
        <f t="shared" si="6"/>
        <v>176.80062386641401</v>
      </c>
      <c r="AR53" s="459">
        <f t="shared" si="6"/>
        <v>905.52239574495172</v>
      </c>
      <c r="AS53" s="459">
        <f t="shared" si="6"/>
        <v>1912.0857350808169</v>
      </c>
      <c r="AT53" s="459">
        <f t="shared" si="6"/>
        <v>0</v>
      </c>
      <c r="AU53" s="459">
        <f t="shared" si="6"/>
        <v>0</v>
      </c>
      <c r="AW53" s="216">
        <f>(B53/Population_Tables!O27)*Population_Tables!C27</f>
        <v>6250.028073135627</v>
      </c>
      <c r="AX53" s="153" t="str">
        <f t="shared" si="7"/>
        <v>OK</v>
      </c>
      <c r="AY53" s="421">
        <f t="shared" si="4"/>
        <v>7214.7937485153443</v>
      </c>
      <c r="AZ53" s="153" t="str">
        <f t="shared" si="5"/>
        <v>OK</v>
      </c>
      <c r="BB53" s="216">
        <f>(C53/Population_Tables!P27)*Population_Tables!D27</f>
        <v>0</v>
      </c>
      <c r="BC53" s="216">
        <f>(D53/Population_Tables!Q27)*Population_Tables!E27</f>
        <v>0</v>
      </c>
      <c r="BD53" s="216">
        <f>(E53/Population_Tables!R27)*Population_Tables!F27</f>
        <v>4327.388718945188</v>
      </c>
      <c r="BE53" s="216">
        <f>(F53/Population_Tables!S27)*Population_Tables!G27</f>
        <v>2710.6044057037429</v>
      </c>
      <c r="BF53" s="216">
        <f>(G53/Population_Tables!T27)*Population_Tables!H27</f>
        <v>176.80062386641401</v>
      </c>
      <c r="BG53" s="216"/>
      <c r="BN53" s="216"/>
      <c r="BO53" s="216"/>
      <c r="BP53" s="216"/>
    </row>
    <row r="54" spans="1:68" ht="15.6" x14ac:dyDescent="0.3">
      <c r="A54" s="206">
        <v>2039</v>
      </c>
      <c r="B54" s="229">
        <v>6014.1507569269452</v>
      </c>
      <c r="C54" s="229">
        <v>0</v>
      </c>
      <c r="D54" s="229">
        <v>0</v>
      </c>
      <c r="E54" s="229">
        <v>4115.7098969162853</v>
      </c>
      <c r="F54" s="229">
        <v>2626.4456774417322</v>
      </c>
      <c r="G54" s="229">
        <v>166.38830147317577</v>
      </c>
      <c r="H54" s="229">
        <v>859.68887803714574</v>
      </c>
      <c r="I54" s="229">
        <v>1824.0611722400772</v>
      </c>
      <c r="J54" s="229">
        <v>0</v>
      </c>
      <c r="K54" s="229">
        <v>0</v>
      </c>
      <c r="M54" s="206">
        <v>2039</v>
      </c>
      <c r="N54" s="419">
        <f t="shared" si="2"/>
        <v>3661.1935975773245</v>
      </c>
      <c r="O54" s="418">
        <f>(C54/Population_Tables!P28)*Population_Tables!D87</f>
        <v>0</v>
      </c>
      <c r="P54" s="418">
        <f>(D54/Population_Tables!Q28)*Population_Tables!E87</f>
        <v>0</v>
      </c>
      <c r="Q54" s="418">
        <f>((E54-H54)/Population_Tables!R28)*Population_Tables!F87</f>
        <v>1915.0460476925621</v>
      </c>
      <c r="R54" s="418">
        <f>(F54/Population_Tables!S28)*Population_Tables!G87</f>
        <v>1695.5624212143134</v>
      </c>
      <c r="S54" s="418">
        <f>(G54/Population_Tables!T28)*Population_Tables!H87</f>
        <v>50.58512867044886</v>
      </c>
      <c r="T54" s="418">
        <f>(H54/Population_Tables!U28)*Population_Tables!I87</f>
        <v>0</v>
      </c>
      <c r="U54" s="418">
        <f>(I54/Population_Tables!V28)*Population_Tables!J87</f>
        <v>0</v>
      </c>
      <c r="V54" s="418">
        <f>(J54/Population_Tables!W28)*Population_Tables!K87</f>
        <v>0</v>
      </c>
      <c r="W54" s="418">
        <f>(K54/Population_Tables!X28)*Population_Tables!L87</f>
        <v>0</v>
      </c>
      <c r="Y54" s="456">
        <v>2039</v>
      </c>
      <c r="Z54" s="459">
        <f>((B54/Population_Tables!O28)*Population_Tables!C28)-N54</f>
        <v>2664.5368983509493</v>
      </c>
      <c r="AA54" s="459">
        <f>((C54/Population_Tables!P28)*Population_Tables!D28)-O54</f>
        <v>0</v>
      </c>
      <c r="AB54" s="459">
        <f>((D54/Population_Tables!Q28)*Population_Tables!E28)-P54</f>
        <v>0</v>
      </c>
      <c r="AC54" s="459">
        <f>((E54/Population_Tables!R28)*Population_Tables!F28)-Q54</f>
        <v>2421.0114186020919</v>
      </c>
      <c r="AD54" s="459">
        <f>((F54/Population_Tables!S28)*Population_Tables!G28)-R54</f>
        <v>1059.0793777115537</v>
      </c>
      <c r="AE54" s="459">
        <f>((G54/Population_Tables!T28)*Population_Tables!H28)-S54</f>
        <v>126.27363075491473</v>
      </c>
      <c r="AF54" s="459">
        <f>(H54/Population_Tables!U28)*Population_Tables!I28</f>
        <v>895.9600520402123</v>
      </c>
      <c r="AG54" s="459">
        <f>(I54/Population_Tables!V28)*Population_Tables!J28</f>
        <v>1922.9190909557549</v>
      </c>
      <c r="AH54" s="459">
        <f>(J54/Population_Tables!W28)*Population_Tables!K28</f>
        <v>0</v>
      </c>
      <c r="AI54" s="459">
        <f>(K54/Population_Tables!X28)*Population_Tables!L28</f>
        <v>0</v>
      </c>
      <c r="AK54" s="456">
        <v>2039</v>
      </c>
      <c r="AL54" s="459">
        <f t="shared" si="6"/>
        <v>6325.7304959282737</v>
      </c>
      <c r="AM54" s="459">
        <f t="shared" si="6"/>
        <v>0</v>
      </c>
      <c r="AN54" s="459">
        <f t="shared" si="6"/>
        <v>0</v>
      </c>
      <c r="AO54" s="459">
        <f t="shared" si="6"/>
        <v>4336.0574662946538</v>
      </c>
      <c r="AP54" s="459">
        <f t="shared" si="6"/>
        <v>2754.6417989258671</v>
      </c>
      <c r="AQ54" s="459">
        <f t="shared" si="6"/>
        <v>176.85875942536359</v>
      </c>
      <c r="AR54" s="459">
        <f t="shared" si="6"/>
        <v>895.9600520402123</v>
      </c>
      <c r="AS54" s="459">
        <f t="shared" si="6"/>
        <v>1922.9190909557549</v>
      </c>
      <c r="AT54" s="459">
        <f t="shared" si="6"/>
        <v>0</v>
      </c>
      <c r="AU54" s="459">
        <f t="shared" si="6"/>
        <v>0</v>
      </c>
      <c r="AW54" s="216">
        <f>(B54/Population_Tables!O28)*Population_Tables!C28</f>
        <v>6325.7304959282737</v>
      </c>
      <c r="AX54" s="153" t="str">
        <f t="shared" si="7"/>
        <v>OK</v>
      </c>
      <c r="AY54" s="421">
        <f t="shared" si="4"/>
        <v>7267.5580246458849</v>
      </c>
      <c r="AZ54" s="153" t="str">
        <f t="shared" si="5"/>
        <v>OK</v>
      </c>
      <c r="BB54" s="216">
        <f>(C54/Population_Tables!P28)*Population_Tables!D28</f>
        <v>0</v>
      </c>
      <c r="BC54" s="216">
        <f>(D54/Population_Tables!Q28)*Population_Tables!E28</f>
        <v>0</v>
      </c>
      <c r="BD54" s="216">
        <f>(E54/Population_Tables!R28)*Population_Tables!F28</f>
        <v>4336.0574662946538</v>
      </c>
      <c r="BE54" s="216">
        <f>(F54/Population_Tables!S28)*Population_Tables!G28</f>
        <v>2754.6417989258671</v>
      </c>
      <c r="BF54" s="216">
        <f>(G54/Population_Tables!T28)*Population_Tables!H28</f>
        <v>176.85875942536359</v>
      </c>
      <c r="BG54" s="216"/>
      <c r="BN54" s="216"/>
      <c r="BO54" s="216"/>
      <c r="BP54" s="216"/>
    </row>
    <row r="55" spans="1:68" ht="15.6" x14ac:dyDescent="0.3">
      <c r="A55" s="206">
        <v>2040</v>
      </c>
      <c r="B55" s="229">
        <v>6067.4408516783096</v>
      </c>
      <c r="C55" s="229">
        <v>0</v>
      </c>
      <c r="D55" s="229">
        <v>0</v>
      </c>
      <c r="E55" s="229">
        <v>4110.1692148615421</v>
      </c>
      <c r="F55" s="229">
        <v>2661.1860341067363</v>
      </c>
      <c r="G55" s="229">
        <v>165.79654828838255</v>
      </c>
      <c r="H55" s="229">
        <v>848.3756725346841</v>
      </c>
      <c r="I55" s="229">
        <v>1828.486597952246</v>
      </c>
      <c r="J55" s="229">
        <v>0</v>
      </c>
      <c r="K55" s="229">
        <v>0</v>
      </c>
      <c r="M55" s="206">
        <v>2040</v>
      </c>
      <c r="N55" s="419">
        <f t="shared" si="2"/>
        <v>3709.9528315180096</v>
      </c>
      <c r="O55" s="418">
        <f>(C55/Population_Tables!P29)*Population_Tables!D88</f>
        <v>0</v>
      </c>
      <c r="P55" s="418">
        <f>(D55/Population_Tables!Q29)*Population_Tables!E88</f>
        <v>0</v>
      </c>
      <c r="Q55" s="418">
        <f>((E55-H55)/Population_Tables!R29)*Population_Tables!F88</f>
        <v>1932.1478684228491</v>
      </c>
      <c r="R55" s="418">
        <f>(F55/Population_Tables!S29)*Population_Tables!G88</f>
        <v>1727.0548435635365</v>
      </c>
      <c r="S55" s="418">
        <f>(G55/Population_Tables!T29)*Population_Tables!H88</f>
        <v>50.750119531623994</v>
      </c>
      <c r="T55" s="418">
        <f>(H55/Population_Tables!U29)*Population_Tables!I88</f>
        <v>0</v>
      </c>
      <c r="U55" s="418">
        <f>(I55/Population_Tables!V29)*Population_Tables!J88</f>
        <v>0</v>
      </c>
      <c r="V55" s="418">
        <f>(J55/Population_Tables!W29)*Population_Tables!K88</f>
        <v>0</v>
      </c>
      <c r="W55" s="418">
        <f>(K55/Population_Tables!X29)*Population_Tables!L88</f>
        <v>0</v>
      </c>
      <c r="Y55" s="456">
        <v>2040</v>
      </c>
      <c r="Z55" s="459">
        <f>((B55/Population_Tables!O29)*Population_Tables!C29)-N55</f>
        <v>2691.6226658949709</v>
      </c>
      <c r="AA55" s="459">
        <f>((C55/Population_Tables!P29)*Population_Tables!D29)-O55</f>
        <v>0</v>
      </c>
      <c r="AB55" s="459">
        <f>((D55/Population_Tables!Q29)*Population_Tables!E29)-P55</f>
        <v>0</v>
      </c>
      <c r="AC55" s="459">
        <f>((E55/Population_Tables!R29)*Population_Tables!F29)-Q55</f>
        <v>2412.0667252500848</v>
      </c>
      <c r="AD55" s="459">
        <f>((F55/Population_Tables!S29)*Population_Tables!G29)-R55</f>
        <v>1071.9681904880895</v>
      </c>
      <c r="AE55" s="459">
        <f>((G55/Population_Tables!T29)*Population_Tables!H29)-S55</f>
        <v>126.14630608489065</v>
      </c>
      <c r="AF55" s="459">
        <f>(H55/Population_Tables!U29)*Population_Tables!I29</f>
        <v>886.51744268262564</v>
      </c>
      <c r="AG55" s="459">
        <f>(I55/Population_Tables!V29)*Population_Tables!J29</f>
        <v>1933.4850936138237</v>
      </c>
      <c r="AH55" s="459">
        <f>(J55/Population_Tables!W29)*Population_Tables!K29</f>
        <v>0</v>
      </c>
      <c r="AI55" s="459">
        <f>(K55/Population_Tables!X29)*Population_Tables!L29</f>
        <v>0</v>
      </c>
      <c r="AK55" s="456">
        <v>2040</v>
      </c>
      <c r="AL55" s="459">
        <f t="shared" si="6"/>
        <v>6401.5754974129804</v>
      </c>
      <c r="AM55" s="459">
        <f t="shared" si="6"/>
        <v>0</v>
      </c>
      <c r="AN55" s="459">
        <f t="shared" si="6"/>
        <v>0</v>
      </c>
      <c r="AO55" s="459">
        <f t="shared" si="6"/>
        <v>4344.2145936729339</v>
      </c>
      <c r="AP55" s="459">
        <f t="shared" si="6"/>
        <v>2799.0230340516259</v>
      </c>
      <c r="AQ55" s="459">
        <f t="shared" si="6"/>
        <v>176.89642561651465</v>
      </c>
      <c r="AR55" s="459">
        <f t="shared" si="6"/>
        <v>886.51744268262564</v>
      </c>
      <c r="AS55" s="459">
        <f t="shared" si="6"/>
        <v>1933.4850936138237</v>
      </c>
      <c r="AT55" s="459">
        <f t="shared" si="6"/>
        <v>0</v>
      </c>
      <c r="AU55" s="459">
        <f t="shared" si="6"/>
        <v>0</v>
      </c>
      <c r="AW55" s="216">
        <f>(B55/Population_Tables!O29)*Population_Tables!C29</f>
        <v>6401.5754974129804</v>
      </c>
      <c r="AX55" s="153" t="str">
        <f t="shared" si="7"/>
        <v>OK</v>
      </c>
      <c r="AY55" s="421">
        <f t="shared" si="4"/>
        <v>7320.1340533410748</v>
      </c>
      <c r="AZ55" s="153" t="str">
        <f t="shared" si="5"/>
        <v>OK</v>
      </c>
      <c r="BB55" s="216">
        <f>(C55/Population_Tables!P29)*Population_Tables!D29</f>
        <v>0</v>
      </c>
      <c r="BC55" s="216">
        <f>(D55/Population_Tables!Q29)*Population_Tables!E29</f>
        <v>0</v>
      </c>
      <c r="BD55" s="216">
        <f>(E55/Population_Tables!R29)*Population_Tables!F29</f>
        <v>4344.2145936729339</v>
      </c>
      <c r="BE55" s="216">
        <f>(F55/Population_Tables!S29)*Population_Tables!G29</f>
        <v>2799.0230340516259</v>
      </c>
      <c r="BF55" s="216">
        <f>(G55/Population_Tables!T29)*Population_Tables!H29</f>
        <v>176.89642561651465</v>
      </c>
      <c r="BG55" s="216"/>
      <c r="BN55" s="216"/>
      <c r="BO55" s="216"/>
      <c r="BP55" s="216"/>
    </row>
    <row r="56" spans="1:68" ht="15.6" x14ac:dyDescent="0.3">
      <c r="A56" s="206">
        <v>2041</v>
      </c>
      <c r="B56" s="229">
        <v>6111.8345089233881</v>
      </c>
      <c r="C56" s="229">
        <v>0</v>
      </c>
      <c r="D56" s="229">
        <v>0</v>
      </c>
      <c r="E56" s="229">
        <v>4104.0097755376</v>
      </c>
      <c r="F56" s="229">
        <v>2695.9616258005299</v>
      </c>
      <c r="G56" s="229">
        <v>165.18136773692729</v>
      </c>
      <c r="H56" s="229">
        <v>837.24091049956041</v>
      </c>
      <c r="I56" s="229">
        <v>1832.6095252498535</v>
      </c>
      <c r="J56" s="229">
        <v>0</v>
      </c>
      <c r="K56" s="229">
        <v>0</v>
      </c>
      <c r="M56" s="206">
        <v>2041</v>
      </c>
      <c r="N56" s="419">
        <f t="shared" si="2"/>
        <v>3758.6370524525237</v>
      </c>
      <c r="O56" s="418">
        <f>(C56/Population_Tables!P30)*Population_Tables!D89</f>
        <v>0</v>
      </c>
      <c r="P56" s="418">
        <f>(D56/Population_Tables!Q30)*Population_Tables!E89</f>
        <v>0</v>
      </c>
      <c r="Q56" s="418">
        <f>((E56-H56)/Population_Tables!R30)*Population_Tables!F89</f>
        <v>1948.912490303157</v>
      </c>
      <c r="R56" s="418">
        <f>(F56/Population_Tables!S30)*Population_Tables!G89</f>
        <v>1758.815321292805</v>
      </c>
      <c r="S56" s="418">
        <f>(G56/Population_Tables!T30)*Population_Tables!H89</f>
        <v>50.909240856561517</v>
      </c>
      <c r="T56" s="418">
        <f>(H56/Population_Tables!U30)*Population_Tables!I89</f>
        <v>0</v>
      </c>
      <c r="U56" s="418">
        <f>(I56/Population_Tables!V30)*Population_Tables!J89</f>
        <v>0</v>
      </c>
      <c r="V56" s="418">
        <f>(J56/Population_Tables!W30)*Population_Tables!K89</f>
        <v>0</v>
      </c>
      <c r="W56" s="418">
        <f>(K56/Population_Tables!X30)*Population_Tables!L89</f>
        <v>0</v>
      </c>
      <c r="Y56" s="456">
        <v>2041</v>
      </c>
      <c r="Z56" s="459">
        <f>((B56/Population_Tables!O30)*Population_Tables!C30)-N56</f>
        <v>2709.9823876381279</v>
      </c>
      <c r="AA56" s="459">
        <f>((C56/Population_Tables!P30)*Population_Tables!D30)-O56</f>
        <v>0</v>
      </c>
      <c r="AB56" s="459">
        <f>((D56/Population_Tables!Q30)*Population_Tables!E30)-P56</f>
        <v>0</v>
      </c>
      <c r="AC56" s="459">
        <f>((E56/Population_Tables!R30)*Population_Tables!F30)-Q56</f>
        <v>2402.9649704220346</v>
      </c>
      <c r="AD56" s="459">
        <f>((F56/Population_Tables!S30)*Population_Tables!G30)-R56</f>
        <v>1084.9476782219185</v>
      </c>
      <c r="AE56" s="459">
        <f>((G56/Population_Tables!T30)*Population_Tables!H30)-S56</f>
        <v>126.00518264098375</v>
      </c>
      <c r="AF56" s="459">
        <f>(H56/Population_Tables!U30)*Population_Tables!I30</f>
        <v>877.23790256970597</v>
      </c>
      <c r="AG56" s="459">
        <f>(I56/Population_Tables!V30)*Population_Tables!J30</f>
        <v>1943.7936890782626</v>
      </c>
      <c r="AH56" s="459">
        <f>(J56/Population_Tables!W30)*Population_Tables!K30</f>
        <v>0</v>
      </c>
      <c r="AI56" s="459">
        <f>(K56/Population_Tables!X30)*Population_Tables!L30</f>
        <v>0</v>
      </c>
      <c r="AK56" s="456">
        <v>2041</v>
      </c>
      <c r="AL56" s="459">
        <f t="shared" si="6"/>
        <v>6468.6194400906516</v>
      </c>
      <c r="AM56" s="459">
        <f t="shared" si="6"/>
        <v>0</v>
      </c>
      <c r="AN56" s="459">
        <f t="shared" si="6"/>
        <v>0</v>
      </c>
      <c r="AO56" s="459">
        <f t="shared" si="6"/>
        <v>4351.8774607251917</v>
      </c>
      <c r="AP56" s="459">
        <f t="shared" si="6"/>
        <v>2843.7629995147236</v>
      </c>
      <c r="AQ56" s="459">
        <f t="shared" si="6"/>
        <v>176.91442349754527</v>
      </c>
      <c r="AR56" s="459">
        <f t="shared" si="6"/>
        <v>877.23790256970597</v>
      </c>
      <c r="AS56" s="459">
        <f t="shared" si="6"/>
        <v>1943.7936890782626</v>
      </c>
      <c r="AT56" s="459">
        <f t="shared" si="6"/>
        <v>0</v>
      </c>
      <c r="AU56" s="459">
        <f t="shared" si="6"/>
        <v>0</v>
      </c>
      <c r="AW56" s="216">
        <f>(B56/Population_Tables!O30)*Population_Tables!C30</f>
        <v>6468.6194400906516</v>
      </c>
      <c r="AX56" s="153" t="str">
        <f t="shared" si="7"/>
        <v>OK</v>
      </c>
      <c r="AY56" s="421">
        <f t="shared" si="4"/>
        <v>7372.5548837374608</v>
      </c>
      <c r="AZ56" s="153" t="str">
        <f t="shared" si="5"/>
        <v>OK</v>
      </c>
      <c r="BB56" s="216">
        <f>(C56/Population_Tables!P30)*Population_Tables!D30</f>
        <v>0</v>
      </c>
      <c r="BC56" s="216">
        <f>(D56/Population_Tables!Q30)*Population_Tables!E30</f>
        <v>0</v>
      </c>
      <c r="BD56" s="216">
        <f>(E56/Population_Tables!R30)*Population_Tables!F30</f>
        <v>4351.8774607251917</v>
      </c>
      <c r="BE56" s="216">
        <f>(F56/Population_Tables!S30)*Population_Tables!G30</f>
        <v>2843.7629995147236</v>
      </c>
      <c r="BF56" s="216">
        <f>(G56/Population_Tables!T30)*Population_Tables!H30</f>
        <v>176.91442349754527</v>
      </c>
      <c r="BG56" s="216"/>
      <c r="BN56" s="216"/>
      <c r="BO56" s="216"/>
      <c r="BP56" s="216"/>
    </row>
    <row r="57" spans="1:68" ht="15.6" x14ac:dyDescent="0.3">
      <c r="A57" s="206">
        <v>2042</v>
      </c>
      <c r="B57" s="229">
        <v>6155.9060474056614</v>
      </c>
      <c r="C57" s="229">
        <v>0</v>
      </c>
      <c r="D57" s="229">
        <v>0</v>
      </c>
      <c r="E57" s="229">
        <v>4097.2314251426051</v>
      </c>
      <c r="F57" s="229">
        <v>2730.7684268568</v>
      </c>
      <c r="G57" s="229">
        <v>164.54293369641695</v>
      </c>
      <c r="H57" s="229">
        <v>826.32365774001289</v>
      </c>
      <c r="I57" s="229">
        <v>1836.4290928183309</v>
      </c>
      <c r="J57" s="229">
        <v>0</v>
      </c>
      <c r="K57" s="229">
        <v>0</v>
      </c>
      <c r="M57" s="206">
        <v>2042</v>
      </c>
      <c r="N57" s="419">
        <f t="shared" si="2"/>
        <v>3807.2198555393452</v>
      </c>
      <c r="O57" s="418">
        <f>(C57/Population_Tables!P31)*Population_Tables!D90</f>
        <v>0</v>
      </c>
      <c r="P57" s="418">
        <f>(D57/Population_Tables!Q31)*Population_Tables!E90</f>
        <v>0</v>
      </c>
      <c r="Q57" s="418">
        <f>((E57-H57)/Population_Tables!R31)*Population_Tables!F90</f>
        <v>1965.3164305423643</v>
      </c>
      <c r="R57" s="418">
        <f>(F57/Population_Tables!S31)*Population_Tables!G90</f>
        <v>1790.8412126309477</v>
      </c>
      <c r="S57" s="418">
        <f>(G57/Population_Tables!T31)*Population_Tables!H90</f>
        <v>51.06221236603303</v>
      </c>
      <c r="T57" s="418">
        <f>(H57/Population_Tables!U31)*Population_Tables!I90</f>
        <v>0</v>
      </c>
      <c r="U57" s="418">
        <f>(I57/Population_Tables!V31)*Population_Tables!J90</f>
        <v>0</v>
      </c>
      <c r="V57" s="418">
        <f>(J57/Population_Tables!W31)*Population_Tables!K90</f>
        <v>0</v>
      </c>
      <c r="W57" s="418">
        <f>(K57/Population_Tables!X31)*Population_Tables!L90</f>
        <v>0</v>
      </c>
      <c r="Y57" s="456">
        <v>2042</v>
      </c>
      <c r="Z57" s="459">
        <f>((B57/Population_Tables!O31)*Population_Tables!C31)-N57</f>
        <v>2728.6669284994969</v>
      </c>
      <c r="AA57" s="459">
        <f>((C57/Population_Tables!P31)*Population_Tables!D31)-O57</f>
        <v>0</v>
      </c>
      <c r="AB57" s="459">
        <f>((D57/Population_Tables!Q31)*Population_Tables!E31)-P57</f>
        <v>0</v>
      </c>
      <c r="AC57" s="459">
        <f>((E57/Population_Tables!R31)*Population_Tables!F31)-Q57</f>
        <v>2393.7310002757376</v>
      </c>
      <c r="AD57" s="459">
        <f>((F57/Population_Tables!S31)*Population_Tables!G31)-R57</f>
        <v>1098.0215284681803</v>
      </c>
      <c r="AE57" s="459">
        <f>((G57/Population_Tables!T31)*Population_Tables!H31)-S57</f>
        <v>125.850088687311</v>
      </c>
      <c r="AF57" s="459">
        <f>(H57/Population_Tables!U31)*Population_Tables!I31</f>
        <v>868.16194730819825</v>
      </c>
      <c r="AG57" s="459">
        <f>(I57/Population_Tables!V31)*Population_Tables!J31</f>
        <v>1953.8536826936008</v>
      </c>
      <c r="AH57" s="459">
        <f>(J57/Population_Tables!W31)*Population_Tables!K31</f>
        <v>0</v>
      </c>
      <c r="AI57" s="459">
        <f>(K57/Population_Tables!X31)*Population_Tables!L31</f>
        <v>0</v>
      </c>
      <c r="AK57" s="456">
        <v>2042</v>
      </c>
      <c r="AL57" s="459">
        <f t="shared" si="6"/>
        <v>6535.8867840388421</v>
      </c>
      <c r="AM57" s="459">
        <f t="shared" si="6"/>
        <v>0</v>
      </c>
      <c r="AN57" s="459">
        <f t="shared" si="6"/>
        <v>0</v>
      </c>
      <c r="AO57" s="459">
        <f t="shared" si="6"/>
        <v>4359.0474308181019</v>
      </c>
      <c r="AP57" s="459">
        <f t="shared" si="6"/>
        <v>2888.862741099128</v>
      </c>
      <c r="AQ57" s="459">
        <f t="shared" si="6"/>
        <v>176.91230105334404</v>
      </c>
      <c r="AR57" s="459">
        <f t="shared" si="6"/>
        <v>868.16194730819825</v>
      </c>
      <c r="AS57" s="459">
        <f t="shared" si="6"/>
        <v>1953.8536826936008</v>
      </c>
      <c r="AT57" s="459">
        <f t="shared" si="6"/>
        <v>0</v>
      </c>
      <c r="AU57" s="459">
        <f t="shared" si="6"/>
        <v>0</v>
      </c>
      <c r="AW57" s="216">
        <f>(B57/Population_Tables!O31)*Population_Tables!C31</f>
        <v>6535.8867840388421</v>
      </c>
      <c r="AX57" s="153" t="str">
        <f t="shared" si="7"/>
        <v>OK</v>
      </c>
      <c r="AY57" s="421">
        <f t="shared" si="4"/>
        <v>7424.8224729705744</v>
      </c>
      <c r="AZ57" s="153" t="str">
        <f t="shared" si="5"/>
        <v>OK</v>
      </c>
      <c r="BB57" s="216">
        <f>(C57/Population_Tables!P31)*Population_Tables!D31</f>
        <v>0</v>
      </c>
      <c r="BC57" s="216">
        <f>(D57/Population_Tables!Q31)*Population_Tables!E31</f>
        <v>0</v>
      </c>
      <c r="BD57" s="216">
        <f>(E57/Population_Tables!R31)*Population_Tables!F31</f>
        <v>4359.0474308181019</v>
      </c>
      <c r="BE57" s="216">
        <f>(F57/Population_Tables!S31)*Population_Tables!G31</f>
        <v>2888.862741099128</v>
      </c>
      <c r="BF57" s="216">
        <f>(G57/Population_Tables!T31)*Population_Tables!H31</f>
        <v>176.91230105334404</v>
      </c>
      <c r="BG57" s="216"/>
      <c r="BN57" s="216"/>
      <c r="BO57" s="216"/>
      <c r="BP57" s="216"/>
    </row>
    <row r="58" spans="1:68" ht="15.6" x14ac:dyDescent="0.3">
      <c r="A58" s="206">
        <v>2043</v>
      </c>
      <c r="B58" s="229">
        <v>6199.6360555284155</v>
      </c>
      <c r="C58" s="229">
        <v>0</v>
      </c>
      <c r="D58" s="229">
        <v>0</v>
      </c>
      <c r="E58" s="229">
        <v>4089.8340098747021</v>
      </c>
      <c r="F58" s="229">
        <v>2765.6024116092326</v>
      </c>
      <c r="G58" s="229">
        <v>163.88142004445842</v>
      </c>
      <c r="H58" s="229">
        <v>815.66298006427928</v>
      </c>
      <c r="I58" s="229">
        <v>1839.9444393431099</v>
      </c>
      <c r="J58" s="229">
        <v>0</v>
      </c>
      <c r="K58" s="229">
        <v>0</v>
      </c>
      <c r="M58" s="206">
        <v>2043</v>
      </c>
      <c r="N58" s="419">
        <f t="shared" si="2"/>
        <v>3855.7555187665021</v>
      </c>
      <c r="O58" s="418">
        <f>(C58/Population_Tables!P32)*Population_Tables!D91</f>
        <v>0</v>
      </c>
      <c r="P58" s="418">
        <f>(D58/Population_Tables!Q32)*Population_Tables!E91</f>
        <v>0</v>
      </c>
      <c r="Q58" s="418">
        <f>((E58-H58)/Population_Tables!R32)*Population_Tables!F91</f>
        <v>1981.3855822964733</v>
      </c>
      <c r="R58" s="418">
        <f>(F58/Population_Tables!S32)*Population_Tables!G91</f>
        <v>1823.1601273938636</v>
      </c>
      <c r="S58" s="418">
        <f>(G58/Population_Tables!T32)*Population_Tables!H91</f>
        <v>51.209809076164909</v>
      </c>
      <c r="T58" s="418">
        <f>(H58/Population_Tables!U32)*Population_Tables!I91</f>
        <v>0</v>
      </c>
      <c r="U58" s="418">
        <f>(I58/Population_Tables!V32)*Population_Tables!J91</f>
        <v>0</v>
      </c>
      <c r="V58" s="418">
        <f>(J58/Population_Tables!W32)*Population_Tables!K91</f>
        <v>0</v>
      </c>
      <c r="W58" s="418">
        <f>(K58/Population_Tables!X32)*Population_Tables!L91</f>
        <v>0</v>
      </c>
      <c r="Y58" s="456">
        <v>2043</v>
      </c>
      <c r="Z58" s="459">
        <f>((B58/Population_Tables!O32)*Population_Tables!C32)-N58</f>
        <v>2747.6978832882087</v>
      </c>
      <c r="AA58" s="459">
        <f>((C58/Population_Tables!P32)*Population_Tables!D32)-O58</f>
        <v>0</v>
      </c>
      <c r="AB58" s="459">
        <f>((D58/Population_Tables!Q32)*Population_Tables!E32)-P58</f>
        <v>0</v>
      </c>
      <c r="AC58" s="459">
        <f>((E58/Population_Tables!R32)*Population_Tables!F32)-Q58</f>
        <v>2384.409185836269</v>
      </c>
      <c r="AD58" s="459">
        <f>((F58/Population_Tables!S32)*Population_Tables!G32)-R58</f>
        <v>1111.201192385638</v>
      </c>
      <c r="AE58" s="459">
        <f>((G58/Population_Tables!T32)*Population_Tables!H32)-S58</f>
        <v>125.68204972509565</v>
      </c>
      <c r="AF58" s="459">
        <f>(H58/Population_Tables!U32)*Population_Tables!I32</f>
        <v>859.34076977764573</v>
      </c>
      <c r="AG58" s="459">
        <f>(I58/Population_Tables!V32)*Population_Tables!J32</f>
        <v>1963.7137464333262</v>
      </c>
      <c r="AH58" s="459">
        <f>(J58/Population_Tables!W32)*Population_Tables!K32</f>
        <v>0</v>
      </c>
      <c r="AI58" s="459">
        <f>(K58/Population_Tables!X32)*Population_Tables!L32</f>
        <v>0</v>
      </c>
      <c r="AK58" s="456">
        <v>2043</v>
      </c>
      <c r="AL58" s="459">
        <f t="shared" si="6"/>
        <v>6603.4534020547108</v>
      </c>
      <c r="AM58" s="459">
        <f t="shared" si="6"/>
        <v>0</v>
      </c>
      <c r="AN58" s="459">
        <f t="shared" si="6"/>
        <v>0</v>
      </c>
      <c r="AO58" s="459">
        <f t="shared" si="6"/>
        <v>4365.7947681327423</v>
      </c>
      <c r="AP58" s="459">
        <f t="shared" si="6"/>
        <v>2934.3613197795016</v>
      </c>
      <c r="AQ58" s="459">
        <f t="shared" si="6"/>
        <v>176.89185880126055</v>
      </c>
      <c r="AR58" s="459">
        <f t="shared" si="6"/>
        <v>859.34076977764573</v>
      </c>
      <c r="AS58" s="459">
        <f t="shared" si="6"/>
        <v>1963.7137464333262</v>
      </c>
      <c r="AT58" s="459">
        <f t="shared" si="6"/>
        <v>0</v>
      </c>
      <c r="AU58" s="459">
        <f t="shared" si="6"/>
        <v>0</v>
      </c>
      <c r="AW58" s="216">
        <f>(B58/Population_Tables!O32)*Population_Tables!C32</f>
        <v>6603.4534020547108</v>
      </c>
      <c r="AX58" s="153" t="str">
        <f t="shared" si="7"/>
        <v>OK</v>
      </c>
      <c r="AY58" s="421">
        <f t="shared" si="4"/>
        <v>7477.0479467135046</v>
      </c>
      <c r="AZ58" s="153" t="str">
        <f t="shared" si="5"/>
        <v>OK</v>
      </c>
      <c r="BB58" s="216">
        <f>(C58/Population_Tables!P32)*Population_Tables!D32</f>
        <v>0</v>
      </c>
      <c r="BC58" s="216">
        <f>(D58/Population_Tables!Q32)*Population_Tables!E32</f>
        <v>0</v>
      </c>
      <c r="BD58" s="216">
        <f>(E58/Population_Tables!R32)*Population_Tables!F32</f>
        <v>4365.7947681327423</v>
      </c>
      <c r="BE58" s="216">
        <f>(F58/Population_Tables!S32)*Population_Tables!G32</f>
        <v>2934.3613197795016</v>
      </c>
      <c r="BF58" s="216">
        <f>(G58/Population_Tables!T32)*Population_Tables!H32</f>
        <v>176.89185880126055</v>
      </c>
      <c r="BG58" s="216"/>
      <c r="BN58" s="216"/>
      <c r="BO58" s="216"/>
      <c r="BP58" s="216"/>
    </row>
    <row r="59" spans="1:68" ht="15.6" x14ac:dyDescent="0.3">
      <c r="A59" s="206">
        <v>2044</v>
      </c>
      <c r="B59" s="229">
        <v>6243.0037004014157</v>
      </c>
      <c r="C59" s="229">
        <v>0</v>
      </c>
      <c r="D59" s="229">
        <v>0</v>
      </c>
      <c r="E59" s="229">
        <v>4081.8173759320371</v>
      </c>
      <c r="F59" s="229">
        <v>2800.4595543915152</v>
      </c>
      <c r="G59" s="229">
        <v>163.19700065865865</v>
      </c>
      <c r="H59" s="229">
        <v>805.29794328059791</v>
      </c>
      <c r="I59" s="229">
        <v>1843.1547035096219</v>
      </c>
      <c r="J59" s="229">
        <v>0</v>
      </c>
      <c r="K59" s="229">
        <v>0</v>
      </c>
      <c r="M59" s="206">
        <v>2044</v>
      </c>
      <c r="N59" s="419">
        <f t="shared" si="2"/>
        <v>3904.3131093196221</v>
      </c>
      <c r="O59" s="418">
        <f>(C59/Population_Tables!P33)*Population_Tables!D92</f>
        <v>0</v>
      </c>
      <c r="P59" s="418">
        <f>(D59/Population_Tables!Q33)*Population_Tables!E92</f>
        <v>0</v>
      </c>
      <c r="Q59" s="418">
        <f>((E59-H59)/Population_Tables!R33)*Population_Tables!F92</f>
        <v>1997.1569719522727</v>
      </c>
      <c r="R59" s="418">
        <f>(F59/Population_Tables!S33)*Population_Tables!G92</f>
        <v>1855.8032583144516</v>
      </c>
      <c r="S59" s="418">
        <f>(G59/Population_Tables!T33)*Population_Tables!H92</f>
        <v>51.352879052897663</v>
      </c>
      <c r="T59" s="418">
        <f>(H59/Population_Tables!U33)*Population_Tables!I92</f>
        <v>0</v>
      </c>
      <c r="U59" s="418">
        <f>(I59/Population_Tables!V33)*Population_Tables!J92</f>
        <v>0</v>
      </c>
      <c r="V59" s="418">
        <f>(J59/Population_Tables!W33)*Population_Tables!K92</f>
        <v>0</v>
      </c>
      <c r="W59" s="418">
        <f>(K59/Population_Tables!X33)*Population_Tables!L92</f>
        <v>0</v>
      </c>
      <c r="Y59" s="456">
        <v>2044</v>
      </c>
      <c r="Z59" s="459">
        <f>((B59/Population_Tables!O33)*Population_Tables!C33)-N59</f>
        <v>2767.0945899229432</v>
      </c>
      <c r="AA59" s="459">
        <f>((C59/Population_Tables!P33)*Population_Tables!D33)-O59</f>
        <v>0</v>
      </c>
      <c r="AB59" s="459">
        <f>((D59/Population_Tables!Q33)*Population_Tables!E33)-P59</f>
        <v>0</v>
      </c>
      <c r="AC59" s="459">
        <f>((E59/Population_Tables!R33)*Population_Tables!F33)-Q59</f>
        <v>2375.0453128666281</v>
      </c>
      <c r="AD59" s="459">
        <f>((F59/Population_Tables!S33)*Population_Tables!G33)-R59</f>
        <v>1124.4983423103852</v>
      </c>
      <c r="AE59" s="459">
        <f>((G59/Population_Tables!T33)*Population_Tables!H33)-S59</f>
        <v>125.50211542245748</v>
      </c>
      <c r="AF59" s="459">
        <f>(H59/Population_Tables!U33)*Population_Tables!I33</f>
        <v>850.82748686385821</v>
      </c>
      <c r="AG59" s="459">
        <f>(I59/Population_Tables!V33)*Population_Tables!J33</f>
        <v>1973.4324668115855</v>
      </c>
      <c r="AH59" s="459">
        <f>(J59/Population_Tables!W33)*Population_Tables!K33</f>
        <v>0</v>
      </c>
      <c r="AI59" s="459">
        <f>(K59/Population_Tables!X33)*Population_Tables!L33</f>
        <v>0</v>
      </c>
      <c r="AK59" s="456">
        <v>2044</v>
      </c>
      <c r="AL59" s="459">
        <f t="shared" si="6"/>
        <v>6671.4076992425653</v>
      </c>
      <c r="AM59" s="459">
        <f t="shared" si="6"/>
        <v>0</v>
      </c>
      <c r="AN59" s="459">
        <f t="shared" si="6"/>
        <v>0</v>
      </c>
      <c r="AO59" s="459">
        <f t="shared" si="6"/>
        <v>4372.2022848189008</v>
      </c>
      <c r="AP59" s="459">
        <f t="shared" si="6"/>
        <v>2980.3016006248367</v>
      </c>
      <c r="AQ59" s="459">
        <f t="shared" si="6"/>
        <v>176.85499447535514</v>
      </c>
      <c r="AR59" s="459">
        <f t="shared" si="6"/>
        <v>850.82748686385821</v>
      </c>
      <c r="AS59" s="459">
        <f t="shared" si="6"/>
        <v>1973.4324668115855</v>
      </c>
      <c r="AT59" s="459">
        <f t="shared" si="6"/>
        <v>0</v>
      </c>
      <c r="AU59" s="459">
        <f t="shared" si="6"/>
        <v>0</v>
      </c>
      <c r="AW59" s="216">
        <f>(B59/Population_Tables!O33)*Population_Tables!C33</f>
        <v>6671.4076992425653</v>
      </c>
      <c r="AX59" s="153" t="str">
        <f t="shared" si="7"/>
        <v>OK</v>
      </c>
      <c r="AY59" s="421">
        <f t="shared" si="4"/>
        <v>7529.358879919092</v>
      </c>
      <c r="AZ59" s="153" t="str">
        <f t="shared" si="5"/>
        <v>OK</v>
      </c>
      <c r="BB59" s="216">
        <f>(C59/Population_Tables!P33)*Population_Tables!D33</f>
        <v>0</v>
      </c>
      <c r="BC59" s="216">
        <f>(D59/Population_Tables!Q33)*Population_Tables!E33</f>
        <v>0</v>
      </c>
      <c r="BD59" s="216">
        <f>(E59/Population_Tables!R33)*Population_Tables!F33</f>
        <v>4372.2022848189008</v>
      </c>
      <c r="BE59" s="216">
        <f>(F59/Population_Tables!S33)*Population_Tables!G33</f>
        <v>2980.3016006248367</v>
      </c>
      <c r="BF59" s="216">
        <f>(G59/Population_Tables!T33)*Population_Tables!H33</f>
        <v>176.85499447535514</v>
      </c>
      <c r="BG59" s="216"/>
      <c r="BN59" s="216"/>
      <c r="BO59" s="216"/>
      <c r="BP59" s="216"/>
    </row>
    <row r="60" spans="1:68" ht="15.6" x14ac:dyDescent="0.3">
      <c r="A60" s="206">
        <v>2045</v>
      </c>
      <c r="B60" s="229">
        <v>6285.9860416715701</v>
      </c>
      <c r="C60" s="229">
        <v>0</v>
      </c>
      <c r="D60" s="229">
        <v>0</v>
      </c>
      <c r="E60" s="229">
        <v>4073.1813695127548</v>
      </c>
      <c r="F60" s="229">
        <v>2835.3358295373337</v>
      </c>
      <c r="G60" s="229">
        <v>162.48984941662451</v>
      </c>
      <c r="H60" s="229">
        <v>795.26761319720663</v>
      </c>
      <c r="I60" s="229">
        <v>1846.0590240032984</v>
      </c>
      <c r="J60" s="229">
        <v>0</v>
      </c>
      <c r="K60" s="229">
        <v>0</v>
      </c>
      <c r="M60" s="206">
        <v>2045</v>
      </c>
      <c r="N60" s="419">
        <f t="shared" si="2"/>
        <v>3952.944837182592</v>
      </c>
      <c r="O60" s="418">
        <f>(C60/Population_Tables!P34)*Population_Tables!D93</f>
        <v>0</v>
      </c>
      <c r="P60" s="418">
        <f>(D60/Population_Tables!Q34)*Population_Tables!E93</f>
        <v>0</v>
      </c>
      <c r="Q60" s="418">
        <f>((E60-H60)/Population_Tables!R34)*Population_Tables!F93</f>
        <v>2012.6560279297089</v>
      </c>
      <c r="R60" s="418">
        <f>(F60/Population_Tables!S34)*Population_Tables!G93</f>
        <v>1888.7966742431165</v>
      </c>
      <c r="S60" s="418">
        <f>(G60/Population_Tables!T34)*Population_Tables!H93</f>
        <v>51.492135009766677</v>
      </c>
      <c r="T60" s="418">
        <f>(H60/Population_Tables!U34)*Population_Tables!I93</f>
        <v>0</v>
      </c>
      <c r="U60" s="418">
        <f>(I60/Population_Tables!V34)*Population_Tables!J93</f>
        <v>0</v>
      </c>
      <c r="V60" s="418">
        <f>(J60/Population_Tables!W34)*Population_Tables!K93</f>
        <v>0</v>
      </c>
      <c r="W60" s="418">
        <f>(K60/Population_Tables!X34)*Population_Tables!L93</f>
        <v>0</v>
      </c>
      <c r="Y60" s="456">
        <v>2045</v>
      </c>
      <c r="Z60" s="459">
        <f>((B60/Population_Tables!O34)*Population_Tables!C34)-N60</f>
        <v>2786.8780167600371</v>
      </c>
      <c r="AA60" s="459">
        <f>((C60/Population_Tables!P34)*Population_Tables!D34)-O60</f>
        <v>0</v>
      </c>
      <c r="AB60" s="459">
        <f>((D60/Population_Tables!Q34)*Population_Tables!E34)-P60</f>
        <v>0</v>
      </c>
      <c r="AC60" s="459">
        <f>((E60/Population_Tables!R34)*Population_Tables!F34)-Q60</f>
        <v>2365.6825669219061</v>
      </c>
      <c r="AD60" s="459">
        <f>((F60/Population_Tables!S34)*Population_Tables!G34)-R60</f>
        <v>1137.9231623681737</v>
      </c>
      <c r="AE60" s="459">
        <f>((G60/Population_Tables!T34)*Population_Tables!H34)-S60</f>
        <v>125.3112449871565</v>
      </c>
      <c r="AF60" s="459">
        <f>(H60/Population_Tables!U34)*Population_Tables!I34</f>
        <v>842.67379948910252</v>
      </c>
      <c r="AG60" s="459">
        <f>(I60/Population_Tables!V34)*Population_Tables!J34</f>
        <v>1983.0588812606254</v>
      </c>
      <c r="AH60" s="459">
        <f>(J60/Population_Tables!W34)*Population_Tables!K34</f>
        <v>0</v>
      </c>
      <c r="AI60" s="459">
        <f>(K60/Population_Tables!X34)*Population_Tables!L34</f>
        <v>0</v>
      </c>
      <c r="AK60" s="456">
        <v>2045</v>
      </c>
      <c r="AL60" s="459">
        <f t="shared" si="6"/>
        <v>6739.8228539426291</v>
      </c>
      <c r="AM60" s="459">
        <f t="shared" si="6"/>
        <v>0</v>
      </c>
      <c r="AN60" s="459">
        <f t="shared" si="6"/>
        <v>0</v>
      </c>
      <c r="AO60" s="459">
        <f t="shared" si="6"/>
        <v>4378.3385948516152</v>
      </c>
      <c r="AP60" s="459">
        <f t="shared" si="6"/>
        <v>3026.7198366112902</v>
      </c>
      <c r="AQ60" s="459">
        <f t="shared" si="6"/>
        <v>176.80337999692318</v>
      </c>
      <c r="AR60" s="459">
        <f t="shared" si="6"/>
        <v>842.67379948910252</v>
      </c>
      <c r="AS60" s="459">
        <f t="shared" si="6"/>
        <v>1983.0588812606254</v>
      </c>
      <c r="AT60" s="459">
        <f t="shared" si="6"/>
        <v>0</v>
      </c>
      <c r="AU60" s="459">
        <f t="shared" si="6"/>
        <v>0</v>
      </c>
      <c r="AW60" s="216">
        <f>(B60/Population_Tables!O34)*Population_Tables!C34</f>
        <v>6739.8228539426291</v>
      </c>
      <c r="AX60" s="153" t="str">
        <f t="shared" si="7"/>
        <v>OK</v>
      </c>
      <c r="AY60" s="421">
        <f t="shared" si="4"/>
        <v>7581.8618114598285</v>
      </c>
      <c r="AZ60" s="153" t="str">
        <f t="shared" si="5"/>
        <v>OK</v>
      </c>
      <c r="BB60" s="216">
        <f>(C60/Population_Tables!P34)*Population_Tables!D34</f>
        <v>0</v>
      </c>
      <c r="BC60" s="216">
        <f>(D60/Population_Tables!Q34)*Population_Tables!E34</f>
        <v>0</v>
      </c>
      <c r="BD60" s="216">
        <f>(E60/Population_Tables!R34)*Population_Tables!F34</f>
        <v>4378.3385948516152</v>
      </c>
      <c r="BE60" s="216">
        <f>(F60/Population_Tables!S34)*Population_Tables!G34</f>
        <v>3026.7198366112902</v>
      </c>
      <c r="BF60" s="216">
        <f>(G60/Population_Tables!T34)*Population_Tables!H34</f>
        <v>176.80337999692318</v>
      </c>
      <c r="BG60" s="216"/>
      <c r="BN60" s="216"/>
      <c r="BO60" s="216"/>
      <c r="BP60" s="216"/>
    </row>
    <row r="61" spans="1:68" ht="15.6" x14ac:dyDescent="0.3">
      <c r="A61" s="206">
        <v>2046</v>
      </c>
      <c r="B61" s="229">
        <v>6328.5570747503398</v>
      </c>
      <c r="C61" s="229">
        <v>0</v>
      </c>
      <c r="D61" s="229">
        <v>0</v>
      </c>
      <c r="E61" s="229">
        <v>4063.9258368150017</v>
      </c>
      <c r="F61" s="229">
        <v>2870.2272113803747</v>
      </c>
      <c r="G61" s="229">
        <v>161.76014019596295</v>
      </c>
      <c r="H61" s="229">
        <v>785.61105562234343</v>
      </c>
      <c r="I61" s="229">
        <v>1848.6565395095711</v>
      </c>
      <c r="J61" s="229">
        <v>0</v>
      </c>
      <c r="K61" s="229">
        <v>0</v>
      </c>
      <c r="M61" s="206">
        <v>2046</v>
      </c>
      <c r="N61" s="419">
        <f t="shared" si="2"/>
        <v>4001.657836865827</v>
      </c>
      <c r="O61" s="418">
        <f>(C61/Population_Tables!P35)*Population_Tables!D94</f>
        <v>0</v>
      </c>
      <c r="P61" s="418">
        <f>(D61/Population_Tables!Q35)*Population_Tables!E94</f>
        <v>0</v>
      </c>
      <c r="Q61" s="418">
        <f>((E61-H61)/Population_Tables!R35)*Population_Tables!F94</f>
        <v>2027.8747929362432</v>
      </c>
      <c r="R61" s="418">
        <f>(F61/Population_Tables!S35)*Population_Tables!G94</f>
        <v>1922.1551100235972</v>
      </c>
      <c r="S61" s="418">
        <f>(G61/Population_Tables!T35)*Population_Tables!H94</f>
        <v>51.627933905986694</v>
      </c>
      <c r="T61" s="418">
        <f>(H61/Population_Tables!U35)*Population_Tables!I94</f>
        <v>0</v>
      </c>
      <c r="U61" s="418">
        <f>(I61/Population_Tables!V35)*Population_Tables!J94</f>
        <v>0</v>
      </c>
      <c r="V61" s="418">
        <f>(J61/Population_Tables!W35)*Population_Tables!K94</f>
        <v>0</v>
      </c>
      <c r="W61" s="418">
        <f>(K61/Population_Tables!X35)*Population_Tables!L94</f>
        <v>0</v>
      </c>
      <c r="Y61" s="456">
        <v>2046</v>
      </c>
      <c r="Z61" s="459">
        <f>((B61/Population_Tables!O35)*Population_Tables!C35)-N61</f>
        <v>2807.0707175426119</v>
      </c>
      <c r="AA61" s="459">
        <f>((C61/Population_Tables!P35)*Population_Tables!D35)-O61</f>
        <v>0</v>
      </c>
      <c r="AB61" s="459">
        <f>((D61/Population_Tables!Q35)*Population_Tables!E35)-P61</f>
        <v>0</v>
      </c>
      <c r="AC61" s="459">
        <f>((E61/Population_Tables!R35)*Population_Tables!F35)-Q61</f>
        <v>2356.3603028976695</v>
      </c>
      <c r="AD61" s="459">
        <f>((F61/Population_Tables!S35)*Population_Tables!G35)-R61</f>
        <v>1151.4819450099242</v>
      </c>
      <c r="AE61" s="459">
        <f>((G61/Population_Tables!T35)*Population_Tables!H35)-S61</f>
        <v>125.11003567845431</v>
      </c>
      <c r="AF61" s="459">
        <f>(H61/Population_Tables!U35)*Population_Tables!I35</f>
        <v>834.92814929805184</v>
      </c>
      <c r="AG61" s="459">
        <f>(I61/Population_Tables!V35)*Population_Tables!J35</f>
        <v>1992.6125730101039</v>
      </c>
      <c r="AH61" s="459">
        <f>(J61/Population_Tables!W35)*Population_Tables!K35</f>
        <v>0</v>
      </c>
      <c r="AI61" s="459">
        <f>(K61/Population_Tables!X35)*Population_Tables!L35</f>
        <v>0</v>
      </c>
      <c r="AK61" s="456">
        <v>2046</v>
      </c>
      <c r="AL61" s="459">
        <f t="shared" si="6"/>
        <v>6808.7285544084389</v>
      </c>
      <c r="AM61" s="459">
        <f t="shared" si="6"/>
        <v>0</v>
      </c>
      <c r="AN61" s="459">
        <f t="shared" si="6"/>
        <v>0</v>
      </c>
      <c r="AO61" s="459">
        <f t="shared" si="6"/>
        <v>4384.235095833913</v>
      </c>
      <c r="AP61" s="459">
        <f t="shared" si="6"/>
        <v>3073.6370550335214</v>
      </c>
      <c r="AQ61" s="459">
        <f t="shared" si="6"/>
        <v>176.737969584441</v>
      </c>
      <c r="AR61" s="459">
        <f t="shared" si="6"/>
        <v>834.92814929805184</v>
      </c>
      <c r="AS61" s="459">
        <f t="shared" si="6"/>
        <v>1992.6125730101039</v>
      </c>
      <c r="AT61" s="459">
        <f t="shared" si="6"/>
        <v>0</v>
      </c>
      <c r="AU61" s="459">
        <f t="shared" si="6"/>
        <v>0</v>
      </c>
      <c r="AW61" s="216">
        <f>(B61/Population_Tables!O35)*Population_Tables!C35</f>
        <v>6808.7285544084389</v>
      </c>
      <c r="AX61" s="153" t="str">
        <f t="shared" si="7"/>
        <v>OK</v>
      </c>
      <c r="AY61" s="421">
        <f t="shared" si="4"/>
        <v>7634.6101204518754</v>
      </c>
      <c r="AZ61" s="153" t="str">
        <f t="shared" si="5"/>
        <v>OK</v>
      </c>
      <c r="BB61" s="216">
        <f>(C61/Population_Tables!P35)*Population_Tables!D35</f>
        <v>0</v>
      </c>
      <c r="BC61" s="216">
        <f>(D61/Population_Tables!Q35)*Population_Tables!E35</f>
        <v>0</v>
      </c>
      <c r="BD61" s="216">
        <f>(E61/Population_Tables!R35)*Population_Tables!F35</f>
        <v>4384.235095833913</v>
      </c>
      <c r="BE61" s="216">
        <f>(F61/Population_Tables!S35)*Population_Tables!G35</f>
        <v>3073.6370550335214</v>
      </c>
      <c r="BF61" s="216">
        <f>(G61/Population_Tables!T35)*Population_Tables!H35</f>
        <v>176.737969584441</v>
      </c>
      <c r="BG61" s="216"/>
      <c r="BN61" s="216"/>
      <c r="BO61" s="216"/>
      <c r="BP61" s="216"/>
    </row>
    <row r="62" spans="1:68" ht="15.6" x14ac:dyDescent="0.3">
      <c r="A62" s="206">
        <v>2047</v>
      </c>
      <c r="B62" s="229">
        <v>6370.6892620748204</v>
      </c>
      <c r="C62" s="229">
        <v>0</v>
      </c>
      <c r="D62" s="229">
        <v>0</v>
      </c>
      <c r="E62" s="229">
        <v>4054.0506240369223</v>
      </c>
      <c r="F62" s="229">
        <v>2905.1296742543254</v>
      </c>
      <c r="G62" s="229">
        <v>161.00804687428089</v>
      </c>
      <c r="H62" s="229">
        <v>776.36733636424628</v>
      </c>
      <c r="I62" s="229">
        <v>1850.9463887138711</v>
      </c>
      <c r="J62" s="229">
        <v>0</v>
      </c>
      <c r="K62" s="229">
        <v>0</v>
      </c>
      <c r="M62" s="206">
        <v>2047</v>
      </c>
      <c r="N62" s="419">
        <f t="shared" si="2"/>
        <v>4050.4447178625719</v>
      </c>
      <c r="O62" s="418">
        <f>(C62/Population_Tables!P36)*Population_Tables!D95</f>
        <v>0</v>
      </c>
      <c r="P62" s="418">
        <f>(D62/Population_Tables!Q36)*Population_Tables!E95</f>
        <v>0</v>
      </c>
      <c r="Q62" s="418">
        <f>((E62-H62)/Population_Tables!R36)*Population_Tables!F95</f>
        <v>2042.797043528743</v>
      </c>
      <c r="R62" s="418">
        <f>(F62/Population_Tables!S36)*Population_Tables!G95</f>
        <v>1955.8871529129813</v>
      </c>
      <c r="S62" s="418">
        <f>(G62/Population_Tables!T36)*Population_Tables!H95</f>
        <v>51.760521420847276</v>
      </c>
      <c r="T62" s="418">
        <f>(H62/Population_Tables!U36)*Population_Tables!I95</f>
        <v>0</v>
      </c>
      <c r="U62" s="418">
        <f>(I62/Population_Tables!V36)*Population_Tables!J95</f>
        <v>0</v>
      </c>
      <c r="V62" s="418">
        <f>(J62/Population_Tables!W36)*Population_Tables!K95</f>
        <v>0</v>
      </c>
      <c r="W62" s="418">
        <f>(K62/Population_Tables!X36)*Population_Tables!L95</f>
        <v>0</v>
      </c>
      <c r="Y62" s="456">
        <v>2047</v>
      </c>
      <c r="Z62" s="459">
        <f>((B62/Population_Tables!O36)*Population_Tables!C36)-N62</f>
        <v>2827.6984937656712</v>
      </c>
      <c r="AA62" s="459">
        <f>((C62/Population_Tables!P36)*Population_Tables!D36)-O62</f>
        <v>0</v>
      </c>
      <c r="AB62" s="459">
        <f>((D62/Population_Tables!Q36)*Population_Tables!E36)-P62</f>
        <v>0</v>
      </c>
      <c r="AC62" s="459">
        <f>((E62/Population_Tables!R36)*Population_Tables!F36)-Q62</f>
        <v>2347.1163375690116</v>
      </c>
      <c r="AD62" s="459">
        <f>((F62/Population_Tables!S36)*Population_Tables!G36)-R62</f>
        <v>1165.1804436044847</v>
      </c>
      <c r="AE62" s="459">
        <f>((G62/Population_Tables!T36)*Population_Tables!H36)-S62</f>
        <v>124.89913538643822</v>
      </c>
      <c r="AF62" s="459">
        <f>(H62/Population_Tables!U36)*Population_Tables!I36</f>
        <v>827.63723492143015</v>
      </c>
      <c r="AG62" s="459">
        <f>(I62/Population_Tables!V36)*Population_Tables!J36</f>
        <v>2002.1086905395218</v>
      </c>
      <c r="AH62" s="459">
        <f>(J62/Population_Tables!W36)*Population_Tables!K36</f>
        <v>0</v>
      </c>
      <c r="AI62" s="459">
        <f>(K62/Population_Tables!X36)*Population_Tables!L36</f>
        <v>0</v>
      </c>
      <c r="AK62" s="456">
        <v>2047</v>
      </c>
      <c r="AL62" s="459">
        <f t="shared" si="6"/>
        <v>6878.1432116282431</v>
      </c>
      <c r="AM62" s="459">
        <f t="shared" si="6"/>
        <v>0</v>
      </c>
      <c r="AN62" s="459">
        <f t="shared" si="6"/>
        <v>0</v>
      </c>
      <c r="AO62" s="459">
        <f t="shared" si="6"/>
        <v>4389.9133810977546</v>
      </c>
      <c r="AP62" s="459">
        <f t="shared" si="6"/>
        <v>3121.067596517466</v>
      </c>
      <c r="AQ62" s="459">
        <f t="shared" si="6"/>
        <v>176.6596568072855</v>
      </c>
      <c r="AR62" s="459">
        <f t="shared" si="6"/>
        <v>827.63723492143015</v>
      </c>
      <c r="AS62" s="459">
        <f t="shared" si="6"/>
        <v>2002.1086905395218</v>
      </c>
      <c r="AT62" s="459">
        <f t="shared" si="6"/>
        <v>0</v>
      </c>
      <c r="AU62" s="459">
        <f t="shared" si="6"/>
        <v>0</v>
      </c>
      <c r="AW62" s="216">
        <f>(B62/Population_Tables!O36)*Population_Tables!C36</f>
        <v>6878.1432116282431</v>
      </c>
      <c r="AX62" s="153" t="str">
        <f t="shared" si="7"/>
        <v>OK</v>
      </c>
      <c r="AY62" s="421">
        <f t="shared" si="4"/>
        <v>7687.6406344225061</v>
      </c>
      <c r="AZ62" s="153" t="str">
        <f t="shared" si="5"/>
        <v>OK</v>
      </c>
      <c r="BB62" s="216">
        <f>(C62/Population_Tables!P36)*Population_Tables!D36</f>
        <v>0</v>
      </c>
      <c r="BC62" s="216">
        <f>(D62/Population_Tables!Q36)*Population_Tables!E36</f>
        <v>0</v>
      </c>
      <c r="BD62" s="216">
        <f>(E62/Population_Tables!R36)*Population_Tables!F36</f>
        <v>4389.9133810977546</v>
      </c>
      <c r="BE62" s="216">
        <f>(F62/Population_Tables!S36)*Population_Tables!G36</f>
        <v>3121.067596517466</v>
      </c>
      <c r="BF62" s="216">
        <f>(G62/Population_Tables!T36)*Population_Tables!H36</f>
        <v>176.6596568072855</v>
      </c>
      <c r="BG62" s="216"/>
      <c r="BN62" s="216"/>
      <c r="BO62" s="216"/>
      <c r="BP62" s="216"/>
    </row>
    <row r="63" spans="1:68" ht="15.6" x14ac:dyDescent="0.3">
      <c r="A63" s="206">
        <v>2048</v>
      </c>
      <c r="B63" s="229">
        <v>6412.3541740798728</v>
      </c>
      <c r="C63" s="229">
        <v>0</v>
      </c>
      <c r="D63" s="229">
        <v>0</v>
      </c>
      <c r="E63" s="229">
        <v>4043.5555773766628</v>
      </c>
      <c r="F63" s="229">
        <v>2940.0391924928726</v>
      </c>
      <c r="G63" s="229">
        <v>160.23374332918522</v>
      </c>
      <c r="H63" s="229">
        <v>767.57552123115352</v>
      </c>
      <c r="I63" s="229">
        <v>1852.9277103016302</v>
      </c>
      <c r="J63" s="229">
        <v>0</v>
      </c>
      <c r="K63" s="229">
        <v>0</v>
      </c>
      <c r="M63" s="206">
        <v>2048</v>
      </c>
      <c r="N63" s="419">
        <f t="shared" si="2"/>
        <v>4099.3223442251392</v>
      </c>
      <c r="O63" s="418">
        <f>(C63/Population_Tables!P37)*Population_Tables!D96</f>
        <v>0</v>
      </c>
      <c r="P63" s="418">
        <f>(D63/Population_Tables!Q37)*Population_Tables!E96</f>
        <v>0</v>
      </c>
      <c r="Q63" s="418">
        <f>((E63-H63)/Population_Tables!R37)*Population_Tables!F96</f>
        <v>2057.4279855991231</v>
      </c>
      <c r="R63" s="418">
        <f>(F63/Population_Tables!S37)*Population_Tables!G96</f>
        <v>1990.0041223593723</v>
      </c>
      <c r="S63" s="418">
        <f>(G63/Population_Tables!T37)*Population_Tables!H96</f>
        <v>51.890236266644429</v>
      </c>
      <c r="T63" s="418">
        <f>(H63/Population_Tables!U37)*Population_Tables!I96</f>
        <v>0</v>
      </c>
      <c r="U63" s="418">
        <f>(I63/Population_Tables!V37)*Population_Tables!J96</f>
        <v>0</v>
      </c>
      <c r="V63" s="418">
        <f>(J63/Population_Tables!W37)*Population_Tables!K96</f>
        <v>0</v>
      </c>
      <c r="W63" s="418">
        <f>(K63/Population_Tables!X37)*Population_Tables!L96</f>
        <v>0</v>
      </c>
      <c r="Y63" s="456">
        <v>2048</v>
      </c>
      <c r="Z63" s="459">
        <f>((B63/Population_Tables!O37)*Population_Tables!C37)-N63</f>
        <v>2848.7887399173815</v>
      </c>
      <c r="AA63" s="459">
        <f>((C63/Population_Tables!P37)*Population_Tables!D37)-O63</f>
        <v>0</v>
      </c>
      <c r="AB63" s="459">
        <f>((D63/Population_Tables!Q37)*Population_Tables!E37)-P63</f>
        <v>0</v>
      </c>
      <c r="AC63" s="459">
        <f>((E63/Population_Tables!R37)*Population_Tables!F37)-Q63</f>
        <v>2337.9903093424668</v>
      </c>
      <c r="AD63" s="459">
        <f>((F63/Population_Tables!S37)*Population_Tables!G37)-R63</f>
        <v>1179.0273923988254</v>
      </c>
      <c r="AE63" s="459">
        <f>((G63/Population_Tables!T37)*Population_Tables!H37)-S63</f>
        <v>124.67947627924116</v>
      </c>
      <c r="AF63" s="459">
        <f>(H63/Population_Tables!U37)*Population_Tables!I37</f>
        <v>820.8491604903129</v>
      </c>
      <c r="AG63" s="459">
        <f>(I63/Population_Tables!V37)*Population_Tables!J37</f>
        <v>2011.5846277398725</v>
      </c>
      <c r="AH63" s="459">
        <f>(J63/Population_Tables!W37)*Population_Tables!K37</f>
        <v>0</v>
      </c>
      <c r="AI63" s="459">
        <f>(K63/Population_Tables!X37)*Population_Tables!L37</f>
        <v>0</v>
      </c>
      <c r="AK63" s="456">
        <v>2048</v>
      </c>
      <c r="AL63" s="459">
        <f t="shared" si="6"/>
        <v>6948.1110841425207</v>
      </c>
      <c r="AM63" s="459">
        <f t="shared" si="6"/>
        <v>0</v>
      </c>
      <c r="AN63" s="459">
        <f t="shared" si="6"/>
        <v>0</v>
      </c>
      <c r="AO63" s="459">
        <f t="shared" si="6"/>
        <v>4395.4182949415899</v>
      </c>
      <c r="AP63" s="459">
        <f t="shared" si="6"/>
        <v>3169.0315147581978</v>
      </c>
      <c r="AQ63" s="459">
        <f t="shared" si="6"/>
        <v>176.56971254588558</v>
      </c>
      <c r="AR63" s="459">
        <f t="shared" si="6"/>
        <v>820.8491604903129</v>
      </c>
      <c r="AS63" s="459">
        <f t="shared" si="6"/>
        <v>2011.5846277398725</v>
      </c>
      <c r="AT63" s="459">
        <f t="shared" si="6"/>
        <v>0</v>
      </c>
      <c r="AU63" s="459">
        <f t="shared" si="6"/>
        <v>0</v>
      </c>
      <c r="AW63" s="216">
        <f>(B63/Population_Tables!O37)*Population_Tables!C37</f>
        <v>6948.1110841425207</v>
      </c>
      <c r="AX63" s="153" t="str">
        <f t="shared" si="7"/>
        <v>OK</v>
      </c>
      <c r="AY63" s="421">
        <f t="shared" si="4"/>
        <v>7741.0195222456732</v>
      </c>
      <c r="AZ63" s="153" t="str">
        <f t="shared" si="5"/>
        <v>OK</v>
      </c>
      <c r="BB63" s="216">
        <f>(C63/Population_Tables!P37)*Population_Tables!D37</f>
        <v>0</v>
      </c>
      <c r="BC63" s="216">
        <f>(D63/Population_Tables!Q37)*Population_Tables!E37</f>
        <v>0</v>
      </c>
      <c r="BD63" s="216">
        <f>(E63/Population_Tables!R37)*Population_Tables!F37</f>
        <v>4395.4182949415899</v>
      </c>
      <c r="BE63" s="216">
        <f>(F63/Population_Tables!S37)*Population_Tables!G37</f>
        <v>3169.0315147581978</v>
      </c>
      <c r="BF63" s="216">
        <f>(G63/Population_Tables!T37)*Population_Tables!H37</f>
        <v>176.56971254588558</v>
      </c>
      <c r="BG63" s="216"/>
      <c r="BN63" s="216"/>
      <c r="BO63" s="216"/>
      <c r="BP63" s="216"/>
    </row>
    <row r="64" spans="1:68" ht="15.6" x14ac:dyDescent="0.3">
      <c r="A64" s="206">
        <v>2049</v>
      </c>
      <c r="B64" s="229">
        <v>6453.521052645664</v>
      </c>
      <c r="C64" s="229">
        <v>0</v>
      </c>
      <c r="D64" s="229">
        <v>0</v>
      </c>
      <c r="E64" s="229">
        <v>4032.4405430323673</v>
      </c>
      <c r="F64" s="229">
        <v>2974.9517404297021</v>
      </c>
      <c r="G64" s="229">
        <v>159.4374034382829</v>
      </c>
      <c r="H64" s="229">
        <v>759.27467603130276</v>
      </c>
      <c r="I64" s="229">
        <v>1854.5996429582799</v>
      </c>
      <c r="J64" s="229">
        <v>0</v>
      </c>
      <c r="K64" s="229">
        <v>0</v>
      </c>
      <c r="M64" s="206">
        <v>2049</v>
      </c>
      <c r="N64" s="419">
        <f t="shared" si="2"/>
        <v>4148.30532256071</v>
      </c>
      <c r="O64" s="418">
        <f>(C64/Population_Tables!P38)*Population_Tables!D97</f>
        <v>0</v>
      </c>
      <c r="P64" s="418">
        <f>(D64/Population_Tables!Q38)*Population_Tables!E97</f>
        <v>0</v>
      </c>
      <c r="Q64" s="418">
        <f>((E64-H64)/Population_Tables!R38)*Population_Tables!F97</f>
        <v>2071.7727749059468</v>
      </c>
      <c r="R64" s="418">
        <f>(F64/Population_Tables!S38)*Population_Tables!G97</f>
        <v>2024.5151941031813</v>
      </c>
      <c r="S64" s="418">
        <f>(G64/Population_Tables!T38)*Population_Tables!H97</f>
        <v>52.017353551581763</v>
      </c>
      <c r="T64" s="418">
        <f>(H64/Population_Tables!U38)*Population_Tables!I97</f>
        <v>0</v>
      </c>
      <c r="U64" s="418">
        <f>(I64/Population_Tables!V38)*Population_Tables!J97</f>
        <v>0</v>
      </c>
      <c r="V64" s="418">
        <f>(J64/Population_Tables!W38)*Population_Tables!K97</f>
        <v>0</v>
      </c>
      <c r="W64" s="418">
        <f>(K64/Population_Tables!X38)*Population_Tables!L97</f>
        <v>0</v>
      </c>
      <c r="Y64" s="456">
        <v>2049</v>
      </c>
      <c r="Z64" s="459">
        <f>((B64/Population_Tables!O38)*Population_Tables!C38)-N64</f>
        <v>2870.3699583152884</v>
      </c>
      <c r="AA64" s="459">
        <f>((C64/Population_Tables!P38)*Population_Tables!D38)-O64</f>
        <v>0</v>
      </c>
      <c r="AB64" s="459">
        <f>((D64/Population_Tables!Q38)*Population_Tables!E38)-P64</f>
        <v>0</v>
      </c>
      <c r="AC64" s="459">
        <f>((E64/Population_Tables!R38)*Population_Tables!F38)-Q64</f>
        <v>2329.0216541667132</v>
      </c>
      <c r="AD64" s="459">
        <f>((F64/Population_Tables!S38)*Population_Tables!G38)-R64</f>
        <v>1193.0316483503757</v>
      </c>
      <c r="AE64" s="459">
        <f>((G64/Population_Tables!T38)*Population_Tables!H38)-S64</f>
        <v>124.45212350524535</v>
      </c>
      <c r="AF64" s="459">
        <f>(H64/Population_Tables!U38)*Population_Tables!I38</f>
        <v>814.61188320879603</v>
      </c>
      <c r="AG64" s="459">
        <f>(I64/Population_Tables!V38)*Population_Tables!J38</f>
        <v>2021.0801679231179</v>
      </c>
      <c r="AH64" s="459">
        <f>(J64/Population_Tables!W38)*Population_Tables!K38</f>
        <v>0</v>
      </c>
      <c r="AI64" s="459">
        <f>(K64/Population_Tables!X38)*Population_Tables!L38</f>
        <v>0</v>
      </c>
      <c r="AK64" s="456">
        <v>2049</v>
      </c>
      <c r="AL64" s="459">
        <f t="shared" si="6"/>
        <v>7018.6752808759984</v>
      </c>
      <c r="AM64" s="459">
        <f t="shared" si="6"/>
        <v>0</v>
      </c>
      <c r="AN64" s="459">
        <f t="shared" si="6"/>
        <v>0</v>
      </c>
      <c r="AO64" s="459">
        <f t="shared" si="6"/>
        <v>4400.79442907266</v>
      </c>
      <c r="AP64" s="459">
        <f t="shared" si="6"/>
        <v>3217.546842453557</v>
      </c>
      <c r="AQ64" s="459">
        <f t="shared" si="6"/>
        <v>176.46947705682712</v>
      </c>
      <c r="AR64" s="459">
        <f t="shared" si="6"/>
        <v>814.61188320879603</v>
      </c>
      <c r="AS64" s="459">
        <f t="shared" si="6"/>
        <v>2021.0801679231179</v>
      </c>
      <c r="AT64" s="459">
        <f t="shared" si="6"/>
        <v>0</v>
      </c>
      <c r="AU64" s="459">
        <f t="shared" si="6"/>
        <v>0</v>
      </c>
      <c r="AW64" s="216">
        <f>(B64/Population_Tables!O38)*Population_Tables!C38</f>
        <v>7018.6752808759984</v>
      </c>
      <c r="AX64" s="153" t="str">
        <f t="shared" si="7"/>
        <v>OK</v>
      </c>
      <c r="AY64" s="421">
        <f t="shared" si="4"/>
        <v>7794.8107485830433</v>
      </c>
      <c r="AZ64" s="153" t="str">
        <f t="shared" si="5"/>
        <v>OK</v>
      </c>
      <c r="BB64" s="216">
        <f>(C64/Population_Tables!P38)*Population_Tables!D38</f>
        <v>0</v>
      </c>
      <c r="BC64" s="216">
        <f>(D64/Population_Tables!Q38)*Population_Tables!E38</f>
        <v>0</v>
      </c>
      <c r="BD64" s="216">
        <f>(E64/Population_Tables!R38)*Population_Tables!F38</f>
        <v>4400.79442907266</v>
      </c>
      <c r="BE64" s="216">
        <f>(F64/Population_Tables!S38)*Population_Tables!G38</f>
        <v>3217.546842453557</v>
      </c>
      <c r="BF64" s="216">
        <f>(G64/Population_Tables!T38)*Population_Tables!H38</f>
        <v>176.46947705682712</v>
      </c>
      <c r="BG64" s="216"/>
      <c r="BN64" s="216"/>
      <c r="BO64" s="216"/>
      <c r="BP64" s="216"/>
    </row>
    <row r="65" spans="1:68" ht="16.2" thickBot="1" x14ac:dyDescent="0.35">
      <c r="A65" s="208">
        <v>2050</v>
      </c>
      <c r="B65" s="231">
        <v>6494.1553555018436</v>
      </c>
      <c r="C65" s="231">
        <v>0</v>
      </c>
      <c r="D65" s="231">
        <v>0</v>
      </c>
      <c r="E65" s="231">
        <v>4020.7053672021825</v>
      </c>
      <c r="F65" s="231">
        <v>3009.8632923985015</v>
      </c>
      <c r="G65" s="231">
        <v>158.61920107918081</v>
      </c>
      <c r="H65" s="231">
        <v>751.50386657293234</v>
      </c>
      <c r="I65" s="231">
        <v>1855.9613253692517</v>
      </c>
      <c r="J65" s="231">
        <v>0</v>
      </c>
      <c r="K65" s="231">
        <v>0</v>
      </c>
      <c r="M65" s="208">
        <v>2050</v>
      </c>
      <c r="N65" s="419">
        <f t="shared" si="2"/>
        <v>4197.3939787855807</v>
      </c>
      <c r="O65" s="418">
        <f>(C65/Population_Tables!P39)*Population_Tables!D98</f>
        <v>0</v>
      </c>
      <c r="P65" s="418">
        <f>(D65/Population_Tables!Q39)*Population_Tables!E98</f>
        <v>0</v>
      </c>
      <c r="Q65" s="418">
        <f>((E65-H65)/Population_Tables!R39)*Population_Tables!F98</f>
        <v>2085.8235169690688</v>
      </c>
      <c r="R65" s="418">
        <f>(F65/Population_Tables!S39)*Population_Tables!G98</f>
        <v>2059.4283483034801</v>
      </c>
      <c r="S65" s="418">
        <f>(G65/Population_Tables!T39)*Population_Tables!H98</f>
        <v>52.142113513032513</v>
      </c>
      <c r="T65" s="418">
        <f>(H65/Population_Tables!U39)*Population_Tables!I98</f>
        <v>0</v>
      </c>
      <c r="U65" s="418">
        <f>(I65/Population_Tables!V39)*Population_Tables!J98</f>
        <v>0</v>
      </c>
      <c r="V65" s="418">
        <f>(J65/Population_Tables!W39)*Population_Tables!K98</f>
        <v>0</v>
      </c>
      <c r="W65" s="418">
        <f>(K65/Population_Tables!X39)*Population_Tables!L98</f>
        <v>0</v>
      </c>
      <c r="Y65" s="456">
        <v>2050</v>
      </c>
      <c r="Z65" s="459">
        <f>((B65/Population_Tables!O39)*Population_Tables!C39)-N65</f>
        <v>2892.4659415672895</v>
      </c>
      <c r="AA65" s="459">
        <f>((C65/Population_Tables!P39)*Population_Tables!D39)-O65</f>
        <v>0</v>
      </c>
      <c r="AB65" s="459">
        <f>((D65/Population_Tables!Q39)*Population_Tables!E39)-P65</f>
        <v>0</v>
      </c>
      <c r="AC65" s="459">
        <f>((E65/Population_Tables!R39)*Population_Tables!F39)-Q65</f>
        <v>2320.2495342398006</v>
      </c>
      <c r="AD65" s="459">
        <f>((F65/Population_Tables!S39)*Population_Tables!G39)-R65</f>
        <v>1207.1997086539509</v>
      </c>
      <c r="AE65" s="459">
        <f>((G65/Population_Tables!T39)*Population_Tables!H39)-S65</f>
        <v>124.21785941136568</v>
      </c>
      <c r="AF65" s="459">
        <f>(H65/Population_Tables!U39)*Population_Tables!I39</f>
        <v>808.97387849605036</v>
      </c>
      <c r="AG65" s="459">
        <f>(I65/Population_Tables!V39)*Population_Tables!J39</f>
        <v>2030.6230413954397</v>
      </c>
      <c r="AH65" s="459">
        <f>(J65/Population_Tables!W39)*Population_Tables!K39</f>
        <v>0</v>
      </c>
      <c r="AI65" s="459">
        <f>(K65/Population_Tables!X39)*Population_Tables!L39</f>
        <v>0</v>
      </c>
      <c r="AK65" s="456">
        <v>2050</v>
      </c>
      <c r="AL65" s="459">
        <f t="shared" si="6"/>
        <v>7089.8599203528702</v>
      </c>
      <c r="AM65" s="459">
        <f t="shared" si="6"/>
        <v>0</v>
      </c>
      <c r="AN65" s="459">
        <f t="shared" si="6"/>
        <v>0</v>
      </c>
      <c r="AO65" s="459">
        <f t="shared" si="6"/>
        <v>4406.0730512088694</v>
      </c>
      <c r="AP65" s="459">
        <f t="shared" si="6"/>
        <v>3266.628056957431</v>
      </c>
      <c r="AQ65" s="459">
        <f t="shared" si="6"/>
        <v>176.35997292439819</v>
      </c>
      <c r="AR65" s="459">
        <f t="shared" si="6"/>
        <v>808.97387849605036</v>
      </c>
      <c r="AS65" s="459">
        <f t="shared" si="6"/>
        <v>2030.6230413954397</v>
      </c>
      <c r="AT65" s="459">
        <f t="shared" si="6"/>
        <v>0</v>
      </c>
      <c r="AU65" s="459">
        <f t="shared" si="6"/>
        <v>0</v>
      </c>
      <c r="AW65" s="216">
        <f>(B65/Population_Tables!O39)*Population_Tables!C39</f>
        <v>7089.8599203528702</v>
      </c>
      <c r="AX65" s="153" t="str">
        <f t="shared" si="7"/>
        <v>OK</v>
      </c>
      <c r="AY65" s="421">
        <f t="shared" si="4"/>
        <v>7849.0610810906983</v>
      </c>
      <c r="AZ65" s="153" t="str">
        <f t="shared" si="5"/>
        <v>OK</v>
      </c>
      <c r="BB65" s="216">
        <f>(C65/Population_Tables!P39)*Population_Tables!D39</f>
        <v>0</v>
      </c>
      <c r="BC65" s="216">
        <f>(D65/Population_Tables!Q39)*Population_Tables!E39</f>
        <v>0</v>
      </c>
      <c r="BD65" s="216">
        <f>(E65/Population_Tables!R39)*Population_Tables!F39</f>
        <v>4406.0730512088694</v>
      </c>
      <c r="BE65" s="216">
        <f>(F65/Population_Tables!S39)*Population_Tables!G39</f>
        <v>3266.628056957431</v>
      </c>
      <c r="BF65" s="216">
        <f>(G65/Population_Tables!T39)*Population_Tables!H39</f>
        <v>176.35997292439819</v>
      </c>
      <c r="BG65" s="216"/>
      <c r="BN65" s="216"/>
      <c r="BO65" s="216"/>
      <c r="BP65" s="216"/>
    </row>
    <row r="66" spans="1:68" ht="15.6" x14ac:dyDescent="0.3">
      <c r="A66" s="213">
        <v>2051</v>
      </c>
      <c r="B66" s="227">
        <v>6526.7215914967783</v>
      </c>
      <c r="C66" s="227">
        <v>0</v>
      </c>
      <c r="D66" s="227">
        <v>0</v>
      </c>
      <c r="E66" s="227">
        <v>4008.3498960842535</v>
      </c>
      <c r="F66" s="227">
        <v>3044.7698227329565</v>
      </c>
      <c r="G66" s="227">
        <v>157.77931012948591</v>
      </c>
      <c r="H66" s="227">
        <v>744.30215866428011</v>
      </c>
      <c r="I66" s="227">
        <v>1857.011896219977</v>
      </c>
      <c r="J66" s="227">
        <v>0</v>
      </c>
      <c r="K66" s="227">
        <v>0</v>
      </c>
      <c r="M66" s="213">
        <v>2051</v>
      </c>
      <c r="N66" s="419">
        <f t="shared" si="2"/>
        <v>4246.5712544701246</v>
      </c>
      <c r="O66" s="418">
        <f>(C66/Population_Tables!P40)*Population_Tables!D99</f>
        <v>0</v>
      </c>
      <c r="P66" s="418">
        <f>(D66/Population_Tables!Q40)*Population_Tables!E99</f>
        <v>0</v>
      </c>
      <c r="Q66" s="418">
        <f>((E66-H66)/Population_Tables!R40)*Population_Tables!F99</f>
        <v>2099.5571833564054</v>
      </c>
      <c r="R66" s="418">
        <f>(F66/Population_Tables!S40)*Population_Tables!G99</f>
        <v>2094.749452040257</v>
      </c>
      <c r="S66" s="418">
        <f>(G66/Population_Tables!T40)*Population_Tables!H99</f>
        <v>52.264619073462242</v>
      </c>
      <c r="T66" s="418">
        <f>(H66/Population_Tables!U40)*Population_Tables!I99</f>
        <v>0</v>
      </c>
      <c r="U66" s="418">
        <f>(I66/Population_Tables!V40)*Population_Tables!J99</f>
        <v>0</v>
      </c>
      <c r="V66" s="418">
        <f>(J66/Population_Tables!W40)*Population_Tables!K99</f>
        <v>0</v>
      </c>
      <c r="W66" s="418">
        <f>(K66/Population_Tables!X40)*Population_Tables!L99</f>
        <v>0</v>
      </c>
      <c r="Y66" s="456">
        <v>2051</v>
      </c>
      <c r="Z66" s="459">
        <f>((B66/Population_Tables!O40)*Population_Tables!C40)-N66</f>
        <v>2906.8759724116808</v>
      </c>
      <c r="AA66" s="459">
        <f>((C66/Population_Tables!P40)*Population_Tables!D40)-O66</f>
        <v>0</v>
      </c>
      <c r="AB66" s="459">
        <f>((D66/Population_Tables!Q40)*Population_Tables!E40)-P66</f>
        <v>0</v>
      </c>
      <c r="AC66" s="459">
        <f>((E66/Population_Tables!R40)*Population_Tables!F40)-Q66</f>
        <v>2311.7125657121969</v>
      </c>
      <c r="AD66" s="459">
        <f>((F66/Population_Tables!S40)*Population_Tables!G40)-R66</f>
        <v>1221.536215887113</v>
      </c>
      <c r="AE66" s="459">
        <f>((G66/Population_Tables!T40)*Population_Tables!H40)-S66</f>
        <v>123.97704519260823</v>
      </c>
      <c r="AF66" s="459">
        <f>(H66/Population_Tables!U40)*Population_Tables!I40</f>
        <v>803.98500424354643</v>
      </c>
      <c r="AG66" s="459">
        <f>(I66/Population_Tables!V40)*Population_Tables!J40</f>
        <v>2040.2251554233837</v>
      </c>
      <c r="AH66" s="459">
        <f>(J66/Population_Tables!W40)*Population_Tables!K40</f>
        <v>0</v>
      </c>
      <c r="AI66" s="459">
        <f>(K66/Population_Tables!X40)*Population_Tables!L40</f>
        <v>0</v>
      </c>
      <c r="AK66" s="456">
        <v>2051</v>
      </c>
      <c r="AL66" s="459">
        <f t="shared" si="6"/>
        <v>7153.4472268818054</v>
      </c>
      <c r="AM66" s="459">
        <f t="shared" si="6"/>
        <v>0</v>
      </c>
      <c r="AN66" s="459">
        <f t="shared" si="6"/>
        <v>0</v>
      </c>
      <c r="AO66" s="459">
        <f t="shared" si="6"/>
        <v>4411.2697490686023</v>
      </c>
      <c r="AP66" s="459">
        <f t="shared" si="6"/>
        <v>3316.28566792737</v>
      </c>
      <c r="AQ66" s="459">
        <f t="shared" si="6"/>
        <v>176.24166426607047</v>
      </c>
      <c r="AR66" s="459">
        <f t="shared" si="6"/>
        <v>803.98500424354643</v>
      </c>
      <c r="AS66" s="459">
        <f t="shared" si="6"/>
        <v>2040.2251554233837</v>
      </c>
      <c r="AT66" s="459">
        <f t="shared" si="6"/>
        <v>0</v>
      </c>
      <c r="AU66" s="459">
        <f t="shared" si="6"/>
        <v>0</v>
      </c>
      <c r="AW66" s="216">
        <f>(B66/Population_Tables!O40)*Population_Tables!C40</f>
        <v>7153.4472268818054</v>
      </c>
      <c r="AX66" s="153" t="str">
        <f t="shared" si="7"/>
        <v>OK</v>
      </c>
      <c r="AY66" s="421">
        <f t="shared" si="4"/>
        <v>7903.7970812620424</v>
      </c>
      <c r="AZ66" s="153" t="str">
        <f t="shared" si="5"/>
        <v>OK</v>
      </c>
      <c r="BB66" s="216">
        <f>(C66/Population_Tables!P40)*Population_Tables!D40</f>
        <v>0</v>
      </c>
      <c r="BC66" s="216">
        <f>(D66/Population_Tables!Q40)*Population_Tables!E40</f>
        <v>0</v>
      </c>
      <c r="BD66" s="216">
        <f>(E66/Population_Tables!R40)*Population_Tables!F40</f>
        <v>4411.2697490686023</v>
      </c>
      <c r="BE66" s="216">
        <f>(F66/Population_Tables!S40)*Population_Tables!G40</f>
        <v>3316.28566792737</v>
      </c>
      <c r="BF66" s="216">
        <f>(G66/Population_Tables!T40)*Population_Tables!H40</f>
        <v>176.24166426607047</v>
      </c>
      <c r="BG66" s="216"/>
      <c r="BN66" s="216"/>
      <c r="BO66" s="216"/>
      <c r="BP66" s="216"/>
    </row>
    <row r="67" spans="1:68" ht="15.6" x14ac:dyDescent="0.3">
      <c r="A67" s="194">
        <v>2052</v>
      </c>
      <c r="B67" s="229">
        <v>6558.8622512144593</v>
      </c>
      <c r="C67" s="229">
        <v>0</v>
      </c>
      <c r="D67" s="229">
        <v>0</v>
      </c>
      <c r="E67" s="229">
        <v>3995.3739758767251</v>
      </c>
      <c r="F67" s="229">
        <v>3079.6673057667549</v>
      </c>
      <c r="G67" s="229">
        <v>156.91790446680506</v>
      </c>
      <c r="H67" s="229">
        <v>737.70861811358418</v>
      </c>
      <c r="I67" s="229">
        <v>1857.7504941958873</v>
      </c>
      <c r="J67" s="229">
        <v>0</v>
      </c>
      <c r="K67" s="229">
        <v>0</v>
      </c>
      <c r="M67" s="194">
        <v>2052</v>
      </c>
      <c r="N67" s="419">
        <f t="shared" si="2"/>
        <v>4295.7993546122689</v>
      </c>
      <c r="O67" s="418">
        <f>(C67/Population_Tables!P41)*Population_Tables!D100</f>
        <v>0</v>
      </c>
      <c r="P67" s="418">
        <f>(D67/Population_Tables!Q41)*Population_Tables!E100</f>
        <v>0</v>
      </c>
      <c r="Q67" s="418">
        <f>((E67-H67)/Population_Tables!R41)*Population_Tables!F100</f>
        <v>2112.9308442334245</v>
      </c>
      <c r="R67" s="418">
        <f>(F67/Population_Tables!S41)*Population_Tables!G100</f>
        <v>2130.4836071184814</v>
      </c>
      <c r="S67" s="418">
        <f>(G67/Population_Tables!T41)*Population_Tables!H100</f>
        <v>52.384903260362826</v>
      </c>
      <c r="T67" s="418">
        <f>(H67/Population_Tables!U41)*Population_Tables!I100</f>
        <v>0</v>
      </c>
      <c r="U67" s="418">
        <f>(I67/Population_Tables!V41)*Population_Tables!J100</f>
        <v>0</v>
      </c>
      <c r="V67" s="418">
        <f>(J67/Population_Tables!W41)*Population_Tables!K100</f>
        <v>0</v>
      </c>
      <c r="W67" s="418">
        <f>(K67/Population_Tables!X41)*Population_Tables!L100</f>
        <v>0</v>
      </c>
      <c r="Y67" s="456">
        <v>2052</v>
      </c>
      <c r="Z67" s="459">
        <f>((B67/Population_Tables!O41)*Population_Tables!C41)-N67</f>
        <v>2921.9681608183328</v>
      </c>
      <c r="AA67" s="459">
        <f>((C67/Population_Tables!P41)*Population_Tables!D41)-O67</f>
        <v>0</v>
      </c>
      <c r="AB67" s="459">
        <f>((D67/Population_Tables!Q41)*Population_Tables!E41)-P67</f>
        <v>0</v>
      </c>
      <c r="AC67" s="459">
        <f>((E67/Population_Tables!R41)*Population_Tables!F41)-Q67</f>
        <v>2303.4497055799588</v>
      </c>
      <c r="AD67" s="459">
        <f>((F67/Population_Tables!S41)*Population_Tables!G41)-R67</f>
        <v>1236.0414317934951</v>
      </c>
      <c r="AE67" s="459">
        <f>((G67/Population_Tables!T41)*Population_Tables!H41)-S67</f>
        <v>123.72975488360601</v>
      </c>
      <c r="AF67" s="459">
        <f>(H67/Population_Tables!U41)*Population_Tables!I41</f>
        <v>799.69527066398427</v>
      </c>
      <c r="AG67" s="459">
        <f>(I67/Population_Tables!V41)*Population_Tables!J41</f>
        <v>2049.881270967966</v>
      </c>
      <c r="AH67" s="459">
        <f>(J67/Population_Tables!W41)*Population_Tables!K41</f>
        <v>0</v>
      </c>
      <c r="AI67" s="459">
        <f>(K67/Population_Tables!X41)*Population_Tables!L41</f>
        <v>0</v>
      </c>
      <c r="AK67" s="456">
        <v>2052</v>
      </c>
      <c r="AL67" s="459">
        <f t="shared" si="6"/>
        <v>7217.7675154306016</v>
      </c>
      <c r="AM67" s="459">
        <f t="shared" si="6"/>
        <v>0</v>
      </c>
      <c r="AN67" s="459">
        <f t="shared" si="6"/>
        <v>0</v>
      </c>
      <c r="AO67" s="459">
        <f t="shared" si="6"/>
        <v>4416.3805498133834</v>
      </c>
      <c r="AP67" s="459">
        <f t="shared" si="6"/>
        <v>3366.5250389119765</v>
      </c>
      <c r="AQ67" s="459">
        <f t="shared" si="6"/>
        <v>176.11465814396882</v>
      </c>
      <c r="AR67" s="459">
        <f t="shared" si="6"/>
        <v>799.69527066398427</v>
      </c>
      <c r="AS67" s="459">
        <f t="shared" si="6"/>
        <v>2049.881270967966</v>
      </c>
      <c r="AT67" s="459">
        <f t="shared" si="6"/>
        <v>0</v>
      </c>
      <c r="AU67" s="459">
        <f t="shared" si="6"/>
        <v>0</v>
      </c>
      <c r="AW67" s="216">
        <f>(B67/Population_Tables!O41)*Population_Tables!C41</f>
        <v>7217.7675154306016</v>
      </c>
      <c r="AX67" s="153" t="str">
        <f t="shared" si="7"/>
        <v>OK</v>
      </c>
      <c r="AY67" s="421">
        <f t="shared" si="4"/>
        <v>7959.0202468693287</v>
      </c>
      <c r="AZ67" s="153" t="str">
        <f t="shared" si="5"/>
        <v>OK</v>
      </c>
      <c r="BB67" s="216">
        <f>(C67/Population_Tables!P41)*Population_Tables!D41</f>
        <v>0</v>
      </c>
      <c r="BC67" s="216">
        <f>(D67/Population_Tables!Q41)*Population_Tables!E41</f>
        <v>0</v>
      </c>
      <c r="BD67" s="216">
        <f>(E67/Population_Tables!R41)*Population_Tables!F41</f>
        <v>4416.3805498133834</v>
      </c>
      <c r="BE67" s="216">
        <f>(F67/Population_Tables!S41)*Population_Tables!G41</f>
        <v>3366.5250389119765</v>
      </c>
      <c r="BF67" s="216">
        <f>(G67/Population_Tables!T41)*Population_Tables!H41</f>
        <v>176.11465814396882</v>
      </c>
      <c r="BG67" s="216"/>
      <c r="BN67" s="216"/>
      <c r="BO67" s="216"/>
      <c r="BP67" s="216"/>
    </row>
    <row r="68" spans="1:68" ht="15.6" x14ac:dyDescent="0.3">
      <c r="A68" s="194">
        <v>2053</v>
      </c>
      <c r="B68" s="229">
        <v>6590.5467790789226</v>
      </c>
      <c r="C68" s="229">
        <v>0</v>
      </c>
      <c r="D68" s="229">
        <v>0</v>
      </c>
      <c r="E68" s="229">
        <v>3981.7774527777433</v>
      </c>
      <c r="F68" s="229">
        <v>3114.5517158335824</v>
      </c>
      <c r="G68" s="229">
        <v>156.03515796874524</v>
      </c>
      <c r="H68" s="229">
        <v>731.7623107290824</v>
      </c>
      <c r="I68" s="229">
        <v>1858.1762579824144</v>
      </c>
      <c r="J68" s="229">
        <v>0</v>
      </c>
      <c r="K68" s="229">
        <v>0</v>
      </c>
      <c r="M68" s="194">
        <v>2053</v>
      </c>
      <c r="N68" s="419">
        <f t="shared" si="2"/>
        <v>4345.0250842192136</v>
      </c>
      <c r="O68" s="418">
        <f>(C68/Population_Tables!P42)*Population_Tables!D101</f>
        <v>0</v>
      </c>
      <c r="P68" s="418">
        <f>(D68/Population_Tables!Q42)*Population_Tables!E101</f>
        <v>0</v>
      </c>
      <c r="Q68" s="418">
        <f>((E68-H68)/Population_Tables!R42)*Population_Tables!F101</f>
        <v>2125.88759774442</v>
      </c>
      <c r="R68" s="418">
        <f>(F68/Population_Tables!S42)*Population_Tables!G101</f>
        <v>2166.6345928831888</v>
      </c>
      <c r="S68" s="418">
        <f>(G68/Population_Tables!T42)*Population_Tables!H101</f>
        <v>52.502893591604554</v>
      </c>
      <c r="T68" s="418">
        <f>(H68/Population_Tables!U42)*Population_Tables!I101</f>
        <v>0</v>
      </c>
      <c r="U68" s="418">
        <f>(I68/Population_Tables!V42)*Population_Tables!J101</f>
        <v>0</v>
      </c>
      <c r="V68" s="418">
        <f>(J68/Population_Tables!W42)*Population_Tables!K101</f>
        <v>0</v>
      </c>
      <c r="W68" s="418">
        <f>(K68/Population_Tables!X42)*Population_Tables!L101</f>
        <v>0</v>
      </c>
      <c r="Y68" s="456">
        <v>2053</v>
      </c>
      <c r="Z68" s="459">
        <f>((B68/Population_Tables!O42)*Population_Tables!C42)-N68</f>
        <v>2937.7706381417247</v>
      </c>
      <c r="AA68" s="459">
        <f>((C68/Population_Tables!P42)*Population_Tables!D42)-O68</f>
        <v>0</v>
      </c>
      <c r="AB68" s="459">
        <f>((D68/Population_Tables!Q42)*Population_Tables!E42)-P68</f>
        <v>0</v>
      </c>
      <c r="AC68" s="459">
        <f>((E68/Population_Tables!R42)*Population_Tables!F42)-Q68</f>
        <v>2295.5014216827753</v>
      </c>
      <c r="AD68" s="459">
        <f>((F68/Population_Tables!S42)*Population_Tables!G42)-R68</f>
        <v>1250.7122656273823</v>
      </c>
      <c r="AE68" s="459">
        <f>((G68/Population_Tables!T42)*Population_Tables!H42)-S68</f>
        <v>123.4760841109381</v>
      </c>
      <c r="AF68" s="459">
        <f>(H68/Population_Tables!U42)*Population_Tables!I42</f>
        <v>796.15379732250869</v>
      </c>
      <c r="AG68" s="459">
        <f>(I68/Population_Tables!V42)*Population_Tables!J42</f>
        <v>2059.577532334506</v>
      </c>
      <c r="AH68" s="459">
        <f>(J68/Population_Tables!W42)*Population_Tables!K42</f>
        <v>0</v>
      </c>
      <c r="AI68" s="459">
        <f>(K68/Population_Tables!X42)*Population_Tables!L42</f>
        <v>0</v>
      </c>
      <c r="AK68" s="456">
        <v>2053</v>
      </c>
      <c r="AL68" s="459">
        <f t="shared" si="6"/>
        <v>7282.7957223609383</v>
      </c>
      <c r="AM68" s="459">
        <f t="shared" si="6"/>
        <v>0</v>
      </c>
      <c r="AN68" s="459">
        <f t="shared" si="6"/>
        <v>0</v>
      </c>
      <c r="AO68" s="459">
        <f t="shared" si="6"/>
        <v>4421.3890194271953</v>
      </c>
      <c r="AP68" s="459">
        <f t="shared" si="6"/>
        <v>3417.3468585105711</v>
      </c>
      <c r="AQ68" s="459">
        <f t="shared" si="6"/>
        <v>175.97897770254266</v>
      </c>
      <c r="AR68" s="459">
        <f t="shared" si="6"/>
        <v>796.15379732250869</v>
      </c>
      <c r="AS68" s="459">
        <f t="shared" si="6"/>
        <v>2059.577532334506</v>
      </c>
      <c r="AT68" s="459">
        <f t="shared" si="6"/>
        <v>0</v>
      </c>
      <c r="AU68" s="459">
        <f t="shared" si="6"/>
        <v>0</v>
      </c>
      <c r="AW68" s="216">
        <f>(B68/Population_Tables!O42)*Population_Tables!C42</f>
        <v>7282.7957223609383</v>
      </c>
      <c r="AX68" s="153" t="str">
        <f t="shared" si="7"/>
        <v>OK</v>
      </c>
      <c r="AY68" s="421">
        <f t="shared" si="4"/>
        <v>8014.714855640309</v>
      </c>
      <c r="AZ68" s="153" t="str">
        <f t="shared" si="5"/>
        <v>OK</v>
      </c>
      <c r="BB68" s="216">
        <f>(C68/Population_Tables!P42)*Population_Tables!D42</f>
        <v>0</v>
      </c>
      <c r="BC68" s="216">
        <f>(D68/Population_Tables!Q42)*Population_Tables!E42</f>
        <v>0</v>
      </c>
      <c r="BD68" s="216">
        <f>(E68/Population_Tables!R42)*Population_Tables!F42</f>
        <v>4421.3890194271953</v>
      </c>
      <c r="BE68" s="216">
        <f>(F68/Population_Tables!S42)*Population_Tables!G42</f>
        <v>3417.3468585105711</v>
      </c>
      <c r="BF68" s="216">
        <f>(G68/Population_Tables!T42)*Population_Tables!H42</f>
        <v>175.97897770254266</v>
      </c>
      <c r="BG68" s="216"/>
      <c r="BN68" s="216"/>
      <c r="BO68" s="216"/>
      <c r="BP68" s="216"/>
    </row>
    <row r="69" spans="1:68" ht="15.6" x14ac:dyDescent="0.3">
      <c r="A69" s="194">
        <v>2054</v>
      </c>
      <c r="B69" s="229">
        <v>6621.7412110166742</v>
      </c>
      <c r="C69" s="229">
        <v>0</v>
      </c>
      <c r="D69" s="229">
        <v>0</v>
      </c>
      <c r="E69" s="229">
        <v>3967.5601729854538</v>
      </c>
      <c r="F69" s="229">
        <v>3149.4190272671258</v>
      </c>
      <c r="G69" s="229">
        <v>155.13124451291333</v>
      </c>
      <c r="H69" s="229">
        <v>726.50230231901298</v>
      </c>
      <c r="I69" s="229">
        <v>1858.2883262649893</v>
      </c>
      <c r="J69" s="229">
        <v>0</v>
      </c>
      <c r="K69" s="229">
        <v>0</v>
      </c>
      <c r="M69" s="194">
        <v>2054</v>
      </c>
      <c r="N69" s="419">
        <f t="shared" si="2"/>
        <v>4394.1807810106548</v>
      </c>
      <c r="O69" s="418">
        <f>(C69/Population_Tables!P43)*Population_Tables!D102</f>
        <v>0</v>
      </c>
      <c r="P69" s="418">
        <f>(D69/Population_Tables!Q43)*Population_Tables!E102</f>
        <v>0</v>
      </c>
      <c r="Q69" s="418">
        <f>((E69-H69)/Population_Tables!R43)*Population_Tables!F102</f>
        <v>2138.3571042000954</v>
      </c>
      <c r="R69" s="418">
        <f>(F69/Population_Tables!S43)*Population_Tables!G102</f>
        <v>2203.2052641068017</v>
      </c>
      <c r="S69" s="418">
        <f>(G69/Population_Tables!T43)*Population_Tables!H102</f>
        <v>52.618412703757592</v>
      </c>
      <c r="T69" s="418">
        <f>(H69/Population_Tables!U43)*Population_Tables!I102</f>
        <v>0</v>
      </c>
      <c r="U69" s="418">
        <f>(I69/Population_Tables!V43)*Population_Tables!J102</f>
        <v>0</v>
      </c>
      <c r="V69" s="418">
        <f>(J69/Population_Tables!W43)*Population_Tables!K102</f>
        <v>0</v>
      </c>
      <c r="W69" s="418">
        <f>(K69/Population_Tables!X43)*Population_Tables!L102</f>
        <v>0</v>
      </c>
      <c r="Y69" s="456">
        <v>2054</v>
      </c>
      <c r="Z69" s="459">
        <f>((B69/Population_Tables!O43)*Population_Tables!C43)-N69</f>
        <v>2954.3078901479694</v>
      </c>
      <c r="AA69" s="459">
        <f>((C69/Population_Tables!P43)*Population_Tables!D43)-O69</f>
        <v>0</v>
      </c>
      <c r="AB69" s="459">
        <f>((D69/Population_Tables!Q43)*Population_Tables!E43)-P69</f>
        <v>0</v>
      </c>
      <c r="AC69" s="459">
        <f>((E69/Population_Tables!R43)*Population_Tables!F43)-Q69</f>
        <v>2287.9089275830006</v>
      </c>
      <c r="AD69" s="459">
        <f>((F69/Population_Tables!S43)*Population_Tables!G43)-R69</f>
        <v>1265.5428324882951</v>
      </c>
      <c r="AE69" s="459">
        <f>((G69/Population_Tables!T43)*Population_Tables!H43)-S69</f>
        <v>123.21590341804321</v>
      </c>
      <c r="AF69" s="459">
        <f>(H69/Population_Tables!U43)*Population_Tables!I43</f>
        <v>793.40977726341907</v>
      </c>
      <c r="AG69" s="459">
        <f>(I69/Population_Tables!V43)*Population_Tables!J43</f>
        <v>2069.2901679266488</v>
      </c>
      <c r="AH69" s="459">
        <f>(J69/Population_Tables!W43)*Population_Tables!K43</f>
        <v>0</v>
      </c>
      <c r="AI69" s="459">
        <f>(K69/Population_Tables!X43)*Population_Tables!L43</f>
        <v>0</v>
      </c>
      <c r="AK69" s="456">
        <v>2054</v>
      </c>
      <c r="AL69" s="459">
        <f t="shared" ref="AL69:AU75" si="8">Z69+N69</f>
        <v>7348.4886711586241</v>
      </c>
      <c r="AM69" s="459">
        <f t="shared" si="8"/>
        <v>0</v>
      </c>
      <c r="AN69" s="459">
        <f t="shared" si="8"/>
        <v>0</v>
      </c>
      <c r="AO69" s="459">
        <f t="shared" si="8"/>
        <v>4426.266031783096</v>
      </c>
      <c r="AP69" s="459">
        <f t="shared" si="8"/>
        <v>3468.7480965950967</v>
      </c>
      <c r="AQ69" s="459">
        <f t="shared" si="8"/>
        <v>175.83431612180081</v>
      </c>
      <c r="AR69" s="459">
        <f t="shared" si="8"/>
        <v>793.40977726341907</v>
      </c>
      <c r="AS69" s="459">
        <f t="shared" si="8"/>
        <v>2069.2901679266488</v>
      </c>
      <c r="AT69" s="459">
        <f t="shared" si="8"/>
        <v>0</v>
      </c>
      <c r="AU69" s="459">
        <f t="shared" si="8"/>
        <v>0</v>
      </c>
      <c r="AW69" s="216">
        <f>(B69/Population_Tables!O43)*Population_Tables!C43</f>
        <v>7348.4886711586241</v>
      </c>
      <c r="AX69" s="153" t="str">
        <f t="shared" si="7"/>
        <v>OK</v>
      </c>
      <c r="AY69" s="421">
        <f t="shared" si="4"/>
        <v>8070.8484444999931</v>
      </c>
      <c r="AZ69" s="153" t="str">
        <f t="shared" si="5"/>
        <v>OK</v>
      </c>
      <c r="BB69" s="216">
        <f>(C69/Population_Tables!P43)*Population_Tables!D43</f>
        <v>0</v>
      </c>
      <c r="BC69" s="216">
        <f>(D69/Population_Tables!Q43)*Population_Tables!E43</f>
        <v>0</v>
      </c>
      <c r="BD69" s="216">
        <f>(E69/Population_Tables!R43)*Population_Tables!F43</f>
        <v>4426.266031783096</v>
      </c>
      <c r="BE69" s="216">
        <f>(F69/Population_Tables!S43)*Population_Tables!G43</f>
        <v>3468.7480965950967</v>
      </c>
      <c r="BF69" s="216">
        <f>(G69/Population_Tables!T43)*Population_Tables!H43</f>
        <v>175.83431612180081</v>
      </c>
      <c r="BG69" s="216"/>
      <c r="BN69" s="216"/>
      <c r="BO69" s="216"/>
      <c r="BP69" s="216"/>
    </row>
    <row r="70" spans="1:68" ht="15.6" x14ac:dyDescent="0.3">
      <c r="A70" s="194">
        <v>2055</v>
      </c>
      <c r="B70" s="229">
        <v>6652.4091499872093</v>
      </c>
      <c r="C70" s="229">
        <v>0</v>
      </c>
      <c r="D70" s="229">
        <v>0</v>
      </c>
      <c r="E70" s="229">
        <v>3952.7219826980013</v>
      </c>
      <c r="F70" s="229">
        <v>3184.2652144010717</v>
      </c>
      <c r="G70" s="229">
        <v>154.20633797691625</v>
      </c>
      <c r="H70" s="229">
        <v>721.96765869161402</v>
      </c>
      <c r="I70" s="229">
        <v>1858.0858377290438</v>
      </c>
      <c r="J70" s="229">
        <v>0</v>
      </c>
      <c r="K70" s="229">
        <v>0</v>
      </c>
      <c r="M70" s="194">
        <v>2055</v>
      </c>
      <c r="N70" s="419">
        <f t="shared" si="2"/>
        <v>4443.1956913604936</v>
      </c>
      <c r="O70" s="418">
        <f>(C70/Population_Tables!P44)*Population_Tables!D103</f>
        <v>0</v>
      </c>
      <c r="P70" s="418">
        <f>(D70/Population_Tables!Q44)*Population_Tables!E103</f>
        <v>0</v>
      </c>
      <c r="Q70" s="418">
        <f>((E70-H70)/Population_Tables!R44)*Population_Tables!F103</f>
        <v>2150.2680687599004</v>
      </c>
      <c r="R70" s="418">
        <f>(F70/Population_Tables!S44)*Population_Tables!G103</f>
        <v>2240.1963495462528</v>
      </c>
      <c r="S70" s="418">
        <f>(G70/Population_Tables!T44)*Population_Tables!H103</f>
        <v>52.731273054339525</v>
      </c>
      <c r="T70" s="418">
        <f>(H70/Population_Tables!U44)*Population_Tables!I103</f>
        <v>0</v>
      </c>
      <c r="U70" s="418">
        <f>(I70/Population_Tables!V44)*Population_Tables!J103</f>
        <v>0</v>
      </c>
      <c r="V70" s="418">
        <f>(J70/Population_Tables!W44)*Population_Tables!K103</f>
        <v>0</v>
      </c>
      <c r="W70" s="418">
        <f>(K70/Population_Tables!X44)*Population_Tables!L103</f>
        <v>0</v>
      </c>
      <c r="Y70" s="456">
        <v>2055</v>
      </c>
      <c r="Z70" s="459">
        <f>((B70/Population_Tables!O44)*Population_Tables!C44)-N70</f>
        <v>2971.6010768742262</v>
      </c>
      <c r="AA70" s="459">
        <f>((C70/Population_Tables!P44)*Population_Tables!D44)-O70</f>
        <v>0</v>
      </c>
      <c r="AB70" s="459">
        <f>((D70/Population_Tables!Q44)*Population_Tables!E44)-P70</f>
        <v>0</v>
      </c>
      <c r="AC70" s="459">
        <f>((E70/Population_Tables!R44)*Population_Tables!F44)-Q70</f>
        <v>2280.7136114013365</v>
      </c>
      <c r="AD70" s="459">
        <f>((F70/Population_Tables!S44)*Population_Tables!G44)-R70</f>
        <v>1280.5284069183722</v>
      </c>
      <c r="AE70" s="459">
        <f>((G70/Population_Tables!T44)*Population_Tables!H44)-S70</f>
        <v>122.94902466673939</v>
      </c>
      <c r="AF70" s="459">
        <f>(H70/Population_Tables!U44)*Population_Tables!I44</f>
        <v>791.5135952338494</v>
      </c>
      <c r="AG70" s="459">
        <f>(I70/Population_Tables!V44)*Population_Tables!J44</f>
        <v>2078.9952374052132</v>
      </c>
      <c r="AH70" s="459">
        <f>(J70/Population_Tables!W44)*Population_Tables!K44</f>
        <v>0</v>
      </c>
      <c r="AI70" s="459">
        <f>(K70/Population_Tables!X44)*Population_Tables!L44</f>
        <v>0</v>
      </c>
      <c r="AK70" s="456">
        <v>2055</v>
      </c>
      <c r="AL70" s="459">
        <f t="shared" si="8"/>
        <v>7414.7967682347198</v>
      </c>
      <c r="AM70" s="459">
        <f t="shared" si="8"/>
        <v>0</v>
      </c>
      <c r="AN70" s="459">
        <f t="shared" si="8"/>
        <v>0</v>
      </c>
      <c r="AO70" s="459">
        <f t="shared" si="8"/>
        <v>4430.9816801612369</v>
      </c>
      <c r="AP70" s="459">
        <f t="shared" si="8"/>
        <v>3520.724756464625</v>
      </c>
      <c r="AQ70" s="459">
        <f t="shared" si="8"/>
        <v>175.68029772107892</v>
      </c>
      <c r="AR70" s="459">
        <f t="shared" si="8"/>
        <v>791.5135952338494</v>
      </c>
      <c r="AS70" s="459">
        <f t="shared" si="8"/>
        <v>2078.9952374052132</v>
      </c>
      <c r="AT70" s="459">
        <f t="shared" si="8"/>
        <v>0</v>
      </c>
      <c r="AU70" s="459">
        <f t="shared" si="8"/>
        <v>0</v>
      </c>
      <c r="AW70" s="216">
        <f>(B70/Population_Tables!O44)*Population_Tables!C44</f>
        <v>7414.7967682347198</v>
      </c>
      <c r="AX70" s="153" t="str">
        <f t="shared" si="7"/>
        <v>OK</v>
      </c>
      <c r="AY70" s="421">
        <f t="shared" si="4"/>
        <v>8127.386734346941</v>
      </c>
      <c r="AZ70" s="153" t="str">
        <f t="shared" si="5"/>
        <v>OK</v>
      </c>
      <c r="BB70" s="216">
        <f>(C70/Population_Tables!P44)*Population_Tables!D44</f>
        <v>0</v>
      </c>
      <c r="BC70" s="216">
        <f>(D70/Population_Tables!Q44)*Population_Tables!E44</f>
        <v>0</v>
      </c>
      <c r="BD70" s="216">
        <f>(E70/Population_Tables!R44)*Population_Tables!F44</f>
        <v>4430.9816801612369</v>
      </c>
      <c r="BE70" s="216">
        <f>(F70/Population_Tables!S44)*Population_Tables!G44</f>
        <v>3520.724756464625</v>
      </c>
      <c r="BF70" s="216">
        <f>(G70/Population_Tables!T44)*Population_Tables!H44</f>
        <v>175.68029772107892</v>
      </c>
      <c r="BG70" s="216"/>
      <c r="BN70" s="216"/>
      <c r="BO70" s="216"/>
      <c r="BP70" s="216"/>
    </row>
    <row r="71" spans="1:68" ht="15.6" x14ac:dyDescent="0.3">
      <c r="A71" s="194">
        <v>2056</v>
      </c>
      <c r="B71" s="229">
        <v>6682.5130183740384</v>
      </c>
      <c r="C71" s="229">
        <v>0</v>
      </c>
      <c r="D71" s="229">
        <v>0</v>
      </c>
      <c r="E71" s="229">
        <v>3937.2627281135319</v>
      </c>
      <c r="F71" s="229">
        <v>3219.0862515691069</v>
      </c>
      <c r="G71" s="229">
        <v>153.26061223836092</v>
      </c>
      <c r="H71" s="229">
        <v>718.19744565512326</v>
      </c>
      <c r="I71" s="229">
        <v>1857.5679310600094</v>
      </c>
      <c r="J71" s="229">
        <v>0</v>
      </c>
      <c r="K71" s="229">
        <v>0</v>
      </c>
      <c r="M71" s="194">
        <v>2056</v>
      </c>
      <c r="N71" s="419">
        <f t="shared" si="2"/>
        <v>4492.0164282481383</v>
      </c>
      <c r="O71" s="418">
        <f>(C71/Population_Tables!P45)*Population_Tables!D104</f>
        <v>0</v>
      </c>
      <c r="P71" s="418">
        <f>(D71/Population_Tables!Q45)*Population_Tables!E104</f>
        <v>0</v>
      </c>
      <c r="Q71" s="418">
        <f>((E71-H71)/Population_Tables!R45)*Population_Tables!F104</f>
        <v>2161.5660240156012</v>
      </c>
      <c r="R71" s="418">
        <f>(F71/Population_Tables!S45)*Population_Tables!G104</f>
        <v>2277.6090624059584</v>
      </c>
      <c r="S71" s="418">
        <f>(G71/Population_Tables!T45)*Population_Tables!H104</f>
        <v>52.841341826579487</v>
      </c>
      <c r="T71" s="418">
        <f>(H71/Population_Tables!U45)*Population_Tables!I104</f>
        <v>0</v>
      </c>
      <c r="U71" s="418">
        <f>(I71/Population_Tables!V45)*Population_Tables!J104</f>
        <v>0</v>
      </c>
      <c r="V71" s="418">
        <f>(J71/Population_Tables!W45)*Population_Tables!K104</f>
        <v>0</v>
      </c>
      <c r="W71" s="418">
        <f>(K71/Population_Tables!X45)*Population_Tables!L104</f>
        <v>0</v>
      </c>
      <c r="Y71" s="456">
        <v>2056</v>
      </c>
      <c r="Z71" s="459">
        <f>((B71/Population_Tables!O45)*Population_Tables!C45)-N71</f>
        <v>2989.6687383966919</v>
      </c>
      <c r="AA71" s="459">
        <f>((C71/Population_Tables!P45)*Population_Tables!D45)-O71</f>
        <v>0</v>
      </c>
      <c r="AB71" s="459">
        <f>((D71/Population_Tables!Q45)*Population_Tables!E45)-P71</f>
        <v>0</v>
      </c>
      <c r="AC71" s="459">
        <f>((E71/Population_Tables!R45)*Population_Tables!F45)-Q71</f>
        <v>2273.9581001329707</v>
      </c>
      <c r="AD71" s="459">
        <f>((F71/Population_Tables!S45)*Population_Tables!G45)-R71</f>
        <v>1295.6691014179783</v>
      </c>
      <c r="AE71" s="459">
        <f>((G71/Population_Tables!T45)*Population_Tables!H45)-S71</f>
        <v>122.67543391715165</v>
      </c>
      <c r="AF71" s="459">
        <f>(H71/Population_Tables!U45)*Population_Tables!I45</f>
        <v>790.5181957453533</v>
      </c>
      <c r="AG71" s="459">
        <f>(I71/Population_Tables!V45)*Population_Tables!J45</f>
        <v>2088.6843910760663</v>
      </c>
      <c r="AH71" s="459">
        <f>(J71/Population_Tables!W45)*Population_Tables!K45</f>
        <v>0</v>
      </c>
      <c r="AI71" s="459">
        <f>(K71/Population_Tables!X45)*Population_Tables!L45</f>
        <v>0</v>
      </c>
      <c r="AK71" s="456">
        <v>2056</v>
      </c>
      <c r="AL71" s="459">
        <f t="shared" si="8"/>
        <v>7481.6851666448301</v>
      </c>
      <c r="AM71" s="459">
        <f t="shared" si="8"/>
        <v>0</v>
      </c>
      <c r="AN71" s="459">
        <f t="shared" si="8"/>
        <v>0</v>
      </c>
      <c r="AO71" s="459">
        <f t="shared" si="8"/>
        <v>4435.5241241485719</v>
      </c>
      <c r="AP71" s="459">
        <f t="shared" si="8"/>
        <v>3573.2781638239367</v>
      </c>
      <c r="AQ71" s="459">
        <f t="shared" si="8"/>
        <v>175.51677574373113</v>
      </c>
      <c r="AR71" s="459">
        <f t="shared" si="8"/>
        <v>790.5181957453533</v>
      </c>
      <c r="AS71" s="459">
        <f t="shared" si="8"/>
        <v>2088.6843910760663</v>
      </c>
      <c r="AT71" s="459">
        <f t="shared" si="8"/>
        <v>0</v>
      </c>
      <c r="AU71" s="459">
        <f t="shared" si="8"/>
        <v>0</v>
      </c>
      <c r="AW71" s="216">
        <f>(B71/Population_Tables!O45)*Population_Tables!C45</f>
        <v>7481.6851666448301</v>
      </c>
      <c r="AX71" s="153" t="str">
        <f t="shared" si="7"/>
        <v>OK</v>
      </c>
      <c r="AY71" s="421">
        <f t="shared" si="4"/>
        <v>8184.3190637162397</v>
      </c>
      <c r="AZ71" s="153" t="str">
        <f t="shared" si="5"/>
        <v>OK</v>
      </c>
      <c r="BB71" s="216">
        <f>(C71/Population_Tables!P45)*Population_Tables!D45</f>
        <v>0</v>
      </c>
      <c r="BC71" s="216">
        <f>(D71/Population_Tables!Q45)*Population_Tables!E45</f>
        <v>0</v>
      </c>
      <c r="BD71" s="216">
        <f>(E71/Population_Tables!R45)*Population_Tables!F45</f>
        <v>4435.5241241485719</v>
      </c>
      <c r="BE71" s="216">
        <f>(F71/Population_Tables!S45)*Population_Tables!G45</f>
        <v>3573.2781638239367</v>
      </c>
      <c r="BF71" s="216">
        <f>(G71/Population_Tables!T45)*Population_Tables!H45</f>
        <v>175.51677574373113</v>
      </c>
      <c r="BG71" s="216"/>
      <c r="BN71" s="216"/>
      <c r="BO71" s="216"/>
      <c r="BP71" s="216"/>
    </row>
    <row r="72" spans="1:68" ht="15.6" x14ac:dyDescent="0.3">
      <c r="A72" s="194">
        <v>2057</v>
      </c>
      <c r="B72" s="229">
        <v>6712.014511642521</v>
      </c>
      <c r="C72" s="229">
        <v>0</v>
      </c>
      <c r="D72" s="229">
        <v>0</v>
      </c>
      <c r="E72" s="229">
        <v>3921.1822554301903</v>
      </c>
      <c r="F72" s="229">
        <v>3253.8781131049186</v>
      </c>
      <c r="G72" s="229">
        <v>152.29424117485428</v>
      </c>
      <c r="H72" s="229">
        <v>715.23072901777891</v>
      </c>
      <c r="I72" s="229">
        <v>1856.7337449433176</v>
      </c>
      <c r="J72" s="229">
        <v>0</v>
      </c>
      <c r="K72" s="229">
        <v>0</v>
      </c>
      <c r="M72" s="194">
        <v>2057</v>
      </c>
      <c r="N72" s="419">
        <f t="shared" si="2"/>
        <v>4540.5772438857766</v>
      </c>
      <c r="O72" s="418">
        <f>(C72/Population_Tables!P46)*Population_Tables!D105</f>
        <v>0</v>
      </c>
      <c r="P72" s="418">
        <f>(D72/Population_Tables!Q46)*Population_Tables!E105</f>
        <v>0</v>
      </c>
      <c r="Q72" s="418">
        <f>((E72-H72)/Population_Tables!R46)*Population_Tables!F105</f>
        <v>2172.1884849308312</v>
      </c>
      <c r="R72" s="418">
        <f>(F72/Population_Tables!S46)*Population_Tables!G105</f>
        <v>2315.4403345750197</v>
      </c>
      <c r="S72" s="418">
        <f>(G72/Population_Tables!T46)*Population_Tables!H105</f>
        <v>52.94842437992542</v>
      </c>
      <c r="T72" s="418">
        <f>(H72/Population_Tables!U46)*Population_Tables!I105</f>
        <v>0</v>
      </c>
      <c r="U72" s="418">
        <f>(I72/Population_Tables!V46)*Population_Tables!J105</f>
        <v>0</v>
      </c>
      <c r="V72" s="418">
        <f>(J72/Population_Tables!W46)*Population_Tables!K105</f>
        <v>0</v>
      </c>
      <c r="W72" s="418">
        <f>(K72/Population_Tables!X46)*Population_Tables!L105</f>
        <v>0</v>
      </c>
      <c r="Y72" s="456">
        <v>2057</v>
      </c>
      <c r="Z72" s="459">
        <f>((B72/Population_Tables!O46)*Population_Tables!C46)-N72</f>
        <v>3008.5266266431181</v>
      </c>
      <c r="AA72" s="459">
        <f>((C72/Population_Tables!P46)*Population_Tables!D46)-O72</f>
        <v>0</v>
      </c>
      <c r="AB72" s="459">
        <f>((D72/Population_Tables!Q46)*Population_Tables!E46)-P72</f>
        <v>0</v>
      </c>
      <c r="AC72" s="459">
        <f>((E72/Population_Tables!R46)*Population_Tables!F46)-Q72</f>
        <v>2267.6834567961837</v>
      </c>
      <c r="AD72" s="459">
        <f>((F72/Population_Tables!S46)*Population_Tables!G46)-R72</f>
        <v>1310.9656711487014</v>
      </c>
      <c r="AE72" s="459">
        <f>((G72/Population_Tables!T46)*Population_Tables!H46)-S72</f>
        <v>122.39487103027514</v>
      </c>
      <c r="AF72" s="459">
        <f>(H72/Population_Tables!U46)*Population_Tables!I46</f>
        <v>790.47759266539788</v>
      </c>
      <c r="AG72" s="459">
        <f>(I72/Population_Tables!V46)*Population_Tables!J46</f>
        <v>2098.3422701755217</v>
      </c>
      <c r="AH72" s="459">
        <f>(J72/Population_Tables!W46)*Population_Tables!K46</f>
        <v>0</v>
      </c>
      <c r="AI72" s="459">
        <f>(K72/Population_Tables!X46)*Population_Tables!L46</f>
        <v>0</v>
      </c>
      <c r="AK72" s="456">
        <v>2057</v>
      </c>
      <c r="AL72" s="459">
        <f t="shared" si="8"/>
        <v>7549.1038705288947</v>
      </c>
      <c r="AM72" s="459">
        <f t="shared" si="8"/>
        <v>0</v>
      </c>
      <c r="AN72" s="459">
        <f t="shared" si="8"/>
        <v>0</v>
      </c>
      <c r="AO72" s="459">
        <f t="shared" si="8"/>
        <v>4439.8719417270149</v>
      </c>
      <c r="AP72" s="459">
        <f t="shared" si="8"/>
        <v>3626.4060057237211</v>
      </c>
      <c r="AQ72" s="459">
        <f t="shared" si="8"/>
        <v>175.34329541020057</v>
      </c>
      <c r="AR72" s="459">
        <f t="shared" si="8"/>
        <v>790.47759266539788</v>
      </c>
      <c r="AS72" s="459">
        <f t="shared" si="8"/>
        <v>2098.3422701755217</v>
      </c>
      <c r="AT72" s="459">
        <f t="shared" si="8"/>
        <v>0</v>
      </c>
      <c r="AU72" s="459">
        <f t="shared" si="8"/>
        <v>0</v>
      </c>
      <c r="AW72" s="216">
        <f>(B72/Population_Tables!O46)*Population_Tables!C46</f>
        <v>7549.1038705288947</v>
      </c>
      <c r="AX72" s="153" t="str">
        <f t="shared" si="7"/>
        <v>OK</v>
      </c>
      <c r="AY72" s="421">
        <f t="shared" si="4"/>
        <v>8241.621242860936</v>
      </c>
      <c r="AZ72" s="153" t="str">
        <f t="shared" si="5"/>
        <v>OK</v>
      </c>
      <c r="BB72" s="216">
        <f>(C72/Population_Tables!P46)*Population_Tables!D46</f>
        <v>0</v>
      </c>
      <c r="BC72" s="216">
        <f>(D72/Population_Tables!Q46)*Population_Tables!E46</f>
        <v>0</v>
      </c>
      <c r="BD72" s="216">
        <f>(E72/Population_Tables!R46)*Population_Tables!F46</f>
        <v>4439.8719417270149</v>
      </c>
      <c r="BE72" s="216">
        <f>(F72/Population_Tables!S46)*Population_Tables!G46</f>
        <v>3626.4060057237211</v>
      </c>
      <c r="BF72" s="216">
        <f>(G72/Population_Tables!T46)*Population_Tables!H46</f>
        <v>175.34329541020057</v>
      </c>
      <c r="BG72" s="216"/>
      <c r="BN72" s="216"/>
      <c r="BO72" s="216"/>
      <c r="BP72" s="216"/>
    </row>
    <row r="73" spans="1:68" ht="15.6" x14ac:dyDescent="0.3">
      <c r="A73" s="194">
        <v>2058</v>
      </c>
      <c r="B73" s="229">
        <v>6740.8743115155876</v>
      </c>
      <c r="C73" s="229">
        <v>0</v>
      </c>
      <c r="D73" s="229">
        <v>0</v>
      </c>
      <c r="E73" s="229">
        <v>3904.4804108461221</v>
      </c>
      <c r="F73" s="229">
        <v>3288.636773342193</v>
      </c>
      <c r="G73" s="229">
        <v>151.30739866400324</v>
      </c>
      <c r="H73" s="229">
        <v>713.10657458781884</v>
      </c>
      <c r="I73" s="229">
        <v>1855.5824180643999</v>
      </c>
      <c r="J73" s="229">
        <v>0</v>
      </c>
      <c r="K73" s="229">
        <v>0</v>
      </c>
      <c r="M73" s="194">
        <v>2058</v>
      </c>
      <c r="N73" s="419">
        <f t="shared" si="2"/>
        <v>4588.7745536818029</v>
      </c>
      <c r="O73" s="418">
        <f>(C73/Population_Tables!P47)*Population_Tables!D106</f>
        <v>0</v>
      </c>
      <c r="P73" s="418">
        <f>(D73/Population_Tables!Q47)*Population_Tables!E106</f>
        <v>0</v>
      </c>
      <c r="Q73" s="418">
        <f>((E73-H73)/Population_Tables!R47)*Population_Tables!F106</f>
        <v>2182.0424589134514</v>
      </c>
      <c r="R73" s="418">
        <f>(F73/Population_Tables!S47)*Population_Tables!G106</f>
        <v>2353.679978411295</v>
      </c>
      <c r="S73" s="418">
        <f>(G73/Population_Tables!T47)*Population_Tables!H106</f>
        <v>53.052116357056924</v>
      </c>
      <c r="T73" s="418">
        <f>(H73/Population_Tables!U47)*Population_Tables!I106</f>
        <v>0</v>
      </c>
      <c r="U73" s="418">
        <f>(I73/Population_Tables!V47)*Population_Tables!J106</f>
        <v>0</v>
      </c>
      <c r="V73" s="418">
        <f>(J73/Population_Tables!W47)*Population_Tables!K106</f>
        <v>0</v>
      </c>
      <c r="W73" s="418">
        <f>(K73/Population_Tables!X47)*Population_Tables!L106</f>
        <v>0</v>
      </c>
      <c r="Y73" s="456">
        <v>2058</v>
      </c>
      <c r="Z73" s="459">
        <f>((B73/Population_Tables!O47)*Population_Tables!C47)-N73</f>
        <v>3028.186847010993</v>
      </c>
      <c r="AA73" s="459">
        <f>((C73/Population_Tables!P47)*Population_Tables!D47)-O73</f>
        <v>0</v>
      </c>
      <c r="AB73" s="459">
        <f>((D73/Population_Tables!Q47)*Population_Tables!E47)-P73</f>
        <v>0</v>
      </c>
      <c r="AC73" s="459">
        <f>((E73/Population_Tables!R47)*Population_Tables!F47)-Q73</f>
        <v>2261.9282685568355</v>
      </c>
      <c r="AD73" s="459">
        <f>((F73/Population_Tables!S47)*Population_Tables!G47)-R73</f>
        <v>1326.4152882400517</v>
      </c>
      <c r="AE73" s="459">
        <f>((G73/Population_Tables!T47)*Population_Tables!H47)-S73</f>
        <v>122.1066175225686</v>
      </c>
      <c r="AF73" s="459">
        <f>(H73/Population_Tables!U47)*Population_Tables!I47</f>
        <v>791.44510047302549</v>
      </c>
      <c r="AG73" s="459">
        <f>(I73/Population_Tables!V47)*Population_Tables!J47</f>
        <v>2107.9274447244666</v>
      </c>
      <c r="AH73" s="459">
        <f>(J73/Population_Tables!W47)*Population_Tables!K47</f>
        <v>0</v>
      </c>
      <c r="AI73" s="459">
        <f>(K73/Population_Tables!X47)*Population_Tables!L47</f>
        <v>0</v>
      </c>
      <c r="AK73" s="456">
        <v>2058</v>
      </c>
      <c r="AL73" s="459">
        <f t="shared" si="8"/>
        <v>7616.9614006927959</v>
      </c>
      <c r="AM73" s="459">
        <f t="shared" si="8"/>
        <v>0</v>
      </c>
      <c r="AN73" s="459">
        <f t="shared" si="8"/>
        <v>0</v>
      </c>
      <c r="AO73" s="459">
        <f t="shared" si="8"/>
        <v>4443.9707274702869</v>
      </c>
      <c r="AP73" s="459">
        <f t="shared" si="8"/>
        <v>3680.0952666513467</v>
      </c>
      <c r="AQ73" s="459">
        <f t="shared" si="8"/>
        <v>175.15873387962552</v>
      </c>
      <c r="AR73" s="459">
        <f t="shared" si="8"/>
        <v>791.44510047302549</v>
      </c>
      <c r="AS73" s="459">
        <f t="shared" si="8"/>
        <v>2107.9274447244666</v>
      </c>
      <c r="AT73" s="459">
        <f t="shared" si="8"/>
        <v>0</v>
      </c>
      <c r="AU73" s="459">
        <f t="shared" si="8"/>
        <v>0</v>
      </c>
      <c r="AW73" s="216">
        <f>(B73/Population_Tables!O47)*Population_Tables!C47</f>
        <v>7616.9614006927959</v>
      </c>
      <c r="AX73" s="153" t="str">
        <f t="shared" si="7"/>
        <v>OK</v>
      </c>
      <c r="AY73" s="421">
        <f t="shared" si="4"/>
        <v>8299.2247280012598</v>
      </c>
      <c r="AZ73" s="153" t="str">
        <f t="shared" si="5"/>
        <v>OK</v>
      </c>
      <c r="BB73" s="216">
        <f>(C73/Population_Tables!P47)*Population_Tables!D47</f>
        <v>0</v>
      </c>
      <c r="BC73" s="216">
        <f>(D73/Population_Tables!Q47)*Population_Tables!E47</f>
        <v>0</v>
      </c>
      <c r="BD73" s="216">
        <f>(E73/Population_Tables!R47)*Population_Tables!F47</f>
        <v>4443.9707274702869</v>
      </c>
      <c r="BE73" s="216">
        <f>(F73/Population_Tables!S47)*Population_Tables!G47</f>
        <v>3680.0952666513467</v>
      </c>
      <c r="BF73" s="216">
        <f>(G73/Population_Tables!T47)*Population_Tables!H47</f>
        <v>175.15873387962552</v>
      </c>
      <c r="BG73" s="216"/>
      <c r="BN73" s="216"/>
      <c r="BO73" s="216"/>
      <c r="BP73" s="216"/>
    </row>
    <row r="74" spans="1:68" ht="15.6" x14ac:dyDescent="0.3">
      <c r="A74" s="194">
        <v>2059</v>
      </c>
      <c r="B74" s="229">
        <v>6769.0534090324627</v>
      </c>
      <c r="C74" s="229">
        <v>0</v>
      </c>
      <c r="D74" s="229">
        <v>0</v>
      </c>
      <c r="E74" s="229">
        <v>3887.1570405594734</v>
      </c>
      <c r="F74" s="229">
        <v>3323.3582066146164</v>
      </c>
      <c r="G74" s="229">
        <v>150.30025858341469</v>
      </c>
      <c r="H74" s="229">
        <v>711.86404817348125</v>
      </c>
      <c r="I74" s="229">
        <v>1854.1130891086877</v>
      </c>
      <c r="J74" s="229">
        <v>0</v>
      </c>
      <c r="K74" s="229">
        <v>0</v>
      </c>
      <c r="M74" s="194">
        <v>2059</v>
      </c>
      <c r="N74" s="419">
        <f t="shared" si="2"/>
        <v>4636.4887477536149</v>
      </c>
      <c r="O74" s="418">
        <f>(C74/Population_Tables!P48)*Population_Tables!D107</f>
        <v>0</v>
      </c>
      <c r="P74" s="418">
        <f>(D74/Population_Tables!Q48)*Population_Tables!E107</f>
        <v>0</v>
      </c>
      <c r="Q74" s="418">
        <f>((E74-H74)/Population_Tables!R48)*Population_Tables!F107</f>
        <v>2191.0229904094822</v>
      </c>
      <c r="R74" s="418">
        <f>(F74/Population_Tables!S48)*Population_Tables!G107</f>
        <v>2392.3138597620468</v>
      </c>
      <c r="S74" s="418">
        <f>(G74/Population_Tables!T48)*Population_Tables!H107</f>
        <v>53.151897582086782</v>
      </c>
      <c r="T74" s="418">
        <f>(H74/Population_Tables!U48)*Population_Tables!I107</f>
        <v>0</v>
      </c>
      <c r="U74" s="418">
        <f>(I74/Population_Tables!V48)*Population_Tables!J107</f>
        <v>0</v>
      </c>
      <c r="V74" s="418">
        <f>(J74/Population_Tables!W48)*Population_Tables!K107</f>
        <v>0</v>
      </c>
      <c r="W74" s="418">
        <f>(K74/Population_Tables!X48)*Population_Tables!L107</f>
        <v>0</v>
      </c>
      <c r="Y74" s="456">
        <v>2059</v>
      </c>
      <c r="Z74" s="459">
        <f>((B74/Population_Tables!O48)*Population_Tables!C48)-N74</f>
        <v>3048.6598634815145</v>
      </c>
      <c r="AA74" s="459">
        <f>((C74/Population_Tables!P48)*Population_Tables!D48)-O74</f>
        <v>0</v>
      </c>
      <c r="AB74" s="459">
        <f>((D74/Population_Tables!Q48)*Population_Tables!E48)-P74</f>
        <v>0</v>
      </c>
      <c r="AC74" s="459">
        <f>((E74/Population_Tables!R48)*Population_Tables!F48)-Q74</f>
        <v>2256.7301218521534</v>
      </c>
      <c r="AD74" s="459">
        <f>((F74/Population_Tables!S48)*Population_Tables!G48)-R74</f>
        <v>1342.0145309764139</v>
      </c>
      <c r="AE74" s="459">
        <f>((G74/Population_Tables!T48)*Population_Tables!H48)-S74</f>
        <v>121.80978888413352</v>
      </c>
      <c r="AF74" s="459">
        <f>(H74/Population_Tables!U48)*Population_Tables!I48</f>
        <v>793.47454004986741</v>
      </c>
      <c r="AG74" s="459">
        <f>(I74/Population_Tables!V48)*Population_Tables!J48</f>
        <v>2117.3890118257441</v>
      </c>
      <c r="AH74" s="459">
        <f>(J74/Population_Tables!W48)*Population_Tables!K48</f>
        <v>0</v>
      </c>
      <c r="AI74" s="459">
        <f>(K74/Population_Tables!X48)*Population_Tables!L48</f>
        <v>0</v>
      </c>
      <c r="AK74" s="456">
        <v>2059</v>
      </c>
      <c r="AL74" s="459">
        <f t="shared" si="8"/>
        <v>7685.1486112351295</v>
      </c>
      <c r="AM74" s="459">
        <f t="shared" si="8"/>
        <v>0</v>
      </c>
      <c r="AN74" s="459">
        <f t="shared" si="8"/>
        <v>0</v>
      </c>
      <c r="AO74" s="459">
        <f t="shared" si="8"/>
        <v>4447.7531122616356</v>
      </c>
      <c r="AP74" s="459">
        <f t="shared" si="8"/>
        <v>3734.3283907384607</v>
      </c>
      <c r="AQ74" s="459">
        <f t="shared" si="8"/>
        <v>174.9616864662203</v>
      </c>
      <c r="AR74" s="459">
        <f t="shared" si="8"/>
        <v>793.47454004986741</v>
      </c>
      <c r="AS74" s="459">
        <f t="shared" si="8"/>
        <v>2117.3890118257441</v>
      </c>
      <c r="AT74" s="459">
        <f t="shared" si="8"/>
        <v>0</v>
      </c>
      <c r="AU74" s="459">
        <f t="shared" si="8"/>
        <v>0</v>
      </c>
      <c r="AW74" s="216">
        <f>(B74/Population_Tables!O48)*Population_Tables!C48</f>
        <v>7685.1486112351295</v>
      </c>
      <c r="AX74" s="153" t="str">
        <f t="shared" si="7"/>
        <v>OK</v>
      </c>
      <c r="AY74" s="421">
        <f t="shared" si="4"/>
        <v>8357.0431894663161</v>
      </c>
      <c r="AZ74" s="153" t="str">
        <f t="shared" si="5"/>
        <v>OK</v>
      </c>
      <c r="BB74" s="216">
        <f>(C74/Population_Tables!P48)*Population_Tables!D48</f>
        <v>0</v>
      </c>
      <c r="BC74" s="216">
        <f>(D74/Population_Tables!Q48)*Population_Tables!E48</f>
        <v>0</v>
      </c>
      <c r="BD74" s="216">
        <f>(E74/Population_Tables!R48)*Population_Tables!F48</f>
        <v>4447.7531122616356</v>
      </c>
      <c r="BE74" s="216">
        <f>(F74/Population_Tables!S48)*Population_Tables!G48</f>
        <v>3734.3283907384607</v>
      </c>
      <c r="BF74" s="216">
        <f>(G74/Population_Tables!T48)*Population_Tables!H48</f>
        <v>174.9616864662203</v>
      </c>
      <c r="BG74" s="216"/>
      <c r="BN74" s="216"/>
      <c r="BO74" s="216"/>
      <c r="BP74" s="216"/>
    </row>
    <row r="75" spans="1:68" ht="15.6" x14ac:dyDescent="0.3">
      <c r="A75" s="194">
        <v>2060</v>
      </c>
      <c r="B75" s="229">
        <v>6796.5131728107408</v>
      </c>
      <c r="C75" s="229">
        <v>0</v>
      </c>
      <c r="D75" s="229">
        <v>0</v>
      </c>
      <c r="E75" s="229">
        <v>3869.2119907683887</v>
      </c>
      <c r="F75" s="229">
        <v>3358.0383872558759</v>
      </c>
      <c r="G75" s="229">
        <v>149.27299481069559</v>
      </c>
      <c r="H75" s="229">
        <v>711.54221558300412</v>
      </c>
      <c r="I75" s="229">
        <v>1852.3248967616125</v>
      </c>
      <c r="J75" s="229">
        <v>0</v>
      </c>
      <c r="K75" s="229">
        <v>0</v>
      </c>
      <c r="M75" s="194">
        <v>2060</v>
      </c>
      <c r="N75" s="419">
        <f t="shared" si="2"/>
        <v>4683.6090112668735</v>
      </c>
      <c r="O75" s="418">
        <f>(C75/Population_Tables!P49)*Population_Tables!D108</f>
        <v>0</v>
      </c>
      <c r="P75" s="418">
        <f>(D75/Population_Tables!Q49)*Population_Tables!E108</f>
        <v>0</v>
      </c>
      <c r="Q75" s="418">
        <f>((E75-H75)/Population_Tables!R49)*Population_Tables!F108</f>
        <v>2199.0316025442776</v>
      </c>
      <c r="R75" s="418">
        <f>(F75/Population_Tables!S49)*Population_Tables!G108</f>
        <v>2431.3300765665595</v>
      </c>
      <c r="S75" s="418">
        <f>(G75/Population_Tables!T49)*Population_Tables!H108</f>
        <v>53.247332156036016</v>
      </c>
      <c r="T75" s="418">
        <f>(H75/Population_Tables!U49)*Population_Tables!I108</f>
        <v>0</v>
      </c>
      <c r="U75" s="418">
        <f>(I75/Population_Tables!V49)*Population_Tables!J108</f>
        <v>0</v>
      </c>
      <c r="V75" s="418">
        <f>(J75/Population_Tables!W49)*Population_Tables!K108</f>
        <v>0</v>
      </c>
      <c r="W75" s="418">
        <f>(K75/Population_Tables!X49)*Population_Tables!L108</f>
        <v>0</v>
      </c>
      <c r="Y75" s="456">
        <v>2060</v>
      </c>
      <c r="Z75" s="459">
        <f>((B75/Population_Tables!O49)*Population_Tables!C49)-N75</f>
        <v>3069.9561576701763</v>
      </c>
      <c r="AA75" s="459">
        <f>((C75/Population_Tables!P49)*Population_Tables!D49)-O75</f>
        <v>0</v>
      </c>
      <c r="AB75" s="459">
        <f>((D75/Population_Tables!Q49)*Population_Tables!E49)-P75</f>
        <v>0</v>
      </c>
      <c r="AC75" s="459">
        <f>((E75/Population_Tables!R49)*Population_Tables!F49)-Q75</f>
        <v>2252.1290630203471</v>
      </c>
      <c r="AD75" s="459">
        <f>((F75/Population_Tables!S49)*Population_Tables!G49)-R75</f>
        <v>1357.7609442959724</v>
      </c>
      <c r="AE75" s="459">
        <f>((G75/Population_Tables!T49)*Population_Tables!H49)-S75</f>
        <v>121.50357238409146</v>
      </c>
      <c r="AF75" s="459">
        <f>(H75/Population_Tables!U49)*Population_Tables!I49</f>
        <v>796.62141310964864</v>
      </c>
      <c r="AG75" s="459">
        <f>(I75/Population_Tables!V49)*Population_Tables!J49</f>
        <v>2126.6842151770961</v>
      </c>
      <c r="AH75" s="459">
        <f>(J75/Population_Tables!W49)*Population_Tables!K49</f>
        <v>0</v>
      </c>
      <c r="AI75" s="459">
        <f>(K75/Population_Tables!X49)*Population_Tables!L49</f>
        <v>0</v>
      </c>
      <c r="AK75" s="456">
        <v>2060</v>
      </c>
      <c r="AL75" s="459">
        <f t="shared" si="8"/>
        <v>7753.5651689370497</v>
      </c>
      <c r="AM75" s="459">
        <f t="shared" si="8"/>
        <v>0</v>
      </c>
      <c r="AN75" s="459">
        <f t="shared" si="8"/>
        <v>0</v>
      </c>
      <c r="AO75" s="459">
        <f t="shared" si="8"/>
        <v>4451.1606655646247</v>
      </c>
      <c r="AP75" s="459">
        <f t="shared" si="8"/>
        <v>3789.0910208625319</v>
      </c>
      <c r="AQ75" s="459">
        <f t="shared" si="8"/>
        <v>174.75090454012746</v>
      </c>
      <c r="AR75" s="459">
        <f t="shared" si="8"/>
        <v>796.62141310964864</v>
      </c>
      <c r="AS75" s="459">
        <f t="shared" si="8"/>
        <v>2126.6842151770961</v>
      </c>
      <c r="AT75" s="459">
        <f t="shared" si="8"/>
        <v>0</v>
      </c>
      <c r="AU75" s="459">
        <f t="shared" si="8"/>
        <v>0</v>
      </c>
      <c r="AW75" s="216">
        <f>(B75/Population_Tables!O49)*Population_Tables!C49</f>
        <v>7753.5651689370497</v>
      </c>
      <c r="AX75" s="153" t="str">
        <f t="shared" si="7"/>
        <v>OK</v>
      </c>
      <c r="AY75" s="421">
        <f t="shared" si="4"/>
        <v>8415.002590967284</v>
      </c>
      <c r="AZ75" s="153" t="str">
        <f t="shared" si="5"/>
        <v>OK</v>
      </c>
      <c r="BB75" s="216">
        <f>(C75/Population_Tables!P49)*Population_Tables!D49</f>
        <v>0</v>
      </c>
      <c r="BC75" s="216">
        <f>(D75/Population_Tables!Q49)*Population_Tables!E49</f>
        <v>0</v>
      </c>
      <c r="BD75" s="216">
        <f>(E75/Population_Tables!R49)*Population_Tables!F49</f>
        <v>4451.1606655646247</v>
      </c>
      <c r="BE75" s="216">
        <f>(F75/Population_Tables!S49)*Population_Tables!G49</f>
        <v>3789.0910208625319</v>
      </c>
      <c r="BF75" s="216">
        <f>(G75/Population_Tables!T49)*Population_Tables!H49</f>
        <v>174.75090454012746</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Cooking Heat Demand by Economic Development Status (TWh Therms)</v>
      </c>
      <c r="B78" s="644"/>
      <c r="C78" s="644"/>
      <c r="D78" s="644"/>
      <c r="E78" s="644"/>
      <c r="F78" s="645"/>
      <c r="H78" s="650" t="str">
        <f>CONCATENATE("Table 5: Total REF1 ",C1," by Economic Development Status ",D1)</f>
        <v>Table 5: Total REF1 Cooking Heat Demand by Economic Development Status (TWh Therms)</v>
      </c>
      <c r="I78" s="651"/>
      <c r="J78" s="651"/>
      <c r="K78" s="651"/>
      <c r="L78" s="651"/>
      <c r="M78" s="651"/>
      <c r="N78" s="651"/>
      <c r="O78" s="651"/>
      <c r="P78" s="651"/>
      <c r="Q78" s="651"/>
      <c r="R78" s="651"/>
      <c r="S78" s="651"/>
      <c r="T78" s="652"/>
      <c r="W78" s="653" t="str">
        <f>CONCATENATE("Table 6: Change in ",C1," by MDC vs. LLDC Regions, REF1-REF2 ",D1)</f>
        <v>Table 6: Change in Cooking Heat Demand by MDC vs. LLDC Regions, REF1-REF2 (TWh Therms)</v>
      </c>
      <c r="X78" s="654"/>
      <c r="Y78" s="654"/>
      <c r="Z78" s="654"/>
      <c r="AA78" s="654"/>
      <c r="AB78" s="654"/>
      <c r="AC78" s="654"/>
      <c r="AD78" s="655"/>
    </row>
    <row r="79" spans="1:68" ht="105" customHeight="1" x14ac:dyDescent="0.25">
      <c r="A79" s="213"/>
      <c r="B79" s="529" t="s">
        <v>368</v>
      </c>
      <c r="C79" s="463" t="s">
        <v>10</v>
      </c>
      <c r="D79" s="463" t="s">
        <v>514</v>
      </c>
      <c r="E79" s="463" t="str">
        <f>Q79</f>
        <v>Total Cooking Heat Demand in Countries with Higher Educational Attainment (TWh)</v>
      </c>
      <c r="F79" s="463" t="str">
        <f>R79</f>
        <v xml:space="preserve"> --&gt; % LLDC</v>
      </c>
      <c r="H79" s="472"/>
      <c r="I79" s="473" t="s">
        <v>488</v>
      </c>
      <c r="J79" s="473" t="s">
        <v>490</v>
      </c>
      <c r="K79" s="473" t="s">
        <v>10</v>
      </c>
      <c r="L79" s="473" t="s">
        <v>489</v>
      </c>
      <c r="M79" s="473" t="s">
        <v>475</v>
      </c>
      <c r="O79" s="473" t="s">
        <v>610</v>
      </c>
      <c r="P79" s="473" t="s">
        <v>502</v>
      </c>
      <c r="Q79" s="473" t="s">
        <v>609</v>
      </c>
      <c r="R79" s="473" t="s">
        <v>502</v>
      </c>
      <c r="S79" s="473" t="s">
        <v>608</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4750.5643282522587</v>
      </c>
      <c r="C80" s="195">
        <f t="shared" ref="C80:C126" si="9">H29</f>
        <v>1086.4921571737311</v>
      </c>
      <c r="D80" s="195">
        <f t="shared" ref="D80:D126" si="10">SUMIF($AA$27:$AE$27,"N",C29:G29)-(IF($AC$27="N",H29))</f>
        <v>173.25410753661035</v>
      </c>
      <c r="E80" s="195">
        <f t="shared" ref="E80:E126" si="11">B80+D80+C80</f>
        <v>6010.3105929626008</v>
      </c>
      <c r="F80" s="196">
        <f t="shared" ref="F80:F126" si="12">B80/E80</f>
        <v>0.7904024683540708</v>
      </c>
      <c r="H80" s="194">
        <v>2014</v>
      </c>
      <c r="I80" s="195">
        <f t="shared" ref="I80:I126" si="13">SUMIF($O$27:$S$27,"Y",O29:S29)-T29</f>
        <v>2527.0905286357192</v>
      </c>
      <c r="J80" s="195">
        <f t="shared" ref="J80:J126" si="14">SUMIF($O$27:$S$27,"N",O29:S29)-(IF($Q$27="N",T29))</f>
        <v>45.963756609576272</v>
      </c>
      <c r="K80" s="195">
        <f t="shared" ref="K80:K126" si="15">AF29</f>
        <v>1086.4921571737311</v>
      </c>
      <c r="L80" s="195">
        <f t="shared" ref="L80:L126" si="16">SUMIF($AA$27:$AE$27,"Y",AA29:AE29)-AF29</f>
        <v>2223.4611602596324</v>
      </c>
      <c r="M80" s="195">
        <f t="shared" ref="M80:M126" si="17">SUMIF($AA$27:$AE$27,"N",AA29:AE29)-(IF($AC$27="N",AF29))</f>
        <v>127.29035092703407</v>
      </c>
      <c r="O80" s="195">
        <f t="shared" ref="O80:O126" si="18">I80+J80</f>
        <v>2573.0542852452954</v>
      </c>
      <c r="P80" s="196">
        <f t="shared" ref="P80:P126" si="19">I80/O80</f>
        <v>0.98213649946169157</v>
      </c>
      <c r="Q80" s="195">
        <f t="shared" ref="Q80:Q126" si="20">L80+M80+K80</f>
        <v>3437.2436683603974</v>
      </c>
      <c r="R80" s="196">
        <f t="shared" ref="R80:R126" si="21">L80/Q80</f>
        <v>0.646873301630154</v>
      </c>
      <c r="S80" s="464">
        <f t="shared" ref="S80:S126" si="22">Q80+O80</f>
        <v>6010.2979536056928</v>
      </c>
      <c r="T80" s="196">
        <f>O80/S80</f>
        <v>0.42810760882522819</v>
      </c>
      <c r="W80" s="197">
        <v>0</v>
      </c>
      <c r="X80" s="195">
        <f t="shared" ref="X80:X126" si="23">K80-C80</f>
        <v>0</v>
      </c>
      <c r="Y80" s="197">
        <v>0</v>
      </c>
      <c r="Z80" s="195">
        <f>(Q80+O80)-E80</f>
        <v>-1.263935690803919E-2</v>
      </c>
      <c r="AA80" s="196">
        <v>0</v>
      </c>
      <c r="AB80" s="196">
        <f t="shared" ref="AB80:AB126" si="24">(W80/Z80)*(I80/(L80+I80))</f>
        <v>0</v>
      </c>
      <c r="AC80" s="196">
        <f>W80/Z80</f>
        <v>0</v>
      </c>
      <c r="AD80" s="247">
        <f>(X80+Y80)/Z80</f>
        <v>0</v>
      </c>
      <c r="AF80" s="251">
        <f t="shared" ref="AF80:AF126" si="25">I80/(I80+L80)</f>
        <v>0.53195727446623042</v>
      </c>
      <c r="AG80" s="251">
        <f t="shared" ref="AG80:AG126" si="26">L80/(L80+I80)</f>
        <v>0.46804272553376952</v>
      </c>
    </row>
    <row r="81" spans="1:33" x14ac:dyDescent="0.25">
      <c r="A81" s="194">
        <v>2015</v>
      </c>
      <c r="B81" s="195">
        <f t="shared" ref="B81:B126" si="27">SUMIF($AA$27:$AE$27,"Y",C30:G30)-H30</f>
        <v>4794.0055799469128</v>
      </c>
      <c r="C81" s="195">
        <f t="shared" si="9"/>
        <v>1083.1677488787807</v>
      </c>
      <c r="D81" s="195">
        <f t="shared" si="10"/>
        <v>173.11008613161991</v>
      </c>
      <c r="E81" s="195">
        <f t="shared" si="11"/>
        <v>6050.2834149573137</v>
      </c>
      <c r="F81" s="196">
        <f t="shared" si="12"/>
        <v>0.79236049803804698</v>
      </c>
      <c r="H81" s="194">
        <v>2015</v>
      </c>
      <c r="I81" s="195">
        <f t="shared" si="13"/>
        <v>2559.0675695685477</v>
      </c>
      <c r="J81" s="195">
        <f t="shared" si="14"/>
        <v>46.05636364527389</v>
      </c>
      <c r="K81" s="195">
        <f t="shared" si="15"/>
        <v>1083.1677488787807</v>
      </c>
      <c r="L81" s="195">
        <f t="shared" si="16"/>
        <v>2234.9255389721411</v>
      </c>
      <c r="M81" s="195">
        <f t="shared" si="17"/>
        <v>127.05372248634602</v>
      </c>
      <c r="O81" s="195">
        <f t="shared" si="18"/>
        <v>2605.1239332138216</v>
      </c>
      <c r="P81" s="196">
        <f t="shared" si="19"/>
        <v>0.98232085504336975</v>
      </c>
      <c r="Q81" s="195">
        <f t="shared" si="20"/>
        <v>3445.1470103372676</v>
      </c>
      <c r="R81" s="196">
        <f t="shared" si="21"/>
        <v>0.64871703072936493</v>
      </c>
      <c r="S81" s="464">
        <f t="shared" si="22"/>
        <v>6050.2709435510897</v>
      </c>
      <c r="T81" s="196">
        <f t="shared" ref="T81:T126" si="28">O81/S81</f>
        <v>0.43057971411852086</v>
      </c>
      <c r="W81" s="197">
        <v>0</v>
      </c>
      <c r="X81" s="195">
        <f t="shared" si="23"/>
        <v>0</v>
      </c>
      <c r="Y81" s="197">
        <v>0</v>
      </c>
      <c r="Z81" s="195">
        <f>W81+X81+Y81</f>
        <v>0</v>
      </c>
      <c r="AA81" s="196">
        <v>0</v>
      </c>
      <c r="AB81" s="196" t="e">
        <f t="shared" si="24"/>
        <v>#DIV/0!</v>
      </c>
      <c r="AC81" s="196" t="e">
        <f>W81/Z81</f>
        <v>#DIV/0!</v>
      </c>
      <c r="AD81" s="247" t="e">
        <f t="shared" ref="AD81:AD126" si="29">(X81+Y81)/Z81</f>
        <v>#DIV/0!</v>
      </c>
      <c r="AF81" s="251">
        <f t="shared" si="25"/>
        <v>0.53380710226918504</v>
      </c>
      <c r="AG81" s="251">
        <f t="shared" si="26"/>
        <v>0.46619289773081496</v>
      </c>
    </row>
    <row r="82" spans="1:33" x14ac:dyDescent="0.25">
      <c r="A82" s="194">
        <v>2016</v>
      </c>
      <c r="B82" s="195">
        <f t="shared" si="27"/>
        <v>4839.8320541237781</v>
      </c>
      <c r="C82" s="195">
        <f t="shared" si="9"/>
        <v>1079.2916426316124</v>
      </c>
      <c r="D82" s="195">
        <f t="shared" si="10"/>
        <v>173.13275302879063</v>
      </c>
      <c r="E82" s="195">
        <f t="shared" si="11"/>
        <v>6092.2564497841813</v>
      </c>
      <c r="F82" s="196">
        <f t="shared" si="12"/>
        <v>0.79442355948348653</v>
      </c>
      <c r="H82" s="194">
        <v>2016</v>
      </c>
      <c r="I82" s="195">
        <f t="shared" si="13"/>
        <v>2592.3981375500416</v>
      </c>
      <c r="J82" s="195">
        <f t="shared" si="14"/>
        <v>46.19282915199291</v>
      </c>
      <c r="K82" s="195">
        <f t="shared" si="15"/>
        <v>1079.2916426316124</v>
      </c>
      <c r="L82" s="195">
        <f t="shared" si="16"/>
        <v>2247.4217003883373</v>
      </c>
      <c r="M82" s="195">
        <f t="shared" si="17"/>
        <v>126.93992387679772</v>
      </c>
      <c r="O82" s="195">
        <f t="shared" si="18"/>
        <v>2638.5909667020346</v>
      </c>
      <c r="P82" s="196">
        <f t="shared" si="19"/>
        <v>0.98249337251020408</v>
      </c>
      <c r="Q82" s="195">
        <f t="shared" si="20"/>
        <v>3453.6532668967475</v>
      </c>
      <c r="R82" s="196">
        <f t="shared" si="21"/>
        <v>0.65073750220668214</v>
      </c>
      <c r="S82" s="464">
        <f t="shared" si="22"/>
        <v>6092.2442335987816</v>
      </c>
      <c r="T82" s="196">
        <f t="shared" si="28"/>
        <v>0.43310656394078584</v>
      </c>
      <c r="W82" s="195">
        <f t="shared" ref="W82:W126" si="30">(L82+I82)-B82</f>
        <v>-1.2216185398756352E-2</v>
      </c>
      <c r="X82" s="195">
        <f t="shared" si="23"/>
        <v>0</v>
      </c>
      <c r="Y82" s="195">
        <f t="shared" ref="Y82:Y126" si="31">(M82+J82)-D82</f>
        <v>0</v>
      </c>
      <c r="Z82" s="195">
        <f>W82+X82+Y82</f>
        <v>-1.2216185398756352E-2</v>
      </c>
      <c r="AA82" s="196">
        <f>(W82/Z82)*(L82/(L82+I82))</f>
        <v>0.46436061168460202</v>
      </c>
      <c r="AB82" s="196">
        <f t="shared" si="24"/>
        <v>0.53563938831539792</v>
      </c>
      <c r="AC82" s="196">
        <f t="shared" ref="AC82:AC126" si="32">W82/Z82</f>
        <v>1</v>
      </c>
      <c r="AD82" s="247">
        <f t="shared" si="29"/>
        <v>0</v>
      </c>
      <c r="AF82" s="251">
        <f t="shared" si="25"/>
        <v>0.53563938831539792</v>
      </c>
      <c r="AG82" s="251">
        <f t="shared" si="26"/>
        <v>0.46436061168460202</v>
      </c>
    </row>
    <row r="83" spans="1:33" x14ac:dyDescent="0.25">
      <c r="A83" s="194">
        <v>2017</v>
      </c>
      <c r="B83" s="195">
        <f t="shared" si="27"/>
        <v>4885.9344492266382</v>
      </c>
      <c r="C83" s="195">
        <f t="shared" si="9"/>
        <v>1074.6564004540699</v>
      </c>
      <c r="D83" s="195">
        <f t="shared" si="10"/>
        <v>173.12781949673331</v>
      </c>
      <c r="E83" s="195">
        <f t="shared" si="11"/>
        <v>6133.7186691774414</v>
      </c>
      <c r="F83" s="196">
        <f t="shared" si="12"/>
        <v>0.79656970147309736</v>
      </c>
      <c r="H83" s="194">
        <v>2017</v>
      </c>
      <c r="I83" s="195">
        <f t="shared" si="13"/>
        <v>2625.8907383226883</v>
      </c>
      <c r="J83" s="195">
        <f t="shared" si="14"/>
        <v>46.320234216019557</v>
      </c>
      <c r="K83" s="195">
        <f t="shared" si="15"/>
        <v>1074.6564004540699</v>
      </c>
      <c r="L83" s="195">
        <f t="shared" si="16"/>
        <v>2260.0317862406773</v>
      </c>
      <c r="M83" s="195">
        <f t="shared" si="17"/>
        <v>126.80758528071375</v>
      </c>
      <c r="O83" s="195">
        <f t="shared" si="18"/>
        <v>2672.2109725387077</v>
      </c>
      <c r="P83" s="196">
        <f t="shared" si="19"/>
        <v>0.98266595164377557</v>
      </c>
      <c r="Q83" s="195">
        <f t="shared" si="20"/>
        <v>3461.4957719754611</v>
      </c>
      <c r="R83" s="196">
        <f t="shared" si="21"/>
        <v>0.652906123571801</v>
      </c>
      <c r="S83" s="464">
        <f t="shared" si="22"/>
        <v>6133.7067445141693</v>
      </c>
      <c r="T83" s="196">
        <f t="shared" si="28"/>
        <v>0.43566004764226213</v>
      </c>
      <c r="W83" s="195">
        <f t="shared" si="30"/>
        <v>-1.1924663272111502E-2</v>
      </c>
      <c r="X83" s="195">
        <f t="shared" si="23"/>
        <v>0</v>
      </c>
      <c r="Y83" s="195">
        <f t="shared" si="31"/>
        <v>0</v>
      </c>
      <c r="Z83" s="195">
        <f t="shared" ref="Z83:Z126" si="33">W83+X83+Y83</f>
        <v>-1.1924663272111502E-2</v>
      </c>
      <c r="AA83" s="196">
        <f t="shared" ref="AA83:AA126" si="34">(W83*(L83/(L83+I83)))/Z83</f>
        <v>0.46255989014943427</v>
      </c>
      <c r="AB83" s="196">
        <f t="shared" si="24"/>
        <v>0.53744010985056556</v>
      </c>
      <c r="AC83" s="196">
        <f t="shared" si="32"/>
        <v>1</v>
      </c>
      <c r="AD83" s="247">
        <f>(X83+Y83)/Z83</f>
        <v>0</v>
      </c>
      <c r="AF83" s="251">
        <f t="shared" si="25"/>
        <v>0.53744010985056556</v>
      </c>
      <c r="AG83" s="251">
        <f t="shared" si="26"/>
        <v>0.46255989014943427</v>
      </c>
    </row>
    <row r="84" spans="1:33" x14ac:dyDescent="0.25">
      <c r="A84" s="194">
        <v>2018</v>
      </c>
      <c r="B84" s="195">
        <f t="shared" si="27"/>
        <v>4932.2695199790887</v>
      </c>
      <c r="C84" s="195">
        <f t="shared" si="9"/>
        <v>1069.3010881543908</v>
      </c>
      <c r="D84" s="195">
        <f t="shared" si="10"/>
        <v>173.09545941305481</v>
      </c>
      <c r="E84" s="195">
        <f t="shared" si="11"/>
        <v>6174.6660675465337</v>
      </c>
      <c r="F84" s="196">
        <f t="shared" si="12"/>
        <v>0.79879129754119582</v>
      </c>
      <c r="H84" s="194">
        <v>2018</v>
      </c>
      <c r="I84" s="195">
        <f t="shared" si="13"/>
        <v>2659.5751696268189</v>
      </c>
      <c r="J84" s="195">
        <f t="shared" si="14"/>
        <v>46.437633343991692</v>
      </c>
      <c r="K84" s="195">
        <f t="shared" si="15"/>
        <v>1069.3010881543908</v>
      </c>
      <c r="L84" s="195">
        <f t="shared" si="16"/>
        <v>2272.6827492959274</v>
      </c>
      <c r="M84" s="195">
        <f t="shared" si="17"/>
        <v>126.65782606906312</v>
      </c>
      <c r="O84" s="195">
        <f t="shared" si="18"/>
        <v>2706.0128029708108</v>
      </c>
      <c r="P84" s="196">
        <f t="shared" si="19"/>
        <v>0.98283909326186114</v>
      </c>
      <c r="Q84" s="195">
        <f t="shared" si="20"/>
        <v>3468.6416635193809</v>
      </c>
      <c r="R84" s="196">
        <f t="shared" si="21"/>
        <v>0.65520828317272761</v>
      </c>
      <c r="S84" s="464">
        <f t="shared" si="22"/>
        <v>6174.6544664901921</v>
      </c>
      <c r="T84" s="196">
        <f t="shared" si="28"/>
        <v>0.43824521965663404</v>
      </c>
      <c r="W84" s="195">
        <f t="shared" si="30"/>
        <v>-1.1601056342442462E-2</v>
      </c>
      <c r="X84" s="195">
        <f t="shared" si="23"/>
        <v>0</v>
      </c>
      <c r="Y84" s="195">
        <f t="shared" si="31"/>
        <v>0</v>
      </c>
      <c r="Z84" s="195">
        <f t="shared" si="33"/>
        <v>-1.1601056342442462E-2</v>
      </c>
      <c r="AA84" s="196">
        <f t="shared" si="34"/>
        <v>0.46077938069230234</v>
      </c>
      <c r="AB84" s="196">
        <f t="shared" si="24"/>
        <v>0.5392206193076976</v>
      </c>
      <c r="AC84" s="196">
        <f>W84/Z84</f>
        <v>1</v>
      </c>
      <c r="AD84" s="247">
        <f t="shared" si="29"/>
        <v>0</v>
      </c>
      <c r="AF84" s="251">
        <f t="shared" si="25"/>
        <v>0.5392206193076976</v>
      </c>
      <c r="AG84" s="251">
        <f t="shared" si="26"/>
        <v>0.4607793806923024</v>
      </c>
    </row>
    <row r="85" spans="1:33" ht="13.8" thickBot="1" x14ac:dyDescent="0.3">
      <c r="A85" s="198">
        <v>2019</v>
      </c>
      <c r="B85" s="195">
        <f t="shared" si="27"/>
        <v>4978.7940211047226</v>
      </c>
      <c r="C85" s="195">
        <f t="shared" si="9"/>
        <v>1063.2647715408134</v>
      </c>
      <c r="D85" s="195">
        <f t="shared" si="10"/>
        <v>173.03584665536212</v>
      </c>
      <c r="E85" s="195">
        <f t="shared" si="11"/>
        <v>6215.0946393008981</v>
      </c>
      <c r="F85" s="199">
        <f t="shared" si="12"/>
        <v>0.80108096659084183</v>
      </c>
      <c r="H85" s="198">
        <v>2019</v>
      </c>
      <c r="I85" s="195">
        <f t="shared" si="13"/>
        <v>2693.5024279410191</v>
      </c>
      <c r="J85" s="195">
        <f t="shared" si="14"/>
        <v>46.543751950949883</v>
      </c>
      <c r="K85" s="195">
        <f t="shared" si="15"/>
        <v>1063.2647715408134</v>
      </c>
      <c r="L85" s="195">
        <f t="shared" si="16"/>
        <v>2285.2802863043721</v>
      </c>
      <c r="M85" s="195">
        <f t="shared" si="17"/>
        <v>126.49209470441224</v>
      </c>
      <c r="O85" s="195">
        <f t="shared" si="18"/>
        <v>2740.0461798919691</v>
      </c>
      <c r="P85" s="199">
        <f t="shared" si="19"/>
        <v>0.98301351550476967</v>
      </c>
      <c r="Q85" s="195">
        <f t="shared" si="20"/>
        <v>3475.037152549598</v>
      </c>
      <c r="R85" s="199">
        <f t="shared" si="21"/>
        <v>0.65762758381667552</v>
      </c>
      <c r="S85" s="464">
        <f t="shared" si="22"/>
        <v>6215.0833324415671</v>
      </c>
      <c r="T85" s="196">
        <f t="shared" si="28"/>
        <v>0.4408703847283017</v>
      </c>
      <c r="W85" s="195">
        <f t="shared" si="30"/>
        <v>-1.1306859330943553E-2</v>
      </c>
      <c r="X85" s="195">
        <f t="shared" si="23"/>
        <v>0</v>
      </c>
      <c r="Y85" s="195">
        <f t="shared" si="31"/>
        <v>0</v>
      </c>
      <c r="Z85" s="195">
        <f t="shared" si="33"/>
        <v>-1.1306859330943553E-2</v>
      </c>
      <c r="AA85" s="196">
        <f t="shared" si="34"/>
        <v>0.4590038203044457</v>
      </c>
      <c r="AB85" s="196">
        <f t="shared" si="24"/>
        <v>0.54099617969555425</v>
      </c>
      <c r="AC85" s="196">
        <f t="shared" si="32"/>
        <v>1</v>
      </c>
      <c r="AD85" s="247">
        <f t="shared" si="29"/>
        <v>0</v>
      </c>
      <c r="AF85" s="251">
        <f t="shared" si="25"/>
        <v>0.54099617969555425</v>
      </c>
      <c r="AG85" s="251">
        <f t="shared" si="26"/>
        <v>0.4590038203044457</v>
      </c>
    </row>
    <row r="86" spans="1:33" x14ac:dyDescent="0.25">
      <c r="A86" s="201">
        <v>2020</v>
      </c>
      <c r="B86" s="195">
        <f t="shared" si="27"/>
        <v>5025.4647073271353</v>
      </c>
      <c r="C86" s="195">
        <f t="shared" si="9"/>
        <v>1056.5865164215754</v>
      </c>
      <c r="D86" s="195">
        <f t="shared" si="10"/>
        <v>172.94915510126211</v>
      </c>
      <c r="E86" s="195">
        <f t="shared" si="11"/>
        <v>6255.0003788499735</v>
      </c>
      <c r="F86" s="220">
        <f t="shared" si="12"/>
        <v>0.80343155922415832</v>
      </c>
      <c r="H86" s="201">
        <v>2020</v>
      </c>
      <c r="I86" s="195">
        <f t="shared" si="13"/>
        <v>2727.7068868480824</v>
      </c>
      <c r="J86" s="195">
        <f t="shared" si="14"/>
        <v>46.637791824084175</v>
      </c>
      <c r="K86" s="195">
        <f t="shared" si="15"/>
        <v>1056.5865164215754</v>
      </c>
      <c r="L86" s="195">
        <f t="shared" si="16"/>
        <v>2297.7467757524628</v>
      </c>
      <c r="M86" s="195">
        <f t="shared" si="17"/>
        <v>126.31136327717793</v>
      </c>
      <c r="O86" s="195">
        <f t="shared" si="18"/>
        <v>2774.3446786721665</v>
      </c>
      <c r="P86" s="203">
        <f t="shared" si="19"/>
        <v>0.98318961872956412</v>
      </c>
      <c r="Q86" s="195">
        <f t="shared" si="20"/>
        <v>3480.6446554512158</v>
      </c>
      <c r="R86" s="203">
        <f t="shared" si="21"/>
        <v>0.66014977201244718</v>
      </c>
      <c r="S86" s="464">
        <f t="shared" si="22"/>
        <v>6254.9893341233819</v>
      </c>
      <c r="T86" s="196">
        <f t="shared" si="28"/>
        <v>0.44354107265012349</v>
      </c>
      <c r="W86" s="195">
        <f t="shared" si="30"/>
        <v>-1.1044726590625942E-2</v>
      </c>
      <c r="X86" s="195">
        <f t="shared" si="23"/>
        <v>0</v>
      </c>
      <c r="Y86" s="195">
        <f t="shared" si="31"/>
        <v>0</v>
      </c>
      <c r="Z86" s="195">
        <f t="shared" si="33"/>
        <v>-1.1044726590625942E-2</v>
      </c>
      <c r="AA86" s="196">
        <f t="shared" si="34"/>
        <v>0.45722176146052396</v>
      </c>
      <c r="AB86" s="196">
        <f t="shared" si="24"/>
        <v>0.54277823853947615</v>
      </c>
      <c r="AC86" s="196">
        <f t="shared" si="32"/>
        <v>1</v>
      </c>
      <c r="AD86" s="247">
        <f t="shared" si="29"/>
        <v>0</v>
      </c>
      <c r="AF86" s="251">
        <f t="shared" si="25"/>
        <v>0.54277823853947615</v>
      </c>
      <c r="AG86" s="251">
        <f t="shared" si="26"/>
        <v>0.45722176146052396</v>
      </c>
    </row>
    <row r="87" spans="1:33" x14ac:dyDescent="0.25">
      <c r="A87" s="206">
        <v>2021</v>
      </c>
      <c r="B87" s="195">
        <f t="shared" si="27"/>
        <v>5072.2383333699199</v>
      </c>
      <c r="C87" s="195">
        <f t="shared" si="9"/>
        <v>1049.3053886049152</v>
      </c>
      <c r="D87" s="195">
        <f t="shared" si="10"/>
        <v>172.83555862836172</v>
      </c>
      <c r="E87" s="195">
        <f t="shared" si="11"/>
        <v>6294.3792806031961</v>
      </c>
      <c r="F87" s="221">
        <f t="shared" si="12"/>
        <v>0.8058361447967658</v>
      </c>
      <c r="H87" s="206">
        <v>2021</v>
      </c>
      <c r="I87" s="195">
        <f t="shared" si="13"/>
        <v>2766.1836533524802</v>
      </c>
      <c r="J87" s="195">
        <f t="shared" si="14"/>
        <v>46.825255735645733</v>
      </c>
      <c r="K87" s="195">
        <f t="shared" si="15"/>
        <v>1050.4064818654604</v>
      </c>
      <c r="L87" s="195">
        <f t="shared" si="16"/>
        <v>2312.557743107267</v>
      </c>
      <c r="M87" s="195">
        <f t="shared" si="17"/>
        <v>126.33761591313942</v>
      </c>
      <c r="O87" s="195">
        <f t="shared" si="18"/>
        <v>2813.0089090881261</v>
      </c>
      <c r="P87" s="196">
        <f t="shared" si="19"/>
        <v>0.98335403219507578</v>
      </c>
      <c r="Q87" s="195">
        <f t="shared" si="20"/>
        <v>3489.301840885867</v>
      </c>
      <c r="R87" s="196">
        <f t="shared" si="21"/>
        <v>0.66275657669104171</v>
      </c>
      <c r="S87" s="464">
        <f t="shared" si="22"/>
        <v>6302.3107499739926</v>
      </c>
      <c r="T87" s="196">
        <f t="shared" si="28"/>
        <v>0.44634563744730205</v>
      </c>
      <c r="W87" s="195">
        <f t="shared" si="30"/>
        <v>6.5030630898272648</v>
      </c>
      <c r="X87" s="195">
        <f t="shared" si="23"/>
        <v>1.1010932605452126</v>
      </c>
      <c r="Y87" s="195">
        <f t="shared" si="31"/>
        <v>0.32731302042341781</v>
      </c>
      <c r="Z87" s="195">
        <f t="shared" si="33"/>
        <v>7.9314693707958952</v>
      </c>
      <c r="AA87" s="196">
        <f t="shared" si="34"/>
        <v>0.37333680105684419</v>
      </c>
      <c r="AB87" s="196">
        <f t="shared" si="24"/>
        <v>0.44656967349526078</v>
      </c>
      <c r="AC87" s="196">
        <f t="shared" si="32"/>
        <v>0.81990647455210497</v>
      </c>
      <c r="AD87" s="247">
        <f t="shared" si="29"/>
        <v>0.180093525447895</v>
      </c>
      <c r="AF87" s="251">
        <f t="shared" si="25"/>
        <v>0.54465928414483</v>
      </c>
      <c r="AG87" s="251">
        <f t="shared" si="26"/>
        <v>0.45534071585517</v>
      </c>
    </row>
    <row r="88" spans="1:33" x14ac:dyDescent="0.25">
      <c r="A88" s="206">
        <v>2022</v>
      </c>
      <c r="B88" s="195">
        <f t="shared" si="27"/>
        <v>5119.0716539566693</v>
      </c>
      <c r="C88" s="195">
        <f t="shared" si="9"/>
        <v>1041.4604538990704</v>
      </c>
      <c r="D88" s="195">
        <f t="shared" si="10"/>
        <v>172.69523111426787</v>
      </c>
      <c r="E88" s="195">
        <f t="shared" si="11"/>
        <v>6333.2273389700076</v>
      </c>
      <c r="F88" s="221">
        <f t="shared" si="12"/>
        <v>0.80828799914660887</v>
      </c>
      <c r="H88" s="206">
        <v>2022</v>
      </c>
      <c r="I88" s="195">
        <f t="shared" si="13"/>
        <v>2806.3347185222738</v>
      </c>
      <c r="J88" s="195">
        <f t="shared" si="14"/>
        <v>47.013297762389954</v>
      </c>
      <c r="K88" s="195">
        <f t="shared" si="15"/>
        <v>1043.8978099588544</v>
      </c>
      <c r="L88" s="195">
        <f t="shared" si="16"/>
        <v>2327.6173639557151</v>
      </c>
      <c r="M88" s="195">
        <f t="shared" si="17"/>
        <v>126.34621319276266</v>
      </c>
      <c r="O88" s="195">
        <f t="shared" si="18"/>
        <v>2853.3480162846636</v>
      </c>
      <c r="P88" s="196">
        <f t="shared" si="19"/>
        <v>0.98352346173895544</v>
      </c>
      <c r="Q88" s="195">
        <f t="shared" si="20"/>
        <v>3497.8613871073321</v>
      </c>
      <c r="R88" s="196">
        <f t="shared" si="21"/>
        <v>0.66544013794686485</v>
      </c>
      <c r="S88" s="464">
        <f t="shared" si="22"/>
        <v>6351.2094033919957</v>
      </c>
      <c r="T88" s="196">
        <f t="shared" si="28"/>
        <v>0.4492605793726111</v>
      </c>
      <c r="W88" s="195">
        <f t="shared" si="30"/>
        <v>14.880428521319118</v>
      </c>
      <c r="X88" s="195">
        <f t="shared" si="23"/>
        <v>2.4373560597839514</v>
      </c>
      <c r="Y88" s="195">
        <f t="shared" si="31"/>
        <v>0.66427984088474545</v>
      </c>
      <c r="Z88" s="195">
        <f t="shared" si="33"/>
        <v>17.982064421987815</v>
      </c>
      <c r="AA88" s="196">
        <f t="shared" si="34"/>
        <v>0.37517653345251173</v>
      </c>
      <c r="AB88" s="196">
        <f t="shared" si="24"/>
        <v>0.45233849330514309</v>
      </c>
      <c r="AC88" s="196">
        <f t="shared" si="32"/>
        <v>0.82751502675765476</v>
      </c>
      <c r="AD88" s="247">
        <f t="shared" si="29"/>
        <v>0.17248497324234527</v>
      </c>
      <c r="AF88" s="251">
        <f t="shared" si="25"/>
        <v>0.54662269406452058</v>
      </c>
      <c r="AG88" s="251">
        <f t="shared" si="26"/>
        <v>0.45337730593547954</v>
      </c>
    </row>
    <row r="89" spans="1:33" x14ac:dyDescent="0.25">
      <c r="A89" s="206">
        <v>2023</v>
      </c>
      <c r="B89" s="195">
        <f t="shared" si="27"/>
        <v>5165.9214238109798</v>
      </c>
      <c r="C89" s="195">
        <f t="shared" si="9"/>
        <v>1033.0907781122796</v>
      </c>
      <c r="D89" s="195">
        <f t="shared" si="10"/>
        <v>172.52834643658747</v>
      </c>
      <c r="E89" s="195">
        <f t="shared" si="11"/>
        <v>6371.540548359847</v>
      </c>
      <c r="F89" s="221">
        <f t="shared" si="12"/>
        <v>0.81078059295106963</v>
      </c>
      <c r="H89" s="206">
        <v>2023</v>
      </c>
      <c r="I89" s="195">
        <f t="shared" si="13"/>
        <v>2847.8992338306552</v>
      </c>
      <c r="J89" s="195">
        <f t="shared" si="14"/>
        <v>47.202476729321823</v>
      </c>
      <c r="K89" s="195">
        <f t="shared" si="15"/>
        <v>1037.0484562720583</v>
      </c>
      <c r="L89" s="195">
        <f t="shared" si="16"/>
        <v>2342.8475774313911</v>
      </c>
      <c r="M89" s="195">
        <f t="shared" si="17"/>
        <v>126.34493534387823</v>
      </c>
      <c r="O89" s="195">
        <f t="shared" si="18"/>
        <v>2895.1017105599772</v>
      </c>
      <c r="P89" s="196">
        <f t="shared" si="19"/>
        <v>0.98369574493457368</v>
      </c>
      <c r="Q89" s="195">
        <f t="shared" si="20"/>
        <v>3506.2409690473278</v>
      </c>
      <c r="R89" s="196">
        <f t="shared" si="21"/>
        <v>0.66819354348824478</v>
      </c>
      <c r="S89" s="464">
        <f t="shared" si="22"/>
        <v>6401.3426796073054</v>
      </c>
      <c r="T89" s="196">
        <f t="shared" si="28"/>
        <v>0.45226475998275711</v>
      </c>
      <c r="W89" s="195">
        <f t="shared" si="30"/>
        <v>24.82538745106649</v>
      </c>
      <c r="X89" s="195">
        <f t="shared" si="23"/>
        <v>3.9576781597786521</v>
      </c>
      <c r="Y89" s="195">
        <f t="shared" si="31"/>
        <v>1.019065636612595</v>
      </c>
      <c r="Z89" s="195">
        <f t="shared" si="33"/>
        <v>29.802131247457737</v>
      </c>
      <c r="AA89" s="196">
        <f t="shared" si="34"/>
        <v>0.37597840514925485</v>
      </c>
      <c r="AB89" s="196">
        <f t="shared" si="24"/>
        <v>0.45702871252741178</v>
      </c>
      <c r="AC89" s="196">
        <f t="shared" si="32"/>
        <v>0.83300711767666658</v>
      </c>
      <c r="AD89" s="247">
        <f t="shared" si="29"/>
        <v>0.1669928823233334</v>
      </c>
      <c r="AF89" s="251">
        <f t="shared" si="25"/>
        <v>0.54864922859495713</v>
      </c>
      <c r="AG89" s="251">
        <f t="shared" si="26"/>
        <v>0.45135077140504287</v>
      </c>
    </row>
    <row r="90" spans="1:33" x14ac:dyDescent="0.25">
      <c r="A90" s="206">
        <v>2024</v>
      </c>
      <c r="B90" s="195">
        <f t="shared" si="27"/>
        <v>5212.7443976564455</v>
      </c>
      <c r="C90" s="195">
        <f t="shared" si="9"/>
        <v>1024.2354270527803</v>
      </c>
      <c r="D90" s="195">
        <f t="shared" si="10"/>
        <v>172.33507847292742</v>
      </c>
      <c r="E90" s="195">
        <f t="shared" si="11"/>
        <v>6409.3149031821531</v>
      </c>
      <c r="F90" s="221">
        <f t="shared" si="12"/>
        <v>0.8133075806695621</v>
      </c>
      <c r="H90" s="206">
        <v>2024</v>
      </c>
      <c r="I90" s="195">
        <f t="shared" si="13"/>
        <v>2890.6960385635766</v>
      </c>
      <c r="J90" s="195">
        <f t="shared" si="14"/>
        <v>47.39707755697971</v>
      </c>
      <c r="K90" s="195">
        <f t="shared" si="15"/>
        <v>1029.8562128317556</v>
      </c>
      <c r="L90" s="195">
        <f t="shared" si="16"/>
        <v>2358.2109092144774</v>
      </c>
      <c r="M90" s="195">
        <f t="shared" si="17"/>
        <v>126.34946430142806</v>
      </c>
      <c r="O90" s="195">
        <f t="shared" si="18"/>
        <v>2938.0931161205563</v>
      </c>
      <c r="P90" s="196">
        <f t="shared" si="19"/>
        <v>0.98386808188721997</v>
      </c>
      <c r="Q90" s="195">
        <f t="shared" si="20"/>
        <v>3514.416586347661</v>
      </c>
      <c r="R90" s="196">
        <f t="shared" si="21"/>
        <v>0.67101063612530798</v>
      </c>
      <c r="S90" s="464">
        <f t="shared" si="22"/>
        <v>6452.5097024682173</v>
      </c>
      <c r="T90" s="196">
        <f t="shared" si="28"/>
        <v>0.45534113881249577</v>
      </c>
      <c r="W90" s="195">
        <f t="shared" si="30"/>
        <v>36.162550121608547</v>
      </c>
      <c r="X90" s="195">
        <f t="shared" si="23"/>
        <v>5.6207857789752325</v>
      </c>
      <c r="Y90" s="195">
        <f t="shared" si="31"/>
        <v>1.4114633854803458</v>
      </c>
      <c r="Z90" s="195">
        <f t="shared" si="33"/>
        <v>43.194799286064125</v>
      </c>
      <c r="AA90" s="196">
        <f t="shared" si="34"/>
        <v>0.37613293141665349</v>
      </c>
      <c r="AB90" s="196">
        <f t="shared" si="24"/>
        <v>0.46106392374446348</v>
      </c>
      <c r="AC90" s="196">
        <f t="shared" si="32"/>
        <v>0.83719685516111697</v>
      </c>
      <c r="AD90" s="247">
        <f t="shared" si="29"/>
        <v>0.162803144838883</v>
      </c>
      <c r="AF90" s="251">
        <f t="shared" si="25"/>
        <v>0.55072343010143365</v>
      </c>
      <c r="AG90" s="251">
        <f t="shared" si="26"/>
        <v>0.44927656989856635</v>
      </c>
    </row>
    <row r="91" spans="1:33" x14ac:dyDescent="0.25">
      <c r="A91" s="206">
        <v>2025</v>
      </c>
      <c r="B91" s="195">
        <f t="shared" si="27"/>
        <v>5259.4973302166582</v>
      </c>
      <c r="C91" s="195">
        <f t="shared" si="9"/>
        <v>1014.9334665288106</v>
      </c>
      <c r="D91" s="195">
        <f t="shared" si="10"/>
        <v>172.11560110089468</v>
      </c>
      <c r="E91" s="195">
        <f t="shared" si="11"/>
        <v>6446.5463978463631</v>
      </c>
      <c r="F91" s="221">
        <f t="shared" si="12"/>
        <v>0.81586279003184248</v>
      </c>
      <c r="H91" s="206">
        <v>2025</v>
      </c>
      <c r="I91" s="195">
        <f t="shared" si="13"/>
        <v>2934.5825121916819</v>
      </c>
      <c r="J91" s="195">
        <f t="shared" si="14"/>
        <v>47.60021489995615</v>
      </c>
      <c r="K91" s="195">
        <f t="shared" si="15"/>
        <v>1022.3283158832343</v>
      </c>
      <c r="L91" s="195">
        <f t="shared" si="16"/>
        <v>2373.6775133380584</v>
      </c>
      <c r="M91" s="195">
        <f t="shared" si="17"/>
        <v>126.37028014961675</v>
      </c>
      <c r="O91" s="195">
        <f t="shared" si="18"/>
        <v>2982.1827270916378</v>
      </c>
      <c r="P91" s="196">
        <f t="shared" si="19"/>
        <v>0.98403846468979517</v>
      </c>
      <c r="Q91" s="195">
        <f t="shared" si="20"/>
        <v>3522.3761093709095</v>
      </c>
      <c r="R91" s="196">
        <f t="shared" si="21"/>
        <v>0.67388530913071443</v>
      </c>
      <c r="S91" s="464">
        <f t="shared" si="22"/>
        <v>6504.5588364625473</v>
      </c>
      <c r="T91" s="196">
        <f t="shared" si="28"/>
        <v>0.45847578630151559</v>
      </c>
      <c r="W91" s="195">
        <f t="shared" si="30"/>
        <v>48.762695313082077</v>
      </c>
      <c r="X91" s="195">
        <f t="shared" si="23"/>
        <v>7.3948493544236271</v>
      </c>
      <c r="Y91" s="195">
        <f t="shared" si="31"/>
        <v>1.8548939486782103</v>
      </c>
      <c r="Z91" s="195">
        <f t="shared" si="33"/>
        <v>58.012438616183914</v>
      </c>
      <c r="AA91" s="196">
        <f t="shared" si="34"/>
        <v>0.37586865325353713</v>
      </c>
      <c r="AB91" s="196">
        <f t="shared" si="24"/>
        <v>0.46468720814889303</v>
      </c>
      <c r="AC91" s="196">
        <f t="shared" si="32"/>
        <v>0.84055586140243022</v>
      </c>
      <c r="AD91" s="247">
        <f t="shared" si="29"/>
        <v>0.15944413859756978</v>
      </c>
      <c r="AF91" s="251">
        <f t="shared" si="25"/>
        <v>0.55283322559143544</v>
      </c>
      <c r="AG91" s="251">
        <f t="shared" si="26"/>
        <v>0.44716677440856456</v>
      </c>
    </row>
    <row r="92" spans="1:33" x14ac:dyDescent="0.25">
      <c r="A92" s="206">
        <v>2026</v>
      </c>
      <c r="B92" s="195">
        <f t="shared" si="27"/>
        <v>5306.1369762152135</v>
      </c>
      <c r="C92" s="195">
        <f t="shared" si="9"/>
        <v>1005.2239623486087</v>
      </c>
      <c r="D92" s="195">
        <f t="shared" si="10"/>
        <v>171.87008819809614</v>
      </c>
      <c r="E92" s="195">
        <f t="shared" si="11"/>
        <v>6483.2310267619177</v>
      </c>
      <c r="F92" s="221">
        <f t="shared" si="12"/>
        <v>0.81844021203504613</v>
      </c>
      <c r="H92" s="206">
        <v>2026</v>
      </c>
      <c r="I92" s="195">
        <f t="shared" si="13"/>
        <v>2979.441920623839</v>
      </c>
      <c r="J92" s="195">
        <f t="shared" si="14"/>
        <v>47.811535316728971</v>
      </c>
      <c r="K92" s="195">
        <f t="shared" si="15"/>
        <v>1014.4814318160126</v>
      </c>
      <c r="L92" s="195">
        <f t="shared" si="16"/>
        <v>2389.213924152536</v>
      </c>
      <c r="M92" s="195">
        <f t="shared" si="17"/>
        <v>126.40681753520727</v>
      </c>
      <c r="O92" s="195">
        <f t="shared" si="18"/>
        <v>3027.2534559405681</v>
      </c>
      <c r="P92" s="196">
        <f t="shared" si="19"/>
        <v>0.98420629920401759</v>
      </c>
      <c r="Q92" s="195">
        <f t="shared" si="20"/>
        <v>3530.1021735037557</v>
      </c>
      <c r="R92" s="196">
        <f t="shared" si="21"/>
        <v>0.67681155012608418</v>
      </c>
      <c r="S92" s="464">
        <f t="shared" si="22"/>
        <v>6557.3556294443242</v>
      </c>
      <c r="T92" s="196">
        <f t="shared" si="28"/>
        <v>0.46165766004017994</v>
      </c>
      <c r="W92" s="195">
        <f t="shared" si="30"/>
        <v>62.518868561161071</v>
      </c>
      <c r="X92" s="195">
        <f t="shared" si="23"/>
        <v>9.2574694674038938</v>
      </c>
      <c r="Y92" s="195">
        <f t="shared" si="31"/>
        <v>2.34826465384009</v>
      </c>
      <c r="Z92" s="195">
        <f t="shared" si="33"/>
        <v>74.124602682405055</v>
      </c>
      <c r="AA92" s="196">
        <f t="shared" si="34"/>
        <v>0.37535154148424055</v>
      </c>
      <c r="AB92" s="196">
        <f t="shared" si="24"/>
        <v>0.46807785036059651</v>
      </c>
      <c r="AC92" s="196">
        <f t="shared" si="32"/>
        <v>0.84342939184483701</v>
      </c>
      <c r="AD92" s="247">
        <f t="shared" si="29"/>
        <v>0.15657060815516297</v>
      </c>
      <c r="AF92" s="251">
        <f t="shared" si="25"/>
        <v>0.5549698112094098</v>
      </c>
      <c r="AG92" s="251">
        <f t="shared" si="26"/>
        <v>0.44503018879059031</v>
      </c>
    </row>
    <row r="93" spans="1:33" x14ac:dyDescent="0.25">
      <c r="A93" s="206">
        <v>2027</v>
      </c>
      <c r="B93" s="195">
        <f t="shared" si="27"/>
        <v>5352.6200903757053</v>
      </c>
      <c r="C93" s="195">
        <f t="shared" si="9"/>
        <v>995.1459803204126</v>
      </c>
      <c r="D93" s="195">
        <f t="shared" si="10"/>
        <v>171.59871364213873</v>
      </c>
      <c r="E93" s="195">
        <f t="shared" si="11"/>
        <v>6519.3647843382569</v>
      </c>
      <c r="F93" s="221">
        <f t="shared" si="12"/>
        <v>0.82103399141501154</v>
      </c>
      <c r="H93" s="206">
        <v>2027</v>
      </c>
      <c r="I93" s="195">
        <f t="shared" si="13"/>
        <v>3025.1821298020377</v>
      </c>
      <c r="J93" s="195">
        <f t="shared" si="14"/>
        <v>48.028666472825122</v>
      </c>
      <c r="K93" s="195">
        <f t="shared" si="15"/>
        <v>1006.3410173874541</v>
      </c>
      <c r="L93" s="195">
        <f t="shared" si="16"/>
        <v>2404.7856284726863</v>
      </c>
      <c r="M93" s="195">
        <f t="shared" si="17"/>
        <v>126.45142189359358</v>
      </c>
      <c r="O93" s="195">
        <f t="shared" si="18"/>
        <v>3073.2107962748628</v>
      </c>
      <c r="P93" s="196">
        <f t="shared" si="19"/>
        <v>0.9843718281443492</v>
      </c>
      <c r="Q93" s="195">
        <f t="shared" si="20"/>
        <v>3537.5780677537341</v>
      </c>
      <c r="R93" s="196">
        <f t="shared" si="21"/>
        <v>0.67978305564282848</v>
      </c>
      <c r="S93" s="464">
        <f t="shared" si="22"/>
        <v>6610.7888640285964</v>
      </c>
      <c r="T93" s="196">
        <f t="shared" si="28"/>
        <v>0.46487807423364852</v>
      </c>
      <c r="W93" s="195">
        <f t="shared" si="30"/>
        <v>77.347667899019143</v>
      </c>
      <c r="X93" s="195">
        <f t="shared" si="23"/>
        <v>11.19503706704154</v>
      </c>
      <c r="Y93" s="195">
        <f t="shared" si="31"/>
        <v>2.881374724279965</v>
      </c>
      <c r="Z93" s="195">
        <f t="shared" si="33"/>
        <v>91.424079690340648</v>
      </c>
      <c r="AA93" s="196">
        <f t="shared" si="34"/>
        <v>0.37468451383830864</v>
      </c>
      <c r="AB93" s="196">
        <f t="shared" si="24"/>
        <v>0.47134716797900644</v>
      </c>
      <c r="AC93" s="196">
        <f t="shared" si="32"/>
        <v>0.84603168181731514</v>
      </c>
      <c r="AD93" s="247">
        <f t="shared" si="29"/>
        <v>0.15396831818268486</v>
      </c>
      <c r="AF93" s="251">
        <f t="shared" si="25"/>
        <v>0.55712708886566864</v>
      </c>
      <c r="AG93" s="251">
        <f t="shared" si="26"/>
        <v>0.4428729111343313</v>
      </c>
    </row>
    <row r="94" spans="1:33" x14ac:dyDescent="0.25">
      <c r="A94" s="206">
        <v>2028</v>
      </c>
      <c r="B94" s="195">
        <f t="shared" si="27"/>
        <v>5398.9034274217265</v>
      </c>
      <c r="C94" s="195">
        <f t="shared" si="9"/>
        <v>984.73858625246021</v>
      </c>
      <c r="D94" s="195">
        <f t="shared" si="10"/>
        <v>171.30165131062935</v>
      </c>
      <c r="E94" s="195">
        <f t="shared" si="11"/>
        <v>6554.9436649848158</v>
      </c>
      <c r="F94" s="221">
        <f t="shared" si="12"/>
        <v>0.82363841755979961</v>
      </c>
      <c r="H94" s="206">
        <v>2028</v>
      </c>
      <c r="I94" s="195">
        <f t="shared" si="13"/>
        <v>3071.7537101118996</v>
      </c>
      <c r="J94" s="195">
        <f t="shared" si="14"/>
        <v>48.250904851342611</v>
      </c>
      <c r="K94" s="195">
        <f t="shared" si="15"/>
        <v>997.93979164708742</v>
      </c>
      <c r="L94" s="195">
        <f t="shared" si="16"/>
        <v>2420.3756126843577</v>
      </c>
      <c r="M94" s="195">
        <f t="shared" si="17"/>
        <v>126.49979599663608</v>
      </c>
      <c r="O94" s="195">
        <f t="shared" si="18"/>
        <v>3120.0046149632421</v>
      </c>
      <c r="P94" s="196">
        <f t="shared" si="19"/>
        <v>0.98453498926894667</v>
      </c>
      <c r="Q94" s="195">
        <f t="shared" si="20"/>
        <v>3544.8152003280816</v>
      </c>
      <c r="R94" s="196">
        <f t="shared" si="21"/>
        <v>0.68279317140717122</v>
      </c>
      <c r="S94" s="464">
        <f t="shared" si="22"/>
        <v>6664.8198152913237</v>
      </c>
      <c r="T94" s="196">
        <f t="shared" si="28"/>
        <v>0.46813037732916785</v>
      </c>
      <c r="W94" s="195">
        <f t="shared" si="30"/>
        <v>93.225895374531319</v>
      </c>
      <c r="X94" s="195">
        <f t="shared" si="23"/>
        <v>13.201205394627209</v>
      </c>
      <c r="Y94" s="195">
        <f t="shared" si="31"/>
        <v>3.4490495373493388</v>
      </c>
      <c r="Z94" s="195">
        <f t="shared" si="33"/>
        <v>109.87615030650787</v>
      </c>
      <c r="AA94" s="196">
        <f t="shared" si="34"/>
        <v>0.37391694072624598</v>
      </c>
      <c r="AB94" s="196">
        <f t="shared" si="24"/>
        <v>0.47454648936727833</v>
      </c>
      <c r="AC94" s="196">
        <f t="shared" si="32"/>
        <v>0.84846343009352443</v>
      </c>
      <c r="AD94" s="247">
        <f t="shared" si="29"/>
        <v>0.15153656990647557</v>
      </c>
      <c r="AF94" s="251">
        <f t="shared" si="25"/>
        <v>0.55930105239181616</v>
      </c>
      <c r="AG94" s="251">
        <f t="shared" si="26"/>
        <v>0.44069894760818373</v>
      </c>
    </row>
    <row r="95" spans="1:33" x14ac:dyDescent="0.25">
      <c r="A95" s="206">
        <v>2029</v>
      </c>
      <c r="B95" s="195">
        <f t="shared" si="27"/>
        <v>5444.9437420768727</v>
      </c>
      <c r="C95" s="195">
        <f t="shared" si="9"/>
        <v>974.04084595298957</v>
      </c>
      <c r="D95" s="195">
        <f t="shared" si="10"/>
        <v>170.97907508117495</v>
      </c>
      <c r="E95" s="195">
        <f t="shared" si="11"/>
        <v>6589.9636631110379</v>
      </c>
      <c r="F95" s="221">
        <f t="shared" si="12"/>
        <v>0.82624791583545454</v>
      </c>
      <c r="H95" s="206">
        <v>2029</v>
      </c>
      <c r="I95" s="195">
        <f t="shared" si="13"/>
        <v>3119.1280627564702</v>
      </c>
      <c r="J95" s="195">
        <f t="shared" si="14"/>
        <v>48.4772424167681</v>
      </c>
      <c r="K95" s="195">
        <f t="shared" si="15"/>
        <v>989.31565058113881</v>
      </c>
      <c r="L95" s="195">
        <f t="shared" si="16"/>
        <v>2435.9712995780415</v>
      </c>
      <c r="M95" s="195">
        <f t="shared" si="17"/>
        <v>126.54601414267307</v>
      </c>
      <c r="O95" s="195">
        <f t="shared" si="18"/>
        <v>3167.6053051732383</v>
      </c>
      <c r="P95" s="196">
        <f t="shared" si="19"/>
        <v>0.98469593344297135</v>
      </c>
      <c r="Q95" s="195">
        <f t="shared" si="20"/>
        <v>3551.8329643018533</v>
      </c>
      <c r="R95" s="196">
        <f t="shared" si="21"/>
        <v>0.68583498268670828</v>
      </c>
      <c r="S95" s="464">
        <f t="shared" si="22"/>
        <v>6719.4382694750911</v>
      </c>
      <c r="T95" s="196">
        <f t="shared" si="28"/>
        <v>0.47140924257954159</v>
      </c>
      <c r="W95" s="195">
        <f t="shared" si="30"/>
        <v>110.15562025763847</v>
      </c>
      <c r="X95" s="195">
        <f t="shared" si="23"/>
        <v>15.274804628149241</v>
      </c>
      <c r="Y95" s="195">
        <f t="shared" si="31"/>
        <v>4.0441814782662107</v>
      </c>
      <c r="Z95" s="195">
        <f t="shared" si="33"/>
        <v>129.47460636405393</v>
      </c>
      <c r="AA95" s="196">
        <f t="shared" si="34"/>
        <v>0.37308036813328377</v>
      </c>
      <c r="AB95" s="196">
        <f t="shared" si="24"/>
        <v>0.47770901328337229</v>
      </c>
      <c r="AC95" s="196">
        <f t="shared" si="32"/>
        <v>0.85078938141665605</v>
      </c>
      <c r="AD95" s="247">
        <f t="shared" si="29"/>
        <v>0.14921061858334397</v>
      </c>
      <c r="AF95" s="251">
        <f t="shared" si="25"/>
        <v>0.5614891578547152</v>
      </c>
      <c r="AG95" s="251">
        <f t="shared" si="26"/>
        <v>0.43851084214528485</v>
      </c>
    </row>
    <row r="96" spans="1:33" x14ac:dyDescent="0.25">
      <c r="A96" s="206">
        <v>2030</v>
      </c>
      <c r="B96" s="195">
        <f t="shared" si="27"/>
        <v>5490.6977890647377</v>
      </c>
      <c r="C96" s="195">
        <f t="shared" si="9"/>
        <v>963.09182523023878</v>
      </c>
      <c r="D96" s="195">
        <f t="shared" si="10"/>
        <v>170.63115883138241</v>
      </c>
      <c r="E96" s="195">
        <f t="shared" si="11"/>
        <v>6624.4207731263587</v>
      </c>
      <c r="F96" s="221">
        <f t="shared" si="12"/>
        <v>0.82885703929604604</v>
      </c>
      <c r="H96" s="206">
        <v>2030</v>
      </c>
      <c r="I96" s="195">
        <f t="shared" si="13"/>
        <v>3167.2766031191377</v>
      </c>
      <c r="J96" s="195">
        <f t="shared" si="14"/>
        <v>48.706882201950812</v>
      </c>
      <c r="K96" s="195">
        <f t="shared" si="15"/>
        <v>980.50577034517096</v>
      </c>
      <c r="L96" s="195">
        <f t="shared" si="16"/>
        <v>2451.5623598108214</v>
      </c>
      <c r="M96" s="195">
        <f t="shared" si="17"/>
        <v>126.58544787387856</v>
      </c>
      <c r="O96" s="195">
        <f t="shared" si="18"/>
        <v>3215.9834853210887</v>
      </c>
      <c r="P96" s="196">
        <f t="shared" si="19"/>
        <v>0.98485474741264478</v>
      </c>
      <c r="Q96" s="195">
        <f t="shared" si="20"/>
        <v>3558.6535780298709</v>
      </c>
      <c r="R96" s="196">
        <f t="shared" si="21"/>
        <v>0.68890166071406322</v>
      </c>
      <c r="S96" s="464">
        <f t="shared" si="22"/>
        <v>6774.6370633509596</v>
      </c>
      <c r="T96" s="196">
        <f t="shared" si="28"/>
        <v>0.47470933944472543</v>
      </c>
      <c r="W96" s="195">
        <f t="shared" si="30"/>
        <v>128.14117386522139</v>
      </c>
      <c r="X96" s="195">
        <f t="shared" si="23"/>
        <v>17.413945114932176</v>
      </c>
      <c r="Y96" s="195">
        <f t="shared" si="31"/>
        <v>4.6611712444469617</v>
      </c>
      <c r="Z96" s="195">
        <f t="shared" si="33"/>
        <v>150.21629022460053</v>
      </c>
      <c r="AA96" s="196">
        <f t="shared" si="34"/>
        <v>0.37219284946164571</v>
      </c>
      <c r="AB96" s="196">
        <f t="shared" si="24"/>
        <v>0.48085160845718022</v>
      </c>
      <c r="AC96" s="196">
        <f t="shared" si="32"/>
        <v>0.85304445791882599</v>
      </c>
      <c r="AD96" s="247">
        <f t="shared" si="29"/>
        <v>0.14695554208117406</v>
      </c>
      <c r="AF96" s="251">
        <f t="shared" si="25"/>
        <v>0.56368880190642667</v>
      </c>
      <c r="AG96" s="251">
        <f t="shared" si="26"/>
        <v>0.43631119809357333</v>
      </c>
    </row>
    <row r="97" spans="1:33" x14ac:dyDescent="0.25">
      <c r="A97" s="206">
        <v>2031</v>
      </c>
      <c r="B97" s="195">
        <f t="shared" si="27"/>
        <v>5536.1223231089152</v>
      </c>
      <c r="C97" s="195">
        <f t="shared" si="9"/>
        <v>951.93058989244571</v>
      </c>
      <c r="D97" s="195">
        <f t="shared" si="10"/>
        <v>170.25807643885869</v>
      </c>
      <c r="E97" s="195">
        <f t="shared" si="11"/>
        <v>6658.3109894402196</v>
      </c>
      <c r="F97" s="221">
        <f t="shared" si="12"/>
        <v>0.83146046075182656</v>
      </c>
      <c r="H97" s="206">
        <v>2031</v>
      </c>
      <c r="I97" s="195">
        <f t="shared" si="13"/>
        <v>3216.1411315824539</v>
      </c>
      <c r="J97" s="195">
        <f t="shared" si="14"/>
        <v>48.939569554234765</v>
      </c>
      <c r="K97" s="195">
        <f t="shared" si="15"/>
        <v>971.54066521411619</v>
      </c>
      <c r="L97" s="195">
        <f t="shared" si="16"/>
        <v>2467.1314383662093</v>
      </c>
      <c r="M97" s="195">
        <f t="shared" si="17"/>
        <v>126.61691316803712</v>
      </c>
      <c r="O97" s="195">
        <f t="shared" si="18"/>
        <v>3265.0807011366887</v>
      </c>
      <c r="P97" s="196">
        <f t="shared" si="19"/>
        <v>0.98501122206958092</v>
      </c>
      <c r="Q97" s="195">
        <f t="shared" si="20"/>
        <v>3565.2890167483629</v>
      </c>
      <c r="R97" s="196">
        <f t="shared" si="21"/>
        <v>0.69198637944261188</v>
      </c>
      <c r="S97" s="464">
        <f t="shared" si="22"/>
        <v>6830.3697178850516</v>
      </c>
      <c r="T97" s="196">
        <f t="shared" si="28"/>
        <v>0.47802400689778252</v>
      </c>
      <c r="W97" s="195">
        <f t="shared" si="30"/>
        <v>147.15024683974843</v>
      </c>
      <c r="X97" s="195">
        <f t="shared" si="23"/>
        <v>19.610075321670479</v>
      </c>
      <c r="Y97" s="195">
        <f t="shared" si="31"/>
        <v>5.2984062834131862</v>
      </c>
      <c r="Z97" s="195">
        <f t="shared" si="33"/>
        <v>172.0587284448321</v>
      </c>
      <c r="AA97" s="196">
        <f t="shared" si="34"/>
        <v>0.37125993823006043</v>
      </c>
      <c r="AB97" s="196">
        <f t="shared" si="24"/>
        <v>0.48397273825069026</v>
      </c>
      <c r="AC97" s="196">
        <f t="shared" si="32"/>
        <v>0.85523267648075074</v>
      </c>
      <c r="AD97" s="247">
        <f t="shared" si="29"/>
        <v>0.14476732351924926</v>
      </c>
      <c r="AF97" s="251">
        <f t="shared" si="25"/>
        <v>0.56589598545534914</v>
      </c>
      <c r="AG97" s="251">
        <f t="shared" si="26"/>
        <v>0.43410401454465075</v>
      </c>
    </row>
    <row r="98" spans="1:33" x14ac:dyDescent="0.25">
      <c r="A98" s="206">
        <v>2032</v>
      </c>
      <c r="B98" s="195">
        <f t="shared" si="27"/>
        <v>5581.1740989329992</v>
      </c>
      <c r="C98" s="195">
        <f t="shared" si="9"/>
        <v>940.59620574784856</v>
      </c>
      <c r="D98" s="195">
        <f t="shared" si="10"/>
        <v>169.86000178121068</v>
      </c>
      <c r="E98" s="195">
        <f t="shared" si="11"/>
        <v>6691.6303064620579</v>
      </c>
      <c r="F98" s="221">
        <f t="shared" si="12"/>
        <v>0.83405296517102878</v>
      </c>
      <c r="H98" s="206">
        <v>2032</v>
      </c>
      <c r="I98" s="195">
        <f t="shared" si="13"/>
        <v>3265.5867000147537</v>
      </c>
      <c r="J98" s="195">
        <f t="shared" si="14"/>
        <v>49.173963427681073</v>
      </c>
      <c r="K98" s="195">
        <f t="shared" si="15"/>
        <v>962.43920179995473</v>
      </c>
      <c r="L98" s="195">
        <f t="shared" si="16"/>
        <v>2482.6382209102762</v>
      </c>
      <c r="M98" s="195">
        <f t="shared" si="17"/>
        <v>126.63952243450224</v>
      </c>
      <c r="O98" s="195">
        <f t="shared" si="18"/>
        <v>3314.7606634424346</v>
      </c>
      <c r="P98" s="196">
        <f t="shared" si="19"/>
        <v>0.98516515416331352</v>
      </c>
      <c r="Q98" s="195">
        <f t="shared" si="20"/>
        <v>3571.7169451447335</v>
      </c>
      <c r="R98" s="196">
        <f t="shared" si="21"/>
        <v>0.69508257766200854</v>
      </c>
      <c r="S98" s="464">
        <f t="shared" si="22"/>
        <v>6886.4776085871681</v>
      </c>
      <c r="T98" s="196">
        <f t="shared" si="28"/>
        <v>0.48134341703355832</v>
      </c>
      <c r="W98" s="195">
        <f t="shared" si="30"/>
        <v>167.05082199203025</v>
      </c>
      <c r="X98" s="195">
        <f t="shared" si="23"/>
        <v>21.842996052106173</v>
      </c>
      <c r="Y98" s="195">
        <f t="shared" si="31"/>
        <v>5.953484080972629</v>
      </c>
      <c r="Z98" s="195">
        <f t="shared" si="33"/>
        <v>194.84730212510905</v>
      </c>
      <c r="AA98" s="196">
        <f t="shared" si="34"/>
        <v>0.37028311117225954</v>
      </c>
      <c r="AB98" s="196">
        <f t="shared" si="24"/>
        <v>0.48705912641627525</v>
      </c>
      <c r="AC98" s="196">
        <f t="shared" si="32"/>
        <v>0.85734223758853467</v>
      </c>
      <c r="AD98" s="247">
        <f t="shared" si="29"/>
        <v>0.14265776241146527</v>
      </c>
      <c r="AF98" s="251">
        <f t="shared" si="25"/>
        <v>0.56810350063498227</v>
      </c>
      <c r="AG98" s="251">
        <f t="shared" si="26"/>
        <v>0.43189649936501778</v>
      </c>
    </row>
    <row r="99" spans="1:33" x14ac:dyDescent="0.25">
      <c r="A99" s="206">
        <v>2033</v>
      </c>
      <c r="B99" s="195">
        <f t="shared" si="27"/>
        <v>5625.8098712605843</v>
      </c>
      <c r="C99" s="195">
        <f t="shared" si="9"/>
        <v>929.12773860468531</v>
      </c>
      <c r="D99" s="195">
        <f t="shared" si="10"/>
        <v>169.4371087360453</v>
      </c>
      <c r="E99" s="195">
        <f t="shared" si="11"/>
        <v>6724.3747186013143</v>
      </c>
      <c r="F99" s="221">
        <f t="shared" si="12"/>
        <v>0.83662944239234271</v>
      </c>
      <c r="H99" s="206">
        <v>2033</v>
      </c>
      <c r="I99" s="195">
        <f t="shared" si="13"/>
        <v>3315.3671636767704</v>
      </c>
      <c r="J99" s="195">
        <f t="shared" si="14"/>
        <v>49.406039702256692</v>
      </c>
      <c r="K99" s="195">
        <f t="shared" si="15"/>
        <v>953.20681699704357</v>
      </c>
      <c r="L99" s="195">
        <f t="shared" si="16"/>
        <v>2498.0047392245879</v>
      </c>
      <c r="M99" s="195">
        <f t="shared" si="17"/>
        <v>126.64905253753881</v>
      </c>
      <c r="O99" s="195">
        <f t="shared" si="18"/>
        <v>3364.7732033790271</v>
      </c>
      <c r="P99" s="196">
        <f t="shared" si="19"/>
        <v>0.98531668058559152</v>
      </c>
      <c r="Q99" s="195">
        <f t="shared" si="20"/>
        <v>3577.8606087591702</v>
      </c>
      <c r="R99" s="196">
        <f t="shared" si="21"/>
        <v>0.69818391837543259</v>
      </c>
      <c r="S99" s="464">
        <f t="shared" si="22"/>
        <v>6942.6338121381978</v>
      </c>
      <c r="T99" s="196">
        <f t="shared" si="28"/>
        <v>0.48465370555713377</v>
      </c>
      <c r="W99" s="195">
        <f t="shared" si="30"/>
        <v>187.56203164077397</v>
      </c>
      <c r="X99" s="195">
        <f t="shared" si="23"/>
        <v>24.079078392358269</v>
      </c>
      <c r="Y99" s="195">
        <f t="shared" si="31"/>
        <v>6.617983503750196</v>
      </c>
      <c r="Z99" s="195">
        <f t="shared" si="33"/>
        <v>218.25909353688243</v>
      </c>
      <c r="AA99" s="196">
        <f t="shared" si="34"/>
        <v>0.36926464791656521</v>
      </c>
      <c r="AB99" s="196">
        <f t="shared" si="24"/>
        <v>0.49009029854333508</v>
      </c>
      <c r="AC99" s="196">
        <f t="shared" si="32"/>
        <v>0.85935494645990029</v>
      </c>
      <c r="AD99" s="247">
        <f t="shared" si="29"/>
        <v>0.14064505354009973</v>
      </c>
      <c r="AF99" s="251">
        <f t="shared" si="25"/>
        <v>0.5703002008218544</v>
      </c>
      <c r="AG99" s="251">
        <f t="shared" si="26"/>
        <v>0.4296997991781456</v>
      </c>
    </row>
    <row r="100" spans="1:33" x14ac:dyDescent="0.25">
      <c r="A100" s="206">
        <v>2034</v>
      </c>
      <c r="B100" s="195">
        <f t="shared" si="27"/>
        <v>5669.9863948152633</v>
      </c>
      <c r="C100" s="195">
        <f t="shared" si="9"/>
        <v>917.56425427119382</v>
      </c>
      <c r="D100" s="195">
        <f t="shared" si="10"/>
        <v>168.98957118096945</v>
      </c>
      <c r="E100" s="195">
        <f t="shared" si="11"/>
        <v>6756.5402202674268</v>
      </c>
      <c r="F100" s="221">
        <f t="shared" si="12"/>
        <v>0.83918488012653947</v>
      </c>
      <c r="H100" s="206">
        <v>2034</v>
      </c>
      <c r="I100" s="195">
        <f t="shared" si="13"/>
        <v>3365.1816918053719</v>
      </c>
      <c r="J100" s="195">
        <f t="shared" si="14"/>
        <v>49.630732947901897</v>
      </c>
      <c r="K100" s="195">
        <f t="shared" si="15"/>
        <v>943.84229457949914</v>
      </c>
      <c r="L100" s="195">
        <f t="shared" si="16"/>
        <v>2513.1367407939451</v>
      </c>
      <c r="M100" s="195">
        <f t="shared" si="17"/>
        <v>126.64062487098067</v>
      </c>
      <c r="O100" s="195">
        <f t="shared" si="18"/>
        <v>3414.8124247532737</v>
      </c>
      <c r="P100" s="196">
        <f t="shared" si="19"/>
        <v>0.98546604417035066</v>
      </c>
      <c r="Q100" s="195">
        <f t="shared" si="20"/>
        <v>3583.6196602444252</v>
      </c>
      <c r="R100" s="196">
        <f t="shared" si="21"/>
        <v>0.70128444953964053</v>
      </c>
      <c r="S100" s="464">
        <f t="shared" si="22"/>
        <v>6998.4320849976993</v>
      </c>
      <c r="T100" s="196">
        <f t="shared" si="28"/>
        <v>0.48793963894762815</v>
      </c>
      <c r="W100" s="195">
        <f t="shared" si="30"/>
        <v>208.33203778405368</v>
      </c>
      <c r="X100" s="195">
        <f t="shared" si="23"/>
        <v>26.278040308305322</v>
      </c>
      <c r="Y100" s="195">
        <f t="shared" si="31"/>
        <v>7.2817866379131146</v>
      </c>
      <c r="Z100" s="195">
        <f t="shared" si="33"/>
        <v>241.89186473027212</v>
      </c>
      <c r="AA100" s="196">
        <f t="shared" si="34"/>
        <v>0.36821189178121466</v>
      </c>
      <c r="AB100" s="196">
        <f t="shared" si="24"/>
        <v>0.49304914325342697</v>
      </c>
      <c r="AC100" s="196">
        <f t="shared" si="32"/>
        <v>0.86126103503464158</v>
      </c>
      <c r="AD100" s="247">
        <f t="shared" si="29"/>
        <v>0.1387389649653584</v>
      </c>
      <c r="AF100" s="251">
        <f t="shared" si="25"/>
        <v>0.57247352799792639</v>
      </c>
      <c r="AG100" s="251">
        <f t="shared" si="26"/>
        <v>0.42752647200207361</v>
      </c>
    </row>
    <row r="101" spans="1:33" x14ac:dyDescent="0.25">
      <c r="A101" s="206">
        <v>2035</v>
      </c>
      <c r="B101" s="195">
        <f t="shared" si="27"/>
        <v>5713.660424320632</v>
      </c>
      <c r="C101" s="195">
        <f t="shared" si="9"/>
        <v>905.9448185556123</v>
      </c>
      <c r="D101" s="195">
        <f t="shared" si="10"/>
        <v>168.5175629935901</v>
      </c>
      <c r="E101" s="195">
        <f t="shared" si="11"/>
        <v>6788.1228058698343</v>
      </c>
      <c r="F101" s="221">
        <f t="shared" si="12"/>
        <v>0.84171435722699484</v>
      </c>
      <c r="H101" s="206">
        <v>2035</v>
      </c>
      <c r="I101" s="195">
        <f t="shared" si="13"/>
        <v>3414.8052874297036</v>
      </c>
      <c r="J101" s="195">
        <f t="shared" si="14"/>
        <v>49.844411743031003</v>
      </c>
      <c r="K101" s="195">
        <f t="shared" si="15"/>
        <v>934.35641786852216</v>
      </c>
      <c r="L101" s="195">
        <f t="shared" si="16"/>
        <v>2527.9673835432504</v>
      </c>
      <c r="M101" s="195">
        <f t="shared" si="17"/>
        <v>126.61082814447579</v>
      </c>
      <c r="O101" s="195">
        <f t="shared" si="18"/>
        <v>3464.6496991727345</v>
      </c>
      <c r="P101" s="196">
        <f t="shared" si="19"/>
        <v>0.98561343394833467</v>
      </c>
      <c r="Q101" s="195">
        <f t="shared" si="20"/>
        <v>3588.9346295562482</v>
      </c>
      <c r="R101" s="196">
        <f t="shared" si="21"/>
        <v>0.70437821929785871</v>
      </c>
      <c r="S101" s="464">
        <f t="shared" si="22"/>
        <v>7053.5843287289827</v>
      </c>
      <c r="T101" s="196">
        <f t="shared" si="28"/>
        <v>0.49118994509803293</v>
      </c>
      <c r="W101" s="195">
        <f t="shared" si="30"/>
        <v>229.11224665232203</v>
      </c>
      <c r="X101" s="195">
        <f t="shared" si="23"/>
        <v>28.411599312909857</v>
      </c>
      <c r="Y101" s="195">
        <f t="shared" si="31"/>
        <v>7.937676893916688</v>
      </c>
      <c r="Z101" s="195">
        <f t="shared" si="33"/>
        <v>265.46152285914854</v>
      </c>
      <c r="AA101" s="196">
        <f t="shared" si="34"/>
        <v>0.36713777475896053</v>
      </c>
      <c r="AB101" s="196">
        <f t="shared" si="24"/>
        <v>0.49593361948557141</v>
      </c>
      <c r="AC101" s="196">
        <f t="shared" si="32"/>
        <v>0.86307139424453194</v>
      </c>
      <c r="AD101" s="247">
        <f t="shared" si="29"/>
        <v>0.13692860575546814</v>
      </c>
      <c r="AF101" s="251">
        <f t="shared" si="25"/>
        <v>0.57461482652854523</v>
      </c>
      <c r="AG101" s="251">
        <f t="shared" si="26"/>
        <v>0.42538517347145471</v>
      </c>
    </row>
    <row r="102" spans="1:33" x14ac:dyDescent="0.25">
      <c r="A102" s="206">
        <v>2036</v>
      </c>
      <c r="B102" s="195">
        <f t="shared" si="27"/>
        <v>5756.7887145002824</v>
      </c>
      <c r="C102" s="195">
        <f t="shared" si="9"/>
        <v>894.30849726617885</v>
      </c>
      <c r="D102" s="195">
        <f t="shared" si="10"/>
        <v>168.02125805151414</v>
      </c>
      <c r="E102" s="195">
        <f t="shared" si="11"/>
        <v>6819.1184698179759</v>
      </c>
      <c r="F102" s="221">
        <f t="shared" si="12"/>
        <v>0.84421303721006469</v>
      </c>
      <c r="H102" s="206">
        <v>2036</v>
      </c>
      <c r="I102" s="195">
        <f t="shared" si="13"/>
        <v>3464.1294130905007</v>
      </c>
      <c r="J102" s="195">
        <f t="shared" si="14"/>
        <v>50.045609531620109</v>
      </c>
      <c r="K102" s="195">
        <f t="shared" si="15"/>
        <v>924.77661203807361</v>
      </c>
      <c r="L102" s="195">
        <f t="shared" si="16"/>
        <v>2542.4656320680215</v>
      </c>
      <c r="M102" s="195">
        <f t="shared" si="17"/>
        <v>126.55791123053828</v>
      </c>
      <c r="O102" s="195">
        <f t="shared" si="18"/>
        <v>3514.1750226221207</v>
      </c>
      <c r="P102" s="196">
        <f t="shared" si="19"/>
        <v>0.98575893084167499</v>
      </c>
      <c r="Q102" s="195">
        <f t="shared" si="20"/>
        <v>3593.800155336633</v>
      </c>
      <c r="R102" s="196">
        <f t="shared" si="21"/>
        <v>0.70745882413427286</v>
      </c>
      <c r="S102" s="464">
        <f t="shared" si="22"/>
        <v>7107.9751779587532</v>
      </c>
      <c r="T102" s="196">
        <f t="shared" si="28"/>
        <v>0.49439888781819169</v>
      </c>
      <c r="W102" s="195">
        <f t="shared" si="30"/>
        <v>249.80633065823986</v>
      </c>
      <c r="X102" s="195">
        <f t="shared" si="23"/>
        <v>30.468114771894761</v>
      </c>
      <c r="Y102" s="195">
        <f t="shared" si="31"/>
        <v>8.582262710644244</v>
      </c>
      <c r="Z102" s="195">
        <f t="shared" si="33"/>
        <v>288.85670814077889</v>
      </c>
      <c r="AA102" s="196">
        <f t="shared" si="34"/>
        <v>0.36605616041574573</v>
      </c>
      <c r="AB102" s="196">
        <f t="shared" si="24"/>
        <v>0.49875439657672954</v>
      </c>
      <c r="AC102" s="196">
        <f t="shared" si="32"/>
        <v>0.86481055699247522</v>
      </c>
      <c r="AD102" s="247">
        <f t="shared" si="29"/>
        <v>0.13518944300752464</v>
      </c>
      <c r="AF102" s="251">
        <f t="shared" si="25"/>
        <v>0.57672098535803284</v>
      </c>
      <c r="AG102" s="251">
        <f t="shared" si="26"/>
        <v>0.42327901464196716</v>
      </c>
    </row>
    <row r="103" spans="1:33" x14ac:dyDescent="0.25">
      <c r="A103" s="206">
        <v>2037</v>
      </c>
      <c r="B103" s="195">
        <f t="shared" si="27"/>
        <v>5799.328020077809</v>
      </c>
      <c r="C103" s="195">
        <f t="shared" si="9"/>
        <v>882.69435621113121</v>
      </c>
      <c r="D103" s="195">
        <f t="shared" si="10"/>
        <v>167.50083023234848</v>
      </c>
      <c r="E103" s="195">
        <f t="shared" si="11"/>
        <v>6849.5232065212886</v>
      </c>
      <c r="F103" s="221">
        <f t="shared" si="12"/>
        <v>0.84667616200736273</v>
      </c>
      <c r="H103" s="206">
        <v>2037</v>
      </c>
      <c r="I103" s="195">
        <f t="shared" si="13"/>
        <v>3513.1638916276388</v>
      </c>
      <c r="J103" s="195">
        <f t="shared" si="14"/>
        <v>50.235009852821428</v>
      </c>
      <c r="K103" s="195">
        <f t="shared" si="15"/>
        <v>915.14799937482474</v>
      </c>
      <c r="L103" s="195">
        <f t="shared" si="16"/>
        <v>2556.6402696420623</v>
      </c>
      <c r="M103" s="195">
        <f t="shared" si="17"/>
        <v>126.48243488777382</v>
      </c>
      <c r="O103" s="195">
        <f t="shared" si="18"/>
        <v>3563.3989014804602</v>
      </c>
      <c r="P103" s="196">
        <f t="shared" si="19"/>
        <v>0.98590250172891092</v>
      </c>
      <c r="Q103" s="195">
        <f t="shared" si="20"/>
        <v>3598.2707039046609</v>
      </c>
      <c r="R103" s="196">
        <f t="shared" si="21"/>
        <v>0.71051915767975038</v>
      </c>
      <c r="S103" s="464">
        <f t="shared" si="22"/>
        <v>7161.669605385121</v>
      </c>
      <c r="T103" s="196">
        <f t="shared" si="28"/>
        <v>0.49756538598220312</v>
      </c>
      <c r="W103" s="195">
        <f t="shared" si="30"/>
        <v>270.47614119189257</v>
      </c>
      <c r="X103" s="195">
        <f t="shared" si="23"/>
        <v>32.453643163693528</v>
      </c>
      <c r="Y103" s="195">
        <f t="shared" si="31"/>
        <v>9.2166145082467779</v>
      </c>
      <c r="Z103" s="195">
        <f t="shared" si="33"/>
        <v>312.14639886383287</v>
      </c>
      <c r="AA103" s="196">
        <f t="shared" si="34"/>
        <v>0.36497706886587217</v>
      </c>
      <c r="AB103" s="196">
        <f t="shared" si="24"/>
        <v>0.50152705284235843</v>
      </c>
      <c r="AC103" s="196">
        <f t="shared" si="32"/>
        <v>0.86650412170823066</v>
      </c>
      <c r="AD103" s="247">
        <f t="shared" si="29"/>
        <v>0.13349587829176929</v>
      </c>
      <c r="AF103" s="251">
        <f t="shared" si="25"/>
        <v>0.57879361479971436</v>
      </c>
      <c r="AG103" s="251">
        <f t="shared" si="26"/>
        <v>0.42120638520028558</v>
      </c>
    </row>
    <row r="104" spans="1:33" x14ac:dyDescent="0.25">
      <c r="A104" s="206">
        <v>2038</v>
      </c>
      <c r="B104" s="195">
        <f t="shared" si="27"/>
        <v>5841.2350957768085</v>
      </c>
      <c r="C104" s="195">
        <f t="shared" si="9"/>
        <v>871.14146119870747</v>
      </c>
      <c r="D104" s="195">
        <f t="shared" si="10"/>
        <v>166.95645341370005</v>
      </c>
      <c r="E104" s="195">
        <f t="shared" si="11"/>
        <v>6879.3330103892158</v>
      </c>
      <c r="F104" s="221">
        <f t="shared" si="12"/>
        <v>0.84909904593299024</v>
      </c>
      <c r="H104" s="206">
        <v>2038</v>
      </c>
      <c r="I104" s="195">
        <f t="shared" si="13"/>
        <v>3561.9557522284385</v>
      </c>
      <c r="J104" s="195">
        <f t="shared" si="14"/>
        <v>50.4140541681952</v>
      </c>
      <c r="K104" s="195">
        <f t="shared" si="15"/>
        <v>905.52239574495172</v>
      </c>
      <c r="L104" s="195">
        <f t="shared" si="16"/>
        <v>2570.5149766755403</v>
      </c>
      <c r="M104" s="195">
        <f t="shared" si="17"/>
        <v>126.38656969821881</v>
      </c>
      <c r="O104" s="195">
        <f t="shared" si="18"/>
        <v>3612.3698063966335</v>
      </c>
      <c r="P104" s="196">
        <f t="shared" si="19"/>
        <v>0.9860440495104007</v>
      </c>
      <c r="Q104" s="195">
        <f t="shared" si="20"/>
        <v>3602.4239421187108</v>
      </c>
      <c r="R104" s="196">
        <f t="shared" si="21"/>
        <v>0.71355149143377361</v>
      </c>
      <c r="S104" s="464">
        <f t="shared" si="22"/>
        <v>7214.7937485153443</v>
      </c>
      <c r="T104" s="196">
        <f t="shared" si="28"/>
        <v>0.50068926878748055</v>
      </c>
      <c r="W104" s="195">
        <f t="shared" si="30"/>
        <v>291.23563312717033</v>
      </c>
      <c r="X104" s="195">
        <f t="shared" si="23"/>
        <v>34.380934546244248</v>
      </c>
      <c r="Y104" s="195">
        <f t="shared" si="31"/>
        <v>9.8441704527139677</v>
      </c>
      <c r="Z104" s="195">
        <f t="shared" si="33"/>
        <v>335.46073812612855</v>
      </c>
      <c r="AA104" s="196">
        <f t="shared" si="34"/>
        <v>0.36390453419967039</v>
      </c>
      <c r="AB104" s="196">
        <f t="shared" si="24"/>
        <v>0.50426154316008842</v>
      </c>
      <c r="AC104" s="196">
        <f t="shared" si="32"/>
        <v>0.86816607735975893</v>
      </c>
      <c r="AD104" s="247">
        <f t="shared" si="29"/>
        <v>0.13183392264024113</v>
      </c>
      <c r="AF104" s="251">
        <f t="shared" si="25"/>
        <v>0.58083534511465107</v>
      </c>
      <c r="AG104" s="251">
        <f t="shared" si="26"/>
        <v>0.41916465488534888</v>
      </c>
    </row>
    <row r="105" spans="1:33" x14ac:dyDescent="0.25">
      <c r="A105" s="206">
        <v>2039</v>
      </c>
      <c r="B105" s="195">
        <f t="shared" si="27"/>
        <v>5882.466696320872</v>
      </c>
      <c r="C105" s="195">
        <f t="shared" si="9"/>
        <v>859.68887803714574</v>
      </c>
      <c r="D105" s="195">
        <f t="shared" si="10"/>
        <v>166.38830147317577</v>
      </c>
      <c r="E105" s="195">
        <f t="shared" si="11"/>
        <v>6908.543875831193</v>
      </c>
      <c r="F105" s="221">
        <f t="shared" si="12"/>
        <v>0.8514770698497055</v>
      </c>
      <c r="H105" s="206">
        <v>2039</v>
      </c>
      <c r="I105" s="195">
        <f t="shared" si="13"/>
        <v>3610.6084689068757</v>
      </c>
      <c r="J105" s="195">
        <f t="shared" si="14"/>
        <v>50.58512867044886</v>
      </c>
      <c r="K105" s="195">
        <f t="shared" si="15"/>
        <v>895.9600520402123</v>
      </c>
      <c r="L105" s="195">
        <f t="shared" si="16"/>
        <v>2584.1307442734333</v>
      </c>
      <c r="M105" s="195">
        <f t="shared" si="17"/>
        <v>126.27363075491473</v>
      </c>
      <c r="O105" s="195">
        <f t="shared" si="18"/>
        <v>3661.1935975773245</v>
      </c>
      <c r="P105" s="196">
        <f t="shared" si="19"/>
        <v>0.98618343244565876</v>
      </c>
      <c r="Q105" s="195">
        <f t="shared" si="20"/>
        <v>3606.3644270685604</v>
      </c>
      <c r="R105" s="196">
        <f t="shared" si="21"/>
        <v>0.71654731420860551</v>
      </c>
      <c r="S105" s="464">
        <f t="shared" si="22"/>
        <v>7267.5580246458849</v>
      </c>
      <c r="T105" s="196">
        <f t="shared" si="28"/>
        <v>0.50377218663565027</v>
      </c>
      <c r="W105" s="195">
        <f t="shared" si="30"/>
        <v>312.27251685943702</v>
      </c>
      <c r="X105" s="195">
        <f t="shared" si="23"/>
        <v>36.271174003066562</v>
      </c>
      <c r="Y105" s="195">
        <f t="shared" si="31"/>
        <v>10.470457952187814</v>
      </c>
      <c r="Z105" s="195">
        <f t="shared" si="33"/>
        <v>359.0141488146914</v>
      </c>
      <c r="AA105" s="196">
        <f t="shared" si="34"/>
        <v>0.36283874321229886</v>
      </c>
      <c r="AB105" s="196">
        <f t="shared" si="24"/>
        <v>0.50696685606679659</v>
      </c>
      <c r="AC105" s="196">
        <f t="shared" si="32"/>
        <v>0.86980559927909551</v>
      </c>
      <c r="AD105" s="247">
        <f t="shared" si="29"/>
        <v>0.13019440072090452</v>
      </c>
      <c r="AF105" s="251">
        <f t="shared" si="25"/>
        <v>0.58285076169545968</v>
      </c>
      <c r="AG105" s="251">
        <f t="shared" si="26"/>
        <v>0.41714923830454032</v>
      </c>
    </row>
    <row r="106" spans="1:33" x14ac:dyDescent="0.25">
      <c r="A106" s="206">
        <v>2040</v>
      </c>
      <c r="B106" s="195">
        <f t="shared" si="27"/>
        <v>5922.979576433595</v>
      </c>
      <c r="C106" s="195">
        <f t="shared" si="9"/>
        <v>848.3756725346841</v>
      </c>
      <c r="D106" s="195">
        <f t="shared" si="10"/>
        <v>165.79654828838255</v>
      </c>
      <c r="E106" s="195">
        <f t="shared" si="11"/>
        <v>6937.1517972566617</v>
      </c>
      <c r="F106" s="221">
        <f t="shared" si="12"/>
        <v>0.85380567551885955</v>
      </c>
      <c r="H106" s="206">
        <v>2040</v>
      </c>
      <c r="I106" s="195">
        <f t="shared" si="13"/>
        <v>3659.2027119863856</v>
      </c>
      <c r="J106" s="195">
        <f t="shared" si="14"/>
        <v>50.750119531623994</v>
      </c>
      <c r="K106" s="195">
        <f t="shared" si="15"/>
        <v>886.51744268262564</v>
      </c>
      <c r="L106" s="195">
        <f t="shared" si="16"/>
        <v>2597.5174730555486</v>
      </c>
      <c r="M106" s="195">
        <f t="shared" si="17"/>
        <v>126.14630608489065</v>
      </c>
      <c r="O106" s="195">
        <f t="shared" si="18"/>
        <v>3709.9528315180096</v>
      </c>
      <c r="P106" s="196">
        <f t="shared" si="19"/>
        <v>0.98632054857935791</v>
      </c>
      <c r="Q106" s="195">
        <f t="shared" si="20"/>
        <v>3610.1812218230648</v>
      </c>
      <c r="R106" s="196">
        <f t="shared" si="21"/>
        <v>0.71949780729950652</v>
      </c>
      <c r="S106" s="464">
        <f t="shared" si="22"/>
        <v>7320.1340533410748</v>
      </c>
      <c r="T106" s="196">
        <f t="shared" si="28"/>
        <v>0.50681487585937079</v>
      </c>
      <c r="W106" s="195">
        <f t="shared" si="30"/>
        <v>333.74060860833924</v>
      </c>
      <c r="X106" s="195">
        <f t="shared" si="23"/>
        <v>38.141770147941543</v>
      </c>
      <c r="Y106" s="195">
        <f t="shared" si="31"/>
        <v>11.099877328132095</v>
      </c>
      <c r="Z106" s="195">
        <f t="shared" si="33"/>
        <v>382.98225608441288</v>
      </c>
      <c r="AA106" s="196">
        <f t="shared" si="34"/>
        <v>0.36177799314421999</v>
      </c>
      <c r="AB106" s="196">
        <f t="shared" si="24"/>
        <v>0.50964777999859545</v>
      </c>
      <c r="AC106" s="196">
        <f t="shared" si="32"/>
        <v>0.87142577314281544</v>
      </c>
      <c r="AD106" s="247">
        <f t="shared" si="29"/>
        <v>0.12857422685718453</v>
      </c>
      <c r="AF106" s="251">
        <f t="shared" si="25"/>
        <v>0.58484359277157938</v>
      </c>
      <c r="AG106" s="251">
        <f t="shared" si="26"/>
        <v>0.41515640722842068</v>
      </c>
    </row>
    <row r="107" spans="1:33" x14ac:dyDescent="0.25">
      <c r="A107" s="206">
        <v>2041</v>
      </c>
      <c r="B107" s="195">
        <f t="shared" si="27"/>
        <v>5962.7304908385695</v>
      </c>
      <c r="C107" s="195">
        <f t="shared" si="9"/>
        <v>837.24091049956041</v>
      </c>
      <c r="D107" s="195">
        <f t="shared" si="10"/>
        <v>165.18136773692729</v>
      </c>
      <c r="E107" s="195">
        <f t="shared" si="11"/>
        <v>6965.1527690750572</v>
      </c>
      <c r="F107" s="221">
        <f t="shared" si="12"/>
        <v>0.85608036011970989</v>
      </c>
      <c r="H107" s="206">
        <v>2041</v>
      </c>
      <c r="I107" s="195">
        <f t="shared" si="13"/>
        <v>3707.7278115959621</v>
      </c>
      <c r="J107" s="195">
        <f t="shared" si="14"/>
        <v>50.909240856561517</v>
      </c>
      <c r="K107" s="195">
        <f t="shared" si="15"/>
        <v>877.23790256970597</v>
      </c>
      <c r="L107" s="195">
        <f t="shared" si="16"/>
        <v>2610.6747460742472</v>
      </c>
      <c r="M107" s="195">
        <f t="shared" si="17"/>
        <v>126.00518264098375</v>
      </c>
      <c r="O107" s="195">
        <f t="shared" si="18"/>
        <v>3758.6370524525237</v>
      </c>
      <c r="P107" s="196">
        <f t="shared" si="19"/>
        <v>0.98645539855375419</v>
      </c>
      <c r="Q107" s="195">
        <f t="shared" si="20"/>
        <v>3613.9178312849367</v>
      </c>
      <c r="R107" s="196">
        <f t="shared" si="21"/>
        <v>0.72239460550933887</v>
      </c>
      <c r="S107" s="464">
        <f t="shared" si="22"/>
        <v>7372.5548837374608</v>
      </c>
      <c r="T107" s="196">
        <f t="shared" si="28"/>
        <v>0.50981472660765204</v>
      </c>
      <c r="W107" s="195">
        <f t="shared" si="30"/>
        <v>355.67206683164022</v>
      </c>
      <c r="X107" s="195">
        <f t="shared" si="23"/>
        <v>39.996992070145552</v>
      </c>
      <c r="Y107" s="195">
        <f t="shared" si="31"/>
        <v>11.733055760617987</v>
      </c>
      <c r="Z107" s="195">
        <f t="shared" si="33"/>
        <v>407.40211466240373</v>
      </c>
      <c r="AA107" s="196">
        <f t="shared" si="34"/>
        <v>0.3607214396992669</v>
      </c>
      <c r="AB107" s="196">
        <f t="shared" si="24"/>
        <v>0.51230315696089046</v>
      </c>
      <c r="AC107" s="196">
        <f t="shared" si="32"/>
        <v>0.87302459666015741</v>
      </c>
      <c r="AD107" s="247">
        <f t="shared" si="29"/>
        <v>0.12697540333984264</v>
      </c>
      <c r="AF107" s="251">
        <f t="shared" si="25"/>
        <v>0.58681411602921296</v>
      </c>
      <c r="AG107" s="251">
        <f t="shared" si="26"/>
        <v>0.41318588397078704</v>
      </c>
    </row>
    <row r="108" spans="1:33" x14ac:dyDescent="0.25">
      <c r="A108" s="206">
        <v>2042</v>
      </c>
      <c r="B108" s="195">
        <f t="shared" si="27"/>
        <v>6001.6761942593921</v>
      </c>
      <c r="C108" s="195">
        <f t="shared" si="9"/>
        <v>826.32365774001289</v>
      </c>
      <c r="D108" s="195">
        <f t="shared" si="10"/>
        <v>164.54293369641695</v>
      </c>
      <c r="E108" s="195">
        <f t="shared" si="11"/>
        <v>6992.5427856958222</v>
      </c>
      <c r="F108" s="221">
        <f t="shared" si="12"/>
        <v>0.85829667092443396</v>
      </c>
      <c r="H108" s="206">
        <v>2042</v>
      </c>
      <c r="I108" s="195">
        <f t="shared" si="13"/>
        <v>3756.157643173312</v>
      </c>
      <c r="J108" s="195">
        <f t="shared" si="14"/>
        <v>51.06221236603303</v>
      </c>
      <c r="K108" s="195">
        <f t="shared" si="15"/>
        <v>868.16194730819825</v>
      </c>
      <c r="L108" s="195">
        <f t="shared" si="16"/>
        <v>2623.5905814357197</v>
      </c>
      <c r="M108" s="195">
        <f t="shared" si="17"/>
        <v>125.850088687311</v>
      </c>
      <c r="O108" s="195">
        <f t="shared" si="18"/>
        <v>3807.2198555393452</v>
      </c>
      <c r="P108" s="196">
        <f t="shared" si="19"/>
        <v>0.98658805787332193</v>
      </c>
      <c r="Q108" s="195">
        <f t="shared" si="20"/>
        <v>3617.6026174312292</v>
      </c>
      <c r="R108" s="196">
        <f t="shared" si="21"/>
        <v>0.72522906988017022</v>
      </c>
      <c r="S108" s="464">
        <f t="shared" si="22"/>
        <v>7424.8224729705744</v>
      </c>
      <c r="T108" s="196">
        <f t="shared" si="28"/>
        <v>0.51276914288512632</v>
      </c>
      <c r="W108" s="195">
        <f t="shared" si="30"/>
        <v>378.07203034963914</v>
      </c>
      <c r="X108" s="195">
        <f t="shared" si="23"/>
        <v>41.83828956818536</v>
      </c>
      <c r="Y108" s="195">
        <f t="shared" si="31"/>
        <v>12.369367356927086</v>
      </c>
      <c r="Z108" s="195">
        <f t="shared" si="33"/>
        <v>432.27968727475161</v>
      </c>
      <c r="AA108" s="196">
        <f t="shared" si="34"/>
        <v>0.35966836806572455</v>
      </c>
      <c r="AB108" s="196">
        <f t="shared" si="24"/>
        <v>0.5149321312849221</v>
      </c>
      <c r="AC108" s="196">
        <f t="shared" si="32"/>
        <v>0.87460049935064665</v>
      </c>
      <c r="AD108" s="247">
        <f t="shared" si="29"/>
        <v>0.12539950064935326</v>
      </c>
      <c r="AF108" s="251">
        <f t="shared" si="25"/>
        <v>0.58876267697907458</v>
      </c>
      <c r="AG108" s="251">
        <f t="shared" si="26"/>
        <v>0.41123732302092542</v>
      </c>
    </row>
    <row r="109" spans="1:33" x14ac:dyDescent="0.25">
      <c r="A109" s="206">
        <v>2043</v>
      </c>
      <c r="B109" s="195">
        <f t="shared" si="27"/>
        <v>6039.7734414196557</v>
      </c>
      <c r="C109" s="195">
        <f t="shared" si="9"/>
        <v>815.66298006427928</v>
      </c>
      <c r="D109" s="195">
        <f t="shared" si="10"/>
        <v>163.88142004445842</v>
      </c>
      <c r="E109" s="195">
        <f t="shared" si="11"/>
        <v>7019.3178415283937</v>
      </c>
      <c r="F109" s="221">
        <f t="shared" si="12"/>
        <v>0.86045020011582052</v>
      </c>
      <c r="H109" s="206">
        <v>2043</v>
      </c>
      <c r="I109" s="195">
        <f t="shared" si="13"/>
        <v>3804.5457096903369</v>
      </c>
      <c r="J109" s="195">
        <f t="shared" si="14"/>
        <v>51.209809076164909</v>
      </c>
      <c r="K109" s="195">
        <f t="shared" si="15"/>
        <v>859.34076977764573</v>
      </c>
      <c r="L109" s="195">
        <f t="shared" si="16"/>
        <v>2636.2696084442614</v>
      </c>
      <c r="M109" s="195">
        <f t="shared" si="17"/>
        <v>125.68204972509565</v>
      </c>
      <c r="O109" s="195">
        <f t="shared" si="18"/>
        <v>3855.7555187665021</v>
      </c>
      <c r="P109" s="196">
        <f t="shared" si="19"/>
        <v>0.98671860577598347</v>
      </c>
      <c r="Q109" s="195">
        <f t="shared" si="20"/>
        <v>3621.2924279470026</v>
      </c>
      <c r="R109" s="196">
        <f t="shared" si="21"/>
        <v>0.72799136244813722</v>
      </c>
      <c r="S109" s="464">
        <f t="shared" si="22"/>
        <v>7477.0479467135046</v>
      </c>
      <c r="T109" s="196">
        <f t="shared" si="28"/>
        <v>0.51567885430790616</v>
      </c>
      <c r="W109" s="195">
        <f t="shared" si="30"/>
        <v>401.0418767149431</v>
      </c>
      <c r="X109" s="195">
        <f t="shared" si="23"/>
        <v>43.677789713366451</v>
      </c>
      <c r="Y109" s="195">
        <f t="shared" si="31"/>
        <v>13.010438756802131</v>
      </c>
      <c r="Z109" s="195">
        <f t="shared" si="33"/>
        <v>457.73010518511171</v>
      </c>
      <c r="AA109" s="196">
        <f t="shared" si="34"/>
        <v>0.35861563761099158</v>
      </c>
      <c r="AB109" s="196">
        <f t="shared" si="24"/>
        <v>0.51753795633441158</v>
      </c>
      <c r="AC109" s="196">
        <f t="shared" si="32"/>
        <v>0.87615359394540326</v>
      </c>
      <c r="AD109" s="247">
        <f t="shared" si="29"/>
        <v>0.12384640605459665</v>
      </c>
      <c r="AF109" s="251">
        <f t="shared" si="25"/>
        <v>0.59069318428962758</v>
      </c>
      <c r="AG109" s="251">
        <f t="shared" si="26"/>
        <v>0.40930681571037236</v>
      </c>
    </row>
    <row r="110" spans="1:33" x14ac:dyDescent="0.25">
      <c r="A110" s="206">
        <v>2044</v>
      </c>
      <c r="B110" s="195">
        <f t="shared" si="27"/>
        <v>6076.9789870429549</v>
      </c>
      <c r="C110" s="195">
        <f t="shared" si="9"/>
        <v>805.29794328059791</v>
      </c>
      <c r="D110" s="195">
        <f t="shared" si="10"/>
        <v>163.19700065865865</v>
      </c>
      <c r="E110" s="195">
        <f t="shared" si="11"/>
        <v>7045.4739309822116</v>
      </c>
      <c r="F110" s="221">
        <f t="shared" si="12"/>
        <v>0.86253657973520614</v>
      </c>
      <c r="H110" s="206">
        <v>2044</v>
      </c>
      <c r="I110" s="195">
        <f t="shared" si="13"/>
        <v>3852.9602302667245</v>
      </c>
      <c r="J110" s="195">
        <f t="shared" si="14"/>
        <v>51.352879052897663</v>
      </c>
      <c r="K110" s="195">
        <f t="shared" si="15"/>
        <v>850.82748686385821</v>
      </c>
      <c r="L110" s="195">
        <f t="shared" si="16"/>
        <v>2648.7161683131553</v>
      </c>
      <c r="M110" s="195">
        <f t="shared" si="17"/>
        <v>125.50211542245748</v>
      </c>
      <c r="O110" s="195">
        <f t="shared" si="18"/>
        <v>3904.3131093196221</v>
      </c>
      <c r="P110" s="196">
        <f t="shared" si="19"/>
        <v>0.98684714119615102</v>
      </c>
      <c r="Q110" s="195">
        <f t="shared" si="20"/>
        <v>3625.0457705994709</v>
      </c>
      <c r="R110" s="196">
        <f t="shared" si="21"/>
        <v>0.73067109656801366</v>
      </c>
      <c r="S110" s="464">
        <f t="shared" si="22"/>
        <v>7529.3588799190929</v>
      </c>
      <c r="T110" s="196">
        <f t="shared" si="28"/>
        <v>0.5185452269691222</v>
      </c>
      <c r="W110" s="195">
        <f t="shared" si="30"/>
        <v>424.69741153692485</v>
      </c>
      <c r="X110" s="195">
        <f t="shared" si="23"/>
        <v>45.529543583260306</v>
      </c>
      <c r="Y110" s="195">
        <f t="shared" si="31"/>
        <v>13.657993816696489</v>
      </c>
      <c r="Z110" s="195">
        <f t="shared" si="33"/>
        <v>483.88494893688164</v>
      </c>
      <c r="AA110" s="196">
        <f t="shared" si="34"/>
        <v>0.35755888380844508</v>
      </c>
      <c r="AB110" s="196">
        <f t="shared" si="24"/>
        <v>0.52012373986068405</v>
      </c>
      <c r="AC110" s="196">
        <f t="shared" si="32"/>
        <v>0.87768262366912908</v>
      </c>
      <c r="AD110" s="247">
        <f t="shared" si="29"/>
        <v>0.12231737633087089</v>
      </c>
      <c r="AF110" s="251">
        <f t="shared" si="25"/>
        <v>0.59261027373006481</v>
      </c>
      <c r="AG110" s="251">
        <f t="shared" si="26"/>
        <v>0.40738972626993519</v>
      </c>
    </row>
    <row r="111" spans="1:33" x14ac:dyDescent="0.25">
      <c r="A111" s="206">
        <v>2045</v>
      </c>
      <c r="B111" s="195">
        <f t="shared" si="27"/>
        <v>6113.2495858528819</v>
      </c>
      <c r="C111" s="195">
        <f t="shared" si="9"/>
        <v>795.26761319720663</v>
      </c>
      <c r="D111" s="195">
        <f t="shared" si="10"/>
        <v>162.48984941662451</v>
      </c>
      <c r="E111" s="195">
        <f t="shared" si="11"/>
        <v>7071.0070484667131</v>
      </c>
      <c r="F111" s="221">
        <f t="shared" si="12"/>
        <v>0.86455147674877331</v>
      </c>
      <c r="H111" s="206">
        <v>2045</v>
      </c>
      <c r="I111" s="195">
        <f t="shared" si="13"/>
        <v>3901.4527021728254</v>
      </c>
      <c r="J111" s="195">
        <f t="shared" si="14"/>
        <v>51.492135009766677</v>
      </c>
      <c r="K111" s="195">
        <f t="shared" si="15"/>
        <v>842.67379948910252</v>
      </c>
      <c r="L111" s="195">
        <f t="shared" si="16"/>
        <v>2660.9319298009768</v>
      </c>
      <c r="M111" s="195">
        <f t="shared" si="17"/>
        <v>125.3112449871565</v>
      </c>
      <c r="O111" s="195">
        <f t="shared" si="18"/>
        <v>3952.944837182592</v>
      </c>
      <c r="P111" s="196">
        <f t="shared" si="19"/>
        <v>0.98697372790902216</v>
      </c>
      <c r="Q111" s="195">
        <f t="shared" si="20"/>
        <v>3628.9169742772356</v>
      </c>
      <c r="R111" s="196">
        <f t="shared" si="21"/>
        <v>0.73325786967913464</v>
      </c>
      <c r="S111" s="464">
        <f t="shared" si="22"/>
        <v>7581.8618114598275</v>
      </c>
      <c r="T111" s="196">
        <f t="shared" si="28"/>
        <v>0.5213686209906645</v>
      </c>
      <c r="W111" s="195">
        <f t="shared" si="30"/>
        <v>449.13504612092038</v>
      </c>
      <c r="X111" s="195">
        <f t="shared" si="23"/>
        <v>47.406186291895892</v>
      </c>
      <c r="Y111" s="195">
        <f t="shared" si="31"/>
        <v>14.313530580298675</v>
      </c>
      <c r="Z111" s="195">
        <f t="shared" si="33"/>
        <v>510.85476299311495</v>
      </c>
      <c r="AA111" s="196">
        <f t="shared" si="34"/>
        <v>0.35649347146556332</v>
      </c>
      <c r="AB111" s="196">
        <f t="shared" si="24"/>
        <v>0.52268996511320776</v>
      </c>
      <c r="AC111" s="196">
        <f t="shared" si="32"/>
        <v>0.87918343657877107</v>
      </c>
      <c r="AD111" s="247">
        <f t="shared" si="29"/>
        <v>0.12081656342122897</v>
      </c>
      <c r="AF111" s="251">
        <f t="shared" si="25"/>
        <v>0.59451752997894081</v>
      </c>
      <c r="AG111" s="251">
        <f t="shared" si="26"/>
        <v>0.40548247002105919</v>
      </c>
    </row>
    <row r="112" spans="1:33" x14ac:dyDescent="0.25">
      <c r="A112" s="206">
        <v>2046</v>
      </c>
      <c r="B112" s="195">
        <f t="shared" si="27"/>
        <v>6148.541992573033</v>
      </c>
      <c r="C112" s="195">
        <f t="shared" si="9"/>
        <v>785.61105562234343</v>
      </c>
      <c r="D112" s="195">
        <f t="shared" si="10"/>
        <v>161.76014019596295</v>
      </c>
      <c r="E112" s="195">
        <f t="shared" si="11"/>
        <v>7095.9131883913396</v>
      </c>
      <c r="F112" s="221">
        <f t="shared" si="12"/>
        <v>0.86649058822081249</v>
      </c>
      <c r="H112" s="206">
        <v>2046</v>
      </c>
      <c r="I112" s="195">
        <f t="shared" si="13"/>
        <v>3950.0299029598405</v>
      </c>
      <c r="J112" s="195">
        <f t="shared" si="14"/>
        <v>51.627933905986694</v>
      </c>
      <c r="K112" s="195">
        <f t="shared" si="15"/>
        <v>834.92814929805184</v>
      </c>
      <c r="L112" s="195">
        <f t="shared" si="16"/>
        <v>2672.9140986095417</v>
      </c>
      <c r="M112" s="195">
        <f t="shared" si="17"/>
        <v>125.11003567845431</v>
      </c>
      <c r="O112" s="195">
        <f t="shared" si="18"/>
        <v>4001.657836865827</v>
      </c>
      <c r="P112" s="196">
        <f t="shared" si="19"/>
        <v>0.9870983637255647</v>
      </c>
      <c r="Q112" s="195">
        <f t="shared" si="20"/>
        <v>3632.9522835860475</v>
      </c>
      <c r="R112" s="196">
        <f t="shared" si="21"/>
        <v>0.73574159250204563</v>
      </c>
      <c r="S112" s="464">
        <f t="shared" si="22"/>
        <v>7634.6101204518745</v>
      </c>
      <c r="T112" s="196">
        <f t="shared" si="28"/>
        <v>0.52414697983673575</v>
      </c>
      <c r="W112" s="195">
        <f t="shared" si="30"/>
        <v>474.40200899634874</v>
      </c>
      <c r="X112" s="195">
        <f t="shared" si="23"/>
        <v>49.317093675708406</v>
      </c>
      <c r="Y112" s="195">
        <f t="shared" si="31"/>
        <v>14.977829388478057</v>
      </c>
      <c r="Z112" s="195">
        <f t="shared" si="33"/>
        <v>538.69693206053523</v>
      </c>
      <c r="AA112" s="196">
        <f t="shared" si="34"/>
        <v>0.3554151498816347</v>
      </c>
      <c r="AB112" s="196">
        <f t="shared" si="24"/>
        <v>0.52523216916238491</v>
      </c>
      <c r="AC112" s="196">
        <f t="shared" si="32"/>
        <v>0.88064731904401961</v>
      </c>
      <c r="AD112" s="247">
        <f t="shared" si="29"/>
        <v>0.11935268095598031</v>
      </c>
      <c r="AF112" s="251">
        <f t="shared" si="25"/>
        <v>0.59641602012999595</v>
      </c>
      <c r="AG112" s="251">
        <f t="shared" si="26"/>
        <v>0.40358397987000411</v>
      </c>
    </row>
    <row r="113" spans="1:53" x14ac:dyDescent="0.25">
      <c r="A113" s="206">
        <v>2047</v>
      </c>
      <c r="B113" s="195">
        <f t="shared" si="27"/>
        <v>6182.8129619270012</v>
      </c>
      <c r="C113" s="195">
        <f t="shared" si="9"/>
        <v>776.36733636424628</v>
      </c>
      <c r="D113" s="195">
        <f t="shared" si="10"/>
        <v>161.00804687428089</v>
      </c>
      <c r="E113" s="195">
        <f t="shared" si="11"/>
        <v>7120.1883451655285</v>
      </c>
      <c r="F113" s="221">
        <f t="shared" si="12"/>
        <v>0.86834963658300035</v>
      </c>
      <c r="H113" s="206">
        <v>2047</v>
      </c>
      <c r="I113" s="195">
        <f t="shared" si="13"/>
        <v>3998.6841964417245</v>
      </c>
      <c r="J113" s="195">
        <f t="shared" si="14"/>
        <v>51.760521420847276</v>
      </c>
      <c r="K113" s="195">
        <f t="shared" si="15"/>
        <v>827.63723492143015</v>
      </c>
      <c r="L113" s="195">
        <f t="shared" si="16"/>
        <v>2684.6595462520659</v>
      </c>
      <c r="M113" s="195">
        <f t="shared" si="17"/>
        <v>124.89913538643822</v>
      </c>
      <c r="O113" s="195">
        <f t="shared" si="18"/>
        <v>4050.4447178625719</v>
      </c>
      <c r="P113" s="196">
        <f t="shared" si="19"/>
        <v>0.98722102755962027</v>
      </c>
      <c r="Q113" s="195">
        <f t="shared" si="20"/>
        <v>3637.1959165599342</v>
      </c>
      <c r="R113" s="196">
        <f t="shared" si="21"/>
        <v>0.73811243821895112</v>
      </c>
      <c r="S113" s="464">
        <f t="shared" si="22"/>
        <v>7687.6406344225061</v>
      </c>
      <c r="T113" s="196">
        <f t="shared" si="28"/>
        <v>0.52687747912228478</v>
      </c>
      <c r="W113" s="195">
        <f t="shared" si="30"/>
        <v>500.53078076678958</v>
      </c>
      <c r="X113" s="195">
        <f t="shared" si="23"/>
        <v>51.269898557183865</v>
      </c>
      <c r="Y113" s="195">
        <f t="shared" si="31"/>
        <v>15.651609933004607</v>
      </c>
      <c r="Z113" s="195">
        <f t="shared" si="33"/>
        <v>567.45228925697802</v>
      </c>
      <c r="AA113" s="196">
        <f t="shared" si="34"/>
        <v>0.35432097124518402</v>
      </c>
      <c r="AB113" s="196">
        <f t="shared" si="24"/>
        <v>0.52774575091428511</v>
      </c>
      <c r="AC113" s="196">
        <f t="shared" si="32"/>
        <v>0.88206672215946924</v>
      </c>
      <c r="AD113" s="247">
        <f t="shared" si="29"/>
        <v>0.11793327784053086</v>
      </c>
      <c r="AF113" s="251">
        <f t="shared" si="25"/>
        <v>0.59830593044283753</v>
      </c>
      <c r="AG113" s="251">
        <f t="shared" si="26"/>
        <v>0.40169406955716241</v>
      </c>
    </row>
    <row r="114" spans="1:53" x14ac:dyDescent="0.25">
      <c r="A114" s="206">
        <v>2048</v>
      </c>
      <c r="B114" s="195">
        <f t="shared" si="27"/>
        <v>6216.0192486383821</v>
      </c>
      <c r="C114" s="195">
        <f t="shared" si="9"/>
        <v>767.57552123115352</v>
      </c>
      <c r="D114" s="195">
        <f t="shared" si="10"/>
        <v>160.23374332918522</v>
      </c>
      <c r="E114" s="195">
        <f t="shared" si="11"/>
        <v>7143.8285131987204</v>
      </c>
      <c r="F114" s="221">
        <f t="shared" si="12"/>
        <v>0.87012436498914469</v>
      </c>
      <c r="H114" s="206">
        <v>2048</v>
      </c>
      <c r="I114" s="195">
        <f t="shared" si="13"/>
        <v>4047.4321079584952</v>
      </c>
      <c r="J114" s="195">
        <f t="shared" si="14"/>
        <v>51.890236266644429</v>
      </c>
      <c r="K114" s="195">
        <f t="shared" si="15"/>
        <v>820.8491604903129</v>
      </c>
      <c r="L114" s="195">
        <f t="shared" si="16"/>
        <v>2696.1685412509796</v>
      </c>
      <c r="M114" s="195">
        <f t="shared" si="17"/>
        <v>124.67947627924116</v>
      </c>
      <c r="O114" s="195">
        <f t="shared" si="18"/>
        <v>4099.3223442251392</v>
      </c>
      <c r="P114" s="196">
        <f t="shared" si="19"/>
        <v>0.98734175263388502</v>
      </c>
      <c r="Q114" s="195">
        <f t="shared" si="20"/>
        <v>3641.6971780205336</v>
      </c>
      <c r="R114" s="196">
        <f t="shared" si="21"/>
        <v>0.74036044444433957</v>
      </c>
      <c r="S114" s="464">
        <f t="shared" si="22"/>
        <v>7741.0195222456732</v>
      </c>
      <c r="T114" s="196">
        <f t="shared" si="28"/>
        <v>0.52955845576215832</v>
      </c>
      <c r="W114" s="195">
        <f t="shared" si="30"/>
        <v>527.58140057109267</v>
      </c>
      <c r="X114" s="195">
        <f t="shared" si="23"/>
        <v>53.273639259159381</v>
      </c>
      <c r="Y114" s="195">
        <f t="shared" si="31"/>
        <v>16.335969216700363</v>
      </c>
      <c r="Z114" s="195">
        <f t="shared" si="33"/>
        <v>597.19100904695244</v>
      </c>
      <c r="AA114" s="196">
        <f t="shared" si="34"/>
        <v>0.35320871368241186</v>
      </c>
      <c r="AB114" s="196">
        <f t="shared" si="24"/>
        <v>0.53022957085079203</v>
      </c>
      <c r="AC114" s="196">
        <f t="shared" si="32"/>
        <v>0.88343828453320383</v>
      </c>
      <c r="AD114" s="247">
        <f t="shared" si="29"/>
        <v>0.11656171546679613</v>
      </c>
      <c r="AF114" s="251">
        <f t="shared" si="25"/>
        <v>0.60018858151586418</v>
      </c>
      <c r="AG114" s="251">
        <f t="shared" si="26"/>
        <v>0.39981141848413587</v>
      </c>
    </row>
    <row r="115" spans="1:53" x14ac:dyDescent="0.25">
      <c r="A115" s="206">
        <v>2049</v>
      </c>
      <c r="B115" s="195">
        <f t="shared" si="27"/>
        <v>6248.1176074307668</v>
      </c>
      <c r="C115" s="195">
        <f t="shared" si="9"/>
        <v>759.27467603130276</v>
      </c>
      <c r="D115" s="195">
        <f t="shared" si="10"/>
        <v>159.4374034382829</v>
      </c>
      <c r="E115" s="195">
        <f t="shared" si="11"/>
        <v>7166.8296869003525</v>
      </c>
      <c r="F115" s="221">
        <f t="shared" si="12"/>
        <v>0.87181053274520781</v>
      </c>
      <c r="H115" s="206">
        <v>2049</v>
      </c>
      <c r="I115" s="195">
        <f t="shared" si="13"/>
        <v>4096.2879690091286</v>
      </c>
      <c r="J115" s="195">
        <f t="shared" si="14"/>
        <v>52.017353551581763</v>
      </c>
      <c r="K115" s="195">
        <f t="shared" si="15"/>
        <v>814.61188320879603</v>
      </c>
      <c r="L115" s="195">
        <f t="shared" si="16"/>
        <v>2707.441419308293</v>
      </c>
      <c r="M115" s="195">
        <f t="shared" si="17"/>
        <v>124.45212350524535</v>
      </c>
      <c r="O115" s="195">
        <f t="shared" si="18"/>
        <v>4148.30532256071</v>
      </c>
      <c r="P115" s="196">
        <f t="shared" si="19"/>
        <v>0.98746057739080029</v>
      </c>
      <c r="Q115" s="195">
        <f t="shared" si="20"/>
        <v>3646.5054260223342</v>
      </c>
      <c r="R115" s="196">
        <f t="shared" si="21"/>
        <v>0.7424756315971297</v>
      </c>
      <c r="S115" s="464">
        <f t="shared" si="22"/>
        <v>7794.8107485830442</v>
      </c>
      <c r="T115" s="196">
        <f t="shared" si="28"/>
        <v>0.53218807439485261</v>
      </c>
      <c r="W115" s="195">
        <f t="shared" si="30"/>
        <v>555.61178088665474</v>
      </c>
      <c r="X115" s="195">
        <f t="shared" si="23"/>
        <v>55.337207177493269</v>
      </c>
      <c r="Y115" s="195">
        <f t="shared" si="31"/>
        <v>17.032073618544217</v>
      </c>
      <c r="Z115" s="195">
        <f t="shared" si="33"/>
        <v>627.98106168269226</v>
      </c>
      <c r="AA115" s="196">
        <f t="shared" si="34"/>
        <v>0.35207641706986315</v>
      </c>
      <c r="AB115" s="196">
        <f t="shared" si="24"/>
        <v>0.53268239937896089</v>
      </c>
      <c r="AC115" s="196">
        <f t="shared" si="32"/>
        <v>0.88475881644882404</v>
      </c>
      <c r="AD115" s="247">
        <f t="shared" si="29"/>
        <v>0.11524118355117595</v>
      </c>
      <c r="AF115" s="251">
        <f t="shared" si="25"/>
        <v>0.60206509330644475</v>
      </c>
      <c r="AG115" s="251">
        <f t="shared" si="26"/>
        <v>0.39793490669355525</v>
      </c>
    </row>
    <row r="116" spans="1:53" ht="13.8" thickBot="1" x14ac:dyDescent="0.3">
      <c r="A116" s="208">
        <v>2050</v>
      </c>
      <c r="B116" s="195">
        <f t="shared" si="27"/>
        <v>6279.064793027751</v>
      </c>
      <c r="C116" s="195">
        <f t="shared" si="9"/>
        <v>751.50386657293234</v>
      </c>
      <c r="D116" s="195">
        <f t="shared" si="10"/>
        <v>158.61920107918081</v>
      </c>
      <c r="E116" s="195">
        <f t="shared" si="11"/>
        <v>7189.1878606798646</v>
      </c>
      <c r="F116" s="222">
        <f t="shared" si="12"/>
        <v>0.87340391080473934</v>
      </c>
      <c r="H116" s="208">
        <v>2050</v>
      </c>
      <c r="I116" s="195">
        <f t="shared" si="13"/>
        <v>4145.2518652725485</v>
      </c>
      <c r="J116" s="195">
        <f t="shared" si="14"/>
        <v>52.142113513032513</v>
      </c>
      <c r="K116" s="195">
        <f t="shared" si="15"/>
        <v>808.97387849605036</v>
      </c>
      <c r="L116" s="195">
        <f t="shared" si="16"/>
        <v>2718.475364397701</v>
      </c>
      <c r="M116" s="195">
        <f t="shared" si="17"/>
        <v>124.21785941136568</v>
      </c>
      <c r="O116" s="195">
        <f t="shared" si="18"/>
        <v>4197.3939787855807</v>
      </c>
      <c r="P116" s="210">
        <f t="shared" si="19"/>
        <v>0.98757750314205239</v>
      </c>
      <c r="Q116" s="195">
        <f t="shared" si="20"/>
        <v>3651.6671023051172</v>
      </c>
      <c r="R116" s="210">
        <f t="shared" si="21"/>
        <v>0.74444775173554611</v>
      </c>
      <c r="S116" s="464">
        <f t="shared" si="22"/>
        <v>7849.0610810906983</v>
      </c>
      <c r="T116" s="196">
        <f t="shared" si="28"/>
        <v>0.53476383167632513</v>
      </c>
      <c r="W116" s="195">
        <f t="shared" si="30"/>
        <v>584.66243664249851</v>
      </c>
      <c r="X116" s="195">
        <f t="shared" si="23"/>
        <v>57.470011923118022</v>
      </c>
      <c r="Y116" s="195">
        <f t="shared" si="31"/>
        <v>17.740771845217381</v>
      </c>
      <c r="Z116" s="195">
        <f t="shared" si="33"/>
        <v>659.87322041083394</v>
      </c>
      <c r="AA116" s="196">
        <f t="shared" si="34"/>
        <v>0.35092157843267802</v>
      </c>
      <c r="AB116" s="196">
        <f t="shared" si="24"/>
        <v>0.53510079458996174</v>
      </c>
      <c r="AC116" s="196">
        <f t="shared" si="32"/>
        <v>0.88602237302263975</v>
      </c>
      <c r="AD116" s="247">
        <f t="shared" si="29"/>
        <v>0.11397762697736018</v>
      </c>
      <c r="AF116" s="251">
        <f t="shared" si="25"/>
        <v>0.60393598500733203</v>
      </c>
      <c r="AG116" s="251">
        <f t="shared" si="26"/>
        <v>0.39606401499266797</v>
      </c>
    </row>
    <row r="117" spans="1:53" x14ac:dyDescent="0.25">
      <c r="A117" s="213">
        <v>2051</v>
      </c>
      <c r="B117" s="195">
        <f t="shared" si="27"/>
        <v>6308.8175601529301</v>
      </c>
      <c r="C117" s="195">
        <f t="shared" si="9"/>
        <v>744.30215866428011</v>
      </c>
      <c r="D117" s="195">
        <f t="shared" si="10"/>
        <v>157.77931012948591</v>
      </c>
      <c r="E117" s="195">
        <f t="shared" si="11"/>
        <v>7210.8990289466956</v>
      </c>
      <c r="F117" s="214">
        <f t="shared" si="12"/>
        <v>0.87490027732013143</v>
      </c>
      <c r="H117" s="213">
        <v>2051</v>
      </c>
      <c r="I117" s="195">
        <f t="shared" si="13"/>
        <v>4194.3066353966624</v>
      </c>
      <c r="J117" s="195">
        <f t="shared" si="14"/>
        <v>52.264619073462242</v>
      </c>
      <c r="K117" s="195">
        <f t="shared" si="15"/>
        <v>803.98500424354643</v>
      </c>
      <c r="L117" s="195">
        <f t="shared" si="16"/>
        <v>2729.2637773557635</v>
      </c>
      <c r="M117" s="195">
        <f t="shared" si="17"/>
        <v>123.97704519260823</v>
      </c>
      <c r="O117" s="195">
        <f t="shared" si="18"/>
        <v>4246.5712544701246</v>
      </c>
      <c r="P117" s="214">
        <f t="shared" si="19"/>
        <v>0.98769251333803798</v>
      </c>
      <c r="Q117" s="195">
        <f t="shared" si="20"/>
        <v>3657.2258267919183</v>
      </c>
      <c r="R117" s="214">
        <f t="shared" si="21"/>
        <v>0.74626613357093297</v>
      </c>
      <c r="S117" s="464">
        <f t="shared" si="22"/>
        <v>7903.7970812620424</v>
      </c>
      <c r="T117" s="196">
        <f t="shared" si="28"/>
        <v>0.53728242398045611</v>
      </c>
      <c r="W117" s="195">
        <f t="shared" si="30"/>
        <v>614.75285259949578</v>
      </c>
      <c r="X117" s="195">
        <f t="shared" si="23"/>
        <v>59.682845579266314</v>
      </c>
      <c r="Y117" s="195">
        <f t="shared" si="31"/>
        <v>18.462354136584565</v>
      </c>
      <c r="Z117" s="195">
        <f t="shared" si="33"/>
        <v>692.8980523153466</v>
      </c>
      <c r="AA117" s="196">
        <f t="shared" si="34"/>
        <v>0.34974105039742953</v>
      </c>
      <c r="AB117" s="196">
        <f t="shared" si="24"/>
        <v>0.5374787224757579</v>
      </c>
      <c r="AC117" s="196">
        <f t="shared" si="32"/>
        <v>0.88721977287318743</v>
      </c>
      <c r="AD117" s="247">
        <f t="shared" si="29"/>
        <v>0.11278022712681261</v>
      </c>
      <c r="AF117" s="251">
        <f t="shared" si="25"/>
        <v>0.60580110916056096</v>
      </c>
      <c r="AG117" s="251">
        <f t="shared" si="26"/>
        <v>0.39419889083943904</v>
      </c>
    </row>
    <row r="118" spans="1:53" x14ac:dyDescent="0.25">
      <c r="A118" s="194">
        <v>2052</v>
      </c>
      <c r="B118" s="195">
        <f t="shared" si="27"/>
        <v>6337.3326635298963</v>
      </c>
      <c r="C118" s="195">
        <f t="shared" si="9"/>
        <v>737.70861811358418</v>
      </c>
      <c r="D118" s="195">
        <f t="shared" si="10"/>
        <v>156.91790446680506</v>
      </c>
      <c r="E118" s="195">
        <f t="shared" si="11"/>
        <v>7231.9591861102854</v>
      </c>
      <c r="F118" s="196">
        <f t="shared" si="12"/>
        <v>0.87629541324035531</v>
      </c>
      <c r="H118" s="194">
        <v>2052</v>
      </c>
      <c r="I118" s="195">
        <f t="shared" si="13"/>
        <v>4243.4144513519059</v>
      </c>
      <c r="J118" s="195">
        <f t="shared" si="14"/>
        <v>52.384903260362826</v>
      </c>
      <c r="K118" s="195">
        <f t="shared" si="15"/>
        <v>799.69527066398427</v>
      </c>
      <c r="L118" s="195">
        <f t="shared" si="16"/>
        <v>2739.7958667094699</v>
      </c>
      <c r="M118" s="195">
        <f t="shared" si="17"/>
        <v>123.72975488360601</v>
      </c>
      <c r="O118" s="195">
        <f t="shared" si="18"/>
        <v>4295.7993546122689</v>
      </c>
      <c r="P118" s="196">
        <f t="shared" si="19"/>
        <v>0.98780555167128115</v>
      </c>
      <c r="Q118" s="195">
        <f t="shared" si="20"/>
        <v>3663.2208922570599</v>
      </c>
      <c r="R118" s="196">
        <f t="shared" si="21"/>
        <v>0.74791991727841722</v>
      </c>
      <c r="S118" s="464">
        <f t="shared" si="22"/>
        <v>7959.0202468693287</v>
      </c>
      <c r="T118" s="196">
        <f t="shared" si="28"/>
        <v>0.53973971938342746</v>
      </c>
      <c r="W118" s="195">
        <f t="shared" si="30"/>
        <v>645.87765453147949</v>
      </c>
      <c r="X118" s="195">
        <f t="shared" si="23"/>
        <v>61.986652550400095</v>
      </c>
      <c r="Y118" s="195">
        <f t="shared" si="31"/>
        <v>19.19675367716377</v>
      </c>
      <c r="Z118" s="195">
        <f t="shared" si="33"/>
        <v>727.06106075904336</v>
      </c>
      <c r="AA118" s="196">
        <f t="shared" si="34"/>
        <v>0.34853183893039286</v>
      </c>
      <c r="AB118" s="196">
        <f t="shared" si="24"/>
        <v>0.53980847991049052</v>
      </c>
      <c r="AC118" s="196">
        <f t="shared" si="32"/>
        <v>0.88834031884088338</v>
      </c>
      <c r="AD118" s="247">
        <f t="shared" si="29"/>
        <v>0.11165968115911658</v>
      </c>
      <c r="AF118" s="251">
        <f t="shared" si="25"/>
        <v>0.60765955170743435</v>
      </c>
      <c r="AG118" s="251">
        <f t="shared" si="26"/>
        <v>0.39234044829256559</v>
      </c>
    </row>
    <row r="119" spans="1:53" x14ac:dyDescent="0.25">
      <c r="A119" s="194">
        <v>2053</v>
      </c>
      <c r="B119" s="195">
        <f t="shared" si="27"/>
        <v>6364.5668578822442</v>
      </c>
      <c r="C119" s="195">
        <f t="shared" si="9"/>
        <v>731.7623107290824</v>
      </c>
      <c r="D119" s="195">
        <f t="shared" si="10"/>
        <v>156.03515796874524</v>
      </c>
      <c r="E119" s="195">
        <f t="shared" si="11"/>
        <v>7252.3643265800711</v>
      </c>
      <c r="F119" s="196">
        <f t="shared" si="12"/>
        <v>0.87758509794605466</v>
      </c>
      <c r="H119" s="194">
        <v>2053</v>
      </c>
      <c r="I119" s="195">
        <f t="shared" si="13"/>
        <v>4292.5221906276092</v>
      </c>
      <c r="J119" s="195">
        <f t="shared" si="14"/>
        <v>52.502893591604554</v>
      </c>
      <c r="K119" s="195">
        <f t="shared" si="15"/>
        <v>796.15379732250869</v>
      </c>
      <c r="L119" s="195">
        <f t="shared" si="16"/>
        <v>2750.0598899876491</v>
      </c>
      <c r="M119" s="195">
        <f t="shared" si="17"/>
        <v>123.4760841109381</v>
      </c>
      <c r="O119" s="195">
        <f t="shared" si="18"/>
        <v>4345.0250842192136</v>
      </c>
      <c r="P119" s="196">
        <f t="shared" si="19"/>
        <v>0.98791654994529476</v>
      </c>
      <c r="Q119" s="195">
        <f t="shared" si="20"/>
        <v>3669.6897714210959</v>
      </c>
      <c r="R119" s="196">
        <f t="shared" si="21"/>
        <v>0.749398467250457</v>
      </c>
      <c r="S119" s="464">
        <f t="shared" si="22"/>
        <v>8014.7148556403099</v>
      </c>
      <c r="T119" s="196">
        <f t="shared" si="28"/>
        <v>0.54213096316975351</v>
      </c>
      <c r="W119" s="195">
        <f t="shared" si="30"/>
        <v>678.01522273301453</v>
      </c>
      <c r="X119" s="195">
        <f t="shared" si="23"/>
        <v>64.391486593426293</v>
      </c>
      <c r="Y119" s="195">
        <f t="shared" si="31"/>
        <v>19.943819733797426</v>
      </c>
      <c r="Z119" s="195">
        <f t="shared" si="33"/>
        <v>762.35052906023827</v>
      </c>
      <c r="AA119" s="196">
        <f t="shared" si="34"/>
        <v>0.34729215506924488</v>
      </c>
      <c r="AB119" s="196">
        <f t="shared" si="24"/>
        <v>0.54208247889187366</v>
      </c>
      <c r="AC119" s="196">
        <f t="shared" si="32"/>
        <v>0.8893746339611186</v>
      </c>
      <c r="AD119" s="247">
        <f t="shared" si="29"/>
        <v>0.11062536603888136</v>
      </c>
      <c r="AF119" s="251">
        <f t="shared" si="25"/>
        <v>0.60950971412073385</v>
      </c>
      <c r="AG119" s="251">
        <f t="shared" si="26"/>
        <v>0.3904902858792661</v>
      </c>
    </row>
    <row r="120" spans="1:53" x14ac:dyDescent="0.25">
      <c r="A120" s="194">
        <v>2054</v>
      </c>
      <c r="B120" s="195">
        <f t="shared" si="27"/>
        <v>6390.4768979335659</v>
      </c>
      <c r="C120" s="195">
        <f t="shared" si="9"/>
        <v>726.50230231901298</v>
      </c>
      <c r="D120" s="195">
        <f t="shared" si="10"/>
        <v>155.13124451291333</v>
      </c>
      <c r="E120" s="195">
        <f t="shared" si="11"/>
        <v>7272.1104447654925</v>
      </c>
      <c r="F120" s="196">
        <f t="shared" si="12"/>
        <v>0.8787651049130405</v>
      </c>
      <c r="H120" s="194">
        <v>2054</v>
      </c>
      <c r="I120" s="195">
        <f t="shared" si="13"/>
        <v>4341.562368306897</v>
      </c>
      <c r="J120" s="195">
        <f t="shared" si="14"/>
        <v>52.618412703757592</v>
      </c>
      <c r="K120" s="195">
        <f t="shared" si="15"/>
        <v>793.40977726341907</v>
      </c>
      <c r="L120" s="195">
        <f t="shared" si="16"/>
        <v>2760.0419828078766</v>
      </c>
      <c r="M120" s="195">
        <f t="shared" si="17"/>
        <v>123.21590341804321</v>
      </c>
      <c r="O120" s="195">
        <f t="shared" si="18"/>
        <v>4394.1807810106548</v>
      </c>
      <c r="P120" s="196">
        <f t="shared" si="19"/>
        <v>0.98802543287905975</v>
      </c>
      <c r="Q120" s="195">
        <f t="shared" si="20"/>
        <v>3676.6676634893388</v>
      </c>
      <c r="R120" s="196">
        <f t="shared" si="21"/>
        <v>0.75069117892163817</v>
      </c>
      <c r="S120" s="464">
        <f t="shared" si="22"/>
        <v>8070.848444499994</v>
      </c>
      <c r="T120" s="196">
        <f t="shared" si="28"/>
        <v>0.54445091011529745</v>
      </c>
      <c r="W120" s="195">
        <f t="shared" si="30"/>
        <v>711.12745318120778</v>
      </c>
      <c r="X120" s="195">
        <f t="shared" si="23"/>
        <v>66.90747494440609</v>
      </c>
      <c r="Y120" s="195">
        <f t="shared" si="31"/>
        <v>20.703071608887484</v>
      </c>
      <c r="Z120" s="195">
        <f t="shared" si="33"/>
        <v>798.73799973450139</v>
      </c>
      <c r="AA120" s="196">
        <f t="shared" si="34"/>
        <v>0.34602088596695946</v>
      </c>
      <c r="AB120" s="196">
        <f t="shared" si="24"/>
        <v>0.54429290080365234</v>
      </c>
      <c r="AC120" s="196">
        <f t="shared" si="32"/>
        <v>0.89031378677061168</v>
      </c>
      <c r="AD120" s="247">
        <f t="shared" si="29"/>
        <v>0.10968621322938825</v>
      </c>
      <c r="AF120" s="251">
        <f t="shared" si="25"/>
        <v>0.61134951394826453</v>
      </c>
      <c r="AG120" s="251">
        <f t="shared" si="26"/>
        <v>0.38865048605173552</v>
      </c>
    </row>
    <row r="121" spans="1:53" x14ac:dyDescent="0.25">
      <c r="A121" s="194">
        <v>2055</v>
      </c>
      <c r="B121" s="195">
        <f t="shared" si="27"/>
        <v>6415.0195384074595</v>
      </c>
      <c r="C121" s="195">
        <f t="shared" si="9"/>
        <v>721.96765869161402</v>
      </c>
      <c r="D121" s="195">
        <f t="shared" si="10"/>
        <v>154.20633797691625</v>
      </c>
      <c r="E121" s="195">
        <f t="shared" si="11"/>
        <v>7291.1935350759895</v>
      </c>
      <c r="F121" s="196">
        <f t="shared" si="12"/>
        <v>0.87983119739539351</v>
      </c>
      <c r="H121" s="194">
        <v>2055</v>
      </c>
      <c r="I121" s="195">
        <f t="shared" si="13"/>
        <v>4390.4644183061537</v>
      </c>
      <c r="J121" s="195">
        <f t="shared" si="14"/>
        <v>52.731273054339525</v>
      </c>
      <c r="K121" s="195">
        <f t="shared" si="15"/>
        <v>791.5135952338494</v>
      </c>
      <c r="L121" s="195">
        <f t="shared" si="16"/>
        <v>2769.7284230858595</v>
      </c>
      <c r="M121" s="195">
        <f t="shared" si="17"/>
        <v>122.94902466673939</v>
      </c>
      <c r="O121" s="195">
        <f t="shared" si="18"/>
        <v>4443.1956913604936</v>
      </c>
      <c r="P121" s="196">
        <f t="shared" si="19"/>
        <v>0.98813212905367354</v>
      </c>
      <c r="Q121" s="195">
        <f t="shared" si="20"/>
        <v>3684.1910429864483</v>
      </c>
      <c r="R121" s="196">
        <f t="shared" si="21"/>
        <v>0.7517874048248826</v>
      </c>
      <c r="S121" s="464">
        <f t="shared" si="22"/>
        <v>8127.3867343469419</v>
      </c>
      <c r="T121" s="196">
        <f t="shared" si="28"/>
        <v>0.54669426183243097</v>
      </c>
      <c r="W121" s="195">
        <f t="shared" si="30"/>
        <v>745.17330298455363</v>
      </c>
      <c r="X121" s="195">
        <f t="shared" si="23"/>
        <v>69.545936542235381</v>
      </c>
      <c r="Y121" s="195">
        <f t="shared" si="31"/>
        <v>21.47395974416267</v>
      </c>
      <c r="Z121" s="195">
        <f t="shared" si="33"/>
        <v>836.19319927095171</v>
      </c>
      <c r="AA121" s="196">
        <f t="shared" si="34"/>
        <v>0.34471733597496168</v>
      </c>
      <c r="AB121" s="196">
        <f t="shared" si="24"/>
        <v>0.5464323452640687</v>
      </c>
      <c r="AC121" s="196">
        <f t="shared" si="32"/>
        <v>0.89114968123903038</v>
      </c>
      <c r="AD121" s="247">
        <f t="shared" si="29"/>
        <v>0.10885031876096958</v>
      </c>
      <c r="AF121" s="251">
        <f t="shared" si="25"/>
        <v>0.61317683972497639</v>
      </c>
      <c r="AG121" s="251">
        <f t="shared" si="26"/>
        <v>0.38682316027502361</v>
      </c>
    </row>
    <row r="122" spans="1:53" x14ac:dyDescent="0.25">
      <c r="A122" s="194">
        <v>2056</v>
      </c>
      <c r="B122" s="195">
        <f t="shared" si="27"/>
        <v>6438.1515340275155</v>
      </c>
      <c r="C122" s="195">
        <f t="shared" si="9"/>
        <v>718.19744565512326</v>
      </c>
      <c r="D122" s="195">
        <f t="shared" si="10"/>
        <v>153.26061223836092</v>
      </c>
      <c r="E122" s="195">
        <f t="shared" si="11"/>
        <v>7309.6095919210002</v>
      </c>
      <c r="F122" s="196">
        <f t="shared" si="12"/>
        <v>0.88077912411947823</v>
      </c>
      <c r="H122" s="194">
        <v>2056</v>
      </c>
      <c r="I122" s="195">
        <f t="shared" si="13"/>
        <v>4439.1750864215592</v>
      </c>
      <c r="J122" s="195">
        <f t="shared" si="14"/>
        <v>52.841341826579487</v>
      </c>
      <c r="K122" s="195">
        <f t="shared" si="15"/>
        <v>790.5181957453533</v>
      </c>
      <c r="L122" s="195">
        <f t="shared" si="16"/>
        <v>2779.1090058055956</v>
      </c>
      <c r="M122" s="195">
        <f t="shared" si="17"/>
        <v>122.67543391715165</v>
      </c>
      <c r="O122" s="195">
        <f t="shared" si="18"/>
        <v>4492.0164282481383</v>
      </c>
      <c r="P122" s="196">
        <f t="shared" si="19"/>
        <v>0.98823660984535022</v>
      </c>
      <c r="Q122" s="195">
        <f t="shared" si="20"/>
        <v>3692.3026354681006</v>
      </c>
      <c r="R122" s="196">
        <f t="shared" si="21"/>
        <v>0.75267638657503144</v>
      </c>
      <c r="S122" s="464">
        <f t="shared" si="22"/>
        <v>8184.3190637162388</v>
      </c>
      <c r="T122" s="196">
        <f t="shared" si="28"/>
        <v>0.5488564648173011</v>
      </c>
      <c r="W122" s="195">
        <f t="shared" si="30"/>
        <v>780.13255819963979</v>
      </c>
      <c r="X122" s="195">
        <f t="shared" si="23"/>
        <v>72.320750090230035</v>
      </c>
      <c r="Y122" s="195">
        <f t="shared" si="31"/>
        <v>22.25616350537021</v>
      </c>
      <c r="Z122" s="195">
        <f t="shared" si="33"/>
        <v>874.70947179524001</v>
      </c>
      <c r="AA122" s="196">
        <f t="shared" si="34"/>
        <v>0.34338093966685246</v>
      </c>
      <c r="AB122" s="196">
        <f t="shared" si="24"/>
        <v>0.54849525849355829</v>
      </c>
      <c r="AC122" s="196">
        <f t="shared" si="32"/>
        <v>0.89187619816041086</v>
      </c>
      <c r="AD122" s="247">
        <f t="shared" si="29"/>
        <v>0.10812380183958917</v>
      </c>
      <c r="AF122" s="251">
        <f t="shared" si="25"/>
        <v>0.61499035362182319</v>
      </c>
      <c r="AG122" s="251">
        <f t="shared" si="26"/>
        <v>0.38500964637817675</v>
      </c>
    </row>
    <row r="123" spans="1:53" x14ac:dyDescent="0.25">
      <c r="A123" s="194">
        <v>2057</v>
      </c>
      <c r="B123" s="195">
        <f t="shared" si="27"/>
        <v>6459.8296395173302</v>
      </c>
      <c r="C123" s="195">
        <f t="shared" si="9"/>
        <v>715.23072901777891</v>
      </c>
      <c r="D123" s="195">
        <f t="shared" si="10"/>
        <v>152.29424117485428</v>
      </c>
      <c r="E123" s="195">
        <f t="shared" si="11"/>
        <v>7327.3546097099634</v>
      </c>
      <c r="F123" s="196">
        <f t="shared" si="12"/>
        <v>0.88160461498027975</v>
      </c>
      <c r="H123" s="194">
        <v>2057</v>
      </c>
      <c r="I123" s="195">
        <f t="shared" si="13"/>
        <v>4487.6288195058514</v>
      </c>
      <c r="J123" s="195">
        <f t="shared" si="14"/>
        <v>52.94842437992542</v>
      </c>
      <c r="K123" s="195">
        <f t="shared" si="15"/>
        <v>790.47759266539788</v>
      </c>
      <c r="L123" s="195">
        <f t="shared" si="16"/>
        <v>2788.1715352794872</v>
      </c>
      <c r="M123" s="195">
        <f t="shared" si="17"/>
        <v>122.39487103027514</v>
      </c>
      <c r="O123" s="195">
        <f t="shared" si="18"/>
        <v>4540.5772438857766</v>
      </c>
      <c r="P123" s="196">
        <f t="shared" si="19"/>
        <v>0.98833883413144785</v>
      </c>
      <c r="Q123" s="195">
        <f t="shared" si="20"/>
        <v>3701.0439989751603</v>
      </c>
      <c r="R123" s="196">
        <f t="shared" si="21"/>
        <v>0.75334730850310005</v>
      </c>
      <c r="S123" s="464">
        <f t="shared" si="22"/>
        <v>8241.621242860936</v>
      </c>
      <c r="T123" s="196">
        <f t="shared" si="28"/>
        <v>0.5509325301522342</v>
      </c>
      <c r="W123" s="195">
        <f t="shared" si="30"/>
        <v>815.97071526800846</v>
      </c>
      <c r="X123" s="195">
        <f t="shared" si="23"/>
        <v>75.246863647618966</v>
      </c>
      <c r="Y123" s="195">
        <f t="shared" si="31"/>
        <v>23.04905423534629</v>
      </c>
      <c r="Z123" s="195">
        <f t="shared" si="33"/>
        <v>914.26663315097369</v>
      </c>
      <c r="AA123" s="196">
        <f t="shared" si="34"/>
        <v>0.34201127041394436</v>
      </c>
      <c r="AB123" s="196">
        <f t="shared" si="24"/>
        <v>0.55047532559777557</v>
      </c>
      <c r="AC123" s="196">
        <f t="shared" si="32"/>
        <v>0.89248659601171998</v>
      </c>
      <c r="AD123" s="247">
        <f t="shared" si="29"/>
        <v>0.10751340398828003</v>
      </c>
      <c r="AF123" s="251">
        <f t="shared" si="25"/>
        <v>0.6167883395198317</v>
      </c>
      <c r="AG123" s="251">
        <f t="shared" si="26"/>
        <v>0.3832116604801683</v>
      </c>
    </row>
    <row r="124" spans="1:53" x14ac:dyDescent="0.25">
      <c r="A124" s="194">
        <v>2058</v>
      </c>
      <c r="B124" s="195">
        <f t="shared" si="27"/>
        <v>6480.0106096004965</v>
      </c>
      <c r="C124" s="195">
        <f t="shared" si="9"/>
        <v>713.10657458781884</v>
      </c>
      <c r="D124" s="195">
        <f t="shared" si="10"/>
        <v>151.30739866400324</v>
      </c>
      <c r="E124" s="195">
        <f t="shared" si="11"/>
        <v>7344.4245828523181</v>
      </c>
      <c r="F124" s="196">
        <f t="shared" si="12"/>
        <v>0.88230337673150794</v>
      </c>
      <c r="H124" s="194">
        <v>2058</v>
      </c>
      <c r="I124" s="195">
        <f t="shared" si="13"/>
        <v>4535.7224373247464</v>
      </c>
      <c r="J124" s="195">
        <f t="shared" si="14"/>
        <v>53.052116357056924</v>
      </c>
      <c r="K124" s="195">
        <f t="shared" si="15"/>
        <v>791.44510047302549</v>
      </c>
      <c r="L124" s="195">
        <f t="shared" si="16"/>
        <v>2796.8984563238619</v>
      </c>
      <c r="M124" s="195">
        <f t="shared" si="17"/>
        <v>122.1066175225686</v>
      </c>
      <c r="O124" s="195">
        <f t="shared" si="18"/>
        <v>4588.7745536818029</v>
      </c>
      <c r="P124" s="196">
        <f t="shared" si="19"/>
        <v>0.98843871806373873</v>
      </c>
      <c r="Q124" s="195">
        <f t="shared" si="20"/>
        <v>3710.450174319456</v>
      </c>
      <c r="R124" s="196">
        <f t="shared" si="21"/>
        <v>0.75378952011849853</v>
      </c>
      <c r="S124" s="464">
        <f t="shared" si="22"/>
        <v>8299.2247280012598</v>
      </c>
      <c r="T124" s="196">
        <f t="shared" si="28"/>
        <v>0.5529160498810759</v>
      </c>
      <c r="W124" s="195">
        <f t="shared" si="30"/>
        <v>852.61028404811168</v>
      </c>
      <c r="X124" s="195">
        <f t="shared" si="23"/>
        <v>78.33852588520665</v>
      </c>
      <c r="Y124" s="195">
        <f t="shared" si="31"/>
        <v>23.851335215622271</v>
      </c>
      <c r="Z124" s="195">
        <f t="shared" si="33"/>
        <v>954.8001451489406</v>
      </c>
      <c r="AA124" s="196">
        <f t="shared" si="34"/>
        <v>0.34060855954614178</v>
      </c>
      <c r="AB124" s="196">
        <f t="shared" si="24"/>
        <v>0.55236395242924319</v>
      </c>
      <c r="AC124" s="196">
        <f t="shared" si="32"/>
        <v>0.89297251197538496</v>
      </c>
      <c r="AD124" s="247">
        <f t="shared" si="29"/>
        <v>0.10702748802461502</v>
      </c>
      <c r="AF124" s="251">
        <f t="shared" si="25"/>
        <v>0.61856769947748313</v>
      </c>
      <c r="AG124" s="251">
        <f t="shared" si="26"/>
        <v>0.38143230052251681</v>
      </c>
    </row>
    <row r="125" spans="1:53" x14ac:dyDescent="0.25">
      <c r="A125" s="194">
        <v>2059</v>
      </c>
      <c r="B125" s="195">
        <f t="shared" si="27"/>
        <v>6498.6511990006084</v>
      </c>
      <c r="C125" s="195">
        <f t="shared" si="9"/>
        <v>711.86404817348125</v>
      </c>
      <c r="D125" s="195">
        <f t="shared" si="10"/>
        <v>150.30025858341469</v>
      </c>
      <c r="E125" s="195">
        <f t="shared" si="11"/>
        <v>7360.8155057575041</v>
      </c>
      <c r="F125" s="196">
        <f t="shared" si="12"/>
        <v>0.88287108866096076</v>
      </c>
      <c r="H125" s="194">
        <v>2059</v>
      </c>
      <c r="I125" s="195">
        <f t="shared" si="13"/>
        <v>4583.3368501715286</v>
      </c>
      <c r="J125" s="195">
        <f t="shared" si="14"/>
        <v>53.151897582086782</v>
      </c>
      <c r="K125" s="195">
        <f t="shared" si="15"/>
        <v>793.47454004986741</v>
      </c>
      <c r="L125" s="195">
        <f t="shared" si="16"/>
        <v>2805.2701127787</v>
      </c>
      <c r="M125" s="195">
        <f t="shared" si="17"/>
        <v>121.80978888413352</v>
      </c>
      <c r="O125" s="195">
        <f t="shared" si="18"/>
        <v>4636.4887477536149</v>
      </c>
      <c r="P125" s="196">
        <f t="shared" si="19"/>
        <v>0.98853617457653953</v>
      </c>
      <c r="Q125" s="195">
        <f t="shared" si="20"/>
        <v>3720.5544417127007</v>
      </c>
      <c r="R125" s="196">
        <f t="shared" si="21"/>
        <v>0.75399249136839308</v>
      </c>
      <c r="S125" s="464">
        <f t="shared" si="22"/>
        <v>8357.0431894663161</v>
      </c>
      <c r="T125" s="196">
        <f t="shared" si="28"/>
        <v>0.55480014194466587</v>
      </c>
      <c r="W125" s="195">
        <f t="shared" si="30"/>
        <v>889.95576394962063</v>
      </c>
      <c r="X125" s="195">
        <f t="shared" si="23"/>
        <v>81.610491876386163</v>
      </c>
      <c r="Y125" s="195">
        <f t="shared" si="31"/>
        <v>24.661427882805611</v>
      </c>
      <c r="Z125" s="195">
        <f t="shared" si="33"/>
        <v>996.22768370881238</v>
      </c>
      <c r="AA125" s="196">
        <f t="shared" si="34"/>
        <v>0.33917351649751692</v>
      </c>
      <c r="AB125" s="196">
        <f t="shared" si="24"/>
        <v>0.55415215443389432</v>
      </c>
      <c r="AC125" s="196">
        <f t="shared" si="32"/>
        <v>0.89332567093141135</v>
      </c>
      <c r="AD125" s="247">
        <f t="shared" si="29"/>
        <v>0.10667432906858872</v>
      </c>
      <c r="AF125" s="251">
        <f t="shared" si="25"/>
        <v>0.62032489658123968</v>
      </c>
      <c r="AG125" s="251">
        <f t="shared" si="26"/>
        <v>0.37967510341876021</v>
      </c>
    </row>
    <row r="126" spans="1:53" x14ac:dyDescent="0.25">
      <c r="A126" s="194">
        <v>2060</v>
      </c>
      <c r="B126" s="195">
        <f t="shared" si="27"/>
        <v>6515.7081624412604</v>
      </c>
      <c r="C126" s="195">
        <f t="shared" si="9"/>
        <v>711.54221558300412</v>
      </c>
      <c r="D126" s="195">
        <f t="shared" si="10"/>
        <v>149.27299481069559</v>
      </c>
      <c r="E126" s="195">
        <f t="shared" si="11"/>
        <v>7376.5233728349594</v>
      </c>
      <c r="F126" s="196">
        <f t="shared" si="12"/>
        <v>0.88330339824262372</v>
      </c>
      <c r="H126" s="194">
        <v>2060</v>
      </c>
      <c r="I126" s="195">
        <f t="shared" si="13"/>
        <v>4630.361679110837</v>
      </c>
      <c r="J126" s="195">
        <f t="shared" si="14"/>
        <v>53.247332156036016</v>
      </c>
      <c r="K126" s="195">
        <f t="shared" si="15"/>
        <v>796.62141310964864</v>
      </c>
      <c r="L126" s="195">
        <f t="shared" si="16"/>
        <v>2813.268594206671</v>
      </c>
      <c r="M126" s="195">
        <f t="shared" si="17"/>
        <v>121.50357238409146</v>
      </c>
      <c r="O126" s="195">
        <f t="shared" si="18"/>
        <v>4683.6090112668735</v>
      </c>
      <c r="P126" s="196">
        <f t="shared" si="19"/>
        <v>0.98863113209750331</v>
      </c>
      <c r="Q126" s="195">
        <f t="shared" si="20"/>
        <v>3731.393579700411</v>
      </c>
      <c r="R126" s="196">
        <f t="shared" si="21"/>
        <v>0.75394582054047077</v>
      </c>
      <c r="S126" s="464">
        <f t="shared" si="22"/>
        <v>8415.002590967284</v>
      </c>
      <c r="T126" s="196">
        <f t="shared" si="28"/>
        <v>0.55657843959481235</v>
      </c>
      <c r="W126" s="195">
        <f t="shared" si="30"/>
        <v>927.92211087624764</v>
      </c>
      <c r="X126" s="195">
        <f t="shared" si="23"/>
        <v>85.079197526644521</v>
      </c>
      <c r="Y126" s="195">
        <f t="shared" si="31"/>
        <v>25.477909729431872</v>
      </c>
      <c r="Z126" s="195">
        <f t="shared" si="33"/>
        <v>1038.4792181323241</v>
      </c>
      <c r="AA126" s="196">
        <f t="shared" si="34"/>
        <v>0.33770704289295056</v>
      </c>
      <c r="AB126" s="196">
        <f t="shared" si="24"/>
        <v>0.55583237000458396</v>
      </c>
      <c r="AC126" s="196">
        <f t="shared" si="32"/>
        <v>0.89353941289753458</v>
      </c>
      <c r="AD126" s="247">
        <f t="shared" si="29"/>
        <v>0.10646058710246534</v>
      </c>
      <c r="AF126" s="251">
        <f t="shared" si="25"/>
        <v>0.62205691431355281</v>
      </c>
      <c r="AG126" s="251">
        <f t="shared" si="26"/>
        <v>0.37794308568644713</v>
      </c>
      <c r="BA126" s="516"/>
    </row>
    <row r="127" spans="1:53" x14ac:dyDescent="0.25">
      <c r="BA127" s="516"/>
    </row>
    <row r="128" spans="1:53" x14ac:dyDescent="0.25">
      <c r="BA128" s="516"/>
    </row>
    <row r="129" spans="1:58" ht="92.25" customHeight="1" x14ac:dyDescent="0.25">
      <c r="BA129" s="516"/>
    </row>
    <row r="130" spans="1:58" ht="13.5" customHeight="1" thickBot="1" x14ac:dyDescent="0.3">
      <c r="BA130" s="516"/>
    </row>
    <row r="131" spans="1:58" s="485" customFormat="1" ht="44.25" customHeight="1" thickBot="1" x14ac:dyDescent="0.35">
      <c r="A131" s="491"/>
      <c r="B131" s="660" t="s">
        <v>602</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598</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516"/>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CleanCookstoves_cluster</v>
      </c>
      <c r="AU132" s="607"/>
      <c r="AV132" s="608"/>
      <c r="AW132" s="445"/>
      <c r="AX132" s="606" t="str">
        <f ca="1">CONCATENATE("Table 11(b): EMISSIONS ALLOCATION TO Education in LLDC, ",A1)</f>
        <v>Table 11(b): EMISSIONS ALLOCATION TO Education in LLDC, CleanCookstoves_cluster</v>
      </c>
      <c r="AY132" s="608"/>
      <c r="AZ132" s="446"/>
      <c r="BA132" s="606" t="str">
        <f ca="1">CONCATENATE("Table 11(c): EMISSIONS ALLOCATION TO Family Planning in LLDC, ",A1)</f>
        <v>Table 11(c): EMISSIONS ALLOCATION TO Family Planning in LLDC, CleanCookstoves_cluster</v>
      </c>
      <c r="BB132" s="608"/>
      <c r="BC132" s="516"/>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514" t="s">
        <v>219</v>
      </c>
      <c r="K133" s="514" t="s">
        <v>220</v>
      </c>
      <c r="L133" s="514" t="s">
        <v>221</v>
      </c>
      <c r="M133" s="515" t="s">
        <v>222</v>
      </c>
      <c r="N133" s="515" t="s">
        <v>220</v>
      </c>
      <c r="O133" s="515" t="s">
        <v>248</v>
      </c>
      <c r="P133" s="515"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516"/>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514" t="s">
        <v>500</v>
      </c>
      <c r="K134" s="514" t="s">
        <v>500</v>
      </c>
      <c r="L134" s="514" t="s">
        <v>513</v>
      </c>
      <c r="M134" s="515" t="s">
        <v>500</v>
      </c>
      <c r="N134" s="515" t="s">
        <v>500</v>
      </c>
      <c r="O134" s="515" t="s">
        <v>249</v>
      </c>
      <c r="P134" s="515"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516"/>
      <c r="BE134" s="481" t="s">
        <v>227</v>
      </c>
      <c r="BF134" s="481" t="s">
        <v>228</v>
      </c>
    </row>
    <row r="135" spans="1:58" ht="15.6" x14ac:dyDescent="0.3">
      <c r="A135" s="152">
        <v>2014</v>
      </c>
      <c r="B135" s="178"/>
      <c r="C135" s="182"/>
      <c r="D135" s="183"/>
      <c r="E135" s="179">
        <f>IFERROR(IF($G$19="Y",$F$19,$AA80)*(SUMIF($H$5:$H$16,"Y",$F$5:$F$16)*(Z29-B29)),0)</f>
        <v>0</v>
      </c>
      <c r="F135" s="183" t="str">
        <f>IFERROR(E135-E134,"")</f>
        <v/>
      </c>
      <c r="G135" s="247">
        <f t="shared" ref="G135:G181" si="35">IFERROR(E135/((Z29+N29)-B29),"")</f>
        <v>0</v>
      </c>
      <c r="H135" s="245" t="s">
        <v>264</v>
      </c>
      <c r="I135" s="416"/>
      <c r="J135" s="178"/>
      <c r="K135" s="182"/>
      <c r="L135" s="183"/>
      <c r="M135" s="179">
        <f t="shared" ref="M135:M181" si="36">IFERROR(IF($G$19="Y",$F$19,$AB80)*(SUMIF($H$5:$H$16,"Y",$F$5:$F$16)*((Z29+N29)-B29)),0)</f>
        <v>0</v>
      </c>
      <c r="N135" s="183" t="str">
        <f>IFERROR(M135-M134,"")</f>
        <v/>
      </c>
      <c r="O135" s="247">
        <f t="shared" ref="O135:O181" si="37">IFERROR(M135/((Z29+N29)-B29),"")</f>
        <v>0</v>
      </c>
      <c r="P135" s="245" t="s">
        <v>264</v>
      </c>
      <c r="Q135" s="416"/>
      <c r="R135" s="167"/>
      <c r="S135" s="167"/>
      <c r="T135" s="167"/>
      <c r="U135" s="167"/>
      <c r="V135" s="506"/>
      <c r="W135" s="167" t="s">
        <v>211</v>
      </c>
      <c r="X135" s="167" t="s">
        <v>213</v>
      </c>
      <c r="Y135" s="167" t="s">
        <v>211</v>
      </c>
      <c r="Z135" s="167" t="s">
        <v>211</v>
      </c>
      <c r="AA135" s="509"/>
      <c r="AB135" s="496"/>
      <c r="AC135" s="496"/>
      <c r="AE135" s="167" t="s">
        <v>211</v>
      </c>
      <c r="AF135" s="167" t="s">
        <v>211</v>
      </c>
      <c r="AG135" s="167" t="s">
        <v>211</v>
      </c>
      <c r="AH135" s="167" t="s">
        <v>211</v>
      </c>
      <c r="AI135" s="165"/>
      <c r="AJ135" s="167" t="s">
        <v>211</v>
      </c>
      <c r="AK135" s="167" t="s">
        <v>213</v>
      </c>
      <c r="AL135" s="167" t="s">
        <v>211</v>
      </c>
      <c r="AM135" s="167" t="s">
        <v>211</v>
      </c>
      <c r="AN135" s="165"/>
      <c r="AO135" s="257"/>
      <c r="AP135" s="257"/>
      <c r="AT135" s="478">
        <v>2014</v>
      </c>
      <c r="AU135" s="479">
        <f>IFERROR(AB135+AO135,"")</f>
        <v>0</v>
      </c>
      <c r="AV135" s="479">
        <f>IFERROR(AC135+AP135,"")</f>
        <v>0</v>
      </c>
      <c r="AW135" s="430"/>
      <c r="AX135" s="479">
        <f t="shared" ref="AX135:AY181" si="38">IFERROR(AO135*$F$20,"")</f>
        <v>0</v>
      </c>
      <c r="AY135" s="479">
        <f t="shared" si="38"/>
        <v>0</v>
      </c>
      <c r="AZ135" s="430"/>
      <c r="BA135" s="479">
        <f t="shared" ref="BA135:BB181" si="39">AU135-AX135</f>
        <v>0</v>
      </c>
      <c r="BB135" s="479">
        <f t="shared" si="39"/>
        <v>0</v>
      </c>
      <c r="BC135" s="516"/>
      <c r="BE135" s="480" t="str">
        <f t="shared" ref="BE135:BE181" si="40">IFERROR(AX135/AU135,"")</f>
        <v/>
      </c>
      <c r="BF135" s="480" t="str">
        <f t="shared" ref="BF135:BF181" si="41">IFERROR(BB135/(AY135+BB135),"")</f>
        <v/>
      </c>
    </row>
    <row r="136" spans="1:58" ht="15.6" x14ac:dyDescent="0.3">
      <c r="A136" s="152">
        <v>2015</v>
      </c>
      <c r="B136" s="178"/>
      <c r="C136" s="182"/>
      <c r="D136" s="183"/>
      <c r="E136" s="179">
        <f>IFERROR(IF($G$19="Y",$F$19,$AA81)*(SUMIF($H$5:$H$16,"Y",$F$5:$F$16)*(Z30-B30)),0)</f>
        <v>0</v>
      </c>
      <c r="F136" s="183">
        <f>IFERROR(E136-E135,"")</f>
        <v>0</v>
      </c>
      <c r="G136" s="247">
        <f t="shared" si="35"/>
        <v>0</v>
      </c>
      <c r="H136" s="246"/>
      <c r="I136" s="417"/>
      <c r="J136" s="178"/>
      <c r="K136" s="182"/>
      <c r="L136" s="183"/>
      <c r="M136" s="179">
        <f t="shared" si="36"/>
        <v>0</v>
      </c>
      <c r="N136" s="183">
        <f>IFERROR(M136-M135,"")</f>
        <v>0</v>
      </c>
      <c r="O136" s="247">
        <f t="shared" si="37"/>
        <v>0</v>
      </c>
      <c r="P136" s="246"/>
      <c r="Q136" s="417"/>
      <c r="R136" s="439"/>
      <c r="S136" s="440"/>
      <c r="T136" s="439"/>
      <c r="U136" s="440"/>
      <c r="V136" s="506"/>
      <c r="W136" s="439" t="str">
        <f>IF($W$135="Y",IFERROR(E136*$F$6*'Emissions Factors'!$B12*$F$21,""),"")</f>
        <v/>
      </c>
      <c r="X136" s="259">
        <f>IF(X$135="Y",E136*'Emissions Factors'!$R$36*$F$22/10^6,"")</f>
        <v>0</v>
      </c>
      <c r="Y136" s="441"/>
      <c r="Z136" s="441"/>
      <c r="AA136" s="509"/>
      <c r="AB136" s="441">
        <f t="shared" ref="AB136:AB181" si="42">SUM(W136:Z136)</f>
        <v>0</v>
      </c>
      <c r="AC136" s="441">
        <f t="shared" ref="AC136:AC181" si="43">SUM(R136:U136)</f>
        <v>0</v>
      </c>
      <c r="AE136" s="182"/>
      <c r="AF136" s="178"/>
      <c r="AG136" s="182"/>
      <c r="AH136" s="178"/>
      <c r="AJ136" s="182" t="str">
        <f>IF($AJ$135="Y",IFERROR(M136*$F$6*'Emissions Factors'!$B12*$F$21,""),"")</f>
        <v/>
      </c>
      <c r="AK136" s="259">
        <f>IF(AK$135="Y",M136*'Emissions Factors'!$R$36*$F$22/10^6,"")</f>
        <v>0</v>
      </c>
      <c r="AL136" s="180"/>
      <c r="AM136" s="180"/>
      <c r="AO136" s="180">
        <f t="shared" ref="AO136:AO181" si="44">SUM(AJ136:AM136)</f>
        <v>0</v>
      </c>
      <c r="AP136" s="180">
        <f t="shared" ref="AP136:AP181" si="45">SUM(AE136:AH136)</f>
        <v>0</v>
      </c>
      <c r="AT136" s="478">
        <v>2015</v>
      </c>
      <c r="AU136" s="479">
        <f t="shared" ref="AU136:AV181" si="46">IFERROR(AB136+AO136,"")</f>
        <v>0</v>
      </c>
      <c r="AV136" s="479">
        <f t="shared" si="46"/>
        <v>0</v>
      </c>
      <c r="AW136" s="430"/>
      <c r="AX136" s="479">
        <f t="shared" si="38"/>
        <v>0</v>
      </c>
      <c r="AY136" s="479">
        <f t="shared" si="38"/>
        <v>0</v>
      </c>
      <c r="AZ136" s="430"/>
      <c r="BA136" s="479">
        <f t="shared" si="39"/>
        <v>0</v>
      </c>
      <c r="BB136" s="479">
        <f t="shared" si="39"/>
        <v>0</v>
      </c>
      <c r="BC136" s="516"/>
      <c r="BE136" s="480" t="str">
        <f t="shared" si="40"/>
        <v/>
      </c>
      <c r="BF136" s="480" t="str">
        <f t="shared" si="41"/>
        <v/>
      </c>
    </row>
    <row r="137" spans="1:58" ht="15.6" x14ac:dyDescent="0.3">
      <c r="A137" s="152">
        <v>2016</v>
      </c>
      <c r="B137" s="178"/>
      <c r="C137" s="182"/>
      <c r="D137" s="183"/>
      <c r="E137" s="179">
        <f t="shared" ref="E137:E181" si="47">IFERROR(IF($G$19="Y",$F$19,$AA82)*(SUMIF($H$5:$H$16,"Y",$F$5:$F$16)*((Z31+N31)-B31)),0)</f>
        <v>-1.5298366786970019E-3</v>
      </c>
      <c r="F137" s="183">
        <f t="shared" ref="F137:F181" si="48">IFERROR(E137-E136,"")</f>
        <v>-1.5298366786970019E-3</v>
      </c>
      <c r="G137" s="247">
        <f t="shared" si="35"/>
        <v>0.206675131885109</v>
      </c>
      <c r="H137" s="246"/>
      <c r="I137" s="417"/>
      <c r="J137" s="178"/>
      <c r="K137" s="182"/>
      <c r="L137" s="183"/>
      <c r="M137" s="179">
        <f t="shared" si="36"/>
        <v>-1.7646647070839285E-3</v>
      </c>
      <c r="N137" s="183">
        <f>IFERROR(M137-M136,"")</f>
        <v>-1.7646647070839285E-3</v>
      </c>
      <c r="O137" s="247">
        <f t="shared" si="37"/>
        <v>0.23839950770444479</v>
      </c>
      <c r="P137" s="246"/>
      <c r="Q137" s="417"/>
      <c r="R137" s="439"/>
      <c r="S137" s="440"/>
      <c r="T137" s="439"/>
      <c r="U137" s="440"/>
      <c r="V137" s="506"/>
      <c r="W137" s="439" t="str">
        <f>IF($W$135="Y",IFERROR(E137*$F$6*'Emissions Factors'!$B13*$F$21,""),"")</f>
        <v/>
      </c>
      <c r="X137" s="259">
        <f>IF(X$135="Y",E137*'Emissions Factors'!$R$36*$F$22/10^6,"")</f>
        <v>-2.8083774290795544E-3</v>
      </c>
      <c r="Y137" s="441"/>
      <c r="Z137" s="441"/>
      <c r="AA137" s="509"/>
      <c r="AB137" s="441">
        <f t="shared" si="42"/>
        <v>-2.8083774290795544E-3</v>
      </c>
      <c r="AC137" s="441">
        <f t="shared" si="43"/>
        <v>0</v>
      </c>
      <c r="AE137" s="182"/>
      <c r="AF137" s="178"/>
      <c r="AG137" s="182"/>
      <c r="AH137" s="178"/>
      <c r="AJ137" s="182" t="str">
        <f>IF($AJ$135="Y",IFERROR(M137*$F$6*'Emissions Factors'!$B13*$F$21,""),"")</f>
        <v/>
      </c>
      <c r="AK137" s="259">
        <f>IF(AK$135="Y",M137*'Emissions Factors'!$R$36*$F$22/10^6,"")</f>
        <v>-3.239459873251829E-3</v>
      </c>
      <c r="AL137" s="180"/>
      <c r="AM137" s="180"/>
      <c r="AO137" s="180">
        <f t="shared" si="44"/>
        <v>-3.239459873251829E-3</v>
      </c>
      <c r="AP137" s="180">
        <f t="shared" si="45"/>
        <v>0</v>
      </c>
      <c r="AT137" s="478">
        <v>2016</v>
      </c>
      <c r="AU137" s="479">
        <f t="shared" si="46"/>
        <v>-6.0478373023313834E-3</v>
      </c>
      <c r="AV137" s="479">
        <f t="shared" si="46"/>
        <v>0</v>
      </c>
      <c r="AW137" s="430"/>
      <c r="AX137" s="479">
        <f t="shared" si="38"/>
        <v>-1.6197299366259145E-3</v>
      </c>
      <c r="AY137" s="479">
        <f t="shared" si="38"/>
        <v>0</v>
      </c>
      <c r="AZ137" s="430"/>
      <c r="BA137" s="479">
        <f t="shared" si="39"/>
        <v>-4.4281073657054691E-3</v>
      </c>
      <c r="BB137" s="479">
        <f t="shared" si="39"/>
        <v>0</v>
      </c>
      <c r="BC137" s="516"/>
      <c r="BE137" s="480">
        <f t="shared" si="40"/>
        <v>0.26781969415769902</v>
      </c>
      <c r="BF137" s="480" t="str">
        <f t="shared" si="41"/>
        <v/>
      </c>
    </row>
    <row r="138" spans="1:58" ht="15.6" x14ac:dyDescent="0.3">
      <c r="A138" s="152">
        <v>2017</v>
      </c>
      <c r="B138" s="178"/>
      <c r="C138" s="182"/>
      <c r="D138" s="183"/>
      <c r="E138" s="179">
        <f t="shared" si="47"/>
        <v>-1.5056260117964123E-3</v>
      </c>
      <c r="F138" s="183">
        <f>IFERROR(E138-E137,"")</f>
        <v>2.4210666900589643E-5</v>
      </c>
      <c r="G138" s="247">
        <f t="shared" si="35"/>
        <v>0.20587367639684306</v>
      </c>
      <c r="H138" s="246"/>
      <c r="I138" s="417"/>
      <c r="J138" s="178"/>
      <c r="K138" s="182"/>
      <c r="L138" s="183"/>
      <c r="M138" s="179">
        <f t="shared" si="36"/>
        <v>-1.7493600859173465E-3</v>
      </c>
      <c r="N138" s="183">
        <f>IFERROR(M138-M137,"")</f>
        <v>1.5304621166581985E-5</v>
      </c>
      <c r="O138" s="247">
        <f t="shared" si="37"/>
        <v>0.23920096319271067</v>
      </c>
      <c r="P138" s="246"/>
      <c r="Q138" s="417"/>
      <c r="R138" s="439"/>
      <c r="S138" s="440"/>
      <c r="T138" s="439"/>
      <c r="U138" s="440"/>
      <c r="V138" s="506"/>
      <c r="W138" s="439" t="str">
        <f>IF($W$135="Y",IFERROR(E138*$F$6*'Emissions Factors'!$B14*$F$21,""),"")</f>
        <v/>
      </c>
      <c r="X138" s="259">
        <f>IF(X$135="Y",E138*'Emissions Factors'!$R$36*$F$22/10^6,"")</f>
        <v>-2.7639330178470495E-3</v>
      </c>
      <c r="Y138" s="441"/>
      <c r="Z138" s="441"/>
      <c r="AA138" s="509"/>
      <c r="AB138" s="441">
        <f t="shared" si="42"/>
        <v>-2.7639330178470495E-3</v>
      </c>
      <c r="AC138" s="441">
        <f t="shared" si="43"/>
        <v>0</v>
      </c>
      <c r="AE138" s="182"/>
      <c r="AF138" s="178"/>
      <c r="AG138" s="182"/>
      <c r="AH138" s="178"/>
      <c r="AJ138" s="182" t="str">
        <f>IF($AJ$135="Y",IFERROR(M138*$F$6*'Emissions Factors'!$B14*$F$21,""),"")</f>
        <v/>
      </c>
      <c r="AK138" s="259">
        <f>IF(AK$135="Y",M138*'Emissions Factors'!$R$36*$F$22/10^6,"")</f>
        <v>-3.2113646175664637E-3</v>
      </c>
      <c r="AL138" s="180"/>
      <c r="AM138" s="180"/>
      <c r="AO138" s="180">
        <f t="shared" si="44"/>
        <v>-3.2113646175664637E-3</v>
      </c>
      <c r="AP138" s="180">
        <f t="shared" si="45"/>
        <v>0</v>
      </c>
      <c r="AT138" s="478">
        <v>2017</v>
      </c>
      <c r="AU138" s="479">
        <f t="shared" si="46"/>
        <v>-5.9752976354135127E-3</v>
      </c>
      <c r="AV138" s="479">
        <f t="shared" si="46"/>
        <v>0</v>
      </c>
      <c r="AW138" s="430"/>
      <c r="AX138" s="479">
        <f t="shared" si="38"/>
        <v>-1.6056823087832318E-3</v>
      </c>
      <c r="AY138" s="479">
        <f t="shared" si="38"/>
        <v>0</v>
      </c>
      <c r="AZ138" s="430"/>
      <c r="BA138" s="479">
        <f t="shared" si="39"/>
        <v>-4.3696153266302804E-3</v>
      </c>
      <c r="BB138" s="479">
        <f t="shared" si="39"/>
        <v>0</v>
      </c>
      <c r="BC138" s="516"/>
      <c r="BE138" s="480">
        <f t="shared" si="40"/>
        <v>0.26872005492528284</v>
      </c>
      <c r="BF138" s="480" t="str">
        <f t="shared" si="41"/>
        <v/>
      </c>
    </row>
    <row r="139" spans="1:58" ht="15.6" x14ac:dyDescent="0.3">
      <c r="A139" s="152">
        <v>2018</v>
      </c>
      <c r="B139" s="178"/>
      <c r="C139" s="182"/>
      <c r="D139" s="183"/>
      <c r="E139" s="179">
        <f t="shared" si="47"/>
        <v>-1.4765797339961731E-3</v>
      </c>
      <c r="F139" s="183">
        <f t="shared" si="48"/>
        <v>2.9046277800239212E-5</v>
      </c>
      <c r="G139" s="247">
        <f t="shared" si="35"/>
        <v>0.20508121679192426</v>
      </c>
      <c r="H139" s="246"/>
      <c r="I139" s="417"/>
      <c r="J139" s="178"/>
      <c r="K139" s="182"/>
      <c r="L139" s="183"/>
      <c r="M139" s="179">
        <f t="shared" si="36"/>
        <v>-1.7279467614769355E-3</v>
      </c>
      <c r="N139" s="183">
        <f t="shared" ref="N139:N181" si="49">IFERROR(M139-M138,"")</f>
        <v>2.1413324440411026E-5</v>
      </c>
      <c r="O139" s="247">
        <f t="shared" si="37"/>
        <v>0.2399934227976295</v>
      </c>
      <c r="P139" s="246"/>
      <c r="Q139" s="417"/>
      <c r="R139" s="439"/>
      <c r="S139" s="440"/>
      <c r="T139" s="439"/>
      <c r="U139" s="440"/>
      <c r="V139" s="506"/>
      <c r="W139" s="439" t="str">
        <f>IF($W$135="Y",IFERROR(E139*$F$6*'Emissions Factors'!$B15*$F$21,""),"")</f>
        <v/>
      </c>
      <c r="X139" s="259">
        <f>IF(X$135="Y",E139*'Emissions Factors'!$R$36*$F$22/10^6,"")</f>
        <v>-2.7106116979252106E-3</v>
      </c>
      <c r="Y139" s="441"/>
      <c r="Z139" s="441"/>
      <c r="AA139" s="509"/>
      <c r="AB139" s="441">
        <f t="shared" si="42"/>
        <v>-2.7106116979252106E-3</v>
      </c>
      <c r="AC139" s="441">
        <f t="shared" si="43"/>
        <v>0</v>
      </c>
      <c r="AE139" s="182"/>
      <c r="AF139" s="178"/>
      <c r="AG139" s="182"/>
      <c r="AH139" s="178"/>
      <c r="AJ139" s="182" t="str">
        <f>IF($AJ$135="Y",IFERROR(M139*$F$6*'Emissions Factors'!$B15*$F$21,""),"")</f>
        <v/>
      </c>
      <c r="AK139" s="259">
        <f>IF(AK$135="Y",M139*'Emissions Factors'!$R$36*$F$22/10^6,"")</f>
        <v>-3.17205539072061E-3</v>
      </c>
      <c r="AL139" s="180"/>
      <c r="AM139" s="180"/>
      <c r="AO139" s="180">
        <f t="shared" si="44"/>
        <v>-3.17205539072061E-3</v>
      </c>
      <c r="AP139" s="180">
        <f t="shared" si="45"/>
        <v>0</v>
      </c>
      <c r="AT139" s="478">
        <v>2018</v>
      </c>
      <c r="AU139" s="479">
        <f t="shared" si="46"/>
        <v>-5.882667088645821E-3</v>
      </c>
      <c r="AV139" s="479">
        <f t="shared" si="46"/>
        <v>0</v>
      </c>
      <c r="AW139" s="430"/>
      <c r="AX139" s="479">
        <f t="shared" si="38"/>
        <v>-1.586027695360305E-3</v>
      </c>
      <c r="AY139" s="479">
        <f t="shared" si="38"/>
        <v>0</v>
      </c>
      <c r="AZ139" s="430"/>
      <c r="BA139" s="479">
        <f t="shared" si="39"/>
        <v>-4.2966393932855158E-3</v>
      </c>
      <c r="BB139" s="479">
        <f t="shared" si="39"/>
        <v>0</v>
      </c>
      <c r="BC139" s="516"/>
      <c r="BE139" s="480">
        <f t="shared" si="40"/>
        <v>0.2696103096538488</v>
      </c>
      <c r="BF139" s="480" t="str">
        <f t="shared" si="41"/>
        <v/>
      </c>
    </row>
    <row r="140" spans="1:58" ht="15.6" x14ac:dyDescent="0.3">
      <c r="A140" s="152">
        <v>2019</v>
      </c>
      <c r="B140" s="178"/>
      <c r="C140" s="182"/>
      <c r="D140" s="183"/>
      <c r="E140" s="179">
        <f t="shared" si="47"/>
        <v>-1.4504477051192316E-3</v>
      </c>
      <c r="F140" s="183">
        <f t="shared" si="48"/>
        <v>2.6132028876941528E-5</v>
      </c>
      <c r="G140" s="247">
        <f t="shared" si="35"/>
        <v>0.20429095989222948</v>
      </c>
      <c r="H140" s="246"/>
      <c r="I140" s="417"/>
      <c r="J140" s="178"/>
      <c r="K140" s="182"/>
      <c r="L140" s="183"/>
      <c r="M140" s="179">
        <f t="shared" si="36"/>
        <v>-1.7095427807054526E-3</v>
      </c>
      <c r="N140" s="183">
        <f t="shared" si="49"/>
        <v>1.8403980771482861E-5</v>
      </c>
      <c r="O140" s="247">
        <f t="shared" si="37"/>
        <v>0.24078367969732425</v>
      </c>
      <c r="P140" s="246"/>
      <c r="Q140" s="417"/>
      <c r="R140" s="439"/>
      <c r="S140" s="440"/>
      <c r="T140" s="439"/>
      <c r="U140" s="440"/>
      <c r="V140" s="506"/>
      <c r="W140" s="439" t="str">
        <f>IF($W$135="Y",IFERROR(E140*$F$6*'Emissions Factors'!$B16*$F$21,""),"")</f>
        <v/>
      </c>
      <c r="X140" s="259">
        <f>IF(X$135="Y",E140*'Emissions Factors'!$R$36*$F$22/10^6,"")</f>
        <v>-2.662640171881944E-3</v>
      </c>
      <c r="Y140" s="441"/>
      <c r="Z140" s="441"/>
      <c r="AA140" s="509"/>
      <c r="AB140" s="441">
        <f t="shared" si="42"/>
        <v>-2.662640171881944E-3</v>
      </c>
      <c r="AC140" s="441">
        <f t="shared" si="43"/>
        <v>0</v>
      </c>
      <c r="AE140" s="182"/>
      <c r="AF140" s="178"/>
      <c r="AG140" s="182"/>
      <c r="AH140" s="178"/>
      <c r="AJ140" s="182" t="str">
        <f>IF($AJ$135="Y",IFERROR(M140*$F$6*'Emissions Factors'!$B16*$F$21,""),"")</f>
        <v/>
      </c>
      <c r="AK140" s="259">
        <f>IF(AK$135="Y",M140*'Emissions Factors'!$R$36*$F$22/10^6,"")</f>
        <v>-3.1382705266736399E-3</v>
      </c>
      <c r="AL140" s="180"/>
      <c r="AM140" s="180"/>
      <c r="AO140" s="180">
        <f t="shared" si="44"/>
        <v>-3.1382705266736399E-3</v>
      </c>
      <c r="AP140" s="180">
        <f t="shared" si="45"/>
        <v>0</v>
      </c>
      <c r="AT140" s="478">
        <v>2019</v>
      </c>
      <c r="AU140" s="479">
        <f t="shared" si="46"/>
        <v>-5.8009106985555843E-3</v>
      </c>
      <c r="AV140" s="479">
        <f t="shared" si="46"/>
        <v>0</v>
      </c>
      <c r="AW140" s="430"/>
      <c r="AX140" s="479">
        <f t="shared" si="38"/>
        <v>-1.5691352633368199E-3</v>
      </c>
      <c r="AY140" s="479">
        <f t="shared" si="38"/>
        <v>0</v>
      </c>
      <c r="AZ140" s="430"/>
      <c r="BA140" s="479">
        <f t="shared" si="39"/>
        <v>-4.2317754352187639E-3</v>
      </c>
      <c r="BB140" s="479">
        <f t="shared" si="39"/>
        <v>0</v>
      </c>
      <c r="BC140" s="516"/>
      <c r="BE140" s="480">
        <f t="shared" si="40"/>
        <v>0.27049808984777712</v>
      </c>
      <c r="BF140" s="480" t="str">
        <f t="shared" si="41"/>
        <v/>
      </c>
    </row>
    <row r="141" spans="1:58" ht="15.6" x14ac:dyDescent="0.3">
      <c r="A141" s="152">
        <v>2020</v>
      </c>
      <c r="B141" s="178"/>
      <c r="C141" s="182"/>
      <c r="D141" s="183"/>
      <c r="E141" s="179">
        <f t="shared" si="47"/>
        <v>-1.426011267749215E-3</v>
      </c>
      <c r="F141" s="183">
        <f t="shared" si="48"/>
        <v>2.4436437370016582E-5</v>
      </c>
      <c r="G141" s="247">
        <f t="shared" si="35"/>
        <v>0.20349781069454365</v>
      </c>
      <c r="H141" s="246"/>
      <c r="I141" s="417"/>
      <c r="J141" s="178"/>
      <c r="K141" s="182"/>
      <c r="L141" s="183"/>
      <c r="M141" s="179">
        <f t="shared" si="36"/>
        <v>-1.6928500550234444E-3</v>
      </c>
      <c r="N141" s="183">
        <f t="shared" si="49"/>
        <v>1.66927256820082E-5</v>
      </c>
      <c r="O141" s="247">
        <f t="shared" si="37"/>
        <v>0.24157682889501023</v>
      </c>
      <c r="P141" s="246"/>
      <c r="Q141" s="417"/>
      <c r="R141" s="439"/>
      <c r="S141" s="440"/>
      <c r="T141" s="439"/>
      <c r="U141" s="440"/>
      <c r="V141" s="506"/>
      <c r="W141" s="439" t="str">
        <f>IF($W$135="Y",IFERROR(E141*$F$6*'Emissions Factors'!$B17*$F$21,""),"")</f>
        <v/>
      </c>
      <c r="X141" s="259">
        <f>IF(X$135="Y",E141*'Emissions Factors'!$R$36*$F$22/10^6,"")</f>
        <v>-2.6177813054992123E-3</v>
      </c>
      <c r="Y141" s="441"/>
      <c r="Z141" s="441"/>
      <c r="AA141" s="509"/>
      <c r="AB141" s="441">
        <f t="shared" si="42"/>
        <v>-2.6177813054992123E-3</v>
      </c>
      <c r="AC141" s="441">
        <f t="shared" si="43"/>
        <v>0</v>
      </c>
      <c r="AE141" s="182"/>
      <c r="AF141" s="178"/>
      <c r="AG141" s="182"/>
      <c r="AH141" s="178"/>
      <c r="AJ141" s="182" t="str">
        <f>IF($AJ$135="Y",IFERROR(M141*$F$6*'Emissions Factors'!$B17*$F$21,""),"")</f>
        <v/>
      </c>
      <c r="AK141" s="259">
        <f>IF(AK$135="Y",M141*'Emissions Factors'!$R$36*$F$22/10^6,"")</f>
        <v>-3.1076270765014969E-3</v>
      </c>
      <c r="AL141" s="180"/>
      <c r="AM141" s="180"/>
      <c r="AO141" s="180">
        <f t="shared" si="44"/>
        <v>-3.1076270765014969E-3</v>
      </c>
      <c r="AP141" s="180">
        <f t="shared" si="45"/>
        <v>0</v>
      </c>
      <c r="AS141" s="430"/>
      <c r="AT141" s="478">
        <v>2020</v>
      </c>
      <c r="AU141" s="479">
        <f t="shared" si="46"/>
        <v>-5.7254083820007092E-3</v>
      </c>
      <c r="AV141" s="479">
        <f t="shared" si="46"/>
        <v>0</v>
      </c>
      <c r="AW141" s="430"/>
      <c r="AX141" s="479">
        <f t="shared" si="38"/>
        <v>-1.5538135382507485E-3</v>
      </c>
      <c r="AY141" s="479">
        <f t="shared" si="38"/>
        <v>0</v>
      </c>
      <c r="AZ141" s="430"/>
      <c r="BA141" s="479">
        <f t="shared" si="39"/>
        <v>-4.1715948437499612E-3</v>
      </c>
      <c r="BB141" s="479">
        <f t="shared" si="39"/>
        <v>0</v>
      </c>
      <c r="BC141" s="516"/>
      <c r="BE141" s="480">
        <f t="shared" si="40"/>
        <v>0.27138911926973808</v>
      </c>
      <c r="BF141" s="480" t="str">
        <f t="shared" si="41"/>
        <v/>
      </c>
    </row>
    <row r="142" spans="1:58" ht="15.6" x14ac:dyDescent="0.3">
      <c r="A142" s="152">
        <v>2021</v>
      </c>
      <c r="B142" s="178"/>
      <c r="C142" s="182"/>
      <c r="D142" s="183"/>
      <c r="E142" s="179">
        <f t="shared" si="47"/>
        <v>1.0356380954621767</v>
      </c>
      <c r="F142" s="183">
        <f t="shared" si="48"/>
        <v>1.0370641067299258</v>
      </c>
      <c r="G142" s="247">
        <f t="shared" si="35"/>
        <v>0.16616274217589189</v>
      </c>
      <c r="H142" s="246"/>
      <c r="I142" s="417"/>
      <c r="J142" s="178"/>
      <c r="K142" s="182"/>
      <c r="L142" s="183"/>
      <c r="M142" s="179">
        <f t="shared" si="36"/>
        <v>1.2387864385203755</v>
      </c>
      <c r="N142" s="183">
        <f t="shared" si="49"/>
        <v>1.240479288575399</v>
      </c>
      <c r="O142" s="247">
        <f t="shared" si="37"/>
        <v>0.19875683648252793</v>
      </c>
      <c r="P142" s="246"/>
      <c r="Q142" s="417"/>
      <c r="R142" s="439"/>
      <c r="S142" s="440"/>
      <c r="T142" s="439"/>
      <c r="U142" s="440"/>
      <c r="V142" s="506"/>
      <c r="W142" s="439" t="str">
        <f>IF($W$135="Y",IFERROR(E142*$F$6*'Emissions Factors'!$B18*$F$21,""),"")</f>
        <v/>
      </c>
      <c r="X142" s="259">
        <f>IF(X$135="Y",E142*'Emissions Factors'!$R$36*$F$22/10^6,"")</f>
        <v>1.9011589227080894</v>
      </c>
      <c r="Y142" s="441"/>
      <c r="Z142" s="441"/>
      <c r="AA142" s="509"/>
      <c r="AB142" s="441">
        <f t="shared" si="42"/>
        <v>1.9011589227080894</v>
      </c>
      <c r="AC142" s="441">
        <f t="shared" si="43"/>
        <v>0</v>
      </c>
      <c r="AE142" s="182"/>
      <c r="AF142" s="178"/>
      <c r="AG142" s="182"/>
      <c r="AH142" s="178"/>
      <c r="AJ142" s="182" t="str">
        <f>IF($AJ$135="Y",IFERROR(M142*$F$6*'Emissions Factors'!$B18*$F$21,""),"")</f>
        <v/>
      </c>
      <c r="AK142" s="259">
        <f>IF(AK$135="Y",M142*'Emissions Factors'!$R$36*$F$22/10^6,"")</f>
        <v>2.2740858039523535</v>
      </c>
      <c r="AL142" s="180"/>
      <c r="AM142" s="180"/>
      <c r="AO142" s="180">
        <f t="shared" si="44"/>
        <v>2.2740858039523535</v>
      </c>
      <c r="AP142" s="180">
        <f t="shared" si="45"/>
        <v>0</v>
      </c>
      <c r="AS142" s="430"/>
      <c r="AT142" s="478">
        <v>2021</v>
      </c>
      <c r="AU142" s="479">
        <f t="shared" si="46"/>
        <v>4.1752447266604431</v>
      </c>
      <c r="AV142" s="479">
        <f t="shared" si="46"/>
        <v>0</v>
      </c>
      <c r="AW142" s="430"/>
      <c r="AX142" s="479">
        <f t="shared" si="38"/>
        <v>1.1370429019761767</v>
      </c>
      <c r="AY142" s="479">
        <f t="shared" si="38"/>
        <v>0</v>
      </c>
      <c r="AZ142" s="430"/>
      <c r="BA142" s="479">
        <f t="shared" si="39"/>
        <v>3.0382018246842666</v>
      </c>
      <c r="BB142" s="479">
        <f t="shared" si="39"/>
        <v>0</v>
      </c>
      <c r="BC142" s="516"/>
      <c r="BE142" s="480">
        <f t="shared" si="40"/>
        <v>0.272329642072415</v>
      </c>
      <c r="BF142" s="480" t="str">
        <f t="shared" si="41"/>
        <v/>
      </c>
    </row>
    <row r="143" spans="1:58" ht="15.6" x14ac:dyDescent="0.3">
      <c r="A143" s="152">
        <v>2022</v>
      </c>
      <c r="B143" s="178"/>
      <c r="C143" s="182"/>
      <c r="D143" s="183"/>
      <c r="E143" s="179">
        <f t="shared" si="47"/>
        <v>2.3594109763653766</v>
      </c>
      <c r="F143" s="183">
        <f t="shared" si="48"/>
        <v>1.3237728809031999</v>
      </c>
      <c r="G143" s="247">
        <f t="shared" si="35"/>
        <v>0.16698156040883483</v>
      </c>
      <c r="H143" s="246"/>
      <c r="I143" s="417"/>
      <c r="J143" s="178"/>
      <c r="K143" s="182"/>
      <c r="L143" s="183"/>
      <c r="M143" s="179">
        <f t="shared" si="36"/>
        <v>2.8446672725383002</v>
      </c>
      <c r="N143" s="183">
        <f t="shared" si="49"/>
        <v>1.6058808340179247</v>
      </c>
      <c r="O143" s="247">
        <f t="shared" si="37"/>
        <v>0.20132439188026832</v>
      </c>
      <c r="P143" s="246"/>
      <c r="Q143" s="417"/>
      <c r="R143" s="182"/>
      <c r="S143" s="178"/>
      <c r="T143" s="182"/>
      <c r="U143" s="178"/>
      <c r="V143" s="506"/>
      <c r="W143" s="439" t="str">
        <f>IF($W$135="Y",IFERROR(E143*$F$6*'Emissions Factors'!$B19*$F$21,""),"")</f>
        <v/>
      </c>
      <c r="X143" s="259">
        <f>IF(X$135="Y",E143*'Emissions Factors'!$R$36*$F$22/10^6,"")</f>
        <v>4.3312574631108323</v>
      </c>
      <c r="Y143" s="180"/>
      <c r="Z143" s="180"/>
      <c r="AA143" s="509"/>
      <c r="AB143" s="180">
        <f t="shared" si="42"/>
        <v>4.3312574631108323</v>
      </c>
      <c r="AC143" s="180">
        <f t="shared" si="43"/>
        <v>0</v>
      </c>
      <c r="AE143" s="182"/>
      <c r="AF143" s="178"/>
      <c r="AG143" s="182"/>
      <c r="AH143" s="178"/>
      <c r="AJ143" s="182" t="str">
        <f>IF($AJ$135="Y",IFERROR(M143*$F$6*'Emissions Factors'!$B19*$F$21,""),"")</f>
        <v/>
      </c>
      <c r="AK143" s="259">
        <f>IF(AK$135="Y",M143*'Emissions Factors'!$R$36*$F$22/10^6,"")</f>
        <v>5.2220602843972825</v>
      </c>
      <c r="AL143" s="180"/>
      <c r="AM143" s="180"/>
      <c r="AO143" s="180">
        <f t="shared" si="44"/>
        <v>5.2220602843972825</v>
      </c>
      <c r="AP143" s="180">
        <f t="shared" si="45"/>
        <v>0</v>
      </c>
      <c r="AS143" s="430"/>
      <c r="AT143" s="478">
        <v>2022</v>
      </c>
      <c r="AU143" s="479">
        <f t="shared" si="46"/>
        <v>9.5533177475081139</v>
      </c>
      <c r="AV143" s="479">
        <f t="shared" si="46"/>
        <v>0</v>
      </c>
      <c r="AW143" s="430"/>
      <c r="AX143" s="479">
        <f t="shared" si="38"/>
        <v>2.6110301421986413</v>
      </c>
      <c r="AY143" s="479">
        <f t="shared" si="38"/>
        <v>0</v>
      </c>
      <c r="AZ143" s="430"/>
      <c r="BA143" s="479">
        <f t="shared" si="39"/>
        <v>6.9422876053094722</v>
      </c>
      <c r="BB143" s="479">
        <f t="shared" si="39"/>
        <v>0</v>
      </c>
      <c r="BC143" s="516"/>
      <c r="BE143" s="480">
        <f t="shared" si="40"/>
        <v>0.27331134703226029</v>
      </c>
      <c r="BF143" s="480" t="str">
        <f t="shared" si="41"/>
        <v/>
      </c>
    </row>
    <row r="144" spans="1:58" ht="15.6" x14ac:dyDescent="0.3">
      <c r="A144" s="152">
        <v>2023</v>
      </c>
      <c r="B144" s="178"/>
      <c r="C144" s="182"/>
      <c r="D144" s="183"/>
      <c r="E144" s="179">
        <f t="shared" si="47"/>
        <v>3.9305240097646283</v>
      </c>
      <c r="F144" s="183">
        <f t="shared" si="48"/>
        <v>1.5711130333992518</v>
      </c>
      <c r="G144" s="247">
        <f t="shared" si="35"/>
        <v>0.16733845316525986</v>
      </c>
      <c r="H144" s="246"/>
      <c r="I144" s="417"/>
      <c r="J144" s="178"/>
      <c r="K144" s="182"/>
      <c r="L144" s="183"/>
      <c r="M144" s="179">
        <f t="shared" si="36"/>
        <v>4.7778337881605015</v>
      </c>
      <c r="N144" s="183">
        <f t="shared" si="49"/>
        <v>1.9331665156222013</v>
      </c>
      <c r="O144" s="247">
        <f t="shared" si="37"/>
        <v>0.2034118895102156</v>
      </c>
      <c r="P144" s="246"/>
      <c r="Q144" s="417"/>
      <c r="R144" s="182"/>
      <c r="S144" s="178"/>
      <c r="T144" s="182"/>
      <c r="U144" s="178"/>
      <c r="V144" s="506"/>
      <c r="W144" s="439" t="str">
        <f>IF($W$135="Y",IFERROR(E144*$F$6*'Emissions Factors'!$B20*$F$21,""),"")</f>
        <v/>
      </c>
      <c r="X144" s="259">
        <f>IF(X$135="Y",E144*'Emissions Factors'!$R$36*$F$22/10^6,"")</f>
        <v>7.2154074138684612</v>
      </c>
      <c r="Y144" s="180"/>
      <c r="Z144" s="180"/>
      <c r="AA144" s="509"/>
      <c r="AB144" s="180">
        <f t="shared" si="42"/>
        <v>7.2154074138684612</v>
      </c>
      <c r="AC144" s="180">
        <f t="shared" si="43"/>
        <v>0</v>
      </c>
      <c r="AE144" s="182"/>
      <c r="AF144" s="178"/>
      <c r="AG144" s="182"/>
      <c r="AH144" s="178"/>
      <c r="AJ144" s="182" t="str">
        <f>IF($AJ$135="Y",IFERROR(M144*$F$6*'Emissions Factors'!$B20*$F$21,""),"")</f>
        <v/>
      </c>
      <c r="AK144" s="259">
        <f>IF(AK$135="Y",M144*'Emissions Factors'!$R$36*$F$22/10^6,"")</f>
        <v>8.770845121841381</v>
      </c>
      <c r="AL144" s="180"/>
      <c r="AM144" s="180"/>
      <c r="AO144" s="180">
        <f t="shared" si="44"/>
        <v>8.770845121841381</v>
      </c>
      <c r="AP144" s="180">
        <f t="shared" si="45"/>
        <v>0</v>
      </c>
      <c r="AS144" s="430"/>
      <c r="AT144" s="478">
        <v>2023</v>
      </c>
      <c r="AU144" s="479">
        <f t="shared" si="46"/>
        <v>15.986252535709841</v>
      </c>
      <c r="AV144" s="479">
        <f t="shared" si="46"/>
        <v>0</v>
      </c>
      <c r="AW144" s="430"/>
      <c r="AX144" s="479">
        <f t="shared" si="38"/>
        <v>4.3854225609206905</v>
      </c>
      <c r="AY144" s="479">
        <f t="shared" si="38"/>
        <v>0</v>
      </c>
      <c r="AZ144" s="430"/>
      <c r="BA144" s="479">
        <f t="shared" si="39"/>
        <v>11.60082997478915</v>
      </c>
      <c r="BB144" s="479">
        <f t="shared" si="39"/>
        <v>0</v>
      </c>
      <c r="BC144" s="516"/>
      <c r="BE144" s="480">
        <f t="shared" si="40"/>
        <v>0.27432461429747856</v>
      </c>
      <c r="BF144" s="480" t="str">
        <f t="shared" si="41"/>
        <v/>
      </c>
    </row>
    <row r="145" spans="1:58" ht="15.6" x14ac:dyDescent="0.3">
      <c r="A145" s="152">
        <v>2024</v>
      </c>
      <c r="B145" s="178"/>
      <c r="C145" s="182"/>
      <c r="D145" s="183"/>
      <c r="E145" s="179">
        <f t="shared" si="47"/>
        <v>5.7281553303718384</v>
      </c>
      <c r="F145" s="183">
        <f t="shared" si="48"/>
        <v>1.7976313206072101</v>
      </c>
      <c r="G145" s="247">
        <f t="shared" si="35"/>
        <v>0.16740722888802942</v>
      </c>
      <c r="H145" s="246"/>
      <c r="I145" s="417"/>
      <c r="J145" s="178"/>
      <c r="K145" s="182"/>
      <c r="L145" s="183"/>
      <c r="M145" s="179">
        <f t="shared" si="36"/>
        <v>7.0215754905901582</v>
      </c>
      <c r="N145" s="183">
        <f t="shared" si="49"/>
        <v>2.2437417024296566</v>
      </c>
      <c r="O145" s="247">
        <f t="shared" si="37"/>
        <v>0.20520785968831259</v>
      </c>
      <c r="P145" s="246"/>
      <c r="Q145" s="417"/>
      <c r="R145" s="182"/>
      <c r="S145" s="178"/>
      <c r="T145" s="182"/>
      <c r="U145" s="178"/>
      <c r="V145" s="506"/>
      <c r="W145" s="439" t="str">
        <f>IF($W$135="Y",IFERROR(E145*$F$6*'Emissions Factors'!$B21*$F$21,""),"")</f>
        <v/>
      </c>
      <c r="X145" s="259">
        <f>IF(X$135="Y",E145*'Emissions Factors'!$R$36*$F$22/10^6,"")</f>
        <v>10.515385311443531</v>
      </c>
      <c r="Y145" s="180"/>
      <c r="Z145" s="180"/>
      <c r="AA145" s="509"/>
      <c r="AB145" s="180">
        <f t="shared" si="42"/>
        <v>10.515385311443531</v>
      </c>
      <c r="AC145" s="180">
        <f t="shared" si="43"/>
        <v>0</v>
      </c>
      <c r="AE145" s="182"/>
      <c r="AF145" s="178"/>
      <c r="AG145" s="182"/>
      <c r="AH145" s="178"/>
      <c r="AJ145" s="182" t="str">
        <f>IF($AJ$135="Y",IFERROR(M145*$F$6*'Emissions Factors'!$B21*$F$21,""),"")</f>
        <v/>
      </c>
      <c r="AK145" s="259">
        <f>IF(AK$135="Y",M145*'Emissions Factors'!$R$36*$F$22/10^6,"")</f>
        <v>12.889764246695236</v>
      </c>
      <c r="AL145" s="180"/>
      <c r="AM145" s="180"/>
      <c r="AO145" s="180">
        <f t="shared" si="44"/>
        <v>12.889764246695236</v>
      </c>
      <c r="AP145" s="180">
        <f t="shared" si="45"/>
        <v>0</v>
      </c>
      <c r="AS145" s="430"/>
      <c r="AT145" s="478">
        <v>2024</v>
      </c>
      <c r="AU145" s="479">
        <f t="shared" si="46"/>
        <v>23.405149558138767</v>
      </c>
      <c r="AV145" s="479">
        <f t="shared" si="46"/>
        <v>0</v>
      </c>
      <c r="AW145" s="430"/>
      <c r="AX145" s="479">
        <f t="shared" si="38"/>
        <v>6.4448821233476181</v>
      </c>
      <c r="AY145" s="479">
        <f t="shared" si="38"/>
        <v>0</v>
      </c>
      <c r="AZ145" s="430"/>
      <c r="BA145" s="479">
        <f t="shared" si="39"/>
        <v>16.960267434791149</v>
      </c>
      <c r="BB145" s="479">
        <f t="shared" si="39"/>
        <v>0</v>
      </c>
      <c r="BC145" s="516"/>
      <c r="BE145" s="480">
        <f t="shared" si="40"/>
        <v>0.27536171505071683</v>
      </c>
      <c r="BF145" s="480" t="str">
        <f t="shared" si="41"/>
        <v/>
      </c>
    </row>
    <row r="146" spans="1:58" ht="15.6" x14ac:dyDescent="0.3">
      <c r="A146" s="152">
        <v>2025</v>
      </c>
      <c r="B146" s="178"/>
      <c r="C146" s="182"/>
      <c r="D146" s="183"/>
      <c r="E146" s="179">
        <f t="shared" si="47"/>
        <v>7.7367885327224277</v>
      </c>
      <c r="F146" s="183">
        <f t="shared" si="48"/>
        <v>2.0086332023505893</v>
      </c>
      <c r="G146" s="247">
        <f t="shared" si="35"/>
        <v>0.16728960537982898</v>
      </c>
      <c r="H146" s="246"/>
      <c r="I146" s="417"/>
      <c r="J146" s="178"/>
      <c r="K146" s="182"/>
      <c r="L146" s="183"/>
      <c r="M146" s="179">
        <f t="shared" si="36"/>
        <v>9.56500796804694</v>
      </c>
      <c r="N146" s="183">
        <f t="shared" si="49"/>
        <v>2.5434324774567818</v>
      </c>
      <c r="O146" s="247">
        <f t="shared" si="37"/>
        <v>0.2068204916887445</v>
      </c>
      <c r="P146" s="246"/>
      <c r="Q146" s="417"/>
      <c r="R146" s="182"/>
      <c r="S146" s="178"/>
      <c r="T146" s="182"/>
      <c r="U146" s="178"/>
      <c r="V146" s="506"/>
      <c r="W146" s="439" t="str">
        <f>IF($W$135="Y",IFERROR(E146*$F$6*'Emissions Factors'!$B22*$F$21,""),"")</f>
        <v/>
      </c>
      <c r="X146" s="259">
        <f>IF(X$135="Y",E146*'Emissions Factors'!$R$36*$F$22/10^6,"")</f>
        <v>14.202707119929491</v>
      </c>
      <c r="Y146" s="180"/>
      <c r="Z146" s="180"/>
      <c r="AA146" s="509"/>
      <c r="AB146" s="180">
        <f t="shared" si="42"/>
        <v>14.202707119929491</v>
      </c>
      <c r="AC146" s="180">
        <f t="shared" si="43"/>
        <v>0</v>
      </c>
      <c r="AE146" s="182"/>
      <c r="AF146" s="178"/>
      <c r="AG146" s="182"/>
      <c r="AH146" s="178"/>
      <c r="AJ146" s="182" t="str">
        <f>IF($AJ$135="Y",IFERROR(M146*$F$6*'Emissions Factors'!$B22*$F$21,""),"")</f>
        <v/>
      </c>
      <c r="AK146" s="259">
        <f>IF(AK$135="Y",M146*'Emissions Factors'!$R$36*$F$22/10^6,"")</f>
        <v>17.558836744134183</v>
      </c>
      <c r="AL146" s="180"/>
      <c r="AM146" s="180"/>
      <c r="AO146" s="180">
        <f t="shared" si="44"/>
        <v>17.558836744134183</v>
      </c>
      <c r="AP146" s="180">
        <f t="shared" si="45"/>
        <v>0</v>
      </c>
      <c r="AS146" s="430"/>
      <c r="AT146" s="478">
        <v>2025</v>
      </c>
      <c r="AU146" s="479">
        <f t="shared" si="46"/>
        <v>31.761543864063675</v>
      </c>
      <c r="AV146" s="479">
        <f t="shared" si="46"/>
        <v>0</v>
      </c>
      <c r="AW146" s="430"/>
      <c r="AX146" s="479">
        <f t="shared" si="38"/>
        <v>8.7794183720670915</v>
      </c>
      <c r="AY146" s="479">
        <f t="shared" si="38"/>
        <v>0</v>
      </c>
      <c r="AZ146" s="430"/>
      <c r="BA146" s="479">
        <f t="shared" si="39"/>
        <v>22.982125491996584</v>
      </c>
      <c r="BB146" s="479">
        <f t="shared" si="39"/>
        <v>0</v>
      </c>
      <c r="BC146" s="516"/>
      <c r="BE146" s="480">
        <f t="shared" si="40"/>
        <v>0.27641661279571766</v>
      </c>
      <c r="BF146" s="480" t="str">
        <f t="shared" si="41"/>
        <v/>
      </c>
    </row>
    <row r="147" spans="1:58" ht="15.6" x14ac:dyDescent="0.3">
      <c r="A147" s="152">
        <v>2026</v>
      </c>
      <c r="B147" s="178"/>
      <c r="C147" s="182"/>
      <c r="D147" s="183"/>
      <c r="E147" s="179">
        <f t="shared" si="47"/>
        <v>9.9414778524572522</v>
      </c>
      <c r="F147" s="183">
        <f t="shared" si="48"/>
        <v>2.2046893197348245</v>
      </c>
      <c r="G147" s="247">
        <f t="shared" si="35"/>
        <v>0.16705945204548181</v>
      </c>
      <c r="H147" s="246"/>
      <c r="I147" s="417"/>
      <c r="J147" s="178"/>
      <c r="K147" s="182"/>
      <c r="L147" s="183"/>
      <c r="M147" s="179">
        <f t="shared" si="36"/>
        <v>12.397406346554318</v>
      </c>
      <c r="N147" s="183">
        <f t="shared" si="49"/>
        <v>2.8323983785073779</v>
      </c>
      <c r="O147" s="247">
        <f t="shared" si="37"/>
        <v>0.20832958054909559</v>
      </c>
      <c r="P147" s="246"/>
      <c r="Q147" s="417"/>
      <c r="R147" s="182"/>
      <c r="S147" s="178"/>
      <c r="T147" s="182"/>
      <c r="U147" s="178"/>
      <c r="V147" s="506"/>
      <c r="W147" s="439" t="str">
        <f>IF($W$135="Y",IFERROR(E147*$F$6*'Emissions Factors'!$B23*$F$21,""),"")</f>
        <v/>
      </c>
      <c r="X147" s="259">
        <f>IF(X$135="Y",E147*'Emissions Factors'!$R$36*$F$22/10^6,"")</f>
        <v>18.249936350274243</v>
      </c>
      <c r="Y147" s="180"/>
      <c r="Z147" s="180"/>
      <c r="AA147" s="509"/>
      <c r="AB147" s="180">
        <f t="shared" si="42"/>
        <v>18.249936350274243</v>
      </c>
      <c r="AC147" s="180">
        <f t="shared" si="43"/>
        <v>0</v>
      </c>
      <c r="AE147" s="182"/>
      <c r="AF147" s="178"/>
      <c r="AG147" s="182"/>
      <c r="AH147" s="178"/>
      <c r="AJ147" s="182" t="str">
        <f>IF($AJ$135="Y",IFERROR(M147*$F$6*'Emissions Factors'!$B23*$F$21,""),"")</f>
        <v/>
      </c>
      <c r="AK147" s="259">
        <f>IF(AK$135="Y",M147*'Emissions Factors'!$R$36*$F$22/10^6,"")</f>
        <v>22.758374568744742</v>
      </c>
      <c r="AL147" s="180"/>
      <c r="AM147" s="180"/>
      <c r="AO147" s="180">
        <f t="shared" si="44"/>
        <v>22.758374568744742</v>
      </c>
      <c r="AP147" s="180">
        <f t="shared" si="45"/>
        <v>0</v>
      </c>
      <c r="AS147" s="430"/>
      <c r="AT147" s="478">
        <v>2026</v>
      </c>
      <c r="AU147" s="479">
        <f t="shared" si="46"/>
        <v>41.008310919018982</v>
      </c>
      <c r="AV147" s="479">
        <f t="shared" si="46"/>
        <v>0</v>
      </c>
      <c r="AW147" s="430"/>
      <c r="AX147" s="479">
        <f t="shared" si="38"/>
        <v>11.379187284372371</v>
      </c>
      <c r="AY147" s="479">
        <f t="shared" si="38"/>
        <v>0</v>
      </c>
      <c r="AZ147" s="430"/>
      <c r="BA147" s="479">
        <f t="shared" si="39"/>
        <v>29.629123634646611</v>
      </c>
      <c r="BB147" s="479">
        <f t="shared" si="39"/>
        <v>0</v>
      </c>
      <c r="BC147" s="516"/>
      <c r="BE147" s="480">
        <f t="shared" si="40"/>
        <v>0.2774849056047049</v>
      </c>
      <c r="BF147" s="480" t="str">
        <f t="shared" si="41"/>
        <v/>
      </c>
    </row>
    <row r="148" spans="1:58" ht="15.6" x14ac:dyDescent="0.3">
      <c r="A148" s="152">
        <v>2027</v>
      </c>
      <c r="B148" s="178"/>
      <c r="C148" s="182"/>
      <c r="D148" s="183"/>
      <c r="E148" s="179">
        <f t="shared" si="47"/>
        <v>12.328827997053903</v>
      </c>
      <c r="F148" s="183">
        <f t="shared" si="48"/>
        <v>2.3873501445966507</v>
      </c>
      <c r="G148" s="247">
        <f t="shared" si="35"/>
        <v>0.16676257495637239</v>
      </c>
      <c r="H148" s="246"/>
      <c r="I148" s="417"/>
      <c r="J148" s="178"/>
      <c r="K148" s="182"/>
      <c r="L148" s="183"/>
      <c r="M148" s="179">
        <f t="shared" si="36"/>
        <v>15.509469824043464</v>
      </c>
      <c r="N148" s="183">
        <f t="shared" si="49"/>
        <v>3.112063477489146</v>
      </c>
      <c r="O148" s="247">
        <f t="shared" si="37"/>
        <v>0.20978467090981318</v>
      </c>
      <c r="P148" s="246"/>
      <c r="Q148" s="417"/>
      <c r="R148" s="182"/>
      <c r="S148" s="178"/>
      <c r="T148" s="182"/>
      <c r="U148" s="182"/>
      <c r="V148" s="506"/>
      <c r="W148" s="439" t="str">
        <f>IF($W$135="Y",IFERROR(E148*$F$6*'Emissions Factors'!$B24*$F$21,""),"")</f>
        <v/>
      </c>
      <c r="X148" s="259">
        <f>IF(X$135="Y",E148*'Emissions Factors'!$R$36*$F$22/10^6,"")</f>
        <v>22.632482771572949</v>
      </c>
      <c r="Y148" s="180"/>
      <c r="Z148" s="180"/>
      <c r="AA148" s="509"/>
      <c r="AB148" s="180">
        <f t="shared" si="42"/>
        <v>22.632482771572949</v>
      </c>
      <c r="AC148" s="180">
        <f>SUM(R148:U148)</f>
        <v>0</v>
      </c>
      <c r="AE148" s="182"/>
      <c r="AF148" s="178"/>
      <c r="AG148" s="182"/>
      <c r="AH148" s="178"/>
      <c r="AJ148" s="182" t="str">
        <f>IF($AJ$135="Y",IFERROR(M148*$F$6*'Emissions Factors'!$B24*$F$21,""),"")</f>
        <v/>
      </c>
      <c r="AK148" s="259">
        <f>IF(AK$135="Y",M148*'Emissions Factors'!$R$36*$F$22/10^6,"")</f>
        <v>28.471303896264384</v>
      </c>
      <c r="AL148" s="180"/>
      <c r="AM148" s="180"/>
      <c r="AO148" s="180">
        <f t="shared" si="44"/>
        <v>28.471303896264384</v>
      </c>
      <c r="AP148" s="180">
        <f t="shared" si="45"/>
        <v>0</v>
      </c>
      <c r="AS148" s="430"/>
      <c r="AT148" s="478">
        <v>2027</v>
      </c>
      <c r="AU148" s="479">
        <f t="shared" si="46"/>
        <v>51.103786667837333</v>
      </c>
      <c r="AV148" s="479">
        <f t="shared" si="46"/>
        <v>0</v>
      </c>
      <c r="AW148" s="430"/>
      <c r="AX148" s="479">
        <f t="shared" si="38"/>
        <v>14.235651948132192</v>
      </c>
      <c r="AY148" s="479">
        <f t="shared" si="38"/>
        <v>0</v>
      </c>
      <c r="AZ148" s="430"/>
      <c r="BA148" s="479">
        <f t="shared" si="39"/>
        <v>36.868134719705139</v>
      </c>
      <c r="BB148" s="479">
        <f t="shared" si="39"/>
        <v>0</v>
      </c>
      <c r="BC148" s="516"/>
      <c r="BE148" s="480">
        <f t="shared" si="40"/>
        <v>0.27856354443283432</v>
      </c>
      <c r="BF148" s="480" t="str">
        <f t="shared" si="41"/>
        <v/>
      </c>
    </row>
    <row r="149" spans="1:58" ht="15.6" x14ac:dyDescent="0.3">
      <c r="A149" s="152">
        <v>2028</v>
      </c>
      <c r="B149" s="178"/>
      <c r="C149" s="182"/>
      <c r="D149" s="183"/>
      <c r="E149" s="179">
        <f t="shared" si="47"/>
        <v>14.894760963235452</v>
      </c>
      <c r="F149" s="183">
        <f t="shared" si="48"/>
        <v>2.5659329661815491</v>
      </c>
      <c r="G149" s="247">
        <f t="shared" si="35"/>
        <v>0.16642094763016249</v>
      </c>
      <c r="H149" s="246"/>
      <c r="I149" s="417"/>
      <c r="J149" s="178"/>
      <c r="K149" s="182"/>
      <c r="L149" s="183"/>
      <c r="M149" s="179">
        <f t="shared" si="36"/>
        <v>18.90327972661451</v>
      </c>
      <c r="N149" s="183">
        <f t="shared" si="49"/>
        <v>3.3938099025710464</v>
      </c>
      <c r="O149" s="247">
        <f t="shared" si="37"/>
        <v>0.21120860772362945</v>
      </c>
      <c r="P149" s="246"/>
      <c r="Q149" s="417"/>
      <c r="R149" s="182"/>
      <c r="S149" s="178"/>
      <c r="T149" s="182"/>
      <c r="U149" s="178"/>
      <c r="V149" s="506"/>
      <c r="W149" s="439" t="str">
        <f>IF($W$135="Y",IFERROR(E149*$F$6*'Emissions Factors'!$B25*$F$21,""),"")</f>
        <v/>
      </c>
      <c r="X149" s="259">
        <f>IF(X$135="Y",E149*'Emissions Factors'!$R$36*$F$22/10^6,"")</f>
        <v>27.342860243299555</v>
      </c>
      <c r="Y149" s="180"/>
      <c r="Z149" s="180"/>
      <c r="AA149" s="509"/>
      <c r="AB149" s="180">
        <f t="shared" si="42"/>
        <v>27.342860243299555</v>
      </c>
      <c r="AC149" s="180">
        <f t="shared" si="43"/>
        <v>0</v>
      </c>
      <c r="AE149" s="182"/>
      <c r="AF149" s="178"/>
      <c r="AG149" s="182"/>
      <c r="AH149" s="178"/>
      <c r="AJ149" s="182" t="str">
        <f>IF($AJ$135="Y",IFERROR(M149*$F$6*'Emissions Factors'!$B25*$F$21,""),"")</f>
        <v/>
      </c>
      <c r="AK149" s="259">
        <f>IF(AK$135="Y",M149*'Emissions Factors'!$R$36*$F$22/10^6,"")</f>
        <v>34.7014454935263</v>
      </c>
      <c r="AL149" s="180"/>
      <c r="AM149" s="180"/>
      <c r="AO149" s="180">
        <f t="shared" si="44"/>
        <v>34.7014454935263</v>
      </c>
      <c r="AP149" s="180">
        <f t="shared" si="45"/>
        <v>0</v>
      </c>
      <c r="AS149" s="430"/>
      <c r="AT149" s="478">
        <v>2028</v>
      </c>
      <c r="AU149" s="479">
        <f t="shared" si="46"/>
        <v>62.044305736825855</v>
      </c>
      <c r="AV149" s="479">
        <f t="shared" si="46"/>
        <v>0</v>
      </c>
      <c r="AW149" s="430"/>
      <c r="AX149" s="479">
        <f t="shared" si="38"/>
        <v>17.35072274676315</v>
      </c>
      <c r="AY149" s="479">
        <f t="shared" si="38"/>
        <v>0</v>
      </c>
      <c r="AZ149" s="430"/>
      <c r="BA149" s="479">
        <f t="shared" si="39"/>
        <v>44.693582990062708</v>
      </c>
      <c r="BB149" s="479">
        <f t="shared" si="39"/>
        <v>0</v>
      </c>
      <c r="BC149" s="516"/>
      <c r="BE149" s="480">
        <f t="shared" si="40"/>
        <v>0.27965052619590808</v>
      </c>
      <c r="BF149" s="480" t="str">
        <f t="shared" si="41"/>
        <v/>
      </c>
    </row>
    <row r="150" spans="1:58" ht="15.6" x14ac:dyDescent="0.3">
      <c r="A150" s="152">
        <v>2029</v>
      </c>
      <c r="B150" s="178"/>
      <c r="C150" s="182"/>
      <c r="D150" s="183"/>
      <c r="E150" s="179">
        <f t="shared" si="47"/>
        <v>17.638321666624254</v>
      </c>
      <c r="F150" s="183">
        <f t="shared" si="48"/>
        <v>2.7435607033888019</v>
      </c>
      <c r="G150" s="247">
        <f t="shared" si="35"/>
        <v>0.16604861038485932</v>
      </c>
      <c r="H150" s="246"/>
      <c r="I150" s="417"/>
      <c r="J150" s="178"/>
      <c r="K150" s="182"/>
      <c r="L150" s="183"/>
      <c r="M150" s="179">
        <f t="shared" si="36"/>
        <v>22.584906521609302</v>
      </c>
      <c r="N150" s="183">
        <f t="shared" si="49"/>
        <v>3.6816267949947914</v>
      </c>
      <c r="O150" s="247">
        <f t="shared" si="37"/>
        <v>0.21261616691577831</v>
      </c>
      <c r="P150" s="246"/>
      <c r="Q150" s="417"/>
      <c r="R150" s="182"/>
      <c r="S150" s="178"/>
      <c r="T150" s="182"/>
      <c r="U150" s="178"/>
      <c r="V150" s="506"/>
      <c r="W150" s="439" t="str">
        <f>IF($W$135="Y",IFERROR(E150*$F$6*'Emissions Factors'!$B26*$F$21,""),"")</f>
        <v/>
      </c>
      <c r="X150" s="259">
        <f>IF(X$135="Y",E150*'Emissions Factors'!$R$36*$F$22/10^6,"")</f>
        <v>32.379315481952368</v>
      </c>
      <c r="Y150" s="180"/>
      <c r="Z150" s="180"/>
      <c r="AA150" s="509"/>
      <c r="AB150" s="180">
        <f t="shared" si="42"/>
        <v>32.379315481952368</v>
      </c>
      <c r="AC150" s="180">
        <f t="shared" si="43"/>
        <v>0</v>
      </c>
      <c r="AE150" s="182"/>
      <c r="AF150" s="178"/>
      <c r="AG150" s="182"/>
      <c r="AH150" s="178"/>
      <c r="AJ150" s="182" t="str">
        <f>IF($AJ$135="Y",IFERROR(M150*$F$6*'Emissions Factors'!$B26*$F$21,""),"")</f>
        <v/>
      </c>
      <c r="AK150" s="259">
        <f>IF(AK$135="Y",M150*'Emissions Factors'!$R$36*$F$22/10^6,"")</f>
        <v>41.459943140585061</v>
      </c>
      <c r="AL150" s="180"/>
      <c r="AM150" s="180"/>
      <c r="AO150" s="180">
        <f t="shared" si="44"/>
        <v>41.459943140585061</v>
      </c>
      <c r="AP150" s="180">
        <f t="shared" si="45"/>
        <v>0</v>
      </c>
      <c r="AS150" s="430"/>
      <c r="AT150" s="478">
        <v>2029</v>
      </c>
      <c r="AU150" s="479">
        <f t="shared" si="46"/>
        <v>73.839258622537429</v>
      </c>
      <c r="AV150" s="479">
        <f t="shared" si="46"/>
        <v>0</v>
      </c>
      <c r="AW150" s="430"/>
      <c r="AX150" s="479">
        <f t="shared" si="38"/>
        <v>20.72997157029253</v>
      </c>
      <c r="AY150" s="479">
        <f t="shared" si="38"/>
        <v>0</v>
      </c>
      <c r="AZ150" s="430"/>
      <c r="BA150" s="479">
        <f t="shared" si="39"/>
        <v>53.109287052244895</v>
      </c>
      <c r="BB150" s="479">
        <f t="shared" si="39"/>
        <v>0</v>
      </c>
      <c r="BC150" s="516"/>
      <c r="BE150" s="480">
        <f t="shared" si="40"/>
        <v>0.2807445789273576</v>
      </c>
      <c r="BF150" s="480" t="str">
        <f t="shared" si="41"/>
        <v/>
      </c>
    </row>
    <row r="151" spans="1:58" ht="15.6" x14ac:dyDescent="0.3">
      <c r="A151" s="152">
        <v>2030</v>
      </c>
      <c r="B151" s="178"/>
      <c r="C151" s="182"/>
      <c r="D151" s="183"/>
      <c r="E151" s="179">
        <f t="shared" si="47"/>
        <v>20.559087140494938</v>
      </c>
      <c r="F151" s="183">
        <f t="shared" si="48"/>
        <v>2.9207654738706843</v>
      </c>
      <c r="G151" s="247">
        <f t="shared" si="35"/>
        <v>0.16565359833195101</v>
      </c>
      <c r="H151" s="246"/>
      <c r="I151" s="417"/>
      <c r="J151" s="178"/>
      <c r="K151" s="182"/>
      <c r="L151" s="183"/>
      <c r="M151" s="179">
        <f t="shared" si="36"/>
        <v>26.561150044171001</v>
      </c>
      <c r="N151" s="183">
        <f t="shared" si="49"/>
        <v>3.976243522561699</v>
      </c>
      <c r="O151" s="247">
        <f t="shared" si="37"/>
        <v>0.21401485633013675</v>
      </c>
      <c r="P151" s="246"/>
      <c r="Q151" s="417"/>
      <c r="R151" s="182"/>
      <c r="S151" s="178"/>
      <c r="T151" s="182"/>
      <c r="U151" s="178"/>
      <c r="V151" s="506"/>
      <c r="W151" s="439" t="str">
        <f>IF($W$135="Y",IFERROR(E151*$F$6*'Emissions Factors'!$B27*$F$21,""),"")</f>
        <v/>
      </c>
      <c r="X151" s="259">
        <f>IF(X$135="Y",E151*'Emissions Factors'!$R$36*$F$22/10^6,"")</f>
        <v>37.741072031965039</v>
      </c>
      <c r="Y151" s="180"/>
      <c r="Z151" s="180"/>
      <c r="AA151" s="509"/>
      <c r="AB151" s="180">
        <f t="shared" si="42"/>
        <v>37.741072031965039</v>
      </c>
      <c r="AC151" s="180">
        <f t="shared" si="43"/>
        <v>0</v>
      </c>
      <c r="AE151" s="182"/>
      <c r="AF151" s="178"/>
      <c r="AG151" s="182"/>
      <c r="AH151" s="178"/>
      <c r="AJ151" s="182" t="str">
        <f>IF($AJ$135="Y",IFERROR(M151*$F$6*'Emissions Factors'!$B27*$F$21,""),"")</f>
        <v/>
      </c>
      <c r="AK151" s="259">
        <f>IF(AK$135="Y",M151*'Emissions Factors'!$R$36*$F$22/10^6,"")</f>
        <v>48.759279544780235</v>
      </c>
      <c r="AL151" s="180"/>
      <c r="AM151" s="180"/>
      <c r="AO151" s="180">
        <f t="shared" si="44"/>
        <v>48.759279544780235</v>
      </c>
      <c r="AP151" s="180">
        <f t="shared" si="45"/>
        <v>0</v>
      </c>
      <c r="AS151" s="430"/>
      <c r="AT151" s="478">
        <v>2030</v>
      </c>
      <c r="AU151" s="479">
        <f t="shared" si="46"/>
        <v>86.500351576745274</v>
      </c>
      <c r="AV151" s="479">
        <f t="shared" si="46"/>
        <v>0</v>
      </c>
      <c r="AW151" s="430"/>
      <c r="AX151" s="479">
        <f t="shared" si="38"/>
        <v>24.379639772390117</v>
      </c>
      <c r="AY151" s="479">
        <f t="shared" si="38"/>
        <v>0</v>
      </c>
      <c r="AZ151" s="430"/>
      <c r="BA151" s="479">
        <f t="shared" si="39"/>
        <v>62.120711804355153</v>
      </c>
      <c r="BB151" s="479">
        <f t="shared" si="39"/>
        <v>0</v>
      </c>
      <c r="BC151" s="516"/>
      <c r="BE151" s="480">
        <f t="shared" si="40"/>
        <v>0.28184440095321339</v>
      </c>
      <c r="BF151" s="480" t="str">
        <f t="shared" si="41"/>
        <v/>
      </c>
    </row>
    <row r="152" spans="1:58" ht="15.6" x14ac:dyDescent="0.3">
      <c r="A152" s="152">
        <v>2031</v>
      </c>
      <c r="B152" s="178"/>
      <c r="C152" s="182"/>
      <c r="D152" s="183"/>
      <c r="E152" s="179">
        <f t="shared" si="47"/>
        <v>23.617390999800516</v>
      </c>
      <c r="F152" s="183">
        <f t="shared" si="48"/>
        <v>3.0583038593055782</v>
      </c>
      <c r="G152" s="247">
        <f t="shared" si="35"/>
        <v>0.16523838320178416</v>
      </c>
      <c r="H152" s="246"/>
      <c r="I152" s="417"/>
      <c r="J152" s="178"/>
      <c r="K152" s="182"/>
      <c r="L152" s="183"/>
      <c r="M152" s="179">
        <f t="shared" si="36"/>
        <v>30.78752166744065</v>
      </c>
      <c r="N152" s="183">
        <f t="shared" si="49"/>
        <v>4.2263716232696495</v>
      </c>
      <c r="O152" s="247">
        <f t="shared" si="37"/>
        <v>0.21540399204809541</v>
      </c>
      <c r="P152" s="246"/>
      <c r="Q152" s="417"/>
      <c r="R152" s="182"/>
      <c r="S152" s="178"/>
      <c r="T152" s="182"/>
      <c r="U152" s="178"/>
      <c r="V152" s="506"/>
      <c r="W152" s="439" t="str">
        <f>IF($W$135="Y",IFERROR(E152*$F$6*'Emissions Factors'!$B28*$F$21,""),"")</f>
        <v/>
      </c>
      <c r="X152" s="259">
        <f>IF(X$135="Y",E152*'Emissions Factors'!$R$36*$F$22/10^6,"")</f>
        <v>43.355312852139399</v>
      </c>
      <c r="Y152" s="180"/>
      <c r="Z152" s="180"/>
      <c r="AA152" s="509"/>
      <c r="AB152" s="180">
        <f t="shared" si="42"/>
        <v>43.355312852139399</v>
      </c>
      <c r="AC152" s="180">
        <f t="shared" si="43"/>
        <v>0</v>
      </c>
      <c r="AE152" s="182"/>
      <c r="AF152" s="178"/>
      <c r="AG152" s="182"/>
      <c r="AH152" s="178"/>
      <c r="AJ152" s="182" t="str">
        <f>IF($AJ$135="Y",IFERROR(M152*$F$6*'Emissions Factors'!$B28*$F$21,""),"")</f>
        <v/>
      </c>
      <c r="AK152" s="259">
        <f>IF(AK$135="Y",M152*'Emissions Factors'!$R$36*$F$22/10^6,"")</f>
        <v>56.517785298350027</v>
      </c>
      <c r="AL152" s="180"/>
      <c r="AM152" s="180"/>
      <c r="AO152" s="180">
        <f t="shared" si="44"/>
        <v>56.517785298350027</v>
      </c>
      <c r="AP152" s="180">
        <f t="shared" si="45"/>
        <v>0</v>
      </c>
      <c r="AS152" s="430"/>
      <c r="AT152" s="478">
        <v>2031</v>
      </c>
      <c r="AU152" s="479">
        <f t="shared" si="46"/>
        <v>99.873098150489426</v>
      </c>
      <c r="AV152" s="479">
        <f t="shared" si="46"/>
        <v>0</v>
      </c>
      <c r="AW152" s="430"/>
      <c r="AX152" s="479">
        <f t="shared" si="38"/>
        <v>28.258892649175014</v>
      </c>
      <c r="AY152" s="479">
        <f t="shared" si="38"/>
        <v>0</v>
      </c>
      <c r="AZ152" s="430"/>
      <c r="BA152" s="479">
        <f t="shared" si="39"/>
        <v>71.614205501314416</v>
      </c>
      <c r="BB152" s="479">
        <f t="shared" si="39"/>
        <v>0</v>
      </c>
      <c r="BC152" s="516"/>
      <c r="BE152" s="480">
        <f t="shared" si="40"/>
        <v>0.28294799272767462</v>
      </c>
      <c r="BF152" s="480" t="str">
        <f t="shared" si="41"/>
        <v/>
      </c>
    </row>
    <row r="153" spans="1:58" ht="15.6" x14ac:dyDescent="0.3">
      <c r="A153" s="152">
        <v>2032</v>
      </c>
      <c r="B153" s="178"/>
      <c r="C153" s="182"/>
      <c r="D153" s="183"/>
      <c r="E153" s="179">
        <f t="shared" si="47"/>
        <v>26.819624518766219</v>
      </c>
      <c r="F153" s="183">
        <f t="shared" si="48"/>
        <v>3.2022335189657021</v>
      </c>
      <c r="G153" s="247">
        <f t="shared" si="35"/>
        <v>0.1648036222510921</v>
      </c>
      <c r="H153" s="246"/>
      <c r="I153" s="417"/>
      <c r="J153" s="178"/>
      <c r="K153" s="182"/>
      <c r="L153" s="183"/>
      <c r="M153" s="179">
        <f t="shared" si="36"/>
        <v>35.277717224445233</v>
      </c>
      <c r="N153" s="183">
        <f t="shared" si="49"/>
        <v>4.4901955570045828</v>
      </c>
      <c r="O153" s="247">
        <f t="shared" si="37"/>
        <v>0.21677766514852662</v>
      </c>
      <c r="P153" s="246"/>
      <c r="Q153" s="417"/>
      <c r="R153" s="182"/>
      <c r="S153" s="178"/>
      <c r="T153" s="182"/>
      <c r="U153" s="178"/>
      <c r="V153" s="506"/>
      <c r="W153" s="439" t="str">
        <f>IF($W$135="Y",IFERROR(E153*$F$6*'Emissions Factors'!$B29*$F$21,""),"")</f>
        <v/>
      </c>
      <c r="X153" s="259">
        <f>IF(X$135="Y",E153*'Emissions Factors'!$R$36*$F$22/10^6,"")</f>
        <v>49.233770639518958</v>
      </c>
      <c r="Y153" s="180"/>
      <c r="Z153" s="180"/>
      <c r="AA153" s="509"/>
      <c r="AB153" s="180">
        <f t="shared" si="42"/>
        <v>49.233770639518958</v>
      </c>
      <c r="AC153" s="180">
        <f t="shared" si="43"/>
        <v>0</v>
      </c>
      <c r="AE153" s="182"/>
      <c r="AF153" s="178"/>
      <c r="AG153" s="182"/>
      <c r="AH153" s="178"/>
      <c r="AJ153" s="182" t="str">
        <f>IF($AJ$135="Y",IFERROR(M153*$F$6*'Emissions Factors'!$B29*$F$21,""),"")</f>
        <v/>
      </c>
      <c r="AK153" s="259">
        <f>IF(AK$135="Y",M153*'Emissions Factors'!$R$36*$F$22/10^6,"")</f>
        <v>64.760602345451659</v>
      </c>
      <c r="AL153" s="180"/>
      <c r="AM153" s="180"/>
      <c r="AO153" s="180">
        <f t="shared" si="44"/>
        <v>64.760602345451659</v>
      </c>
      <c r="AP153" s="180">
        <f t="shared" si="45"/>
        <v>0</v>
      </c>
      <c r="AS153" s="430"/>
      <c r="AT153" s="478">
        <v>2032</v>
      </c>
      <c r="AU153" s="479">
        <f t="shared" si="46"/>
        <v>113.99437298497062</v>
      </c>
      <c r="AV153" s="479">
        <f t="shared" si="46"/>
        <v>0</v>
      </c>
      <c r="AW153" s="430"/>
      <c r="AX153" s="479">
        <f t="shared" si="38"/>
        <v>32.380301172725829</v>
      </c>
      <c r="AY153" s="479">
        <f t="shared" si="38"/>
        <v>0</v>
      </c>
      <c r="AZ153" s="430"/>
      <c r="BA153" s="479">
        <f t="shared" si="39"/>
        <v>81.614071812244788</v>
      </c>
      <c r="BB153" s="479">
        <f t="shared" si="39"/>
        <v>0</v>
      </c>
      <c r="BC153" s="516"/>
      <c r="BE153" s="480">
        <f t="shared" si="40"/>
        <v>0.28405175031749114</v>
      </c>
      <c r="BF153" s="480" t="str">
        <f t="shared" si="41"/>
        <v/>
      </c>
    </row>
    <row r="154" spans="1:58" ht="15.6" x14ac:dyDescent="0.3">
      <c r="A154" s="152">
        <v>2033</v>
      </c>
      <c r="B154" s="178"/>
      <c r="C154" s="182"/>
      <c r="D154" s="183"/>
      <c r="E154" s="179">
        <f t="shared" si="47"/>
        <v>30.122661471496176</v>
      </c>
      <c r="F154" s="183">
        <f t="shared" si="48"/>
        <v>3.3030369527299577</v>
      </c>
      <c r="G154" s="247">
        <f t="shared" si="35"/>
        <v>0.16435033008462877</v>
      </c>
      <c r="H154" s="246"/>
      <c r="I154" s="417"/>
      <c r="J154" s="178"/>
      <c r="K154" s="182"/>
      <c r="L154" s="183"/>
      <c r="M154" s="179">
        <f t="shared" si="36"/>
        <v>39.978980486702362</v>
      </c>
      <c r="N154" s="183">
        <f t="shared" si="49"/>
        <v>4.7012632622571289</v>
      </c>
      <c r="O154" s="247">
        <f t="shared" si="37"/>
        <v>0.2181267629905117</v>
      </c>
      <c r="P154" s="246"/>
      <c r="Q154" s="417"/>
      <c r="R154" s="182"/>
      <c r="S154" s="178"/>
      <c r="T154" s="182"/>
      <c r="U154" s="178"/>
      <c r="V154" s="506"/>
      <c r="W154" s="439" t="str">
        <f>IF($W$135="Y",IFERROR(E154*$F$6*'Emissions Factors'!$B30*$F$21,""),"")</f>
        <v/>
      </c>
      <c r="X154" s="259">
        <f>IF(X$135="Y",E154*'Emissions Factors'!$R$36*$F$22/10^6,"")</f>
        <v>55.297276995872814</v>
      </c>
      <c r="Y154" s="180"/>
      <c r="Z154" s="180"/>
      <c r="AA154" s="509"/>
      <c r="AB154" s="180">
        <f t="shared" si="42"/>
        <v>55.297276995872814</v>
      </c>
      <c r="AC154" s="180">
        <f t="shared" si="43"/>
        <v>0</v>
      </c>
      <c r="AE154" s="182"/>
      <c r="AF154" s="178"/>
      <c r="AG154" s="182"/>
      <c r="AH154" s="178"/>
      <c r="AJ154" s="182" t="str">
        <f>IF($AJ$135="Y",IFERROR(M154*$F$6*'Emissions Factors'!$B30*$F$21,""),"")</f>
        <v/>
      </c>
      <c r="AK154" s="259">
        <f>IF(AK$135="Y",M154*'Emissions Factors'!$R$36*$F$22/10^6,"")</f>
        <v>73.390884138099651</v>
      </c>
      <c r="AL154" s="180"/>
      <c r="AM154" s="180"/>
      <c r="AO154" s="180">
        <f t="shared" si="44"/>
        <v>73.390884138099651</v>
      </c>
      <c r="AP154" s="180">
        <f t="shared" si="45"/>
        <v>0</v>
      </c>
      <c r="AS154" s="430"/>
      <c r="AT154" s="478">
        <v>2033</v>
      </c>
      <c r="AU154" s="479">
        <f t="shared" si="46"/>
        <v>128.68816113397247</v>
      </c>
      <c r="AV154" s="479">
        <f t="shared" si="46"/>
        <v>0</v>
      </c>
      <c r="AW154" s="430"/>
      <c r="AX154" s="479">
        <f t="shared" si="38"/>
        <v>36.695442069049825</v>
      </c>
      <c r="AY154" s="479">
        <f t="shared" si="38"/>
        <v>0</v>
      </c>
      <c r="AZ154" s="430"/>
      <c r="BA154" s="479">
        <f t="shared" si="39"/>
        <v>91.992719064922653</v>
      </c>
      <c r="BB154" s="479">
        <f t="shared" si="39"/>
        <v>0</v>
      </c>
      <c r="BC154" s="516"/>
      <c r="BE154" s="480">
        <f t="shared" si="40"/>
        <v>0.28515010041092714</v>
      </c>
      <c r="BF154" s="480" t="str">
        <f t="shared" si="41"/>
        <v/>
      </c>
    </row>
    <row r="155" spans="1:58" ht="15.6" x14ac:dyDescent="0.3">
      <c r="A155" s="152">
        <v>2034</v>
      </c>
      <c r="B155" s="178"/>
      <c r="C155" s="182"/>
      <c r="D155" s="183"/>
      <c r="E155" s="179">
        <f t="shared" si="47"/>
        <v>33.472486189249125</v>
      </c>
      <c r="F155" s="183">
        <f t="shared" si="48"/>
        <v>3.3498247177529485</v>
      </c>
      <c r="G155" s="247">
        <f t="shared" si="35"/>
        <v>0.1638817750271119</v>
      </c>
      <c r="H155" s="246"/>
      <c r="I155" s="417"/>
      <c r="J155" s="178"/>
      <c r="K155" s="182"/>
      <c r="L155" s="183"/>
      <c r="M155" s="179">
        <f t="shared" si="36"/>
        <v>44.820878973614462</v>
      </c>
      <c r="N155" s="183">
        <f t="shared" si="49"/>
        <v>4.8418984869121005</v>
      </c>
      <c r="O155" s="247">
        <f t="shared" si="37"/>
        <v>0.21944366973345728</v>
      </c>
      <c r="P155" s="246"/>
      <c r="Q155" s="417"/>
      <c r="R155" s="182"/>
      <c r="S155" s="178"/>
      <c r="T155" s="182"/>
      <c r="U155" s="178"/>
      <c r="V155" s="506"/>
      <c r="W155" s="439" t="str">
        <f>IF($W$135="Y",IFERROR(E155*$F$6*'Emissions Factors'!$B31*$F$21,""),"")</f>
        <v/>
      </c>
      <c r="X155" s="259">
        <f>IF(X$135="Y",E155*'Emissions Factors'!$R$36*$F$22/10^6,"")</f>
        <v>61.446673372434276</v>
      </c>
      <c r="Y155" s="180"/>
      <c r="Z155" s="180"/>
      <c r="AA155" s="509"/>
      <c r="AB155" s="180">
        <f t="shared" si="42"/>
        <v>61.446673372434276</v>
      </c>
      <c r="AC155" s="180">
        <f t="shared" si="43"/>
        <v>0</v>
      </c>
      <c r="AE155" s="182"/>
      <c r="AF155" s="178"/>
      <c r="AG155" s="182"/>
      <c r="AH155" s="178"/>
      <c r="AJ155" s="182" t="str">
        <f>IF($AJ$135="Y",IFERROR(M155*$F$6*'Emissions Factors'!$B31*$F$21,""),"")</f>
        <v/>
      </c>
      <c r="AK155" s="259">
        <f>IF(AK$135="Y",M155*'Emissions Factors'!$R$36*$F$22/10^6,"")</f>
        <v>82.279335182507893</v>
      </c>
      <c r="AL155" s="180"/>
      <c r="AM155" s="180"/>
      <c r="AO155" s="180">
        <f t="shared" si="44"/>
        <v>82.279335182507893</v>
      </c>
      <c r="AP155" s="180">
        <f t="shared" si="45"/>
        <v>0</v>
      </c>
      <c r="AS155" s="430"/>
      <c r="AT155" s="478">
        <v>2034</v>
      </c>
      <c r="AU155" s="479">
        <f t="shared" si="46"/>
        <v>143.72600855494215</v>
      </c>
      <c r="AV155" s="479">
        <f t="shared" si="46"/>
        <v>0</v>
      </c>
      <c r="AW155" s="430"/>
      <c r="AX155" s="479">
        <f t="shared" si="38"/>
        <v>41.139667591253946</v>
      </c>
      <c r="AY155" s="479">
        <f t="shared" si="38"/>
        <v>0</v>
      </c>
      <c r="AZ155" s="430"/>
      <c r="BA155" s="479">
        <f t="shared" si="39"/>
        <v>102.5863409636882</v>
      </c>
      <c r="BB155" s="479">
        <f t="shared" si="39"/>
        <v>0</v>
      </c>
      <c r="BC155" s="516"/>
      <c r="BE155" s="480">
        <f t="shared" si="40"/>
        <v>0.2862367639989632</v>
      </c>
      <c r="BF155" s="480" t="str">
        <f t="shared" si="41"/>
        <v/>
      </c>
    </row>
    <row r="156" spans="1:58" ht="15.6" x14ac:dyDescent="0.3">
      <c r="A156" s="152">
        <v>2035</v>
      </c>
      <c r="B156" s="178"/>
      <c r="C156" s="182"/>
      <c r="D156" s="183"/>
      <c r="E156" s="179">
        <f t="shared" si="47"/>
        <v>36.830579565449746</v>
      </c>
      <c r="F156" s="183">
        <f t="shared" si="48"/>
        <v>3.3580933762006211</v>
      </c>
      <c r="G156" s="247">
        <f t="shared" si="35"/>
        <v>0.16340371278055513</v>
      </c>
      <c r="H156" s="246"/>
      <c r="I156" s="417"/>
      <c r="J156" s="178"/>
      <c r="K156" s="182"/>
      <c r="L156" s="183"/>
      <c r="M156" s="179">
        <f t="shared" si="36"/>
        <v>49.751139456125991</v>
      </c>
      <c r="N156" s="183">
        <f t="shared" si="49"/>
        <v>4.9302604825115282</v>
      </c>
      <c r="O156" s="247">
        <f t="shared" si="37"/>
        <v>0.22072747695288361</v>
      </c>
      <c r="P156" s="246"/>
      <c r="Q156" s="417"/>
      <c r="R156" s="182"/>
      <c r="S156" s="178"/>
      <c r="T156" s="182"/>
      <c r="U156" s="178"/>
      <c r="V156" s="506"/>
      <c r="W156" s="439" t="str">
        <f>IF($W$135="Y",IFERROR(E156*$F$6*'Emissions Factors'!$B32*$F$21,""),"")</f>
        <v/>
      </c>
      <c r="X156" s="259">
        <f>IF(X$135="Y",E156*'Emissions Factors'!$R$36*$F$22/10^6,"")</f>
        <v>67.611248829270494</v>
      </c>
      <c r="Y156" s="180"/>
      <c r="Z156" s="180"/>
      <c r="AA156" s="509"/>
      <c r="AB156" s="180">
        <f t="shared" si="42"/>
        <v>67.611248829270494</v>
      </c>
      <c r="AC156" s="180">
        <f t="shared" si="43"/>
        <v>0</v>
      </c>
      <c r="AE156" s="182"/>
      <c r="AF156" s="178"/>
      <c r="AG156" s="182"/>
      <c r="AH156" s="178"/>
      <c r="AJ156" s="182" t="str">
        <f>IF($AJ$135="Y",IFERROR(M156*$F$6*'Emissions Factors'!$B32*$F$21,""),"")</f>
        <v/>
      </c>
      <c r="AK156" s="259">
        <f>IF(AK$135="Y",M156*'Emissions Factors'!$R$36*$F$22/10^6,"")</f>
        <v>91.329995590494221</v>
      </c>
      <c r="AL156" s="180"/>
      <c r="AM156" s="180"/>
      <c r="AO156" s="180">
        <f t="shared" si="44"/>
        <v>91.329995590494221</v>
      </c>
      <c r="AP156" s="180">
        <f t="shared" si="45"/>
        <v>0</v>
      </c>
      <c r="AS156" s="430"/>
      <c r="AT156" s="478">
        <v>2035</v>
      </c>
      <c r="AU156" s="479">
        <f t="shared" si="46"/>
        <v>158.9412444197647</v>
      </c>
      <c r="AV156" s="479">
        <f t="shared" si="46"/>
        <v>0</v>
      </c>
      <c r="AW156" s="430"/>
      <c r="AX156" s="479">
        <f t="shared" si="38"/>
        <v>45.66499779524711</v>
      </c>
      <c r="AY156" s="479">
        <f t="shared" si="38"/>
        <v>0</v>
      </c>
      <c r="AZ156" s="430"/>
      <c r="BA156" s="479">
        <f t="shared" si="39"/>
        <v>113.2762466245176</v>
      </c>
      <c r="BB156" s="479">
        <f t="shared" si="39"/>
        <v>0</v>
      </c>
      <c r="BC156" s="516"/>
      <c r="BE156" s="480">
        <f t="shared" si="40"/>
        <v>0.28730741326427267</v>
      </c>
      <c r="BF156" s="480" t="str">
        <f t="shared" si="41"/>
        <v/>
      </c>
    </row>
    <row r="157" spans="1:58" ht="15.6" x14ac:dyDescent="0.3">
      <c r="A157" s="152">
        <v>2036</v>
      </c>
      <c r="B157" s="178"/>
      <c r="C157" s="182"/>
      <c r="D157" s="183"/>
      <c r="E157" s="179">
        <f t="shared" si="47"/>
        <v>40.181153720345073</v>
      </c>
      <c r="F157" s="183">
        <f t="shared" si="48"/>
        <v>3.3505741548953267</v>
      </c>
      <c r="G157" s="247">
        <f t="shared" si="35"/>
        <v>0.16292231366657392</v>
      </c>
      <c r="H157" s="246"/>
      <c r="I157" s="417"/>
      <c r="J157" s="178"/>
      <c r="K157" s="182"/>
      <c r="L157" s="183"/>
      <c r="M157" s="179">
        <f t="shared" si="36"/>
        <v>54.74713785662459</v>
      </c>
      <c r="N157" s="183">
        <f t="shared" si="49"/>
        <v>4.9959984004985998</v>
      </c>
      <c r="O157" s="247">
        <f t="shared" si="37"/>
        <v>0.22198293330009328</v>
      </c>
      <c r="P157" s="246"/>
      <c r="Q157" s="417"/>
      <c r="R157" s="182"/>
      <c r="S157" s="178"/>
      <c r="T157" s="182"/>
      <c r="U157" s="178"/>
      <c r="V157" s="506"/>
      <c r="W157" s="439" t="str">
        <f>IF($W$135="Y",IFERROR(E157*$F$6*'Emissions Factors'!$B33*$F$21,""),"")</f>
        <v/>
      </c>
      <c r="X157" s="259">
        <f>IF(X$135="Y",E157*'Emissions Factors'!$R$36*$F$22/10^6,"")</f>
        <v>73.762020975144125</v>
      </c>
      <c r="Y157" s="180"/>
      <c r="Z157" s="180"/>
      <c r="AA157" s="509"/>
      <c r="AB157" s="180">
        <f t="shared" si="42"/>
        <v>73.762020975144125</v>
      </c>
      <c r="AC157" s="180">
        <f t="shared" si="43"/>
        <v>0</v>
      </c>
      <c r="AE157" s="182"/>
      <c r="AF157" s="178"/>
      <c r="AG157" s="182"/>
      <c r="AH157" s="178"/>
      <c r="AJ157" s="182" t="str">
        <f>IF($AJ$135="Y",IFERROR(M157*$F$6*'Emissions Factors'!$B33*$F$21,""),"")</f>
        <v/>
      </c>
      <c r="AK157" s="259">
        <f>IF(AK$135="Y",M157*'Emissions Factors'!$R$36*$F$22/10^6,"")</f>
        <v>100.50133351110679</v>
      </c>
      <c r="AL157" s="180"/>
      <c r="AM157" s="180"/>
      <c r="AO157" s="180">
        <f t="shared" si="44"/>
        <v>100.50133351110679</v>
      </c>
      <c r="AP157" s="180">
        <f t="shared" si="45"/>
        <v>0</v>
      </c>
      <c r="AS157" s="430"/>
      <c r="AT157" s="478">
        <v>2036</v>
      </c>
      <c r="AU157" s="479">
        <f t="shared" si="46"/>
        <v>174.26335448625093</v>
      </c>
      <c r="AV157" s="479">
        <f t="shared" si="46"/>
        <v>0</v>
      </c>
      <c r="AW157" s="430"/>
      <c r="AX157" s="479">
        <f t="shared" si="38"/>
        <v>50.250666755553397</v>
      </c>
      <c r="AY157" s="479">
        <f t="shared" si="38"/>
        <v>0</v>
      </c>
      <c r="AZ157" s="430"/>
      <c r="BA157" s="479">
        <f t="shared" si="39"/>
        <v>124.01268773069754</v>
      </c>
      <c r="BB157" s="479">
        <f t="shared" si="39"/>
        <v>0</v>
      </c>
      <c r="BC157" s="516"/>
      <c r="BE157" s="480">
        <f t="shared" si="40"/>
        <v>0.28836049267901637</v>
      </c>
      <c r="BF157" s="480" t="str">
        <f t="shared" si="41"/>
        <v/>
      </c>
    </row>
    <row r="158" spans="1:58" ht="15.6" x14ac:dyDescent="0.3">
      <c r="A158" s="152">
        <v>2037</v>
      </c>
      <c r="B158" s="178"/>
      <c r="C158" s="182"/>
      <c r="D158" s="183"/>
      <c r="E158" s="179">
        <f t="shared" si="47"/>
        <v>43.532583241724417</v>
      </c>
      <c r="F158" s="183">
        <f t="shared" si="48"/>
        <v>3.3514295213793446</v>
      </c>
      <c r="G158" s="247">
        <f t="shared" si="35"/>
        <v>0.16244203738392982</v>
      </c>
      <c r="H158" s="246"/>
      <c r="I158" s="417"/>
      <c r="J158" s="178"/>
      <c r="K158" s="182"/>
      <c r="L158" s="183"/>
      <c r="M158" s="179">
        <f t="shared" si="36"/>
        <v>59.819561386910465</v>
      </c>
      <c r="N158" s="183">
        <f t="shared" si="49"/>
        <v>5.0724235302858744</v>
      </c>
      <c r="O158" s="247">
        <f t="shared" si="37"/>
        <v>0.22321697228822376</v>
      </c>
      <c r="P158" s="246"/>
      <c r="Q158" s="417"/>
      <c r="R158" s="182"/>
      <c r="S158" s="178"/>
      <c r="T158" s="182"/>
      <c r="U158" s="178"/>
      <c r="V158" s="506"/>
      <c r="W158" s="439" t="str">
        <f>IF($W$135="Y",IFERROR(E158*$F$6*'Emissions Factors'!$B34*$F$21,""),"")</f>
        <v/>
      </c>
      <c r="X158" s="259">
        <f>IF(X$135="Y",E158*'Emissions Factors'!$R$36*$F$22/10^6,"")</f>
        <v>79.914363348716392</v>
      </c>
      <c r="Y158" s="180"/>
      <c r="Z158" s="180"/>
      <c r="AA158" s="509"/>
      <c r="AB158" s="180">
        <f t="shared" si="42"/>
        <v>79.914363348716392</v>
      </c>
      <c r="AC158" s="180">
        <f t="shared" si="43"/>
        <v>0</v>
      </c>
      <c r="AE158" s="182"/>
      <c r="AF158" s="178"/>
      <c r="AG158" s="182"/>
      <c r="AH158" s="178"/>
      <c r="AJ158" s="182" t="str">
        <f>IF($AJ$135="Y",IFERROR(M158*$F$6*'Emissions Factors'!$B34*$F$21,""),"")</f>
        <v/>
      </c>
      <c r="AK158" s="259">
        <f>IF(AK$135="Y",M158*'Emissions Factors'!$R$36*$F$22/10^6,"")</f>
        <v>109.81296785191755</v>
      </c>
      <c r="AL158" s="180"/>
      <c r="AM158" s="180"/>
      <c r="AO158" s="180">
        <f t="shared" si="44"/>
        <v>109.81296785191755</v>
      </c>
      <c r="AP158" s="180">
        <f t="shared" si="45"/>
        <v>0</v>
      </c>
      <c r="AS158" s="430"/>
      <c r="AT158" s="478">
        <v>2037</v>
      </c>
      <c r="AU158" s="479">
        <f t="shared" si="46"/>
        <v>189.72733120063396</v>
      </c>
      <c r="AV158" s="479">
        <f t="shared" si="46"/>
        <v>0</v>
      </c>
      <c r="AW158" s="430"/>
      <c r="AX158" s="479">
        <f t="shared" si="38"/>
        <v>54.906483925958774</v>
      </c>
      <c r="AY158" s="479">
        <f t="shared" si="38"/>
        <v>0</v>
      </c>
      <c r="AZ158" s="430"/>
      <c r="BA158" s="479">
        <f t="shared" si="39"/>
        <v>134.82084727467517</v>
      </c>
      <c r="BB158" s="479">
        <f t="shared" si="39"/>
        <v>0</v>
      </c>
      <c r="BC158" s="516"/>
      <c r="BE158" s="480">
        <f t="shared" si="40"/>
        <v>0.28939680739985718</v>
      </c>
      <c r="BF158" s="480" t="str">
        <f t="shared" si="41"/>
        <v/>
      </c>
    </row>
    <row r="159" spans="1:58" ht="15.6" x14ac:dyDescent="0.3">
      <c r="A159" s="152">
        <v>2038</v>
      </c>
      <c r="B159" s="178"/>
      <c r="C159" s="182"/>
      <c r="D159" s="183"/>
      <c r="E159" s="179">
        <f t="shared" si="47"/>
        <v>46.901766163157163</v>
      </c>
      <c r="F159" s="183">
        <f t="shared" si="48"/>
        <v>3.3691829214327456</v>
      </c>
      <c r="G159" s="247">
        <f t="shared" si="35"/>
        <v>0.16196467940392276</v>
      </c>
      <c r="H159" s="246"/>
      <c r="I159" s="417"/>
      <c r="J159" s="178"/>
      <c r="K159" s="182"/>
      <c r="L159" s="183"/>
      <c r="M159" s="179">
        <f t="shared" si="36"/>
        <v>64.991652369438029</v>
      </c>
      <c r="N159" s="183">
        <f t="shared" si="49"/>
        <v>5.1720909825275641</v>
      </c>
      <c r="O159" s="247">
        <f t="shared" si="37"/>
        <v>0.22443402458084857</v>
      </c>
      <c r="P159" s="246"/>
      <c r="Q159" s="417"/>
      <c r="R159" s="182"/>
      <c r="S159" s="178"/>
      <c r="T159" s="182"/>
      <c r="U159" s="178"/>
      <c r="V159" s="506"/>
      <c r="W159" s="439" t="str">
        <f>IF($W$135="Y",IFERROR(E159*$F$6*'Emissions Factors'!$B35*$F$21,""),"")</f>
        <v/>
      </c>
      <c r="X159" s="259">
        <f>IF(X$135="Y",E159*'Emissions Factors'!$R$36*$F$22/10^6,"")</f>
        <v>86.099296291395618</v>
      </c>
      <c r="Y159" s="180"/>
      <c r="Z159" s="180"/>
      <c r="AA159" s="509"/>
      <c r="AB159" s="180">
        <f t="shared" si="42"/>
        <v>86.099296291395618</v>
      </c>
      <c r="AC159" s="180">
        <f t="shared" si="43"/>
        <v>0</v>
      </c>
      <c r="AE159" s="182"/>
      <c r="AF159" s="178"/>
      <c r="AG159" s="182"/>
      <c r="AH159" s="178"/>
      <c r="AJ159" s="182" t="str">
        <f>IF($AJ$135="Y",IFERROR(M159*$F$6*'Emissions Factors'!$B35*$F$21,""),"")</f>
        <v/>
      </c>
      <c r="AK159" s="259">
        <f>IF(AK$135="Y",M159*'Emissions Factors'!$R$36*$F$22/10^6,"")</f>
        <v>119.30756539866206</v>
      </c>
      <c r="AL159" s="180"/>
      <c r="AM159" s="180"/>
      <c r="AO159" s="180">
        <f t="shared" si="44"/>
        <v>119.30756539866206</v>
      </c>
      <c r="AP159" s="180">
        <f t="shared" si="45"/>
        <v>0</v>
      </c>
      <c r="AS159" s="430"/>
      <c r="AT159" s="478">
        <v>2038</v>
      </c>
      <c r="AU159" s="479">
        <f t="shared" si="46"/>
        <v>205.40686169005767</v>
      </c>
      <c r="AV159" s="479">
        <f t="shared" si="46"/>
        <v>0</v>
      </c>
      <c r="AW159" s="430"/>
      <c r="AX159" s="479">
        <f t="shared" si="38"/>
        <v>59.653782699331032</v>
      </c>
      <c r="AY159" s="479">
        <f t="shared" si="38"/>
        <v>0</v>
      </c>
      <c r="AZ159" s="430"/>
      <c r="BA159" s="479">
        <f t="shared" si="39"/>
        <v>145.75307899072664</v>
      </c>
      <c r="BB159" s="479">
        <f t="shared" si="39"/>
        <v>0</v>
      </c>
      <c r="BC159" s="516"/>
      <c r="BE159" s="480">
        <f t="shared" si="40"/>
        <v>0.29041767255732559</v>
      </c>
      <c r="BF159" s="480" t="str">
        <f t="shared" si="41"/>
        <v/>
      </c>
    </row>
    <row r="160" spans="1:58" ht="15.6" x14ac:dyDescent="0.3">
      <c r="A160" s="152">
        <v>2039</v>
      </c>
      <c r="B160" s="178"/>
      <c r="C160" s="182"/>
      <c r="D160" s="183"/>
      <c r="E160" s="179">
        <f t="shared" si="47"/>
        <v>50.317112649311511</v>
      </c>
      <c r="F160" s="183">
        <f t="shared" si="48"/>
        <v>3.4153464861543483</v>
      </c>
      <c r="G160" s="247">
        <f t="shared" si="35"/>
        <v>0.16149032286434056</v>
      </c>
      <c r="H160" s="246"/>
      <c r="I160" s="417"/>
      <c r="J160" s="178"/>
      <c r="K160" s="182"/>
      <c r="L160" s="183"/>
      <c r="M160" s="179">
        <f t="shared" si="36"/>
        <v>70.304257423950958</v>
      </c>
      <c r="N160" s="183">
        <f t="shared" si="49"/>
        <v>5.3126050545129289</v>
      </c>
      <c r="O160" s="247">
        <f t="shared" si="37"/>
        <v>0.22563809074777863</v>
      </c>
      <c r="P160" s="246"/>
      <c r="Q160" s="417"/>
      <c r="R160" s="182"/>
      <c r="S160" s="178"/>
      <c r="T160" s="182"/>
      <c r="U160" s="178"/>
      <c r="V160" s="506"/>
      <c r="W160" s="439" t="str">
        <f>IF($W$135="Y",IFERROR(E160*$F$6*'Emissions Factors'!$B36*$F$21,""),"")</f>
        <v/>
      </c>
      <c r="X160" s="259">
        <f>IF(X$135="Y",E160*'Emissions Factors'!$R$36*$F$22/10^6,"")</f>
        <v>92.368973386843095</v>
      </c>
      <c r="Y160" s="180"/>
      <c r="Z160" s="180"/>
      <c r="AA160" s="509"/>
      <c r="AB160" s="180">
        <f t="shared" si="42"/>
        <v>92.368973386843095</v>
      </c>
      <c r="AC160" s="180">
        <f t="shared" si="43"/>
        <v>0</v>
      </c>
      <c r="AE160" s="182"/>
      <c r="AF160" s="178"/>
      <c r="AG160" s="182"/>
      <c r="AH160" s="178"/>
      <c r="AJ160" s="182" t="str">
        <f>IF($AJ$135="Y",IFERROR(M160*$F$6*'Emissions Factors'!$B36*$F$21,""),"")</f>
        <v/>
      </c>
      <c r="AK160" s="259">
        <f>IF(AK$135="Y",M160*'Emissions Factors'!$R$36*$F$22/10^6,"")</f>
        <v>129.06010979275752</v>
      </c>
      <c r="AL160" s="180"/>
      <c r="AM160" s="180"/>
      <c r="AO160" s="180">
        <f t="shared" si="44"/>
        <v>129.06010979275752</v>
      </c>
      <c r="AP160" s="180">
        <f t="shared" si="45"/>
        <v>0</v>
      </c>
      <c r="AS160" s="430"/>
      <c r="AT160" s="478">
        <v>2039</v>
      </c>
      <c r="AU160" s="479">
        <f t="shared" si="46"/>
        <v>221.42908317960061</v>
      </c>
      <c r="AV160" s="479">
        <f t="shared" si="46"/>
        <v>0</v>
      </c>
      <c r="AW160" s="430"/>
      <c r="AX160" s="479">
        <f t="shared" si="38"/>
        <v>64.530054896378758</v>
      </c>
      <c r="AY160" s="479">
        <f t="shared" si="38"/>
        <v>0</v>
      </c>
      <c r="AZ160" s="430"/>
      <c r="BA160" s="479">
        <f t="shared" si="39"/>
        <v>156.89902828322187</v>
      </c>
      <c r="BB160" s="479">
        <f t="shared" si="39"/>
        <v>0</v>
      </c>
      <c r="BC160" s="516"/>
      <c r="BE160" s="480">
        <f t="shared" si="40"/>
        <v>0.29142538084772984</v>
      </c>
      <c r="BF160" s="480" t="str">
        <f t="shared" si="41"/>
        <v/>
      </c>
    </row>
    <row r="161" spans="1:58" ht="15.6" x14ac:dyDescent="0.3">
      <c r="A161" s="152">
        <v>2040</v>
      </c>
      <c r="B161" s="178"/>
      <c r="C161" s="182"/>
      <c r="D161" s="183"/>
      <c r="E161" s="179">
        <f t="shared" si="47"/>
        <v>53.801762525140717</v>
      </c>
      <c r="F161" s="183">
        <f t="shared" si="48"/>
        <v>3.4846498758292057</v>
      </c>
      <c r="G161" s="247">
        <f t="shared" si="35"/>
        <v>0.1610182099100958</v>
      </c>
      <c r="H161" s="246"/>
      <c r="I161" s="417"/>
      <c r="J161" s="178"/>
      <c r="K161" s="182"/>
      <c r="L161" s="183"/>
      <c r="M161" s="179">
        <f t="shared" si="36"/>
        <v>75.792196735468224</v>
      </c>
      <c r="N161" s="183">
        <f t="shared" si="49"/>
        <v>5.4879393115172661</v>
      </c>
      <c r="O161" s="247">
        <f t="shared" si="37"/>
        <v>0.22683130200049112</v>
      </c>
      <c r="P161" s="246"/>
      <c r="Q161" s="417"/>
      <c r="R161" s="182"/>
      <c r="S161" s="178"/>
      <c r="T161" s="182"/>
      <c r="U161" s="178"/>
      <c r="V161" s="506"/>
      <c r="W161" s="439" t="str">
        <f>IF($W$135="Y",IFERROR(E161*$F$6*'Emissions Factors'!$B37*$F$21,""),"")</f>
        <v/>
      </c>
      <c r="X161" s="259">
        <f>IF(X$135="Y",E161*'Emissions Factors'!$R$36*$F$22/10^6,"")</f>
        <v>98.765873262363641</v>
      </c>
      <c r="Y161" s="180"/>
      <c r="Z161" s="180"/>
      <c r="AA161" s="509"/>
      <c r="AB161" s="180">
        <f t="shared" si="42"/>
        <v>98.765873262363641</v>
      </c>
      <c r="AC161" s="180">
        <f t="shared" si="43"/>
        <v>0</v>
      </c>
      <c r="AE161" s="182"/>
      <c r="AF161" s="178"/>
      <c r="AG161" s="182"/>
      <c r="AH161" s="178"/>
      <c r="AJ161" s="182" t="str">
        <f>IF($AJ$135="Y",IFERROR(M161*$F$6*'Emissions Factors'!$B37*$F$21,""),"")</f>
        <v/>
      </c>
      <c r="AK161" s="259">
        <f>IF(AK$135="Y",M161*'Emissions Factors'!$R$36*$F$22/10^6,"")</f>
        <v>139.13452172786057</v>
      </c>
      <c r="AL161" s="180"/>
      <c r="AM161" s="180"/>
      <c r="AO161" s="180">
        <f t="shared" si="44"/>
        <v>139.13452172786057</v>
      </c>
      <c r="AP161" s="180">
        <f t="shared" si="45"/>
        <v>0</v>
      </c>
      <c r="AS161" s="430"/>
      <c r="AT161" s="478">
        <v>2040</v>
      </c>
      <c r="AU161" s="479">
        <f t="shared" si="46"/>
        <v>237.90039499022421</v>
      </c>
      <c r="AV161" s="479">
        <f t="shared" si="46"/>
        <v>0</v>
      </c>
      <c r="AW161" s="430"/>
      <c r="AX161" s="479">
        <f t="shared" si="38"/>
        <v>69.567260863930287</v>
      </c>
      <c r="AY161" s="479">
        <f t="shared" si="38"/>
        <v>0</v>
      </c>
      <c r="AZ161" s="430"/>
      <c r="BA161" s="479">
        <f t="shared" si="39"/>
        <v>168.33313412629394</v>
      </c>
      <c r="BB161" s="479">
        <f t="shared" si="39"/>
        <v>0</v>
      </c>
      <c r="BC161" s="516"/>
      <c r="BE161" s="480">
        <f t="shared" si="40"/>
        <v>0.29242179638578969</v>
      </c>
      <c r="BF161" s="480" t="str">
        <f t="shared" si="41"/>
        <v/>
      </c>
    </row>
    <row r="162" spans="1:58" ht="15.6" x14ac:dyDescent="0.3">
      <c r="A162" s="152">
        <v>2041</v>
      </c>
      <c r="B162" s="178"/>
      <c r="C162" s="182"/>
      <c r="D162" s="183"/>
      <c r="E162" s="179">
        <f t="shared" si="47"/>
        <v>57.28109455821577</v>
      </c>
      <c r="F162" s="183">
        <f t="shared" si="48"/>
        <v>3.4793320330750532</v>
      </c>
      <c r="G162" s="247">
        <f t="shared" si="35"/>
        <v>0.16054796476637617</v>
      </c>
      <c r="H162" s="246"/>
      <c r="I162" s="417"/>
      <c r="J162" s="178"/>
      <c r="K162" s="182"/>
      <c r="L162" s="183"/>
      <c r="M162" s="179">
        <f>IFERROR(IF($G$19="Y",$F$19,$AB107)*(SUMIF($H$5:$H$16,"Y",$F$5:$F$16)*((Z56+N56)-B56)),0)</f>
        <v>81.351653510848593</v>
      </c>
      <c r="N162" s="183">
        <f t="shared" si="49"/>
        <v>5.5594567753803688</v>
      </c>
      <c r="O162" s="247">
        <f t="shared" si="37"/>
        <v>0.22801314294495895</v>
      </c>
      <c r="P162" s="246"/>
      <c r="Q162" s="417"/>
      <c r="R162" s="182"/>
      <c r="S162" s="178"/>
      <c r="T162" s="182"/>
      <c r="U162" s="178"/>
      <c r="V162" s="506"/>
      <c r="W162" s="439" t="str">
        <f>IF($W$135="Y",IFERROR(E162*$F$6*'Emissions Factors'!$B38*$F$21,""),"")</f>
        <v/>
      </c>
      <c r="X162" s="259">
        <f>IF(X$135="Y",E162*'Emissions Factors'!$R$36*$F$22/10^6,"")</f>
        <v>105.15301097845231</v>
      </c>
      <c r="Y162" s="180"/>
      <c r="Z162" s="180"/>
      <c r="AA162" s="509"/>
      <c r="AB162" s="180">
        <f t="shared" si="42"/>
        <v>105.15301097845231</v>
      </c>
      <c r="AC162" s="180">
        <f t="shared" si="43"/>
        <v>0</v>
      </c>
      <c r="AE162" s="182"/>
      <c r="AF162" s="178"/>
      <c r="AG162" s="182"/>
      <c r="AH162" s="178"/>
      <c r="AJ162" s="182" t="str">
        <f>IF($AJ$135="Y",IFERROR(M162*$F$6*'Emissions Factors'!$B38*$F$21,""),"")</f>
        <v/>
      </c>
      <c r="AK162" s="259">
        <f>IF(AK$135="Y",M162*'Emissions Factors'!$R$36*$F$22/10^6,"")</f>
        <v>149.34022090041515</v>
      </c>
      <c r="AL162" s="180"/>
      <c r="AM162" s="180"/>
      <c r="AO162" s="180">
        <f t="shared" si="44"/>
        <v>149.34022090041515</v>
      </c>
      <c r="AP162" s="180">
        <f t="shared" si="45"/>
        <v>0</v>
      </c>
      <c r="AS162" s="430"/>
      <c r="AT162" s="478">
        <v>2041</v>
      </c>
      <c r="AU162" s="479">
        <f t="shared" si="46"/>
        <v>254.49323187886745</v>
      </c>
      <c r="AV162" s="479">
        <f t="shared" si="46"/>
        <v>0</v>
      </c>
      <c r="AW162" s="430"/>
      <c r="AX162" s="479">
        <f t="shared" si="38"/>
        <v>74.670110450207574</v>
      </c>
      <c r="AY162" s="479">
        <f t="shared" si="38"/>
        <v>0</v>
      </c>
      <c r="AZ162" s="430"/>
      <c r="BA162" s="479">
        <f t="shared" si="39"/>
        <v>179.82312142865987</v>
      </c>
      <c r="BB162" s="479">
        <f t="shared" si="39"/>
        <v>0</v>
      </c>
      <c r="BC162" s="516"/>
      <c r="BE162" s="480">
        <f t="shared" si="40"/>
        <v>0.29340705801460654</v>
      </c>
      <c r="BF162" s="480" t="str">
        <f t="shared" si="41"/>
        <v/>
      </c>
    </row>
    <row r="163" spans="1:58" ht="15.6" x14ac:dyDescent="0.3">
      <c r="A163" s="152">
        <v>2042</v>
      </c>
      <c r="B163" s="178"/>
      <c r="C163" s="182"/>
      <c r="D163" s="183"/>
      <c r="E163" s="179">
        <f t="shared" si="47"/>
        <v>60.827038663989342</v>
      </c>
      <c r="F163" s="183">
        <f t="shared" si="48"/>
        <v>3.5459441057735717</v>
      </c>
      <c r="G163" s="247">
        <f t="shared" si="35"/>
        <v>0.16007926928861532</v>
      </c>
      <c r="H163" s="246"/>
      <c r="I163" s="417"/>
      <c r="J163" s="178"/>
      <c r="K163" s="182"/>
      <c r="L163" s="183"/>
      <c r="M163" s="179">
        <f t="shared" si="36"/>
        <v>87.085213602311441</v>
      </c>
      <c r="N163" s="183">
        <f t="shared" si="49"/>
        <v>5.7335600914628486</v>
      </c>
      <c r="O163" s="247">
        <f t="shared" si="37"/>
        <v>0.2291832327447175</v>
      </c>
      <c r="P163" s="246"/>
      <c r="Q163" s="417"/>
      <c r="R163" s="182"/>
      <c r="S163" s="178"/>
      <c r="T163" s="182"/>
      <c r="U163" s="178"/>
      <c r="V163" s="506"/>
      <c r="W163" s="439" t="str">
        <f>IF($W$135="Y",IFERROR(E163*$F$6*'Emissions Factors'!$B39*$F$21,""),"")</f>
        <v/>
      </c>
      <c r="X163" s="259">
        <f>IF(X$135="Y",E163*'Emissions Factors'!$R$36*$F$22/10^6,"")</f>
        <v>111.66243092510568</v>
      </c>
      <c r="Y163" s="180"/>
      <c r="Z163" s="180"/>
      <c r="AA163" s="509"/>
      <c r="AB163" s="180">
        <f t="shared" si="42"/>
        <v>111.66243092510568</v>
      </c>
      <c r="AC163" s="180">
        <f t="shared" si="43"/>
        <v>0</v>
      </c>
      <c r="AE163" s="182"/>
      <c r="AF163" s="178"/>
      <c r="AG163" s="182"/>
      <c r="AH163" s="178"/>
      <c r="AJ163" s="182" t="str">
        <f>IF($AJ$135="Y",IFERROR(M163*$F$6*'Emissions Factors'!$B39*$F$21,""),"")</f>
        <v/>
      </c>
      <c r="AK163" s="259">
        <f>IF(AK$135="Y",M163*'Emissions Factors'!$R$36*$F$22/10^6,"")</f>
        <v>159.8655279304767</v>
      </c>
      <c r="AL163" s="180"/>
      <c r="AM163" s="180"/>
      <c r="AO163" s="180">
        <f t="shared" si="44"/>
        <v>159.8655279304767</v>
      </c>
      <c r="AP163" s="180">
        <f t="shared" si="45"/>
        <v>0</v>
      </c>
      <c r="AS163" s="430"/>
      <c r="AT163" s="478">
        <v>2042</v>
      </c>
      <c r="AU163" s="479">
        <f t="shared" si="46"/>
        <v>271.52795885558237</v>
      </c>
      <c r="AV163" s="479">
        <f t="shared" si="46"/>
        <v>0</v>
      </c>
      <c r="AW163" s="430"/>
      <c r="AX163" s="479">
        <f t="shared" si="38"/>
        <v>79.932763965238351</v>
      </c>
      <c r="AY163" s="479">
        <f t="shared" si="38"/>
        <v>0</v>
      </c>
      <c r="AZ163" s="430"/>
      <c r="BA163" s="479">
        <f t="shared" si="39"/>
        <v>191.59519489034403</v>
      </c>
      <c r="BB163" s="479">
        <f t="shared" si="39"/>
        <v>0</v>
      </c>
      <c r="BC163" s="516"/>
      <c r="BE163" s="480">
        <f t="shared" si="40"/>
        <v>0.29438133848953729</v>
      </c>
      <c r="BF163" s="480" t="str">
        <f t="shared" si="41"/>
        <v/>
      </c>
    </row>
    <row r="164" spans="1:58" ht="15.6" x14ac:dyDescent="0.3">
      <c r="A164" s="152">
        <v>2043</v>
      </c>
      <c r="B164" s="178"/>
      <c r="C164" s="182"/>
      <c r="D164" s="183"/>
      <c r="E164" s="179">
        <f t="shared" si="47"/>
        <v>64.453579713517115</v>
      </c>
      <c r="F164" s="183">
        <f t="shared" si="48"/>
        <v>3.6265410495277735</v>
      </c>
      <c r="G164" s="247">
        <f t="shared" si="35"/>
        <v>0.1596107256608901</v>
      </c>
      <c r="H164" s="246"/>
      <c r="I164" s="417"/>
      <c r="J164" s="178"/>
      <c r="K164" s="182"/>
      <c r="L164" s="183"/>
      <c r="M164" s="179">
        <f t="shared" si="36"/>
        <v>93.016506880703673</v>
      </c>
      <c r="N164" s="183">
        <f t="shared" si="49"/>
        <v>5.9312932783922321</v>
      </c>
      <c r="O164" s="247">
        <f t="shared" si="37"/>
        <v>0.23034301938945245</v>
      </c>
      <c r="P164" s="246"/>
      <c r="Q164" s="417"/>
      <c r="R164" s="182"/>
      <c r="S164" s="178"/>
      <c r="T164" s="182"/>
      <c r="U164" s="178"/>
      <c r="V164" s="506"/>
      <c r="W164" s="439" t="str">
        <f>IF($W$135="Y",IFERROR(E164*$F$6*'Emissions Factors'!$B40*$F$21,""),"")</f>
        <v/>
      </c>
      <c r="X164" s="259">
        <f>IF(X$135="Y",E164*'Emissions Factors'!$R$36*$F$22/10^6,"")</f>
        <v>118.31980564421544</v>
      </c>
      <c r="Y164" s="180"/>
      <c r="Z164" s="180"/>
      <c r="AA164" s="509"/>
      <c r="AB164" s="180">
        <f t="shared" si="42"/>
        <v>118.31980564421544</v>
      </c>
      <c r="AC164" s="180">
        <f t="shared" si="43"/>
        <v>0</v>
      </c>
      <c r="AE164" s="182"/>
      <c r="AF164" s="178"/>
      <c r="AG164" s="182"/>
      <c r="AH164" s="178"/>
      <c r="AJ164" s="182" t="str">
        <f>IF($AJ$135="Y",IFERROR(M164*$F$6*'Emissions Factors'!$B40*$F$21,""),"")</f>
        <v/>
      </c>
      <c r="AK164" s="259">
        <f>IF(AK$135="Y",M164*'Emissions Factors'!$R$36*$F$22/10^6,"")</f>
        <v>170.75382104061148</v>
      </c>
      <c r="AL164" s="180"/>
      <c r="AM164" s="180"/>
      <c r="AO164" s="180">
        <f t="shared" si="44"/>
        <v>170.75382104061148</v>
      </c>
      <c r="AP164" s="180">
        <f t="shared" si="45"/>
        <v>0</v>
      </c>
      <c r="AS164" s="430"/>
      <c r="AT164" s="478">
        <v>2043</v>
      </c>
      <c r="AU164" s="479">
        <f t="shared" si="46"/>
        <v>289.07362668482693</v>
      </c>
      <c r="AV164" s="479">
        <f t="shared" si="46"/>
        <v>0</v>
      </c>
      <c r="AW164" s="430"/>
      <c r="AX164" s="479">
        <f t="shared" si="38"/>
        <v>85.376910520305742</v>
      </c>
      <c r="AY164" s="479">
        <f t="shared" si="38"/>
        <v>0</v>
      </c>
      <c r="AZ164" s="430"/>
      <c r="BA164" s="479">
        <f t="shared" si="39"/>
        <v>203.69671616452121</v>
      </c>
      <c r="BB164" s="479">
        <f t="shared" si="39"/>
        <v>0</v>
      </c>
      <c r="BC164" s="516"/>
      <c r="BE164" s="480">
        <f t="shared" si="40"/>
        <v>0.29534659214481379</v>
      </c>
      <c r="BF164" s="480" t="str">
        <f t="shared" si="41"/>
        <v/>
      </c>
    </row>
    <row r="165" spans="1:58" ht="15.6" x14ac:dyDescent="0.3">
      <c r="A165" s="152">
        <v>2044</v>
      </c>
      <c r="B165" s="178"/>
      <c r="C165" s="182"/>
      <c r="D165" s="183"/>
      <c r="E165" s="179">
        <f t="shared" si="47"/>
        <v>68.176380028523866</v>
      </c>
      <c r="F165" s="183">
        <f t="shared" si="48"/>
        <v>3.7228003150067508</v>
      </c>
      <c r="G165" s="247">
        <f t="shared" si="35"/>
        <v>0.15914039134308683</v>
      </c>
      <c r="H165" s="246"/>
      <c r="I165" s="417"/>
      <c r="J165" s="178"/>
      <c r="K165" s="182"/>
      <c r="L165" s="183"/>
      <c r="M165" s="179">
        <f t="shared" si="36"/>
        <v>99.172906495580577</v>
      </c>
      <c r="N165" s="183">
        <f t="shared" si="49"/>
        <v>6.1563996148769036</v>
      </c>
      <c r="O165" s="247">
        <f t="shared" si="37"/>
        <v>0.23149388606046481</v>
      </c>
      <c r="P165" s="246"/>
      <c r="Q165" s="417"/>
      <c r="R165" s="182"/>
      <c r="S165" s="178"/>
      <c r="T165" s="182"/>
      <c r="U165" s="178"/>
      <c r="V165" s="506"/>
      <c r="W165" s="439" t="str">
        <f>IF($W$135="Y",IFERROR(E165*$F$6*'Emissions Factors'!$B41*$F$21,""),"")</f>
        <v/>
      </c>
      <c r="X165" s="259">
        <f>IF(X$135="Y",E165*'Emissions Factors'!$R$36*$F$22/10^6,"")</f>
        <v>125.15388703553103</v>
      </c>
      <c r="Y165" s="180"/>
      <c r="Z165" s="180"/>
      <c r="AA165" s="509"/>
      <c r="AB165" s="180">
        <f t="shared" si="42"/>
        <v>125.15388703553103</v>
      </c>
      <c r="AC165" s="180">
        <f t="shared" si="43"/>
        <v>0</v>
      </c>
      <c r="AE165" s="182"/>
      <c r="AF165" s="178"/>
      <c r="AG165" s="182"/>
      <c r="AH165" s="178"/>
      <c r="AJ165" s="182" t="str">
        <f>IF($AJ$135="Y",IFERROR(M165*$F$6*'Emissions Factors'!$B41*$F$21,""),"")</f>
        <v/>
      </c>
      <c r="AK165" s="259">
        <f>IF(AK$135="Y",M165*'Emissions Factors'!$R$36*$F$22/10^6,"")</f>
        <v>182.05535012771654</v>
      </c>
      <c r="AL165" s="180"/>
      <c r="AM165" s="180"/>
      <c r="AO165" s="180">
        <f t="shared" si="44"/>
        <v>182.05535012771654</v>
      </c>
      <c r="AP165" s="180">
        <f t="shared" si="45"/>
        <v>0</v>
      </c>
      <c r="AS165" s="430"/>
      <c r="AT165" s="478">
        <v>2044</v>
      </c>
      <c r="AU165" s="479">
        <f t="shared" si="46"/>
        <v>307.20923716324756</v>
      </c>
      <c r="AV165" s="479">
        <f t="shared" si="46"/>
        <v>0</v>
      </c>
      <c r="AW165" s="430"/>
      <c r="AX165" s="479">
        <f t="shared" si="38"/>
        <v>91.027675063858268</v>
      </c>
      <c r="AY165" s="479">
        <f t="shared" si="38"/>
        <v>0</v>
      </c>
      <c r="AZ165" s="430"/>
      <c r="BA165" s="479">
        <f t="shared" si="39"/>
        <v>216.18156209938928</v>
      </c>
      <c r="BB165" s="479">
        <f t="shared" si="39"/>
        <v>0</v>
      </c>
      <c r="BC165" s="516"/>
      <c r="BE165" s="480">
        <f t="shared" si="40"/>
        <v>0.2963051368650324</v>
      </c>
      <c r="BF165" s="480" t="str">
        <f t="shared" si="41"/>
        <v/>
      </c>
    </row>
    <row r="166" spans="1:58" ht="15.6" x14ac:dyDescent="0.3">
      <c r="A166" s="152">
        <v>2045</v>
      </c>
      <c r="B166" s="178"/>
      <c r="C166" s="182"/>
      <c r="D166" s="183"/>
      <c r="E166" s="179">
        <f t="shared" si="47"/>
        <v>72.008563933787386</v>
      </c>
      <c r="F166" s="183">
        <f t="shared" si="48"/>
        <v>3.8321839052635198</v>
      </c>
      <c r="G166" s="247">
        <f t="shared" si="35"/>
        <v>0.15866620332856446</v>
      </c>
      <c r="H166" s="246"/>
      <c r="I166" s="417"/>
      <c r="J166" s="178"/>
      <c r="K166" s="182"/>
      <c r="L166" s="183"/>
      <c r="M166" s="179">
        <f t="shared" si="36"/>
        <v>105.57880237096938</v>
      </c>
      <c r="N166" s="183">
        <f t="shared" si="49"/>
        <v>6.4058958753888078</v>
      </c>
      <c r="O166" s="247">
        <f t="shared" si="37"/>
        <v>0.23263604783983741</v>
      </c>
      <c r="P166" s="246"/>
      <c r="Q166" s="417"/>
      <c r="R166" s="182"/>
      <c r="S166" s="178"/>
      <c r="T166" s="182"/>
      <c r="U166" s="178"/>
      <c r="V166" s="506"/>
      <c r="W166" s="439" t="str">
        <f>IF($W$135="Y",IFERROR(E166*$F$6*'Emissions Factors'!$B42*$F$21,""),"")</f>
        <v/>
      </c>
      <c r="X166" s="259">
        <f>IF(X$135="Y",E166*'Emissions Factors'!$R$36*$F$22/10^6,"")</f>
        <v>132.18876790450747</v>
      </c>
      <c r="Y166" s="180"/>
      <c r="Z166" s="180"/>
      <c r="AA166" s="509"/>
      <c r="AB166" s="180">
        <f t="shared" si="42"/>
        <v>132.18876790450747</v>
      </c>
      <c r="AC166" s="180">
        <f t="shared" si="43"/>
        <v>0</v>
      </c>
      <c r="AE166" s="182"/>
      <c r="AF166" s="178"/>
      <c r="AG166" s="182"/>
      <c r="AH166" s="178"/>
      <c r="AJ166" s="182" t="str">
        <f>IF($AJ$135="Y",IFERROR(M166*$F$6*'Emissions Factors'!$B42*$F$21,""),"")</f>
        <v/>
      </c>
      <c r="AK166" s="259">
        <f>IF(AK$135="Y",M166*'Emissions Factors'!$R$36*$F$22/10^6,"")</f>
        <v>193.81488867192138</v>
      </c>
      <c r="AL166" s="180"/>
      <c r="AM166" s="180"/>
      <c r="AO166" s="180">
        <f t="shared" si="44"/>
        <v>193.81488867192138</v>
      </c>
      <c r="AP166" s="180">
        <f t="shared" si="45"/>
        <v>0</v>
      </c>
      <c r="AS166" s="430"/>
      <c r="AT166" s="478">
        <v>2045</v>
      </c>
      <c r="AU166" s="479">
        <f t="shared" si="46"/>
        <v>326.00365657642885</v>
      </c>
      <c r="AV166" s="479">
        <f t="shared" si="46"/>
        <v>0</v>
      </c>
      <c r="AW166" s="430"/>
      <c r="AX166" s="479">
        <f t="shared" si="38"/>
        <v>96.90744433596069</v>
      </c>
      <c r="AY166" s="479">
        <f t="shared" si="38"/>
        <v>0</v>
      </c>
      <c r="AZ166" s="430"/>
      <c r="BA166" s="479">
        <f t="shared" si="39"/>
        <v>229.09621224046816</v>
      </c>
      <c r="BB166" s="479">
        <f t="shared" si="39"/>
        <v>0</v>
      </c>
      <c r="BC166" s="516"/>
      <c r="BE166" s="480">
        <f t="shared" si="40"/>
        <v>0.2972587649894704</v>
      </c>
      <c r="BF166" s="480" t="str">
        <f t="shared" si="41"/>
        <v/>
      </c>
    </row>
    <row r="167" spans="1:58" ht="15.6" x14ac:dyDescent="0.3">
      <c r="A167" s="152">
        <v>2046</v>
      </c>
      <c r="B167" s="178"/>
      <c r="C167" s="182"/>
      <c r="D167" s="183"/>
      <c r="E167" s="179">
        <f t="shared" si="47"/>
        <v>75.956535201803874</v>
      </c>
      <c r="F167" s="183">
        <f t="shared" si="48"/>
        <v>3.947971268016488</v>
      </c>
      <c r="G167" s="247">
        <f t="shared" si="35"/>
        <v>0.15818626973823582</v>
      </c>
      <c r="H167" s="246"/>
      <c r="I167" s="417"/>
      <c r="J167" s="178"/>
      <c r="K167" s="182"/>
      <c r="L167" s="183"/>
      <c r="M167" s="179">
        <f t="shared" si="36"/>
        <v>112.24849520170658</v>
      </c>
      <c r="N167" s="183">
        <f t="shared" si="49"/>
        <v>6.6696928307371905</v>
      </c>
      <c r="O167" s="247">
        <f t="shared" si="37"/>
        <v>0.23376751839078802</v>
      </c>
      <c r="P167" s="246"/>
      <c r="Q167" s="417"/>
      <c r="R167" s="182"/>
      <c r="S167" s="178"/>
      <c r="T167" s="182"/>
      <c r="U167" s="178"/>
      <c r="V167" s="506"/>
      <c r="W167" s="439" t="str">
        <f>IF($W$135="Y",IFERROR(E167*$F$6*'Emissions Factors'!$B43*$F$21,""),"")</f>
        <v/>
      </c>
      <c r="X167" s="259">
        <f>IF(X$135="Y",E167*'Emissions Factors'!$R$36*$F$22/10^6,"")</f>
        <v>139.43620389172378</v>
      </c>
      <c r="Y167" s="180"/>
      <c r="Z167" s="180"/>
      <c r="AA167" s="509"/>
      <c r="AB167" s="180">
        <f t="shared" si="42"/>
        <v>139.43620389172378</v>
      </c>
      <c r="AC167" s="180">
        <f t="shared" si="43"/>
        <v>0</v>
      </c>
      <c r="AE167" s="182"/>
      <c r="AF167" s="178"/>
      <c r="AG167" s="182"/>
      <c r="AH167" s="178"/>
      <c r="AJ167" s="182" t="str">
        <f>IF($AJ$135="Y",IFERROR(M167*$F$6*'Emissions Factors'!$B43*$F$21,""),"")</f>
        <v/>
      </c>
      <c r="AK167" s="259">
        <f>IF(AK$135="Y",M167*'Emissions Factors'!$R$36*$F$22/10^6,"")</f>
        <v>206.05868898444214</v>
      </c>
      <c r="AL167" s="180"/>
      <c r="AM167" s="180"/>
      <c r="AO167" s="180">
        <f t="shared" si="44"/>
        <v>206.05868898444214</v>
      </c>
      <c r="AP167" s="180">
        <f t="shared" si="45"/>
        <v>0</v>
      </c>
      <c r="AS167" s="430"/>
      <c r="AT167" s="478">
        <v>2046</v>
      </c>
      <c r="AU167" s="479">
        <f t="shared" si="46"/>
        <v>345.49489287616592</v>
      </c>
      <c r="AV167" s="479">
        <f t="shared" si="46"/>
        <v>0</v>
      </c>
      <c r="AW167" s="430"/>
      <c r="AX167" s="479">
        <f t="shared" si="38"/>
        <v>103.02934449222107</v>
      </c>
      <c r="AY167" s="479">
        <f t="shared" si="38"/>
        <v>0</v>
      </c>
      <c r="AZ167" s="430"/>
      <c r="BA167" s="479">
        <f t="shared" si="39"/>
        <v>242.46554838394485</v>
      </c>
      <c r="BB167" s="479">
        <f t="shared" si="39"/>
        <v>0</v>
      </c>
      <c r="BC167" s="516"/>
      <c r="BE167" s="480">
        <f t="shared" si="40"/>
        <v>0.29820801006499792</v>
      </c>
      <c r="BF167" s="480" t="str">
        <f t="shared" si="41"/>
        <v/>
      </c>
    </row>
    <row r="168" spans="1:58" ht="15.6" x14ac:dyDescent="0.3">
      <c r="A168" s="152">
        <v>2047</v>
      </c>
      <c r="B168" s="178"/>
      <c r="C168" s="182"/>
      <c r="D168" s="183"/>
      <c r="E168" s="179">
        <f t="shared" si="47"/>
        <v>80.025121755101907</v>
      </c>
      <c r="F168" s="183">
        <f t="shared" si="48"/>
        <v>4.068586553298033</v>
      </c>
      <c r="G168" s="247">
        <f t="shared" si="35"/>
        <v>0.15769927857597094</v>
      </c>
      <c r="H168" s="246"/>
      <c r="I168" s="417"/>
      <c r="J168" s="178"/>
      <c r="K168" s="182"/>
      <c r="L168" s="183"/>
      <c r="M168" s="179">
        <f t="shared" si="36"/>
        <v>119.19395519896815</v>
      </c>
      <c r="N168" s="183">
        <f t="shared" si="49"/>
        <v>6.9454599972615796</v>
      </c>
      <c r="O168" s="247">
        <f t="shared" si="37"/>
        <v>0.23488624988309387</v>
      </c>
      <c r="P168" s="246"/>
      <c r="Q168" s="417"/>
      <c r="R168" s="182"/>
      <c r="S168" s="178"/>
      <c r="T168" s="182"/>
      <c r="U168" s="178"/>
      <c r="V168" s="506"/>
      <c r="W168" s="439" t="str">
        <f>IF($W$135="Y",IFERROR(E168*$F$6*'Emissions Factors'!$B44*$F$21,""),"")</f>
        <v/>
      </c>
      <c r="X168" s="259">
        <f>IF(X$135="Y",E168*'Emissions Factors'!$R$36*$F$22/10^6,"")</f>
        <v>146.90505779204381</v>
      </c>
      <c r="Y168" s="180"/>
      <c r="Z168" s="180"/>
      <c r="AA168" s="509"/>
      <c r="AB168" s="180">
        <f t="shared" si="42"/>
        <v>146.90505779204381</v>
      </c>
      <c r="AC168" s="180">
        <f t="shared" si="43"/>
        <v>0</v>
      </c>
      <c r="AE168" s="182"/>
      <c r="AF168" s="178"/>
      <c r="AG168" s="182"/>
      <c r="AH168" s="178"/>
      <c r="AJ168" s="182" t="str">
        <f>IF($AJ$135="Y",IFERROR(M168*$F$6*'Emissions Factors'!$B44*$F$21,""),"")</f>
        <v/>
      </c>
      <c r="AK168" s="259">
        <f>IF(AK$135="Y",M168*'Emissions Factors'!$R$36*$F$22/10^6,"")</f>
        <v>218.8087252219689</v>
      </c>
      <c r="AL168" s="180"/>
      <c r="AM168" s="180"/>
      <c r="AO168" s="180">
        <f t="shared" si="44"/>
        <v>218.8087252219689</v>
      </c>
      <c r="AP168" s="180">
        <f t="shared" si="45"/>
        <v>0</v>
      </c>
      <c r="AS168" s="430"/>
      <c r="AT168" s="478">
        <v>2047</v>
      </c>
      <c r="AU168" s="479">
        <f t="shared" si="46"/>
        <v>365.71378301401273</v>
      </c>
      <c r="AV168" s="479">
        <f t="shared" si="46"/>
        <v>0</v>
      </c>
      <c r="AW168" s="430"/>
      <c r="AX168" s="479">
        <f t="shared" si="38"/>
        <v>109.40436261098445</v>
      </c>
      <c r="AY168" s="479">
        <f t="shared" si="38"/>
        <v>0</v>
      </c>
      <c r="AZ168" s="430"/>
      <c r="BA168" s="479">
        <f t="shared" si="39"/>
        <v>256.3094204030283</v>
      </c>
      <c r="BB168" s="479">
        <f t="shared" si="39"/>
        <v>0</v>
      </c>
      <c r="BC168" s="516"/>
      <c r="BE168" s="480">
        <f t="shared" si="40"/>
        <v>0.29915296522141877</v>
      </c>
      <c r="BF168" s="480" t="str">
        <f t="shared" si="41"/>
        <v/>
      </c>
    </row>
    <row r="169" spans="1:58" ht="15.6" x14ac:dyDescent="0.3">
      <c r="A169" s="152">
        <v>2048</v>
      </c>
      <c r="B169" s="178"/>
      <c r="C169" s="182"/>
      <c r="D169" s="183"/>
      <c r="E169" s="179">
        <f t="shared" si="47"/>
        <v>84.223258375877791</v>
      </c>
      <c r="F169" s="183">
        <f t="shared" si="48"/>
        <v>4.1981366207758839</v>
      </c>
      <c r="G169" s="247">
        <f t="shared" si="35"/>
        <v>0.15720424094208935</v>
      </c>
      <c r="H169" s="246"/>
      <c r="I169" s="417"/>
      <c r="J169" s="178"/>
      <c r="K169" s="182"/>
      <c r="L169" s="183"/>
      <c r="M169" s="179">
        <f t="shared" si="36"/>
        <v>126.43420282221878</v>
      </c>
      <c r="N169" s="183">
        <f t="shared" si="49"/>
        <v>7.2402476232506245</v>
      </c>
      <c r="O169" s="247">
        <f t="shared" si="37"/>
        <v>0.23599173514614005</v>
      </c>
      <c r="P169" s="246"/>
      <c r="Q169" s="417"/>
      <c r="R169" s="182"/>
      <c r="S169" s="178"/>
      <c r="T169" s="182"/>
      <c r="U169" s="178"/>
      <c r="V169" s="506"/>
      <c r="W169" s="439" t="str">
        <f>IF($W$135="Y",IFERROR(E169*$F$6*'Emissions Factors'!$B45*$F$21,""),"")</f>
        <v/>
      </c>
      <c r="X169" s="259">
        <f>IF(X$135="Y",E169*'Emissions Factors'!$R$36*$F$22/10^6,"")</f>
        <v>154.61173151359498</v>
      </c>
      <c r="Y169" s="180"/>
      <c r="Z169" s="180"/>
      <c r="AA169" s="509"/>
      <c r="AB169" s="180">
        <f t="shared" si="42"/>
        <v>154.61173151359498</v>
      </c>
      <c r="AC169" s="180">
        <f t="shared" si="43"/>
        <v>0</v>
      </c>
      <c r="AE169" s="182"/>
      <c r="AF169" s="178"/>
      <c r="AG169" s="182"/>
      <c r="AH169" s="178"/>
      <c r="AJ169" s="182" t="str">
        <f>IF($AJ$135="Y",IFERROR(M169*$F$6*'Emissions Factors'!$B45*$F$21,""),"")</f>
        <v/>
      </c>
      <c r="AK169" s="259">
        <f>IF(AK$135="Y",M169*'Emissions Factors'!$R$36*$F$22/10^6,"")</f>
        <v>232.09991394114795</v>
      </c>
      <c r="AL169" s="180"/>
      <c r="AM169" s="180"/>
      <c r="AO169" s="180">
        <f t="shared" si="44"/>
        <v>232.09991394114795</v>
      </c>
      <c r="AP169" s="180">
        <f t="shared" si="45"/>
        <v>0</v>
      </c>
      <c r="AS169" s="430"/>
      <c r="AT169" s="478">
        <v>2048</v>
      </c>
      <c r="AU169" s="479">
        <f t="shared" si="46"/>
        <v>386.71164545474289</v>
      </c>
      <c r="AV169" s="479">
        <f t="shared" si="46"/>
        <v>0</v>
      </c>
      <c r="AW169" s="430"/>
      <c r="AX169" s="479">
        <f t="shared" si="38"/>
        <v>116.04995697057397</v>
      </c>
      <c r="AY169" s="479">
        <f t="shared" si="38"/>
        <v>0</v>
      </c>
      <c r="AZ169" s="430"/>
      <c r="BA169" s="479">
        <f t="shared" si="39"/>
        <v>270.66168848416891</v>
      </c>
      <c r="BB169" s="479">
        <f t="shared" si="39"/>
        <v>0</v>
      </c>
      <c r="BC169" s="516"/>
      <c r="BE169" s="480">
        <f t="shared" si="40"/>
        <v>0.30009429075793215</v>
      </c>
      <c r="BF169" s="480" t="str">
        <f t="shared" si="41"/>
        <v/>
      </c>
    </row>
    <row r="170" spans="1:58" ht="15.6" x14ac:dyDescent="0.3">
      <c r="A170" s="152">
        <v>2049</v>
      </c>
      <c r="B170" s="178"/>
      <c r="C170" s="182"/>
      <c r="D170" s="183"/>
      <c r="E170" s="179">
        <f t="shared" si="47"/>
        <v>88.559828313534553</v>
      </c>
      <c r="F170" s="183">
        <f t="shared" si="48"/>
        <v>4.3365699376567619</v>
      </c>
      <c r="G170" s="247">
        <f t="shared" si="35"/>
        <v>0.15670028443535078</v>
      </c>
      <c r="H170" s="246"/>
      <c r="I170" s="417"/>
      <c r="J170" s="178"/>
      <c r="K170" s="182"/>
      <c r="L170" s="183"/>
      <c r="M170" s="179">
        <f t="shared" si="36"/>
        <v>133.98870116677409</v>
      </c>
      <c r="N170" s="183">
        <f t="shared" si="49"/>
        <v>7.5544983445553129</v>
      </c>
      <c r="O170" s="247">
        <f t="shared" si="37"/>
        <v>0.23708342691928977</v>
      </c>
      <c r="P170" s="246"/>
      <c r="Q170" s="417"/>
      <c r="R170" s="182"/>
      <c r="S170" s="178"/>
      <c r="T170" s="182"/>
      <c r="U170" s="178"/>
      <c r="V170" s="506"/>
      <c r="W170" s="439" t="str">
        <f>IF($W$135="Y",IFERROR(E170*$F$6*'Emissions Factors'!$B46*$F$21,""),"")</f>
        <v/>
      </c>
      <c r="X170" s="259">
        <f>IF(X$135="Y",E170*'Emissions Factors'!$R$36*$F$22/10^6,"")</f>
        <v>162.57253236386163</v>
      </c>
      <c r="Y170" s="180"/>
      <c r="Z170" s="180"/>
      <c r="AA170" s="509"/>
      <c r="AB170" s="180">
        <f t="shared" si="42"/>
        <v>162.57253236386163</v>
      </c>
      <c r="AC170" s="180">
        <f t="shared" si="43"/>
        <v>0</v>
      </c>
      <c r="AE170" s="182"/>
      <c r="AF170" s="178"/>
      <c r="AG170" s="182"/>
      <c r="AH170" s="178"/>
      <c r="AJ170" s="182" t="str">
        <f>IF($AJ$135="Y",IFERROR(M170*$F$6*'Emissions Factors'!$B46*$F$21,""),"")</f>
        <v/>
      </c>
      <c r="AK170" s="259">
        <f>IF(AK$135="Y",M170*'Emissions Factors'!$R$36*$F$22/10^6,"")</f>
        <v>245.96798426152884</v>
      </c>
      <c r="AL170" s="180"/>
      <c r="AM170" s="180"/>
      <c r="AO170" s="180">
        <f t="shared" si="44"/>
        <v>245.96798426152884</v>
      </c>
      <c r="AP170" s="180">
        <f t="shared" si="45"/>
        <v>0</v>
      </c>
      <c r="AS170" s="430"/>
      <c r="AT170" s="478">
        <v>2049</v>
      </c>
      <c r="AU170" s="479">
        <f t="shared" si="46"/>
        <v>408.54051662539047</v>
      </c>
      <c r="AV170" s="479">
        <f t="shared" si="46"/>
        <v>0</v>
      </c>
      <c r="AW170" s="430"/>
      <c r="AX170" s="479">
        <f t="shared" si="38"/>
        <v>122.98399213076442</v>
      </c>
      <c r="AY170" s="479">
        <f t="shared" si="38"/>
        <v>0</v>
      </c>
      <c r="AZ170" s="430"/>
      <c r="BA170" s="479">
        <f t="shared" si="39"/>
        <v>285.55652449462605</v>
      </c>
      <c r="BB170" s="479">
        <f t="shared" si="39"/>
        <v>0</v>
      </c>
      <c r="BC170" s="516"/>
      <c r="BE170" s="480">
        <f t="shared" si="40"/>
        <v>0.30103254665322238</v>
      </c>
      <c r="BF170" s="480" t="str">
        <f t="shared" si="41"/>
        <v/>
      </c>
    </row>
    <row r="171" spans="1:58" ht="15.6" x14ac:dyDescent="0.3">
      <c r="A171" s="152">
        <v>2050</v>
      </c>
      <c r="B171" s="178"/>
      <c r="C171" s="182"/>
      <c r="D171" s="183"/>
      <c r="E171" s="179">
        <f t="shared" si="47"/>
        <v>93.04088892554816</v>
      </c>
      <c r="F171" s="183">
        <f t="shared" si="48"/>
        <v>4.4810606120136072</v>
      </c>
      <c r="G171" s="247">
        <f t="shared" si="35"/>
        <v>0.15618629504512152</v>
      </c>
      <c r="H171" s="246"/>
      <c r="I171" s="417"/>
      <c r="J171" s="178"/>
      <c r="K171" s="182"/>
      <c r="L171" s="183"/>
      <c r="M171" s="179">
        <f t="shared" si="36"/>
        <v>141.87287603052988</v>
      </c>
      <c r="N171" s="183">
        <f t="shared" si="49"/>
        <v>7.8841748637557885</v>
      </c>
      <c r="O171" s="247">
        <f t="shared" si="37"/>
        <v>0.23815979329621112</v>
      </c>
      <c r="P171" s="246"/>
      <c r="Q171" s="417"/>
      <c r="R171" s="182"/>
      <c r="S171" s="178"/>
      <c r="T171" s="182"/>
      <c r="U171" s="178"/>
      <c r="V171" s="506"/>
      <c r="W171" s="439" t="str">
        <f>IF($W$135="Y",IFERROR(E171*$F$6*'Emissions Factors'!$B47*$F$21,""),"")</f>
        <v/>
      </c>
      <c r="X171" s="259">
        <f>IF(X$135="Y",E171*'Emissions Factors'!$R$36*$F$22/10^6,"")</f>
        <v>170.79858005663556</v>
      </c>
      <c r="Y171" s="180"/>
      <c r="Z171" s="180"/>
      <c r="AA171" s="509"/>
      <c r="AB171" s="180">
        <f t="shared" si="42"/>
        <v>170.79858005663556</v>
      </c>
      <c r="AC171" s="180">
        <f t="shared" si="43"/>
        <v>0</v>
      </c>
      <c r="AE171" s="182"/>
      <c r="AF171" s="178"/>
      <c r="AG171" s="182"/>
      <c r="AH171" s="178"/>
      <c r="AJ171" s="182" t="str">
        <f>IF($AJ$135="Y",IFERROR(M171*$F$6*'Emissions Factors'!$B47*$F$21,""),"")</f>
        <v/>
      </c>
      <c r="AK171" s="259">
        <f>IF(AK$135="Y",M171*'Emissions Factors'!$R$36*$F$22/10^6,"")</f>
        <v>260.44125388737331</v>
      </c>
      <c r="AL171" s="180"/>
      <c r="AM171" s="180"/>
      <c r="AO171" s="180">
        <f t="shared" si="44"/>
        <v>260.44125388737331</v>
      </c>
      <c r="AP171" s="180">
        <f t="shared" si="45"/>
        <v>0</v>
      </c>
      <c r="AS171" s="430"/>
      <c r="AT171" s="478">
        <v>2050</v>
      </c>
      <c r="AU171" s="479">
        <f t="shared" si="46"/>
        <v>431.23983394400886</v>
      </c>
      <c r="AV171" s="479">
        <f t="shared" si="46"/>
        <v>0</v>
      </c>
      <c r="AW171" s="430"/>
      <c r="AX171" s="479">
        <f t="shared" si="38"/>
        <v>130.22062694368665</v>
      </c>
      <c r="AY171" s="479">
        <f t="shared" si="38"/>
        <v>0</v>
      </c>
      <c r="AZ171" s="430"/>
      <c r="BA171" s="479">
        <f t="shared" si="39"/>
        <v>301.01920700032224</v>
      </c>
      <c r="BB171" s="479">
        <f t="shared" si="39"/>
        <v>0</v>
      </c>
      <c r="BC171" s="516"/>
      <c r="BE171" s="480">
        <f t="shared" si="40"/>
        <v>0.30196799250366602</v>
      </c>
      <c r="BF171" s="480" t="str">
        <f t="shared" si="41"/>
        <v/>
      </c>
    </row>
    <row r="172" spans="1:58" ht="15.6" x14ac:dyDescent="0.3">
      <c r="A172" s="152">
        <v>2051</v>
      </c>
      <c r="B172" s="178"/>
      <c r="C172" s="182"/>
      <c r="D172" s="183"/>
      <c r="E172" s="179">
        <f t="shared" si="47"/>
        <v>97.55665888077769</v>
      </c>
      <c r="F172" s="183">
        <f t="shared" si="48"/>
        <v>4.5157699552295298</v>
      </c>
      <c r="G172" s="247">
        <f t="shared" si="35"/>
        <v>0.15566087195530789</v>
      </c>
      <c r="H172" s="246"/>
      <c r="I172" s="417"/>
      <c r="J172" s="178"/>
      <c r="K172" s="182"/>
      <c r="L172" s="183"/>
      <c r="M172" s="179">
        <f t="shared" si="36"/>
        <v>149.92414623522006</v>
      </c>
      <c r="N172" s="183">
        <f t="shared" si="49"/>
        <v>8.0512702046901836</v>
      </c>
      <c r="O172" s="247">
        <f t="shared" si="37"/>
        <v>0.23921814869295174</v>
      </c>
      <c r="P172" s="246"/>
      <c r="Q172" s="417"/>
      <c r="R172" s="182"/>
      <c r="S172" s="178"/>
      <c r="T172" s="182"/>
      <c r="U172" s="178"/>
      <c r="V172" s="506"/>
      <c r="W172" s="439" t="str">
        <f>IF($W$135="Y",IFERROR(E172*$F$6*'Emissions Factors'!$B48*$F$21,""),"")</f>
        <v/>
      </c>
      <c r="X172" s="259">
        <f>IF(X$135="Y",E172*'Emissions Factors'!$R$36*$F$22/10^6,"")</f>
        <v>179.08834496669368</v>
      </c>
      <c r="Y172" s="180"/>
      <c r="Z172" s="180"/>
      <c r="AA172" s="509"/>
      <c r="AB172" s="180">
        <f t="shared" si="42"/>
        <v>179.08834496669368</v>
      </c>
      <c r="AC172" s="180">
        <f t="shared" si="43"/>
        <v>0</v>
      </c>
      <c r="AE172" s="182"/>
      <c r="AF172" s="178"/>
      <c r="AG172" s="182"/>
      <c r="AH172" s="178"/>
      <c r="AJ172" s="182" t="str">
        <f>IF($AJ$135="Y",IFERROR(M172*$F$6*'Emissions Factors'!$B48*$F$21,""),"")</f>
        <v/>
      </c>
      <c r="AK172" s="259">
        <f>IF(AK$135="Y",M172*'Emissions Factors'!$R$36*$F$22/10^6,"")</f>
        <v>275.2212665731268</v>
      </c>
      <c r="AL172" s="180"/>
      <c r="AM172" s="180"/>
      <c r="AO172" s="180">
        <f t="shared" si="44"/>
        <v>275.2212665731268</v>
      </c>
      <c r="AP172" s="180">
        <f t="shared" si="45"/>
        <v>0</v>
      </c>
      <c r="AT172" s="478">
        <v>2051</v>
      </c>
      <c r="AU172" s="479">
        <f t="shared" si="46"/>
        <v>454.30961153982048</v>
      </c>
      <c r="AV172" s="479">
        <f t="shared" si="46"/>
        <v>0</v>
      </c>
      <c r="AW172" s="430"/>
      <c r="AX172" s="479">
        <f t="shared" si="38"/>
        <v>137.6106332865634</v>
      </c>
      <c r="AY172" s="479">
        <f t="shared" si="38"/>
        <v>0</v>
      </c>
      <c r="AZ172" s="430"/>
      <c r="BA172" s="479">
        <f t="shared" si="39"/>
        <v>316.69897825325711</v>
      </c>
      <c r="BB172" s="479">
        <f t="shared" si="39"/>
        <v>0</v>
      </c>
      <c r="BC172" s="516"/>
      <c r="BE172" s="480">
        <f t="shared" si="40"/>
        <v>0.30290055458028042</v>
      </c>
      <c r="BF172" s="480" t="str">
        <f t="shared" si="41"/>
        <v/>
      </c>
    </row>
    <row r="173" spans="1:58" ht="15.6" x14ac:dyDescent="0.3">
      <c r="A173" s="152">
        <v>2052</v>
      </c>
      <c r="B173" s="178"/>
      <c r="C173" s="182"/>
      <c r="D173" s="183"/>
      <c r="E173" s="179">
        <f t="shared" si="47"/>
        <v>102.21115216277575</v>
      </c>
      <c r="F173" s="183">
        <f t="shared" si="48"/>
        <v>4.6544932819980573</v>
      </c>
      <c r="G173" s="247">
        <f t="shared" si="35"/>
        <v>0.15512268259742901</v>
      </c>
      <c r="H173" s="246"/>
      <c r="I173" s="417"/>
      <c r="J173" s="178"/>
      <c r="K173" s="182"/>
      <c r="L173" s="183"/>
      <c r="M173" s="179">
        <f t="shared" si="36"/>
        <v>158.30532684822234</v>
      </c>
      <c r="N173" s="183">
        <f t="shared" si="49"/>
        <v>8.3811806130022717</v>
      </c>
      <c r="O173" s="247">
        <f t="shared" si="37"/>
        <v>0.24025506464354646</v>
      </c>
      <c r="P173" s="246"/>
      <c r="Q173" s="417"/>
      <c r="R173" s="182"/>
      <c r="S173" s="178"/>
      <c r="T173" s="182"/>
      <c r="U173" s="178"/>
      <c r="V173" s="506"/>
      <c r="W173" s="439" t="str">
        <f>IF($W$135="Y",IFERROR(E173*$F$6*'Emissions Factors'!$B49*$F$21,""),"")</f>
        <v/>
      </c>
      <c r="X173" s="259">
        <f>IF(X$135="Y",E173*'Emissions Factors'!$R$36*$F$22/10^6,"")</f>
        <v>187.63276938727896</v>
      </c>
      <c r="Y173" s="180"/>
      <c r="Z173" s="180"/>
      <c r="AA173" s="509"/>
      <c r="AB173" s="180">
        <f t="shared" si="42"/>
        <v>187.63276938727896</v>
      </c>
      <c r="AC173" s="180">
        <f t="shared" si="43"/>
        <v>0</v>
      </c>
      <c r="AE173" s="182"/>
      <c r="AF173" s="178"/>
      <c r="AG173" s="182"/>
      <c r="AH173" s="178"/>
      <c r="AJ173" s="182" t="str">
        <f>IF($AJ$135="Y",IFERROR(M173*$F$6*'Emissions Factors'!$B49*$F$21,""),"")</f>
        <v/>
      </c>
      <c r="AK173" s="259">
        <f>IF(AK$135="Y",M173*'Emissions Factors'!$R$36*$F$22/10^6,"")</f>
        <v>290.606907923184</v>
      </c>
      <c r="AL173" s="180"/>
      <c r="AM173" s="180"/>
      <c r="AO173" s="180">
        <f t="shared" si="44"/>
        <v>290.606907923184</v>
      </c>
      <c r="AP173" s="180">
        <f t="shared" si="45"/>
        <v>0</v>
      </c>
      <c r="AT173" s="478">
        <v>2052</v>
      </c>
      <c r="AU173" s="479">
        <f t="shared" si="46"/>
        <v>478.23967731046298</v>
      </c>
      <c r="AV173" s="479">
        <f t="shared" si="46"/>
        <v>0</v>
      </c>
      <c r="AW173" s="430"/>
      <c r="AX173" s="479">
        <f t="shared" si="38"/>
        <v>145.303453961592</v>
      </c>
      <c r="AY173" s="479">
        <f t="shared" si="38"/>
        <v>0</v>
      </c>
      <c r="AZ173" s="430"/>
      <c r="BA173" s="479">
        <f t="shared" si="39"/>
        <v>332.93622334887095</v>
      </c>
      <c r="BB173" s="479">
        <f t="shared" si="39"/>
        <v>0</v>
      </c>
      <c r="BC173" s="516"/>
      <c r="BE173" s="480">
        <f t="shared" si="40"/>
        <v>0.30382977585371718</v>
      </c>
      <c r="BF173" s="480" t="str">
        <f t="shared" si="41"/>
        <v/>
      </c>
    </row>
    <row r="174" spans="1:58" ht="15.6" x14ac:dyDescent="0.3">
      <c r="A174" s="152">
        <v>2053</v>
      </c>
      <c r="B174" s="178"/>
      <c r="C174" s="182"/>
      <c r="D174" s="183"/>
      <c r="E174" s="179">
        <f t="shared" si="47"/>
        <v>107.00156347361379</v>
      </c>
      <c r="F174" s="183">
        <f t="shared" si="48"/>
        <v>4.7904113108380386</v>
      </c>
      <c r="G174" s="247">
        <f t="shared" si="35"/>
        <v>0.15457093074972358</v>
      </c>
      <c r="H174" s="246"/>
      <c r="I174" s="417"/>
      <c r="J174" s="178"/>
      <c r="K174" s="182"/>
      <c r="L174" s="183"/>
      <c r="M174" s="179">
        <f t="shared" si="36"/>
        <v>167.01693927269292</v>
      </c>
      <c r="N174" s="183">
        <f t="shared" si="49"/>
        <v>8.7116124244705873</v>
      </c>
      <c r="O174" s="247">
        <f t="shared" si="37"/>
        <v>0.24126716392061257</v>
      </c>
      <c r="P174" s="246"/>
      <c r="Q174" s="417"/>
      <c r="R174" s="182"/>
      <c r="S174" s="178"/>
      <c r="T174" s="182"/>
      <c r="U174" s="178"/>
      <c r="V174" s="506"/>
      <c r="W174" s="439" t="str">
        <f>IF($W$135="Y",IFERROR(E174*$F$6*'Emissions Factors'!$B50*$F$21,""),"")</f>
        <v/>
      </c>
      <c r="X174" s="259">
        <f>IF(X$135="Y",E174*'Emissions Factors'!$R$36*$F$22/10^6,"")</f>
        <v>196.42670352985905</v>
      </c>
      <c r="Y174" s="180"/>
      <c r="Z174" s="180"/>
      <c r="AA174" s="509"/>
      <c r="AB174" s="180">
        <f t="shared" si="42"/>
        <v>196.42670352985905</v>
      </c>
      <c r="AC174" s="180">
        <f t="shared" si="43"/>
        <v>0</v>
      </c>
      <c r="AE174" s="182"/>
      <c r="AF174" s="178"/>
      <c r="AG174" s="182"/>
      <c r="AH174" s="178"/>
      <c r="AJ174" s="182" t="str">
        <f>IF($AJ$135="Y",IFERROR(M174*$F$6*'Emissions Factors'!$B50*$F$21,""),"")</f>
        <v/>
      </c>
      <c r="AK174" s="259">
        <f>IF(AK$135="Y",M174*'Emissions Factors'!$R$36*$F$22/10^6,"")</f>
        <v>306.5991350964859</v>
      </c>
      <c r="AL174" s="180"/>
      <c r="AM174" s="180"/>
      <c r="AO174" s="180">
        <f t="shared" si="44"/>
        <v>306.5991350964859</v>
      </c>
      <c r="AP174" s="180">
        <f t="shared" si="45"/>
        <v>0</v>
      </c>
      <c r="AT174" s="478">
        <v>2053</v>
      </c>
      <c r="AU174" s="479">
        <f t="shared" si="46"/>
        <v>503.02583862634492</v>
      </c>
      <c r="AV174" s="479">
        <f t="shared" si="46"/>
        <v>0</v>
      </c>
      <c r="AW174" s="430"/>
      <c r="AX174" s="479">
        <f t="shared" si="38"/>
        <v>153.29956754824295</v>
      </c>
      <c r="AY174" s="479">
        <f t="shared" si="38"/>
        <v>0</v>
      </c>
      <c r="AZ174" s="430"/>
      <c r="BA174" s="479">
        <f t="shared" si="39"/>
        <v>349.72627107810195</v>
      </c>
      <c r="BB174" s="479">
        <f t="shared" si="39"/>
        <v>0</v>
      </c>
      <c r="BC174" s="516"/>
      <c r="BE174" s="480">
        <f t="shared" si="40"/>
        <v>0.30475485706036692</v>
      </c>
      <c r="BF174" s="480" t="str">
        <f t="shared" si="41"/>
        <v/>
      </c>
    </row>
    <row r="175" spans="1:58" ht="15.6" x14ac:dyDescent="0.3">
      <c r="A175" s="152">
        <v>2054</v>
      </c>
      <c r="B175" s="178"/>
      <c r="C175" s="182"/>
      <c r="D175" s="183"/>
      <c r="E175" s="179">
        <f t="shared" si="47"/>
        <v>111.92283061714662</v>
      </c>
      <c r="F175" s="183">
        <f t="shared" si="48"/>
        <v>4.9212671435328303</v>
      </c>
      <c r="G175" s="247">
        <f t="shared" si="35"/>
        <v>0.15400512111220258</v>
      </c>
      <c r="H175" s="246"/>
      <c r="I175" s="417"/>
      <c r="J175" s="178"/>
      <c r="K175" s="182"/>
      <c r="L175" s="183"/>
      <c r="M175" s="179">
        <f t="shared" si="36"/>
        <v>176.05527473442606</v>
      </c>
      <c r="N175" s="183">
        <f t="shared" si="49"/>
        <v>9.0383354617331406</v>
      </c>
      <c r="O175" s="247">
        <f t="shared" si="37"/>
        <v>0.24225096665633833</v>
      </c>
      <c r="P175" s="246"/>
      <c r="Q175" s="417"/>
      <c r="R175" s="182"/>
      <c r="S175" s="178"/>
      <c r="T175" s="182"/>
      <c r="U175" s="178"/>
      <c r="V175" s="506"/>
      <c r="W175" s="439" t="str">
        <f>IF($W$135="Y",IFERROR(E175*$F$6*'Emissions Factors'!$B51*$F$21,""),"")</f>
        <v/>
      </c>
      <c r="X175" s="259">
        <f>IF(X$135="Y",E175*'Emissions Factors'!$R$36*$F$22/10^6,"")</f>
        <v>205.46085453488001</v>
      </c>
      <c r="Y175" s="180"/>
      <c r="Z175" s="180"/>
      <c r="AA175" s="509"/>
      <c r="AB175" s="180">
        <f t="shared" si="42"/>
        <v>205.46085453488001</v>
      </c>
      <c r="AC175" s="180">
        <f t="shared" si="43"/>
        <v>0</v>
      </c>
      <c r="AE175" s="182"/>
      <c r="AF175" s="178"/>
      <c r="AG175" s="182"/>
      <c r="AH175" s="178"/>
      <c r="AJ175" s="182" t="str">
        <f>IF($AJ$135="Y",IFERROR(M175*$F$6*'Emissions Factors'!$B51*$F$21,""),"")</f>
        <v/>
      </c>
      <c r="AK175" s="259">
        <f>IF(AK$135="Y",M175*'Emissions Factors'!$R$36*$F$22/10^6,"")</f>
        <v>323.19113975988574</v>
      </c>
      <c r="AL175" s="180"/>
      <c r="AM175" s="180"/>
      <c r="AO175" s="180">
        <f t="shared" si="44"/>
        <v>323.19113975988574</v>
      </c>
      <c r="AP175" s="180">
        <f t="shared" si="45"/>
        <v>0</v>
      </c>
      <c r="AT175" s="478">
        <v>2054</v>
      </c>
      <c r="AU175" s="479">
        <f t="shared" si="46"/>
        <v>528.6519942947657</v>
      </c>
      <c r="AV175" s="479">
        <f t="shared" si="46"/>
        <v>0</v>
      </c>
      <c r="AW175" s="430"/>
      <c r="AX175" s="479">
        <f t="shared" si="38"/>
        <v>161.59556987994287</v>
      </c>
      <c r="AY175" s="479">
        <f t="shared" si="38"/>
        <v>0</v>
      </c>
      <c r="AZ175" s="430"/>
      <c r="BA175" s="479">
        <f t="shared" si="39"/>
        <v>367.0564244148228</v>
      </c>
      <c r="BB175" s="479">
        <f t="shared" si="39"/>
        <v>0</v>
      </c>
      <c r="BC175" s="516"/>
      <c r="BE175" s="480">
        <f t="shared" si="40"/>
        <v>0.30567475697413227</v>
      </c>
      <c r="BF175" s="480" t="str">
        <f t="shared" si="41"/>
        <v/>
      </c>
    </row>
    <row r="176" spans="1:58" ht="15.6" x14ac:dyDescent="0.3">
      <c r="A176" s="152">
        <v>2055</v>
      </c>
      <c r="B176" s="178"/>
      <c r="C176" s="182"/>
      <c r="D176" s="183"/>
      <c r="E176" s="179">
        <f t="shared" si="47"/>
        <v>116.96927768877188</v>
      </c>
      <c r="F176" s="183">
        <f t="shared" si="48"/>
        <v>5.0464470716252663</v>
      </c>
      <c r="G176" s="247">
        <f t="shared" si="35"/>
        <v>0.15342494406932719</v>
      </c>
      <c r="H176" s="246"/>
      <c r="I176" s="417"/>
      <c r="J176" s="178"/>
      <c r="K176" s="182"/>
      <c r="L176" s="183"/>
      <c r="M176" s="179">
        <f t="shared" si="36"/>
        <v>185.41509248598456</v>
      </c>
      <c r="N176" s="183">
        <f t="shared" si="49"/>
        <v>9.359817751558495</v>
      </c>
      <c r="O176" s="247">
        <f t="shared" si="37"/>
        <v>0.24320317912848002</v>
      </c>
      <c r="P176" s="246"/>
      <c r="Q176" s="417"/>
      <c r="R176" s="182"/>
      <c r="S176" s="178"/>
      <c r="T176" s="182"/>
      <c r="U176" s="178"/>
      <c r="V176" s="506"/>
      <c r="W176" s="439" t="str">
        <f>IF($W$135="Y",IFERROR(E176*$F$6*'Emissions Factors'!$B52*$F$21,""),"")</f>
        <v/>
      </c>
      <c r="X176" s="259">
        <f>IF(X$135="Y",E176*'Emissions Factors'!$R$36*$F$22/10^6,"")</f>
        <v>214.72480293561253</v>
      </c>
      <c r="Y176" s="180"/>
      <c r="Z176" s="180"/>
      <c r="AA176" s="509"/>
      <c r="AB176" s="180">
        <f t="shared" si="42"/>
        <v>214.72480293561253</v>
      </c>
      <c r="AC176" s="180">
        <f t="shared" si="43"/>
        <v>0</v>
      </c>
      <c r="AE176" s="182"/>
      <c r="AF176" s="178"/>
      <c r="AG176" s="182"/>
      <c r="AH176" s="178"/>
      <c r="AJ176" s="182" t="str">
        <f>IF($AJ$135="Y",IFERROR(M176*$F$6*'Emissions Factors'!$B52*$F$21,""),"")</f>
        <v/>
      </c>
      <c r="AK176" s="259">
        <f>IF(AK$135="Y",M176*'Emissions Factors'!$R$36*$F$22/10^6,"")</f>
        <v>340.37330128065889</v>
      </c>
      <c r="AL176" s="180"/>
      <c r="AM176" s="180"/>
      <c r="AO176" s="180">
        <f t="shared" si="44"/>
        <v>340.37330128065889</v>
      </c>
      <c r="AP176" s="180">
        <f t="shared" si="45"/>
        <v>0</v>
      </c>
      <c r="AT176" s="478">
        <v>2055</v>
      </c>
      <c r="AU176" s="479">
        <f t="shared" si="46"/>
        <v>555.09810421627139</v>
      </c>
      <c r="AV176" s="479">
        <f t="shared" si="46"/>
        <v>0</v>
      </c>
      <c r="AW176" s="430"/>
      <c r="AX176" s="479">
        <f t="shared" si="38"/>
        <v>170.18665064032945</v>
      </c>
      <c r="AY176" s="479">
        <f t="shared" si="38"/>
        <v>0</v>
      </c>
      <c r="AZ176" s="430"/>
      <c r="BA176" s="479">
        <f t="shared" si="39"/>
        <v>384.91145357594195</v>
      </c>
      <c r="BB176" s="479">
        <f t="shared" si="39"/>
        <v>0</v>
      </c>
      <c r="BC176" s="516"/>
      <c r="BE176" s="480">
        <f t="shared" si="40"/>
        <v>0.30658841986248819</v>
      </c>
      <c r="BF176" s="480" t="str">
        <f t="shared" si="41"/>
        <v/>
      </c>
    </row>
    <row r="177" spans="1:58" ht="15.6" x14ac:dyDescent="0.3">
      <c r="A177" s="152">
        <v>2056</v>
      </c>
      <c r="B177" s="178"/>
      <c r="C177" s="182"/>
      <c r="D177" s="183"/>
      <c r="E177" s="179">
        <f t="shared" si="47"/>
        <v>122.13759766905005</v>
      </c>
      <c r="F177" s="183">
        <f t="shared" si="48"/>
        <v>5.1683199802781701</v>
      </c>
      <c r="G177" s="247">
        <f t="shared" si="35"/>
        <v>0.15283014796414668</v>
      </c>
      <c r="H177" s="246"/>
      <c r="I177" s="417"/>
      <c r="J177" s="178"/>
      <c r="K177" s="182"/>
      <c r="L177" s="183"/>
      <c r="M177" s="179">
        <f t="shared" si="36"/>
        <v>195.09496732772425</v>
      </c>
      <c r="N177" s="183">
        <f t="shared" si="49"/>
        <v>9.6798748417396894</v>
      </c>
      <c r="O177" s="247">
        <f t="shared" si="37"/>
        <v>0.24412132949059959</v>
      </c>
      <c r="P177" s="246"/>
      <c r="Q177" s="417"/>
      <c r="R177" s="182"/>
      <c r="S177" s="178"/>
      <c r="T177" s="182"/>
      <c r="U177" s="178"/>
      <c r="V177" s="506"/>
      <c r="W177" s="439" t="str">
        <f>IF($W$135="Y",IFERROR(E177*$F$6*'Emissions Factors'!$B53*$F$21,""),"")</f>
        <v/>
      </c>
      <c r="X177" s="259">
        <f>IF(X$135="Y",E177*'Emissions Factors'!$R$36*$F$22/10^6,"")</f>
        <v>224.21247791490282</v>
      </c>
      <c r="Y177" s="180"/>
      <c r="Z177" s="180"/>
      <c r="AA177" s="509"/>
      <c r="AB177" s="180">
        <f t="shared" si="42"/>
        <v>224.21247791490282</v>
      </c>
      <c r="AC177" s="180">
        <f t="shared" si="43"/>
        <v>0</v>
      </c>
      <c r="AE177" s="182"/>
      <c r="AF177" s="178"/>
      <c r="AG177" s="182"/>
      <c r="AH177" s="178"/>
      <c r="AJ177" s="182" t="str">
        <f>IF($AJ$135="Y",IFERROR(M177*$F$6*'Emissions Factors'!$B53*$F$21,""),"")</f>
        <v/>
      </c>
      <c r="AK177" s="259">
        <f>IF(AK$135="Y",M177*'Emissions Factors'!$R$36*$F$22/10^6,"")</f>
        <v>358.14300336742718</v>
      </c>
      <c r="AL177" s="180"/>
      <c r="AM177" s="180"/>
      <c r="AO177" s="180">
        <f t="shared" si="44"/>
        <v>358.14300336742718</v>
      </c>
      <c r="AP177" s="180">
        <f t="shared" si="45"/>
        <v>0</v>
      </c>
      <c r="AT177" s="478">
        <v>2056</v>
      </c>
      <c r="AU177" s="479">
        <f t="shared" si="46"/>
        <v>582.35548128232995</v>
      </c>
      <c r="AV177" s="479">
        <f t="shared" si="46"/>
        <v>0</v>
      </c>
      <c r="AW177" s="430"/>
      <c r="AX177" s="479">
        <f t="shared" si="38"/>
        <v>179.07150168371359</v>
      </c>
      <c r="AY177" s="479">
        <f t="shared" si="38"/>
        <v>0</v>
      </c>
      <c r="AZ177" s="430"/>
      <c r="BA177" s="479">
        <f t="shared" si="39"/>
        <v>403.28397959861638</v>
      </c>
      <c r="BB177" s="479">
        <f t="shared" si="39"/>
        <v>0</v>
      </c>
      <c r="BC177" s="516"/>
      <c r="BE177" s="480">
        <f t="shared" si="40"/>
        <v>0.30749517681091165</v>
      </c>
      <c r="BF177" s="480" t="str">
        <f t="shared" si="41"/>
        <v/>
      </c>
    </row>
    <row r="178" spans="1:58" ht="15.6" x14ac:dyDescent="0.3">
      <c r="A178" s="152">
        <v>2057</v>
      </c>
      <c r="B178" s="178"/>
      <c r="C178" s="182"/>
      <c r="D178" s="183"/>
      <c r="E178" s="179">
        <f t="shared" si="47"/>
        <v>127.42219667809636</v>
      </c>
      <c r="F178" s="183">
        <f t="shared" si="48"/>
        <v>5.2845990090463033</v>
      </c>
      <c r="G178" s="247">
        <f t="shared" si="35"/>
        <v>0.15222054291505169</v>
      </c>
      <c r="H178" s="246"/>
      <c r="I178" s="417"/>
      <c r="J178" s="178"/>
      <c r="K178" s="182"/>
      <c r="L178" s="183"/>
      <c r="M178" s="179">
        <f t="shared" si="36"/>
        <v>205.08907533913555</v>
      </c>
      <c r="N178" s="183">
        <f t="shared" si="49"/>
        <v>9.9941080114112992</v>
      </c>
      <c r="O178" s="247">
        <f t="shared" si="37"/>
        <v>0.24500260714337224</v>
      </c>
      <c r="P178" s="246"/>
      <c r="Q178" s="417"/>
      <c r="R178" s="182"/>
      <c r="S178" s="178"/>
      <c r="T178" s="182"/>
      <c r="U178" s="178"/>
      <c r="V178" s="506"/>
      <c r="W178" s="439" t="str">
        <f>IF($W$135="Y",IFERROR(E178*$F$6*'Emissions Factors'!$B54*$F$21,""),"")</f>
        <v/>
      </c>
      <c r="X178" s="259">
        <f>IF(X$135="Y",E178*'Emissions Factors'!$R$36*$F$22/10^6,"")</f>
        <v>233.91361058181101</v>
      </c>
      <c r="Y178" s="180"/>
      <c r="Z178" s="180"/>
      <c r="AA178" s="509"/>
      <c r="AB178" s="180">
        <f t="shared" si="42"/>
        <v>233.91361058181101</v>
      </c>
      <c r="AC178" s="180">
        <f t="shared" si="43"/>
        <v>0</v>
      </c>
      <c r="AE178" s="182"/>
      <c r="AF178" s="178"/>
      <c r="AG178" s="182"/>
      <c r="AH178" s="178"/>
      <c r="AJ178" s="182" t="str">
        <f>IF($AJ$135="Y",IFERROR(M178*$F$6*'Emissions Factors'!$B54*$F$21,""),"")</f>
        <v/>
      </c>
      <c r="AK178" s="259">
        <f>IF(AK$135="Y",M178*'Emissions Factors'!$R$36*$F$22/10^6,"")</f>
        <v>376.48955483521928</v>
      </c>
      <c r="AL178" s="180"/>
      <c r="AM178" s="180"/>
      <c r="AO178" s="180">
        <f t="shared" si="44"/>
        <v>376.48955483521928</v>
      </c>
      <c r="AP178" s="180">
        <f t="shared" si="45"/>
        <v>0</v>
      </c>
      <c r="AT178" s="478">
        <v>2057</v>
      </c>
      <c r="AU178" s="479">
        <f t="shared" si="46"/>
        <v>610.40316541703032</v>
      </c>
      <c r="AV178" s="479">
        <f t="shared" si="46"/>
        <v>0</v>
      </c>
      <c r="AW178" s="430"/>
      <c r="AX178" s="479">
        <f t="shared" si="38"/>
        <v>188.24477741760964</v>
      </c>
      <c r="AY178" s="479">
        <f t="shared" si="38"/>
        <v>0</v>
      </c>
      <c r="AZ178" s="430"/>
      <c r="BA178" s="479">
        <f t="shared" si="39"/>
        <v>422.15838799942071</v>
      </c>
      <c r="BB178" s="479">
        <f t="shared" si="39"/>
        <v>0</v>
      </c>
      <c r="BC178" s="516"/>
      <c r="BE178" s="480">
        <f t="shared" si="40"/>
        <v>0.30839416975991585</v>
      </c>
      <c r="BF178" s="480" t="str">
        <f t="shared" si="41"/>
        <v/>
      </c>
    </row>
    <row r="179" spans="1:58" ht="15.6" x14ac:dyDescent="0.3">
      <c r="A179" s="152">
        <v>2058</v>
      </c>
      <c r="B179" s="178"/>
      <c r="C179" s="182"/>
      <c r="D179" s="183"/>
      <c r="E179" s="179">
        <f t="shared" si="47"/>
        <v>132.81150151896011</v>
      </c>
      <c r="F179" s="183">
        <f t="shared" si="48"/>
        <v>5.3893048408637583</v>
      </c>
      <c r="G179" s="247">
        <f t="shared" si="35"/>
        <v>0.15159623188111609</v>
      </c>
      <c r="H179" s="246"/>
      <c r="I179" s="417"/>
      <c r="J179" s="178"/>
      <c r="K179" s="182"/>
      <c r="L179" s="183"/>
      <c r="M179" s="179">
        <f t="shared" si="36"/>
        <v>215.38004213642563</v>
      </c>
      <c r="N179" s="183">
        <f t="shared" si="49"/>
        <v>10.290966797290082</v>
      </c>
      <c r="O179" s="247">
        <f t="shared" si="37"/>
        <v>0.24584318704970684</v>
      </c>
      <c r="P179" s="246"/>
      <c r="Q179" s="417"/>
      <c r="R179" s="182"/>
      <c r="S179" s="178"/>
      <c r="T179" s="182"/>
      <c r="U179" s="178"/>
      <c r="V179" s="506"/>
      <c r="W179" s="439" t="str">
        <f>IF($W$135="Y",IFERROR(E179*$F$6*'Emissions Factors'!$B55*$F$21,""),"")</f>
        <v/>
      </c>
      <c r="X179" s="259">
        <f>IF(X$135="Y",E179*'Emissions Factors'!$R$36*$F$22/10^6,"")</f>
        <v>243.80695559325494</v>
      </c>
      <c r="Y179" s="180"/>
      <c r="Z179" s="180"/>
      <c r="AA179" s="509"/>
      <c r="AB179" s="180">
        <f t="shared" si="42"/>
        <v>243.80695559325494</v>
      </c>
      <c r="AC179" s="180">
        <f t="shared" si="43"/>
        <v>0</v>
      </c>
      <c r="AE179" s="182"/>
      <c r="AF179" s="178"/>
      <c r="AG179" s="182"/>
      <c r="AH179" s="178"/>
      <c r="AJ179" s="182" t="str">
        <f>IF($AJ$135="Y",IFERROR(M179*$F$6*'Emissions Factors'!$B55*$F$21,""),"")</f>
        <v/>
      </c>
      <c r="AK179" s="259">
        <f>IF(AK$135="Y",M179*'Emissions Factors'!$R$36*$F$22/10^6,"")</f>
        <v>395.38106088901066</v>
      </c>
      <c r="AL179" s="180"/>
      <c r="AM179" s="180"/>
      <c r="AO179" s="180">
        <f t="shared" si="44"/>
        <v>395.38106088901066</v>
      </c>
      <c r="AP179" s="180">
        <f t="shared" si="45"/>
        <v>0</v>
      </c>
      <c r="AT179" s="478">
        <v>2058</v>
      </c>
      <c r="AU179" s="479">
        <f t="shared" si="46"/>
        <v>639.18801648226554</v>
      </c>
      <c r="AV179" s="479">
        <f t="shared" si="46"/>
        <v>0</v>
      </c>
      <c r="AW179" s="430"/>
      <c r="AX179" s="479">
        <f t="shared" si="38"/>
        <v>197.69053044450533</v>
      </c>
      <c r="AY179" s="479">
        <f t="shared" si="38"/>
        <v>0</v>
      </c>
      <c r="AZ179" s="430"/>
      <c r="BA179" s="479">
        <f t="shared" si="39"/>
        <v>441.49748603776021</v>
      </c>
      <c r="BB179" s="479">
        <f t="shared" si="39"/>
        <v>0</v>
      </c>
      <c r="BC179" s="516"/>
      <c r="BE179" s="480">
        <f t="shared" si="40"/>
        <v>0.30928384973874162</v>
      </c>
      <c r="BF179" s="480" t="str">
        <f t="shared" si="41"/>
        <v/>
      </c>
    </row>
    <row r="180" spans="1:58" ht="15.6" x14ac:dyDescent="0.3">
      <c r="A180" s="152">
        <v>2059</v>
      </c>
      <c r="B180" s="178"/>
      <c r="C180" s="182"/>
      <c r="D180" s="183"/>
      <c r="E180" s="179">
        <f t="shared" si="47"/>
        <v>138.29146953134733</v>
      </c>
      <c r="F180" s="183">
        <f t="shared" si="48"/>
        <v>5.4799680123872179</v>
      </c>
      <c r="G180" s="247">
        <f t="shared" si="35"/>
        <v>0.15095753061345393</v>
      </c>
      <c r="H180" s="246"/>
      <c r="I180" s="417"/>
      <c r="J180" s="178"/>
      <c r="K180" s="182"/>
      <c r="L180" s="183"/>
      <c r="M180" s="179">
        <f t="shared" si="36"/>
        <v>225.94486908056223</v>
      </c>
      <c r="N180" s="183">
        <f t="shared" si="49"/>
        <v>10.564826944136598</v>
      </c>
      <c r="O180" s="247">
        <f t="shared" si="37"/>
        <v>0.24663907041244026</v>
      </c>
      <c r="P180" s="246"/>
      <c r="Q180" s="417"/>
      <c r="R180" s="182"/>
      <c r="S180" s="178"/>
      <c r="T180" s="182"/>
      <c r="U180" s="178"/>
      <c r="V180" s="506"/>
      <c r="W180" s="439" t="str">
        <f>IF($W$135="Y",IFERROR(E180*$F$6*'Emissions Factors'!$B56*$F$21,""),"")</f>
        <v/>
      </c>
      <c r="X180" s="259">
        <f>IF(X$135="Y",E180*'Emissions Factors'!$R$36*$F$22/10^6,"")</f>
        <v>253.86673432151375</v>
      </c>
      <c r="Y180" s="180"/>
      <c r="Z180" s="180"/>
      <c r="AA180" s="509"/>
      <c r="AB180" s="180">
        <f t="shared" si="42"/>
        <v>253.86673432151375</v>
      </c>
      <c r="AC180" s="180">
        <f t="shared" si="43"/>
        <v>0</v>
      </c>
      <c r="AE180" s="182"/>
      <c r="AF180" s="178"/>
      <c r="AG180" s="182"/>
      <c r="AH180" s="178"/>
      <c r="AJ180" s="182" t="str">
        <f>IF($AJ$135="Y",IFERROR(M180*$F$6*'Emissions Factors'!$B56*$F$21,""),"")</f>
        <v/>
      </c>
      <c r="AK180" s="259">
        <f>IF(AK$135="Y",M180*'Emissions Factors'!$R$36*$F$22/10^6,"")</f>
        <v>414.7753020816819</v>
      </c>
      <c r="AL180" s="180"/>
      <c r="AM180" s="180"/>
      <c r="AO180" s="180">
        <f t="shared" si="44"/>
        <v>414.7753020816819</v>
      </c>
      <c r="AP180" s="180">
        <f t="shared" si="45"/>
        <v>0</v>
      </c>
      <c r="AT180" s="478">
        <v>2059</v>
      </c>
      <c r="AU180" s="479">
        <f t="shared" si="46"/>
        <v>668.64203640319568</v>
      </c>
      <c r="AV180" s="479">
        <f t="shared" si="46"/>
        <v>0</v>
      </c>
      <c r="AW180" s="430"/>
      <c r="AX180" s="479">
        <f t="shared" si="38"/>
        <v>207.38765104084095</v>
      </c>
      <c r="AY180" s="479">
        <f t="shared" si="38"/>
        <v>0</v>
      </c>
      <c r="AZ180" s="430"/>
      <c r="BA180" s="479">
        <f t="shared" si="39"/>
        <v>461.2543853623547</v>
      </c>
      <c r="BB180" s="479">
        <f t="shared" si="39"/>
        <v>0</v>
      </c>
      <c r="BC180" s="516"/>
      <c r="BE180" s="480">
        <f t="shared" si="40"/>
        <v>0.3101624482906199</v>
      </c>
      <c r="BF180" s="480" t="str">
        <f t="shared" si="41"/>
        <v/>
      </c>
    </row>
    <row r="181" spans="1:58" ht="15.6" x14ac:dyDescent="0.3">
      <c r="A181" s="152">
        <v>2060</v>
      </c>
      <c r="B181" s="178"/>
      <c r="C181" s="182"/>
      <c r="D181" s="183"/>
      <c r="E181" s="179">
        <f t="shared" si="47"/>
        <v>143.8495475345957</v>
      </c>
      <c r="F181" s="183">
        <f t="shared" si="48"/>
        <v>5.5580780032483688</v>
      </c>
      <c r="G181" s="247">
        <f t="shared" si="35"/>
        <v>0.15030484040243394</v>
      </c>
      <c r="H181" s="246"/>
      <c r="I181" s="417"/>
      <c r="J181" s="178"/>
      <c r="K181" s="182"/>
      <c r="L181" s="183"/>
      <c r="M181" s="179">
        <f t="shared" si="36"/>
        <v>236.76211856673254</v>
      </c>
      <c r="N181" s="183">
        <f t="shared" si="49"/>
        <v>10.817249486170311</v>
      </c>
      <c r="O181" s="247">
        <f t="shared" si="37"/>
        <v>0.24738689175199774</v>
      </c>
      <c r="P181" s="246"/>
      <c r="Q181" s="417"/>
      <c r="R181" s="182"/>
      <c r="S181" s="178"/>
      <c r="T181" s="182"/>
      <c r="U181" s="178"/>
      <c r="V181" s="506"/>
      <c r="W181" s="439" t="str">
        <f>IF($W$135="Y",IFERROR(E181*$F$6*'Emissions Factors'!$B57*$F$21,""),"")</f>
        <v/>
      </c>
      <c r="X181" s="259">
        <f>IF(X$135="Y",E181*'Emissions Factors'!$R$36*$F$22/10^6,"")</f>
        <v>264.06990243138085</v>
      </c>
      <c r="Y181" s="180"/>
      <c r="Z181" s="180"/>
      <c r="AA181" s="509"/>
      <c r="AB181" s="180">
        <f t="shared" si="42"/>
        <v>264.06990243138085</v>
      </c>
      <c r="AC181" s="180">
        <f t="shared" si="43"/>
        <v>0</v>
      </c>
      <c r="AE181" s="182"/>
      <c r="AF181" s="178"/>
      <c r="AG181" s="182"/>
      <c r="AH181" s="178"/>
      <c r="AJ181" s="182" t="str">
        <f>IF($AJ$135="Y",IFERROR(M181*$F$6*'Emissions Factors'!$B57*$F$21,""),"")</f>
        <v/>
      </c>
      <c r="AK181" s="259">
        <f>IF(AK$135="Y",M181*'Emissions Factors'!$R$36*$F$22/10^6,"")</f>
        <v>434.63292461401494</v>
      </c>
      <c r="AL181" s="180"/>
      <c r="AM181" s="180"/>
      <c r="AO181" s="180">
        <f t="shared" si="44"/>
        <v>434.63292461401494</v>
      </c>
      <c r="AP181" s="180">
        <f t="shared" si="45"/>
        <v>0</v>
      </c>
      <c r="AT181" s="478">
        <v>2060</v>
      </c>
      <c r="AU181" s="479">
        <f t="shared" si="46"/>
        <v>698.70282704539579</v>
      </c>
      <c r="AV181" s="479">
        <f t="shared" si="46"/>
        <v>0</v>
      </c>
      <c r="AW181" s="430"/>
      <c r="AX181" s="479">
        <f t="shared" si="38"/>
        <v>217.31646230700747</v>
      </c>
      <c r="AY181" s="479">
        <f t="shared" si="38"/>
        <v>0</v>
      </c>
      <c r="AZ181" s="430"/>
      <c r="BA181" s="479">
        <f t="shared" si="39"/>
        <v>481.38636473838835</v>
      </c>
      <c r="BB181" s="479">
        <f t="shared" si="39"/>
        <v>0</v>
      </c>
      <c r="BC181" s="516"/>
      <c r="BE181" s="480">
        <f t="shared" si="40"/>
        <v>0.31102845715677646</v>
      </c>
      <c r="BF181" s="480" t="str">
        <f t="shared" si="41"/>
        <v/>
      </c>
    </row>
    <row r="182" spans="1:58" x14ac:dyDescent="0.25">
      <c r="BA182" s="516"/>
    </row>
    <row r="183" spans="1:58" x14ac:dyDescent="0.25">
      <c r="BA183" s="516"/>
    </row>
    <row r="184" spans="1:58" x14ac:dyDescent="0.25">
      <c r="BA184" s="516"/>
    </row>
    <row r="185" spans="1:58" x14ac:dyDescent="0.25">
      <c r="BA185" s="516"/>
    </row>
    <row r="186" spans="1:58" x14ac:dyDescent="0.25">
      <c r="BA186" s="516"/>
    </row>
    <row r="187" spans="1:58" x14ac:dyDescent="0.25">
      <c r="BA187" s="516"/>
    </row>
    <row r="188" spans="1:58" x14ac:dyDescent="0.25">
      <c r="BA188" s="516"/>
    </row>
    <row r="189" spans="1:58" ht="13.5" customHeight="1" thickBot="1" x14ac:dyDescent="0.3">
      <c r="BC189" s="516"/>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516"/>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CleanCookstoves_cluster</v>
      </c>
      <c r="Z191" s="607"/>
      <c r="AA191" s="608"/>
      <c r="AB191" s="445"/>
      <c r="AC191" s="606" t="str">
        <f ca="1">CONCATENATE("Table 14(b): EMISSIONS ALLOCATION TO Education in MDC, ",A1)</f>
        <v>Table 14(b): EMISSIONS ALLOCATION TO Education in MDC, CleanCookstoves_cluster</v>
      </c>
      <c r="AD191" s="608"/>
      <c r="AE191" s="446"/>
      <c r="AF191" s="606" t="str">
        <f ca="1">CONCATENATE("Table 14(c): EMISSIONS ALLOCATION TO Family Planning in MDC, ",$A$1)</f>
        <v>Table 14(c): EMISSIONS ALLOCATION TO Family Planning in MDC, CleanCookstoves_cluster</v>
      </c>
      <c r="AG191" s="608"/>
      <c r="AH191" s="516"/>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516"/>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516"/>
      <c r="AJ193" s="481" t="s">
        <v>227</v>
      </c>
      <c r="AK193" s="481" t="s">
        <v>228</v>
      </c>
    </row>
    <row r="194" spans="1:37" ht="15.6" x14ac:dyDescent="0.3">
      <c r="A194" s="152">
        <v>2014</v>
      </c>
      <c r="B194" s="178"/>
      <c r="C194" s="182"/>
      <c r="D194" s="183"/>
      <c r="E194" s="179">
        <f>IFERROR(IF($G$19="Y",$F$19,$AD80)*(SUMIF($H$5:$H$16,"Y",$F$5:$F$16)*(AL29-B29)),0)</f>
        <v>0</v>
      </c>
      <c r="F194" s="183" t="str">
        <f>IFERROR(E194-E193,"")</f>
        <v/>
      </c>
      <c r="G194" s="247">
        <f>E194/(AL29-B29)</f>
        <v>0</v>
      </c>
      <c r="H194" s="245" t="s">
        <v>264</v>
      </c>
      <c r="I194" s="416"/>
      <c r="J194" s="416"/>
      <c r="K194" s="167" t="s">
        <v>213</v>
      </c>
      <c r="L194" s="167" t="s">
        <v>213</v>
      </c>
      <c r="M194" s="167" t="s">
        <v>211</v>
      </c>
      <c r="N194" s="167" t="s">
        <v>211</v>
      </c>
      <c r="O194" s="495"/>
      <c r="P194" s="167" t="s">
        <v>211</v>
      </c>
      <c r="Q194" s="167" t="s">
        <v>213</v>
      </c>
      <c r="R194" s="167" t="s">
        <v>211</v>
      </c>
      <c r="S194" s="167" t="s">
        <v>211</v>
      </c>
      <c r="T194" s="496"/>
      <c r="U194" s="496"/>
      <c r="V194" s="496"/>
      <c r="Y194" s="478">
        <v>2014</v>
      </c>
      <c r="Z194" s="479">
        <f>U194</f>
        <v>0</v>
      </c>
      <c r="AA194" s="479">
        <f>V194</f>
        <v>0</v>
      </c>
      <c r="AB194" s="430"/>
      <c r="AC194" s="512"/>
      <c r="AD194" s="479"/>
      <c r="AE194" s="430"/>
      <c r="AF194" s="479">
        <f>Z194-AC194</f>
        <v>0</v>
      </c>
      <c r="AG194" s="479">
        <f t="shared" ref="AG194:AG240" si="50">AA194-AD194</f>
        <v>0</v>
      </c>
      <c r="AH194" s="516"/>
      <c r="AJ194" s="480" t="str">
        <f t="shared" ref="AJ194:AJ240" si="51">IFERROR(AC194/Z194,"")</f>
        <v/>
      </c>
      <c r="AK194" s="480" t="str">
        <f t="shared" ref="AK194:AK240" si="52">IFERROR(AG194/(AD194+AG194),"")</f>
        <v/>
      </c>
    </row>
    <row r="195" spans="1:37" ht="15.6" x14ac:dyDescent="0.3">
      <c r="A195" s="152">
        <v>2015</v>
      </c>
      <c r="B195" s="178"/>
      <c r="C195" s="182"/>
      <c r="D195" s="183"/>
      <c r="E195" s="179">
        <f t="shared" ref="E195:E240" si="53">IFERROR(IF($G$19="Y",$F$19,$AD81)*(SUMIF($H$5:$H$16,"Y",$F$5:$F$16)*(AL30-B30)),0)</f>
        <v>0</v>
      </c>
      <c r="F195" s="183">
        <f>IFERROR(E195-E194,"")</f>
        <v>0</v>
      </c>
      <c r="G195" s="247">
        <f t="shared" ref="G195:G240" si="54">E195/(AL30-B30)</f>
        <v>0</v>
      </c>
      <c r="H195" s="246"/>
      <c r="I195" s="417"/>
      <c r="J195" s="417"/>
      <c r="K195" s="439"/>
      <c r="L195" s="440"/>
      <c r="M195" s="439"/>
      <c r="N195" s="440"/>
      <c r="O195" s="495"/>
      <c r="P195" s="439" t="str">
        <f>IF($P$194="Y",IFERROR(E195*$F$6*'Emissions Factors'!$B12*$F$21,""),"")</f>
        <v/>
      </c>
      <c r="Q195" s="441"/>
      <c r="R195" s="441"/>
      <c r="S195" s="441"/>
      <c r="T195" s="496"/>
      <c r="U195" s="441">
        <f>SUM(P195:S195)</f>
        <v>0</v>
      </c>
      <c r="V195" s="441">
        <f t="shared" ref="V195:V240" si="55">SUM(K195:N195)</f>
        <v>0</v>
      </c>
      <c r="Y195" s="478">
        <v>2015</v>
      </c>
      <c r="Z195" s="479">
        <f t="shared" ref="Z195:AA240" si="56">U195</f>
        <v>0</v>
      </c>
      <c r="AA195" s="479">
        <f t="shared" si="56"/>
        <v>0</v>
      </c>
      <c r="AB195" s="430"/>
      <c r="AC195" s="479"/>
      <c r="AD195" s="479"/>
      <c r="AE195" s="430"/>
      <c r="AF195" s="479">
        <f t="shared" ref="AF195:AF240" si="57">Z195-AC195</f>
        <v>0</v>
      </c>
      <c r="AG195" s="479">
        <f t="shared" si="50"/>
        <v>0</v>
      </c>
      <c r="AH195" s="516"/>
      <c r="AJ195" s="480" t="str">
        <f t="shared" si="51"/>
        <v/>
      </c>
      <c r="AK195" s="480" t="str">
        <f t="shared" si="52"/>
        <v/>
      </c>
    </row>
    <row r="196" spans="1:37" ht="15.6" x14ac:dyDescent="0.3">
      <c r="A196" s="152">
        <v>2016</v>
      </c>
      <c r="B196" s="178"/>
      <c r="C196" s="182"/>
      <c r="D196" s="183"/>
      <c r="E196" s="179">
        <f t="shared" si="53"/>
        <v>0</v>
      </c>
      <c r="F196" s="183">
        <f t="shared" ref="F196" si="58">IFERROR(E196-E195,"")</f>
        <v>0</v>
      </c>
      <c r="G196" s="247">
        <f t="shared" si="54"/>
        <v>0</v>
      </c>
      <c r="H196" s="246"/>
      <c r="I196" s="417"/>
      <c r="J196" s="417"/>
      <c r="K196" s="439"/>
      <c r="L196" s="440"/>
      <c r="M196" s="439"/>
      <c r="N196" s="440"/>
      <c r="O196" s="495"/>
      <c r="P196" s="439" t="str">
        <f>IF($P$194="Y",IFERROR(E196*$F$6*'Emissions Factors'!$B13*$F$21,""),"")</f>
        <v/>
      </c>
      <c r="Q196" s="441"/>
      <c r="R196" s="441"/>
      <c r="S196" s="441"/>
      <c r="T196" s="496"/>
      <c r="U196" s="441">
        <f t="shared" ref="U196:U240" si="59">SUM(P196:S196)</f>
        <v>0</v>
      </c>
      <c r="V196" s="441">
        <f t="shared" si="55"/>
        <v>0</v>
      </c>
      <c r="Y196" s="478">
        <v>2016</v>
      </c>
      <c r="Z196" s="479">
        <f t="shared" si="56"/>
        <v>0</v>
      </c>
      <c r="AA196" s="479">
        <f t="shared" si="56"/>
        <v>0</v>
      </c>
      <c r="AB196" s="430"/>
      <c r="AC196" s="479"/>
      <c r="AD196" s="479"/>
      <c r="AE196" s="430"/>
      <c r="AF196" s="479">
        <f t="shared" si="57"/>
        <v>0</v>
      </c>
      <c r="AG196" s="479">
        <f t="shared" si="50"/>
        <v>0</v>
      </c>
      <c r="AH196" s="516"/>
      <c r="AJ196" s="480" t="str">
        <f t="shared" si="51"/>
        <v/>
      </c>
      <c r="AK196" s="480" t="str">
        <f t="shared" si="52"/>
        <v/>
      </c>
    </row>
    <row r="197" spans="1:37" ht="15.6" x14ac:dyDescent="0.3">
      <c r="A197" s="152">
        <v>2017</v>
      </c>
      <c r="B197" s="178"/>
      <c r="C197" s="182"/>
      <c r="D197" s="183"/>
      <c r="E197" s="179">
        <f t="shared" si="53"/>
        <v>0</v>
      </c>
      <c r="F197" s="183">
        <f>IFERROR(E197-E196,"")</f>
        <v>0</v>
      </c>
      <c r="G197" s="247">
        <f t="shared" si="54"/>
        <v>0</v>
      </c>
      <c r="H197" s="246"/>
      <c r="I197" s="417"/>
      <c r="J197" s="417"/>
      <c r="K197" s="439"/>
      <c r="L197" s="440"/>
      <c r="M197" s="439"/>
      <c r="N197" s="440"/>
      <c r="O197" s="495"/>
      <c r="P197" s="439" t="str">
        <f>IF($P$194="Y",IFERROR(E197*$F$6*'Emissions Factors'!$B14*$F$21,""),"")</f>
        <v/>
      </c>
      <c r="Q197" s="441"/>
      <c r="R197" s="441"/>
      <c r="S197" s="441"/>
      <c r="T197" s="496"/>
      <c r="U197" s="441">
        <f t="shared" si="59"/>
        <v>0</v>
      </c>
      <c r="V197" s="441">
        <f t="shared" si="55"/>
        <v>0</v>
      </c>
      <c r="Y197" s="478">
        <v>2017</v>
      </c>
      <c r="Z197" s="479">
        <f t="shared" si="56"/>
        <v>0</v>
      </c>
      <c r="AA197" s="479">
        <f t="shared" si="56"/>
        <v>0</v>
      </c>
      <c r="AB197" s="430"/>
      <c r="AC197" s="479"/>
      <c r="AD197" s="479"/>
      <c r="AE197" s="430"/>
      <c r="AF197" s="479">
        <f t="shared" si="57"/>
        <v>0</v>
      </c>
      <c r="AG197" s="479">
        <f t="shared" si="50"/>
        <v>0</v>
      </c>
      <c r="AH197" s="516"/>
      <c r="AJ197" s="480" t="str">
        <f t="shared" si="51"/>
        <v/>
      </c>
      <c r="AK197" s="480" t="str">
        <f t="shared" si="52"/>
        <v/>
      </c>
    </row>
    <row r="198" spans="1:37" ht="15.6" x14ac:dyDescent="0.3">
      <c r="A198" s="152">
        <v>2018</v>
      </c>
      <c r="B198" s="178"/>
      <c r="C198" s="182"/>
      <c r="D198" s="183"/>
      <c r="E198" s="179">
        <f t="shared" si="53"/>
        <v>0</v>
      </c>
      <c r="F198" s="183">
        <f t="shared" ref="F198:F240" si="60">IFERROR(E198-E197,"")</f>
        <v>0</v>
      </c>
      <c r="G198" s="247">
        <f t="shared" si="54"/>
        <v>0</v>
      </c>
      <c r="H198" s="246"/>
      <c r="I198" s="417"/>
      <c r="J198" s="417"/>
      <c r="K198" s="439"/>
      <c r="L198" s="440"/>
      <c r="M198" s="439"/>
      <c r="N198" s="440"/>
      <c r="O198" s="495"/>
      <c r="P198" s="439" t="str">
        <f>IF($P$194="Y",IFERROR(E198*$F$6*'Emissions Factors'!$B15*$F$21,""),"")</f>
        <v/>
      </c>
      <c r="Q198" s="441"/>
      <c r="R198" s="441"/>
      <c r="S198" s="441"/>
      <c r="T198" s="496"/>
      <c r="U198" s="441">
        <f t="shared" si="59"/>
        <v>0</v>
      </c>
      <c r="V198" s="441">
        <f t="shared" si="55"/>
        <v>0</v>
      </c>
      <c r="Y198" s="478">
        <v>2018</v>
      </c>
      <c r="Z198" s="479">
        <f t="shared" si="56"/>
        <v>0</v>
      </c>
      <c r="AA198" s="479">
        <f t="shared" si="56"/>
        <v>0</v>
      </c>
      <c r="AB198" s="430"/>
      <c r="AC198" s="479"/>
      <c r="AD198" s="479"/>
      <c r="AE198" s="430"/>
      <c r="AF198" s="479">
        <f t="shared" si="57"/>
        <v>0</v>
      </c>
      <c r="AG198" s="479">
        <f t="shared" si="50"/>
        <v>0</v>
      </c>
      <c r="AH198" s="516"/>
      <c r="AJ198" s="480" t="str">
        <f t="shared" si="51"/>
        <v/>
      </c>
      <c r="AK198" s="480" t="str">
        <f t="shared" si="52"/>
        <v/>
      </c>
    </row>
    <row r="199" spans="1:37" ht="15.6" x14ac:dyDescent="0.3">
      <c r="A199" s="152">
        <v>2019</v>
      </c>
      <c r="B199" s="178"/>
      <c r="C199" s="182"/>
      <c r="D199" s="183"/>
      <c r="E199" s="179">
        <f t="shared" si="53"/>
        <v>0</v>
      </c>
      <c r="F199" s="183">
        <f t="shared" si="60"/>
        <v>0</v>
      </c>
      <c r="G199" s="247">
        <f t="shared" si="54"/>
        <v>0</v>
      </c>
      <c r="H199" s="246"/>
      <c r="I199" s="417"/>
      <c r="J199" s="417"/>
      <c r="K199" s="439"/>
      <c r="L199" s="440"/>
      <c r="M199" s="439"/>
      <c r="N199" s="440"/>
      <c r="O199" s="495"/>
      <c r="P199" s="439" t="str">
        <f>IF($P$194="Y",IFERROR(E199*$F$6*'Emissions Factors'!$B16*$F$21,""),"")</f>
        <v/>
      </c>
      <c r="Q199" s="441"/>
      <c r="R199" s="441"/>
      <c r="S199" s="441"/>
      <c r="T199" s="496"/>
      <c r="U199" s="441">
        <f t="shared" si="59"/>
        <v>0</v>
      </c>
      <c r="V199" s="441">
        <f t="shared" si="55"/>
        <v>0</v>
      </c>
      <c r="Y199" s="478">
        <v>2019</v>
      </c>
      <c r="Z199" s="479">
        <f t="shared" si="56"/>
        <v>0</v>
      </c>
      <c r="AA199" s="479">
        <f t="shared" si="56"/>
        <v>0</v>
      </c>
      <c r="AB199" s="430"/>
      <c r="AC199" s="479"/>
      <c r="AD199" s="479"/>
      <c r="AE199" s="430"/>
      <c r="AF199" s="479">
        <f t="shared" si="57"/>
        <v>0</v>
      </c>
      <c r="AG199" s="479">
        <f t="shared" si="50"/>
        <v>0</v>
      </c>
      <c r="AH199" s="516"/>
      <c r="AJ199" s="480" t="str">
        <f t="shared" si="51"/>
        <v/>
      </c>
      <c r="AK199" s="480" t="str">
        <f t="shared" si="52"/>
        <v/>
      </c>
    </row>
    <row r="200" spans="1:37" ht="15.6" x14ac:dyDescent="0.3">
      <c r="A200" s="152">
        <v>2020</v>
      </c>
      <c r="B200" s="178"/>
      <c r="C200" s="182"/>
      <c r="D200" s="183"/>
      <c r="E200" s="179">
        <f t="shared" si="53"/>
        <v>0</v>
      </c>
      <c r="F200" s="183">
        <f t="shared" si="60"/>
        <v>0</v>
      </c>
      <c r="G200" s="247">
        <f t="shared" si="54"/>
        <v>0</v>
      </c>
      <c r="H200" s="246"/>
      <c r="I200" s="417"/>
      <c r="J200" s="417"/>
      <c r="K200" s="439"/>
      <c r="L200" s="440"/>
      <c r="M200" s="439"/>
      <c r="N200" s="440"/>
      <c r="O200" s="495"/>
      <c r="P200" s="439" t="str">
        <f>IF($P$194="Y",IFERROR(E200*$F$6*'Emissions Factors'!$B17*$F$21,""),"")</f>
        <v/>
      </c>
      <c r="Q200" s="441"/>
      <c r="R200" s="441"/>
      <c r="S200" s="441"/>
      <c r="T200" s="496"/>
      <c r="U200" s="441">
        <f t="shared" si="59"/>
        <v>0</v>
      </c>
      <c r="V200" s="441">
        <f t="shared" si="55"/>
        <v>0</v>
      </c>
      <c r="X200" s="430"/>
      <c r="Y200" s="478">
        <v>2020</v>
      </c>
      <c r="Z200" s="479">
        <f t="shared" si="56"/>
        <v>0</v>
      </c>
      <c r="AA200" s="479">
        <f t="shared" si="56"/>
        <v>0</v>
      </c>
      <c r="AB200" s="430"/>
      <c r="AC200" s="479"/>
      <c r="AD200" s="479"/>
      <c r="AE200" s="430"/>
      <c r="AF200" s="479">
        <f t="shared" si="57"/>
        <v>0</v>
      </c>
      <c r="AG200" s="479">
        <f t="shared" si="50"/>
        <v>0</v>
      </c>
      <c r="AH200" s="516"/>
      <c r="AJ200" s="480" t="str">
        <f t="shared" si="51"/>
        <v/>
      </c>
      <c r="AK200" s="480" t="str">
        <f t="shared" si="52"/>
        <v/>
      </c>
    </row>
    <row r="201" spans="1:37" ht="15.6" x14ac:dyDescent="0.3">
      <c r="A201" s="152">
        <v>2021</v>
      </c>
      <c r="B201" s="178"/>
      <c r="C201" s="182"/>
      <c r="D201" s="183"/>
      <c r="E201" s="179">
        <f t="shared" si="53"/>
        <v>0.49958031239338974</v>
      </c>
      <c r="F201" s="183">
        <f t="shared" si="60"/>
        <v>0.49958031239338974</v>
      </c>
      <c r="G201" s="247">
        <f t="shared" si="54"/>
        <v>8.0155060931134003E-2</v>
      </c>
      <c r="H201" s="246"/>
      <c r="I201" s="417"/>
      <c r="J201" s="417"/>
      <c r="K201" s="439"/>
      <c r="L201" s="440"/>
      <c r="M201" s="439"/>
      <c r="N201" s="440"/>
      <c r="O201" s="495"/>
      <c r="P201" s="439" t="str">
        <f>IF($P$194="Y",IFERROR(E201*$F$6*'Emissions Factors'!$B18*$F$21,""),"")</f>
        <v/>
      </c>
      <c r="Q201" s="441"/>
      <c r="R201" s="441"/>
      <c r="S201" s="441"/>
      <c r="T201" s="496"/>
      <c r="U201" s="441">
        <f t="shared" si="59"/>
        <v>0</v>
      </c>
      <c r="V201" s="441">
        <f t="shared" si="55"/>
        <v>0</v>
      </c>
      <c r="X201" s="430"/>
      <c r="Y201" s="478">
        <v>2021</v>
      </c>
      <c r="Z201" s="479">
        <f t="shared" si="56"/>
        <v>0</v>
      </c>
      <c r="AA201" s="479">
        <f t="shared" si="56"/>
        <v>0</v>
      </c>
      <c r="AB201" s="430"/>
      <c r="AC201" s="479"/>
      <c r="AD201" s="479"/>
      <c r="AE201" s="430"/>
      <c r="AF201" s="479">
        <f t="shared" si="57"/>
        <v>0</v>
      </c>
      <c r="AG201" s="479">
        <f t="shared" si="50"/>
        <v>0</v>
      </c>
      <c r="AH201" s="516"/>
      <c r="AJ201" s="480" t="str">
        <f t="shared" si="51"/>
        <v/>
      </c>
      <c r="AK201" s="480" t="str">
        <f t="shared" si="52"/>
        <v/>
      </c>
    </row>
    <row r="202" spans="1:37" ht="15.6" x14ac:dyDescent="0.3">
      <c r="A202" s="152">
        <v>2022</v>
      </c>
      <c r="B202" s="178"/>
      <c r="C202" s="182"/>
      <c r="D202" s="183"/>
      <c r="E202" s="179">
        <f t="shared" si="53"/>
        <v>1.0847238642061534</v>
      </c>
      <c r="F202" s="183">
        <f t="shared" si="60"/>
        <v>0.58514355181276367</v>
      </c>
      <c r="G202" s="247">
        <f t="shared" si="54"/>
        <v>7.6768687300450653E-2</v>
      </c>
      <c r="H202" s="246"/>
      <c r="I202" s="417"/>
      <c r="J202" s="417"/>
      <c r="K202" s="182"/>
      <c r="L202" s="178"/>
      <c r="M202" s="182"/>
      <c r="N202" s="178"/>
      <c r="O202" s="495"/>
      <c r="P202" s="439" t="str">
        <f>IF($P$194="Y",IFERROR(E202*$F$6*'Emissions Factors'!$B19*$F$21,""),"")</f>
        <v/>
      </c>
      <c r="Q202" s="441"/>
      <c r="R202" s="180"/>
      <c r="S202" s="180"/>
      <c r="T202" s="496"/>
      <c r="U202" s="180">
        <f t="shared" si="59"/>
        <v>0</v>
      </c>
      <c r="V202" s="180">
        <f t="shared" si="55"/>
        <v>0</v>
      </c>
      <c r="X202" s="430"/>
      <c r="Y202" s="478">
        <v>2022</v>
      </c>
      <c r="Z202" s="479">
        <f t="shared" si="56"/>
        <v>0</v>
      </c>
      <c r="AA202" s="479">
        <f t="shared" si="56"/>
        <v>0</v>
      </c>
      <c r="AB202" s="430"/>
      <c r="AC202" s="479"/>
      <c r="AD202" s="479"/>
      <c r="AE202" s="430"/>
      <c r="AF202" s="479">
        <f t="shared" si="57"/>
        <v>0</v>
      </c>
      <c r="AG202" s="479">
        <f t="shared" si="50"/>
        <v>0</v>
      </c>
      <c r="AH202" s="516"/>
      <c r="AJ202" s="480" t="str">
        <f t="shared" si="51"/>
        <v/>
      </c>
      <c r="AK202" s="480" t="str">
        <f t="shared" si="52"/>
        <v/>
      </c>
    </row>
    <row r="203" spans="1:37" ht="15.6" x14ac:dyDescent="0.3">
      <c r="A203" s="152">
        <v>2023</v>
      </c>
      <c r="B203" s="178"/>
      <c r="C203" s="182"/>
      <c r="D203" s="183"/>
      <c r="E203" s="179">
        <f t="shared" si="53"/>
        <v>1.7457639174013129</v>
      </c>
      <c r="F203" s="183">
        <f t="shared" si="60"/>
        <v>0.66104005319515946</v>
      </c>
      <c r="G203" s="247">
        <f t="shared" si="54"/>
        <v>7.432429691407838E-2</v>
      </c>
      <c r="H203" s="246"/>
      <c r="I203" s="417"/>
      <c r="J203" s="417"/>
      <c r="K203" s="182"/>
      <c r="L203" s="178"/>
      <c r="M203" s="182"/>
      <c r="N203" s="178"/>
      <c r="O203" s="495"/>
      <c r="P203" s="439" t="str">
        <f>IF($P$194="Y",IFERROR(E203*$F$6*'Emissions Factors'!$B20*$F$21,""),"")</f>
        <v/>
      </c>
      <c r="Q203" s="441"/>
      <c r="R203" s="180"/>
      <c r="S203" s="180"/>
      <c r="T203" s="496"/>
      <c r="U203" s="180">
        <f t="shared" si="59"/>
        <v>0</v>
      </c>
      <c r="V203" s="180">
        <f t="shared" si="55"/>
        <v>0</v>
      </c>
      <c r="X203" s="430"/>
      <c r="Y203" s="478">
        <v>2023</v>
      </c>
      <c r="Z203" s="479">
        <f t="shared" si="56"/>
        <v>0</v>
      </c>
      <c r="AA203" s="479">
        <f t="shared" si="56"/>
        <v>0</v>
      </c>
      <c r="AB203" s="430"/>
      <c r="AC203" s="479"/>
      <c r="AD203" s="479"/>
      <c r="AE203" s="430"/>
      <c r="AF203" s="479">
        <f t="shared" si="57"/>
        <v>0</v>
      </c>
      <c r="AG203" s="479">
        <f t="shared" si="50"/>
        <v>0</v>
      </c>
      <c r="AH203" s="516"/>
      <c r="AJ203" s="480" t="str">
        <f t="shared" si="51"/>
        <v/>
      </c>
      <c r="AK203" s="480" t="str">
        <f t="shared" si="52"/>
        <v/>
      </c>
    </row>
    <row r="204" spans="1:37" ht="15.6" x14ac:dyDescent="0.3">
      <c r="A204" s="152">
        <v>2024</v>
      </c>
      <c r="B204" s="178"/>
      <c r="C204" s="182"/>
      <c r="D204" s="183"/>
      <c r="E204" s="179">
        <f t="shared" si="53"/>
        <v>2.4793407437040393</v>
      </c>
      <c r="F204" s="183">
        <f t="shared" si="60"/>
        <v>0.73357682630272647</v>
      </c>
      <c r="G204" s="247">
        <f t="shared" si="54"/>
        <v>7.2459551013211776E-2</v>
      </c>
      <c r="H204" s="246"/>
      <c r="I204" s="417"/>
      <c r="J204" s="417"/>
      <c r="K204" s="182"/>
      <c r="L204" s="178"/>
      <c r="M204" s="182"/>
      <c r="N204" s="178"/>
      <c r="O204" s="495"/>
      <c r="P204" s="439" t="str">
        <f>IF($P$194="Y",IFERROR(E204*$F$6*'Emissions Factors'!$B21*$F$21,""),"")</f>
        <v/>
      </c>
      <c r="Q204" s="441"/>
      <c r="R204" s="180"/>
      <c r="S204" s="180"/>
      <c r="T204" s="496"/>
      <c r="U204" s="180">
        <f t="shared" si="59"/>
        <v>0</v>
      </c>
      <c r="V204" s="180">
        <f t="shared" si="55"/>
        <v>0</v>
      </c>
      <c r="X204" s="430"/>
      <c r="Y204" s="478">
        <v>2024</v>
      </c>
      <c r="Z204" s="479">
        <f t="shared" si="56"/>
        <v>0</v>
      </c>
      <c r="AA204" s="479">
        <f t="shared" si="56"/>
        <v>0</v>
      </c>
      <c r="AB204" s="430"/>
      <c r="AC204" s="479"/>
      <c r="AD204" s="479"/>
      <c r="AE204" s="430"/>
      <c r="AF204" s="479">
        <f>Z204-AC204</f>
        <v>0</v>
      </c>
      <c r="AG204" s="479">
        <f t="shared" si="50"/>
        <v>0</v>
      </c>
      <c r="AH204" s="516"/>
      <c r="AJ204" s="480" t="str">
        <f t="shared" si="51"/>
        <v/>
      </c>
      <c r="AK204" s="480" t="str">
        <f t="shared" si="52"/>
        <v/>
      </c>
    </row>
    <row r="205" spans="1:37" ht="15.6" x14ac:dyDescent="0.3">
      <c r="A205" s="152">
        <v>2025</v>
      </c>
      <c r="B205" s="178"/>
      <c r="C205" s="182"/>
      <c r="D205" s="183"/>
      <c r="E205" s="179">
        <f t="shared" si="53"/>
        <v>3.2819591962072581</v>
      </c>
      <c r="F205" s="183">
        <f t="shared" si="60"/>
        <v>0.80261845250321873</v>
      </c>
      <c r="G205" s="247">
        <f t="shared" si="54"/>
        <v>7.0964542520980223E-2</v>
      </c>
      <c r="H205" s="246"/>
      <c r="I205" s="417"/>
      <c r="J205" s="417"/>
      <c r="K205" s="182"/>
      <c r="L205" s="178"/>
      <c r="M205" s="182"/>
      <c r="N205" s="178"/>
      <c r="O205" s="495"/>
      <c r="P205" s="439" t="str">
        <f>IF($P$194="Y",IFERROR(E205*$F$6*'Emissions Factors'!$B22*$F$21,""),"")</f>
        <v/>
      </c>
      <c r="Q205" s="441"/>
      <c r="R205" s="180"/>
      <c r="S205" s="180"/>
      <c r="T205" s="496"/>
      <c r="U205" s="180">
        <f t="shared" si="59"/>
        <v>0</v>
      </c>
      <c r="V205" s="180">
        <f t="shared" si="55"/>
        <v>0</v>
      </c>
      <c r="X205" s="430"/>
      <c r="Y205" s="478">
        <v>2025</v>
      </c>
      <c r="Z205" s="479">
        <f t="shared" si="56"/>
        <v>0</v>
      </c>
      <c r="AA205" s="479">
        <f t="shared" si="56"/>
        <v>0</v>
      </c>
      <c r="AB205" s="430"/>
      <c r="AC205" s="479"/>
      <c r="AD205" s="479"/>
      <c r="AE205" s="430"/>
      <c r="AF205" s="479">
        <f t="shared" si="57"/>
        <v>0</v>
      </c>
      <c r="AG205" s="479">
        <f t="shared" si="50"/>
        <v>0</v>
      </c>
      <c r="AH205" s="516"/>
      <c r="AJ205" s="480" t="str">
        <f t="shared" si="51"/>
        <v/>
      </c>
      <c r="AK205" s="480" t="str">
        <f t="shared" si="52"/>
        <v/>
      </c>
    </row>
    <row r="206" spans="1:37" ht="15.6" x14ac:dyDescent="0.3">
      <c r="A206" s="152">
        <v>2026</v>
      </c>
      <c r="B206" s="178"/>
      <c r="C206" s="182"/>
      <c r="D206" s="183"/>
      <c r="E206" s="179">
        <f t="shared" si="53"/>
        <v>4.1468944743515017</v>
      </c>
      <c r="F206" s="183">
        <f t="shared" si="60"/>
        <v>0.86493527814424365</v>
      </c>
      <c r="G206" s="247">
        <f t="shared" si="54"/>
        <v>6.9685606994976418E-2</v>
      </c>
      <c r="H206" s="246"/>
      <c r="I206" s="417"/>
      <c r="J206" s="417"/>
      <c r="K206" s="182"/>
      <c r="L206" s="178"/>
      <c r="M206" s="182"/>
      <c r="N206" s="178"/>
      <c r="O206" s="495"/>
      <c r="P206" s="439" t="str">
        <f>IF($P$194="Y",IFERROR(E206*$F$6*'Emissions Factors'!$B23*$F$21,""),"")</f>
        <v/>
      </c>
      <c r="Q206" s="441"/>
      <c r="R206" s="180"/>
      <c r="S206" s="180"/>
      <c r="T206" s="496"/>
      <c r="U206" s="180">
        <f t="shared" si="59"/>
        <v>0</v>
      </c>
      <c r="V206" s="180">
        <f t="shared" si="55"/>
        <v>0</v>
      </c>
      <c r="X206" s="430"/>
      <c r="Y206" s="478">
        <v>2026</v>
      </c>
      <c r="Z206" s="479">
        <f t="shared" si="56"/>
        <v>0</v>
      </c>
      <c r="AA206" s="479">
        <f t="shared" si="56"/>
        <v>0</v>
      </c>
      <c r="AB206" s="430"/>
      <c r="AC206" s="479"/>
      <c r="AD206" s="479"/>
      <c r="AE206" s="430"/>
      <c r="AF206" s="479">
        <f t="shared" si="57"/>
        <v>0</v>
      </c>
      <c r="AG206" s="479">
        <f t="shared" si="50"/>
        <v>0</v>
      </c>
      <c r="AH206" s="516"/>
      <c r="AJ206" s="480" t="str">
        <f t="shared" si="51"/>
        <v/>
      </c>
      <c r="AK206" s="480" t="str">
        <f t="shared" si="52"/>
        <v/>
      </c>
    </row>
    <row r="207" spans="1:37" ht="15.6" x14ac:dyDescent="0.3">
      <c r="A207" s="152">
        <v>2027</v>
      </c>
      <c r="B207" s="178"/>
      <c r="C207" s="182"/>
      <c r="D207" s="183"/>
      <c r="E207" s="179">
        <f>IFERROR(IF($G$19="Y",$F$19,$AD93)*(SUMIF($H$5:$H$16,"Y",$F$5:$F$16)*(AL42-B42)),0)</f>
        <v>5.0662593242088434</v>
      </c>
      <c r="F207" s="183">
        <f t="shared" si="60"/>
        <v>0.91936484985734168</v>
      </c>
      <c r="G207" s="247">
        <f t="shared" si="54"/>
        <v>6.8527393723368205E-2</v>
      </c>
      <c r="H207" s="246"/>
      <c r="I207" s="417"/>
      <c r="J207" s="417"/>
      <c r="K207" s="182"/>
      <c r="L207" s="178"/>
      <c r="M207" s="182"/>
      <c r="N207" s="178"/>
      <c r="O207" s="495"/>
      <c r="P207" s="439" t="str">
        <f>IF($P$194="Y",IFERROR(E207*$F$6*'Emissions Factors'!$B24*$F$21,""),"")</f>
        <v/>
      </c>
      <c r="Q207" s="441"/>
      <c r="R207" s="180"/>
      <c r="S207" s="180"/>
      <c r="T207" s="496"/>
      <c r="U207" s="180">
        <f t="shared" si="59"/>
        <v>0</v>
      </c>
      <c r="V207" s="180">
        <f t="shared" si="55"/>
        <v>0</v>
      </c>
      <c r="X207" s="430"/>
      <c r="Y207" s="478">
        <v>2027</v>
      </c>
      <c r="Z207" s="479">
        <f t="shared" si="56"/>
        <v>0</v>
      </c>
      <c r="AA207" s="479">
        <f t="shared" si="56"/>
        <v>0</v>
      </c>
      <c r="AB207" s="430"/>
      <c r="AC207" s="479"/>
      <c r="AD207" s="479"/>
      <c r="AE207" s="430"/>
      <c r="AF207" s="479">
        <f t="shared" si="57"/>
        <v>0</v>
      </c>
      <c r="AG207" s="479">
        <f t="shared" si="50"/>
        <v>0</v>
      </c>
      <c r="AH207" s="516"/>
      <c r="AJ207" s="480" t="str">
        <f t="shared" si="51"/>
        <v/>
      </c>
      <c r="AK207" s="480" t="str">
        <f t="shared" si="52"/>
        <v/>
      </c>
    </row>
    <row r="208" spans="1:37" ht="15.6" x14ac:dyDescent="0.3">
      <c r="A208" s="152">
        <v>2028</v>
      </c>
      <c r="B208" s="178"/>
      <c r="C208" s="182"/>
      <c r="D208" s="183"/>
      <c r="E208" s="179">
        <f>IFERROR(IF($G$19="Y",$F$19,$AD94)*(SUMIF($H$5:$H$16,"Y",$F$5:$F$16)*(AL43-B43)),0)</f>
        <v>6.0363699530748276</v>
      </c>
      <c r="F208" s="183">
        <f t="shared" si="60"/>
        <v>0.9701106288659842</v>
      </c>
      <c r="G208" s="247">
        <f t="shared" si="54"/>
        <v>6.7445084235761843E-2</v>
      </c>
      <c r="H208" s="246"/>
      <c r="I208" s="417"/>
      <c r="J208" s="417"/>
      <c r="K208" s="182"/>
      <c r="L208" s="178"/>
      <c r="M208" s="182"/>
      <c r="N208" s="178"/>
      <c r="O208" s="495"/>
      <c r="P208" s="439" t="str">
        <f>IF($P$194="Y",IFERROR(E208*$F$6*'Emissions Factors'!$B25*$F$21,""),"")</f>
        <v/>
      </c>
      <c r="Q208" s="441"/>
      <c r="R208" s="180"/>
      <c r="S208" s="180"/>
      <c r="T208" s="496"/>
      <c r="U208" s="180">
        <f t="shared" si="59"/>
        <v>0</v>
      </c>
      <c r="V208" s="180">
        <f t="shared" si="55"/>
        <v>0</v>
      </c>
      <c r="X208" s="430"/>
      <c r="Y208" s="478">
        <v>2028</v>
      </c>
      <c r="Z208" s="479">
        <f t="shared" si="56"/>
        <v>0</v>
      </c>
      <c r="AA208" s="479">
        <f t="shared" si="56"/>
        <v>0</v>
      </c>
      <c r="AB208" s="430"/>
      <c r="AC208" s="479"/>
      <c r="AD208" s="479"/>
      <c r="AE208" s="430"/>
      <c r="AF208" s="479">
        <f t="shared" si="57"/>
        <v>0</v>
      </c>
      <c r="AG208" s="479">
        <f t="shared" si="50"/>
        <v>0</v>
      </c>
      <c r="AH208" s="516"/>
      <c r="AJ208" s="480" t="str">
        <f t="shared" si="51"/>
        <v/>
      </c>
      <c r="AK208" s="480" t="str">
        <f t="shared" si="52"/>
        <v/>
      </c>
    </row>
    <row r="209" spans="1:37" ht="15.6" x14ac:dyDescent="0.3">
      <c r="A209" s="152">
        <v>2029</v>
      </c>
      <c r="B209" s="178"/>
      <c r="C209" s="182"/>
      <c r="D209" s="183"/>
      <c r="E209" s="179">
        <f t="shared" si="53"/>
        <v>7.0543108441149025</v>
      </c>
      <c r="F209" s="183">
        <f t="shared" si="60"/>
        <v>1.0179408910400749</v>
      </c>
      <c r="G209" s="247">
        <f t="shared" si="54"/>
        <v>6.6409862288916197E-2</v>
      </c>
      <c r="H209" s="246"/>
      <c r="I209" s="417"/>
      <c r="J209" s="417"/>
      <c r="K209" s="182"/>
      <c r="L209" s="178"/>
      <c r="M209" s="182"/>
      <c r="N209" s="178"/>
      <c r="O209" s="495"/>
      <c r="P209" s="439" t="str">
        <f>IF($P$194="Y",IFERROR(E209*$F$6*'Emissions Factors'!$B26*$F$21,""),"")</f>
        <v/>
      </c>
      <c r="Q209" s="441"/>
      <c r="R209" s="180"/>
      <c r="S209" s="180"/>
      <c r="T209" s="496"/>
      <c r="U209" s="180">
        <f t="shared" si="59"/>
        <v>0</v>
      </c>
      <c r="V209" s="180">
        <f t="shared" si="55"/>
        <v>0</v>
      </c>
      <c r="X209" s="430"/>
      <c r="Y209" s="478">
        <v>2029</v>
      </c>
      <c r="Z209" s="479">
        <f t="shared" si="56"/>
        <v>0</v>
      </c>
      <c r="AA209" s="479">
        <f t="shared" si="56"/>
        <v>0</v>
      </c>
      <c r="AB209" s="430"/>
      <c r="AC209" s="479"/>
      <c r="AD209" s="479"/>
      <c r="AE209" s="430"/>
      <c r="AF209" s="479">
        <f t="shared" si="57"/>
        <v>0</v>
      </c>
      <c r="AG209" s="479">
        <f t="shared" si="50"/>
        <v>0</v>
      </c>
      <c r="AH209" s="516"/>
      <c r="AJ209" s="480" t="str">
        <f t="shared" si="51"/>
        <v/>
      </c>
      <c r="AK209" s="480" t="str">
        <f t="shared" si="52"/>
        <v/>
      </c>
    </row>
    <row r="210" spans="1:37" ht="15.6" x14ac:dyDescent="0.3">
      <c r="A210" s="152">
        <v>2030</v>
      </c>
      <c r="B210" s="178"/>
      <c r="C210" s="182"/>
      <c r="D210" s="183"/>
      <c r="E210" s="179">
        <f t="shared" si="53"/>
        <v>8.1174901661749121</v>
      </c>
      <c r="F210" s="183">
        <f t="shared" si="60"/>
        <v>1.0631793220600096</v>
      </c>
      <c r="G210" s="247">
        <f t="shared" si="54"/>
        <v>6.5406184927466055E-2</v>
      </c>
      <c r="H210" s="246"/>
      <c r="I210" s="417"/>
      <c r="J210" s="417"/>
      <c r="K210" s="182"/>
      <c r="L210" s="178"/>
      <c r="M210" s="182"/>
      <c r="N210" s="178"/>
      <c r="O210" s="495"/>
      <c r="P210" s="439" t="str">
        <f>IF($P$194="Y",IFERROR(E210*$F$6*'Emissions Factors'!$B27*$F$21,""),"")</f>
        <v/>
      </c>
      <c r="Q210" s="441"/>
      <c r="R210" s="180"/>
      <c r="S210" s="180"/>
      <c r="T210" s="496"/>
      <c r="U210" s="180">
        <f t="shared" si="59"/>
        <v>0</v>
      </c>
      <c r="V210" s="180">
        <f t="shared" si="55"/>
        <v>0</v>
      </c>
      <c r="X210" s="430"/>
      <c r="Y210" s="478">
        <v>2030</v>
      </c>
      <c r="Z210" s="479">
        <f t="shared" si="56"/>
        <v>0</v>
      </c>
      <c r="AA210" s="479">
        <f t="shared" si="56"/>
        <v>0</v>
      </c>
      <c r="AB210" s="430"/>
      <c r="AC210" s="479"/>
      <c r="AD210" s="479"/>
      <c r="AE210" s="430"/>
      <c r="AF210" s="479">
        <f t="shared" si="57"/>
        <v>0</v>
      </c>
      <c r="AG210" s="479">
        <f t="shared" si="50"/>
        <v>0</v>
      </c>
      <c r="AH210" s="516"/>
      <c r="AJ210" s="480" t="str">
        <f t="shared" si="51"/>
        <v/>
      </c>
      <c r="AK210" s="480" t="str">
        <f t="shared" si="52"/>
        <v/>
      </c>
    </row>
    <row r="211" spans="1:37" ht="15.6" x14ac:dyDescent="0.3">
      <c r="A211" s="152">
        <v>2031</v>
      </c>
      <c r="B211" s="178"/>
      <c r="C211" s="182"/>
      <c r="D211" s="183"/>
      <c r="E211" s="179">
        <f t="shared" si="53"/>
        <v>9.2092524171838939</v>
      </c>
      <c r="F211" s="183">
        <f t="shared" si="60"/>
        <v>1.0917622510089817</v>
      </c>
      <c r="G211" s="247">
        <f t="shared" si="54"/>
        <v>6.4432264339674195E-2</v>
      </c>
      <c r="H211" s="246"/>
      <c r="I211" s="417"/>
      <c r="J211" s="417"/>
      <c r="K211" s="182"/>
      <c r="L211" s="178"/>
      <c r="M211" s="182"/>
      <c r="N211" s="178"/>
      <c r="O211" s="495"/>
      <c r="P211" s="439" t="str">
        <f>IF($P$194="Y",IFERROR(E211*$F$6*'Emissions Factors'!$B28*$F$21,""),"")</f>
        <v/>
      </c>
      <c r="Q211" s="441"/>
      <c r="R211" s="180"/>
      <c r="S211" s="180"/>
      <c r="T211" s="496"/>
      <c r="U211" s="180">
        <f t="shared" si="59"/>
        <v>0</v>
      </c>
      <c r="V211" s="180">
        <f t="shared" si="55"/>
        <v>0</v>
      </c>
      <c r="X211" s="430"/>
      <c r="Y211" s="478">
        <v>2031</v>
      </c>
      <c r="Z211" s="479">
        <f t="shared" si="56"/>
        <v>0</v>
      </c>
      <c r="AA211" s="479">
        <f t="shared" si="56"/>
        <v>0</v>
      </c>
      <c r="AB211" s="430"/>
      <c r="AC211" s="479"/>
      <c r="AD211" s="479"/>
      <c r="AE211" s="430"/>
      <c r="AF211" s="479">
        <f t="shared" si="57"/>
        <v>0</v>
      </c>
      <c r="AG211" s="479">
        <f t="shared" si="50"/>
        <v>0</v>
      </c>
      <c r="AH211" s="516"/>
      <c r="AJ211" s="480" t="str">
        <f t="shared" si="51"/>
        <v/>
      </c>
      <c r="AK211" s="480" t="str">
        <f t="shared" si="52"/>
        <v/>
      </c>
    </row>
    <row r="212" spans="1:37" ht="15.6" x14ac:dyDescent="0.3">
      <c r="A212" s="152">
        <v>2032</v>
      </c>
      <c r="B212" s="178"/>
      <c r="C212" s="182"/>
      <c r="D212" s="183"/>
      <c r="E212" s="179">
        <f t="shared" si="53"/>
        <v>10.332708965446042</v>
      </c>
      <c r="F212" s="183">
        <f t="shared" si="60"/>
        <v>1.1234565482621477</v>
      </c>
      <c r="G212" s="247">
        <f t="shared" si="54"/>
        <v>6.3493352189935098E-2</v>
      </c>
      <c r="H212" s="246"/>
      <c r="I212" s="417"/>
      <c r="J212" s="417"/>
      <c r="K212" s="182"/>
      <c r="L212" s="178"/>
      <c r="M212" s="182"/>
      <c r="N212" s="178"/>
      <c r="O212" s="495"/>
      <c r="P212" s="439" t="str">
        <f>IF($P$194="Y",IFERROR(E212*$F$6*'Emissions Factors'!$B29*$F$21,""),"")</f>
        <v/>
      </c>
      <c r="Q212" s="441"/>
      <c r="R212" s="180"/>
      <c r="S212" s="180"/>
      <c r="T212" s="496"/>
      <c r="U212" s="180">
        <f t="shared" si="59"/>
        <v>0</v>
      </c>
      <c r="V212" s="180">
        <f t="shared" si="55"/>
        <v>0</v>
      </c>
      <c r="X212" s="430"/>
      <c r="Y212" s="478">
        <v>2032</v>
      </c>
      <c r="Z212" s="479">
        <f t="shared" si="56"/>
        <v>0</v>
      </c>
      <c r="AA212" s="479">
        <f t="shared" si="56"/>
        <v>0</v>
      </c>
      <c r="AB212" s="430"/>
      <c r="AC212" s="479"/>
      <c r="AD212" s="479"/>
      <c r="AE212" s="430"/>
      <c r="AF212" s="479">
        <f t="shared" si="57"/>
        <v>0</v>
      </c>
      <c r="AG212" s="479">
        <f t="shared" si="50"/>
        <v>0</v>
      </c>
      <c r="AH212" s="516"/>
      <c r="AJ212" s="480" t="str">
        <f t="shared" si="51"/>
        <v/>
      </c>
      <c r="AK212" s="480" t="str">
        <f t="shared" si="52"/>
        <v/>
      </c>
    </row>
    <row r="213" spans="1:37" ht="15.6" x14ac:dyDescent="0.3">
      <c r="A213" s="152">
        <v>2033</v>
      </c>
      <c r="B213" s="178"/>
      <c r="C213" s="182"/>
      <c r="D213" s="183"/>
      <c r="E213" s="179">
        <f t="shared" si="53"/>
        <v>11.473081323468943</v>
      </c>
      <c r="F213" s="183">
        <f t="shared" si="60"/>
        <v>1.1403723580229013</v>
      </c>
      <c r="G213" s="247">
        <f t="shared" si="54"/>
        <v>6.2597546514413391E-2</v>
      </c>
      <c r="H213" s="246"/>
      <c r="I213" s="417"/>
      <c r="J213" s="417"/>
      <c r="K213" s="182"/>
      <c r="L213" s="178"/>
      <c r="M213" s="182"/>
      <c r="N213" s="178"/>
      <c r="O213" s="495"/>
      <c r="P213" s="439" t="str">
        <f>IF($P$194="Y",IFERROR(E213*$F$6*'Emissions Factors'!$B30*$F$21,""),"")</f>
        <v/>
      </c>
      <c r="Q213" s="441"/>
      <c r="R213" s="180"/>
      <c r="S213" s="180"/>
      <c r="T213" s="496"/>
      <c r="U213" s="180">
        <f t="shared" si="59"/>
        <v>0</v>
      </c>
      <c r="V213" s="180">
        <f t="shared" si="55"/>
        <v>0</v>
      </c>
      <c r="X213" s="430"/>
      <c r="Y213" s="478">
        <v>2033</v>
      </c>
      <c r="Z213" s="479">
        <f t="shared" si="56"/>
        <v>0</v>
      </c>
      <c r="AA213" s="479">
        <f t="shared" si="56"/>
        <v>0</v>
      </c>
      <c r="AB213" s="430"/>
      <c r="AC213" s="479"/>
      <c r="AD213" s="479"/>
      <c r="AE213" s="430"/>
      <c r="AF213" s="479">
        <f t="shared" si="57"/>
        <v>0</v>
      </c>
      <c r="AG213" s="479">
        <f t="shared" si="50"/>
        <v>0</v>
      </c>
      <c r="AH213" s="516"/>
      <c r="AJ213" s="480" t="str">
        <f t="shared" si="51"/>
        <v/>
      </c>
      <c r="AK213" s="480" t="str">
        <f t="shared" si="52"/>
        <v/>
      </c>
    </row>
    <row r="214" spans="1:37" ht="15.6" x14ac:dyDescent="0.3">
      <c r="A214" s="152">
        <v>2034</v>
      </c>
      <c r="B214" s="178"/>
      <c r="C214" s="182"/>
      <c r="D214" s="183"/>
      <c r="E214" s="179">
        <f t="shared" si="53"/>
        <v>12.612135002616991</v>
      </c>
      <c r="F214" s="183">
        <f t="shared" si="60"/>
        <v>1.1390536791480486</v>
      </c>
      <c r="G214" s="247">
        <f t="shared" si="54"/>
        <v>6.1749194828984617E-2</v>
      </c>
      <c r="H214" s="246"/>
      <c r="I214" s="417"/>
      <c r="J214" s="417"/>
      <c r="K214" s="182"/>
      <c r="L214" s="178"/>
      <c r="M214" s="182"/>
      <c r="N214" s="178"/>
      <c r="O214" s="495"/>
      <c r="P214" s="439" t="str">
        <f>IF($P$194="Y",IFERROR(E214*$F$6*'Emissions Factors'!$B31*$F$21,""),"")</f>
        <v/>
      </c>
      <c r="Q214" s="441"/>
      <c r="R214" s="180"/>
      <c r="S214" s="180"/>
      <c r="T214" s="496"/>
      <c r="U214" s="180">
        <f t="shared" si="59"/>
        <v>0</v>
      </c>
      <c r="V214" s="180">
        <f t="shared" si="55"/>
        <v>0</v>
      </c>
      <c r="X214" s="430"/>
      <c r="Y214" s="478">
        <v>2034</v>
      </c>
      <c r="Z214" s="479">
        <f t="shared" si="56"/>
        <v>0</v>
      </c>
      <c r="AA214" s="479">
        <f t="shared" si="56"/>
        <v>0</v>
      </c>
      <c r="AB214" s="430"/>
      <c r="AC214" s="479"/>
      <c r="AD214" s="479"/>
      <c r="AE214" s="430"/>
      <c r="AF214" s="479">
        <f t="shared" si="57"/>
        <v>0</v>
      </c>
      <c r="AG214" s="479">
        <f t="shared" si="50"/>
        <v>0</v>
      </c>
      <c r="AH214" s="516"/>
      <c r="AJ214" s="480" t="str">
        <f t="shared" si="51"/>
        <v/>
      </c>
      <c r="AK214" s="480" t="str">
        <f t="shared" si="52"/>
        <v/>
      </c>
    </row>
    <row r="215" spans="1:37" ht="15.6" x14ac:dyDescent="0.3">
      <c r="A215" s="152">
        <v>2035</v>
      </c>
      <c r="B215" s="178"/>
      <c r="C215" s="182"/>
      <c r="D215" s="183"/>
      <c r="E215" s="179">
        <f t="shared" si="53"/>
        <v>13.736423369602569</v>
      </c>
      <c r="F215" s="183">
        <f t="shared" si="60"/>
        <v>1.1242883669855779</v>
      </c>
      <c r="G215" s="247">
        <f t="shared" si="54"/>
        <v>6.0943449856115085E-2</v>
      </c>
      <c r="H215" s="246"/>
      <c r="I215" s="417"/>
      <c r="J215" s="417"/>
      <c r="K215" s="182"/>
      <c r="L215" s="178"/>
      <c r="M215" s="182"/>
      <c r="N215" s="178"/>
      <c r="O215" s="495"/>
      <c r="P215" s="439" t="str">
        <f>IF($P$194="Y",IFERROR(E215*$F$6*'Emissions Factors'!$B32*$F$21,""),"")</f>
        <v/>
      </c>
      <c r="Q215" s="441"/>
      <c r="R215" s="180"/>
      <c r="S215" s="180"/>
      <c r="T215" s="496"/>
      <c r="U215" s="180">
        <f t="shared" si="59"/>
        <v>0</v>
      </c>
      <c r="V215" s="180">
        <f t="shared" si="55"/>
        <v>0</v>
      </c>
      <c r="X215" s="430"/>
      <c r="Y215" s="478">
        <v>2035</v>
      </c>
      <c r="Z215" s="479">
        <f t="shared" si="56"/>
        <v>0</v>
      </c>
      <c r="AA215" s="479">
        <f t="shared" si="56"/>
        <v>0</v>
      </c>
      <c r="AB215" s="430"/>
      <c r="AC215" s="479"/>
      <c r="AD215" s="479"/>
      <c r="AE215" s="430"/>
      <c r="AF215" s="479">
        <f t="shared" si="57"/>
        <v>0</v>
      </c>
      <c r="AG215" s="479">
        <f t="shared" si="50"/>
        <v>0</v>
      </c>
      <c r="AH215" s="516"/>
      <c r="AJ215" s="480" t="str">
        <f t="shared" si="51"/>
        <v/>
      </c>
      <c r="AK215" s="480" t="str">
        <f t="shared" si="52"/>
        <v/>
      </c>
    </row>
    <row r="216" spans="1:37" ht="15.6" x14ac:dyDescent="0.3">
      <c r="A216" s="152">
        <v>2036</v>
      </c>
      <c r="B216" s="178"/>
      <c r="C216" s="182"/>
      <c r="D216" s="183"/>
      <c r="E216" s="179">
        <f t="shared" si="53"/>
        <v>14.839438256369577</v>
      </c>
      <c r="F216" s="183">
        <f t="shared" si="60"/>
        <v>1.1030148867670082</v>
      </c>
      <c r="G216" s="247">
        <f t="shared" si="54"/>
        <v>6.016939262288655E-2</v>
      </c>
      <c r="H216" s="246"/>
      <c r="I216" s="417"/>
      <c r="J216" s="417"/>
      <c r="K216" s="182"/>
      <c r="L216" s="178"/>
      <c r="M216" s="182"/>
      <c r="N216" s="178"/>
      <c r="O216" s="495"/>
      <c r="P216" s="439" t="str">
        <f>IF($P$194="Y",IFERROR(E216*$F$6*'Emissions Factors'!$B33*$F$21,""),"")</f>
        <v/>
      </c>
      <c r="Q216" s="441"/>
      <c r="R216" s="180"/>
      <c r="S216" s="180"/>
      <c r="T216" s="496"/>
      <c r="U216" s="180">
        <f t="shared" si="59"/>
        <v>0</v>
      </c>
      <c r="V216" s="180">
        <f t="shared" si="55"/>
        <v>0</v>
      </c>
      <c r="X216" s="430"/>
      <c r="Y216" s="478">
        <v>2036</v>
      </c>
      <c r="Z216" s="479">
        <f t="shared" si="56"/>
        <v>0</v>
      </c>
      <c r="AA216" s="479">
        <f t="shared" si="56"/>
        <v>0</v>
      </c>
      <c r="AB216" s="430"/>
      <c r="AC216" s="479"/>
      <c r="AD216" s="479"/>
      <c r="AE216" s="430"/>
      <c r="AF216" s="479">
        <f t="shared" si="57"/>
        <v>0</v>
      </c>
      <c r="AG216" s="479">
        <f t="shared" si="50"/>
        <v>0</v>
      </c>
      <c r="AH216" s="516"/>
      <c r="AJ216" s="480" t="str">
        <f t="shared" si="51"/>
        <v/>
      </c>
      <c r="AK216" s="480" t="str">
        <f t="shared" si="52"/>
        <v/>
      </c>
    </row>
    <row r="217" spans="1:37" ht="15.6" x14ac:dyDescent="0.3">
      <c r="A217" s="152">
        <v>2037</v>
      </c>
      <c r="B217" s="178"/>
      <c r="C217" s="182"/>
      <c r="D217" s="183"/>
      <c r="E217" s="179">
        <f t="shared" si="53"/>
        <v>15.92270016366216</v>
      </c>
      <c r="F217" s="183">
        <f t="shared" si="60"/>
        <v>1.0832619072925826</v>
      </c>
      <c r="G217" s="247">
        <f t="shared" si="54"/>
        <v>5.9415629917400153E-2</v>
      </c>
      <c r="H217" s="246"/>
      <c r="I217" s="417"/>
      <c r="J217" s="417"/>
      <c r="K217" s="182"/>
      <c r="L217" s="178"/>
      <c r="M217" s="182"/>
      <c r="N217" s="178"/>
      <c r="O217" s="495"/>
      <c r="P217" s="439" t="str">
        <f>IF($P$194="Y",IFERROR(E217*$F$6*'Emissions Factors'!$B34*$F$21,""),"")</f>
        <v/>
      </c>
      <c r="Q217" s="441"/>
      <c r="R217" s="180"/>
      <c r="S217" s="180"/>
      <c r="T217" s="496"/>
      <c r="U217" s="180">
        <f t="shared" si="59"/>
        <v>0</v>
      </c>
      <c r="V217" s="180">
        <f t="shared" si="55"/>
        <v>0</v>
      </c>
      <c r="X217" s="430"/>
      <c r="Y217" s="478">
        <v>2037</v>
      </c>
      <c r="Z217" s="479">
        <f t="shared" si="56"/>
        <v>0</v>
      </c>
      <c r="AA217" s="479">
        <f t="shared" si="56"/>
        <v>0</v>
      </c>
      <c r="AB217" s="430"/>
      <c r="AC217" s="479"/>
      <c r="AD217" s="479"/>
      <c r="AE217" s="430"/>
      <c r="AF217" s="479">
        <f t="shared" si="57"/>
        <v>0</v>
      </c>
      <c r="AG217" s="479">
        <f t="shared" si="50"/>
        <v>0</v>
      </c>
      <c r="AH217" s="516"/>
      <c r="AJ217" s="480" t="str">
        <f t="shared" si="51"/>
        <v/>
      </c>
      <c r="AK217" s="480" t="str">
        <f t="shared" si="52"/>
        <v/>
      </c>
    </row>
    <row r="218" spans="1:37" ht="15.6" x14ac:dyDescent="0.3">
      <c r="A218" s="152">
        <v>2038</v>
      </c>
      <c r="B218" s="178"/>
      <c r="C218" s="182"/>
      <c r="D218" s="183"/>
      <c r="E218" s="179">
        <f t="shared" si="53"/>
        <v>16.991389858999842</v>
      </c>
      <c r="F218" s="183">
        <f t="shared" si="60"/>
        <v>1.0686896953376817</v>
      </c>
      <c r="G218" s="247">
        <f t="shared" si="54"/>
        <v>5.8675935604782438E-2</v>
      </c>
      <c r="H218" s="246"/>
      <c r="I218" s="417"/>
      <c r="J218" s="417"/>
      <c r="K218" s="182"/>
      <c r="L218" s="178"/>
      <c r="M218" s="182"/>
      <c r="N218" s="178"/>
      <c r="O218" s="495"/>
      <c r="P218" s="439" t="str">
        <f>IF($P$194="Y",IFERROR(E218*$F$6*'Emissions Factors'!$B35*$F$21,""),"")</f>
        <v/>
      </c>
      <c r="Q218" s="441"/>
      <c r="R218" s="180"/>
      <c r="S218" s="180"/>
      <c r="T218" s="496"/>
      <c r="U218" s="180">
        <f t="shared" si="59"/>
        <v>0</v>
      </c>
      <c r="V218" s="180">
        <f t="shared" si="55"/>
        <v>0</v>
      </c>
      <c r="X218" s="430"/>
      <c r="Y218" s="478">
        <v>2038</v>
      </c>
      <c r="Z218" s="479">
        <f t="shared" si="56"/>
        <v>0</v>
      </c>
      <c r="AA218" s="479">
        <f t="shared" si="56"/>
        <v>0</v>
      </c>
      <c r="AB218" s="430"/>
      <c r="AC218" s="479"/>
      <c r="AD218" s="479"/>
      <c r="AE218" s="430"/>
      <c r="AF218" s="479">
        <f t="shared" si="57"/>
        <v>0</v>
      </c>
      <c r="AG218" s="479">
        <f t="shared" si="50"/>
        <v>0</v>
      </c>
      <c r="AH218" s="516"/>
      <c r="AJ218" s="480" t="str">
        <f t="shared" si="51"/>
        <v/>
      </c>
      <c r="AK218" s="480" t="str">
        <f t="shared" si="52"/>
        <v/>
      </c>
    </row>
    <row r="219" spans="1:37" ht="15.6" x14ac:dyDescent="0.3">
      <c r="A219" s="152">
        <v>2039</v>
      </c>
      <c r="B219" s="178"/>
      <c r="C219" s="182"/>
      <c r="D219" s="183"/>
      <c r="E219" s="179">
        <f t="shared" si="53"/>
        <v>18.05486996616105</v>
      </c>
      <c r="F219" s="183">
        <f t="shared" si="60"/>
        <v>1.0634801071612081</v>
      </c>
      <c r="G219" s="247">
        <f t="shared" si="54"/>
        <v>5.7946225977434512E-2</v>
      </c>
      <c r="H219" s="246"/>
      <c r="I219" s="417"/>
      <c r="J219" s="417"/>
      <c r="K219" s="182"/>
      <c r="L219" s="178"/>
      <c r="M219" s="182"/>
      <c r="N219" s="178"/>
      <c r="O219" s="495"/>
      <c r="P219" s="439" t="str">
        <f>IF($P$194="Y",IFERROR(E219*$F$6*'Emissions Factors'!$B36*$F$21,""),"")</f>
        <v/>
      </c>
      <c r="Q219" s="441"/>
      <c r="R219" s="180"/>
      <c r="S219" s="180"/>
      <c r="T219" s="496"/>
      <c r="U219" s="180">
        <f t="shared" si="59"/>
        <v>0</v>
      </c>
      <c r="V219" s="180">
        <f t="shared" si="55"/>
        <v>0</v>
      </c>
      <c r="X219" s="430"/>
      <c r="Y219" s="478">
        <v>2039</v>
      </c>
      <c r="Z219" s="479">
        <f t="shared" si="56"/>
        <v>0</v>
      </c>
      <c r="AA219" s="479">
        <f t="shared" si="56"/>
        <v>0</v>
      </c>
      <c r="AB219" s="430"/>
      <c r="AC219" s="479"/>
      <c r="AD219" s="479"/>
      <c r="AE219" s="430"/>
      <c r="AF219" s="479">
        <f t="shared" si="57"/>
        <v>0</v>
      </c>
      <c r="AG219" s="479">
        <f t="shared" si="50"/>
        <v>0</v>
      </c>
      <c r="AH219" s="516"/>
      <c r="AJ219" s="480" t="str">
        <f t="shared" si="51"/>
        <v/>
      </c>
      <c r="AK219" s="480" t="str">
        <f t="shared" si="52"/>
        <v/>
      </c>
    </row>
    <row r="220" spans="1:37" ht="15.6" x14ac:dyDescent="0.3">
      <c r="A220" s="152">
        <v>2040</v>
      </c>
      <c r="B220" s="178"/>
      <c r="C220" s="182"/>
      <c r="D220" s="183"/>
      <c r="E220" s="179">
        <f t="shared" si="53"/>
        <v>19.120897764132923</v>
      </c>
      <c r="F220" s="183">
        <f t="shared" si="60"/>
        <v>1.0660277979718735</v>
      </c>
      <c r="G220" s="247">
        <f t="shared" si="54"/>
        <v>5.7225127678966939E-2</v>
      </c>
      <c r="H220" s="246"/>
      <c r="I220" s="417"/>
      <c r="J220" s="417"/>
      <c r="K220" s="182"/>
      <c r="L220" s="178"/>
      <c r="M220" s="182"/>
      <c r="N220" s="178"/>
      <c r="O220" s="495"/>
      <c r="P220" s="439" t="str">
        <f>IF($P$194="Y",IFERROR(E220*$F$6*'Emissions Factors'!$B37*$F$21,""),"")</f>
        <v/>
      </c>
      <c r="Q220" s="441"/>
      <c r="R220" s="180"/>
      <c r="S220" s="180"/>
      <c r="T220" s="496"/>
      <c r="U220" s="180">
        <f t="shared" si="59"/>
        <v>0</v>
      </c>
      <c r="V220" s="180">
        <f t="shared" si="55"/>
        <v>0</v>
      </c>
      <c r="X220" s="430"/>
      <c r="Y220" s="478">
        <v>2040</v>
      </c>
      <c r="Z220" s="479">
        <f t="shared" si="56"/>
        <v>0</v>
      </c>
      <c r="AA220" s="479">
        <f t="shared" si="56"/>
        <v>0</v>
      </c>
      <c r="AB220" s="430"/>
      <c r="AC220" s="479"/>
      <c r="AD220" s="479"/>
      <c r="AE220" s="430"/>
      <c r="AF220" s="479">
        <f t="shared" si="57"/>
        <v>0</v>
      </c>
      <c r="AG220" s="479">
        <f t="shared" si="50"/>
        <v>0</v>
      </c>
      <c r="AH220" s="516"/>
      <c r="AJ220" s="480" t="str">
        <f t="shared" si="51"/>
        <v/>
      </c>
      <c r="AK220" s="480" t="str">
        <f t="shared" si="52"/>
        <v/>
      </c>
    </row>
    <row r="221" spans="1:37" ht="15.6" x14ac:dyDescent="0.3">
      <c r="A221" s="152">
        <v>2041</v>
      </c>
      <c r="B221" s="178"/>
      <c r="C221" s="182"/>
      <c r="D221" s="183"/>
      <c r="E221" s="179">
        <f t="shared" si="53"/>
        <v>20.163176581189209</v>
      </c>
      <c r="F221" s="183">
        <f t="shared" si="60"/>
        <v>1.0422788170562853</v>
      </c>
      <c r="G221" s="247">
        <f t="shared" si="54"/>
        <v>5.6513531878218698E-2</v>
      </c>
      <c r="H221" s="246"/>
      <c r="I221" s="417"/>
      <c r="J221" s="417"/>
      <c r="K221" s="182"/>
      <c r="L221" s="178"/>
      <c r="M221" s="182"/>
      <c r="N221" s="178"/>
      <c r="O221" s="495"/>
      <c r="P221" s="439" t="str">
        <f>IF($P$194="Y",IFERROR(E221*$F$6*'Emissions Factors'!$B38*$F$21,""),"")</f>
        <v/>
      </c>
      <c r="Q221" s="441"/>
      <c r="R221" s="180"/>
      <c r="S221" s="180"/>
      <c r="T221" s="496"/>
      <c r="U221" s="180">
        <f t="shared" si="59"/>
        <v>0</v>
      </c>
      <c r="V221" s="180">
        <f t="shared" si="55"/>
        <v>0</v>
      </c>
      <c r="X221" s="430"/>
      <c r="Y221" s="478">
        <v>2041</v>
      </c>
      <c r="Z221" s="479">
        <f t="shared" si="56"/>
        <v>0</v>
      </c>
      <c r="AA221" s="479">
        <f t="shared" si="56"/>
        <v>0</v>
      </c>
      <c r="AB221" s="430"/>
      <c r="AC221" s="479"/>
      <c r="AD221" s="479"/>
      <c r="AE221" s="430"/>
      <c r="AF221" s="479">
        <f t="shared" si="57"/>
        <v>0</v>
      </c>
      <c r="AG221" s="479">
        <f t="shared" si="50"/>
        <v>0</v>
      </c>
      <c r="AH221" s="516"/>
      <c r="AJ221" s="480" t="str">
        <f t="shared" si="51"/>
        <v/>
      </c>
      <c r="AK221" s="480" t="str">
        <f t="shared" si="52"/>
        <v/>
      </c>
    </row>
    <row r="222" spans="1:37" ht="15.6" x14ac:dyDescent="0.3">
      <c r="A222" s="152">
        <v>2042</v>
      </c>
      <c r="B222" s="178"/>
      <c r="C222" s="182"/>
      <c r="D222" s="183"/>
      <c r="E222" s="179">
        <f t="shared" si="53"/>
        <v>21.207537141685229</v>
      </c>
      <c r="F222" s="183">
        <f t="shared" si="60"/>
        <v>1.0443605604960204</v>
      </c>
      <c r="G222" s="247">
        <f t="shared" si="54"/>
        <v>5.5812137556220914E-2</v>
      </c>
      <c r="H222" s="246"/>
      <c r="I222" s="417"/>
      <c r="J222" s="417"/>
      <c r="K222" s="182"/>
      <c r="L222" s="178"/>
      <c r="M222" s="182"/>
      <c r="N222" s="178"/>
      <c r="O222" s="495"/>
      <c r="P222" s="439" t="str">
        <f>IF($P$194="Y",IFERROR(E222*$F$6*'Emissions Factors'!$B39*$F$21,""),"")</f>
        <v/>
      </c>
      <c r="Q222" s="441"/>
      <c r="R222" s="180"/>
      <c r="S222" s="180"/>
      <c r="T222" s="496"/>
      <c r="U222" s="180">
        <f t="shared" si="59"/>
        <v>0</v>
      </c>
      <c r="V222" s="180">
        <f t="shared" si="55"/>
        <v>0</v>
      </c>
      <c r="X222" s="430"/>
      <c r="Y222" s="478">
        <v>2042</v>
      </c>
      <c r="Z222" s="479">
        <f t="shared" si="56"/>
        <v>0</v>
      </c>
      <c r="AA222" s="479">
        <f t="shared" si="56"/>
        <v>0</v>
      </c>
      <c r="AB222" s="430"/>
      <c r="AC222" s="479"/>
      <c r="AD222" s="479"/>
      <c r="AE222" s="430"/>
      <c r="AF222" s="479">
        <f t="shared" si="57"/>
        <v>0</v>
      </c>
      <c r="AG222" s="479">
        <f t="shared" si="50"/>
        <v>0</v>
      </c>
      <c r="AH222" s="516"/>
      <c r="AJ222" s="480" t="str">
        <f t="shared" si="51"/>
        <v/>
      </c>
      <c r="AK222" s="480" t="str">
        <f t="shared" si="52"/>
        <v/>
      </c>
    </row>
    <row r="223" spans="1:37" ht="15.6" x14ac:dyDescent="0.3">
      <c r="A223" s="152">
        <v>2043</v>
      </c>
      <c r="B223" s="178"/>
      <c r="C223" s="182"/>
      <c r="D223" s="183"/>
      <c r="E223" s="179">
        <f t="shared" si="53"/>
        <v>22.258773370980002</v>
      </c>
      <c r="F223" s="183">
        <f t="shared" si="60"/>
        <v>1.0512362292947728</v>
      </c>
      <c r="G223" s="247">
        <f t="shared" si="54"/>
        <v>5.5120894539211138E-2</v>
      </c>
      <c r="H223" s="246"/>
      <c r="I223" s="417"/>
      <c r="J223" s="417"/>
      <c r="K223" s="182"/>
      <c r="L223" s="178"/>
      <c r="M223" s="182"/>
      <c r="N223" s="178"/>
      <c r="O223" s="495"/>
      <c r="P223" s="439" t="str">
        <f>IF($P$194="Y",IFERROR(E223*$F$6*'Emissions Factors'!$B40*$F$21,""),"")</f>
        <v/>
      </c>
      <c r="Q223" s="441"/>
      <c r="R223" s="180"/>
      <c r="S223" s="180"/>
      <c r="T223" s="496"/>
      <c r="U223" s="180">
        <f t="shared" si="59"/>
        <v>0</v>
      </c>
      <c r="V223" s="180">
        <f t="shared" si="55"/>
        <v>0</v>
      </c>
      <c r="X223" s="430"/>
      <c r="Y223" s="478">
        <v>2043</v>
      </c>
      <c r="Z223" s="479">
        <f t="shared" si="56"/>
        <v>0</v>
      </c>
      <c r="AA223" s="479">
        <f t="shared" si="56"/>
        <v>0</v>
      </c>
      <c r="AB223" s="430"/>
      <c r="AC223" s="479"/>
      <c r="AD223" s="479"/>
      <c r="AE223" s="430"/>
      <c r="AF223" s="479">
        <f t="shared" si="57"/>
        <v>0</v>
      </c>
      <c r="AG223" s="479">
        <f t="shared" si="50"/>
        <v>0</v>
      </c>
      <c r="AH223" s="516"/>
      <c r="AJ223" s="480" t="str">
        <f t="shared" si="51"/>
        <v/>
      </c>
      <c r="AK223" s="480" t="str">
        <f t="shared" si="52"/>
        <v/>
      </c>
    </row>
    <row r="224" spans="1:37" ht="15.6" x14ac:dyDescent="0.3">
      <c r="A224" s="152">
        <v>2044</v>
      </c>
      <c r="B224" s="178"/>
      <c r="C224" s="182"/>
      <c r="D224" s="183"/>
      <c r="E224" s="179">
        <f t="shared" si="53"/>
        <v>23.322468858843841</v>
      </c>
      <c r="F224" s="183">
        <f t="shared" si="60"/>
        <v>1.0636954878638392</v>
      </c>
      <c r="G224" s="247">
        <f t="shared" si="54"/>
        <v>5.4440362186002178E-2</v>
      </c>
      <c r="H224" s="246"/>
      <c r="I224" s="417"/>
      <c r="J224" s="417"/>
      <c r="K224" s="182"/>
      <c r="L224" s="178"/>
      <c r="M224" s="182"/>
      <c r="N224" s="178"/>
      <c r="O224" s="495"/>
      <c r="P224" s="439" t="str">
        <f>IF($P$194="Y",IFERROR(E224*$F$6*'Emissions Factors'!$B41*$F$21,""),"")</f>
        <v/>
      </c>
      <c r="Q224" s="441"/>
      <c r="R224" s="180"/>
      <c r="S224" s="180"/>
      <c r="T224" s="496"/>
      <c r="U224" s="180">
        <f t="shared" si="59"/>
        <v>0</v>
      </c>
      <c r="V224" s="180">
        <f t="shared" si="55"/>
        <v>0</v>
      </c>
      <c r="X224" s="430"/>
      <c r="Y224" s="478">
        <v>2044</v>
      </c>
      <c r="Z224" s="479">
        <f t="shared" si="56"/>
        <v>0</v>
      </c>
      <c r="AA224" s="479">
        <f t="shared" si="56"/>
        <v>0</v>
      </c>
      <c r="AB224" s="430"/>
      <c r="AC224" s="479"/>
      <c r="AD224" s="479"/>
      <c r="AE224" s="430"/>
      <c r="AF224" s="479">
        <f t="shared" si="57"/>
        <v>0</v>
      </c>
      <c r="AG224" s="479">
        <f t="shared" si="50"/>
        <v>0</v>
      </c>
      <c r="AH224" s="516"/>
      <c r="AJ224" s="480" t="str">
        <f t="shared" si="51"/>
        <v/>
      </c>
      <c r="AK224" s="480" t="str">
        <f t="shared" si="52"/>
        <v/>
      </c>
    </row>
    <row r="225" spans="1:37" ht="15.6" x14ac:dyDescent="0.3">
      <c r="A225" s="152">
        <v>2045</v>
      </c>
      <c r="B225" s="178"/>
      <c r="C225" s="182"/>
      <c r="D225" s="183"/>
      <c r="E225" s="179">
        <f t="shared" si="53"/>
        <v>24.403889349256804</v>
      </c>
      <c r="F225" s="183">
        <f t="shared" si="60"/>
        <v>1.0814204904129632</v>
      </c>
      <c r="G225" s="247">
        <f t="shared" si="54"/>
        <v>5.3772388421151951E-2</v>
      </c>
      <c r="H225" s="246"/>
      <c r="I225" s="417"/>
      <c r="J225" s="417"/>
      <c r="K225" s="182"/>
      <c r="L225" s="178"/>
      <c r="M225" s="182"/>
      <c r="N225" s="178"/>
      <c r="O225" s="495"/>
      <c r="P225" s="439" t="str">
        <f>IF($P$194="Y",IFERROR(E225*$F$6*'Emissions Factors'!$B42*$F$21,""),"")</f>
        <v/>
      </c>
      <c r="Q225" s="441"/>
      <c r="R225" s="180"/>
      <c r="S225" s="180"/>
      <c r="T225" s="496"/>
      <c r="U225" s="180">
        <f t="shared" si="59"/>
        <v>0</v>
      </c>
      <c r="V225" s="180">
        <f t="shared" si="55"/>
        <v>0</v>
      </c>
      <c r="X225" s="430"/>
      <c r="Y225" s="478">
        <v>2045</v>
      </c>
      <c r="Z225" s="479">
        <f t="shared" si="56"/>
        <v>0</v>
      </c>
      <c r="AA225" s="479">
        <f t="shared" si="56"/>
        <v>0</v>
      </c>
      <c r="AB225" s="430"/>
      <c r="AC225" s="479"/>
      <c r="AD225" s="479"/>
      <c r="AE225" s="430"/>
      <c r="AF225" s="479">
        <f t="shared" si="57"/>
        <v>0</v>
      </c>
      <c r="AG225" s="479">
        <f t="shared" si="50"/>
        <v>0</v>
      </c>
      <c r="AH225" s="516"/>
      <c r="AJ225" s="480" t="str">
        <f t="shared" si="51"/>
        <v/>
      </c>
      <c r="AK225" s="480" t="str">
        <f t="shared" si="52"/>
        <v/>
      </c>
    </row>
    <row r="226" spans="1:37" ht="15.6" x14ac:dyDescent="0.3">
      <c r="A226" s="152">
        <v>2046</v>
      </c>
      <c r="B226" s="178"/>
      <c r="C226" s="182"/>
      <c r="D226" s="183"/>
      <c r="E226" s="179">
        <f t="shared" si="53"/>
        <v>25.507117846500755</v>
      </c>
      <c r="F226" s="183">
        <f t="shared" si="60"/>
        <v>1.1032284972439506</v>
      </c>
      <c r="G226" s="247">
        <f t="shared" si="54"/>
        <v>5.3120851460529937E-2</v>
      </c>
      <c r="H226" s="246"/>
      <c r="I226" s="417"/>
      <c r="J226" s="417"/>
      <c r="K226" s="182"/>
      <c r="L226" s="178"/>
      <c r="M226" s="182"/>
      <c r="N226" s="178"/>
      <c r="O226" s="495"/>
      <c r="P226" s="439" t="str">
        <f>IF($P$194="Y",IFERROR(E226*$F$6*'Emissions Factors'!$B43*$F$21,""),"")</f>
        <v/>
      </c>
      <c r="Q226" s="441"/>
      <c r="R226" s="180"/>
      <c r="S226" s="180"/>
      <c r="T226" s="496"/>
      <c r="U226" s="180">
        <f t="shared" si="59"/>
        <v>0</v>
      </c>
      <c r="V226" s="180">
        <f t="shared" si="55"/>
        <v>0</v>
      </c>
      <c r="X226" s="430"/>
      <c r="Y226" s="478">
        <v>2046</v>
      </c>
      <c r="Z226" s="479">
        <f t="shared" si="56"/>
        <v>0</v>
      </c>
      <c r="AA226" s="479">
        <f t="shared" si="56"/>
        <v>0</v>
      </c>
      <c r="AB226" s="430"/>
      <c r="AC226" s="479"/>
      <c r="AD226" s="479"/>
      <c r="AE226" s="430"/>
      <c r="AF226" s="479">
        <f t="shared" si="57"/>
        <v>0</v>
      </c>
      <c r="AG226" s="479">
        <f t="shared" si="50"/>
        <v>0</v>
      </c>
      <c r="AH226" s="516"/>
      <c r="AJ226" s="480" t="str">
        <f t="shared" si="51"/>
        <v/>
      </c>
      <c r="AK226" s="480" t="str">
        <f t="shared" si="52"/>
        <v/>
      </c>
    </row>
    <row r="227" spans="1:37" ht="15.6" x14ac:dyDescent="0.3">
      <c r="A227" s="152">
        <v>2047</v>
      </c>
      <c r="B227" s="178"/>
      <c r="C227" s="182"/>
      <c r="D227" s="183"/>
      <c r="E227" s="179">
        <f t="shared" si="53"/>
        <v>26.635806751715155</v>
      </c>
      <c r="F227" s="183">
        <f t="shared" si="60"/>
        <v>1.1286889052143998</v>
      </c>
      <c r="G227" s="247">
        <f t="shared" si="54"/>
        <v>5.2489111130488979E-2</v>
      </c>
      <c r="H227" s="246"/>
      <c r="I227" s="417"/>
      <c r="J227" s="417"/>
      <c r="K227" s="182"/>
      <c r="L227" s="178"/>
      <c r="M227" s="182"/>
      <c r="N227" s="178"/>
      <c r="O227" s="495"/>
      <c r="P227" s="439" t="str">
        <f>IF($P$194="Y",IFERROR(E227*$F$6*'Emissions Factors'!$B44*$F$21,""),"")</f>
        <v/>
      </c>
      <c r="Q227" s="441"/>
      <c r="R227" s="180"/>
      <c r="S227" s="180"/>
      <c r="T227" s="496"/>
      <c r="U227" s="180">
        <f t="shared" si="59"/>
        <v>0</v>
      </c>
      <c r="V227" s="180">
        <f t="shared" si="55"/>
        <v>0</v>
      </c>
      <c r="X227" s="430"/>
      <c r="Y227" s="478">
        <v>2047</v>
      </c>
      <c r="Z227" s="479">
        <f t="shared" si="56"/>
        <v>0</v>
      </c>
      <c r="AA227" s="479">
        <f t="shared" si="56"/>
        <v>0</v>
      </c>
      <c r="AB227" s="430"/>
      <c r="AC227" s="479"/>
      <c r="AD227" s="479"/>
      <c r="AE227" s="430"/>
      <c r="AF227" s="479">
        <f t="shared" si="57"/>
        <v>0</v>
      </c>
      <c r="AG227" s="479">
        <f t="shared" si="50"/>
        <v>0</v>
      </c>
      <c r="AH227" s="516"/>
      <c r="AJ227" s="480" t="str">
        <f t="shared" si="51"/>
        <v/>
      </c>
      <c r="AK227" s="480" t="str">
        <f t="shared" si="52"/>
        <v/>
      </c>
    </row>
    <row r="228" spans="1:37" ht="15.6" x14ac:dyDescent="0.3">
      <c r="A228" s="152">
        <v>2048</v>
      </c>
      <c r="B228" s="178"/>
      <c r="C228" s="182"/>
      <c r="D228" s="183"/>
      <c r="E228" s="179">
        <f t="shared" si="53"/>
        <v>27.794352455649435</v>
      </c>
      <c r="F228" s="183">
        <f t="shared" si="60"/>
        <v>1.1585457039342799</v>
      </c>
      <c r="G228" s="247">
        <f t="shared" si="54"/>
        <v>5.1878663501324411E-2</v>
      </c>
      <c r="H228" s="246"/>
      <c r="I228" s="417"/>
      <c r="J228" s="417"/>
      <c r="K228" s="182"/>
      <c r="L228" s="178"/>
      <c r="M228" s="182"/>
      <c r="N228" s="178"/>
      <c r="O228" s="495"/>
      <c r="P228" s="439" t="str">
        <f>IF($P$194="Y",IFERROR(E228*$F$6*'Emissions Factors'!$B45*$F$21,""),"")</f>
        <v/>
      </c>
      <c r="Q228" s="441"/>
      <c r="R228" s="180"/>
      <c r="S228" s="180"/>
      <c r="T228" s="496"/>
      <c r="U228" s="180">
        <f t="shared" si="59"/>
        <v>0</v>
      </c>
      <c r="V228" s="180">
        <f t="shared" si="55"/>
        <v>0</v>
      </c>
      <c r="X228" s="430"/>
      <c r="Y228" s="478">
        <v>2048</v>
      </c>
      <c r="Z228" s="479">
        <f t="shared" si="56"/>
        <v>0</v>
      </c>
      <c r="AA228" s="479">
        <f t="shared" si="56"/>
        <v>0</v>
      </c>
      <c r="AB228" s="430"/>
      <c r="AC228" s="479"/>
      <c r="AD228" s="479"/>
      <c r="AE228" s="430"/>
      <c r="AF228" s="479">
        <f t="shared" si="57"/>
        <v>0</v>
      </c>
      <c r="AG228" s="479">
        <f t="shared" si="50"/>
        <v>0</v>
      </c>
      <c r="AH228" s="516"/>
      <c r="AJ228" s="480" t="str">
        <f t="shared" si="51"/>
        <v/>
      </c>
      <c r="AK228" s="480" t="str">
        <f t="shared" si="52"/>
        <v/>
      </c>
    </row>
    <row r="229" spans="1:37" ht="15.6" x14ac:dyDescent="0.3">
      <c r="A229" s="152">
        <v>2049</v>
      </c>
      <c r="B229" s="178"/>
      <c r="C229" s="182"/>
      <c r="D229" s="183"/>
      <c r="E229" s="179">
        <f t="shared" si="53"/>
        <v>28.987284961819867</v>
      </c>
      <c r="F229" s="183">
        <f t="shared" si="60"/>
        <v>1.1929325061704326</v>
      </c>
      <c r="G229" s="247">
        <f t="shared" si="54"/>
        <v>5.1290928234913255E-2</v>
      </c>
      <c r="H229" s="246"/>
      <c r="I229" s="417"/>
      <c r="J229" s="417"/>
      <c r="K229" s="182"/>
      <c r="L229" s="178"/>
      <c r="M229" s="182"/>
      <c r="N229" s="178"/>
      <c r="O229" s="495"/>
      <c r="P229" s="439" t="str">
        <f>IF($P$194="Y",IFERROR(E229*$F$6*'Emissions Factors'!$B46*$F$21,""),"")</f>
        <v/>
      </c>
      <c r="Q229" s="441"/>
      <c r="R229" s="180"/>
      <c r="S229" s="180"/>
      <c r="T229" s="496"/>
      <c r="U229" s="180">
        <f t="shared" si="59"/>
        <v>0</v>
      </c>
      <c r="V229" s="180">
        <f t="shared" si="55"/>
        <v>0</v>
      </c>
      <c r="X229" s="430"/>
      <c r="Y229" s="478">
        <v>2049</v>
      </c>
      <c r="Z229" s="479">
        <f t="shared" si="56"/>
        <v>0</v>
      </c>
      <c r="AA229" s="479">
        <f t="shared" si="56"/>
        <v>0</v>
      </c>
      <c r="AB229" s="430"/>
      <c r="AC229" s="479"/>
      <c r="AD229" s="479"/>
      <c r="AE229" s="430"/>
      <c r="AF229" s="479">
        <f t="shared" si="57"/>
        <v>0</v>
      </c>
      <c r="AG229" s="479">
        <f t="shared" si="50"/>
        <v>0</v>
      </c>
      <c r="AH229" s="516"/>
      <c r="AJ229" s="480" t="str">
        <f t="shared" si="51"/>
        <v/>
      </c>
      <c r="AK229" s="480" t="str">
        <f t="shared" si="52"/>
        <v/>
      </c>
    </row>
    <row r="230" spans="1:37" ht="15.6" x14ac:dyDescent="0.3">
      <c r="A230" s="152">
        <v>2050</v>
      </c>
      <c r="B230" s="178"/>
      <c r="C230" s="182"/>
      <c r="D230" s="183"/>
      <c r="E230" s="179">
        <f t="shared" si="53"/>
        <v>30.219229546844605</v>
      </c>
      <c r="F230" s="183">
        <f t="shared" si="60"/>
        <v>1.2319445850247384</v>
      </c>
      <c r="G230" s="247">
        <f t="shared" si="54"/>
        <v>5.072855124822119E-2</v>
      </c>
      <c r="H230" s="246"/>
      <c r="I230" s="417"/>
      <c r="J230" s="417"/>
      <c r="K230" s="182"/>
      <c r="L230" s="178"/>
      <c r="M230" s="182"/>
      <c r="N230" s="178"/>
      <c r="O230" s="495"/>
      <c r="P230" s="439" t="str">
        <f>IF($P$194="Y",IFERROR(E230*$F$6*'Emissions Factors'!$B47*$F$21,""),"")</f>
        <v/>
      </c>
      <c r="Q230" s="441"/>
      <c r="R230" s="180"/>
      <c r="S230" s="180"/>
      <c r="T230" s="496"/>
      <c r="U230" s="180">
        <f t="shared" si="59"/>
        <v>0</v>
      </c>
      <c r="V230" s="180">
        <f t="shared" si="55"/>
        <v>0</v>
      </c>
      <c r="X230" s="430"/>
      <c r="Y230" s="478">
        <v>2050</v>
      </c>
      <c r="Z230" s="479">
        <f t="shared" si="56"/>
        <v>0</v>
      </c>
      <c r="AA230" s="479">
        <f t="shared" si="56"/>
        <v>0</v>
      </c>
      <c r="AB230" s="430"/>
      <c r="AC230" s="479"/>
      <c r="AD230" s="479"/>
      <c r="AE230" s="430"/>
      <c r="AF230" s="479">
        <f t="shared" si="57"/>
        <v>0</v>
      </c>
      <c r="AG230" s="479">
        <f t="shared" si="50"/>
        <v>0</v>
      </c>
      <c r="AH230" s="516"/>
      <c r="AJ230" s="480" t="str">
        <f t="shared" si="51"/>
        <v/>
      </c>
      <c r="AK230" s="480" t="str">
        <f t="shared" si="52"/>
        <v/>
      </c>
    </row>
    <row r="231" spans="1:37" ht="15.6" x14ac:dyDescent="0.3">
      <c r="A231" s="152">
        <v>2051</v>
      </c>
      <c r="B231" s="178"/>
      <c r="C231" s="182"/>
      <c r="D231" s="183"/>
      <c r="E231" s="179">
        <f t="shared" si="53"/>
        <v>31.458881174527267</v>
      </c>
      <c r="F231" s="183">
        <f t="shared" si="60"/>
        <v>1.2396516276826617</v>
      </c>
      <c r="G231" s="247">
        <f t="shared" si="54"/>
        <v>5.0195618941294137E-2</v>
      </c>
      <c r="H231" s="246"/>
      <c r="I231" s="417"/>
      <c r="J231" s="417"/>
      <c r="K231" s="182"/>
      <c r="L231" s="178"/>
      <c r="M231" s="182"/>
      <c r="N231" s="178"/>
      <c r="O231" s="495"/>
      <c r="P231" s="439" t="str">
        <f>IF($P$194="Y",IFERROR(E231*$F$6*'Emissions Factors'!$B48*$F$21,""),"")</f>
        <v/>
      </c>
      <c r="Q231" s="441"/>
      <c r="R231" s="180"/>
      <c r="S231" s="180"/>
      <c r="T231" s="496"/>
      <c r="U231" s="180">
        <f t="shared" si="59"/>
        <v>0</v>
      </c>
      <c r="V231" s="180">
        <f t="shared" si="55"/>
        <v>0</v>
      </c>
      <c r="Y231" s="478">
        <v>2051</v>
      </c>
      <c r="Z231" s="479">
        <f t="shared" si="56"/>
        <v>0</v>
      </c>
      <c r="AA231" s="479">
        <f t="shared" si="56"/>
        <v>0</v>
      </c>
      <c r="AB231" s="430"/>
      <c r="AC231" s="479"/>
      <c r="AD231" s="479"/>
      <c r="AE231" s="430"/>
      <c r="AF231" s="479">
        <f t="shared" si="57"/>
        <v>0</v>
      </c>
      <c r="AG231" s="479">
        <f t="shared" si="50"/>
        <v>0</v>
      </c>
      <c r="AH231" s="516"/>
      <c r="AJ231" s="480" t="str">
        <f t="shared" si="51"/>
        <v/>
      </c>
      <c r="AK231" s="480" t="str">
        <f t="shared" si="52"/>
        <v/>
      </c>
    </row>
    <row r="232" spans="1:37" ht="15.6" x14ac:dyDescent="0.3">
      <c r="A232" s="152">
        <v>2052</v>
      </c>
      <c r="B232" s="178"/>
      <c r="C232" s="182"/>
      <c r="D232" s="183"/>
      <c r="E232" s="179">
        <f t="shared" si="53"/>
        <v>32.745543983661172</v>
      </c>
      <c r="F232" s="183">
        <f t="shared" si="60"/>
        <v>1.2866628091339045</v>
      </c>
      <c r="G232" s="247">
        <f t="shared" si="54"/>
        <v>4.9696892348578312E-2</v>
      </c>
      <c r="H232" s="246"/>
      <c r="I232" s="417"/>
      <c r="J232" s="417"/>
      <c r="K232" s="182"/>
      <c r="L232" s="178"/>
      <c r="M232" s="182"/>
      <c r="N232" s="178"/>
      <c r="O232" s="495"/>
      <c r="P232" s="439" t="str">
        <f>IF($P$194="Y",IFERROR(E232*$F$6*'Emissions Factors'!$B49*$F$21,""),"")</f>
        <v/>
      </c>
      <c r="Q232" s="441"/>
      <c r="R232" s="180"/>
      <c r="S232" s="180"/>
      <c r="T232" s="496"/>
      <c r="U232" s="180">
        <f t="shared" si="59"/>
        <v>0</v>
      </c>
      <c r="V232" s="180">
        <f t="shared" si="55"/>
        <v>0</v>
      </c>
      <c r="Y232" s="478">
        <v>2052</v>
      </c>
      <c r="Z232" s="479">
        <f t="shared" si="56"/>
        <v>0</v>
      </c>
      <c r="AA232" s="479">
        <f t="shared" si="56"/>
        <v>0</v>
      </c>
      <c r="AB232" s="430"/>
      <c r="AC232" s="479"/>
      <c r="AD232" s="479"/>
      <c r="AE232" s="430"/>
      <c r="AF232" s="479">
        <f t="shared" si="57"/>
        <v>0</v>
      </c>
      <c r="AG232" s="479">
        <f t="shared" si="50"/>
        <v>0</v>
      </c>
      <c r="AH232" s="516"/>
      <c r="AJ232" s="480" t="str">
        <f t="shared" si="51"/>
        <v/>
      </c>
      <c r="AK232" s="480" t="str">
        <f t="shared" si="52"/>
        <v/>
      </c>
    </row>
    <row r="233" spans="1:37" ht="15.6" x14ac:dyDescent="0.3">
      <c r="A233" s="152">
        <v>2053</v>
      </c>
      <c r="B233" s="178"/>
      <c r="C233" s="182"/>
      <c r="D233" s="183"/>
      <c r="E233" s="179">
        <f t="shared" si="53"/>
        <v>34.083946191185873</v>
      </c>
      <c r="F233" s="183">
        <f t="shared" si="60"/>
        <v>1.3384022075247017</v>
      </c>
      <c r="G233" s="247">
        <f t="shared" si="54"/>
        <v>4.9236544919217584E-2</v>
      </c>
      <c r="H233" s="246"/>
      <c r="I233" s="417"/>
      <c r="J233" s="417"/>
      <c r="K233" s="182"/>
      <c r="L233" s="178"/>
      <c r="M233" s="182"/>
      <c r="N233" s="178"/>
      <c r="O233" s="495"/>
      <c r="P233" s="439" t="str">
        <f>IF($P$194="Y",IFERROR(E233*$F$6*'Emissions Factors'!$B50*$F$21,""),"")</f>
        <v/>
      </c>
      <c r="Q233" s="441"/>
      <c r="R233" s="180"/>
      <c r="S233" s="180"/>
      <c r="T233" s="496"/>
      <c r="U233" s="180">
        <f t="shared" si="59"/>
        <v>0</v>
      </c>
      <c r="V233" s="180">
        <f t="shared" si="55"/>
        <v>0</v>
      </c>
      <c r="Y233" s="478">
        <v>2053</v>
      </c>
      <c r="Z233" s="479">
        <f t="shared" si="56"/>
        <v>0</v>
      </c>
      <c r="AA233" s="479">
        <f t="shared" si="56"/>
        <v>0</v>
      </c>
      <c r="AB233" s="430"/>
      <c r="AC233" s="479"/>
      <c r="AD233" s="479"/>
      <c r="AE233" s="430"/>
      <c r="AF233" s="479">
        <f t="shared" si="57"/>
        <v>0</v>
      </c>
      <c r="AG233" s="479">
        <f t="shared" si="50"/>
        <v>0</v>
      </c>
      <c r="AH233" s="516"/>
      <c r="AJ233" s="480" t="str">
        <f t="shared" si="51"/>
        <v/>
      </c>
      <c r="AK233" s="480" t="str">
        <f t="shared" si="52"/>
        <v/>
      </c>
    </row>
    <row r="234" spans="1:37" ht="15.6" x14ac:dyDescent="0.3">
      <c r="A234" s="152">
        <v>2054</v>
      </c>
      <c r="B234" s="178"/>
      <c r="C234" s="182"/>
      <c r="D234" s="183"/>
      <c r="E234" s="179">
        <f t="shared" si="53"/>
        <v>35.478758543729306</v>
      </c>
      <c r="F234" s="183">
        <f t="shared" si="60"/>
        <v>1.3948123525434326</v>
      </c>
      <c r="G234" s="247">
        <f t="shared" si="54"/>
        <v>4.8818551821012926E-2</v>
      </c>
      <c r="H234" s="246"/>
      <c r="I234" s="417"/>
      <c r="J234" s="417"/>
      <c r="K234" s="182"/>
      <c r="L234" s="178"/>
      <c r="M234" s="182"/>
      <c r="N234" s="178"/>
      <c r="O234" s="495"/>
      <c r="P234" s="439" t="str">
        <f>IF($P$194="Y",IFERROR(E234*$F$6*'Emissions Factors'!$B51*$F$21,""),"")</f>
        <v/>
      </c>
      <c r="Q234" s="441"/>
      <c r="R234" s="180"/>
      <c r="S234" s="180"/>
      <c r="T234" s="496"/>
      <c r="U234" s="180">
        <f t="shared" si="59"/>
        <v>0</v>
      </c>
      <c r="V234" s="180">
        <f t="shared" si="55"/>
        <v>0</v>
      </c>
      <c r="Y234" s="478">
        <v>2054</v>
      </c>
      <c r="Z234" s="479">
        <f t="shared" si="56"/>
        <v>0</v>
      </c>
      <c r="AA234" s="479">
        <f t="shared" si="56"/>
        <v>0</v>
      </c>
      <c r="AB234" s="430"/>
      <c r="AC234" s="479"/>
      <c r="AD234" s="479"/>
      <c r="AE234" s="430"/>
      <c r="AF234" s="479">
        <f t="shared" si="57"/>
        <v>0</v>
      </c>
      <c r="AG234" s="479">
        <f t="shared" si="50"/>
        <v>0</v>
      </c>
      <c r="AH234" s="516"/>
      <c r="AJ234" s="480" t="str">
        <f t="shared" si="51"/>
        <v/>
      </c>
      <c r="AK234" s="480" t="str">
        <f t="shared" si="52"/>
        <v/>
      </c>
    </row>
    <row r="235" spans="1:37" ht="15.6" x14ac:dyDescent="0.3">
      <c r="A235" s="152">
        <v>2055</v>
      </c>
      <c r="B235" s="178"/>
      <c r="C235" s="182"/>
      <c r="D235" s="183"/>
      <c r="E235" s="179">
        <f t="shared" si="53"/>
        <v>36.935024244292656</v>
      </c>
      <c r="F235" s="183">
        <f t="shared" si="60"/>
        <v>1.4562657005633497</v>
      </c>
      <c r="G235" s="247">
        <f t="shared" si="54"/>
        <v>4.8446516391746582E-2</v>
      </c>
      <c r="H235" s="246"/>
      <c r="I235" s="417"/>
      <c r="J235" s="417"/>
      <c r="K235" s="182"/>
      <c r="L235" s="178"/>
      <c r="M235" s="182"/>
      <c r="N235" s="178"/>
      <c r="O235" s="495"/>
      <c r="P235" s="439" t="str">
        <f>IF($P$194="Y",IFERROR(E235*$F$6*'Emissions Factors'!$B52*$F$21,""),"")</f>
        <v/>
      </c>
      <c r="Q235" s="441"/>
      <c r="R235" s="180"/>
      <c r="S235" s="180"/>
      <c r="T235" s="496"/>
      <c r="U235" s="180">
        <f t="shared" si="59"/>
        <v>0</v>
      </c>
      <c r="V235" s="180">
        <f t="shared" si="55"/>
        <v>0</v>
      </c>
      <c r="Y235" s="478">
        <v>2055</v>
      </c>
      <c r="Z235" s="479">
        <f t="shared" si="56"/>
        <v>0</v>
      </c>
      <c r="AA235" s="479">
        <f t="shared" si="56"/>
        <v>0</v>
      </c>
      <c r="AB235" s="430"/>
      <c r="AC235" s="479"/>
      <c r="AD235" s="479"/>
      <c r="AE235" s="430"/>
      <c r="AF235" s="479">
        <f t="shared" si="57"/>
        <v>0</v>
      </c>
      <c r="AG235" s="479">
        <f t="shared" si="50"/>
        <v>0</v>
      </c>
      <c r="AH235" s="516"/>
      <c r="AJ235" s="480" t="str">
        <f t="shared" si="51"/>
        <v/>
      </c>
      <c r="AK235" s="480" t="str">
        <f t="shared" si="52"/>
        <v/>
      </c>
    </row>
    <row r="236" spans="1:37" ht="15.6" x14ac:dyDescent="0.3">
      <c r="A236" s="152">
        <v>2056</v>
      </c>
      <c r="B236" s="178"/>
      <c r="C236" s="182"/>
      <c r="D236" s="183"/>
      <c r="E236" s="179">
        <f t="shared" si="53"/>
        <v>38.458690864857715</v>
      </c>
      <c r="F236" s="183">
        <f t="shared" si="60"/>
        <v>1.5236666205650593</v>
      </c>
      <c r="G236" s="247">
        <f t="shared" si="54"/>
        <v>4.8123162134807482E-2</v>
      </c>
      <c r="H236" s="246"/>
      <c r="I236" s="417"/>
      <c r="J236" s="417"/>
      <c r="K236" s="182"/>
      <c r="L236" s="178"/>
      <c r="M236" s="182"/>
      <c r="N236" s="178"/>
      <c r="O236" s="495"/>
      <c r="P236" s="439" t="str">
        <f>IF($P$194="Y",IFERROR(E236*$F$6*'Emissions Factors'!$B53*$F$21,""),"")</f>
        <v/>
      </c>
      <c r="Q236" s="441"/>
      <c r="R236" s="180"/>
      <c r="S236" s="180"/>
      <c r="T236" s="496"/>
      <c r="U236" s="180">
        <f t="shared" si="59"/>
        <v>0</v>
      </c>
      <c r="V236" s="180">
        <f t="shared" si="55"/>
        <v>0</v>
      </c>
      <c r="Y236" s="478">
        <v>2056</v>
      </c>
      <c r="Z236" s="479">
        <f t="shared" si="56"/>
        <v>0</v>
      </c>
      <c r="AA236" s="479">
        <f t="shared" si="56"/>
        <v>0</v>
      </c>
      <c r="AB236" s="430"/>
      <c r="AC236" s="479"/>
      <c r="AD236" s="479"/>
      <c r="AE236" s="430"/>
      <c r="AF236" s="479">
        <f t="shared" si="57"/>
        <v>0</v>
      </c>
      <c r="AG236" s="479">
        <f t="shared" si="50"/>
        <v>0</v>
      </c>
      <c r="AH236" s="516"/>
      <c r="AJ236" s="480" t="str">
        <f t="shared" si="51"/>
        <v/>
      </c>
      <c r="AK236" s="480" t="str">
        <f t="shared" si="52"/>
        <v/>
      </c>
    </row>
    <row r="237" spans="1:37" ht="15.6" x14ac:dyDescent="0.3">
      <c r="A237" s="152">
        <v>2057</v>
      </c>
      <c r="B237" s="178"/>
      <c r="C237" s="182"/>
      <c r="D237" s="183"/>
      <c r="E237" s="179">
        <f t="shared" si="53"/>
        <v>40.055972693371494</v>
      </c>
      <c r="F237" s="183">
        <f t="shared" si="60"/>
        <v>1.5972818285137791</v>
      </c>
      <c r="G237" s="247">
        <f t="shared" si="54"/>
        <v>4.7851489531129832E-2</v>
      </c>
      <c r="H237" s="246"/>
      <c r="I237" s="417"/>
      <c r="J237" s="417"/>
      <c r="K237" s="182"/>
      <c r="L237" s="178"/>
      <c r="M237" s="182"/>
      <c r="N237" s="178"/>
      <c r="O237" s="495"/>
      <c r="P237" s="439" t="str">
        <f>IF($P$194="Y",IFERROR(E237*$F$6*'Emissions Factors'!$B54*$F$21,""),"")</f>
        <v/>
      </c>
      <c r="Q237" s="441"/>
      <c r="R237" s="180"/>
      <c r="S237" s="180"/>
      <c r="T237" s="496"/>
      <c r="U237" s="180">
        <f t="shared" si="59"/>
        <v>0</v>
      </c>
      <c r="V237" s="180">
        <f t="shared" si="55"/>
        <v>0</v>
      </c>
      <c r="Y237" s="478">
        <v>2057</v>
      </c>
      <c r="Z237" s="479">
        <f t="shared" si="56"/>
        <v>0</v>
      </c>
      <c r="AA237" s="479">
        <f t="shared" si="56"/>
        <v>0</v>
      </c>
      <c r="AB237" s="430"/>
      <c r="AC237" s="479"/>
      <c r="AD237" s="479"/>
      <c r="AE237" s="430"/>
      <c r="AF237" s="479">
        <f t="shared" si="57"/>
        <v>0</v>
      </c>
      <c r="AG237" s="479">
        <f t="shared" si="50"/>
        <v>0</v>
      </c>
      <c r="AH237" s="516"/>
      <c r="AJ237" s="480" t="str">
        <f t="shared" si="51"/>
        <v/>
      </c>
      <c r="AK237" s="480" t="str">
        <f t="shared" si="52"/>
        <v/>
      </c>
    </row>
    <row r="238" spans="1:37" ht="15.6" x14ac:dyDescent="0.3">
      <c r="A238" s="152">
        <v>2058</v>
      </c>
      <c r="B238" s="178"/>
      <c r="C238" s="182"/>
      <c r="D238" s="183"/>
      <c r="E238" s="179">
        <f t="shared" si="53"/>
        <v>41.732601809221499</v>
      </c>
      <c r="F238" s="183">
        <f t="shared" si="60"/>
        <v>1.6766291158500053</v>
      </c>
      <c r="G238" s="247">
        <f t="shared" si="54"/>
        <v>4.7635220658730812E-2</v>
      </c>
      <c r="H238" s="246"/>
      <c r="I238" s="417"/>
      <c r="J238" s="417"/>
      <c r="K238" s="182"/>
      <c r="L238" s="178"/>
      <c r="M238" s="182"/>
      <c r="N238" s="178"/>
      <c r="O238" s="495"/>
      <c r="P238" s="439" t="str">
        <f>IF($P$194="Y",IFERROR(E238*$F$6*'Emissions Factors'!$B55*$F$21,""),"")</f>
        <v/>
      </c>
      <c r="Q238" s="441"/>
      <c r="R238" s="180"/>
      <c r="S238" s="180"/>
      <c r="T238" s="496"/>
      <c r="U238" s="180">
        <f t="shared" si="59"/>
        <v>0</v>
      </c>
      <c r="V238" s="180">
        <f t="shared" si="55"/>
        <v>0</v>
      </c>
      <c r="Y238" s="478">
        <v>2058</v>
      </c>
      <c r="Z238" s="479">
        <f t="shared" si="56"/>
        <v>0</v>
      </c>
      <c r="AA238" s="479">
        <f t="shared" si="56"/>
        <v>0</v>
      </c>
      <c r="AB238" s="430"/>
      <c r="AC238" s="479"/>
      <c r="AD238" s="479"/>
      <c r="AE238" s="430"/>
      <c r="AF238" s="479">
        <f t="shared" si="57"/>
        <v>0</v>
      </c>
      <c r="AG238" s="479">
        <f t="shared" si="50"/>
        <v>0</v>
      </c>
      <c r="AH238" s="516"/>
      <c r="AJ238" s="480" t="str">
        <f t="shared" si="51"/>
        <v/>
      </c>
      <c r="AK238" s="480" t="str">
        <f t="shared" si="52"/>
        <v/>
      </c>
    </row>
    <row r="239" spans="1:37" ht="15.6" x14ac:dyDescent="0.3">
      <c r="A239" s="152">
        <v>2059</v>
      </c>
      <c r="B239" s="178"/>
      <c r="C239" s="182"/>
      <c r="D239" s="183"/>
      <c r="E239" s="179">
        <f t="shared" si="53"/>
        <v>43.494403338161739</v>
      </c>
      <c r="F239" s="183">
        <f t="shared" si="60"/>
        <v>1.7618015289402393</v>
      </c>
      <c r="G239" s="247">
        <f t="shared" si="54"/>
        <v>4.7478038563659584E-2</v>
      </c>
      <c r="H239" s="246"/>
      <c r="I239" s="417"/>
      <c r="J239" s="417"/>
      <c r="K239" s="182"/>
      <c r="L239" s="178"/>
      <c r="M239" s="182"/>
      <c r="N239" s="178"/>
      <c r="O239" s="495"/>
      <c r="P239" s="439" t="str">
        <f>IF($P$194="Y",IFERROR(E239*$F$6*'Emissions Factors'!$B56*$F$21,""),"")</f>
        <v/>
      </c>
      <c r="Q239" s="441"/>
      <c r="R239" s="180"/>
      <c r="S239" s="180"/>
      <c r="T239" s="496"/>
      <c r="U239" s="180">
        <f t="shared" si="59"/>
        <v>0</v>
      </c>
      <c r="V239" s="180">
        <f t="shared" si="55"/>
        <v>0</v>
      </c>
      <c r="Y239" s="478">
        <v>2059</v>
      </c>
      <c r="Z239" s="479">
        <f t="shared" si="56"/>
        <v>0</v>
      </c>
      <c r="AA239" s="479">
        <f t="shared" si="56"/>
        <v>0</v>
      </c>
      <c r="AB239" s="430"/>
      <c r="AC239" s="479"/>
      <c r="AD239" s="479"/>
      <c r="AE239" s="430"/>
      <c r="AF239" s="479">
        <f t="shared" si="57"/>
        <v>0</v>
      </c>
      <c r="AG239" s="479">
        <f t="shared" si="50"/>
        <v>0</v>
      </c>
      <c r="AH239" s="516"/>
      <c r="AJ239" s="480" t="str">
        <f t="shared" si="51"/>
        <v/>
      </c>
      <c r="AK239" s="480" t="str">
        <f t="shared" si="52"/>
        <v/>
      </c>
    </row>
    <row r="240" spans="1:37" ht="15.6" x14ac:dyDescent="0.3">
      <c r="A240" s="152">
        <v>2060</v>
      </c>
      <c r="B240" s="178"/>
      <c r="C240" s="182"/>
      <c r="D240" s="183"/>
      <c r="E240" s="179">
        <f t="shared" si="53"/>
        <v>45.347906143051695</v>
      </c>
      <c r="F240" s="183">
        <f t="shared" si="60"/>
        <v>1.8535028048899562</v>
      </c>
      <c r="G240" s="247">
        <f t="shared" si="54"/>
        <v>4.7382907435122058E-2</v>
      </c>
      <c r="H240" s="246"/>
      <c r="I240" s="417"/>
      <c r="J240" s="417"/>
      <c r="K240" s="182"/>
      <c r="L240" s="178"/>
      <c r="M240" s="182"/>
      <c r="N240" s="178"/>
      <c r="O240" s="495"/>
      <c r="P240" s="439" t="str">
        <f>IF($P$194="Y",IFERROR(E240*$F$6*'Emissions Factors'!$B57*$F$21,""),"")</f>
        <v/>
      </c>
      <c r="Q240" s="441"/>
      <c r="R240" s="180"/>
      <c r="S240" s="180"/>
      <c r="T240" s="496"/>
      <c r="U240" s="180">
        <f t="shared" si="59"/>
        <v>0</v>
      </c>
      <c r="V240" s="180">
        <f t="shared" si="55"/>
        <v>0</v>
      </c>
      <c r="Y240" s="478">
        <v>2060</v>
      </c>
      <c r="Z240" s="479">
        <f t="shared" si="56"/>
        <v>0</v>
      </c>
      <c r="AA240" s="479">
        <f t="shared" si="56"/>
        <v>0</v>
      </c>
      <c r="AB240" s="430"/>
      <c r="AC240" s="479"/>
      <c r="AD240" s="479"/>
      <c r="AE240" s="430"/>
      <c r="AF240" s="479">
        <f t="shared" si="57"/>
        <v>0</v>
      </c>
      <c r="AG240" s="479">
        <f t="shared" si="50"/>
        <v>0</v>
      </c>
      <c r="AH240" s="516"/>
      <c r="AJ240" s="480" t="str">
        <f t="shared" si="51"/>
        <v/>
      </c>
      <c r="AK240" s="480" t="str">
        <f t="shared" si="52"/>
        <v/>
      </c>
    </row>
    <row r="241" spans="1:10" x14ac:dyDescent="0.25">
      <c r="A241" s="13"/>
      <c r="B241" s="13"/>
      <c r="C241" s="13"/>
      <c r="D241" s="13"/>
      <c r="E241" s="13"/>
      <c r="F241" s="13"/>
      <c r="G241" s="13"/>
      <c r="H241" s="13"/>
      <c r="I241" s="13"/>
      <c r="J241" s="13"/>
    </row>
    <row r="244" spans="1:10" ht="13.95" customHeight="1" x14ac:dyDescent="0.25"/>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x14ac:dyDescent="0.25">
      <c r="L280" s="170"/>
      <c r="M280" s="170"/>
      <c r="S280" s="170"/>
    </row>
    <row r="281" spans="12:19" x14ac:dyDescent="0.25">
      <c r="L281" s="170"/>
      <c r="M281" s="170"/>
      <c r="S281" s="170"/>
    </row>
    <row r="282" spans="12:19" ht="13.8" thickBot="1" x14ac:dyDescent="0.3">
      <c r="L282" s="209"/>
      <c r="M282" s="209"/>
      <c r="S282" s="209"/>
    </row>
    <row r="293" spans="1:13" x14ac:dyDescent="0.25">
      <c r="A293" s="13"/>
      <c r="B293" s="13"/>
      <c r="C293" s="13"/>
      <c r="D293" s="13"/>
      <c r="E293" s="13"/>
      <c r="F293" s="13"/>
      <c r="G293" s="13"/>
      <c r="H293" s="13"/>
      <c r="I293" s="13"/>
      <c r="J293" s="13"/>
      <c r="K293" s="13"/>
    </row>
    <row r="302" spans="1:13" ht="13.8" thickBot="1" x14ac:dyDescent="0.3"/>
    <row r="303" spans="1:13" x14ac:dyDescent="0.25">
      <c r="L303" s="202"/>
      <c r="M303" s="202"/>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row>
    <row r="311" spans="12:29" x14ac:dyDescent="0.25">
      <c r="L311" s="170"/>
      <c r="M311" s="170"/>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x14ac:dyDescent="0.25">
      <c r="L331" s="170"/>
      <c r="M331" s="170"/>
      <c r="AC331" s="251"/>
    </row>
    <row r="332" spans="12:29" x14ac:dyDescent="0.25">
      <c r="L332" s="170"/>
      <c r="M332" s="170"/>
      <c r="AC332" s="251"/>
    </row>
    <row r="333" spans="12:29" ht="13.8" thickBot="1" x14ac:dyDescent="0.3">
      <c r="L333" s="209"/>
      <c r="M333" s="209"/>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row r="342" spans="29:29" x14ac:dyDescent="0.25">
      <c r="AC342" s="251"/>
    </row>
    <row r="343" spans="29:29" x14ac:dyDescent="0.25">
      <c r="AC343" s="251"/>
    </row>
  </sheetData>
  <mergeCells count="66">
    <mergeCell ref="AC191:AD191"/>
    <mergeCell ref="AF191:AG191"/>
    <mergeCell ref="AJ191:AK191"/>
    <mergeCell ref="K192:N192"/>
    <mergeCell ref="P192:S192"/>
    <mergeCell ref="U192:V192"/>
    <mergeCell ref="Z192:AA192"/>
    <mergeCell ref="AC192:AD192"/>
    <mergeCell ref="AF192:AG192"/>
    <mergeCell ref="AJ192:AK192"/>
    <mergeCell ref="Y191:AA191"/>
    <mergeCell ref="B191:D191"/>
    <mergeCell ref="E191:H191"/>
    <mergeCell ref="K191:N191"/>
    <mergeCell ref="P191:S191"/>
    <mergeCell ref="U191:V191"/>
    <mergeCell ref="AU133:AV133"/>
    <mergeCell ref="AX133:AY133"/>
    <mergeCell ref="BA133:BB133"/>
    <mergeCell ref="BE133:BF133"/>
    <mergeCell ref="B190:H190"/>
    <mergeCell ref="K190:V190"/>
    <mergeCell ref="Y190:AG190"/>
    <mergeCell ref="R133:U133"/>
    <mergeCell ref="W133:Z133"/>
    <mergeCell ref="AB133:AC133"/>
    <mergeCell ref="AE133:AH133"/>
    <mergeCell ref="AJ133:AM133"/>
    <mergeCell ref="AO133:AP133"/>
    <mergeCell ref="BE132:BF132"/>
    <mergeCell ref="AE131:AP131"/>
    <mergeCell ref="AT131:BB131"/>
    <mergeCell ref="B132:D132"/>
    <mergeCell ref="E132:H132"/>
    <mergeCell ref="J132:L132"/>
    <mergeCell ref="M132:P132"/>
    <mergeCell ref="R132:U132"/>
    <mergeCell ref="W132:Z132"/>
    <mergeCell ref="AB132:AC132"/>
    <mergeCell ref="AE132:AH132"/>
    <mergeCell ref="AJ132:AM132"/>
    <mergeCell ref="AO132:AP132"/>
    <mergeCell ref="AT132:AV132"/>
    <mergeCell ref="AX132:AY132"/>
    <mergeCell ref="BA132:BB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dataValidations count="1">
    <dataValidation type="list" allowBlank="1" showInputMessage="1" showErrorMessage="1" sqref="C27:G27 G19 G5:H16 AE135:AH135 AJ135:AM135 R135:U135 W135:Z135 K194:N194 P194:S194">
      <formula1>"Y,N"</formula1>
    </dataValidation>
  </dataValidations>
  <pageMargins left="0.7" right="0.7" top="0.75" bottom="0.75" header="0.3" footer="0.3"/>
  <pageSetup paperSize="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6"/>
  </sheetPr>
  <dimension ref="A1:EG183"/>
  <sheetViews>
    <sheetView showGridLines="0" zoomScale="96" zoomScaleNormal="96" zoomScalePageLayoutView="80" workbookViewId="0">
      <selection activeCell="P26" sqref="P26"/>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24.296875" style="153"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CleanCookstove_cluster_lldc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145</v>
      </c>
      <c r="E3" s="249">
        <v>0.23772260465075706</v>
      </c>
      <c r="F3" s="167" t="s">
        <v>211</v>
      </c>
      <c r="G3" s="167" t="s">
        <v>211</v>
      </c>
      <c r="I3" s="618"/>
      <c r="J3" s="618"/>
      <c r="K3" s="618"/>
      <c r="L3" s="618"/>
      <c r="M3" s="166"/>
      <c r="N3" s="164">
        <f ca="1">SUM(OFFSET(O27,B3-2015,0,B4-B3+1,4))/1000</f>
        <v>5.4593300904108455</v>
      </c>
      <c r="O3" s="165" t="s">
        <v>209</v>
      </c>
      <c r="Q3" s="165"/>
      <c r="S3" s="671" t="s">
        <v>210</v>
      </c>
      <c r="T3" s="671"/>
      <c r="U3" s="671"/>
      <c r="V3" s="671"/>
      <c r="W3" s="671"/>
    </row>
    <row r="4" spans="1:137" ht="13.8" x14ac:dyDescent="0.25">
      <c r="A4" s="153" t="s">
        <v>215</v>
      </c>
      <c r="B4" s="234">
        <v>2050</v>
      </c>
      <c r="D4" s="248" t="s">
        <v>172</v>
      </c>
      <c r="E4" s="249">
        <v>3.0908662873351398E-2</v>
      </c>
      <c r="F4" s="167" t="s">
        <v>211</v>
      </c>
      <c r="G4" s="167" t="s">
        <v>211</v>
      </c>
      <c r="I4" s="168"/>
      <c r="J4" s="168"/>
      <c r="K4" s="168"/>
      <c r="L4" s="168"/>
      <c r="M4" s="168"/>
      <c r="N4" s="168"/>
      <c r="S4" s="671"/>
      <c r="T4" s="671"/>
      <c r="U4" s="671"/>
      <c r="V4" s="671"/>
      <c r="W4" s="671"/>
    </row>
    <row r="5" spans="1:137" ht="12.75" customHeight="1" x14ac:dyDescent="0.25">
      <c r="D5" s="248" t="s">
        <v>304</v>
      </c>
      <c r="E5" s="249">
        <v>0.44507463958955379</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305</v>
      </c>
      <c r="E6" s="249">
        <v>1.0012728633901718E-2</v>
      </c>
      <c r="F6" s="167" t="s">
        <v>211</v>
      </c>
      <c r="G6" s="167" t="s">
        <v>211</v>
      </c>
      <c r="I6" s="618"/>
      <c r="J6" s="618"/>
      <c r="K6" s="618"/>
      <c r="L6" s="618"/>
      <c r="M6" s="163"/>
      <c r="N6" s="164">
        <f>SUM(O27:R72)/1000</f>
        <v>11.177923136316002</v>
      </c>
      <c r="O6" s="165" t="s">
        <v>209</v>
      </c>
    </row>
    <row r="7" spans="1:137" ht="13.8" x14ac:dyDescent="0.25">
      <c r="D7" s="248" t="s">
        <v>61</v>
      </c>
      <c r="E7" s="249">
        <v>0.15397256006280655</v>
      </c>
      <c r="F7" s="167" t="s">
        <v>211</v>
      </c>
      <c r="G7" s="167" t="s">
        <v>211</v>
      </c>
      <c r="I7" s="172"/>
      <c r="J7" s="172"/>
      <c r="K7" s="172"/>
      <c r="L7" s="172"/>
      <c r="M7" s="172"/>
      <c r="N7" s="172"/>
      <c r="O7" s="172"/>
      <c r="P7" s="165"/>
    </row>
    <row r="8" spans="1:137" ht="13.8" x14ac:dyDescent="0.25">
      <c r="D8" s="248" t="s">
        <v>23</v>
      </c>
      <c r="E8" s="249">
        <v>2.9205578974819502E-2</v>
      </c>
      <c r="F8" s="167" t="s">
        <v>211</v>
      </c>
      <c r="G8" s="167" t="s">
        <v>211</v>
      </c>
    </row>
    <row r="9" spans="1:137" ht="13.8" x14ac:dyDescent="0.25">
      <c r="D9" s="248" t="s">
        <v>54</v>
      </c>
      <c r="E9" s="249">
        <v>2.3007208681836054E-2</v>
      </c>
      <c r="F9" s="167" t="s">
        <v>211</v>
      </c>
      <c r="G9" s="167" t="s">
        <v>211</v>
      </c>
    </row>
    <row r="10" spans="1:137" ht="13.8" x14ac:dyDescent="0.25">
      <c r="D10" s="248" t="s">
        <v>306</v>
      </c>
      <c r="E10" s="249">
        <v>2.9205578974819502E-2</v>
      </c>
      <c r="F10" s="167" t="s">
        <v>211</v>
      </c>
      <c r="G10" s="167" t="s">
        <v>211</v>
      </c>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P15" s="260" t="s">
        <v>268</v>
      </c>
    </row>
    <row r="16" spans="1:137" ht="13.8" x14ac:dyDescent="0.25">
      <c r="F16" s="153" t="s">
        <v>217</v>
      </c>
      <c r="P16" s="261">
        <v>16997.562599850444</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307</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0</v>
      </c>
      <c r="F26" s="183" t="str">
        <f>IFERROR(E26-E25,"")</f>
        <v/>
      </c>
      <c r="G26" s="247">
        <f t="shared" ref="G26:G72" si="1">IFERROR(E26/(B85-B137),"")</f>
        <v>0</v>
      </c>
      <c r="H26" s="245" t="s">
        <v>264</v>
      </c>
      <c r="J26" s="182"/>
      <c r="K26" s="182"/>
      <c r="L26" s="182"/>
      <c r="M26" s="182"/>
      <c r="N26" s="163"/>
      <c r="O26" s="259" t="str">
        <f>IF(O$24="Y",E26*$E$4*'Emissions Factors'!B12,"")</f>
        <v/>
      </c>
      <c r="P26" s="259">
        <f>IF(P$24="Y",E26*'Emissions Factors'!$R$36*$P$16/10^6,"")</f>
        <v>0</v>
      </c>
      <c r="Q26" s="259" t="str">
        <f>IF($Q$24="Y",IFERROR($E26*SUM($E$3,$E$4,$E$5)*('Emissions Factors'!$T$143*$P$16)/10^6,""),"")</f>
        <v/>
      </c>
      <c r="R26" s="245" t="s">
        <v>264</v>
      </c>
      <c r="T26" s="180" t="str">
        <f t="shared" ref="T26:T72" si="2">IF(AND(A26&gt;=$B$3,A26&lt;=$B$4),SUM(O26:R26),"")</f>
        <v/>
      </c>
      <c r="U26" s="180" t="str">
        <f t="shared" ref="U26:U72" si="3">IF(AND(A26&gt;=$B$3,A26&lt;=$B$4),SUM(J26:M26),"")</f>
        <v/>
      </c>
      <c r="V26" s="177"/>
      <c r="X26" s="180">
        <f t="shared" ref="X26:X72" si="4">SUM(O26:R26)</f>
        <v>0</v>
      </c>
      <c r="Y26" s="180">
        <f t="shared" ref="Y26:Y72" si="5">SUM(J26:M26)</f>
        <v>0</v>
      </c>
    </row>
    <row r="27" spans="1:26" ht="15.6" x14ac:dyDescent="0.3">
      <c r="A27" s="152">
        <v>2015</v>
      </c>
      <c r="B27" s="178">
        <f t="shared" si="0"/>
        <v>0</v>
      </c>
      <c r="C27" s="182">
        <f>IFERROR(B27-B26,"")</f>
        <v>0</v>
      </c>
      <c r="D27" s="183"/>
      <c r="E27" s="179">
        <f t="shared" ref="E27:E72" si="6">IFERROR(IF($F$17="Y",$E$17,$Y86)*(SUMIF($G$3:$G$14,"Y",$E$3:$E$14))*(B86-B138),0)</f>
        <v>0</v>
      </c>
      <c r="F27" s="183">
        <f>IFERROR(E27-E26,"")</f>
        <v>0</v>
      </c>
      <c r="G27" s="247">
        <f t="shared" si="1"/>
        <v>0</v>
      </c>
      <c r="H27" s="246"/>
      <c r="J27" s="182"/>
      <c r="K27" s="182"/>
      <c r="L27" s="182"/>
      <c r="M27" s="182"/>
      <c r="N27" s="163"/>
      <c r="O27" s="259" t="str">
        <f>IF(O$24="Y",E27*$E$4*'Emissions Factors'!B12,"")</f>
        <v/>
      </c>
      <c r="P27" s="259">
        <f>IF(P$24="Y",E27*'Emissions Factors'!$R$36*$P$16/10^6,"")</f>
        <v>0</v>
      </c>
      <c r="Q27" s="259" t="str">
        <f>IF($Q$24="Y",IFERROR($E27*SUM($E$3,$E$4,$E$5)*('Emissions Factors'!$T$143*$P$16)/10^6,""),"")</f>
        <v/>
      </c>
      <c r="R27" s="258"/>
      <c r="T27" s="180" t="str">
        <f t="shared" si="2"/>
        <v/>
      </c>
      <c r="U27" s="180" t="str">
        <f t="shared" si="3"/>
        <v/>
      </c>
      <c r="V27" s="177"/>
      <c r="X27" s="180">
        <f t="shared" si="4"/>
        <v>0</v>
      </c>
      <c r="Y27" s="180">
        <f t="shared" si="5"/>
        <v>0</v>
      </c>
    </row>
    <row r="28" spans="1:26" ht="15.6" x14ac:dyDescent="0.3">
      <c r="A28" s="152">
        <v>2016</v>
      </c>
      <c r="B28" s="178">
        <f t="shared" si="0"/>
        <v>0</v>
      </c>
      <c r="C28" s="182">
        <f t="shared" ref="C28:C72" si="7">IFERROR(B28-B27,"")</f>
        <v>0</v>
      </c>
      <c r="D28" s="183"/>
      <c r="E28" s="179">
        <f t="shared" si="6"/>
        <v>-3.2945013857809307E-3</v>
      </c>
      <c r="F28" s="183">
        <f t="shared" ref="F28:F72" si="8">IFERROR(E28-E27,"")</f>
        <v>-3.2945013857809307E-3</v>
      </c>
      <c r="G28" s="247">
        <f t="shared" si="1"/>
        <v>0.44507463958955379</v>
      </c>
      <c r="H28" s="246"/>
      <c r="J28" s="182"/>
      <c r="K28" s="182"/>
      <c r="L28" s="182"/>
      <c r="M28" s="182"/>
      <c r="N28" s="163"/>
      <c r="O28" s="259" t="str">
        <f>IF(O$24="Y",E28*$E$4*'Emissions Factors'!B13,"")</f>
        <v/>
      </c>
      <c r="P28" s="259">
        <f>IF(P$24="Y",E28*'Emissions Factors'!$R$36*$P$16/10^6,"")</f>
        <v>-6.0478373023313834E-3</v>
      </c>
      <c r="Q28" s="259" t="str">
        <f>IF($Q$24="Y",IFERROR($E28*SUM($E$3,$E$4,$E$5)*('Emissions Factors'!$T$143*$P$16)/10^6,""),"")</f>
        <v/>
      </c>
      <c r="R28" s="258"/>
      <c r="T28" s="180" t="str">
        <f t="shared" si="2"/>
        <v/>
      </c>
      <c r="U28" s="180" t="str">
        <f t="shared" si="3"/>
        <v/>
      </c>
      <c r="V28" s="177"/>
      <c r="X28" s="180">
        <f t="shared" si="4"/>
        <v>-6.0478373023313834E-3</v>
      </c>
      <c r="Y28" s="180">
        <f t="shared" si="5"/>
        <v>0</v>
      </c>
    </row>
    <row r="29" spans="1:26" ht="15.6" x14ac:dyDescent="0.3">
      <c r="A29" s="152">
        <v>2017</v>
      </c>
      <c r="B29" s="178">
        <f t="shared" si="0"/>
        <v>0</v>
      </c>
      <c r="C29" s="182">
        <f>IFERROR(B29-B28,"")</f>
        <v>0</v>
      </c>
      <c r="D29" s="183"/>
      <c r="E29" s="179">
        <f t="shared" si="6"/>
        <v>-3.2549860977137595E-3</v>
      </c>
      <c r="F29" s="183">
        <f>IFERROR(E29-E28,"")</f>
        <v>3.9515288067171195E-5</v>
      </c>
      <c r="G29" s="247">
        <f t="shared" si="1"/>
        <v>0.44507463958955379</v>
      </c>
      <c r="H29" s="246"/>
      <c r="J29" s="182"/>
      <c r="K29" s="182"/>
      <c r="L29" s="182"/>
      <c r="M29" s="182"/>
      <c r="N29" s="163"/>
      <c r="O29" s="259" t="str">
        <f>IF(O$24="Y",E29*$E$4*'Emissions Factors'!B14,"")</f>
        <v/>
      </c>
      <c r="P29" s="259">
        <f>IF(P$24="Y",E29*'Emissions Factors'!$R$36*$P$16/10^6,"")</f>
        <v>-5.9752976354135135E-3</v>
      </c>
      <c r="Q29" s="259" t="str">
        <f>IF($Q$24="Y",IFERROR($E29*SUM($E$3,$E$4,$E$5)*('Emissions Factors'!$T$143*$P$16)/10^6,""),"")</f>
        <v/>
      </c>
      <c r="R29" s="258"/>
      <c r="T29" s="180" t="str">
        <f t="shared" si="2"/>
        <v/>
      </c>
      <c r="U29" s="180" t="str">
        <f t="shared" si="3"/>
        <v/>
      </c>
      <c r="V29" s="177"/>
      <c r="X29" s="180">
        <f t="shared" si="4"/>
        <v>-5.9752976354135135E-3</v>
      </c>
      <c r="Y29" s="180">
        <f t="shared" si="5"/>
        <v>0</v>
      </c>
    </row>
    <row r="30" spans="1:26" ht="15.6" x14ac:dyDescent="0.3">
      <c r="A30" s="152">
        <v>2018</v>
      </c>
      <c r="B30" s="178">
        <f t="shared" si="0"/>
        <v>0</v>
      </c>
      <c r="C30" s="182">
        <f t="shared" si="7"/>
        <v>0</v>
      </c>
      <c r="D30" s="183"/>
      <c r="E30" s="179">
        <f t="shared" si="6"/>
        <v>-3.2045264954731088E-3</v>
      </c>
      <c r="F30" s="183">
        <f t="shared" si="8"/>
        <v>5.0459602240650672E-5</v>
      </c>
      <c r="G30" s="247">
        <f t="shared" si="1"/>
        <v>0.44507463958955379</v>
      </c>
      <c r="H30" s="246"/>
      <c r="J30" s="182"/>
      <c r="K30" s="182"/>
      <c r="L30" s="182"/>
      <c r="M30" s="182"/>
      <c r="N30" s="163"/>
      <c r="O30" s="259" t="str">
        <f>IF(O$24="Y",E30*$E$4*'Emissions Factors'!B15,"")</f>
        <v/>
      </c>
      <c r="P30" s="259">
        <f>IF(P$24="Y",E30*'Emissions Factors'!$R$36*$P$16/10^6,"")</f>
        <v>-5.8826670886458201E-3</v>
      </c>
      <c r="Q30" s="259" t="str">
        <f>IF($Q$24="Y",IFERROR($E30*SUM($E$3,$E$4,$E$5)*('Emissions Factors'!$T$143*$P$16)/10^6,""),"")</f>
        <v/>
      </c>
      <c r="R30" s="258"/>
      <c r="T30" s="180" t="str">
        <f t="shared" si="2"/>
        <v/>
      </c>
      <c r="U30" s="180" t="str">
        <f t="shared" si="3"/>
        <v/>
      </c>
      <c r="V30" s="177"/>
      <c r="X30" s="180">
        <f t="shared" si="4"/>
        <v>-5.8826670886458201E-3</v>
      </c>
      <c r="Y30" s="180">
        <f t="shared" si="5"/>
        <v>0</v>
      </c>
    </row>
    <row r="31" spans="1:26" ht="15.6" x14ac:dyDescent="0.3">
      <c r="A31" s="152">
        <v>2019</v>
      </c>
      <c r="B31" s="178">
        <f t="shared" si="0"/>
        <v>0</v>
      </c>
      <c r="C31" s="182">
        <f t="shared" si="7"/>
        <v>0</v>
      </c>
      <c r="D31" s="183"/>
      <c r="E31" s="179">
        <f t="shared" si="6"/>
        <v>-3.1599904858246844E-3</v>
      </c>
      <c r="F31" s="183">
        <f t="shared" si="8"/>
        <v>4.4536009648424389E-5</v>
      </c>
      <c r="G31" s="247">
        <f t="shared" si="1"/>
        <v>0.44507463958955379</v>
      </c>
      <c r="H31" s="246"/>
      <c r="J31" s="182"/>
      <c r="K31" s="182"/>
      <c r="L31" s="182"/>
      <c r="M31" s="182"/>
      <c r="N31" s="163"/>
      <c r="O31" s="259" t="str">
        <f>IF(O$24="Y",E31*$E$4*'Emissions Factors'!B16,"")</f>
        <v/>
      </c>
      <c r="P31" s="259">
        <f>IF(P$24="Y",E31*'Emissions Factors'!$R$36*$P$16/10^6,"")</f>
        <v>-5.8009106985555834E-3</v>
      </c>
      <c r="Q31" s="259" t="str">
        <f>IF($Q$24="Y",IFERROR($E31*SUM($E$3,$E$4,$E$5)*('Emissions Factors'!$T$143*$P$16)/10^6,""),"")</f>
        <v/>
      </c>
      <c r="R31" s="258"/>
      <c r="T31" s="180" t="str">
        <f t="shared" si="2"/>
        <v/>
      </c>
      <c r="U31" s="180" t="str">
        <f t="shared" si="3"/>
        <v/>
      </c>
      <c r="V31" s="177"/>
      <c r="X31" s="180">
        <f t="shared" si="4"/>
        <v>-5.8009106985555834E-3</v>
      </c>
      <c r="Y31" s="180">
        <f t="shared" si="5"/>
        <v>0</v>
      </c>
    </row>
    <row r="32" spans="1:26" ht="15.6" x14ac:dyDescent="0.3">
      <c r="A32" s="152">
        <v>2020</v>
      </c>
      <c r="B32" s="178">
        <f t="shared" si="0"/>
        <v>0</v>
      </c>
      <c r="C32" s="182">
        <f t="shared" si="7"/>
        <v>0</v>
      </c>
      <c r="D32" s="183"/>
      <c r="E32" s="179">
        <f t="shared" si="6"/>
        <v>-3.118861322772659E-3</v>
      </c>
      <c r="F32" s="183">
        <f t="shared" si="8"/>
        <v>4.1129163052025432E-5</v>
      </c>
      <c r="G32" s="247">
        <f t="shared" si="1"/>
        <v>0.44507463958955384</v>
      </c>
      <c r="H32" s="246"/>
      <c r="J32" s="182"/>
      <c r="K32" s="182"/>
      <c r="L32" s="182"/>
      <c r="M32" s="182"/>
      <c r="N32" s="163"/>
      <c r="O32" s="259" t="str">
        <f>IF(O$24="Y",E32*$E$4*'Emissions Factors'!B17,"")</f>
        <v/>
      </c>
      <c r="P32" s="259">
        <f>IF(P$24="Y",E32*'Emissions Factors'!$R$36*$P$16/10^6,"")</f>
        <v>-5.7254083820007084E-3</v>
      </c>
      <c r="Q32" s="259" t="str">
        <f>IF($Q$24="Y",IFERROR($E32*SUM($E$3,$E$4,$E$5)*('Emissions Factors'!$T$143*$P$16)/10^6,""),"")</f>
        <v/>
      </c>
      <c r="R32" s="258"/>
      <c r="T32" s="180">
        <f t="shared" si="2"/>
        <v>-5.7254083820007084E-3</v>
      </c>
      <c r="U32" s="180">
        <f t="shared" si="3"/>
        <v>0</v>
      </c>
      <c r="V32" s="177"/>
      <c r="X32" s="180">
        <f t="shared" si="4"/>
        <v>-5.7254083820007084E-3</v>
      </c>
      <c r="Y32" s="180">
        <f t="shared" si="5"/>
        <v>0</v>
      </c>
    </row>
    <row r="33" spans="1:25" ht="15.6" x14ac:dyDescent="0.3">
      <c r="A33" s="152">
        <v>2021</v>
      </c>
      <c r="B33" s="178">
        <f t="shared" si="0"/>
        <v>0</v>
      </c>
      <c r="C33" s="182">
        <f t="shared" si="7"/>
        <v>0</v>
      </c>
      <c r="D33" s="183"/>
      <c r="E33" s="179">
        <f t="shared" si="6"/>
        <v>2.2744245339825522</v>
      </c>
      <c r="F33" s="183">
        <f t="shared" si="8"/>
        <v>2.277543395305325</v>
      </c>
      <c r="G33" s="247">
        <f t="shared" si="1"/>
        <v>0.36491957865841979</v>
      </c>
      <c r="H33" s="246"/>
      <c r="J33" s="182"/>
      <c r="K33" s="182"/>
      <c r="L33" s="182"/>
      <c r="M33" s="182"/>
      <c r="N33" s="163"/>
      <c r="O33" s="259" t="str">
        <f>IF(O$24="Y",E33*$E$4*'Emissions Factors'!B18,"")</f>
        <v/>
      </c>
      <c r="P33" s="259">
        <f>IF(P$24="Y",E33*'Emissions Factors'!$R$36*$P$16/10^6,"")</f>
        <v>4.1752447266604431</v>
      </c>
      <c r="Q33" s="259" t="str">
        <f>IF($Q$24="Y",IFERROR($E33*SUM($E$3,$E$4,$E$5)*('Emissions Factors'!$T$143*$P$16)/10^6,""),"")</f>
        <v/>
      </c>
      <c r="R33" s="258"/>
      <c r="T33" s="180">
        <f t="shared" si="2"/>
        <v>4.1752447266604431</v>
      </c>
      <c r="U33" s="180">
        <f t="shared" si="3"/>
        <v>0</v>
      </c>
      <c r="V33" s="177"/>
      <c r="X33" s="180">
        <f t="shared" si="4"/>
        <v>4.1752447266604431</v>
      </c>
      <c r="Y33" s="180">
        <f t="shared" si="5"/>
        <v>0</v>
      </c>
    </row>
    <row r="34" spans="1:25" ht="15.6" x14ac:dyDescent="0.3">
      <c r="A34" s="152">
        <v>2022</v>
      </c>
      <c r="B34" s="178">
        <f t="shared" si="0"/>
        <v>0</v>
      </c>
      <c r="C34" s="182">
        <f t="shared" si="7"/>
        <v>0</v>
      </c>
      <c r="D34" s="183"/>
      <c r="E34" s="179">
        <f t="shared" si="6"/>
        <v>5.2040782489036772</v>
      </c>
      <c r="F34" s="183">
        <f t="shared" si="8"/>
        <v>2.929653714921125</v>
      </c>
      <c r="G34" s="247">
        <f t="shared" si="1"/>
        <v>0.36830595228910318</v>
      </c>
      <c r="H34" s="246"/>
      <c r="J34" s="182"/>
      <c r="K34" s="182"/>
      <c r="L34" s="182"/>
      <c r="M34" s="182"/>
      <c r="N34" s="163"/>
      <c r="O34" s="259" t="str">
        <f>IF(O$24="Y",E34*$E$4*'Emissions Factors'!B19,"")</f>
        <v/>
      </c>
      <c r="P34" s="259">
        <f>IF(P$24="Y",E34*'Emissions Factors'!$R$36*$P$16/10^6,"")</f>
        <v>9.5533177475081157</v>
      </c>
      <c r="Q34" s="259" t="str">
        <f>IF($Q$24="Y",IFERROR($E34*SUM($E$3,$E$4,$E$5)*('Emissions Factors'!$T$143*$P$16)/10^6,""),"")</f>
        <v/>
      </c>
      <c r="R34" s="258"/>
      <c r="T34" s="180">
        <f t="shared" si="2"/>
        <v>9.5533177475081157</v>
      </c>
      <c r="U34" s="180">
        <f t="shared" si="3"/>
        <v>0</v>
      </c>
      <c r="V34" s="177"/>
      <c r="X34" s="180">
        <f t="shared" si="4"/>
        <v>9.5533177475081157</v>
      </c>
      <c r="Y34" s="180">
        <f t="shared" si="5"/>
        <v>0</v>
      </c>
    </row>
    <row r="35" spans="1:25" ht="15.6" x14ac:dyDescent="0.3">
      <c r="A35" s="152">
        <v>2023</v>
      </c>
      <c r="B35" s="178">
        <f t="shared" si="0"/>
        <v>0</v>
      </c>
      <c r="C35" s="182">
        <f t="shared" si="7"/>
        <v>0</v>
      </c>
      <c r="D35" s="183"/>
      <c r="E35" s="179">
        <f t="shared" si="6"/>
        <v>8.7083577979251832</v>
      </c>
      <c r="F35" s="183">
        <f t="shared" si="8"/>
        <v>3.504279549021506</v>
      </c>
      <c r="G35" s="247">
        <f t="shared" si="1"/>
        <v>0.37075034267547774</v>
      </c>
      <c r="H35" s="246"/>
      <c r="J35" s="182"/>
      <c r="K35" s="182"/>
      <c r="L35" s="182"/>
      <c r="M35" s="182"/>
      <c r="N35" s="163"/>
      <c r="O35" s="259" t="str">
        <f>IF(O$24="Y",E35*$E$4*'Emissions Factors'!B20,"")</f>
        <v/>
      </c>
      <c r="P35" s="259">
        <f>IF(P$24="Y",E35*'Emissions Factors'!$R$36*$P$16/10^6,"")</f>
        <v>15.986252535709937</v>
      </c>
      <c r="Q35" s="259" t="str">
        <f>IF($Q$24="Y",IFERROR($E35*SUM($E$3,$E$4,$E$5)*('Emissions Factors'!$T$143*$P$16)/10^6,""),"")</f>
        <v/>
      </c>
      <c r="R35" s="258"/>
      <c r="T35" s="180">
        <f t="shared" si="2"/>
        <v>15.986252535709937</v>
      </c>
      <c r="U35" s="180">
        <f t="shared" si="3"/>
        <v>0</v>
      </c>
      <c r="V35" s="177"/>
      <c r="X35" s="180">
        <f t="shared" si="4"/>
        <v>15.986252535709937</v>
      </c>
      <c r="Y35" s="180">
        <f t="shared" si="5"/>
        <v>0</v>
      </c>
    </row>
    <row r="36" spans="1:25" ht="15.6" x14ac:dyDescent="0.3">
      <c r="A36" s="152">
        <v>2024</v>
      </c>
      <c r="B36" s="178">
        <f t="shared" si="0"/>
        <v>0</v>
      </c>
      <c r="C36" s="182">
        <f t="shared" si="7"/>
        <v>0</v>
      </c>
      <c r="D36" s="183"/>
      <c r="E36" s="179">
        <f t="shared" si="6"/>
        <v>12.749730820961997</v>
      </c>
      <c r="F36" s="183">
        <f t="shared" si="8"/>
        <v>4.0413730230368134</v>
      </c>
      <c r="G36" s="247">
        <f t="shared" si="1"/>
        <v>0.37261508857634201</v>
      </c>
      <c r="H36" s="246"/>
      <c r="J36" s="182"/>
      <c r="K36" s="182"/>
      <c r="L36" s="182"/>
      <c r="M36" s="182"/>
      <c r="N36" s="163"/>
      <c r="O36" s="259" t="str">
        <f>IF(O$24="Y",E36*$E$4*'Emissions Factors'!B21,"")</f>
        <v/>
      </c>
      <c r="P36" s="259">
        <f>IF(P$24="Y",E36*'Emissions Factors'!$R$36*$P$16/10^6,"")</f>
        <v>23.405149558138767</v>
      </c>
      <c r="Q36" s="259" t="str">
        <f>IF($Q$24="Y",IFERROR($E36*SUM($E$3,$E$4,$E$5)*('Emissions Factors'!$T$143*$P$16)/10^6,""),"")</f>
        <v/>
      </c>
      <c r="R36" s="258"/>
      <c r="T36" s="180">
        <f t="shared" si="2"/>
        <v>23.405149558138767</v>
      </c>
      <c r="U36" s="180">
        <f t="shared" si="3"/>
        <v>0</v>
      </c>
      <c r="V36" s="177"/>
      <c r="X36" s="180">
        <f t="shared" si="4"/>
        <v>23.405149558138767</v>
      </c>
      <c r="Y36" s="180">
        <f t="shared" si="5"/>
        <v>0</v>
      </c>
    </row>
    <row r="37" spans="1:25" ht="15.6" x14ac:dyDescent="0.3">
      <c r="A37" s="152">
        <v>2025</v>
      </c>
      <c r="B37" s="178">
        <f t="shared" si="0"/>
        <v>0</v>
      </c>
      <c r="C37" s="182">
        <f t="shared" si="7"/>
        <v>0</v>
      </c>
      <c r="D37" s="183"/>
      <c r="E37" s="179">
        <f t="shared" si="6"/>
        <v>17.301796500769317</v>
      </c>
      <c r="F37" s="183">
        <f t="shared" si="8"/>
        <v>4.5520656798073205</v>
      </c>
      <c r="G37" s="247">
        <f t="shared" si="1"/>
        <v>0.3741100970685724</v>
      </c>
      <c r="H37" s="246"/>
      <c r="J37" s="182"/>
      <c r="K37" s="182"/>
      <c r="L37" s="182"/>
      <c r="M37" s="182"/>
      <c r="N37" s="163"/>
      <c r="O37" s="259" t="str">
        <f>IF(O$24="Y",E37*$E$4*'Emissions Factors'!B22,"")</f>
        <v/>
      </c>
      <c r="P37" s="259">
        <f>IF(P$24="Y",E37*'Emissions Factors'!$R$36*$P$16/10^6,"")</f>
        <v>31.761543864063579</v>
      </c>
      <c r="Q37" s="259" t="str">
        <f>IF($Q$24="Y",IFERROR($E37*SUM($E$3,$E$4,$E$5)*('Emissions Factors'!$T$143*$P$16)/10^6,""),"")</f>
        <v/>
      </c>
      <c r="R37" s="258"/>
      <c r="T37" s="180">
        <f t="shared" si="2"/>
        <v>31.761543864063579</v>
      </c>
      <c r="U37" s="180">
        <f t="shared" si="3"/>
        <v>0</v>
      </c>
      <c r="V37" s="177"/>
      <c r="X37" s="180">
        <f t="shared" si="4"/>
        <v>31.761543864063579</v>
      </c>
      <c r="Y37" s="180">
        <f t="shared" si="5"/>
        <v>0</v>
      </c>
    </row>
    <row r="38" spans="1:25" ht="15.6" x14ac:dyDescent="0.3">
      <c r="A38" s="152">
        <v>2026</v>
      </c>
      <c r="B38" s="178">
        <f t="shared" si="0"/>
        <v>0</v>
      </c>
      <c r="C38" s="182">
        <f t="shared" si="7"/>
        <v>0</v>
      </c>
      <c r="D38" s="183"/>
      <c r="E38" s="179">
        <f t="shared" si="6"/>
        <v>22.33888419901162</v>
      </c>
      <c r="F38" s="183">
        <f t="shared" si="8"/>
        <v>5.0370876982423027</v>
      </c>
      <c r="G38" s="247">
        <f t="shared" si="1"/>
        <v>0.37538903259457823</v>
      </c>
      <c r="H38" s="246"/>
      <c r="J38" s="182"/>
      <c r="K38" s="182"/>
      <c r="L38" s="182"/>
      <c r="M38" s="182"/>
      <c r="N38" s="163"/>
      <c r="O38" s="259" t="str">
        <f>IF(O$24="Y",E38*$E$4*'Emissions Factors'!B23,"")</f>
        <v/>
      </c>
      <c r="P38" s="259">
        <f>IF(P$24="Y",E38*'Emissions Factors'!$R$36*$P$16/10^6,"")</f>
        <v>41.008310919019074</v>
      </c>
      <c r="Q38" s="259" t="str">
        <f>IF($Q$24="Y",IFERROR($E38*SUM($E$3,$E$4,$E$5)*('Emissions Factors'!$T$143*$P$16)/10^6,""),"")</f>
        <v/>
      </c>
      <c r="R38" s="258"/>
      <c r="T38" s="180">
        <f t="shared" si="2"/>
        <v>41.008310919019074</v>
      </c>
      <c r="U38" s="180">
        <f t="shared" si="3"/>
        <v>0</v>
      </c>
      <c r="V38" s="177"/>
      <c r="X38" s="180">
        <f t="shared" si="4"/>
        <v>41.008310919019074</v>
      </c>
      <c r="Y38" s="180">
        <f t="shared" si="5"/>
        <v>0</v>
      </c>
    </row>
    <row r="39" spans="1:25" ht="15.6" x14ac:dyDescent="0.3">
      <c r="A39" s="152">
        <v>2027</v>
      </c>
      <c r="B39" s="178">
        <f t="shared" si="0"/>
        <v>0</v>
      </c>
      <c r="C39" s="182">
        <f t="shared" si="7"/>
        <v>0</v>
      </c>
      <c r="D39" s="183"/>
      <c r="E39" s="179">
        <f t="shared" si="6"/>
        <v>27.83829782109737</v>
      </c>
      <c r="F39" s="183">
        <f t="shared" si="8"/>
        <v>5.4994136220857506</v>
      </c>
      <c r="G39" s="247">
        <f t="shared" si="1"/>
        <v>0.3765472458661856</v>
      </c>
      <c r="H39" s="246"/>
      <c r="J39" s="182"/>
      <c r="K39" s="182"/>
      <c r="L39" s="182"/>
      <c r="M39" s="182"/>
      <c r="N39" s="163"/>
      <c r="O39" s="259" t="str">
        <f>IF(O$24="Y",E39*$E$4*'Emissions Factors'!B24,"")</f>
        <v/>
      </c>
      <c r="P39" s="259">
        <f>IF(P$24="Y",E39*'Emissions Factors'!$R$36*$P$16/10^6,"")</f>
        <v>51.103786667837333</v>
      </c>
      <c r="Q39" s="259" t="str">
        <f>IF($Q$24="Y",IFERROR($E39*SUM($E$3,$E$4,$E$5)*('Emissions Factors'!$T$143*$P$16)/10^6,""),"")</f>
        <v/>
      </c>
      <c r="R39" s="258"/>
      <c r="T39" s="180">
        <f t="shared" si="2"/>
        <v>51.103786667837333</v>
      </c>
      <c r="U39" s="180">
        <f t="shared" si="3"/>
        <v>0</v>
      </c>
      <c r="V39" s="177"/>
      <c r="X39" s="180">
        <f t="shared" si="4"/>
        <v>51.103786667837333</v>
      </c>
      <c r="Y39" s="180">
        <f t="shared" si="5"/>
        <v>0</v>
      </c>
    </row>
    <row r="40" spans="1:25" ht="15.6" x14ac:dyDescent="0.3">
      <c r="A40" s="152">
        <v>2028</v>
      </c>
      <c r="B40" s="178">
        <f t="shared" si="0"/>
        <v>0</v>
      </c>
      <c r="C40" s="182">
        <f t="shared" si="7"/>
        <v>0</v>
      </c>
      <c r="D40" s="183"/>
      <c r="E40" s="179">
        <f t="shared" si="6"/>
        <v>33.798040689850012</v>
      </c>
      <c r="F40" s="183">
        <f t="shared" si="8"/>
        <v>5.9597428687526417</v>
      </c>
      <c r="G40" s="247">
        <f t="shared" si="1"/>
        <v>0.3776295553537925</v>
      </c>
      <c r="H40" s="246"/>
      <c r="J40" s="182"/>
      <c r="K40" s="182"/>
      <c r="L40" s="182"/>
      <c r="M40" s="182"/>
      <c r="N40" s="163"/>
      <c r="O40" s="259" t="str">
        <f>IF(O$24="Y",E40*$E$4*'Emissions Factors'!B25,"")</f>
        <v/>
      </c>
      <c r="P40" s="259">
        <f>IF(P$24="Y",E40*'Emissions Factors'!$R$36*$P$16/10^6,"")</f>
        <v>62.044305736825947</v>
      </c>
      <c r="Q40" s="259" t="str">
        <f>IF($Q$24="Y",IFERROR($E40*SUM($E$3,$E$4,$E$5)*('Emissions Factors'!$T$143*$P$16)/10^6,""),"")</f>
        <v/>
      </c>
      <c r="R40" s="258"/>
      <c r="T40" s="180">
        <f t="shared" si="2"/>
        <v>62.044305736825947</v>
      </c>
      <c r="U40" s="180">
        <f t="shared" si="3"/>
        <v>0</v>
      </c>
      <c r="V40" s="177"/>
      <c r="X40" s="180">
        <f t="shared" si="4"/>
        <v>62.044305736825947</v>
      </c>
      <c r="Y40" s="180">
        <f t="shared" si="5"/>
        <v>0</v>
      </c>
    </row>
    <row r="41" spans="1:25" ht="15.6" x14ac:dyDescent="0.3">
      <c r="A41" s="152">
        <v>2029</v>
      </c>
      <c r="B41" s="178">
        <f t="shared" si="0"/>
        <v>0</v>
      </c>
      <c r="C41" s="182">
        <f t="shared" si="7"/>
        <v>0</v>
      </c>
      <c r="D41" s="183"/>
      <c r="E41" s="179">
        <f t="shared" si="6"/>
        <v>40.223228188233648</v>
      </c>
      <c r="F41" s="183">
        <f t="shared" si="8"/>
        <v>6.4251874983836359</v>
      </c>
      <c r="G41" s="247">
        <f t="shared" si="1"/>
        <v>0.37866477730063852</v>
      </c>
      <c r="H41" s="246"/>
      <c r="J41" s="182"/>
      <c r="K41" s="182"/>
      <c r="L41" s="182"/>
      <c r="M41" s="182"/>
      <c r="N41" s="163"/>
      <c r="O41" s="259" t="str">
        <f>IF(O$24="Y",E41*$E$4*'Emissions Factors'!B26,"")</f>
        <v/>
      </c>
      <c r="P41" s="259">
        <f>IF(P$24="Y",E41*'Emissions Factors'!$R$36*$P$16/10^6,"")</f>
        <v>73.839258622537614</v>
      </c>
      <c r="Q41" s="259" t="str">
        <f>IF($Q$24="Y",IFERROR($E41*SUM($E$3,$E$4,$E$5)*('Emissions Factors'!$T$143*$P$16)/10^6,""),"")</f>
        <v/>
      </c>
      <c r="R41" s="258"/>
      <c r="T41" s="180">
        <f t="shared" si="2"/>
        <v>73.839258622537614</v>
      </c>
      <c r="U41" s="180">
        <f t="shared" si="3"/>
        <v>0</v>
      </c>
      <c r="V41" s="177"/>
      <c r="X41" s="180">
        <f t="shared" si="4"/>
        <v>73.839258622537614</v>
      </c>
      <c r="Y41" s="180">
        <f t="shared" si="5"/>
        <v>0</v>
      </c>
    </row>
    <row r="42" spans="1:25" ht="15.6" x14ac:dyDescent="0.3">
      <c r="A42" s="152">
        <v>2030</v>
      </c>
      <c r="B42" s="178">
        <f t="shared" si="0"/>
        <v>0</v>
      </c>
      <c r="C42" s="182">
        <f t="shared" si="7"/>
        <v>0</v>
      </c>
      <c r="D42" s="183"/>
      <c r="E42" s="179">
        <f t="shared" si="6"/>
        <v>47.120237184665889</v>
      </c>
      <c r="F42" s="183">
        <f t="shared" si="8"/>
        <v>6.8970089964322412</v>
      </c>
      <c r="G42" s="247">
        <f t="shared" si="1"/>
        <v>0.37966845466208737</v>
      </c>
      <c r="H42" s="246"/>
      <c r="J42" s="182"/>
      <c r="K42" s="182"/>
      <c r="L42" s="182"/>
      <c r="M42" s="182"/>
      <c r="N42" s="163"/>
      <c r="O42" s="259" t="str">
        <f>IF(O$24="Y",E42*$E$4*'Emissions Factors'!B27,"")</f>
        <v/>
      </c>
      <c r="P42" s="259">
        <f>IF(P$24="Y",E42*'Emissions Factors'!$R$36*$P$16/10^6,"")</f>
        <v>86.500351576745189</v>
      </c>
      <c r="Q42" s="259" t="str">
        <f>IF($Q$24="Y",IFERROR($E42*SUM($E$3,$E$4,$E$5)*('Emissions Factors'!$T$143*$P$16)/10^6,""),"")</f>
        <v/>
      </c>
      <c r="R42" s="258"/>
      <c r="T42" s="180">
        <f t="shared" si="2"/>
        <v>86.500351576745189</v>
      </c>
      <c r="U42" s="180">
        <f t="shared" si="3"/>
        <v>0</v>
      </c>
      <c r="V42" s="177"/>
      <c r="X42" s="180">
        <f t="shared" si="4"/>
        <v>86.500351576745189</v>
      </c>
      <c r="Y42" s="180">
        <f t="shared" si="5"/>
        <v>0</v>
      </c>
    </row>
    <row r="43" spans="1:25" ht="15.6" x14ac:dyDescent="0.3">
      <c r="A43" s="152">
        <v>2031</v>
      </c>
      <c r="B43" s="178">
        <f t="shared" si="0"/>
        <v>0</v>
      </c>
      <c r="C43" s="182">
        <f t="shared" si="7"/>
        <v>0</v>
      </c>
      <c r="D43" s="183"/>
      <c r="E43" s="179">
        <f t="shared" si="6"/>
        <v>54.404912667241121</v>
      </c>
      <c r="F43" s="183">
        <f t="shared" si="8"/>
        <v>7.2846754825752313</v>
      </c>
      <c r="G43" s="247">
        <f t="shared" si="1"/>
        <v>0.38064237524987926</v>
      </c>
      <c r="H43" s="246"/>
      <c r="J43" s="182"/>
      <c r="K43" s="182"/>
      <c r="L43" s="182"/>
      <c r="M43" s="182"/>
      <c r="N43" s="163"/>
      <c r="O43" s="259" t="str">
        <f>IF(O$24="Y",E43*$E$4*'Emissions Factors'!B28,"")</f>
        <v/>
      </c>
      <c r="P43" s="259">
        <f>IF(P$24="Y",E43*'Emissions Factors'!$R$36*$P$16/10^6,"")</f>
        <v>99.873098150489355</v>
      </c>
      <c r="Q43" s="259" t="str">
        <f>IF($Q$24="Y",IFERROR($E43*SUM($E$3,$E$4,$E$5)*('Emissions Factors'!$T$143*$P$16)/10^6,""),"")</f>
        <v/>
      </c>
      <c r="R43" s="258"/>
      <c r="T43" s="180">
        <f t="shared" si="2"/>
        <v>99.873098150489355</v>
      </c>
      <c r="U43" s="180">
        <f t="shared" si="3"/>
        <v>0</v>
      </c>
      <c r="V43" s="177"/>
      <c r="X43" s="180">
        <f t="shared" si="4"/>
        <v>99.873098150489355</v>
      </c>
      <c r="Y43" s="180">
        <f t="shared" si="5"/>
        <v>0</v>
      </c>
    </row>
    <row r="44" spans="1:25" ht="15.6" x14ac:dyDescent="0.3">
      <c r="A44" s="152">
        <v>2032</v>
      </c>
      <c r="B44" s="178">
        <f t="shared" si="0"/>
        <v>0</v>
      </c>
      <c r="C44" s="182">
        <f t="shared" si="7"/>
        <v>0</v>
      </c>
      <c r="D44" s="183"/>
      <c r="E44" s="179">
        <f t="shared" si="6"/>
        <v>62.097341743211437</v>
      </c>
      <c r="F44" s="183">
        <f t="shared" si="8"/>
        <v>7.6924290759703169</v>
      </c>
      <c r="G44" s="247">
        <f t="shared" si="1"/>
        <v>0.38158128739961866</v>
      </c>
      <c r="H44" s="246"/>
      <c r="J44" s="182"/>
      <c r="K44" s="182"/>
      <c r="L44" s="182"/>
      <c r="M44" s="182"/>
      <c r="N44" s="163"/>
      <c r="O44" s="259" t="str">
        <f>IF(O$24="Y",E44*$E$4*'Emissions Factors'!B29,"")</f>
        <v/>
      </c>
      <c r="P44" s="259">
        <f>IF(P$24="Y",E44*'Emissions Factors'!$R$36*$P$16/10^6,"")</f>
        <v>113.9943729849706</v>
      </c>
      <c r="Q44" s="259" t="str">
        <f>IF($Q$24="Y",IFERROR($E44*SUM($E$3,$E$4,$E$5)*('Emissions Factors'!$T$143*$P$16)/10^6,""),"")</f>
        <v/>
      </c>
      <c r="R44" s="258"/>
      <c r="T44" s="180">
        <f t="shared" si="2"/>
        <v>113.9943729849706</v>
      </c>
      <c r="U44" s="180">
        <f t="shared" si="3"/>
        <v>0</v>
      </c>
      <c r="V44" s="177"/>
      <c r="X44" s="180">
        <f t="shared" si="4"/>
        <v>113.9943729849706</v>
      </c>
      <c r="Y44" s="180">
        <f t="shared" si="5"/>
        <v>0</v>
      </c>
    </row>
    <row r="45" spans="1:25" ht="15.6" x14ac:dyDescent="0.3">
      <c r="A45" s="152">
        <v>2033</v>
      </c>
      <c r="B45" s="178">
        <f t="shared" si="0"/>
        <v>0</v>
      </c>
      <c r="C45" s="182">
        <f t="shared" si="7"/>
        <v>0</v>
      </c>
      <c r="D45" s="183"/>
      <c r="E45" s="179">
        <f t="shared" si="6"/>
        <v>70.101641958198542</v>
      </c>
      <c r="F45" s="183">
        <f t="shared" si="8"/>
        <v>8.0043002149871043</v>
      </c>
      <c r="G45" s="247">
        <f t="shared" si="1"/>
        <v>0.3824770930751405</v>
      </c>
      <c r="H45" s="246"/>
      <c r="J45" s="182"/>
      <c r="K45" s="182"/>
      <c r="L45" s="182"/>
      <c r="M45" s="182"/>
      <c r="N45" s="163"/>
      <c r="O45" s="259" t="str">
        <f>IF(O$24="Y",E45*$E$4*'Emissions Factors'!B30,"")</f>
        <v/>
      </c>
      <c r="P45" s="259">
        <f>IF(P$24="Y",E45*'Emissions Factors'!$R$36*$P$16/10^6,"")</f>
        <v>128.68816113397247</v>
      </c>
      <c r="Q45" s="259" t="str">
        <f>IF($Q$24="Y",IFERROR($E45*SUM($E$3,$E$4,$E$5)*('Emissions Factors'!$T$143*$P$16)/10^6,""),"")</f>
        <v/>
      </c>
      <c r="R45" s="258"/>
      <c r="T45" s="180">
        <f t="shared" si="2"/>
        <v>128.68816113397247</v>
      </c>
      <c r="U45" s="180">
        <f t="shared" si="3"/>
        <v>0</v>
      </c>
      <c r="V45" s="177"/>
      <c r="X45" s="180">
        <f t="shared" si="4"/>
        <v>128.68816113397247</v>
      </c>
      <c r="Y45" s="180">
        <f t="shared" si="5"/>
        <v>0</v>
      </c>
    </row>
    <row r="46" spans="1:25" ht="15.6" x14ac:dyDescent="0.3">
      <c r="A46" s="152">
        <v>2034</v>
      </c>
      <c r="B46" s="178">
        <f t="shared" si="0"/>
        <v>0</v>
      </c>
      <c r="C46" s="182">
        <f t="shared" si="7"/>
        <v>0</v>
      </c>
      <c r="D46" s="183"/>
      <c r="E46" s="179">
        <f t="shared" si="6"/>
        <v>78.29336516286358</v>
      </c>
      <c r="F46" s="183">
        <f t="shared" si="8"/>
        <v>8.1917232046650383</v>
      </c>
      <c r="G46" s="247">
        <f t="shared" si="1"/>
        <v>0.38332544476056912</v>
      </c>
      <c r="H46" s="246"/>
      <c r="J46" s="182"/>
      <c r="K46" s="182"/>
      <c r="L46" s="182"/>
      <c r="M46" s="182"/>
      <c r="N46" s="163"/>
      <c r="O46" s="259" t="str">
        <f>IF(O$24="Y",E46*$E$4*'Emissions Factors'!B31,"")</f>
        <v/>
      </c>
      <c r="P46" s="259">
        <f>IF(P$24="Y",E46*'Emissions Factors'!$R$36*$P$16/10^6,"")</f>
        <v>143.72600855494215</v>
      </c>
      <c r="Q46" s="259" t="str">
        <f>IF($Q$24="Y",IFERROR($E46*SUM($E$3,$E$4,$E$5)*('Emissions Factors'!$T$143*$P$16)/10^6,""),"")</f>
        <v/>
      </c>
      <c r="R46" s="258"/>
      <c r="T46" s="180">
        <f t="shared" si="2"/>
        <v>143.72600855494215</v>
      </c>
      <c r="U46" s="180">
        <f t="shared" si="3"/>
        <v>0</v>
      </c>
      <c r="V46" s="177"/>
      <c r="X46" s="180">
        <f t="shared" si="4"/>
        <v>143.72600855494215</v>
      </c>
      <c r="Y46" s="180">
        <f t="shared" si="5"/>
        <v>0</v>
      </c>
    </row>
    <row r="47" spans="1:25" ht="15.6" x14ac:dyDescent="0.3">
      <c r="A47" s="152">
        <v>2035</v>
      </c>
      <c r="B47" s="178">
        <f t="shared" si="0"/>
        <v>0</v>
      </c>
      <c r="C47" s="182">
        <f t="shared" si="7"/>
        <v>0</v>
      </c>
      <c r="D47" s="183"/>
      <c r="E47" s="179">
        <f t="shared" si="6"/>
        <v>86.581719021575779</v>
      </c>
      <c r="F47" s="183">
        <f t="shared" si="8"/>
        <v>8.288353858712199</v>
      </c>
      <c r="G47" s="247">
        <f t="shared" si="1"/>
        <v>0.3841311897334389</v>
      </c>
      <c r="H47" s="246"/>
      <c r="J47" s="182"/>
      <c r="K47" s="182"/>
      <c r="L47" s="182"/>
      <c r="M47" s="182"/>
      <c r="N47" s="163"/>
      <c r="O47" s="259" t="str">
        <f>IF(O$24="Y",E47*$E$4*'Emissions Factors'!B32,"")</f>
        <v/>
      </c>
      <c r="P47" s="259">
        <f>IF(P$24="Y",E47*'Emissions Factors'!$R$36*$P$16/10^6,"")</f>
        <v>158.94124441976481</v>
      </c>
      <c r="Q47" s="259" t="str">
        <f>IF($Q$24="Y",IFERROR($E47*SUM($E$3,$E$4,$E$5)*('Emissions Factors'!$T$143*$P$16)/10^6,""),"")</f>
        <v/>
      </c>
      <c r="R47" s="258"/>
      <c r="T47" s="180">
        <f t="shared" si="2"/>
        <v>158.94124441976481</v>
      </c>
      <c r="U47" s="180">
        <f t="shared" si="3"/>
        <v>0</v>
      </c>
      <c r="V47" s="177"/>
      <c r="X47" s="180">
        <f t="shared" si="4"/>
        <v>158.94124441976481</v>
      </c>
      <c r="Y47" s="180">
        <f t="shared" si="5"/>
        <v>0</v>
      </c>
    </row>
    <row r="48" spans="1:25" ht="15.6" x14ac:dyDescent="0.3">
      <c r="A48" s="152">
        <v>2036</v>
      </c>
      <c r="B48" s="178">
        <f t="shared" si="0"/>
        <v>0</v>
      </c>
      <c r="C48" s="182">
        <f t="shared" si="7"/>
        <v>0</v>
      </c>
      <c r="D48" s="183"/>
      <c r="E48" s="179">
        <f t="shared" si="6"/>
        <v>94.928291576969656</v>
      </c>
      <c r="F48" s="183">
        <f t="shared" si="8"/>
        <v>8.3465725553938768</v>
      </c>
      <c r="G48" s="247">
        <f t="shared" si="1"/>
        <v>0.38490524696666717</v>
      </c>
      <c r="H48" s="246"/>
      <c r="J48" s="182"/>
      <c r="K48" s="182"/>
      <c r="L48" s="182"/>
      <c r="M48" s="182"/>
      <c r="N48" s="163"/>
      <c r="O48" s="259" t="str">
        <f>IF(O$24="Y",E48*$E$4*'Emissions Factors'!B33,"")</f>
        <v/>
      </c>
      <c r="P48" s="259">
        <f>IF(P$24="Y",E48*'Emissions Factors'!$R$36*$P$16/10^6,"")</f>
        <v>174.2633544862509</v>
      </c>
      <c r="Q48" s="259" t="str">
        <f>IF($Q$24="Y",IFERROR($E48*SUM($E$3,$E$4,$E$5)*('Emissions Factors'!$T$143*$P$16)/10^6,""),"")</f>
        <v/>
      </c>
      <c r="R48" s="258"/>
      <c r="T48" s="180">
        <f t="shared" si="2"/>
        <v>174.2633544862509</v>
      </c>
      <c r="U48" s="180">
        <f t="shared" si="3"/>
        <v>0</v>
      </c>
      <c r="V48" s="177"/>
      <c r="X48" s="180">
        <f t="shared" si="4"/>
        <v>174.2633544862509</v>
      </c>
      <c r="Y48" s="180">
        <f t="shared" si="5"/>
        <v>0</v>
      </c>
    </row>
    <row r="49" spans="1:25" ht="15.6" x14ac:dyDescent="0.3">
      <c r="A49" s="152">
        <v>2037</v>
      </c>
      <c r="B49" s="178">
        <f t="shared" si="0"/>
        <v>0</v>
      </c>
      <c r="C49" s="182">
        <f t="shared" si="7"/>
        <v>0</v>
      </c>
      <c r="D49" s="183"/>
      <c r="E49" s="179">
        <f t="shared" si="6"/>
        <v>103.35214462863495</v>
      </c>
      <c r="F49" s="183">
        <f t="shared" si="8"/>
        <v>8.4238530516652901</v>
      </c>
      <c r="G49" s="247">
        <f t="shared" si="1"/>
        <v>0.38565900967215383</v>
      </c>
      <c r="H49" s="246"/>
      <c r="J49" s="182"/>
      <c r="K49" s="182"/>
      <c r="L49" s="182"/>
      <c r="M49" s="182"/>
      <c r="N49" s="163"/>
      <c r="O49" s="259" t="str">
        <f>IF(O$24="Y",E49*$E$4*'Emissions Factors'!B34,"")</f>
        <v/>
      </c>
      <c r="P49" s="259">
        <f>IF(P$24="Y",E49*'Emissions Factors'!$R$36*$P$16/10^6,"")</f>
        <v>189.7273312006341</v>
      </c>
      <c r="Q49" s="259" t="str">
        <f>IF($Q$24="Y",IFERROR($E49*SUM($E$3,$E$4,$E$5)*('Emissions Factors'!$T$143*$P$16)/10^6,""),"")</f>
        <v/>
      </c>
      <c r="R49" s="258"/>
      <c r="T49" s="180">
        <f t="shared" si="2"/>
        <v>189.7273312006341</v>
      </c>
      <c r="U49" s="180">
        <f t="shared" si="3"/>
        <v>0</v>
      </c>
      <c r="V49" s="177"/>
      <c r="X49" s="180">
        <f t="shared" si="4"/>
        <v>189.7273312006341</v>
      </c>
      <c r="Y49" s="180">
        <f t="shared" si="5"/>
        <v>0</v>
      </c>
    </row>
    <row r="50" spans="1:25" ht="15.6" x14ac:dyDescent="0.3">
      <c r="A50" s="152">
        <v>2038</v>
      </c>
      <c r="B50" s="178">
        <f t="shared" si="0"/>
        <v>0</v>
      </c>
      <c r="C50" s="182">
        <f t="shared" si="7"/>
        <v>0</v>
      </c>
      <c r="D50" s="183"/>
      <c r="E50" s="179">
        <f t="shared" si="6"/>
        <v>111.89341853259521</v>
      </c>
      <c r="F50" s="183">
        <f t="shared" si="8"/>
        <v>8.5412739039602599</v>
      </c>
      <c r="G50" s="247">
        <f t="shared" si="1"/>
        <v>0.38639870398477139</v>
      </c>
      <c r="H50" s="246"/>
      <c r="J50" s="182"/>
      <c r="K50" s="182"/>
      <c r="L50" s="182"/>
      <c r="M50" s="182"/>
      <c r="N50" s="163"/>
      <c r="O50" s="259" t="str">
        <f>IF(O$24="Y",E50*$E$4*'Emissions Factors'!B35,"")</f>
        <v/>
      </c>
      <c r="P50" s="259">
        <f>IF(P$24="Y",E50*'Emissions Factors'!$R$36*$P$16/10^6,"")</f>
        <v>205.4068616900577</v>
      </c>
      <c r="Q50" s="259" t="str">
        <f>IF($Q$24="Y",IFERROR($E50*SUM($E$3,$E$4,$E$5)*('Emissions Factors'!$T$143*$P$16)/10^6,""),"")</f>
        <v/>
      </c>
      <c r="R50" s="258"/>
      <c r="T50" s="180">
        <f t="shared" si="2"/>
        <v>205.4068616900577</v>
      </c>
      <c r="U50" s="180">
        <f t="shared" si="3"/>
        <v>0</v>
      </c>
      <c r="V50" s="177"/>
      <c r="X50" s="180">
        <f t="shared" si="4"/>
        <v>205.4068616900577</v>
      </c>
      <c r="Y50" s="180">
        <f t="shared" si="5"/>
        <v>0</v>
      </c>
    </row>
    <row r="51" spans="1:25" ht="15.6" x14ac:dyDescent="0.3">
      <c r="A51" s="152">
        <v>2039</v>
      </c>
      <c r="B51" s="178">
        <f t="shared" si="0"/>
        <v>0</v>
      </c>
      <c r="C51" s="182">
        <f t="shared" si="7"/>
        <v>0</v>
      </c>
      <c r="D51" s="183"/>
      <c r="E51" s="179">
        <f t="shared" si="6"/>
        <v>120.62137007326245</v>
      </c>
      <c r="F51" s="183">
        <f t="shared" si="8"/>
        <v>8.7279515406672488</v>
      </c>
      <c r="G51" s="247">
        <f t="shared" si="1"/>
        <v>0.38712841361211914</v>
      </c>
      <c r="H51" s="246"/>
      <c r="J51" s="182"/>
      <c r="K51" s="182"/>
      <c r="L51" s="182"/>
      <c r="M51" s="182"/>
      <c r="N51" s="163"/>
      <c r="O51" s="259" t="str">
        <f>IF(O$24="Y",E51*$E$4*'Emissions Factors'!B36,"")</f>
        <v/>
      </c>
      <c r="P51" s="259">
        <f>IF(P$24="Y",E51*'Emissions Factors'!$R$36*$P$16/10^6,"")</f>
        <v>221.42908317960061</v>
      </c>
      <c r="Q51" s="259" t="str">
        <f>IF($Q$24="Y",IFERROR($E51*SUM($E$3,$E$4,$E$5)*('Emissions Factors'!$T$143*$P$16)/10^6,""),"")</f>
        <v/>
      </c>
      <c r="R51" s="258"/>
      <c r="T51" s="180">
        <f t="shared" si="2"/>
        <v>221.42908317960061</v>
      </c>
      <c r="U51" s="180">
        <f t="shared" si="3"/>
        <v>0</v>
      </c>
      <c r="V51" s="177"/>
      <c r="X51" s="180">
        <f t="shared" si="4"/>
        <v>221.42908317960061</v>
      </c>
      <c r="Y51" s="180">
        <f t="shared" si="5"/>
        <v>0</v>
      </c>
    </row>
    <row r="52" spans="1:25" ht="15.6" x14ac:dyDescent="0.3">
      <c r="A52" s="152">
        <v>2040</v>
      </c>
      <c r="B52" s="178">
        <f t="shared" si="0"/>
        <v>0</v>
      </c>
      <c r="C52" s="182">
        <f t="shared" si="7"/>
        <v>0</v>
      </c>
      <c r="D52" s="183"/>
      <c r="E52" s="179">
        <f t="shared" si="6"/>
        <v>129.59395926060895</v>
      </c>
      <c r="F52" s="183">
        <f t="shared" si="8"/>
        <v>8.9725891873465002</v>
      </c>
      <c r="G52" s="247">
        <f t="shared" si="1"/>
        <v>0.38784951191058692</v>
      </c>
      <c r="H52" s="246"/>
      <c r="J52" s="182"/>
      <c r="K52" s="182"/>
      <c r="L52" s="182"/>
      <c r="M52" s="182"/>
      <c r="N52" s="163"/>
      <c r="O52" s="259" t="str">
        <f>IF(O$24="Y",E52*$E$4*'Emissions Factors'!B37,"")</f>
        <v/>
      </c>
      <c r="P52" s="259">
        <f>IF(P$24="Y",E52*'Emissions Factors'!$R$36*$P$16/10^6,"")</f>
        <v>237.90039499022424</v>
      </c>
      <c r="Q52" s="259" t="str">
        <f>IF($Q$24="Y",IFERROR($E52*SUM($E$3,$E$4,$E$5)*('Emissions Factors'!$T$143*$P$16)/10^6,""),"")</f>
        <v/>
      </c>
      <c r="R52" s="258"/>
      <c r="T52" s="180">
        <f t="shared" si="2"/>
        <v>237.90039499022424</v>
      </c>
      <c r="U52" s="180">
        <f t="shared" si="3"/>
        <v>0</v>
      </c>
      <c r="V52" s="177"/>
      <c r="X52" s="180">
        <f t="shared" si="4"/>
        <v>237.90039499022424</v>
      </c>
      <c r="Y52" s="180">
        <f t="shared" si="5"/>
        <v>0</v>
      </c>
    </row>
    <row r="53" spans="1:25" ht="15.6" x14ac:dyDescent="0.3">
      <c r="A53" s="152">
        <v>2041</v>
      </c>
      <c r="B53" s="178">
        <f t="shared" si="0"/>
        <v>0</v>
      </c>
      <c r="C53" s="182">
        <f t="shared" si="7"/>
        <v>0</v>
      </c>
      <c r="D53" s="183"/>
      <c r="E53" s="179">
        <f t="shared" si="6"/>
        <v>138.63274806906435</v>
      </c>
      <c r="F53" s="183">
        <f t="shared" si="8"/>
        <v>9.0387888084553936</v>
      </c>
      <c r="G53" s="247">
        <f t="shared" si="1"/>
        <v>0.38856110771133512</v>
      </c>
      <c r="H53" s="246"/>
      <c r="J53" s="182"/>
      <c r="K53" s="182"/>
      <c r="L53" s="182"/>
      <c r="M53" s="182"/>
      <c r="N53" s="163"/>
      <c r="O53" s="259" t="str">
        <f>IF(O$24="Y",E53*$E$4*'Emissions Factors'!B38,"")</f>
        <v/>
      </c>
      <c r="P53" s="259">
        <f>IF(P$24="Y",E53*'Emissions Factors'!$R$36*$P$16/10^6,"")</f>
        <v>254.49323187886742</v>
      </c>
      <c r="Q53" s="259" t="str">
        <f>IF($Q$24="Y",IFERROR($E53*SUM($E$3,$E$4,$E$5)*('Emissions Factors'!$T$143*$P$16)/10^6,""),"")</f>
        <v/>
      </c>
      <c r="R53" s="258"/>
      <c r="T53" s="180">
        <f t="shared" si="2"/>
        <v>254.49323187886742</v>
      </c>
      <c r="U53" s="180">
        <f t="shared" si="3"/>
        <v>0</v>
      </c>
      <c r="V53" s="177"/>
      <c r="X53" s="180">
        <f t="shared" si="4"/>
        <v>254.49323187886742</v>
      </c>
      <c r="Y53" s="180">
        <f t="shared" si="5"/>
        <v>0</v>
      </c>
    </row>
    <row r="54" spans="1:25" ht="15.6" x14ac:dyDescent="0.3">
      <c r="A54" s="152">
        <v>2042</v>
      </c>
      <c r="B54" s="178">
        <f t="shared" si="0"/>
        <v>0</v>
      </c>
      <c r="C54" s="182">
        <f t="shared" si="7"/>
        <v>0</v>
      </c>
      <c r="D54" s="183"/>
      <c r="E54" s="179">
        <f t="shared" si="6"/>
        <v>147.91225226630084</v>
      </c>
      <c r="F54" s="183">
        <f t="shared" si="8"/>
        <v>9.2795041972364913</v>
      </c>
      <c r="G54" s="247">
        <f t="shared" si="1"/>
        <v>0.38926250203333296</v>
      </c>
      <c r="H54" s="246"/>
      <c r="J54" s="182"/>
      <c r="K54" s="182"/>
      <c r="L54" s="182"/>
      <c r="M54" s="182"/>
      <c r="N54" s="163"/>
      <c r="O54" s="259" t="str">
        <f>IF(O$24="Y",E54*$E$4*'Emissions Factors'!B39,"")</f>
        <v/>
      </c>
      <c r="P54" s="259">
        <f>IF(P$24="Y",E54*'Emissions Factors'!$R$36*$P$16/10^6,"")</f>
        <v>271.52795885558248</v>
      </c>
      <c r="Q54" s="259" t="str">
        <f>IF($Q$24="Y",IFERROR($E54*SUM($E$3,$E$4,$E$5)*('Emissions Factors'!$T$143*$P$16)/10^6,""),"")</f>
        <v/>
      </c>
      <c r="R54" s="258"/>
      <c r="T54" s="180">
        <f t="shared" si="2"/>
        <v>271.52795885558248</v>
      </c>
      <c r="U54" s="180">
        <f t="shared" si="3"/>
        <v>0</v>
      </c>
      <c r="V54" s="177"/>
      <c r="X54" s="180">
        <f t="shared" si="4"/>
        <v>271.52795885558248</v>
      </c>
      <c r="Y54" s="180">
        <f t="shared" si="5"/>
        <v>0</v>
      </c>
    </row>
    <row r="55" spans="1:25" ht="15.6" x14ac:dyDescent="0.3">
      <c r="A55" s="152">
        <v>2043</v>
      </c>
      <c r="B55" s="178">
        <f t="shared" si="0"/>
        <v>0</v>
      </c>
      <c r="C55" s="182">
        <f t="shared" si="7"/>
        <v>0</v>
      </c>
      <c r="D55" s="183"/>
      <c r="E55" s="179">
        <f t="shared" si="6"/>
        <v>157.47008659422082</v>
      </c>
      <c r="F55" s="183">
        <f t="shared" si="8"/>
        <v>9.5578343279199771</v>
      </c>
      <c r="G55" s="247">
        <f t="shared" si="1"/>
        <v>0.38995374505034264</v>
      </c>
      <c r="H55" s="246"/>
      <c r="J55" s="182"/>
      <c r="K55" s="182"/>
      <c r="L55" s="182"/>
      <c r="M55" s="182"/>
      <c r="N55" s="163"/>
      <c r="O55" s="259" t="str">
        <f>IF(O$24="Y",E55*$E$4*'Emissions Factors'!B40,"")</f>
        <v/>
      </c>
      <c r="P55" s="259">
        <f>IF(P$24="Y",E55*'Emissions Factors'!$R$36*$P$16/10^6,"")</f>
        <v>289.07362668482699</v>
      </c>
      <c r="Q55" s="259" t="str">
        <f>IF($Q$24="Y",IFERROR($E55*SUM($E$3,$E$4,$E$5)*('Emissions Factors'!$T$143*$P$16)/10^6,""),"")</f>
        <v/>
      </c>
      <c r="R55" s="258"/>
      <c r="T55" s="180">
        <f t="shared" si="2"/>
        <v>289.07362668482699</v>
      </c>
      <c r="U55" s="180">
        <f t="shared" si="3"/>
        <v>0</v>
      </c>
      <c r="V55" s="177"/>
      <c r="X55" s="180">
        <f t="shared" si="4"/>
        <v>289.07362668482699</v>
      </c>
      <c r="Y55" s="180">
        <f t="shared" si="5"/>
        <v>0</v>
      </c>
    </row>
    <row r="56" spans="1:25" ht="15.6" x14ac:dyDescent="0.3">
      <c r="A56" s="152">
        <v>2044</v>
      </c>
      <c r="B56" s="178">
        <f t="shared" si="0"/>
        <v>0</v>
      </c>
      <c r="C56" s="182">
        <f t="shared" si="7"/>
        <v>0</v>
      </c>
      <c r="D56" s="183"/>
      <c r="E56" s="179">
        <f t="shared" si="6"/>
        <v>167.34928652410437</v>
      </c>
      <c r="F56" s="183">
        <f t="shared" si="8"/>
        <v>9.8791999298835549</v>
      </c>
      <c r="G56" s="247">
        <f t="shared" si="1"/>
        <v>0.3906342774035515</v>
      </c>
      <c r="H56" s="246"/>
      <c r="J56" s="182"/>
      <c r="K56" s="182"/>
      <c r="L56" s="182"/>
      <c r="M56" s="182"/>
      <c r="N56" s="163"/>
      <c r="O56" s="259" t="str">
        <f>IF(O$24="Y",E56*$E$4*'Emissions Factors'!B41,"")</f>
        <v/>
      </c>
      <c r="P56" s="259">
        <f>IF(P$24="Y",E56*'Emissions Factors'!$R$36*$P$16/10^6,"")</f>
        <v>307.20923716324739</v>
      </c>
      <c r="Q56" s="259" t="str">
        <f>IF($Q$24="Y",IFERROR($E56*SUM($E$3,$E$4,$E$5)*('Emissions Factors'!$T$143*$P$16)/10^6,""),"")</f>
        <v/>
      </c>
      <c r="R56" s="258"/>
      <c r="T56" s="180">
        <f t="shared" si="2"/>
        <v>307.20923716324739</v>
      </c>
      <c r="U56" s="180">
        <f t="shared" si="3"/>
        <v>0</v>
      </c>
      <c r="V56" s="177"/>
      <c r="X56" s="180">
        <f t="shared" si="4"/>
        <v>307.20923716324739</v>
      </c>
      <c r="Y56" s="180">
        <f t="shared" si="5"/>
        <v>0</v>
      </c>
    </row>
    <row r="57" spans="1:25" ht="15.6" x14ac:dyDescent="0.3">
      <c r="A57" s="152">
        <v>2045</v>
      </c>
      <c r="B57" s="178">
        <f t="shared" si="0"/>
        <v>0</v>
      </c>
      <c r="C57" s="182">
        <f t="shared" si="7"/>
        <v>0</v>
      </c>
      <c r="D57" s="183"/>
      <c r="E57" s="179">
        <f t="shared" si="6"/>
        <v>177.58736630475676</v>
      </c>
      <c r="F57" s="183">
        <f t="shared" si="8"/>
        <v>10.238079780652384</v>
      </c>
      <c r="G57" s="247">
        <f t="shared" si="1"/>
        <v>0.39130225116840184</v>
      </c>
      <c r="H57" s="246"/>
      <c r="J57" s="182"/>
      <c r="K57" s="182"/>
      <c r="L57" s="182"/>
      <c r="M57" s="182"/>
      <c r="N57" s="163"/>
      <c r="O57" s="259" t="str">
        <f>IF(O$24="Y",E57*$E$4*'Emissions Factors'!B42,"")</f>
        <v/>
      </c>
      <c r="P57" s="259">
        <f>IF(P$24="Y",E57*'Emissions Factors'!$R$36*$P$16/10^6,"")</f>
        <v>326.00365657642885</v>
      </c>
      <c r="Q57" s="259" t="str">
        <f>IF($Q$24="Y",IFERROR($E57*SUM($E$3,$E$4,$E$5)*('Emissions Factors'!$T$143*$P$16)/10^6,""),"")</f>
        <v/>
      </c>
      <c r="R57" s="258"/>
      <c r="T57" s="180">
        <f t="shared" si="2"/>
        <v>326.00365657642885</v>
      </c>
      <c r="U57" s="180">
        <f t="shared" si="3"/>
        <v>0</v>
      </c>
      <c r="V57" s="177"/>
      <c r="X57" s="180">
        <f t="shared" si="4"/>
        <v>326.00365657642885</v>
      </c>
      <c r="Y57" s="180">
        <f t="shared" si="5"/>
        <v>0</v>
      </c>
    </row>
    <row r="58" spans="1:25" ht="15.6" x14ac:dyDescent="0.3">
      <c r="A58" s="152">
        <v>2046</v>
      </c>
      <c r="B58" s="178">
        <f t="shared" si="0"/>
        <v>0</v>
      </c>
      <c r="C58" s="182">
        <f t="shared" si="7"/>
        <v>0</v>
      </c>
      <c r="D58" s="183"/>
      <c r="E58" s="179">
        <f t="shared" si="6"/>
        <v>188.20503040351051</v>
      </c>
      <c r="F58" s="183">
        <f t="shared" si="8"/>
        <v>10.61766409875375</v>
      </c>
      <c r="G58" s="247">
        <f t="shared" si="1"/>
        <v>0.39195378812902393</v>
      </c>
      <c r="H58" s="246"/>
      <c r="J58" s="182"/>
      <c r="K58" s="182"/>
      <c r="L58" s="182"/>
      <c r="M58" s="182"/>
      <c r="N58" s="163"/>
      <c r="O58" s="259" t="str">
        <f>IF(O$24="Y",E58*$E$4*'Emissions Factors'!B43,"")</f>
        <v/>
      </c>
      <c r="P58" s="259">
        <f>IF(P$24="Y",E58*'Emissions Factors'!$R$36*$P$16/10^6,"")</f>
        <v>345.49489287616598</v>
      </c>
      <c r="Q58" s="259" t="str">
        <f>IF($Q$24="Y",IFERROR($E58*SUM($E$3,$E$4,$E$5)*('Emissions Factors'!$T$143*$P$16)/10^6,""),"")</f>
        <v/>
      </c>
      <c r="R58" s="258"/>
      <c r="T58" s="180">
        <f t="shared" si="2"/>
        <v>345.49489287616598</v>
      </c>
      <c r="U58" s="180">
        <f t="shared" si="3"/>
        <v>0</v>
      </c>
      <c r="V58" s="177"/>
      <c r="X58" s="180">
        <f t="shared" si="4"/>
        <v>345.49489287616598</v>
      </c>
      <c r="Y58" s="180">
        <f t="shared" si="5"/>
        <v>0</v>
      </c>
    </row>
    <row r="59" spans="1:25" ht="15.6" x14ac:dyDescent="0.3">
      <c r="A59" s="152">
        <v>2047</v>
      </c>
      <c r="B59" s="178">
        <f t="shared" si="0"/>
        <v>0</v>
      </c>
      <c r="C59" s="182">
        <f t="shared" si="7"/>
        <v>0</v>
      </c>
      <c r="D59" s="183"/>
      <c r="E59" s="179">
        <f t="shared" si="6"/>
        <v>199.21907695407009</v>
      </c>
      <c r="F59" s="183">
        <f t="shared" si="8"/>
        <v>11.014046550559584</v>
      </c>
      <c r="G59" s="247">
        <f t="shared" si="1"/>
        <v>0.39258552845906486</v>
      </c>
      <c r="H59" s="246"/>
      <c r="J59" s="182"/>
      <c r="K59" s="182"/>
      <c r="L59" s="182"/>
      <c r="M59" s="182"/>
      <c r="N59" s="163"/>
      <c r="O59" s="259" t="str">
        <f>IF(O$24="Y",E59*$E$4*'Emissions Factors'!B44,"")</f>
        <v/>
      </c>
      <c r="P59" s="259">
        <f>IF(P$24="Y",E59*'Emissions Factors'!$R$36*$P$16/10^6,"")</f>
        <v>365.71378301401273</v>
      </c>
      <c r="Q59" s="259" t="str">
        <f>IF($Q$24="Y",IFERROR($E59*SUM($E$3,$E$4,$E$5)*('Emissions Factors'!$T$143*$P$16)/10^6,""),"")</f>
        <v/>
      </c>
      <c r="R59" s="258"/>
      <c r="T59" s="180">
        <f t="shared" si="2"/>
        <v>365.71378301401273</v>
      </c>
      <c r="U59" s="180">
        <f t="shared" si="3"/>
        <v>0</v>
      </c>
      <c r="V59" s="177"/>
      <c r="X59" s="180">
        <f t="shared" si="4"/>
        <v>365.71378301401273</v>
      </c>
      <c r="Y59" s="180">
        <f t="shared" si="5"/>
        <v>0</v>
      </c>
    </row>
    <row r="60" spans="1:25" ht="15.6" x14ac:dyDescent="0.3">
      <c r="A60" s="152">
        <v>2048</v>
      </c>
      <c r="B60" s="178">
        <f t="shared" si="0"/>
        <v>0</v>
      </c>
      <c r="C60" s="182">
        <f t="shared" si="7"/>
        <v>0</v>
      </c>
      <c r="D60" s="183"/>
      <c r="E60" s="179">
        <f t="shared" si="6"/>
        <v>210.65746119809654</v>
      </c>
      <c r="F60" s="183">
        <f t="shared" si="8"/>
        <v>11.438384244026452</v>
      </c>
      <c r="G60" s="247">
        <f t="shared" si="1"/>
        <v>0.39319597608822937</v>
      </c>
      <c r="H60" s="246"/>
      <c r="J60" s="182"/>
      <c r="K60" s="182"/>
      <c r="L60" s="182"/>
      <c r="M60" s="182"/>
      <c r="N60" s="163"/>
      <c r="O60" s="259" t="str">
        <f>IF(O$24="Y",E60*$E$4*'Emissions Factors'!B45,"")</f>
        <v/>
      </c>
      <c r="P60" s="259">
        <f>IF(P$24="Y",E60*'Emissions Factors'!$R$36*$P$16/10^6,"")</f>
        <v>386.71164545474289</v>
      </c>
      <c r="Q60" s="259" t="str">
        <f>IF($Q$24="Y",IFERROR($E60*SUM($E$3,$E$4,$E$5)*('Emissions Factors'!$T$143*$P$16)/10^6,""),"")</f>
        <v/>
      </c>
      <c r="R60" s="258"/>
      <c r="T60" s="180">
        <f t="shared" si="2"/>
        <v>386.71164545474289</v>
      </c>
      <c r="U60" s="180">
        <f t="shared" si="3"/>
        <v>0</v>
      </c>
      <c r="V60" s="177"/>
      <c r="X60" s="180">
        <f t="shared" si="4"/>
        <v>386.71164545474289</v>
      </c>
      <c r="Y60" s="180">
        <f t="shared" si="5"/>
        <v>0</v>
      </c>
    </row>
    <row r="61" spans="1:25" ht="15.6" x14ac:dyDescent="0.3">
      <c r="A61" s="152">
        <v>2049</v>
      </c>
      <c r="B61" s="178">
        <f t="shared" si="0"/>
        <v>0</v>
      </c>
      <c r="C61" s="182">
        <f t="shared" si="7"/>
        <v>0</v>
      </c>
      <c r="D61" s="183"/>
      <c r="E61" s="179">
        <f t="shared" si="6"/>
        <v>222.54852948030859</v>
      </c>
      <c r="F61" s="183">
        <f t="shared" si="8"/>
        <v>11.891068282212046</v>
      </c>
      <c r="G61" s="247">
        <f t="shared" si="1"/>
        <v>0.39378371135464041</v>
      </c>
      <c r="H61" s="246"/>
      <c r="J61" s="182"/>
      <c r="K61" s="182"/>
      <c r="L61" s="182"/>
      <c r="M61" s="182"/>
      <c r="N61" s="163"/>
      <c r="O61" s="259" t="str">
        <f>IF(O$24="Y",E61*$E$4*'Emissions Factors'!B46,"")</f>
        <v/>
      </c>
      <c r="P61" s="259">
        <f>IF(P$24="Y",E61*'Emissions Factors'!$R$36*$P$16/10^6,"")</f>
        <v>408.54051662539041</v>
      </c>
      <c r="Q61" s="259" t="str">
        <f>IF($Q$24="Y",IFERROR($E61*SUM($E$3,$E$4,$E$5)*('Emissions Factors'!$T$143*$P$16)/10^6,""),"")</f>
        <v/>
      </c>
      <c r="R61" s="258"/>
      <c r="T61" s="180">
        <f t="shared" si="2"/>
        <v>408.54051662539041</v>
      </c>
      <c r="U61" s="180">
        <f t="shared" si="3"/>
        <v>0</v>
      </c>
      <c r="V61" s="177"/>
      <c r="X61" s="180">
        <f t="shared" si="4"/>
        <v>408.54051662539041</v>
      </c>
      <c r="Y61" s="180">
        <f t="shared" si="5"/>
        <v>0</v>
      </c>
    </row>
    <row r="62" spans="1:25" ht="15.6" x14ac:dyDescent="0.3">
      <c r="A62" s="152">
        <v>2050</v>
      </c>
      <c r="B62" s="178">
        <f t="shared" si="0"/>
        <v>0</v>
      </c>
      <c r="C62" s="182">
        <f t="shared" si="7"/>
        <v>0</v>
      </c>
      <c r="D62" s="183"/>
      <c r="E62" s="179">
        <f t="shared" si="6"/>
        <v>234.91376495607807</v>
      </c>
      <c r="F62" s="183">
        <f t="shared" si="8"/>
        <v>12.365235475769481</v>
      </c>
      <c r="G62" s="247">
        <f t="shared" si="1"/>
        <v>0.39434608834133267</v>
      </c>
      <c r="H62" s="246"/>
      <c r="J62" s="182"/>
      <c r="K62" s="182"/>
      <c r="L62" s="182"/>
      <c r="M62" s="182"/>
      <c r="N62" s="163"/>
      <c r="O62" s="259" t="str">
        <f>IF(O$24="Y",E62*$E$4*'Emissions Factors'!B47,"")</f>
        <v/>
      </c>
      <c r="P62" s="259">
        <f>IF(P$24="Y",E62*'Emissions Factors'!$R$36*$P$16/10^6,"")</f>
        <v>431.23983394400898</v>
      </c>
      <c r="Q62" s="259" t="str">
        <f>IF($Q$24="Y",IFERROR($E62*SUM($E$3,$E$4,$E$5)*('Emissions Factors'!$T$143*$P$16)/10^6,""),"")</f>
        <v/>
      </c>
      <c r="R62" s="258"/>
      <c r="T62" s="180">
        <f t="shared" si="2"/>
        <v>431.23983394400898</v>
      </c>
      <c r="U62" s="180">
        <f t="shared" si="3"/>
        <v>0</v>
      </c>
      <c r="V62" s="177"/>
      <c r="X62" s="180">
        <f t="shared" si="4"/>
        <v>431.23983394400898</v>
      </c>
      <c r="Y62" s="180">
        <f t="shared" si="5"/>
        <v>0</v>
      </c>
    </row>
    <row r="63" spans="1:25" ht="15.6" x14ac:dyDescent="0.3">
      <c r="A63" s="152">
        <v>2051</v>
      </c>
      <c r="B63" s="178">
        <f t="shared" si="0"/>
        <v>0</v>
      </c>
      <c r="C63" s="182">
        <f t="shared" si="7"/>
        <v>0</v>
      </c>
      <c r="D63" s="183"/>
      <c r="E63" s="179">
        <f t="shared" si="6"/>
        <v>247.48080511599778</v>
      </c>
      <c r="F63" s="183">
        <f t="shared" si="8"/>
        <v>12.567040159919713</v>
      </c>
      <c r="G63" s="247">
        <f t="shared" si="1"/>
        <v>0.39487902064825969</v>
      </c>
      <c r="H63" s="246"/>
      <c r="J63" s="182"/>
      <c r="K63" s="182"/>
      <c r="L63" s="182"/>
      <c r="M63" s="182"/>
      <c r="N63" s="163"/>
      <c r="O63" s="259" t="str">
        <f>IF(O$24="Y",E63*$E$4*'Emissions Factors'!B48,"")</f>
        <v/>
      </c>
      <c r="P63" s="259">
        <f>IF(P$24="Y",E63*'Emissions Factors'!$R$36*$P$16/10^6,"")</f>
        <v>454.30961153982048</v>
      </c>
      <c r="Q63" s="259" t="str">
        <f>IF($Q$24="Y",IFERROR($E63*SUM($E$3,$E$4,$E$5)*('Emissions Factors'!$T$143*$P$16)/10^6,""),"")</f>
        <v/>
      </c>
      <c r="R63" s="258"/>
      <c r="T63" s="180" t="str">
        <f t="shared" si="2"/>
        <v/>
      </c>
      <c r="U63" s="180" t="str">
        <f t="shared" si="3"/>
        <v/>
      </c>
      <c r="V63" s="177"/>
      <c r="X63" s="180">
        <f t="shared" si="4"/>
        <v>454.30961153982048</v>
      </c>
      <c r="Y63" s="180">
        <f t="shared" si="5"/>
        <v>0</v>
      </c>
    </row>
    <row r="64" spans="1:25" ht="15.6" x14ac:dyDescent="0.3">
      <c r="A64" s="152">
        <v>2052</v>
      </c>
      <c r="B64" s="178">
        <f t="shared" si="0"/>
        <v>0</v>
      </c>
      <c r="C64" s="182">
        <f t="shared" si="7"/>
        <v>0</v>
      </c>
      <c r="D64" s="183"/>
      <c r="E64" s="179">
        <f t="shared" si="6"/>
        <v>260.51647901099807</v>
      </c>
      <c r="F64" s="183">
        <f t="shared" si="8"/>
        <v>13.035673895000286</v>
      </c>
      <c r="G64" s="247">
        <f t="shared" si="1"/>
        <v>0.39537774724097546</v>
      </c>
      <c r="H64" s="246"/>
      <c r="J64" s="182"/>
      <c r="K64" s="182"/>
      <c r="L64" s="182"/>
      <c r="M64" s="182"/>
      <c r="N64" s="163"/>
      <c r="O64" s="259" t="str">
        <f>IF(O$24="Y",E64*$E$4*'Emissions Factors'!B49,"")</f>
        <v/>
      </c>
      <c r="P64" s="259">
        <f>IF(P$24="Y",E64*'Emissions Factors'!$R$36*$P$16/10^6,"")</f>
        <v>478.23967731046287</v>
      </c>
      <c r="Q64" s="259" t="str">
        <f>IF($Q$24="Y",IFERROR($E64*SUM($E$3,$E$4,$E$5)*('Emissions Factors'!$T$143*$P$16)/10^6,""),"")</f>
        <v/>
      </c>
      <c r="R64" s="258"/>
      <c r="T64" s="180" t="str">
        <f t="shared" si="2"/>
        <v/>
      </c>
      <c r="U64" s="180" t="str">
        <f t="shared" si="3"/>
        <v/>
      </c>
      <c r="V64" s="177"/>
      <c r="X64" s="180">
        <f t="shared" si="4"/>
        <v>478.23967731046287</v>
      </c>
      <c r="Y64" s="180">
        <f t="shared" si="5"/>
        <v>0</v>
      </c>
    </row>
    <row r="65" spans="1:25" ht="15.6" x14ac:dyDescent="0.3">
      <c r="A65" s="152">
        <v>2053</v>
      </c>
      <c r="B65" s="178">
        <f t="shared" si="0"/>
        <v>0</v>
      </c>
      <c r="C65" s="182">
        <f t="shared" si="7"/>
        <v>0</v>
      </c>
      <c r="D65" s="183"/>
      <c r="E65" s="179">
        <f t="shared" si="6"/>
        <v>274.01850274630669</v>
      </c>
      <c r="F65" s="183">
        <f t="shared" si="8"/>
        <v>13.502023735308626</v>
      </c>
      <c r="G65" s="247">
        <f t="shared" si="1"/>
        <v>0.39583809467033615</v>
      </c>
      <c r="H65" s="246"/>
      <c r="J65" s="182"/>
      <c r="K65" s="182"/>
      <c r="L65" s="182"/>
      <c r="M65" s="182"/>
      <c r="N65" s="163"/>
      <c r="O65" s="259" t="str">
        <f>IF(O$24="Y",E65*$E$4*'Emissions Factors'!B50,"")</f>
        <v/>
      </c>
      <c r="P65" s="259">
        <f>IF(P$24="Y",E65*'Emissions Factors'!$R$36*$P$16/10^6,"")</f>
        <v>503.02583862634498</v>
      </c>
      <c r="Q65" s="259" t="str">
        <f>IF($Q$24="Y",IFERROR($E65*SUM($E$3,$E$4,$E$5)*('Emissions Factors'!$T$143*$P$16)/10^6,""),"")</f>
        <v/>
      </c>
      <c r="R65" s="258"/>
      <c r="T65" s="180" t="str">
        <f t="shared" si="2"/>
        <v/>
      </c>
      <c r="U65" s="180" t="str">
        <f t="shared" si="3"/>
        <v/>
      </c>
      <c r="V65" s="177"/>
      <c r="X65" s="180">
        <f t="shared" si="4"/>
        <v>503.02583862634498</v>
      </c>
      <c r="Y65" s="180">
        <f t="shared" si="5"/>
        <v>0</v>
      </c>
    </row>
    <row r="66" spans="1:25" ht="15.6" x14ac:dyDescent="0.3">
      <c r="A66" s="152">
        <v>2054</v>
      </c>
      <c r="B66" s="178">
        <f t="shared" si="0"/>
        <v>0</v>
      </c>
      <c r="C66" s="182">
        <f t="shared" si="7"/>
        <v>0</v>
      </c>
      <c r="D66" s="183"/>
      <c r="E66" s="179">
        <f t="shared" si="6"/>
        <v>287.97810535157259</v>
      </c>
      <c r="F66" s="183">
        <f t="shared" si="8"/>
        <v>13.9596026052659</v>
      </c>
      <c r="G66" s="247">
        <f t="shared" si="1"/>
        <v>0.39625608776854077</v>
      </c>
      <c r="H66" s="246"/>
      <c r="J66" s="182"/>
      <c r="K66" s="182"/>
      <c r="L66" s="182"/>
      <c r="M66" s="182"/>
      <c r="N66" s="163"/>
      <c r="O66" s="259" t="str">
        <f>IF(O$24="Y",E66*$E$4*'Emissions Factors'!B51,"")</f>
        <v/>
      </c>
      <c r="P66" s="259">
        <f>IF(P$24="Y",E66*'Emissions Factors'!$R$36*$P$16/10^6,"")</f>
        <v>528.65199429476559</v>
      </c>
      <c r="Q66" s="259" t="str">
        <f>IF($Q$24="Y",IFERROR($E66*SUM($E$3,$E$4,$E$5)*('Emissions Factors'!$T$143*$P$16)/10^6,""),"")</f>
        <v/>
      </c>
      <c r="R66" s="258"/>
      <c r="T66" s="180" t="str">
        <f t="shared" si="2"/>
        <v/>
      </c>
      <c r="U66" s="180" t="str">
        <f t="shared" si="3"/>
        <v/>
      </c>
      <c r="V66" s="177"/>
      <c r="X66" s="180">
        <f t="shared" si="4"/>
        <v>528.65199429476559</v>
      </c>
      <c r="Y66" s="180">
        <f t="shared" si="5"/>
        <v>0</v>
      </c>
    </row>
    <row r="67" spans="1:25" ht="15.6" x14ac:dyDescent="0.3">
      <c r="A67" s="152">
        <v>2055</v>
      </c>
      <c r="B67" s="178">
        <f t="shared" si="0"/>
        <v>0</v>
      </c>
      <c r="C67" s="182">
        <f t="shared" si="7"/>
        <v>0</v>
      </c>
      <c r="D67" s="183"/>
      <c r="E67" s="179">
        <f t="shared" si="6"/>
        <v>302.38437017475638</v>
      </c>
      <c r="F67" s="183">
        <f t="shared" si="8"/>
        <v>14.40626482318379</v>
      </c>
      <c r="G67" s="247">
        <f t="shared" si="1"/>
        <v>0.39662812319780716</v>
      </c>
      <c r="H67" s="246"/>
      <c r="J67" s="182"/>
      <c r="K67" s="182"/>
      <c r="L67" s="182"/>
      <c r="M67" s="182"/>
      <c r="N67" s="163"/>
      <c r="O67" s="259" t="str">
        <f>IF(O$24="Y",E67*$E$4*'Emissions Factors'!B52,"")</f>
        <v/>
      </c>
      <c r="P67" s="259">
        <f>IF(P$24="Y",E67*'Emissions Factors'!$R$36*$P$16/10^6,"")</f>
        <v>555.09810421627128</v>
      </c>
      <c r="Q67" s="259" t="str">
        <f>IF($Q$24="Y",IFERROR($E67*SUM($E$3,$E$4,$E$5)*('Emissions Factors'!$T$143*$P$16)/10^6,""),"")</f>
        <v/>
      </c>
      <c r="R67" s="258"/>
      <c r="T67" s="180" t="str">
        <f t="shared" si="2"/>
        <v/>
      </c>
      <c r="U67" s="180" t="str">
        <f t="shared" si="3"/>
        <v/>
      </c>
      <c r="V67" s="177"/>
      <c r="X67" s="180">
        <f t="shared" si="4"/>
        <v>555.09810421627128</v>
      </c>
      <c r="Y67" s="180">
        <f t="shared" si="5"/>
        <v>0</v>
      </c>
    </row>
    <row r="68" spans="1:25" ht="15.6" x14ac:dyDescent="0.3">
      <c r="A68" s="152">
        <v>2056</v>
      </c>
      <c r="B68" s="178">
        <f t="shared" si="0"/>
        <v>0</v>
      </c>
      <c r="C68" s="182">
        <f t="shared" si="7"/>
        <v>0</v>
      </c>
      <c r="D68" s="183"/>
      <c r="E68" s="179">
        <f t="shared" si="6"/>
        <v>317.23256499677433</v>
      </c>
      <c r="F68" s="183">
        <f t="shared" si="8"/>
        <v>14.848194822017945</v>
      </c>
      <c r="G68" s="247">
        <f t="shared" si="1"/>
        <v>0.39695147745474629</v>
      </c>
      <c r="H68" s="246"/>
      <c r="J68" s="182"/>
      <c r="K68" s="182"/>
      <c r="L68" s="182"/>
      <c r="M68" s="182"/>
      <c r="N68" s="163"/>
      <c r="O68" s="259" t="str">
        <f>IF(O$24="Y",E68*$E$4*'Emissions Factors'!B53,"")</f>
        <v/>
      </c>
      <c r="P68" s="259">
        <f>IF(P$24="Y",E68*'Emissions Factors'!$R$36*$P$16/10^6,"")</f>
        <v>582.35548128232995</v>
      </c>
      <c r="Q68" s="259" t="str">
        <f>IF($Q$24="Y",IFERROR($E68*SUM($E$3,$E$4,$E$5)*('Emissions Factors'!$T$143*$P$16)/10^6,""),"")</f>
        <v/>
      </c>
      <c r="R68" s="258"/>
      <c r="T68" s="180" t="str">
        <f t="shared" si="2"/>
        <v/>
      </c>
      <c r="U68" s="180" t="str">
        <f t="shared" si="3"/>
        <v/>
      </c>
      <c r="V68" s="177"/>
      <c r="X68" s="180">
        <f t="shared" si="4"/>
        <v>582.35548128232995</v>
      </c>
      <c r="Y68" s="180">
        <f t="shared" si="5"/>
        <v>0</v>
      </c>
    </row>
    <row r="69" spans="1:25" ht="15.6" x14ac:dyDescent="0.3">
      <c r="A69" s="152">
        <v>2057</v>
      </c>
      <c r="B69" s="178">
        <f t="shared" si="0"/>
        <v>0</v>
      </c>
      <c r="C69" s="182">
        <f t="shared" si="7"/>
        <v>0</v>
      </c>
      <c r="D69" s="183"/>
      <c r="E69" s="179">
        <f t="shared" si="6"/>
        <v>332.51127201723193</v>
      </c>
      <c r="F69" s="183">
        <f t="shared" si="8"/>
        <v>15.278707020457603</v>
      </c>
      <c r="G69" s="247">
        <f t="shared" si="1"/>
        <v>0.39722315005842396</v>
      </c>
      <c r="H69" s="246"/>
      <c r="J69" s="182"/>
      <c r="K69" s="182"/>
      <c r="L69" s="182"/>
      <c r="M69" s="182"/>
      <c r="N69" s="163"/>
      <c r="O69" s="259" t="str">
        <f>IF(O$24="Y",E69*$E$4*'Emissions Factors'!B54,"")</f>
        <v/>
      </c>
      <c r="P69" s="259">
        <f>IF(P$24="Y",E69*'Emissions Factors'!$R$36*$P$16/10^6,"")</f>
        <v>610.40316541703021</v>
      </c>
      <c r="Q69" s="259" t="str">
        <f>IF($Q$24="Y",IFERROR($E69*SUM($E$3,$E$4,$E$5)*('Emissions Factors'!$T$143*$P$16)/10^6,""),"")</f>
        <v/>
      </c>
      <c r="R69" s="258"/>
      <c r="T69" s="180" t="str">
        <f t="shared" si="2"/>
        <v/>
      </c>
      <c r="U69" s="180" t="str">
        <f t="shared" si="3"/>
        <v/>
      </c>
      <c r="V69" s="177"/>
      <c r="X69" s="180">
        <f t="shared" si="4"/>
        <v>610.40316541703021</v>
      </c>
      <c r="Y69" s="180">
        <f t="shared" si="5"/>
        <v>0</v>
      </c>
    </row>
    <row r="70" spans="1:25" ht="15.6" x14ac:dyDescent="0.3">
      <c r="A70" s="152">
        <v>2058</v>
      </c>
      <c r="B70" s="178">
        <f t="shared" si="0"/>
        <v>0</v>
      </c>
      <c r="C70" s="182">
        <f t="shared" si="7"/>
        <v>0</v>
      </c>
      <c r="D70" s="183"/>
      <c r="E70" s="179">
        <f t="shared" si="6"/>
        <v>348.19154365538577</v>
      </c>
      <c r="F70" s="183">
        <f t="shared" si="8"/>
        <v>15.68027163815384</v>
      </c>
      <c r="G70" s="247">
        <f t="shared" si="1"/>
        <v>0.39743941893082296</v>
      </c>
      <c r="H70" s="246"/>
      <c r="J70" s="182"/>
      <c r="K70" s="182"/>
      <c r="L70" s="182"/>
      <c r="M70" s="182"/>
      <c r="N70" s="163"/>
      <c r="O70" s="259" t="str">
        <f>IF(O$24="Y",E70*$E$4*'Emissions Factors'!B55,"")</f>
        <v/>
      </c>
      <c r="P70" s="259">
        <f>IF(P$24="Y",E70*'Emissions Factors'!$R$36*$P$16/10^6,"")</f>
        <v>639.18801648226577</v>
      </c>
      <c r="Q70" s="259" t="str">
        <f>IF($Q$24="Y",IFERROR($E70*SUM($E$3,$E$4,$E$5)*('Emissions Factors'!$T$143*$P$16)/10^6,""),"")</f>
        <v/>
      </c>
      <c r="R70" s="258"/>
      <c r="T70" s="180" t="str">
        <f t="shared" si="2"/>
        <v/>
      </c>
      <c r="U70" s="180" t="str">
        <f t="shared" si="3"/>
        <v/>
      </c>
      <c r="V70" s="177"/>
      <c r="X70" s="180">
        <f t="shared" si="4"/>
        <v>639.18801648226577</v>
      </c>
      <c r="Y70" s="180">
        <f t="shared" si="5"/>
        <v>0</v>
      </c>
    </row>
    <row r="71" spans="1:25" ht="15.6" x14ac:dyDescent="0.3">
      <c r="A71" s="152">
        <v>2059</v>
      </c>
      <c r="B71" s="178">
        <f t="shared" si="0"/>
        <v>0</v>
      </c>
      <c r="C71" s="182">
        <f t="shared" si="7"/>
        <v>0</v>
      </c>
      <c r="D71" s="183"/>
      <c r="E71" s="179">
        <f t="shared" si="6"/>
        <v>364.23633861190956</v>
      </c>
      <c r="F71" s="183">
        <f t="shared" si="8"/>
        <v>16.044794956523788</v>
      </c>
      <c r="G71" s="247">
        <f t="shared" si="1"/>
        <v>0.39759660102589417</v>
      </c>
      <c r="H71" s="246"/>
      <c r="J71" s="182"/>
      <c r="K71" s="182"/>
      <c r="L71" s="182"/>
      <c r="M71" s="182"/>
      <c r="N71" s="163"/>
      <c r="O71" s="259" t="str">
        <f>IF(O$24="Y",E71*$E$4*'Emissions Factors'!B56,"")</f>
        <v/>
      </c>
      <c r="P71" s="259">
        <f>IF(P$24="Y",E71*'Emissions Factors'!$R$36*$P$16/10^6,"")</f>
        <v>668.64203640319568</v>
      </c>
      <c r="Q71" s="259" t="str">
        <f>IF($Q$24="Y",IFERROR($E71*SUM($E$3,$E$4,$E$5)*('Emissions Factors'!$T$143*$P$16)/10^6,""),"")</f>
        <v/>
      </c>
      <c r="R71" s="258"/>
      <c r="T71" s="180" t="str">
        <f t="shared" si="2"/>
        <v/>
      </c>
      <c r="U71" s="180" t="str">
        <f t="shared" si="3"/>
        <v/>
      </c>
      <c r="V71" s="177"/>
      <c r="X71" s="180">
        <f t="shared" si="4"/>
        <v>668.64203640319568</v>
      </c>
      <c r="Y71" s="180">
        <f t="shared" si="5"/>
        <v>0</v>
      </c>
    </row>
    <row r="72" spans="1:25" ht="15.6" x14ac:dyDescent="0.3">
      <c r="A72" s="152">
        <v>2060</v>
      </c>
      <c r="B72" s="178">
        <f t="shared" si="0"/>
        <v>0</v>
      </c>
      <c r="C72" s="182">
        <f t="shared" si="7"/>
        <v>0</v>
      </c>
      <c r="D72" s="183"/>
      <c r="E72" s="179">
        <f t="shared" si="6"/>
        <v>380.6116661013283</v>
      </c>
      <c r="F72" s="183">
        <f t="shared" si="8"/>
        <v>16.375327489418737</v>
      </c>
      <c r="G72" s="247">
        <f t="shared" si="1"/>
        <v>0.39769173215443171</v>
      </c>
      <c r="H72" s="246"/>
      <c r="J72" s="182"/>
      <c r="K72" s="182"/>
      <c r="L72" s="182"/>
      <c r="M72" s="182"/>
      <c r="N72" s="163"/>
      <c r="O72" s="259" t="str">
        <f>IF(O$24="Y",E72*$E$4*'Emissions Factors'!B57,"")</f>
        <v/>
      </c>
      <c r="P72" s="259">
        <f>IF(P$24="Y",E72*'Emissions Factors'!$R$36*$P$16/10^6,"")</f>
        <v>698.70282704539602</v>
      </c>
      <c r="Q72" s="259" t="str">
        <f>IF($Q$24="Y",IFERROR($E72*SUM($E$3,$E$4,$E$5)*('Emissions Factors'!$T$143*$P$16)/10^6,""),"")</f>
        <v/>
      </c>
      <c r="R72" s="258"/>
      <c r="T72" s="180" t="str">
        <f t="shared" si="2"/>
        <v/>
      </c>
      <c r="U72" s="180" t="str">
        <f t="shared" si="3"/>
        <v/>
      </c>
      <c r="V72" s="177"/>
      <c r="X72" s="180">
        <f t="shared" si="4"/>
        <v>698.70282704539602</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4417.4466724059394</v>
      </c>
      <c r="C85" s="253">
        <f>(C137/Population_Tables!P3)*Population_Tables!D3</f>
        <v>0</v>
      </c>
      <c r="D85" s="253">
        <f>(D137/Population_Tables!Q3)*Population_Tables!E3</f>
        <v>0</v>
      </c>
      <c r="E85" s="253">
        <f>(E137/Population_Tables!R3)*Population_Tables!F3</f>
        <v>4053.2860917973194</v>
      </c>
      <c r="F85" s="253">
        <f>(F137/Population_Tables!S3)*Population_Tables!G3</f>
        <v>1783.7577542717634</v>
      </c>
      <c r="G85" s="253">
        <f>(G137/Population_Tables!T3)*Population_Tables!H3</f>
        <v>173.25410753661035</v>
      </c>
      <c r="H85" s="253">
        <f>(H137/Population_Tables!U3)*Population_Tables!I3</f>
        <v>1086.4921571737311</v>
      </c>
      <c r="I85" s="253">
        <f>(I137/Population_Tables!V3)*Population_Tables!J3</f>
        <v>1622.3703887665038</v>
      </c>
      <c r="J85" s="253">
        <f>(J137/Population_Tables!W3)*Population_Tables!K3</f>
        <v>0</v>
      </c>
      <c r="K85" s="253">
        <f>(K137/Population_Tables!X3)*Population_Tables!L3</f>
        <v>0</v>
      </c>
      <c r="N85" s="195">
        <f t="shared" ref="N85:N131" si="9">SUMIF($C$83:$G$83,"Y",C85:G85)-H85</f>
        <v>4750.5516888953516</v>
      </c>
      <c r="O85" s="195">
        <f>H85</f>
        <v>1086.4921571737311</v>
      </c>
      <c r="P85" s="195">
        <f t="shared" ref="P85:P131" si="10">SUMIF($C$83:$G$83,"N",C85:G85)-(IF($E$83="N",H85))</f>
        <v>173.25410753661035</v>
      </c>
      <c r="Q85" s="195">
        <f>N85+P85+O85</f>
        <v>6010.2979536056937</v>
      </c>
      <c r="R85" s="196">
        <f>N85/Q85</f>
        <v>0.79040202758091282</v>
      </c>
      <c r="U85" s="197">
        <v>0</v>
      </c>
      <c r="V85" s="195">
        <f>O85-O137</f>
        <v>0</v>
      </c>
      <c r="W85" s="197">
        <v>0</v>
      </c>
      <c r="X85" s="195">
        <f>U85+V85+W85</f>
        <v>0</v>
      </c>
      <c r="Y85" s="196">
        <v>0</v>
      </c>
      <c r="AC85" s="251">
        <f>(B85-B137)/((SUM(C85:G85)-SUM(C137:G137)))</f>
        <v>0.59113487649226892</v>
      </c>
      <c r="AF85" s="250">
        <f>B85</f>
        <v>4417.4466724059394</v>
      </c>
      <c r="AG85" s="250">
        <f>SUM(C85:G85)</f>
        <v>6010.2979536056937</v>
      </c>
      <c r="AH85" s="250">
        <f>AG85-AF85</f>
        <v>1592.8512811997543</v>
      </c>
      <c r="AI85" s="251">
        <f>AH85/AG85</f>
        <v>0.26502035231783677</v>
      </c>
    </row>
    <row r="86" spans="1:35" ht="15.6" x14ac:dyDescent="0.3">
      <c r="A86" s="194">
        <v>2015</v>
      </c>
      <c r="B86" s="253">
        <f>(B138/Population_Tables!O4)*Population_Tables!C4</f>
        <v>4499.7772412646491</v>
      </c>
      <c r="C86" s="253">
        <f>(C138/Population_Tables!P4)*Population_Tables!D4</f>
        <v>0</v>
      </c>
      <c r="D86" s="253">
        <f>(D138/Population_Tables!Q4)*Population_Tables!E4</f>
        <v>0</v>
      </c>
      <c r="E86" s="253">
        <f>(E138/Population_Tables!R4)*Population_Tables!F4</f>
        <v>4063.4464988862628</v>
      </c>
      <c r="F86" s="253">
        <f>(F138/Population_Tables!S4)*Population_Tables!G4</f>
        <v>1813.7143585332071</v>
      </c>
      <c r="G86" s="253">
        <f>(G138/Population_Tables!T4)*Population_Tables!H4</f>
        <v>173.11008613161991</v>
      </c>
      <c r="H86" s="253">
        <f>(H138/Population_Tables!U4)*Population_Tables!I4</f>
        <v>1083.1677488787807</v>
      </c>
      <c r="I86" s="253">
        <f>(I138/Population_Tables!V4)*Population_Tables!J4</f>
        <v>1629.3408486576739</v>
      </c>
      <c r="J86" s="253">
        <f>(J138/Population_Tables!W4)*Population_Tables!K4</f>
        <v>0</v>
      </c>
      <c r="K86" s="253">
        <f>(K138/Population_Tables!X4)*Population_Tables!L4</f>
        <v>0</v>
      </c>
      <c r="N86" s="195">
        <f t="shared" si="9"/>
        <v>4793.9931085406888</v>
      </c>
      <c r="O86" s="195">
        <f t="shared" ref="O86:O131" si="11">H86</f>
        <v>1083.1677488787807</v>
      </c>
      <c r="P86" s="195">
        <f t="shared" si="10"/>
        <v>173.11008613161991</v>
      </c>
      <c r="Q86" s="195">
        <f t="shared" ref="Q86:Q131" si="12">N86+P86+O86</f>
        <v>6050.2709435510897</v>
      </c>
      <c r="R86" s="196">
        <f t="shared" ref="R86:R130" si="13">N86/Q86</f>
        <v>0.79236007003133435</v>
      </c>
      <c r="U86" s="197">
        <v>0</v>
      </c>
      <c r="V86" s="195">
        <f t="shared" ref="V86:W131" si="14">O86-O138</f>
        <v>0</v>
      </c>
      <c r="W86" s="197">
        <v>0</v>
      </c>
      <c r="X86" s="195">
        <f>U86+V86+W86</f>
        <v>0</v>
      </c>
      <c r="Y86" s="196">
        <v>0</v>
      </c>
      <c r="AC86" s="251">
        <f t="shared" ref="AC86:AC131" si="15">(B86-B138)/((SUM(C86:G86)-SUM(C138:G138)))</f>
        <v>0.59955655801339047</v>
      </c>
    </row>
    <row r="87" spans="1:35" ht="15.6" x14ac:dyDescent="0.3">
      <c r="A87" s="194">
        <v>2016</v>
      </c>
      <c r="B87" s="253">
        <f>(B139/Population_Tables!O5)*Population_Tables!C5</f>
        <v>4566.4521737800396</v>
      </c>
      <c r="C87" s="253">
        <f>(C139/Population_Tables!P5)*Population_Tables!D5</f>
        <v>0</v>
      </c>
      <c r="D87" s="253">
        <f>(D139/Population_Tables!Q5)*Population_Tables!E5</f>
        <v>0</v>
      </c>
      <c r="E87" s="253">
        <f>(E139/Population_Tables!R5)*Population_Tables!F5</f>
        <v>4072.710105956734</v>
      </c>
      <c r="F87" s="253">
        <f>(F139/Population_Tables!S5)*Population_Tables!G5</f>
        <v>1846.4013746132573</v>
      </c>
      <c r="G87" s="253">
        <f>(G139/Population_Tables!T5)*Population_Tables!H5</f>
        <v>173.13275302879063</v>
      </c>
      <c r="H87" s="253">
        <f>(H139/Population_Tables!U5)*Population_Tables!I5</f>
        <v>1079.2916426316124</v>
      </c>
      <c r="I87" s="253">
        <f>(I139/Population_Tables!V5)*Population_Tables!J5</f>
        <v>1640.767841948769</v>
      </c>
      <c r="J87" s="253">
        <f>(J139/Population_Tables!W5)*Population_Tables!K5</f>
        <v>0</v>
      </c>
      <c r="K87" s="253">
        <f>(K139/Population_Tables!X5)*Population_Tables!L5</f>
        <v>0</v>
      </c>
      <c r="N87" s="195">
        <f t="shared" si="9"/>
        <v>4839.8198379383784</v>
      </c>
      <c r="O87" s="195">
        <f t="shared" si="11"/>
        <v>1079.2916426316124</v>
      </c>
      <c r="P87" s="195">
        <f t="shared" si="10"/>
        <v>173.13275302879063</v>
      </c>
      <c r="Q87" s="195">
        <f t="shared" si="12"/>
        <v>6092.2442335987816</v>
      </c>
      <c r="R87" s="196">
        <f t="shared" si="13"/>
        <v>0.79442314726102548</v>
      </c>
      <c r="U87" s="195">
        <f>N87-N139</f>
        <v>-1.2216185399665846E-2</v>
      </c>
      <c r="V87" s="195">
        <f>O87-O139</f>
        <v>0</v>
      </c>
      <c r="W87" s="195">
        <f>P87-P139</f>
        <v>0</v>
      </c>
      <c r="X87" s="195">
        <f>U87+V87+W87</f>
        <v>-1.2216185399665846E-2</v>
      </c>
      <c r="Y87" s="196">
        <f t="shared" ref="Y87:Y131" si="16">U87/X87</f>
        <v>1</v>
      </c>
      <c r="AC87" s="251">
        <f>(B87-B139)/((SUM(C87:G87)-SUM(C139:G139)))</f>
        <v>0.60592829129032078</v>
      </c>
    </row>
    <row r="88" spans="1:35" ht="15.6" x14ac:dyDescent="0.3">
      <c r="A88" s="194">
        <v>2017</v>
      </c>
      <c r="B88" s="253">
        <f>(B140/Population_Tables!O6)*Population_Tables!C6</f>
        <v>4640.6121708791898</v>
      </c>
      <c r="C88" s="253">
        <f>(C140/Population_Tables!P6)*Population_Tables!D6</f>
        <v>0</v>
      </c>
      <c r="D88" s="253">
        <f>(D140/Population_Tables!Q6)*Population_Tables!E6</f>
        <v>0</v>
      </c>
      <c r="E88" s="253">
        <f>(E140/Population_Tables!R6)*Population_Tables!F6</f>
        <v>4081.3586833038171</v>
      </c>
      <c r="F88" s="253">
        <f>(F140/Population_Tables!S6)*Population_Tables!G6</f>
        <v>1879.2202417136177</v>
      </c>
      <c r="G88" s="253">
        <f>(G140/Population_Tables!T6)*Population_Tables!H6</f>
        <v>173.12781949673331</v>
      </c>
      <c r="H88" s="253">
        <f>(H140/Population_Tables!U6)*Population_Tables!I6</f>
        <v>1074.6564004540699</v>
      </c>
      <c r="I88" s="253">
        <f>(I140/Population_Tables!V6)*Population_Tables!J6</f>
        <v>1651.9130083749465</v>
      </c>
      <c r="J88" s="253">
        <f>(J140/Population_Tables!W6)*Population_Tables!K6</f>
        <v>0</v>
      </c>
      <c r="K88" s="253">
        <f>(K140/Population_Tables!X6)*Population_Tables!L6</f>
        <v>0</v>
      </c>
      <c r="N88" s="195">
        <f t="shared" si="9"/>
        <v>4885.9225245633652</v>
      </c>
      <c r="O88" s="195">
        <f>H88</f>
        <v>1074.6564004540699</v>
      </c>
      <c r="P88" s="195">
        <f t="shared" si="10"/>
        <v>173.12781949673331</v>
      </c>
      <c r="Q88" s="195">
        <f t="shared" si="12"/>
        <v>6133.7067445141683</v>
      </c>
      <c r="R88" s="196">
        <f t="shared" si="13"/>
        <v>0.79656930598014164</v>
      </c>
      <c r="U88" s="195">
        <f>N88-N140</f>
        <v>-1.1924663273020997E-2</v>
      </c>
      <c r="V88" s="195">
        <f t="shared" si="14"/>
        <v>0</v>
      </c>
      <c r="W88" s="195">
        <f t="shared" si="14"/>
        <v>0</v>
      </c>
      <c r="X88" s="195">
        <f t="shared" ref="X88:X131" si="17">U88+V88+W88</f>
        <v>-1.1924663273020997E-2</v>
      </c>
      <c r="Y88" s="196">
        <f t="shared" si="16"/>
        <v>1</v>
      </c>
      <c r="AC88" s="251">
        <f t="shared" si="15"/>
        <v>0.61329604612873101</v>
      </c>
    </row>
    <row r="89" spans="1:35" ht="15.6" x14ac:dyDescent="0.3">
      <c r="A89" s="194">
        <v>2018</v>
      </c>
      <c r="B89" s="253">
        <f>(B141/Population_Tables!O7)*Population_Tables!C7</f>
        <v>4714.5848636045685</v>
      </c>
      <c r="C89" s="253">
        <f>(C141/Population_Tables!P7)*Population_Tables!D7</f>
        <v>0</v>
      </c>
      <c r="D89" s="253">
        <f>(D141/Population_Tables!Q7)*Population_Tables!E7</f>
        <v>0</v>
      </c>
      <c r="E89" s="253">
        <f>(E141/Population_Tables!R7)*Population_Tables!F7</f>
        <v>4089.3920729091619</v>
      </c>
      <c r="F89" s="253">
        <f>(F141/Population_Tables!S7)*Population_Tables!G7</f>
        <v>1912.1669341679742</v>
      </c>
      <c r="G89" s="253">
        <f>(G141/Population_Tables!T7)*Population_Tables!H7</f>
        <v>173.09545941305481</v>
      </c>
      <c r="H89" s="253">
        <f>(H141/Population_Tables!U7)*Population_Tables!I7</f>
        <v>1069.3010881543908</v>
      </c>
      <c r="I89" s="253">
        <f>(I141/Population_Tables!V7)*Population_Tables!J7</f>
        <v>1662.7754866216378</v>
      </c>
      <c r="J89" s="253">
        <f>(J141/Population_Tables!W7)*Population_Tables!K7</f>
        <v>0</v>
      </c>
      <c r="K89" s="253">
        <f>(K141/Population_Tables!X7)*Population_Tables!L7</f>
        <v>0</v>
      </c>
      <c r="N89" s="195">
        <f t="shared" si="9"/>
        <v>4932.2579189227454</v>
      </c>
      <c r="O89" s="195">
        <f t="shared" si="11"/>
        <v>1069.3010881543908</v>
      </c>
      <c r="P89" s="195">
        <f t="shared" si="10"/>
        <v>173.09545941305481</v>
      </c>
      <c r="Q89" s="195">
        <f t="shared" si="12"/>
        <v>6174.6544664901903</v>
      </c>
      <c r="R89" s="196">
        <f t="shared" si="13"/>
        <v>0.79879091950652092</v>
      </c>
      <c r="U89" s="195">
        <f t="shared" ref="U89:U131" si="18">N89-N141</f>
        <v>-1.1601056343351956E-2</v>
      </c>
      <c r="V89" s="195">
        <f t="shared" si="14"/>
        <v>0</v>
      </c>
      <c r="W89" s="195">
        <f t="shared" si="14"/>
        <v>0</v>
      </c>
      <c r="X89" s="195">
        <f t="shared" si="17"/>
        <v>-1.1601056343351956E-2</v>
      </c>
      <c r="Y89" s="196">
        <f t="shared" si="16"/>
        <v>1</v>
      </c>
      <c r="AC89" s="251">
        <f t="shared" si="15"/>
        <v>0.62063102489334221</v>
      </c>
    </row>
    <row r="90" spans="1:35" ht="16.2" thickBot="1" x14ac:dyDescent="0.35">
      <c r="A90" s="198">
        <v>2019</v>
      </c>
      <c r="B90" s="253">
        <f>(B142/Population_Tables!O8)*Population_Tables!C8</f>
        <v>4788.4219201921333</v>
      </c>
      <c r="C90" s="253">
        <f>(C142/Population_Tables!P8)*Population_Tables!D8</f>
        <v>0</v>
      </c>
      <c r="D90" s="253">
        <f>(D142/Population_Tables!Q8)*Population_Tables!E8</f>
        <v>0</v>
      </c>
      <c r="E90" s="253">
        <f>(E142/Population_Tables!R8)*Population_Tables!F8</f>
        <v>4096.8100594761909</v>
      </c>
      <c r="F90" s="253">
        <f>(F142/Population_Tables!S8)*Population_Tables!G8</f>
        <v>1945.2374263100141</v>
      </c>
      <c r="G90" s="253">
        <f>(G142/Population_Tables!T8)*Population_Tables!H8</f>
        <v>173.03584665536212</v>
      </c>
      <c r="H90" s="253">
        <f>(H142/Population_Tables!U8)*Population_Tables!I8</f>
        <v>1063.2647715408134</v>
      </c>
      <c r="I90" s="253">
        <f>(I142/Population_Tables!V8)*Population_Tables!J8</f>
        <v>1673.354415374275</v>
      </c>
      <c r="J90" s="253">
        <f>(J142/Population_Tables!W8)*Population_Tables!K8</f>
        <v>0</v>
      </c>
      <c r="K90" s="253">
        <f>(K142/Population_Tables!X8)*Population_Tables!L8</f>
        <v>0</v>
      </c>
      <c r="N90" s="195">
        <f t="shared" si="9"/>
        <v>4978.7827142453916</v>
      </c>
      <c r="O90" s="195">
        <f t="shared" si="11"/>
        <v>1063.2647715408134</v>
      </c>
      <c r="P90" s="195">
        <f t="shared" si="10"/>
        <v>173.03584665536212</v>
      </c>
      <c r="Q90" s="195">
        <f t="shared" si="12"/>
        <v>6215.0833324415671</v>
      </c>
      <c r="R90" s="199">
        <f t="shared" si="13"/>
        <v>0.8010806047051825</v>
      </c>
      <c r="U90" s="200">
        <f t="shared" si="18"/>
        <v>-1.1306859330943553E-2</v>
      </c>
      <c r="V90" s="195">
        <f t="shared" si="14"/>
        <v>0</v>
      </c>
      <c r="W90" s="200">
        <f t="shared" si="14"/>
        <v>0</v>
      </c>
      <c r="X90" s="195">
        <f t="shared" si="17"/>
        <v>-1.1306859330943553E-2</v>
      </c>
      <c r="Y90" s="199">
        <f t="shared" si="16"/>
        <v>1</v>
      </c>
      <c r="AC90" s="251">
        <f t="shared" si="15"/>
        <v>0.62792957297438168</v>
      </c>
    </row>
    <row r="91" spans="1:35" ht="15.6" x14ac:dyDescent="0.3">
      <c r="A91" s="201">
        <v>2020</v>
      </c>
      <c r="B91" s="253">
        <f>(B143/Population_Tables!O9)*Population_Tables!C9</f>
        <v>4857.0108935849976</v>
      </c>
      <c r="C91" s="253">
        <f>(C143/Population_Tables!P9)*Population_Tables!D9</f>
        <v>0</v>
      </c>
      <c r="D91" s="253">
        <f>(D143/Population_Tables!Q9)*Population_Tables!E9</f>
        <v>0</v>
      </c>
      <c r="E91" s="253">
        <f>(E143/Population_Tables!R9)*Population_Tables!F9</f>
        <v>4103.6124865486963</v>
      </c>
      <c r="F91" s="253">
        <f>(F143/Population_Tables!S9)*Population_Tables!G9</f>
        <v>1978.4276924734238</v>
      </c>
      <c r="G91" s="253">
        <f>(G143/Population_Tables!T9)*Population_Tables!H9</f>
        <v>172.94915510126211</v>
      </c>
      <c r="H91" s="253">
        <f>(H143/Population_Tables!U9)*Population_Tables!I9</f>
        <v>1056.5865164215754</v>
      </c>
      <c r="I91" s="253">
        <f>(I143/Population_Tables!V9)*Population_Tables!J9</f>
        <v>1683.648933318289</v>
      </c>
      <c r="J91" s="253">
        <f>(J143/Population_Tables!W9)*Population_Tables!K9</f>
        <v>0</v>
      </c>
      <c r="K91" s="253">
        <f>(K143/Population_Tables!X9)*Population_Tables!L9</f>
        <v>0</v>
      </c>
      <c r="L91" s="202"/>
      <c r="M91" s="202"/>
      <c r="N91" s="195">
        <f t="shared" si="9"/>
        <v>5025.4536626005447</v>
      </c>
      <c r="O91" s="195">
        <f t="shared" si="11"/>
        <v>1056.5865164215754</v>
      </c>
      <c r="P91" s="195">
        <f t="shared" si="10"/>
        <v>172.94915510126211</v>
      </c>
      <c r="Q91" s="195">
        <f t="shared" si="12"/>
        <v>6254.9893341233828</v>
      </c>
      <c r="R91" s="203">
        <f t="shared" si="13"/>
        <v>0.80343121213408852</v>
      </c>
      <c r="S91" s="202"/>
      <c r="T91" s="202"/>
      <c r="U91" s="204">
        <f>N91-N143</f>
        <v>-1.1044726590625942E-2</v>
      </c>
      <c r="V91" s="195">
        <f t="shared" si="14"/>
        <v>0</v>
      </c>
      <c r="W91" s="204">
        <f t="shared" si="14"/>
        <v>0</v>
      </c>
      <c r="X91" s="195">
        <f t="shared" si="17"/>
        <v>-1.1044726590625942E-2</v>
      </c>
      <c r="Y91" s="205">
        <f>U91/X91</f>
        <v>1</v>
      </c>
      <c r="AC91" s="251">
        <f t="shared" si="15"/>
        <v>0.63446584287598962</v>
      </c>
    </row>
    <row r="92" spans="1:35" ht="15.6" x14ac:dyDescent="0.3">
      <c r="A92" s="206">
        <v>2021</v>
      </c>
      <c r="B92" s="253">
        <f>(B144/Population_Tables!O10)*Population_Tables!C10</f>
        <v>4934.9330989995779</v>
      </c>
      <c r="C92" s="253">
        <f>(C144/Population_Tables!P10)*Population_Tables!D10</f>
        <v>0</v>
      </c>
      <c r="D92" s="253">
        <f>(D144/Population_Tables!Q10)*Population_Tables!E10</f>
        <v>0</v>
      </c>
      <c r="E92" s="253">
        <f>(E144/Population_Tables!R10)*Population_Tables!F10</f>
        <v>4114.7169621125422</v>
      </c>
      <c r="F92" s="253">
        <f>(F144/Population_Tables!S10)*Population_Tables!G10</f>
        <v>2014.430916212666</v>
      </c>
      <c r="G92" s="253">
        <f>(G144/Population_Tables!T10)*Population_Tables!H10</f>
        <v>173.16287164878514</v>
      </c>
      <c r="H92" s="253">
        <f>(H144/Population_Tables!U10)*Population_Tables!I10</f>
        <v>1050.4064818654604</v>
      </c>
      <c r="I92" s="253">
        <f>(I144/Population_Tables!V10)*Population_Tables!J10</f>
        <v>1695.606644031918</v>
      </c>
      <c r="J92" s="253">
        <f>(J144/Population_Tables!W10)*Population_Tables!K10</f>
        <v>0</v>
      </c>
      <c r="K92" s="253">
        <f>(K144/Population_Tables!X10)*Population_Tables!L10</f>
        <v>0</v>
      </c>
      <c r="L92" s="170"/>
      <c r="M92" s="170"/>
      <c r="N92" s="195">
        <f t="shared" si="9"/>
        <v>5078.7413964597472</v>
      </c>
      <c r="O92" s="195">
        <f t="shared" si="11"/>
        <v>1050.4064818654604</v>
      </c>
      <c r="P92" s="195">
        <f t="shared" si="10"/>
        <v>173.16287164878514</v>
      </c>
      <c r="Q92" s="195">
        <f t="shared" si="12"/>
        <v>6302.3107499739926</v>
      </c>
      <c r="R92" s="196">
        <f t="shared" si="13"/>
        <v>0.80585385233197293</v>
      </c>
      <c r="S92" s="170"/>
      <c r="T92" s="170"/>
      <c r="U92" s="195">
        <f t="shared" si="18"/>
        <v>6.5030630898272648</v>
      </c>
      <c r="V92" s="195">
        <f t="shared" si="14"/>
        <v>1.1010932605452126</v>
      </c>
      <c r="W92" s="195">
        <f t="shared" si="14"/>
        <v>0.32731302042341781</v>
      </c>
      <c r="X92" s="195">
        <f t="shared" si="17"/>
        <v>7.9314693707958952</v>
      </c>
      <c r="Y92" s="207">
        <f t="shared" si="16"/>
        <v>0.81990647455210497</v>
      </c>
      <c r="AC92" s="251">
        <f t="shared" si="15"/>
        <v>0.78581572491420004</v>
      </c>
    </row>
    <row r="93" spans="1:35" ht="15.6" x14ac:dyDescent="0.3">
      <c r="A93" s="206">
        <v>2022</v>
      </c>
      <c r="B93" s="253">
        <f>(B145/Population_Tables!O11)*Population_Tables!C11</f>
        <v>5009.2784956767346</v>
      </c>
      <c r="C93" s="253">
        <f>(C145/Population_Tables!P11)*Population_Tables!D11</f>
        <v>0</v>
      </c>
      <c r="D93" s="253">
        <f>(D145/Population_Tables!Q11)*Population_Tables!E11</f>
        <v>0</v>
      </c>
      <c r="E93" s="253">
        <f>(E145/Population_Tables!R11)*Population_Tables!F11</f>
        <v>4126.7922182165439</v>
      </c>
      <c r="F93" s="253">
        <f>(F145/Population_Tables!S11)*Population_Tables!G11</f>
        <v>2051.0576742202993</v>
      </c>
      <c r="G93" s="253">
        <f>(G145/Population_Tables!T11)*Population_Tables!H11</f>
        <v>173.35951095515261</v>
      </c>
      <c r="H93" s="253">
        <f>(H145/Population_Tables!U11)*Population_Tables!I11</f>
        <v>1043.8978099588544</v>
      </c>
      <c r="I93" s="253">
        <f>(I145/Population_Tables!V11)*Population_Tables!J11</f>
        <v>1708.0901140472706</v>
      </c>
      <c r="J93" s="253">
        <f>(J145/Population_Tables!W11)*Population_Tables!K11</f>
        <v>0</v>
      </c>
      <c r="K93" s="253">
        <f>(K145/Population_Tables!X11)*Population_Tables!L11</f>
        <v>0</v>
      </c>
      <c r="L93" s="170"/>
      <c r="M93" s="170"/>
      <c r="N93" s="195">
        <f t="shared" si="9"/>
        <v>5133.9520824779884</v>
      </c>
      <c r="O93" s="195">
        <f t="shared" si="11"/>
        <v>1043.8978099588544</v>
      </c>
      <c r="P93" s="195">
        <f t="shared" si="10"/>
        <v>173.35951095515261</v>
      </c>
      <c r="Q93" s="195">
        <f t="shared" si="12"/>
        <v>6351.2094033919948</v>
      </c>
      <c r="R93" s="196">
        <f t="shared" si="13"/>
        <v>0.80834243628246538</v>
      </c>
      <c r="S93" s="170"/>
      <c r="T93" s="170"/>
      <c r="U93" s="195">
        <f t="shared" si="18"/>
        <v>14.880428521319118</v>
      </c>
      <c r="V93" s="195">
        <f t="shared" si="14"/>
        <v>2.4373560597839514</v>
      </c>
      <c r="W93" s="195">
        <f t="shared" si="14"/>
        <v>0.66427984088474545</v>
      </c>
      <c r="X93" s="195">
        <f t="shared" si="17"/>
        <v>17.982064421987815</v>
      </c>
      <c r="Y93" s="207">
        <f t="shared" si="16"/>
        <v>0.82751502675765476</v>
      </c>
      <c r="AC93" s="251">
        <f t="shared" si="15"/>
        <v>0.78577015800026462</v>
      </c>
    </row>
    <row r="94" spans="1:35" ht="15.6" x14ac:dyDescent="0.3">
      <c r="A94" s="206">
        <v>2023</v>
      </c>
      <c r="B94" s="253">
        <f>(B146/Population_Tables!O12)*Population_Tables!C12</f>
        <v>5084.9530749222304</v>
      </c>
      <c r="C94" s="253">
        <f>(C146/Population_Tables!P12)*Population_Tables!D12</f>
        <v>0</v>
      </c>
      <c r="D94" s="253">
        <f>(D146/Population_Tables!Q12)*Population_Tables!E12</f>
        <v>0</v>
      </c>
      <c r="E94" s="253">
        <f>(E146/Population_Tables!R12)*Population_Tables!F12</f>
        <v>4139.5195777821564</v>
      </c>
      <c r="F94" s="253">
        <f>(F146/Population_Tables!S12)*Population_Tables!G12</f>
        <v>2088.2756897519489</v>
      </c>
      <c r="G94" s="253">
        <f>(G146/Population_Tables!T12)*Population_Tables!H12</f>
        <v>173.54741207320006</v>
      </c>
      <c r="H94" s="253">
        <f>(H146/Population_Tables!U12)*Population_Tables!I12</f>
        <v>1037.0484562720583</v>
      </c>
      <c r="I94" s="253">
        <f>(I146/Population_Tables!V12)*Population_Tables!J12</f>
        <v>1720.9167094421821</v>
      </c>
      <c r="J94" s="253">
        <f>(J146/Population_Tables!W12)*Population_Tables!K12</f>
        <v>0</v>
      </c>
      <c r="K94" s="253">
        <f>(K146/Population_Tables!X12)*Population_Tables!L12</f>
        <v>0</v>
      </c>
      <c r="L94" s="170"/>
      <c r="M94" s="170"/>
      <c r="N94" s="195">
        <f t="shared" si="9"/>
        <v>5190.7468112620472</v>
      </c>
      <c r="O94" s="195">
        <f t="shared" si="11"/>
        <v>1037.0484562720583</v>
      </c>
      <c r="P94" s="195">
        <f t="shared" si="10"/>
        <v>173.54741207320006</v>
      </c>
      <c r="Q94" s="195">
        <f t="shared" si="12"/>
        <v>6401.3426796073054</v>
      </c>
      <c r="R94" s="196">
        <f t="shared" si="13"/>
        <v>0.81088407089940029</v>
      </c>
      <c r="S94" s="170"/>
      <c r="T94" s="170"/>
      <c r="U94" s="195">
        <f>N94-N146</f>
        <v>24.8253874510674</v>
      </c>
      <c r="V94" s="195">
        <f t="shared" si="14"/>
        <v>3.9576781597786521</v>
      </c>
      <c r="W94" s="195">
        <f t="shared" si="14"/>
        <v>1.019065636612595</v>
      </c>
      <c r="X94" s="195">
        <f t="shared" si="17"/>
        <v>29.802131247458647</v>
      </c>
      <c r="Y94" s="207">
        <f t="shared" si="16"/>
        <v>0.83300711767667168</v>
      </c>
      <c r="AC94" s="251">
        <f t="shared" si="15"/>
        <v>0.78814727869347134</v>
      </c>
    </row>
    <row r="95" spans="1:35" ht="15.6" x14ac:dyDescent="0.3">
      <c r="A95" s="206">
        <v>2024</v>
      </c>
      <c r="B95" s="253">
        <f>(B147/Population_Tables!O13)*Population_Tables!C13</f>
        <v>5161.8147420496098</v>
      </c>
      <c r="C95" s="253">
        <f>(C147/Population_Tables!P13)*Population_Tables!D13</f>
        <v>0</v>
      </c>
      <c r="D95" s="253">
        <f>(D147/Population_Tables!Q13)*Population_Tables!E13</f>
        <v>0</v>
      </c>
      <c r="E95" s="253">
        <f>(E147/Population_Tables!R13)*Population_Tables!F13</f>
        <v>4152.6540467488567</v>
      </c>
      <c r="F95" s="253">
        <f>(F147/Population_Tables!S13)*Population_Tables!G13</f>
        <v>2126.1091138609527</v>
      </c>
      <c r="G95" s="253">
        <f>(G147/Population_Tables!T13)*Population_Tables!H13</f>
        <v>173.74654185840777</v>
      </c>
      <c r="H95" s="253">
        <f>(H147/Population_Tables!U13)*Population_Tables!I13</f>
        <v>1029.8562128317556</v>
      </c>
      <c r="I95" s="253">
        <f>(I147/Population_Tables!V13)*Population_Tables!J13</f>
        <v>1733.9515506647133</v>
      </c>
      <c r="J95" s="253">
        <f>(J147/Population_Tables!W13)*Population_Tables!K13</f>
        <v>0</v>
      </c>
      <c r="K95" s="253">
        <f>(K147/Population_Tables!X13)*Population_Tables!L13</f>
        <v>0</v>
      </c>
      <c r="L95" s="170"/>
      <c r="M95" s="170"/>
      <c r="N95" s="195">
        <f t="shared" si="9"/>
        <v>5248.906947778054</v>
      </c>
      <c r="O95" s="195">
        <f t="shared" si="11"/>
        <v>1029.8562128317556</v>
      </c>
      <c r="P95" s="195">
        <f t="shared" si="10"/>
        <v>173.74654185840777</v>
      </c>
      <c r="Q95" s="195">
        <f t="shared" si="12"/>
        <v>6452.5097024682173</v>
      </c>
      <c r="R95" s="196">
        <f t="shared" si="13"/>
        <v>0.81346750176450555</v>
      </c>
      <c r="S95" s="170"/>
      <c r="T95" s="170"/>
      <c r="U95" s="195">
        <f t="shared" si="18"/>
        <v>36.162550121608547</v>
      </c>
      <c r="V95" s="195">
        <f t="shared" si="14"/>
        <v>5.6207857789752325</v>
      </c>
      <c r="W95" s="195">
        <f t="shared" si="14"/>
        <v>1.4114633854803458</v>
      </c>
      <c r="X95" s="195">
        <f t="shared" si="17"/>
        <v>43.194799286064125</v>
      </c>
      <c r="Y95" s="207">
        <f t="shared" si="16"/>
        <v>0.83719685516111697</v>
      </c>
      <c r="AC95" s="251">
        <f t="shared" si="15"/>
        <v>0.79215308591784506</v>
      </c>
    </row>
    <row r="96" spans="1:35" ht="15.6" x14ac:dyDescent="0.3">
      <c r="A96" s="206">
        <v>2025</v>
      </c>
      <c r="B96" s="253">
        <f>(B148/Population_Tables!O14)*Population_Tables!C14</f>
        <v>5239.7564906874559</v>
      </c>
      <c r="C96" s="253">
        <f>(C148/Population_Tables!P14)*Population_Tables!D14</f>
        <v>0</v>
      </c>
      <c r="D96" s="253">
        <f>(D148/Population_Tables!Q14)*Population_Tables!E14</f>
        <v>0</v>
      </c>
      <c r="E96" s="253">
        <f>(E148/Population_Tables!R14)*Population_Tables!F14</f>
        <v>4166.0104710752958</v>
      </c>
      <c r="F96" s="253">
        <f>(F148/Population_Tables!S14)*Population_Tables!G14</f>
        <v>2164.5778703376782</v>
      </c>
      <c r="G96" s="253">
        <f>(G148/Population_Tables!T14)*Population_Tables!H14</f>
        <v>173.97049504957289</v>
      </c>
      <c r="H96" s="253">
        <f>(H148/Population_Tables!U14)*Population_Tables!I14</f>
        <v>1022.3283158832343</v>
      </c>
      <c r="I96" s="253">
        <f>(I148/Population_Tables!V14)*Population_Tables!J14</f>
        <v>1747.0942697392059</v>
      </c>
      <c r="J96" s="253">
        <f>(J148/Population_Tables!W14)*Population_Tables!K14</f>
        <v>0</v>
      </c>
      <c r="K96" s="253">
        <f>(K148/Population_Tables!X14)*Population_Tables!L14</f>
        <v>0</v>
      </c>
      <c r="L96" s="170"/>
      <c r="M96" s="170"/>
      <c r="N96" s="195">
        <f t="shared" si="9"/>
        <v>5308.2600255297393</v>
      </c>
      <c r="O96" s="195">
        <f t="shared" si="11"/>
        <v>1022.3283158832343</v>
      </c>
      <c r="P96" s="195">
        <f t="shared" si="10"/>
        <v>173.97049504957289</v>
      </c>
      <c r="Q96" s="195">
        <f t="shared" si="12"/>
        <v>6504.5588364625464</v>
      </c>
      <c r="R96" s="196">
        <f t="shared" si="13"/>
        <v>0.8160830209995602</v>
      </c>
      <c r="S96" s="170"/>
      <c r="T96" s="170"/>
      <c r="U96" s="195">
        <f t="shared" si="18"/>
        <v>48.762695313081167</v>
      </c>
      <c r="V96" s="195">
        <f t="shared" si="14"/>
        <v>7.3948493544236271</v>
      </c>
      <c r="W96" s="195">
        <f t="shared" si="14"/>
        <v>1.8548939486782103</v>
      </c>
      <c r="X96" s="195">
        <f t="shared" si="17"/>
        <v>58.012438616183005</v>
      </c>
      <c r="Y96" s="207">
        <f t="shared" si="16"/>
        <v>0.84055586140242766</v>
      </c>
      <c r="AC96" s="251">
        <f t="shared" si="15"/>
        <v>0.7972061639560426</v>
      </c>
    </row>
    <row r="97" spans="1:29" ht="15.6" x14ac:dyDescent="0.3">
      <c r="A97" s="206">
        <v>2026</v>
      </c>
      <c r="B97" s="253">
        <f>(B149/Population_Tables!O15)*Population_Tables!C15</f>
        <v>5318.6865827039956</v>
      </c>
      <c r="C97" s="253">
        <f>(C149/Population_Tables!P15)*Population_Tables!D15</f>
        <v>0</v>
      </c>
      <c r="D97" s="253">
        <f>(D149/Population_Tables!Q15)*Population_Tables!E15</f>
        <v>0</v>
      </c>
      <c r="E97" s="253">
        <f>(E149/Population_Tables!R15)*Population_Tables!F15</f>
        <v>4179.4574424076318</v>
      </c>
      <c r="F97" s="253">
        <f>(F149/Population_Tables!S15)*Population_Tables!G15</f>
        <v>2203.6798341847557</v>
      </c>
      <c r="G97" s="253">
        <f>(G149/Population_Tables!T15)*Population_Tables!H15</f>
        <v>174.21835285193623</v>
      </c>
      <c r="H97" s="253">
        <f>(H149/Population_Tables!U15)*Population_Tables!I15</f>
        <v>1014.4814318160126</v>
      </c>
      <c r="I97" s="253">
        <f>(I149/Population_Tables!V15)*Population_Tables!J15</f>
        <v>1760.2712714735917</v>
      </c>
      <c r="J97" s="253">
        <f>(J149/Population_Tables!W15)*Population_Tables!K15</f>
        <v>0</v>
      </c>
      <c r="K97" s="253">
        <f>(K149/Population_Tables!X15)*Population_Tables!L15</f>
        <v>0</v>
      </c>
      <c r="L97" s="170"/>
      <c r="M97" s="170"/>
      <c r="N97" s="195">
        <f t="shared" si="9"/>
        <v>5368.6558447763755</v>
      </c>
      <c r="O97" s="195">
        <f t="shared" si="11"/>
        <v>1014.4814318160126</v>
      </c>
      <c r="P97" s="195">
        <f t="shared" si="10"/>
        <v>174.21835285193623</v>
      </c>
      <c r="Q97" s="195">
        <f t="shared" si="12"/>
        <v>6557.3556294443242</v>
      </c>
      <c r="R97" s="196">
        <f t="shared" si="13"/>
        <v>0.81872269069404124</v>
      </c>
      <c r="S97" s="170"/>
      <c r="T97" s="170"/>
      <c r="U97" s="195">
        <f>N97-N149</f>
        <v>62.51886856116198</v>
      </c>
      <c r="V97" s="195">
        <f t="shared" si="14"/>
        <v>9.2574694674038938</v>
      </c>
      <c r="W97" s="195">
        <f t="shared" si="14"/>
        <v>2.34826465384009</v>
      </c>
      <c r="X97" s="195">
        <f t="shared" si="17"/>
        <v>74.124602682405964</v>
      </c>
      <c r="Y97" s="207">
        <f t="shared" si="16"/>
        <v>0.843429391844839</v>
      </c>
      <c r="AC97" s="251">
        <f t="shared" si="15"/>
        <v>0.80281877083277942</v>
      </c>
    </row>
    <row r="98" spans="1:29" ht="15.6" x14ac:dyDescent="0.3">
      <c r="A98" s="206">
        <v>2027</v>
      </c>
      <c r="B98" s="253">
        <f>(B150/Population_Tables!O16)*Population_Tables!C16</f>
        <v>5398.5281175603895</v>
      </c>
      <c r="C98" s="253">
        <f>(C150/Population_Tables!P16)*Population_Tables!D16</f>
        <v>0</v>
      </c>
      <c r="D98" s="253">
        <f>(D150/Population_Tables!Q16)*Population_Tables!E16</f>
        <v>0</v>
      </c>
      <c r="E98" s="253">
        <f>(E150/Population_Tables!R16)*Population_Tables!F16</f>
        <v>4192.9192197872808</v>
      </c>
      <c r="F98" s="253">
        <f>(F150/Population_Tables!S16)*Population_Tables!G16</f>
        <v>2243.3895558748977</v>
      </c>
      <c r="G98" s="253">
        <f>(G150/Population_Tables!T16)*Population_Tables!H16</f>
        <v>174.4800883664187</v>
      </c>
      <c r="H98" s="253">
        <f>(H150/Population_Tables!U16)*Population_Tables!I16</f>
        <v>1006.3410173874541</v>
      </c>
      <c r="I98" s="253">
        <f>(I150/Population_Tables!V16)*Population_Tables!J16</f>
        <v>1773.4418201256694</v>
      </c>
      <c r="J98" s="253">
        <f>(J150/Population_Tables!W16)*Population_Tables!K16</f>
        <v>0</v>
      </c>
      <c r="K98" s="253">
        <f>(K150/Population_Tables!X16)*Population_Tables!L16</f>
        <v>0</v>
      </c>
      <c r="L98" s="170"/>
      <c r="M98" s="170"/>
      <c r="N98" s="195">
        <f t="shared" si="9"/>
        <v>5429.9677582747245</v>
      </c>
      <c r="O98" s="195">
        <f t="shared" si="11"/>
        <v>1006.3410173874541</v>
      </c>
      <c r="P98" s="195">
        <f t="shared" si="10"/>
        <v>174.4800883664187</v>
      </c>
      <c r="Q98" s="195">
        <f t="shared" si="12"/>
        <v>6610.7888640285973</v>
      </c>
      <c r="R98" s="196">
        <f t="shared" si="13"/>
        <v>0.8213796976365263</v>
      </c>
      <c r="S98" s="170"/>
      <c r="T98" s="170"/>
      <c r="U98" s="195">
        <f t="shared" si="18"/>
        <v>77.347667899019143</v>
      </c>
      <c r="V98" s="195">
        <f t="shared" si="14"/>
        <v>11.19503706704154</v>
      </c>
      <c r="W98" s="195">
        <f t="shared" si="14"/>
        <v>2.881374724279965</v>
      </c>
      <c r="X98" s="195">
        <f t="shared" si="17"/>
        <v>91.424079690340648</v>
      </c>
      <c r="Y98" s="207">
        <f t="shared" si="16"/>
        <v>0.84603168181731514</v>
      </c>
      <c r="AC98" s="251">
        <f t="shared" si="15"/>
        <v>0.80865374843440885</v>
      </c>
    </row>
    <row r="99" spans="1:29" ht="15.6" x14ac:dyDescent="0.3">
      <c r="A99" s="206">
        <v>2028</v>
      </c>
      <c r="B99" s="253">
        <f>(B151/Population_Tables!O17)*Population_Tables!C17</f>
        <v>5479.2526410066994</v>
      </c>
      <c r="C99" s="253">
        <f>(C151/Population_Tables!P17)*Population_Tables!D17</f>
        <v>0</v>
      </c>
      <c r="D99" s="253">
        <f>(D151/Population_Tables!Q17)*Population_Tables!E17</f>
        <v>0</v>
      </c>
      <c r="E99" s="253">
        <f>(E151/Population_Tables!R17)*Population_Tables!F17</f>
        <v>4206.3765559073117</v>
      </c>
      <c r="F99" s="253">
        <f>(F151/Population_Tables!S17)*Population_Tables!G17</f>
        <v>2283.6925585360336</v>
      </c>
      <c r="G99" s="253">
        <f>(G151/Population_Tables!T17)*Population_Tables!H17</f>
        <v>174.75070084797869</v>
      </c>
      <c r="H99" s="253">
        <f>(H151/Population_Tables!U17)*Population_Tables!I17</f>
        <v>997.93979164708742</v>
      </c>
      <c r="I99" s="253">
        <f>(I151/Population_Tables!V17)*Population_Tables!J17</f>
        <v>1786.6052245815938</v>
      </c>
      <c r="J99" s="253">
        <f>(J151/Population_Tables!W17)*Population_Tables!K17</f>
        <v>0</v>
      </c>
      <c r="K99" s="253">
        <f>(K151/Population_Tables!X17)*Population_Tables!L17</f>
        <v>0</v>
      </c>
      <c r="L99" s="170"/>
      <c r="M99" s="170"/>
      <c r="N99" s="195">
        <f t="shared" si="9"/>
        <v>5492.1293227962587</v>
      </c>
      <c r="O99" s="195">
        <f t="shared" si="11"/>
        <v>997.93979164708742</v>
      </c>
      <c r="P99" s="195">
        <f t="shared" si="10"/>
        <v>174.75070084797869</v>
      </c>
      <c r="Q99" s="195">
        <f t="shared" si="12"/>
        <v>6664.8198152913246</v>
      </c>
      <c r="R99" s="196">
        <f t="shared" si="13"/>
        <v>0.82404768245879323</v>
      </c>
      <c r="S99" s="170"/>
      <c r="T99" s="170"/>
      <c r="U99" s="195">
        <f t="shared" si="18"/>
        <v>93.225895374532229</v>
      </c>
      <c r="V99" s="195">
        <f t="shared" si="14"/>
        <v>13.201205394627209</v>
      </c>
      <c r="W99" s="195">
        <f t="shared" si="14"/>
        <v>3.4490495373493388</v>
      </c>
      <c r="X99" s="195">
        <f t="shared" si="17"/>
        <v>109.87615030650878</v>
      </c>
      <c r="Y99" s="207">
        <f t="shared" si="16"/>
        <v>0.84846343009352565</v>
      </c>
      <c r="AC99" s="251">
        <f t="shared" si="15"/>
        <v>0.81455818588063089</v>
      </c>
    </row>
    <row r="100" spans="1:29" ht="15.6" x14ac:dyDescent="0.3">
      <c r="A100" s="206">
        <v>2029</v>
      </c>
      <c r="B100" s="253">
        <f>(B152/Population_Tables!O18)*Population_Tables!C18</f>
        <v>5560.8509296405518</v>
      </c>
      <c r="C100" s="253">
        <f>(C152/Population_Tables!P18)*Population_Tables!D18</f>
        <v>0</v>
      </c>
      <c r="D100" s="253">
        <f>(D152/Population_Tables!Q18)*Population_Tables!E18</f>
        <v>0</v>
      </c>
      <c r="E100" s="253">
        <f>(E152/Population_Tables!R18)*Population_Tables!F18</f>
        <v>4219.8470537737285</v>
      </c>
      <c r="F100" s="253">
        <f>(F152/Population_Tables!S18)*Population_Tables!G18</f>
        <v>2324.5679591419225</v>
      </c>
      <c r="G100" s="253">
        <f>(G152/Population_Tables!T18)*Population_Tables!H18</f>
        <v>175.02325655944117</v>
      </c>
      <c r="H100" s="253">
        <f>(H152/Population_Tables!U18)*Population_Tables!I18</f>
        <v>989.31565058113881</v>
      </c>
      <c r="I100" s="253">
        <f>(I152/Population_Tables!V18)*Population_Tables!J18</f>
        <v>1799.7843402640556</v>
      </c>
      <c r="J100" s="253">
        <f>(J152/Population_Tables!W18)*Population_Tables!K18</f>
        <v>0</v>
      </c>
      <c r="K100" s="253">
        <f>(K152/Population_Tables!X18)*Population_Tables!L18</f>
        <v>0</v>
      </c>
      <c r="L100" s="170"/>
      <c r="M100" s="170"/>
      <c r="N100" s="195">
        <f t="shared" si="9"/>
        <v>5555.099362334513</v>
      </c>
      <c r="O100" s="195">
        <f t="shared" si="11"/>
        <v>989.31565058113881</v>
      </c>
      <c r="P100" s="195">
        <f t="shared" si="10"/>
        <v>175.02325655944117</v>
      </c>
      <c r="Q100" s="195">
        <f t="shared" si="12"/>
        <v>6719.438269475093</v>
      </c>
      <c r="R100" s="196">
        <f t="shared" si="13"/>
        <v>0.82672079711932001</v>
      </c>
      <c r="S100" s="170"/>
      <c r="T100" s="170"/>
      <c r="U100" s="195">
        <f t="shared" si="18"/>
        <v>110.15562025764029</v>
      </c>
      <c r="V100" s="195">
        <f t="shared" si="14"/>
        <v>15.274804628149241</v>
      </c>
      <c r="W100" s="195">
        <f t="shared" si="14"/>
        <v>4.0441814782662107</v>
      </c>
      <c r="X100" s="195">
        <f t="shared" si="17"/>
        <v>129.47460636405575</v>
      </c>
      <c r="Y100" s="207">
        <f t="shared" si="16"/>
        <v>0.85078938141665816</v>
      </c>
      <c r="AC100" s="251">
        <f t="shared" si="15"/>
        <v>0.82042221920340808</v>
      </c>
    </row>
    <row r="101" spans="1:29" ht="15.6" x14ac:dyDescent="0.3">
      <c r="A101" s="206">
        <v>2030</v>
      </c>
      <c r="B101" s="253">
        <f>(B153/Population_Tables!O19)*Population_Tables!C19</f>
        <v>5643.3152290435646</v>
      </c>
      <c r="C101" s="253">
        <f>(C153/Population_Tables!P19)*Population_Tables!D19</f>
        <v>0</v>
      </c>
      <c r="D101" s="253">
        <f>(D153/Population_Tables!Q19)*Population_Tables!E19</f>
        <v>0</v>
      </c>
      <c r="E101" s="253">
        <f>(E153/Population_Tables!R19)*Population_Tables!F19</f>
        <v>4233.3435360592121</v>
      </c>
      <c r="F101" s="253">
        <f>(F153/Population_Tables!S19)*Population_Tables!G19</f>
        <v>2366.0011972159177</v>
      </c>
      <c r="G101" s="253">
        <f>(G153/Population_Tables!T19)*Population_Tables!H19</f>
        <v>175.29233007582937</v>
      </c>
      <c r="H101" s="253">
        <f>(H153/Population_Tables!U19)*Population_Tables!I19</f>
        <v>980.50577034517096</v>
      </c>
      <c r="I101" s="253">
        <f>(I153/Population_Tables!V19)*Population_Tables!J19</f>
        <v>1812.9987492850551</v>
      </c>
      <c r="J101" s="253">
        <f>(J153/Population_Tables!W19)*Population_Tables!K19</f>
        <v>0</v>
      </c>
      <c r="K101" s="253">
        <f>(K153/Population_Tables!X19)*Population_Tables!L19</f>
        <v>0</v>
      </c>
      <c r="L101" s="170"/>
      <c r="M101" s="170"/>
      <c r="N101" s="195">
        <f t="shared" si="9"/>
        <v>5618.8389629299581</v>
      </c>
      <c r="O101" s="195">
        <f t="shared" si="11"/>
        <v>980.50577034517096</v>
      </c>
      <c r="P101" s="195">
        <f t="shared" si="10"/>
        <v>175.29233007582937</v>
      </c>
      <c r="Q101" s="195">
        <f t="shared" si="12"/>
        <v>6774.6370633509587</v>
      </c>
      <c r="R101" s="196">
        <f t="shared" si="13"/>
        <v>0.82939335500737443</v>
      </c>
      <c r="S101" s="170"/>
      <c r="T101" s="170"/>
      <c r="U101" s="195">
        <f t="shared" si="18"/>
        <v>128.14117386522048</v>
      </c>
      <c r="V101" s="195">
        <f t="shared" si="14"/>
        <v>17.413945114932176</v>
      </c>
      <c r="W101" s="195">
        <f t="shared" si="14"/>
        <v>4.6611712444469617</v>
      </c>
      <c r="X101" s="195">
        <f t="shared" si="17"/>
        <v>150.21629022459962</v>
      </c>
      <c r="Y101" s="207">
        <f t="shared" si="16"/>
        <v>0.85304445791882511</v>
      </c>
      <c r="AC101" s="251">
        <f t="shared" si="15"/>
        <v>0.82620138923615605</v>
      </c>
    </row>
    <row r="102" spans="1:29" ht="15.6" x14ac:dyDescent="0.3">
      <c r="A102" s="206">
        <v>2031</v>
      </c>
      <c r="B102" s="253">
        <f>(B154/Population_Tables!O20)*Population_Tables!C20</f>
        <v>5718.2461535847933</v>
      </c>
      <c r="C102" s="253">
        <f>(C154/Population_Tables!P20)*Population_Tables!D20</f>
        <v>0</v>
      </c>
      <c r="D102" s="253">
        <f>(D154/Population_Tables!Q20)*Population_Tables!E20</f>
        <v>0</v>
      </c>
      <c r="E102" s="253">
        <f>(E154/Population_Tables!R20)*Population_Tables!F20</f>
        <v>4246.8248070386417</v>
      </c>
      <c r="F102" s="253">
        <f>(F154/Population_Tables!S20)*Population_Tables!G20</f>
        <v>2407.9884281241375</v>
      </c>
      <c r="G102" s="253">
        <f>(G154/Population_Tables!T20)*Population_Tables!H20</f>
        <v>175.55648272227188</v>
      </c>
      <c r="H102" s="253">
        <f>(H154/Population_Tables!U20)*Population_Tables!I20</f>
        <v>971.54066521411619</v>
      </c>
      <c r="I102" s="253">
        <f>(I154/Population_Tables!V20)*Population_Tables!J20</f>
        <v>1826.2276941241107</v>
      </c>
      <c r="J102" s="253">
        <f>(J154/Population_Tables!W20)*Population_Tables!K20</f>
        <v>0</v>
      </c>
      <c r="K102" s="253">
        <f>(K154/Population_Tables!X20)*Population_Tables!L20</f>
        <v>0</v>
      </c>
      <c r="L102" s="170"/>
      <c r="M102" s="170"/>
      <c r="N102" s="195">
        <f t="shared" si="9"/>
        <v>5683.2725699486627</v>
      </c>
      <c r="O102" s="195">
        <f t="shared" si="11"/>
        <v>971.54066521411619</v>
      </c>
      <c r="P102" s="195">
        <f t="shared" si="10"/>
        <v>175.55648272227188</v>
      </c>
      <c r="Q102" s="195">
        <f t="shared" si="12"/>
        <v>6830.3697178850507</v>
      </c>
      <c r="R102" s="196">
        <f t="shared" si="13"/>
        <v>0.83205928883574787</v>
      </c>
      <c r="S102" s="170"/>
      <c r="T102" s="170"/>
      <c r="U102" s="195">
        <f t="shared" si="18"/>
        <v>147.15024683974752</v>
      </c>
      <c r="V102" s="195">
        <f t="shared" si="14"/>
        <v>19.610075321670479</v>
      </c>
      <c r="W102" s="195">
        <f t="shared" si="14"/>
        <v>5.2984062834131862</v>
      </c>
      <c r="X102" s="195">
        <f t="shared" si="17"/>
        <v>172.05872844483119</v>
      </c>
      <c r="Y102" s="207">
        <f t="shared" si="16"/>
        <v>0.85523267648074996</v>
      </c>
      <c r="AC102" s="251">
        <f t="shared" si="15"/>
        <v>0.83070012096869428</v>
      </c>
    </row>
    <row r="103" spans="1:29" ht="15.6" x14ac:dyDescent="0.3">
      <c r="A103" s="206">
        <v>2032</v>
      </c>
      <c r="B103" s="253">
        <f>(B155/Population_Tables!O21)*Population_Tables!C21</f>
        <v>5793.9156836892043</v>
      </c>
      <c r="C103" s="253">
        <f>(C155/Population_Tables!P21)*Population_Tables!D21</f>
        <v>0</v>
      </c>
      <c r="D103" s="253">
        <f>(D155/Population_Tables!Q21)*Population_Tables!E21</f>
        <v>0</v>
      </c>
      <c r="E103" s="253">
        <f>(E155/Population_Tables!R21)*Population_Tables!F21</f>
        <v>4260.1724267262816</v>
      </c>
      <c r="F103" s="253">
        <f>(F155/Population_Tables!S21)*Population_Tables!G21</f>
        <v>2450.4916959987027</v>
      </c>
      <c r="G103" s="253">
        <f>(G155/Population_Tables!T21)*Population_Tables!H21</f>
        <v>175.81348586218331</v>
      </c>
      <c r="H103" s="253">
        <f>(H155/Population_Tables!U21)*Population_Tables!I21</f>
        <v>962.43920179995473</v>
      </c>
      <c r="I103" s="253">
        <f>(I155/Population_Tables!V21)*Population_Tables!J21</f>
        <v>1839.4058335907885</v>
      </c>
      <c r="J103" s="253">
        <f>(J155/Population_Tables!W21)*Population_Tables!K21</f>
        <v>0</v>
      </c>
      <c r="K103" s="253">
        <f>(K155/Population_Tables!X21)*Population_Tables!L21</f>
        <v>0</v>
      </c>
      <c r="L103" s="170"/>
      <c r="M103" s="170"/>
      <c r="N103" s="195">
        <f t="shared" si="9"/>
        <v>5748.2249209250294</v>
      </c>
      <c r="O103" s="195">
        <f t="shared" si="11"/>
        <v>962.43920179995473</v>
      </c>
      <c r="P103" s="195">
        <f t="shared" si="10"/>
        <v>175.81348586218331</v>
      </c>
      <c r="Q103" s="195">
        <f t="shared" si="12"/>
        <v>6886.4776085871672</v>
      </c>
      <c r="R103" s="196">
        <f t="shared" si="13"/>
        <v>0.83471191625704533</v>
      </c>
      <c r="S103" s="170"/>
      <c r="T103" s="170"/>
      <c r="U103" s="195">
        <f t="shared" si="18"/>
        <v>167.05082199203025</v>
      </c>
      <c r="V103" s="195">
        <f t="shared" si="14"/>
        <v>21.842996052106173</v>
      </c>
      <c r="W103" s="195">
        <f t="shared" si="14"/>
        <v>5.953484080972629</v>
      </c>
      <c r="X103" s="195">
        <f t="shared" si="17"/>
        <v>194.84730212510905</v>
      </c>
      <c r="Y103" s="207">
        <f t="shared" si="16"/>
        <v>0.85734223758853467</v>
      </c>
      <c r="AC103" s="251">
        <f t="shared" si="15"/>
        <v>0.83520203442467678</v>
      </c>
    </row>
    <row r="104" spans="1:29" ht="15.6" x14ac:dyDescent="0.3">
      <c r="A104" s="206">
        <v>2033</v>
      </c>
      <c r="B104" s="253">
        <f>(B156/Population_Tables!O22)*Population_Tables!C22</f>
        <v>5870.0653752681892</v>
      </c>
      <c r="C104" s="253">
        <f>(C156/Population_Tables!P22)*Population_Tables!D22</f>
        <v>0</v>
      </c>
      <c r="D104" s="253">
        <f>(D156/Population_Tables!Q22)*Population_Tables!E22</f>
        <v>0</v>
      </c>
      <c r="E104" s="253">
        <f>(E156/Population_Tables!R22)*Population_Tables!F22</f>
        <v>4273.1839949414398</v>
      </c>
      <c r="F104" s="253">
        <f>(F156/Population_Tables!S22)*Population_Tables!G22</f>
        <v>2493.3947249569619</v>
      </c>
      <c r="G104" s="253">
        <f>(G156/Population_Tables!T22)*Population_Tables!H22</f>
        <v>176.0550922397955</v>
      </c>
      <c r="H104" s="253">
        <f>(H156/Population_Tables!U22)*Population_Tables!I22</f>
        <v>953.20681699704357</v>
      </c>
      <c r="I104" s="253">
        <f>(I156/Population_Tables!V22)*Population_Tables!J22</f>
        <v>1852.4257688632272</v>
      </c>
      <c r="J104" s="253">
        <f>(J156/Population_Tables!W22)*Population_Tables!K22</f>
        <v>0</v>
      </c>
      <c r="K104" s="253">
        <f>(K156/Population_Tables!X22)*Population_Tables!L22</f>
        <v>0</v>
      </c>
      <c r="L104" s="170"/>
      <c r="M104" s="170"/>
      <c r="N104" s="195">
        <f t="shared" si="9"/>
        <v>5813.3719029013582</v>
      </c>
      <c r="O104" s="195">
        <f t="shared" si="11"/>
        <v>953.20681699704357</v>
      </c>
      <c r="P104" s="195">
        <f t="shared" si="10"/>
        <v>176.0550922397955</v>
      </c>
      <c r="Q104" s="195">
        <f t="shared" si="12"/>
        <v>6942.6338121381968</v>
      </c>
      <c r="R104" s="196">
        <f t="shared" si="13"/>
        <v>0.8373438755674415</v>
      </c>
      <c r="S104" s="170"/>
      <c r="T104" s="170"/>
      <c r="U104" s="195">
        <f t="shared" si="18"/>
        <v>187.56203164077397</v>
      </c>
      <c r="V104" s="195">
        <f t="shared" si="14"/>
        <v>24.079078392358269</v>
      </c>
      <c r="W104" s="195">
        <f t="shared" si="14"/>
        <v>6.617983503750196</v>
      </c>
      <c r="X104" s="195">
        <f t="shared" si="17"/>
        <v>218.25909353688243</v>
      </c>
      <c r="Y104" s="207">
        <f t="shared" si="16"/>
        <v>0.85935494645990029</v>
      </c>
      <c r="AC104" s="251">
        <f t="shared" si="15"/>
        <v>0.83975077483123706</v>
      </c>
    </row>
    <row r="105" spans="1:29" ht="15.6" x14ac:dyDescent="0.3">
      <c r="A105" s="206">
        <v>2034</v>
      </c>
      <c r="B105" s="253">
        <f>(B157/Population_Tables!O23)*Population_Tables!C23</f>
        <v>5946.3654697063375</v>
      </c>
      <c r="C105" s="253">
        <f>(C157/Population_Tables!P23)*Population_Tables!D23</f>
        <v>0</v>
      </c>
      <c r="D105" s="253">
        <f>(D157/Population_Tables!Q23)*Population_Tables!E23</f>
        <v>0</v>
      </c>
      <c r="E105" s="253">
        <f>(E157/Population_Tables!R23)*Population_Tables!F23</f>
        <v>4285.6096767176959</v>
      </c>
      <c r="F105" s="253">
        <f>(F157/Population_Tables!S23)*Population_Tables!G23</f>
        <v>2536.5510504611202</v>
      </c>
      <c r="G105" s="253">
        <f>(G157/Population_Tables!T23)*Population_Tables!H23</f>
        <v>176.27135781888256</v>
      </c>
      <c r="H105" s="253">
        <f>(H157/Population_Tables!U23)*Population_Tables!I23</f>
        <v>943.84229457949914</v>
      </c>
      <c r="I105" s="253">
        <f>(I157/Population_Tables!V23)*Population_Tables!J23</f>
        <v>1865.154424916773</v>
      </c>
      <c r="J105" s="253">
        <f>(J157/Population_Tables!W23)*Population_Tables!K23</f>
        <v>0</v>
      </c>
      <c r="K105" s="253">
        <f>(K157/Population_Tables!X23)*Population_Tables!L23</f>
        <v>0</v>
      </c>
      <c r="L105" s="170"/>
      <c r="M105" s="170"/>
      <c r="N105" s="195">
        <f t="shared" si="9"/>
        <v>5878.318432599317</v>
      </c>
      <c r="O105" s="195">
        <f t="shared" si="11"/>
        <v>943.84229457949914</v>
      </c>
      <c r="P105" s="195">
        <f t="shared" si="10"/>
        <v>176.27135781888256</v>
      </c>
      <c r="Q105" s="195">
        <f t="shared" si="12"/>
        <v>6998.4320849976984</v>
      </c>
      <c r="R105" s="196">
        <f t="shared" si="13"/>
        <v>0.83994791421931048</v>
      </c>
      <c r="S105" s="170"/>
      <c r="T105" s="170"/>
      <c r="U105" s="195">
        <f t="shared" si="18"/>
        <v>208.33203778405368</v>
      </c>
      <c r="V105" s="195">
        <f t="shared" si="14"/>
        <v>26.278040308305322</v>
      </c>
      <c r="W105" s="195">
        <f t="shared" si="14"/>
        <v>7.2817866379131146</v>
      </c>
      <c r="X105" s="195">
        <f t="shared" si="17"/>
        <v>241.89186473027212</v>
      </c>
      <c r="Y105" s="207">
        <f t="shared" si="16"/>
        <v>0.86126103503464158</v>
      </c>
      <c r="AC105" s="251">
        <f t="shared" si="15"/>
        <v>0.84437632788325545</v>
      </c>
    </row>
    <row r="106" spans="1:29" ht="15.6" x14ac:dyDescent="0.3">
      <c r="A106" s="206">
        <v>2035</v>
      </c>
      <c r="B106" s="253">
        <f>(B158/Population_Tables!O24)*Population_Tables!C24</f>
        <v>6022.5686086848282</v>
      </c>
      <c r="C106" s="253">
        <f>(C158/Population_Tables!P24)*Population_Tables!D24</f>
        <v>0</v>
      </c>
      <c r="D106" s="253">
        <f>(D158/Population_Tables!Q24)*Population_Tables!E24</f>
        <v>0</v>
      </c>
      <c r="E106" s="253">
        <f>(E158/Population_Tables!R24)*Population_Tables!F24</f>
        <v>4297.2705960511603</v>
      </c>
      <c r="F106" s="253">
        <f>(F158/Population_Tables!S24)*Population_Tables!G24</f>
        <v>2579.8584927903162</v>
      </c>
      <c r="G106" s="253">
        <f>(G158/Population_Tables!T24)*Population_Tables!H24</f>
        <v>176.45523988750679</v>
      </c>
      <c r="H106" s="253">
        <f>(H158/Population_Tables!U24)*Population_Tables!I24</f>
        <v>934.35641786852216</v>
      </c>
      <c r="I106" s="253">
        <f>(I158/Population_Tables!V24)*Population_Tables!J24</f>
        <v>1877.4966640412176</v>
      </c>
      <c r="J106" s="253">
        <f>(J158/Population_Tables!W24)*Population_Tables!K24</f>
        <v>0</v>
      </c>
      <c r="K106" s="253">
        <f>(K158/Population_Tables!X24)*Population_Tables!L24</f>
        <v>0</v>
      </c>
      <c r="L106" s="170"/>
      <c r="M106" s="170"/>
      <c r="N106" s="195">
        <f t="shared" si="9"/>
        <v>5942.772670972955</v>
      </c>
      <c r="O106" s="195">
        <f t="shared" si="11"/>
        <v>934.35641786852216</v>
      </c>
      <c r="P106" s="195">
        <f t="shared" si="10"/>
        <v>176.45523988750679</v>
      </c>
      <c r="Q106" s="195">
        <f t="shared" si="12"/>
        <v>7053.5843287289836</v>
      </c>
      <c r="R106" s="196">
        <f t="shared" si="13"/>
        <v>0.84251812894165956</v>
      </c>
      <c r="S106" s="170"/>
      <c r="T106" s="170"/>
      <c r="U106" s="195">
        <f t="shared" si="18"/>
        <v>229.11224665232294</v>
      </c>
      <c r="V106" s="195">
        <f t="shared" si="14"/>
        <v>28.411599312909857</v>
      </c>
      <c r="W106" s="195">
        <f t="shared" si="14"/>
        <v>7.937676893916688</v>
      </c>
      <c r="X106" s="195">
        <f t="shared" si="17"/>
        <v>265.46152285914945</v>
      </c>
      <c r="Y106" s="207">
        <f t="shared" si="16"/>
        <v>0.86307139424453239</v>
      </c>
      <c r="AC106" s="251">
        <f t="shared" si="15"/>
        <v>0.84907304019533603</v>
      </c>
    </row>
    <row r="107" spans="1:29" ht="15.6" x14ac:dyDescent="0.3">
      <c r="A107" s="206">
        <v>2036</v>
      </c>
      <c r="B107" s="253">
        <f>(B159/Population_Tables!O25)*Population_Tables!C25</f>
        <v>6098.5564810411006</v>
      </c>
      <c r="C107" s="253">
        <f>(C159/Population_Tables!P25)*Population_Tables!D25</f>
        <v>0</v>
      </c>
      <c r="D107" s="253">
        <f>(D159/Population_Tables!Q25)*Population_Tables!E25</f>
        <v>0</v>
      </c>
      <c r="E107" s="253">
        <f>(E159/Population_Tables!R25)*Population_Tables!F25</f>
        <v>4308.0919696141091</v>
      </c>
      <c r="F107" s="253">
        <f>(F159/Population_Tables!S25)*Population_Tables!G25</f>
        <v>2623.279687582487</v>
      </c>
      <c r="G107" s="253">
        <f>(G159/Population_Tables!T25)*Population_Tables!H25</f>
        <v>176.60352076215838</v>
      </c>
      <c r="H107" s="253">
        <f>(H159/Population_Tables!U25)*Population_Tables!I25</f>
        <v>924.77661203807361</v>
      </c>
      <c r="I107" s="253">
        <f>(I159/Population_Tables!V25)*Population_Tables!J25</f>
        <v>1889.417643876254</v>
      </c>
      <c r="J107" s="253">
        <f>(J159/Population_Tables!W25)*Population_Tables!K25</f>
        <v>0</v>
      </c>
      <c r="K107" s="253">
        <f>(K159/Population_Tables!X25)*Population_Tables!L25</f>
        <v>0</v>
      </c>
      <c r="L107" s="170"/>
      <c r="M107" s="170"/>
      <c r="N107" s="195">
        <f t="shared" si="9"/>
        <v>6006.5950451585222</v>
      </c>
      <c r="O107" s="195">
        <f t="shared" si="11"/>
        <v>924.77661203807361</v>
      </c>
      <c r="P107" s="195">
        <f t="shared" si="10"/>
        <v>176.60352076215838</v>
      </c>
      <c r="Q107" s="195">
        <f t="shared" si="12"/>
        <v>7107.9751779587541</v>
      </c>
      <c r="R107" s="196">
        <f t="shared" si="13"/>
        <v>0.84505008737009646</v>
      </c>
      <c r="S107" s="170"/>
      <c r="T107" s="170"/>
      <c r="U107" s="195">
        <f t="shared" si="18"/>
        <v>249.80633065823986</v>
      </c>
      <c r="V107" s="195">
        <f t="shared" si="14"/>
        <v>30.468114771894761</v>
      </c>
      <c r="W107" s="195">
        <f t="shared" si="14"/>
        <v>8.582262710644244</v>
      </c>
      <c r="X107" s="195">
        <f t="shared" si="17"/>
        <v>288.85670814077889</v>
      </c>
      <c r="Y107" s="207">
        <f t="shared" si="16"/>
        <v>0.86481055699247522</v>
      </c>
      <c r="AC107" s="251">
        <f t="shared" si="15"/>
        <v>0.85380634112576392</v>
      </c>
    </row>
    <row r="108" spans="1:29" ht="15.6" x14ac:dyDescent="0.3">
      <c r="A108" s="206">
        <v>2037</v>
      </c>
      <c r="B108" s="253">
        <f>(B160/Population_Tables!O26)*Population_Tables!C26</f>
        <v>6174.3517124490618</v>
      </c>
      <c r="C108" s="253">
        <f>(C160/Population_Tables!P26)*Population_Tables!D26</f>
        <v>0</v>
      </c>
      <c r="D108" s="253">
        <f>(D160/Population_Tables!Q26)*Population_Tables!E26</f>
        <v>0</v>
      </c>
      <c r="E108" s="253">
        <f>(E160/Population_Tables!R26)*Population_Tables!F26</f>
        <v>4318.107773234934</v>
      </c>
      <c r="F108" s="253">
        <f>(F160/Population_Tables!S26)*Population_Tables!G26</f>
        <v>2666.8443874095924</v>
      </c>
      <c r="G108" s="253">
        <f>(G160/Population_Tables!T26)*Population_Tables!H26</f>
        <v>176.71744474059525</v>
      </c>
      <c r="H108" s="253">
        <f>(H160/Population_Tables!U26)*Population_Tables!I26</f>
        <v>915.14799937482474</v>
      </c>
      <c r="I108" s="253">
        <f>(I160/Population_Tables!V26)*Population_Tables!J26</f>
        <v>1900.9370532834257</v>
      </c>
      <c r="J108" s="253">
        <f>(J160/Population_Tables!W26)*Population_Tables!K26</f>
        <v>0</v>
      </c>
      <c r="K108" s="253">
        <f>(K160/Population_Tables!X26)*Population_Tables!L26</f>
        <v>0</v>
      </c>
      <c r="L108" s="170"/>
      <c r="M108" s="170"/>
      <c r="N108" s="195">
        <f t="shared" si="9"/>
        <v>6069.8041612697025</v>
      </c>
      <c r="O108" s="195">
        <f t="shared" si="11"/>
        <v>915.14799937482474</v>
      </c>
      <c r="P108" s="195">
        <f t="shared" si="10"/>
        <v>176.71744474059525</v>
      </c>
      <c r="Q108" s="195">
        <f t="shared" si="12"/>
        <v>7161.6696053851219</v>
      </c>
      <c r="R108" s="196">
        <f t="shared" si="13"/>
        <v>0.84754037755464096</v>
      </c>
      <c r="S108" s="170"/>
      <c r="T108" s="170"/>
      <c r="U108" s="195">
        <f t="shared" si="18"/>
        <v>270.47614119189348</v>
      </c>
      <c r="V108" s="195">
        <f t="shared" si="14"/>
        <v>32.453643163693528</v>
      </c>
      <c r="W108" s="195">
        <f t="shared" si="14"/>
        <v>9.2166145082467779</v>
      </c>
      <c r="X108" s="195">
        <f t="shared" si="17"/>
        <v>312.14639886383378</v>
      </c>
      <c r="Y108" s="207">
        <f t="shared" si="16"/>
        <v>0.8665041217082311</v>
      </c>
      <c r="AC108" s="251">
        <f t="shared" si="15"/>
        <v>0.85853436246634585</v>
      </c>
    </row>
    <row r="109" spans="1:29" ht="15.6" x14ac:dyDescent="0.3">
      <c r="A109" s="206">
        <v>2038</v>
      </c>
      <c r="B109" s="253">
        <f>(B161/Population_Tables!O27)*Population_Tables!C27</f>
        <v>6250.028073135627</v>
      </c>
      <c r="C109" s="253">
        <f>(C161/Population_Tables!P27)*Population_Tables!D27</f>
        <v>0</v>
      </c>
      <c r="D109" s="253">
        <f>(D161/Population_Tables!Q27)*Population_Tables!E27</f>
        <v>0</v>
      </c>
      <c r="E109" s="253">
        <f>(E161/Population_Tables!R27)*Population_Tables!F27</f>
        <v>4327.388718945188</v>
      </c>
      <c r="F109" s="253">
        <f>(F161/Population_Tables!S27)*Population_Tables!G27</f>
        <v>2710.6044057037429</v>
      </c>
      <c r="G109" s="253">
        <f>(G161/Population_Tables!T27)*Population_Tables!H27</f>
        <v>176.80062386641401</v>
      </c>
      <c r="H109" s="253">
        <f>(H161/Population_Tables!U27)*Population_Tables!I27</f>
        <v>905.52239574495172</v>
      </c>
      <c r="I109" s="253">
        <f>(I161/Population_Tables!V27)*Population_Tables!J27</f>
        <v>1912.0857350808169</v>
      </c>
      <c r="J109" s="253">
        <f>(J161/Population_Tables!W27)*Population_Tables!K27</f>
        <v>0</v>
      </c>
      <c r="K109" s="253">
        <f>(K161/Population_Tables!X27)*Population_Tables!L27</f>
        <v>0</v>
      </c>
      <c r="L109" s="170"/>
      <c r="M109" s="170"/>
      <c r="N109" s="195">
        <f t="shared" si="9"/>
        <v>6132.4707289039789</v>
      </c>
      <c r="O109" s="195">
        <f t="shared" si="11"/>
        <v>905.52239574495172</v>
      </c>
      <c r="P109" s="195">
        <f t="shared" si="10"/>
        <v>176.80062386641401</v>
      </c>
      <c r="Q109" s="195">
        <f t="shared" si="12"/>
        <v>7214.7937485153443</v>
      </c>
      <c r="R109" s="196">
        <f t="shared" si="13"/>
        <v>0.84998559108719007</v>
      </c>
      <c r="S109" s="170"/>
      <c r="T109" s="170"/>
      <c r="U109" s="195">
        <f t="shared" si="18"/>
        <v>291.23563312717033</v>
      </c>
      <c r="V109" s="195">
        <f t="shared" si="14"/>
        <v>34.380934546244248</v>
      </c>
      <c r="W109" s="195">
        <f t="shared" si="14"/>
        <v>9.8441704527139677</v>
      </c>
      <c r="X109" s="195">
        <f t="shared" si="17"/>
        <v>335.46073812612855</v>
      </c>
      <c r="Y109" s="207">
        <f t="shared" si="16"/>
        <v>0.86816607735975893</v>
      </c>
      <c r="AC109" s="251">
        <f t="shared" si="15"/>
        <v>0.86323130808274684</v>
      </c>
    </row>
    <row r="110" spans="1:29" ht="15.6" x14ac:dyDescent="0.3">
      <c r="A110" s="206">
        <v>2039</v>
      </c>
      <c r="B110" s="253">
        <f>(B162/Population_Tables!O28)*Population_Tables!C28</f>
        <v>6325.7304959282737</v>
      </c>
      <c r="C110" s="253">
        <f>(C162/Population_Tables!P28)*Population_Tables!D28</f>
        <v>0</v>
      </c>
      <c r="D110" s="253">
        <f>(D162/Population_Tables!Q28)*Population_Tables!E28</f>
        <v>0</v>
      </c>
      <c r="E110" s="253">
        <f>(E162/Population_Tables!R28)*Population_Tables!F28</f>
        <v>4336.0574662946538</v>
      </c>
      <c r="F110" s="253">
        <f>(F162/Population_Tables!S28)*Population_Tables!G28</f>
        <v>2754.6417989258671</v>
      </c>
      <c r="G110" s="253">
        <f>(G162/Population_Tables!T28)*Population_Tables!H28</f>
        <v>176.85875942536359</v>
      </c>
      <c r="H110" s="253">
        <f>(H162/Population_Tables!U28)*Population_Tables!I28</f>
        <v>895.9600520402123</v>
      </c>
      <c r="I110" s="253">
        <f>(I162/Population_Tables!V28)*Population_Tables!J28</f>
        <v>1922.9190909557549</v>
      </c>
      <c r="J110" s="253">
        <f>(J162/Population_Tables!W28)*Population_Tables!K28</f>
        <v>0</v>
      </c>
      <c r="K110" s="253">
        <f>(K162/Population_Tables!X28)*Population_Tables!L28</f>
        <v>0</v>
      </c>
      <c r="L110" s="170"/>
      <c r="M110" s="170"/>
      <c r="N110" s="195">
        <f t="shared" si="9"/>
        <v>6194.7392131803081</v>
      </c>
      <c r="O110" s="195">
        <f t="shared" si="11"/>
        <v>895.9600520402123</v>
      </c>
      <c r="P110" s="195">
        <f t="shared" si="10"/>
        <v>176.85875942536359</v>
      </c>
      <c r="Q110" s="195">
        <f t="shared" si="12"/>
        <v>7267.5580246458849</v>
      </c>
      <c r="R110" s="196">
        <f t="shared" si="13"/>
        <v>0.85238249108883446</v>
      </c>
      <c r="S110" s="170"/>
      <c r="T110" s="170"/>
      <c r="U110" s="195">
        <f t="shared" si="18"/>
        <v>312.27251685943611</v>
      </c>
      <c r="V110" s="195">
        <f t="shared" si="14"/>
        <v>36.271174003066562</v>
      </c>
      <c r="W110" s="195">
        <f t="shared" si="14"/>
        <v>10.470457952187814</v>
      </c>
      <c r="X110" s="195">
        <f t="shared" si="17"/>
        <v>359.01414881469049</v>
      </c>
      <c r="Y110" s="207">
        <f t="shared" si="16"/>
        <v>0.86980559927909518</v>
      </c>
      <c r="AC110" s="251">
        <f t="shared" si="15"/>
        <v>0.86787593199329027</v>
      </c>
    </row>
    <row r="111" spans="1:29" ht="15.6" x14ac:dyDescent="0.3">
      <c r="A111" s="206">
        <v>2040</v>
      </c>
      <c r="B111" s="253">
        <f>(B163/Population_Tables!O29)*Population_Tables!C29</f>
        <v>6401.5754974129804</v>
      </c>
      <c r="C111" s="253">
        <f>(C163/Population_Tables!P29)*Population_Tables!D29</f>
        <v>0</v>
      </c>
      <c r="D111" s="253">
        <f>(D163/Population_Tables!Q29)*Population_Tables!E29</f>
        <v>0</v>
      </c>
      <c r="E111" s="253">
        <f>(E163/Population_Tables!R29)*Population_Tables!F29</f>
        <v>4344.2145936729339</v>
      </c>
      <c r="F111" s="253">
        <f>(F163/Population_Tables!S29)*Population_Tables!G29</f>
        <v>2799.0230340516259</v>
      </c>
      <c r="G111" s="253">
        <f>(G163/Population_Tables!T29)*Population_Tables!H29</f>
        <v>176.89642561651465</v>
      </c>
      <c r="H111" s="253">
        <f>(H163/Population_Tables!U29)*Population_Tables!I29</f>
        <v>886.51744268262564</v>
      </c>
      <c r="I111" s="253">
        <f>(I163/Population_Tables!V29)*Population_Tables!J29</f>
        <v>1933.4850936138237</v>
      </c>
      <c r="J111" s="253">
        <f>(J163/Population_Tables!W29)*Population_Tables!K29</f>
        <v>0</v>
      </c>
      <c r="K111" s="253">
        <f>(K163/Population_Tables!X29)*Population_Tables!L29</f>
        <v>0</v>
      </c>
      <c r="L111" s="170"/>
      <c r="M111" s="170"/>
      <c r="N111" s="195">
        <f t="shared" si="9"/>
        <v>6256.7201850419351</v>
      </c>
      <c r="O111" s="195">
        <f t="shared" si="11"/>
        <v>886.51744268262564</v>
      </c>
      <c r="P111" s="195">
        <f t="shared" si="10"/>
        <v>176.89642561651465</v>
      </c>
      <c r="Q111" s="195">
        <f t="shared" si="12"/>
        <v>7320.1340533410748</v>
      </c>
      <c r="R111" s="196">
        <f>N111/Q111</f>
        <v>0.85472754179771149</v>
      </c>
      <c r="S111" s="170"/>
      <c r="T111" s="170"/>
      <c r="U111" s="195">
        <f t="shared" si="18"/>
        <v>333.74060860834015</v>
      </c>
      <c r="V111" s="195">
        <f t="shared" si="14"/>
        <v>38.141770147941543</v>
      </c>
      <c r="W111" s="195">
        <f t="shared" si="14"/>
        <v>11.099877328132095</v>
      </c>
      <c r="X111" s="195">
        <f t="shared" si="17"/>
        <v>382.98225608441379</v>
      </c>
      <c r="Y111" s="207">
        <f t="shared" si="16"/>
        <v>0.87142577314281577</v>
      </c>
      <c r="AC111" s="251">
        <f t="shared" si="15"/>
        <v>0.87245463837108983</v>
      </c>
    </row>
    <row r="112" spans="1:29" ht="15.6" x14ac:dyDescent="0.3">
      <c r="A112" s="206">
        <v>2041</v>
      </c>
      <c r="B112" s="253">
        <f>(B164/Population_Tables!O30)*Population_Tables!C30</f>
        <v>6468.6194400906516</v>
      </c>
      <c r="C112" s="253">
        <f>(C164/Population_Tables!P30)*Population_Tables!D30</f>
        <v>0</v>
      </c>
      <c r="D112" s="253">
        <f>(D164/Population_Tables!Q30)*Population_Tables!E30</f>
        <v>0</v>
      </c>
      <c r="E112" s="253">
        <f>(E164/Population_Tables!R30)*Population_Tables!F30</f>
        <v>4351.8774607251917</v>
      </c>
      <c r="F112" s="253">
        <f>(F164/Population_Tables!S30)*Population_Tables!G30</f>
        <v>2843.7629995147236</v>
      </c>
      <c r="G112" s="253">
        <f>(G164/Population_Tables!T30)*Population_Tables!H30</f>
        <v>176.91442349754527</v>
      </c>
      <c r="H112" s="253">
        <f>(H164/Population_Tables!U30)*Population_Tables!I30</f>
        <v>877.23790256970597</v>
      </c>
      <c r="I112" s="253">
        <f>(I164/Population_Tables!V30)*Population_Tables!J30</f>
        <v>1943.7936890782626</v>
      </c>
      <c r="J112" s="253">
        <f>(J164/Population_Tables!W30)*Population_Tables!K30</f>
        <v>0</v>
      </c>
      <c r="K112" s="253">
        <f>(K164/Population_Tables!X30)*Population_Tables!L30</f>
        <v>0</v>
      </c>
      <c r="L112" s="170"/>
      <c r="M112" s="170"/>
      <c r="N112" s="195">
        <f t="shared" si="9"/>
        <v>6318.4025576702097</v>
      </c>
      <c r="O112" s="195">
        <f t="shared" si="11"/>
        <v>877.23790256970597</v>
      </c>
      <c r="P112" s="195">
        <f t="shared" si="10"/>
        <v>176.91442349754527</v>
      </c>
      <c r="Q112" s="195">
        <f t="shared" si="12"/>
        <v>7372.5548837374608</v>
      </c>
      <c r="R112" s="196">
        <f t="shared" si="13"/>
        <v>0.85701668652307728</v>
      </c>
      <c r="S112" s="170"/>
      <c r="T112" s="170"/>
      <c r="U112" s="195">
        <f t="shared" si="18"/>
        <v>355.67206683164022</v>
      </c>
      <c r="V112" s="195">
        <f t="shared" si="14"/>
        <v>39.996992070145552</v>
      </c>
      <c r="W112" s="195">
        <f t="shared" si="14"/>
        <v>11.733055760617987</v>
      </c>
      <c r="X112" s="195">
        <f t="shared" si="17"/>
        <v>407.40211466240373</v>
      </c>
      <c r="Y112" s="207">
        <f t="shared" si="16"/>
        <v>0.87302459666015741</v>
      </c>
      <c r="AC112" s="251">
        <f t="shared" si="15"/>
        <v>0.87575620824382716</v>
      </c>
    </row>
    <row r="113" spans="1:29" ht="15.6" x14ac:dyDescent="0.3">
      <c r="A113" s="206">
        <v>2042</v>
      </c>
      <c r="B113" s="253">
        <f>(B165/Population_Tables!O31)*Population_Tables!C31</f>
        <v>6535.8867840388421</v>
      </c>
      <c r="C113" s="253">
        <f>(C165/Population_Tables!P31)*Population_Tables!D31</f>
        <v>0</v>
      </c>
      <c r="D113" s="253">
        <f>(D165/Population_Tables!Q31)*Population_Tables!E31</f>
        <v>0</v>
      </c>
      <c r="E113" s="253">
        <f>(E165/Population_Tables!R31)*Population_Tables!F31</f>
        <v>4359.0474308181019</v>
      </c>
      <c r="F113" s="253">
        <f>(F165/Population_Tables!S31)*Population_Tables!G31</f>
        <v>2888.862741099128</v>
      </c>
      <c r="G113" s="253">
        <f>(G165/Population_Tables!T31)*Population_Tables!H31</f>
        <v>176.91230105334404</v>
      </c>
      <c r="H113" s="253">
        <f>(H165/Population_Tables!U31)*Population_Tables!I31</f>
        <v>868.16194730819825</v>
      </c>
      <c r="I113" s="253">
        <f>(I165/Population_Tables!V31)*Population_Tables!J31</f>
        <v>1953.8536826936008</v>
      </c>
      <c r="J113" s="253">
        <f>(J165/Population_Tables!W31)*Population_Tables!K31</f>
        <v>0</v>
      </c>
      <c r="K113" s="253">
        <f>(K165/Population_Tables!X31)*Population_Tables!L31</f>
        <v>0</v>
      </c>
      <c r="L113" s="170"/>
      <c r="M113" s="170"/>
      <c r="N113" s="195">
        <f t="shared" si="9"/>
        <v>6379.7482246090321</v>
      </c>
      <c r="O113" s="195">
        <f t="shared" si="11"/>
        <v>868.16194730819825</v>
      </c>
      <c r="P113" s="195">
        <f t="shared" si="10"/>
        <v>176.91230105334404</v>
      </c>
      <c r="Q113" s="195">
        <f t="shared" si="12"/>
        <v>7424.8224729705744</v>
      </c>
      <c r="R113" s="196">
        <f t="shared" si="13"/>
        <v>0.85924589413874275</v>
      </c>
      <c r="S113" s="170"/>
      <c r="T113" s="170"/>
      <c r="U113" s="195">
        <f t="shared" si="18"/>
        <v>378.07203034964004</v>
      </c>
      <c r="V113" s="195">
        <f t="shared" si="14"/>
        <v>41.83828956818536</v>
      </c>
      <c r="W113" s="195">
        <f t="shared" si="14"/>
        <v>12.369367356927086</v>
      </c>
      <c r="X113" s="195">
        <f t="shared" si="17"/>
        <v>432.27968727475252</v>
      </c>
      <c r="Y113" s="207">
        <f t="shared" si="16"/>
        <v>0.87460049935064688</v>
      </c>
      <c r="AC113" s="251">
        <f t="shared" si="15"/>
        <v>0.87901594226811097</v>
      </c>
    </row>
    <row r="114" spans="1:29" ht="15.6" x14ac:dyDescent="0.3">
      <c r="A114" s="206">
        <v>2043</v>
      </c>
      <c r="B114" s="253">
        <f>(B166/Population_Tables!O32)*Population_Tables!C32</f>
        <v>6603.4534020547108</v>
      </c>
      <c r="C114" s="253">
        <f>(C166/Population_Tables!P32)*Population_Tables!D32</f>
        <v>0</v>
      </c>
      <c r="D114" s="253">
        <f>(D166/Population_Tables!Q32)*Population_Tables!E32</f>
        <v>0</v>
      </c>
      <c r="E114" s="253">
        <f>(E166/Population_Tables!R32)*Population_Tables!F32</f>
        <v>4365.7947681327423</v>
      </c>
      <c r="F114" s="253">
        <f>(F166/Population_Tables!S32)*Population_Tables!G32</f>
        <v>2934.3613197795016</v>
      </c>
      <c r="G114" s="253">
        <f>(G166/Population_Tables!T32)*Population_Tables!H32</f>
        <v>176.89185880126055</v>
      </c>
      <c r="H114" s="253">
        <f>(H166/Population_Tables!U32)*Population_Tables!I32</f>
        <v>859.34076977764573</v>
      </c>
      <c r="I114" s="253">
        <f>(I166/Population_Tables!V32)*Population_Tables!J32</f>
        <v>1963.7137464333262</v>
      </c>
      <c r="J114" s="253">
        <f>(J166/Population_Tables!W32)*Population_Tables!K32</f>
        <v>0</v>
      </c>
      <c r="K114" s="253">
        <f>(K166/Population_Tables!X32)*Population_Tables!L32</f>
        <v>0</v>
      </c>
      <c r="L114" s="170"/>
      <c r="M114" s="170"/>
      <c r="N114" s="195">
        <f t="shared" si="9"/>
        <v>6440.8153181345988</v>
      </c>
      <c r="O114" s="195">
        <f t="shared" si="11"/>
        <v>859.34076977764573</v>
      </c>
      <c r="P114" s="195">
        <f t="shared" si="10"/>
        <v>176.89185880126055</v>
      </c>
      <c r="Q114" s="195">
        <f t="shared" si="12"/>
        <v>7477.0479467135046</v>
      </c>
      <c r="R114" s="196">
        <f t="shared" si="13"/>
        <v>0.86141153086568389</v>
      </c>
      <c r="S114" s="170"/>
      <c r="T114" s="170"/>
      <c r="U114" s="195">
        <f t="shared" si="18"/>
        <v>401.0418767149431</v>
      </c>
      <c r="V114" s="195">
        <f t="shared" si="14"/>
        <v>43.677789713366451</v>
      </c>
      <c r="W114" s="195">
        <f t="shared" si="14"/>
        <v>13.010438756802131</v>
      </c>
      <c r="X114" s="195">
        <f t="shared" si="17"/>
        <v>457.73010518511171</v>
      </c>
      <c r="Y114" s="207">
        <f t="shared" si="16"/>
        <v>0.87615359394540326</v>
      </c>
      <c r="AC114" s="251">
        <f t="shared" si="15"/>
        <v>0.88221714488931702</v>
      </c>
    </row>
    <row r="115" spans="1:29" ht="15.6" x14ac:dyDescent="0.3">
      <c r="A115" s="206">
        <v>2044</v>
      </c>
      <c r="B115" s="253">
        <f>(B167/Population_Tables!O33)*Population_Tables!C33</f>
        <v>6671.4076992425653</v>
      </c>
      <c r="C115" s="253">
        <f>(C167/Population_Tables!P33)*Population_Tables!D33</f>
        <v>0</v>
      </c>
      <c r="D115" s="253">
        <f>(D167/Population_Tables!Q33)*Population_Tables!E33</f>
        <v>0</v>
      </c>
      <c r="E115" s="253">
        <f>(E167/Population_Tables!R33)*Population_Tables!F33</f>
        <v>4372.2022848189008</v>
      </c>
      <c r="F115" s="253">
        <f>(F167/Population_Tables!S33)*Population_Tables!G33</f>
        <v>2980.3016006248367</v>
      </c>
      <c r="G115" s="253">
        <f>(G167/Population_Tables!T33)*Population_Tables!H33</f>
        <v>176.85499447535514</v>
      </c>
      <c r="H115" s="253">
        <f>(H167/Population_Tables!U33)*Population_Tables!I33</f>
        <v>850.82748686385821</v>
      </c>
      <c r="I115" s="253">
        <f>(I167/Population_Tables!V33)*Population_Tables!J33</f>
        <v>1973.4324668115855</v>
      </c>
      <c r="J115" s="253">
        <f>(J167/Population_Tables!W33)*Population_Tables!K33</f>
        <v>0</v>
      </c>
      <c r="K115" s="253">
        <f>(K167/Population_Tables!X33)*Population_Tables!L33</f>
        <v>0</v>
      </c>
      <c r="L115" s="170"/>
      <c r="M115" s="170"/>
      <c r="N115" s="195">
        <f t="shared" si="9"/>
        <v>6501.6763985798789</v>
      </c>
      <c r="O115" s="195">
        <f t="shared" si="11"/>
        <v>850.82748686385821</v>
      </c>
      <c r="P115" s="195">
        <f t="shared" si="10"/>
        <v>176.85499447535514</v>
      </c>
      <c r="Q115" s="195">
        <f t="shared" si="12"/>
        <v>7529.358879919092</v>
      </c>
      <c r="R115" s="196">
        <f t="shared" si="13"/>
        <v>0.86350996177376305</v>
      </c>
      <c r="S115" s="170"/>
      <c r="T115" s="170"/>
      <c r="U115" s="195">
        <f t="shared" si="18"/>
        <v>424.69741153692394</v>
      </c>
      <c r="V115" s="195">
        <f t="shared" si="14"/>
        <v>45.529543583260306</v>
      </c>
      <c r="W115" s="195">
        <f t="shared" si="14"/>
        <v>13.657993816696489</v>
      </c>
      <c r="X115" s="195">
        <f t="shared" si="17"/>
        <v>483.88494893688073</v>
      </c>
      <c r="Y115" s="207">
        <f t="shared" si="16"/>
        <v>0.87768262366912886</v>
      </c>
      <c r="AC115" s="251">
        <f t="shared" si="15"/>
        <v>0.88534268276451822</v>
      </c>
    </row>
    <row r="116" spans="1:29" ht="15.6" x14ac:dyDescent="0.3">
      <c r="A116" s="206">
        <v>2045</v>
      </c>
      <c r="B116" s="253">
        <f>(B168/Population_Tables!O34)*Population_Tables!C34</f>
        <v>6739.8228539426291</v>
      </c>
      <c r="C116" s="253">
        <f>(C168/Population_Tables!P34)*Population_Tables!D34</f>
        <v>0</v>
      </c>
      <c r="D116" s="253">
        <f>(D168/Population_Tables!Q34)*Population_Tables!E34</f>
        <v>0</v>
      </c>
      <c r="E116" s="253">
        <f>(E168/Population_Tables!R34)*Population_Tables!F34</f>
        <v>4378.3385948516152</v>
      </c>
      <c r="F116" s="253">
        <f>(F168/Population_Tables!S34)*Population_Tables!G34</f>
        <v>3026.7198366112902</v>
      </c>
      <c r="G116" s="253">
        <f>(G168/Population_Tables!T34)*Population_Tables!H34</f>
        <v>176.80337999692318</v>
      </c>
      <c r="H116" s="253">
        <f>(H168/Population_Tables!U34)*Population_Tables!I34</f>
        <v>842.67379948910252</v>
      </c>
      <c r="I116" s="253">
        <f>(I168/Population_Tables!V34)*Population_Tables!J34</f>
        <v>1983.0588812606254</v>
      </c>
      <c r="J116" s="253">
        <f>(J168/Population_Tables!W34)*Population_Tables!K34</f>
        <v>0</v>
      </c>
      <c r="K116" s="253">
        <f>(K168/Population_Tables!X34)*Population_Tables!L34</f>
        <v>0</v>
      </c>
      <c r="L116" s="170"/>
      <c r="M116" s="170"/>
      <c r="N116" s="195">
        <f t="shared" si="9"/>
        <v>6562.3846319738022</v>
      </c>
      <c r="O116" s="195">
        <f t="shared" si="11"/>
        <v>842.67379948910252</v>
      </c>
      <c r="P116" s="195">
        <f t="shared" si="10"/>
        <v>176.80337999692318</v>
      </c>
      <c r="Q116" s="195">
        <f t="shared" si="12"/>
        <v>7581.8618114598285</v>
      </c>
      <c r="R116" s="196">
        <f t="shared" si="13"/>
        <v>0.86553735680791388</v>
      </c>
      <c r="S116" s="170"/>
      <c r="T116" s="170"/>
      <c r="U116" s="195">
        <f t="shared" si="18"/>
        <v>449.13504612092038</v>
      </c>
      <c r="V116" s="195">
        <f t="shared" si="14"/>
        <v>47.406186291895892</v>
      </c>
      <c r="W116" s="195">
        <f t="shared" si="14"/>
        <v>14.313530580298675</v>
      </c>
      <c r="X116" s="195">
        <f t="shared" si="17"/>
        <v>510.85476299311495</v>
      </c>
      <c r="Y116" s="207">
        <f t="shared" si="16"/>
        <v>0.87918343657877107</v>
      </c>
      <c r="AC116" s="251">
        <f t="shared" si="15"/>
        <v>0.88838716039763177</v>
      </c>
    </row>
    <row r="117" spans="1:29" ht="15.6" x14ac:dyDescent="0.3">
      <c r="A117" s="206">
        <v>2046</v>
      </c>
      <c r="B117" s="253">
        <f>(B169/Population_Tables!O35)*Population_Tables!C35</f>
        <v>6808.7285544084389</v>
      </c>
      <c r="C117" s="253">
        <f>(C169/Population_Tables!P35)*Population_Tables!D35</f>
        <v>0</v>
      </c>
      <c r="D117" s="253">
        <f>(D169/Population_Tables!Q35)*Population_Tables!E35</f>
        <v>0</v>
      </c>
      <c r="E117" s="253">
        <f>(E169/Population_Tables!R35)*Population_Tables!F35</f>
        <v>4384.235095833913</v>
      </c>
      <c r="F117" s="253">
        <f>(F169/Population_Tables!S35)*Population_Tables!G35</f>
        <v>3073.6370550335214</v>
      </c>
      <c r="G117" s="253">
        <f>(G169/Population_Tables!T35)*Population_Tables!H35</f>
        <v>176.737969584441</v>
      </c>
      <c r="H117" s="253">
        <f>(H169/Population_Tables!U35)*Population_Tables!I35</f>
        <v>834.92814929805184</v>
      </c>
      <c r="I117" s="253">
        <f>(I169/Population_Tables!V35)*Population_Tables!J35</f>
        <v>1992.6125730101039</v>
      </c>
      <c r="J117" s="253">
        <f>(J169/Population_Tables!W35)*Population_Tables!K35</f>
        <v>0</v>
      </c>
      <c r="K117" s="253">
        <f>(K169/Population_Tables!X35)*Population_Tables!L35</f>
        <v>0</v>
      </c>
      <c r="L117" s="170"/>
      <c r="M117" s="170"/>
      <c r="N117" s="195">
        <f t="shared" si="9"/>
        <v>6622.9440015693826</v>
      </c>
      <c r="O117" s="195">
        <f t="shared" si="11"/>
        <v>834.92814929805184</v>
      </c>
      <c r="P117" s="195">
        <f t="shared" si="10"/>
        <v>176.737969584441</v>
      </c>
      <c r="Q117" s="195">
        <f t="shared" si="12"/>
        <v>7634.6101204518754</v>
      </c>
      <c r="R117" s="196">
        <f t="shared" si="13"/>
        <v>0.86748948500036638</v>
      </c>
      <c r="S117" s="170"/>
      <c r="T117" s="170"/>
      <c r="U117" s="195">
        <f t="shared" si="18"/>
        <v>474.40200899634965</v>
      </c>
      <c r="V117" s="195">
        <f t="shared" si="14"/>
        <v>49.317093675708406</v>
      </c>
      <c r="W117" s="195">
        <f t="shared" si="14"/>
        <v>14.977829388478057</v>
      </c>
      <c r="X117" s="195">
        <f t="shared" si="17"/>
        <v>538.69693206053614</v>
      </c>
      <c r="Y117" s="207">
        <f t="shared" si="16"/>
        <v>0.88064731904401983</v>
      </c>
      <c r="AC117" s="251">
        <f t="shared" si="15"/>
        <v>0.89135736827277723</v>
      </c>
    </row>
    <row r="118" spans="1:29" ht="15.6" x14ac:dyDescent="0.3">
      <c r="A118" s="206">
        <v>2047</v>
      </c>
      <c r="B118" s="253">
        <f>(B170/Population_Tables!O36)*Population_Tables!C36</f>
        <v>6878.1432116282431</v>
      </c>
      <c r="C118" s="253">
        <f>(C170/Population_Tables!P36)*Population_Tables!D36</f>
        <v>0</v>
      </c>
      <c r="D118" s="253">
        <f>(D170/Population_Tables!Q36)*Population_Tables!E36</f>
        <v>0</v>
      </c>
      <c r="E118" s="253">
        <f>(E170/Population_Tables!R36)*Population_Tables!F36</f>
        <v>4389.9133810977546</v>
      </c>
      <c r="F118" s="253">
        <f>(F170/Population_Tables!S36)*Population_Tables!G36</f>
        <v>3121.067596517466</v>
      </c>
      <c r="G118" s="253">
        <f>(G170/Population_Tables!T36)*Population_Tables!H36</f>
        <v>176.6596568072855</v>
      </c>
      <c r="H118" s="253">
        <f>(H170/Population_Tables!U36)*Population_Tables!I36</f>
        <v>827.63723492143015</v>
      </c>
      <c r="I118" s="253">
        <f>(I170/Population_Tables!V36)*Population_Tables!J36</f>
        <v>2002.1086905395218</v>
      </c>
      <c r="J118" s="253">
        <f>(J170/Population_Tables!W36)*Population_Tables!K36</f>
        <v>0</v>
      </c>
      <c r="K118" s="253">
        <f>(K170/Population_Tables!X36)*Population_Tables!L36</f>
        <v>0</v>
      </c>
      <c r="L118" s="170"/>
      <c r="M118" s="170"/>
      <c r="N118" s="195">
        <f t="shared" si="9"/>
        <v>6683.3437426937908</v>
      </c>
      <c r="O118" s="195">
        <f t="shared" si="11"/>
        <v>827.63723492143015</v>
      </c>
      <c r="P118" s="195">
        <f t="shared" si="10"/>
        <v>176.6596568072855</v>
      </c>
      <c r="Q118" s="195">
        <f t="shared" si="12"/>
        <v>7687.6406344225061</v>
      </c>
      <c r="R118" s="196">
        <f t="shared" si="13"/>
        <v>0.86936214379847143</v>
      </c>
      <c r="S118" s="170"/>
      <c r="T118" s="170"/>
      <c r="U118" s="195">
        <f t="shared" si="18"/>
        <v>500.53078076678958</v>
      </c>
      <c r="V118" s="195">
        <f t="shared" si="14"/>
        <v>51.269898557183865</v>
      </c>
      <c r="W118" s="195">
        <f t="shared" si="14"/>
        <v>15.651609933004607</v>
      </c>
      <c r="X118" s="195">
        <f t="shared" si="17"/>
        <v>567.45228925697802</v>
      </c>
      <c r="Y118" s="207">
        <f t="shared" si="16"/>
        <v>0.88206672215946924</v>
      </c>
      <c r="AC118" s="251">
        <f t="shared" si="15"/>
        <v>0.89426716423663266</v>
      </c>
    </row>
    <row r="119" spans="1:29" ht="15.6" x14ac:dyDescent="0.3">
      <c r="A119" s="206">
        <v>2048</v>
      </c>
      <c r="B119" s="253">
        <f>(B171/Population_Tables!O37)*Population_Tables!C37</f>
        <v>6948.1110841425207</v>
      </c>
      <c r="C119" s="253">
        <f>(C171/Population_Tables!P37)*Population_Tables!D37</f>
        <v>0</v>
      </c>
      <c r="D119" s="253">
        <f>(D171/Population_Tables!Q37)*Population_Tables!E37</f>
        <v>0</v>
      </c>
      <c r="E119" s="253">
        <f>(E171/Population_Tables!R37)*Population_Tables!F37</f>
        <v>4395.4182949415899</v>
      </c>
      <c r="F119" s="253">
        <f>(F171/Population_Tables!S37)*Population_Tables!G37</f>
        <v>3169.0315147581978</v>
      </c>
      <c r="G119" s="253">
        <f>(G171/Population_Tables!T37)*Population_Tables!H37</f>
        <v>176.56971254588558</v>
      </c>
      <c r="H119" s="253">
        <f>(H171/Population_Tables!U37)*Population_Tables!I37</f>
        <v>820.8491604903129</v>
      </c>
      <c r="I119" s="253">
        <f>(I171/Population_Tables!V37)*Population_Tables!J37</f>
        <v>2011.5846277398725</v>
      </c>
      <c r="J119" s="253">
        <f>(J171/Population_Tables!W37)*Population_Tables!K37</f>
        <v>0</v>
      </c>
      <c r="K119" s="253">
        <f>(K171/Population_Tables!X37)*Population_Tables!L37</f>
        <v>0</v>
      </c>
      <c r="L119" s="170"/>
      <c r="M119" s="170"/>
      <c r="N119" s="195">
        <f t="shared" si="9"/>
        <v>6743.6006492094748</v>
      </c>
      <c r="O119" s="195">
        <f t="shared" si="11"/>
        <v>820.8491604903129</v>
      </c>
      <c r="P119" s="195">
        <f t="shared" si="10"/>
        <v>176.56971254588558</v>
      </c>
      <c r="Q119" s="195">
        <f t="shared" si="12"/>
        <v>7741.0195222456732</v>
      </c>
      <c r="R119" s="196">
        <f t="shared" si="13"/>
        <v>0.87115148461131298</v>
      </c>
      <c r="S119" s="170"/>
      <c r="T119" s="170"/>
      <c r="U119" s="195">
        <f t="shared" si="18"/>
        <v>527.58140057109267</v>
      </c>
      <c r="V119" s="195">
        <f t="shared" si="14"/>
        <v>53.273639259159381</v>
      </c>
      <c r="W119" s="195">
        <f t="shared" si="14"/>
        <v>16.335969216700363</v>
      </c>
      <c r="X119" s="195">
        <f t="shared" si="17"/>
        <v>597.19100904695244</v>
      </c>
      <c r="Y119" s="207">
        <f t="shared" si="16"/>
        <v>0.88343828453320383</v>
      </c>
      <c r="AC119" s="251">
        <f t="shared" si="15"/>
        <v>0.89712822521834923</v>
      </c>
    </row>
    <row r="120" spans="1:29" ht="15.6" x14ac:dyDescent="0.3">
      <c r="A120" s="206">
        <v>2049</v>
      </c>
      <c r="B120" s="253">
        <f>(B172/Population_Tables!O38)*Population_Tables!C38</f>
        <v>7018.6752808759984</v>
      </c>
      <c r="C120" s="253">
        <f>(C172/Population_Tables!P38)*Population_Tables!D38</f>
        <v>0</v>
      </c>
      <c r="D120" s="253">
        <f>(D172/Population_Tables!Q38)*Population_Tables!E38</f>
        <v>0</v>
      </c>
      <c r="E120" s="253">
        <f>(E172/Population_Tables!R38)*Population_Tables!F38</f>
        <v>4400.79442907266</v>
      </c>
      <c r="F120" s="253">
        <f>(F172/Population_Tables!S38)*Population_Tables!G38</f>
        <v>3217.546842453557</v>
      </c>
      <c r="G120" s="253">
        <f>(G172/Population_Tables!T38)*Population_Tables!H38</f>
        <v>176.46947705682712</v>
      </c>
      <c r="H120" s="253">
        <f>(H172/Population_Tables!U38)*Population_Tables!I38</f>
        <v>814.61188320879603</v>
      </c>
      <c r="I120" s="253">
        <f>(I172/Population_Tables!V38)*Population_Tables!J38</f>
        <v>2021.0801679231179</v>
      </c>
      <c r="J120" s="253">
        <f>(J172/Population_Tables!W38)*Population_Tables!K38</f>
        <v>0</v>
      </c>
      <c r="K120" s="253">
        <f>(K172/Population_Tables!X38)*Population_Tables!L38</f>
        <v>0</v>
      </c>
      <c r="L120" s="170"/>
      <c r="M120" s="170"/>
      <c r="N120" s="195">
        <f t="shared" si="9"/>
        <v>6803.7293883174207</v>
      </c>
      <c r="O120" s="195">
        <f t="shared" si="11"/>
        <v>814.61188320879603</v>
      </c>
      <c r="P120" s="195">
        <f t="shared" si="10"/>
        <v>176.46947705682712</v>
      </c>
      <c r="Q120" s="195">
        <f t="shared" si="12"/>
        <v>7794.8107485830433</v>
      </c>
      <c r="R120" s="196">
        <f t="shared" si="13"/>
        <v>0.87285369815479052</v>
      </c>
      <c r="S120" s="170"/>
      <c r="T120" s="170"/>
      <c r="U120" s="195">
        <f t="shared" si="18"/>
        <v>555.61178088665383</v>
      </c>
      <c r="V120" s="195">
        <f t="shared" si="14"/>
        <v>55.337207177493269</v>
      </c>
      <c r="W120" s="195">
        <f t="shared" si="14"/>
        <v>17.032073618544217</v>
      </c>
      <c r="X120" s="195">
        <f t="shared" si="17"/>
        <v>627.98106168269135</v>
      </c>
      <c r="Y120" s="207">
        <f t="shared" si="16"/>
        <v>0.88475881644882381</v>
      </c>
      <c r="AC120" s="251">
        <f t="shared" si="15"/>
        <v>0.89995425453753286</v>
      </c>
    </row>
    <row r="121" spans="1:29" ht="16.2" thickBot="1" x14ac:dyDescent="0.35">
      <c r="A121" s="208">
        <v>2050</v>
      </c>
      <c r="B121" s="253">
        <f>(B173/Population_Tables!O39)*Population_Tables!C39</f>
        <v>7089.8599203528702</v>
      </c>
      <c r="C121" s="253">
        <f>(C173/Population_Tables!P39)*Population_Tables!D39</f>
        <v>0</v>
      </c>
      <c r="D121" s="253">
        <f>(D173/Population_Tables!Q39)*Population_Tables!E39</f>
        <v>0</v>
      </c>
      <c r="E121" s="253">
        <f>(E173/Population_Tables!R39)*Population_Tables!F39</f>
        <v>4406.0730512088694</v>
      </c>
      <c r="F121" s="253">
        <f>(F173/Population_Tables!S39)*Population_Tables!G39</f>
        <v>3266.628056957431</v>
      </c>
      <c r="G121" s="253">
        <f>(G173/Population_Tables!T39)*Population_Tables!H39</f>
        <v>176.35997292439819</v>
      </c>
      <c r="H121" s="253">
        <f>(H173/Population_Tables!U39)*Population_Tables!I39</f>
        <v>808.97387849605036</v>
      </c>
      <c r="I121" s="253">
        <f>(I173/Population_Tables!V39)*Population_Tables!J39</f>
        <v>2030.6230413954397</v>
      </c>
      <c r="J121" s="253">
        <f>(J173/Population_Tables!W39)*Population_Tables!K39</f>
        <v>0</v>
      </c>
      <c r="K121" s="253">
        <f>(K173/Population_Tables!X39)*Population_Tables!L39</f>
        <v>0</v>
      </c>
      <c r="L121" s="209"/>
      <c r="M121" s="209"/>
      <c r="N121" s="195">
        <f t="shared" si="9"/>
        <v>6863.7272296702504</v>
      </c>
      <c r="O121" s="195">
        <f t="shared" si="11"/>
        <v>808.97387849605036</v>
      </c>
      <c r="P121" s="195">
        <f t="shared" si="10"/>
        <v>176.35997292439819</v>
      </c>
      <c r="Q121" s="195">
        <f t="shared" si="12"/>
        <v>7849.0610810906983</v>
      </c>
      <c r="R121" s="210">
        <f t="shared" si="13"/>
        <v>0.87446474919220185</v>
      </c>
      <c r="S121" s="209"/>
      <c r="T121" s="209"/>
      <c r="U121" s="211">
        <f t="shared" si="18"/>
        <v>584.66243664249942</v>
      </c>
      <c r="V121" s="195">
        <f t="shared" si="14"/>
        <v>57.470011923118022</v>
      </c>
      <c r="W121" s="211">
        <f t="shared" si="14"/>
        <v>17.740771845217381</v>
      </c>
      <c r="X121" s="195">
        <f t="shared" si="17"/>
        <v>659.87322041083485</v>
      </c>
      <c r="Y121" s="212">
        <f t="shared" si="16"/>
        <v>0.88602237302263998</v>
      </c>
      <c r="AC121" s="251">
        <f t="shared" si="15"/>
        <v>0.90275608469175939</v>
      </c>
    </row>
    <row r="122" spans="1:29" ht="15.6" x14ac:dyDescent="0.3">
      <c r="A122" s="213">
        <v>2051</v>
      </c>
      <c r="B122" s="253">
        <f>(B174/Population_Tables!O40)*Population_Tables!C40</f>
        <v>7153.4472268818054</v>
      </c>
      <c r="C122" s="253">
        <f>(C174/Population_Tables!P40)*Population_Tables!D40</f>
        <v>0</v>
      </c>
      <c r="D122" s="253">
        <f>(D174/Population_Tables!Q40)*Population_Tables!E40</f>
        <v>0</v>
      </c>
      <c r="E122" s="253">
        <f>(E174/Population_Tables!R40)*Population_Tables!F40</f>
        <v>4411.2697490686023</v>
      </c>
      <c r="F122" s="253">
        <f>(F174/Population_Tables!S40)*Population_Tables!G40</f>
        <v>3316.28566792737</v>
      </c>
      <c r="G122" s="253">
        <f>(G174/Population_Tables!T40)*Population_Tables!H40</f>
        <v>176.24166426607047</v>
      </c>
      <c r="H122" s="253">
        <f>(H174/Population_Tables!U40)*Population_Tables!I40</f>
        <v>803.98500424354643</v>
      </c>
      <c r="I122" s="253">
        <f>(I174/Population_Tables!V40)*Population_Tables!J40</f>
        <v>2040.2251554233837</v>
      </c>
      <c r="J122" s="253">
        <f>(J174/Population_Tables!W40)*Population_Tables!K40</f>
        <v>0</v>
      </c>
      <c r="K122" s="253">
        <f>(K174/Population_Tables!X40)*Population_Tables!L40</f>
        <v>0</v>
      </c>
      <c r="N122" s="195">
        <f t="shared" si="9"/>
        <v>6923.5704127524259</v>
      </c>
      <c r="O122" s="195">
        <f t="shared" si="11"/>
        <v>803.98500424354643</v>
      </c>
      <c r="P122" s="195">
        <f t="shared" si="10"/>
        <v>176.24166426607047</v>
      </c>
      <c r="Q122" s="195">
        <f t="shared" si="12"/>
        <v>7903.7970812620424</v>
      </c>
      <c r="R122" s="214">
        <f t="shared" si="13"/>
        <v>0.87598028410502937</v>
      </c>
      <c r="U122" s="215">
        <f t="shared" si="18"/>
        <v>614.75285259949578</v>
      </c>
      <c r="V122" s="195">
        <f t="shared" si="14"/>
        <v>59.682845579266314</v>
      </c>
      <c r="W122" s="215">
        <f t="shared" si="14"/>
        <v>18.462354136584565</v>
      </c>
      <c r="X122" s="195">
        <f t="shared" si="17"/>
        <v>692.8980523153466</v>
      </c>
      <c r="Y122" s="214">
        <f t="shared" si="16"/>
        <v>0.88721977287318743</v>
      </c>
      <c r="AC122" s="251">
        <f t="shared" si="15"/>
        <v>0.9044990576763754</v>
      </c>
    </row>
    <row r="123" spans="1:29" ht="15.6" x14ac:dyDescent="0.3">
      <c r="A123" s="194">
        <v>2052</v>
      </c>
      <c r="B123" s="253">
        <f>(B175/Population_Tables!O41)*Population_Tables!C41</f>
        <v>7217.7675154306016</v>
      </c>
      <c r="C123" s="253">
        <f>(C175/Population_Tables!P41)*Population_Tables!D41</f>
        <v>0</v>
      </c>
      <c r="D123" s="253">
        <f>(D175/Population_Tables!Q41)*Population_Tables!E41</f>
        <v>0</v>
      </c>
      <c r="E123" s="253">
        <f>(E175/Population_Tables!R41)*Population_Tables!F41</f>
        <v>4416.3805498133834</v>
      </c>
      <c r="F123" s="253">
        <f>(F175/Population_Tables!S41)*Population_Tables!G41</f>
        <v>3366.5250389119765</v>
      </c>
      <c r="G123" s="253">
        <f>(G175/Population_Tables!T41)*Population_Tables!H41</f>
        <v>176.11465814396882</v>
      </c>
      <c r="H123" s="253">
        <f>(H175/Population_Tables!U41)*Population_Tables!I41</f>
        <v>799.69527066398427</v>
      </c>
      <c r="I123" s="253">
        <f>(I175/Population_Tables!V41)*Population_Tables!J41</f>
        <v>2049.881270967966</v>
      </c>
      <c r="J123" s="253">
        <f>(J175/Population_Tables!W41)*Population_Tables!K41</f>
        <v>0</v>
      </c>
      <c r="K123" s="253">
        <f>(K175/Population_Tables!X41)*Population_Tables!L41</f>
        <v>0</v>
      </c>
      <c r="N123" s="195">
        <f t="shared" si="9"/>
        <v>6983.2103180613758</v>
      </c>
      <c r="O123" s="195">
        <f t="shared" si="11"/>
        <v>799.69527066398427</v>
      </c>
      <c r="P123" s="195">
        <f t="shared" si="10"/>
        <v>176.11465814396882</v>
      </c>
      <c r="Q123" s="195">
        <f t="shared" si="12"/>
        <v>7959.0202468693287</v>
      </c>
      <c r="R123" s="196">
        <f t="shared" si="13"/>
        <v>0.87739572226973706</v>
      </c>
      <c r="U123" s="195">
        <f t="shared" si="18"/>
        <v>645.87765453147949</v>
      </c>
      <c r="V123" s="195">
        <f t="shared" si="14"/>
        <v>61.986652550400095</v>
      </c>
      <c r="W123" s="195">
        <f t="shared" si="14"/>
        <v>19.19675367716377</v>
      </c>
      <c r="X123" s="195">
        <f t="shared" si="17"/>
        <v>727.06106075904336</v>
      </c>
      <c r="Y123" s="196">
        <f t="shared" si="16"/>
        <v>0.88834031884088338</v>
      </c>
      <c r="AC123" s="251">
        <f t="shared" si="15"/>
        <v>0.90625849708998696</v>
      </c>
    </row>
    <row r="124" spans="1:29" ht="15.6" x14ac:dyDescent="0.3">
      <c r="A124" s="194">
        <v>2053</v>
      </c>
      <c r="B124" s="253">
        <f>(B176/Population_Tables!O42)*Population_Tables!C42</f>
        <v>7282.7957223609383</v>
      </c>
      <c r="C124" s="253">
        <f>(C176/Population_Tables!P42)*Population_Tables!D42</f>
        <v>0</v>
      </c>
      <c r="D124" s="253">
        <f>(D176/Population_Tables!Q42)*Population_Tables!E42</f>
        <v>0</v>
      </c>
      <c r="E124" s="253">
        <f>(E176/Population_Tables!R42)*Population_Tables!F42</f>
        <v>4421.3890194271953</v>
      </c>
      <c r="F124" s="253">
        <f>(F176/Population_Tables!S42)*Population_Tables!G42</f>
        <v>3417.3468585105711</v>
      </c>
      <c r="G124" s="253">
        <f>(G176/Population_Tables!T42)*Population_Tables!H42</f>
        <v>175.97897770254266</v>
      </c>
      <c r="H124" s="253">
        <f>(H176/Population_Tables!U42)*Population_Tables!I42</f>
        <v>796.15379732250869</v>
      </c>
      <c r="I124" s="253">
        <f>(I176/Population_Tables!V42)*Population_Tables!J42</f>
        <v>2059.577532334506</v>
      </c>
      <c r="J124" s="253">
        <f>(J176/Population_Tables!W42)*Population_Tables!K42</f>
        <v>0</v>
      </c>
      <c r="K124" s="253">
        <f>(K176/Population_Tables!X42)*Population_Tables!L42</f>
        <v>0</v>
      </c>
      <c r="N124" s="195">
        <f t="shared" si="9"/>
        <v>7042.5820806152578</v>
      </c>
      <c r="O124" s="195">
        <f t="shared" si="11"/>
        <v>796.15379732250869</v>
      </c>
      <c r="P124" s="195">
        <f t="shared" si="10"/>
        <v>175.97897770254266</v>
      </c>
      <c r="Q124" s="195">
        <f t="shared" si="12"/>
        <v>8014.714855640309</v>
      </c>
      <c r="R124" s="196">
        <f t="shared" si="13"/>
        <v>0.87870650515521231</v>
      </c>
      <c r="U124" s="195">
        <f t="shared" si="18"/>
        <v>678.01522273301362</v>
      </c>
      <c r="V124" s="195">
        <f t="shared" si="14"/>
        <v>64.391486593426293</v>
      </c>
      <c r="W124" s="195">
        <f t="shared" si="14"/>
        <v>19.943819733797426</v>
      </c>
      <c r="X124" s="195">
        <f t="shared" si="17"/>
        <v>762.35052906023736</v>
      </c>
      <c r="Y124" s="196">
        <f t="shared" si="16"/>
        <v>0.88937463396111849</v>
      </c>
      <c r="AC124" s="251">
        <f t="shared" si="15"/>
        <v>0.9080454684479099</v>
      </c>
    </row>
    <row r="125" spans="1:29" ht="15.6" x14ac:dyDescent="0.3">
      <c r="A125" s="194">
        <v>2054</v>
      </c>
      <c r="B125" s="253">
        <f>(B177/Population_Tables!O43)*Population_Tables!C43</f>
        <v>7348.4886711586241</v>
      </c>
      <c r="C125" s="253">
        <f>(C177/Population_Tables!P43)*Population_Tables!D43</f>
        <v>0</v>
      </c>
      <c r="D125" s="253">
        <f>(D177/Population_Tables!Q43)*Population_Tables!E43</f>
        <v>0</v>
      </c>
      <c r="E125" s="253">
        <f>(E177/Population_Tables!R43)*Population_Tables!F43</f>
        <v>4426.266031783096</v>
      </c>
      <c r="F125" s="253">
        <f>(F177/Population_Tables!S43)*Population_Tables!G43</f>
        <v>3468.7480965950967</v>
      </c>
      <c r="G125" s="253">
        <f>(G177/Population_Tables!T43)*Population_Tables!H43</f>
        <v>175.83431612180081</v>
      </c>
      <c r="H125" s="253">
        <f>(H177/Population_Tables!U43)*Population_Tables!I43</f>
        <v>793.40977726341907</v>
      </c>
      <c r="I125" s="253">
        <f>(I177/Population_Tables!V43)*Population_Tables!J43</f>
        <v>2069.2901679266488</v>
      </c>
      <c r="J125" s="253">
        <f>(J177/Population_Tables!W43)*Population_Tables!K43</f>
        <v>0</v>
      </c>
      <c r="K125" s="253">
        <f>(K177/Population_Tables!X43)*Population_Tables!L43</f>
        <v>0</v>
      </c>
      <c r="N125" s="195">
        <f t="shared" si="9"/>
        <v>7101.6043511147727</v>
      </c>
      <c r="O125" s="195">
        <f t="shared" si="11"/>
        <v>793.40977726341907</v>
      </c>
      <c r="P125" s="195">
        <f t="shared" si="10"/>
        <v>175.83431612180081</v>
      </c>
      <c r="Q125" s="195">
        <f t="shared" si="12"/>
        <v>8070.8484444999922</v>
      </c>
      <c r="R125" s="196">
        <f t="shared" si="13"/>
        <v>0.87990802949029157</v>
      </c>
      <c r="U125" s="195">
        <f t="shared" si="18"/>
        <v>711.12745318120687</v>
      </c>
      <c r="V125" s="195">
        <f t="shared" si="14"/>
        <v>66.90747494440609</v>
      </c>
      <c r="W125" s="195">
        <f t="shared" si="14"/>
        <v>20.703071608887484</v>
      </c>
      <c r="X125" s="195">
        <f t="shared" si="17"/>
        <v>798.73799973450048</v>
      </c>
      <c r="Y125" s="196">
        <f t="shared" si="16"/>
        <v>0.89031378677061157</v>
      </c>
      <c r="AC125" s="251">
        <f t="shared" si="15"/>
        <v>0.90986964484414135</v>
      </c>
    </row>
    <row r="126" spans="1:29" ht="15.6" x14ac:dyDescent="0.3">
      <c r="A126" s="194">
        <v>2055</v>
      </c>
      <c r="B126" s="253">
        <f>(B178/Population_Tables!O44)*Population_Tables!C44</f>
        <v>7414.7967682347198</v>
      </c>
      <c r="C126" s="253">
        <f>(C178/Population_Tables!P44)*Population_Tables!D44</f>
        <v>0</v>
      </c>
      <c r="D126" s="253">
        <f>(D178/Population_Tables!Q44)*Population_Tables!E44</f>
        <v>0</v>
      </c>
      <c r="E126" s="253">
        <f>(E178/Population_Tables!R44)*Population_Tables!F44</f>
        <v>4430.9816801612369</v>
      </c>
      <c r="F126" s="253">
        <f>(F178/Population_Tables!S44)*Population_Tables!G44</f>
        <v>3520.724756464625</v>
      </c>
      <c r="G126" s="253">
        <f>(G178/Population_Tables!T44)*Population_Tables!H44</f>
        <v>175.68029772107892</v>
      </c>
      <c r="H126" s="253">
        <f>(H178/Population_Tables!U44)*Population_Tables!I44</f>
        <v>791.5135952338494</v>
      </c>
      <c r="I126" s="253">
        <f>(I178/Population_Tables!V44)*Population_Tables!J44</f>
        <v>2078.9952374052132</v>
      </c>
      <c r="J126" s="253">
        <f>(J178/Population_Tables!W44)*Population_Tables!K44</f>
        <v>0</v>
      </c>
      <c r="K126" s="253">
        <f>(K178/Population_Tables!X44)*Population_Tables!L44</f>
        <v>0</v>
      </c>
      <c r="N126" s="195">
        <f t="shared" si="9"/>
        <v>7160.1928413920123</v>
      </c>
      <c r="O126" s="195">
        <f t="shared" si="11"/>
        <v>791.5135952338494</v>
      </c>
      <c r="P126" s="195">
        <f t="shared" si="10"/>
        <v>175.68029772107892</v>
      </c>
      <c r="Q126" s="195">
        <f t="shared" si="12"/>
        <v>8127.386734346941</v>
      </c>
      <c r="R126" s="196">
        <f t="shared" si="13"/>
        <v>0.88099570937513094</v>
      </c>
      <c r="U126" s="195">
        <f t="shared" si="18"/>
        <v>745.17330298455272</v>
      </c>
      <c r="V126" s="195">
        <f t="shared" si="14"/>
        <v>69.545936542235381</v>
      </c>
      <c r="W126" s="195">
        <f t="shared" si="14"/>
        <v>21.47395974416267</v>
      </c>
      <c r="X126" s="195">
        <f t="shared" si="17"/>
        <v>836.1931992709508</v>
      </c>
      <c r="Y126" s="196">
        <f t="shared" si="16"/>
        <v>0.89114968123903027</v>
      </c>
      <c r="AC126" s="251">
        <f t="shared" si="15"/>
        <v>0.91173620990006909</v>
      </c>
    </row>
    <row r="127" spans="1:29" ht="15.6" x14ac:dyDescent="0.3">
      <c r="A127" s="194">
        <v>2056</v>
      </c>
      <c r="B127" s="253">
        <f>(B179/Population_Tables!O45)*Population_Tables!C45</f>
        <v>7481.6851666448301</v>
      </c>
      <c r="C127" s="253">
        <f>(C179/Population_Tables!P45)*Population_Tables!D45</f>
        <v>0</v>
      </c>
      <c r="D127" s="253">
        <f>(D179/Population_Tables!Q45)*Population_Tables!E45</f>
        <v>0</v>
      </c>
      <c r="E127" s="253">
        <f>(E179/Population_Tables!R45)*Population_Tables!F45</f>
        <v>4435.5241241485719</v>
      </c>
      <c r="F127" s="253">
        <f>(F179/Population_Tables!S45)*Population_Tables!G45</f>
        <v>3573.2781638239367</v>
      </c>
      <c r="G127" s="253">
        <f>(G179/Population_Tables!T45)*Population_Tables!H45</f>
        <v>175.51677574373113</v>
      </c>
      <c r="H127" s="253">
        <f>(H179/Population_Tables!U45)*Population_Tables!I45</f>
        <v>790.5181957453533</v>
      </c>
      <c r="I127" s="253">
        <f>(I179/Population_Tables!V45)*Population_Tables!J45</f>
        <v>2088.6843910760663</v>
      </c>
      <c r="J127" s="253">
        <f>(J179/Population_Tables!W45)*Population_Tables!K45</f>
        <v>0</v>
      </c>
      <c r="K127" s="253">
        <f>(K179/Population_Tables!X45)*Population_Tables!L45</f>
        <v>0</v>
      </c>
      <c r="N127" s="195">
        <f t="shared" si="9"/>
        <v>7218.2840922271553</v>
      </c>
      <c r="O127" s="195">
        <f t="shared" si="11"/>
        <v>790.5181957453533</v>
      </c>
      <c r="P127" s="195">
        <f t="shared" si="10"/>
        <v>175.51677574373113</v>
      </c>
      <c r="Q127" s="195">
        <f t="shared" si="12"/>
        <v>8184.3190637162397</v>
      </c>
      <c r="R127" s="196">
        <f t="shared" si="13"/>
        <v>0.88196513797075271</v>
      </c>
      <c r="U127" s="195">
        <f t="shared" si="18"/>
        <v>780.13255819963979</v>
      </c>
      <c r="V127" s="195">
        <f t="shared" si="14"/>
        <v>72.320750090230035</v>
      </c>
      <c r="W127" s="195">
        <f t="shared" si="14"/>
        <v>22.25616350537021</v>
      </c>
      <c r="X127" s="195">
        <f t="shared" si="17"/>
        <v>874.70947179524001</v>
      </c>
      <c r="Y127" s="196">
        <f t="shared" si="16"/>
        <v>0.89187619816041086</v>
      </c>
      <c r="AC127" s="251">
        <f t="shared" si="15"/>
        <v>0.91364295693584263</v>
      </c>
    </row>
    <row r="128" spans="1:29" ht="15.6" x14ac:dyDescent="0.3">
      <c r="A128" s="194">
        <v>2057</v>
      </c>
      <c r="B128" s="253">
        <f>(B180/Population_Tables!O46)*Population_Tables!C46</f>
        <v>7549.1038705288947</v>
      </c>
      <c r="C128" s="253">
        <f>(C180/Population_Tables!P46)*Population_Tables!D46</f>
        <v>0</v>
      </c>
      <c r="D128" s="253">
        <f>(D180/Population_Tables!Q46)*Population_Tables!E46</f>
        <v>0</v>
      </c>
      <c r="E128" s="253">
        <f>(E180/Population_Tables!R46)*Population_Tables!F46</f>
        <v>4439.8719417270149</v>
      </c>
      <c r="F128" s="253">
        <f>(F180/Population_Tables!S46)*Population_Tables!G46</f>
        <v>3626.4060057237211</v>
      </c>
      <c r="G128" s="253">
        <f>(G180/Population_Tables!T46)*Population_Tables!H46</f>
        <v>175.34329541020057</v>
      </c>
      <c r="H128" s="253">
        <f>(H180/Population_Tables!U46)*Population_Tables!I46</f>
        <v>790.47759266539788</v>
      </c>
      <c r="I128" s="253">
        <f>(I180/Population_Tables!V46)*Population_Tables!J46</f>
        <v>2098.3422701755217</v>
      </c>
      <c r="J128" s="253">
        <f>(J180/Population_Tables!W46)*Population_Tables!K46</f>
        <v>0</v>
      </c>
      <c r="K128" s="253">
        <f>(K180/Population_Tables!X46)*Population_Tables!L46</f>
        <v>0</v>
      </c>
      <c r="N128" s="195">
        <f t="shared" si="9"/>
        <v>7275.8003547853386</v>
      </c>
      <c r="O128" s="195">
        <f t="shared" si="11"/>
        <v>790.47759266539788</v>
      </c>
      <c r="P128" s="195">
        <f t="shared" si="10"/>
        <v>175.34329541020057</v>
      </c>
      <c r="Q128" s="195">
        <f t="shared" si="12"/>
        <v>8241.6212428609379</v>
      </c>
      <c r="R128" s="196">
        <f t="shared" si="13"/>
        <v>0.88281178428185925</v>
      </c>
      <c r="U128" s="195">
        <f t="shared" si="18"/>
        <v>815.97071526800846</v>
      </c>
      <c r="V128" s="195">
        <f t="shared" si="14"/>
        <v>75.246863647618966</v>
      </c>
      <c r="W128" s="195">
        <f t="shared" si="14"/>
        <v>23.04905423534629</v>
      </c>
      <c r="X128" s="195">
        <f t="shared" si="17"/>
        <v>914.26663315097369</v>
      </c>
      <c r="Y128" s="196">
        <f t="shared" si="16"/>
        <v>0.89248659601171998</v>
      </c>
      <c r="AC128" s="251">
        <f t="shared" si="15"/>
        <v>0.91558559454520239</v>
      </c>
    </row>
    <row r="129" spans="1:29" ht="15.6" x14ac:dyDescent="0.3">
      <c r="A129" s="194">
        <v>2058</v>
      </c>
      <c r="B129" s="253">
        <f>(B181/Population_Tables!O47)*Population_Tables!C47</f>
        <v>7616.9614006927959</v>
      </c>
      <c r="C129" s="253">
        <f>(C181/Population_Tables!P47)*Population_Tables!D47</f>
        <v>0</v>
      </c>
      <c r="D129" s="253">
        <f>(D181/Population_Tables!Q47)*Population_Tables!E47</f>
        <v>0</v>
      </c>
      <c r="E129" s="253">
        <f>(E181/Population_Tables!R47)*Population_Tables!F47</f>
        <v>4443.9707274702869</v>
      </c>
      <c r="F129" s="253">
        <f>(F181/Population_Tables!S47)*Population_Tables!G47</f>
        <v>3680.0952666513467</v>
      </c>
      <c r="G129" s="253">
        <f>(G181/Population_Tables!T47)*Population_Tables!H47</f>
        <v>175.15873387962552</v>
      </c>
      <c r="H129" s="253">
        <f>(H181/Population_Tables!U47)*Population_Tables!I47</f>
        <v>791.44510047302549</v>
      </c>
      <c r="I129" s="253">
        <f>(I181/Population_Tables!V47)*Population_Tables!J47</f>
        <v>2107.9274447244666</v>
      </c>
      <c r="J129" s="253">
        <f>(J181/Population_Tables!W47)*Population_Tables!K47</f>
        <v>0</v>
      </c>
      <c r="K129" s="253">
        <f>(K181/Population_Tables!X47)*Population_Tables!L47</f>
        <v>0</v>
      </c>
      <c r="N129" s="195">
        <f t="shared" si="9"/>
        <v>7332.6208936486082</v>
      </c>
      <c r="O129" s="195">
        <f t="shared" si="11"/>
        <v>791.44510047302549</v>
      </c>
      <c r="P129" s="195">
        <f t="shared" si="10"/>
        <v>175.15873387962552</v>
      </c>
      <c r="Q129" s="195">
        <f t="shared" si="12"/>
        <v>8299.2247280012598</v>
      </c>
      <c r="R129" s="196">
        <f t="shared" si="13"/>
        <v>0.88353082775414338</v>
      </c>
      <c r="U129" s="195">
        <f t="shared" si="18"/>
        <v>852.61028404811168</v>
      </c>
      <c r="V129" s="195">
        <f t="shared" si="14"/>
        <v>78.33852588520665</v>
      </c>
      <c r="W129" s="195">
        <f t="shared" si="14"/>
        <v>23.851335215622271</v>
      </c>
      <c r="X129" s="195">
        <f t="shared" si="17"/>
        <v>954.8001451489406</v>
      </c>
      <c r="Y129" s="196">
        <f t="shared" si="16"/>
        <v>0.89297251197538496</v>
      </c>
      <c r="AC129" s="251">
        <f t="shared" si="15"/>
        <v>0.91756069961692899</v>
      </c>
    </row>
    <row r="130" spans="1:29" ht="15.6" x14ac:dyDescent="0.3">
      <c r="A130" s="194">
        <v>2059</v>
      </c>
      <c r="B130" s="253">
        <f>(B182/Population_Tables!O48)*Population_Tables!C48</f>
        <v>7685.1486112351295</v>
      </c>
      <c r="C130" s="253">
        <f>(C182/Population_Tables!P48)*Population_Tables!D48</f>
        <v>0</v>
      </c>
      <c r="D130" s="253">
        <f>(D182/Population_Tables!Q48)*Population_Tables!E48</f>
        <v>0</v>
      </c>
      <c r="E130" s="253">
        <f>(E182/Population_Tables!R48)*Population_Tables!F48</f>
        <v>4447.7531122616356</v>
      </c>
      <c r="F130" s="253">
        <f>(F182/Population_Tables!S48)*Population_Tables!G48</f>
        <v>3734.3283907384607</v>
      </c>
      <c r="G130" s="253">
        <f>(G182/Population_Tables!T48)*Population_Tables!H48</f>
        <v>174.9616864662203</v>
      </c>
      <c r="H130" s="253">
        <f>(H182/Population_Tables!U48)*Population_Tables!I48</f>
        <v>793.47454004986741</v>
      </c>
      <c r="I130" s="253">
        <f>(I182/Population_Tables!V48)*Population_Tables!J48</f>
        <v>2117.3890118257441</v>
      </c>
      <c r="J130" s="253">
        <f>(J182/Population_Tables!W48)*Population_Tables!K48</f>
        <v>0</v>
      </c>
      <c r="K130" s="253">
        <f>(K182/Population_Tables!X48)*Population_Tables!L48</f>
        <v>0</v>
      </c>
      <c r="N130" s="195">
        <f t="shared" si="9"/>
        <v>7388.6069629502281</v>
      </c>
      <c r="O130" s="195">
        <f t="shared" si="11"/>
        <v>793.47454004986741</v>
      </c>
      <c r="P130" s="195">
        <f t="shared" si="10"/>
        <v>174.9616864662203</v>
      </c>
      <c r="Q130" s="195">
        <f t="shared" si="12"/>
        <v>8357.0431894663161</v>
      </c>
      <c r="R130" s="196">
        <f t="shared" si="13"/>
        <v>0.88411736010449737</v>
      </c>
      <c r="U130" s="195">
        <f t="shared" si="18"/>
        <v>889.95576394961972</v>
      </c>
      <c r="V130" s="195">
        <f t="shared" si="14"/>
        <v>81.610491876386163</v>
      </c>
      <c r="W130" s="195">
        <f t="shared" si="14"/>
        <v>24.661427882805611</v>
      </c>
      <c r="X130" s="195">
        <f t="shared" si="17"/>
        <v>996.22768370881147</v>
      </c>
      <c r="Y130" s="196">
        <f t="shared" si="16"/>
        <v>0.89332567093141124</v>
      </c>
      <c r="AC130" s="251">
        <f t="shared" si="15"/>
        <v>0.9195640887956219</v>
      </c>
    </row>
    <row r="131" spans="1:29" ht="15.6" x14ac:dyDescent="0.3">
      <c r="A131" s="194">
        <v>2060</v>
      </c>
      <c r="B131" s="253">
        <f>(B183/Population_Tables!O49)*Population_Tables!C49</f>
        <v>7753.5651689370497</v>
      </c>
      <c r="C131" s="253">
        <f>(C183/Population_Tables!P49)*Population_Tables!D49</f>
        <v>0</v>
      </c>
      <c r="D131" s="253">
        <f>(D183/Population_Tables!Q49)*Population_Tables!E49</f>
        <v>0</v>
      </c>
      <c r="E131" s="253">
        <f>(E183/Population_Tables!R49)*Population_Tables!F49</f>
        <v>4451.1606655646247</v>
      </c>
      <c r="F131" s="253">
        <f>(F183/Population_Tables!S49)*Population_Tables!G49</f>
        <v>3789.0910208625319</v>
      </c>
      <c r="G131" s="253">
        <f>(G183/Population_Tables!T49)*Population_Tables!H49</f>
        <v>174.75090454012746</v>
      </c>
      <c r="H131" s="253">
        <f>(H183/Population_Tables!U49)*Population_Tables!I49</f>
        <v>796.62141310964864</v>
      </c>
      <c r="I131" s="253">
        <f>(I183/Population_Tables!V49)*Population_Tables!J49</f>
        <v>2126.6842151770961</v>
      </c>
      <c r="J131" s="253">
        <f>(J183/Population_Tables!W49)*Population_Tables!K49</f>
        <v>0</v>
      </c>
      <c r="K131" s="253">
        <f>(K183/Population_Tables!X49)*Population_Tables!L49</f>
        <v>0</v>
      </c>
      <c r="N131" s="195">
        <f t="shared" si="9"/>
        <v>7443.630273317508</v>
      </c>
      <c r="O131" s="195">
        <f t="shared" si="11"/>
        <v>796.62141310964864</v>
      </c>
      <c r="P131" s="195">
        <f t="shared" si="10"/>
        <v>174.75090454012746</v>
      </c>
      <c r="Q131" s="195">
        <f t="shared" si="12"/>
        <v>8415.002590967284</v>
      </c>
      <c r="R131" s="196">
        <f>N131/Q131</f>
        <v>0.88456660504270634</v>
      </c>
      <c r="U131" s="195">
        <f t="shared" si="18"/>
        <v>927.92211087624764</v>
      </c>
      <c r="V131" s="195">
        <f t="shared" si="14"/>
        <v>85.079197526644521</v>
      </c>
      <c r="W131" s="195">
        <f t="shared" si="14"/>
        <v>25.477909729431872</v>
      </c>
      <c r="X131" s="195">
        <f t="shared" si="17"/>
        <v>1038.4792181323241</v>
      </c>
      <c r="Y131" s="196">
        <f t="shared" si="16"/>
        <v>0.89353941289753458</v>
      </c>
      <c r="AC131" s="251">
        <f t="shared" si="15"/>
        <v>0.92158993595224736</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4417.4541439706236</v>
      </c>
      <c r="C137" s="229">
        <v>0</v>
      </c>
      <c r="D137" s="229">
        <v>0</v>
      </c>
      <c r="E137" s="229">
        <v>4053.2987311542274</v>
      </c>
      <c r="F137" s="229">
        <v>1783.7577542717631</v>
      </c>
      <c r="G137" s="229">
        <v>173.25410753661035</v>
      </c>
      <c r="H137" s="229">
        <v>1086.4921571737311</v>
      </c>
      <c r="I137" s="229">
        <v>1622.3703887665038</v>
      </c>
      <c r="J137" s="229">
        <v>0</v>
      </c>
      <c r="K137" s="229">
        <v>0</v>
      </c>
      <c r="N137" s="195">
        <f t="shared" ref="N137:N183" si="19">SUMIF($C$83:$G$83,"Y",C137:G137)-H137</f>
        <v>4750.5643282522587</v>
      </c>
      <c r="O137" s="195">
        <f>H137</f>
        <v>1086.4921571737311</v>
      </c>
      <c r="P137" s="195">
        <f t="shared" ref="P137:P183" si="20">SUMIF($C$83:$G$83,"N",C137:G137)-(IF($E$83="N",H137))</f>
        <v>173.25410753661035</v>
      </c>
      <c r="Q137" s="195">
        <f>N137+P137+O137</f>
        <v>6010.3105929626008</v>
      </c>
      <c r="R137" s="196">
        <f>N137/Q137</f>
        <v>0.7904024683540708</v>
      </c>
      <c r="AC137" s="251"/>
    </row>
    <row r="138" spans="1:29" ht="15.6" x14ac:dyDescent="0.3">
      <c r="A138" s="194">
        <v>2015</v>
      </c>
      <c r="B138" s="229">
        <v>4499.7847185780383</v>
      </c>
      <c r="C138" s="229">
        <v>0</v>
      </c>
      <c r="D138" s="229">
        <v>0</v>
      </c>
      <c r="E138" s="229">
        <v>4063.4589702924864</v>
      </c>
      <c r="F138" s="229">
        <v>1813.7143585332071</v>
      </c>
      <c r="G138" s="229">
        <v>173.11008613161991</v>
      </c>
      <c r="H138" s="229">
        <v>1083.1677488787807</v>
      </c>
      <c r="I138" s="229">
        <v>1629.3408486576739</v>
      </c>
      <c r="J138" s="229">
        <v>0</v>
      </c>
      <c r="K138" s="229">
        <v>0</v>
      </c>
      <c r="N138" s="195">
        <f t="shared" si="19"/>
        <v>4794.0055799469128</v>
      </c>
      <c r="O138" s="195">
        <f t="shared" ref="O138:O183" si="21">H138</f>
        <v>1083.1677488787807</v>
      </c>
      <c r="P138" s="195">
        <f t="shared" si="20"/>
        <v>173.11008613161991</v>
      </c>
      <c r="Q138" s="195">
        <f t="shared" ref="Q138:Q183" si="22">N138+P138+O138</f>
        <v>6050.2834149573137</v>
      </c>
      <c r="R138" s="196">
        <f t="shared" ref="R138:R182" si="23">N138/Q138</f>
        <v>0.79236049803804698</v>
      </c>
      <c r="AC138" s="251"/>
    </row>
    <row r="139" spans="1:29" ht="15.6" x14ac:dyDescent="0.3">
      <c r="A139" s="194">
        <v>2016</v>
      </c>
      <c r="B139" s="229">
        <v>4566.4595759123849</v>
      </c>
      <c r="C139" s="229">
        <v>0</v>
      </c>
      <c r="D139" s="229">
        <v>0</v>
      </c>
      <c r="E139" s="229">
        <v>4072.7223221421327</v>
      </c>
      <c r="F139" s="229">
        <v>1846.4013746132573</v>
      </c>
      <c r="G139" s="229">
        <v>173.13275302879063</v>
      </c>
      <c r="H139" s="229">
        <v>1079.2916426316124</v>
      </c>
      <c r="I139" s="229">
        <v>1640.767841948769</v>
      </c>
      <c r="J139" s="229">
        <v>0</v>
      </c>
      <c r="K139" s="229">
        <v>0</v>
      </c>
      <c r="N139" s="195">
        <f t="shared" si="19"/>
        <v>4839.8320541237781</v>
      </c>
      <c r="O139" s="195">
        <f t="shared" si="21"/>
        <v>1079.2916426316124</v>
      </c>
      <c r="P139" s="195">
        <f t="shared" si="20"/>
        <v>173.13275302879063</v>
      </c>
      <c r="Q139" s="195">
        <f t="shared" si="22"/>
        <v>6092.2564497841813</v>
      </c>
      <c r="R139" s="196">
        <f t="shared" si="23"/>
        <v>0.79442355948348653</v>
      </c>
      <c r="AC139" s="251"/>
    </row>
    <row r="140" spans="1:29" ht="15.6" x14ac:dyDescent="0.3">
      <c r="A140" s="194">
        <v>2017</v>
      </c>
      <c r="B140" s="229">
        <v>4640.6194842280265</v>
      </c>
      <c r="C140" s="229">
        <v>0</v>
      </c>
      <c r="D140" s="229">
        <v>0</v>
      </c>
      <c r="E140" s="229">
        <v>4081.3706079670906</v>
      </c>
      <c r="F140" s="229">
        <v>1879.2202417136175</v>
      </c>
      <c r="G140" s="229">
        <v>173.12781949673331</v>
      </c>
      <c r="H140" s="229">
        <v>1074.6564004540699</v>
      </c>
      <c r="I140" s="229">
        <v>1651.9130083749465</v>
      </c>
      <c r="J140" s="229">
        <v>0</v>
      </c>
      <c r="K140" s="229">
        <v>0</v>
      </c>
      <c r="N140" s="195">
        <f t="shared" si="19"/>
        <v>4885.9344492266382</v>
      </c>
      <c r="O140" s="195">
        <f t="shared" si="21"/>
        <v>1074.6564004540699</v>
      </c>
      <c r="P140" s="195">
        <f t="shared" si="20"/>
        <v>173.12781949673331</v>
      </c>
      <c r="Q140" s="195">
        <f t="shared" si="22"/>
        <v>6133.7186691774414</v>
      </c>
      <c r="R140" s="196">
        <f t="shared" si="23"/>
        <v>0.79656970147309736</v>
      </c>
      <c r="AC140" s="251"/>
    </row>
    <row r="141" spans="1:29" ht="15.6" x14ac:dyDescent="0.3">
      <c r="A141" s="194">
        <v>2018</v>
      </c>
      <c r="B141" s="229">
        <v>4714.5920635800567</v>
      </c>
      <c r="C141" s="229">
        <v>0</v>
      </c>
      <c r="D141" s="229">
        <v>0</v>
      </c>
      <c r="E141" s="229">
        <v>4089.4036739655053</v>
      </c>
      <c r="F141" s="229">
        <v>1912.1669341679742</v>
      </c>
      <c r="G141" s="229">
        <v>173.09545941305481</v>
      </c>
      <c r="H141" s="229">
        <v>1069.3010881543908</v>
      </c>
      <c r="I141" s="229">
        <v>1662.775486621638</v>
      </c>
      <c r="J141" s="229">
        <v>0</v>
      </c>
      <c r="K141" s="229">
        <v>0</v>
      </c>
      <c r="N141" s="195">
        <f t="shared" si="19"/>
        <v>4932.2695199790887</v>
      </c>
      <c r="O141" s="195">
        <f t="shared" si="21"/>
        <v>1069.3010881543908</v>
      </c>
      <c r="P141" s="195">
        <f t="shared" si="20"/>
        <v>173.09545941305481</v>
      </c>
      <c r="Q141" s="195">
        <f t="shared" si="22"/>
        <v>6174.6660675465337</v>
      </c>
      <c r="R141" s="196">
        <f t="shared" si="23"/>
        <v>0.79879129754119582</v>
      </c>
      <c r="AC141" s="251"/>
    </row>
    <row r="142" spans="1:29" ht="16.2" thickBot="1" x14ac:dyDescent="0.35">
      <c r="A142" s="198">
        <v>2019</v>
      </c>
      <c r="B142" s="230">
        <v>4788.4290201034846</v>
      </c>
      <c r="C142" s="230">
        <v>0</v>
      </c>
      <c r="D142" s="230">
        <v>0</v>
      </c>
      <c r="E142" s="230">
        <v>4096.8213663355218</v>
      </c>
      <c r="F142" s="230">
        <v>1945.2374263100141</v>
      </c>
      <c r="G142" s="230">
        <v>173.03584665536212</v>
      </c>
      <c r="H142" s="230">
        <v>1063.2647715408134</v>
      </c>
      <c r="I142" s="230">
        <v>1673.354415374275</v>
      </c>
      <c r="J142" s="230">
        <v>0</v>
      </c>
      <c r="K142" s="230">
        <v>0</v>
      </c>
      <c r="N142" s="195">
        <f t="shared" si="19"/>
        <v>4978.7940211047226</v>
      </c>
      <c r="O142" s="195">
        <f t="shared" si="21"/>
        <v>1063.2647715408134</v>
      </c>
      <c r="P142" s="195">
        <f t="shared" si="20"/>
        <v>173.03584665536212</v>
      </c>
      <c r="Q142" s="195">
        <f t="shared" si="22"/>
        <v>6215.0946393008981</v>
      </c>
      <c r="R142" s="199">
        <f t="shared" si="23"/>
        <v>0.80108096659084183</v>
      </c>
      <c r="AC142" s="251"/>
    </row>
    <row r="143" spans="1:29" ht="15.6" x14ac:dyDescent="0.3">
      <c r="A143" s="201">
        <v>2020</v>
      </c>
      <c r="B143" s="228">
        <v>4857.0179010867632</v>
      </c>
      <c r="C143" s="228">
        <v>0</v>
      </c>
      <c r="D143" s="228">
        <v>0</v>
      </c>
      <c r="E143" s="228">
        <v>4103.623531275287</v>
      </c>
      <c r="F143" s="228">
        <v>1978.4276924734238</v>
      </c>
      <c r="G143" s="228">
        <v>172.94915510126211</v>
      </c>
      <c r="H143" s="228">
        <v>1056.5865164215754</v>
      </c>
      <c r="I143" s="228">
        <v>1683.648933318289</v>
      </c>
      <c r="J143" s="228">
        <v>0</v>
      </c>
      <c r="K143" s="228">
        <v>0</v>
      </c>
      <c r="L143" s="202"/>
      <c r="M143" s="202"/>
      <c r="N143" s="195">
        <f t="shared" si="19"/>
        <v>5025.4647073271353</v>
      </c>
      <c r="O143" s="195">
        <f t="shared" si="21"/>
        <v>1056.5865164215754</v>
      </c>
      <c r="P143" s="195">
        <f t="shared" si="20"/>
        <v>172.94915510126211</v>
      </c>
      <c r="Q143" s="195">
        <f t="shared" si="22"/>
        <v>6255.0003788499735</v>
      </c>
      <c r="R143" s="220">
        <f t="shared" si="23"/>
        <v>0.80343155922415832</v>
      </c>
      <c r="AC143" s="251"/>
    </row>
    <row r="144" spans="1:29" ht="15.6" x14ac:dyDescent="0.3">
      <c r="A144" s="206">
        <v>2021</v>
      </c>
      <c r="B144" s="229">
        <v>4928.7004256463306</v>
      </c>
      <c r="C144" s="229">
        <v>0</v>
      </c>
      <c r="D144" s="229">
        <v>0</v>
      </c>
      <c r="E144" s="229">
        <v>4109.8100149829443</v>
      </c>
      <c r="F144" s="229">
        <v>2011.7337069918901</v>
      </c>
      <c r="G144" s="229">
        <v>172.83555862836172</v>
      </c>
      <c r="H144" s="229">
        <v>1049.3053886049152</v>
      </c>
      <c r="I144" s="229">
        <v>1693.6581791391116</v>
      </c>
      <c r="J144" s="229">
        <v>0</v>
      </c>
      <c r="K144" s="229">
        <v>0</v>
      </c>
      <c r="L144" s="170"/>
      <c r="M144" s="170"/>
      <c r="N144" s="195">
        <f t="shared" si="19"/>
        <v>5072.2383333699199</v>
      </c>
      <c r="O144" s="195">
        <f t="shared" si="21"/>
        <v>1049.3053886049152</v>
      </c>
      <c r="P144" s="195">
        <f t="shared" si="20"/>
        <v>172.83555862836172</v>
      </c>
      <c r="Q144" s="195">
        <f t="shared" si="22"/>
        <v>6294.3792806031961</v>
      </c>
      <c r="R144" s="221">
        <f t="shared" si="23"/>
        <v>0.8058361447967658</v>
      </c>
      <c r="AC144" s="251"/>
    </row>
    <row r="145" spans="1:29" ht="15.6" x14ac:dyDescent="0.3">
      <c r="A145" s="206">
        <v>2022</v>
      </c>
      <c r="B145" s="229">
        <v>4995.1487260746981</v>
      </c>
      <c r="C145" s="229">
        <v>0</v>
      </c>
      <c r="D145" s="229">
        <v>0</v>
      </c>
      <c r="E145" s="229">
        <v>4115.3806636566405</v>
      </c>
      <c r="F145" s="229">
        <v>2045.1514441990996</v>
      </c>
      <c r="G145" s="229">
        <v>172.69523111426787</v>
      </c>
      <c r="H145" s="229">
        <v>1041.4604538990704</v>
      </c>
      <c r="I145" s="229">
        <v>1703.381291522174</v>
      </c>
      <c r="J145" s="229">
        <v>0</v>
      </c>
      <c r="K145" s="229">
        <v>0</v>
      </c>
      <c r="L145" s="170"/>
      <c r="M145" s="170"/>
      <c r="N145" s="195">
        <f t="shared" si="19"/>
        <v>5119.0716539566693</v>
      </c>
      <c r="O145" s="195">
        <f t="shared" si="21"/>
        <v>1041.4604538990704</v>
      </c>
      <c r="P145" s="195">
        <f t="shared" si="20"/>
        <v>172.69523111426787</v>
      </c>
      <c r="Q145" s="195">
        <f t="shared" si="22"/>
        <v>6333.2273389700076</v>
      </c>
      <c r="R145" s="221">
        <f t="shared" si="23"/>
        <v>0.80828799914660887</v>
      </c>
      <c r="AC145" s="251"/>
    </row>
    <row r="146" spans="1:29" ht="15.6" x14ac:dyDescent="0.3">
      <c r="A146" s="206">
        <v>2023</v>
      </c>
      <c r="B146" s="229">
        <v>5061.4646062802803</v>
      </c>
      <c r="C146" s="229">
        <v>0</v>
      </c>
      <c r="D146" s="229">
        <v>0</v>
      </c>
      <c r="E146" s="229">
        <v>4120.3353234945207</v>
      </c>
      <c r="F146" s="229">
        <v>2078.6768784287387</v>
      </c>
      <c r="G146" s="229">
        <v>172.52834643658747</v>
      </c>
      <c r="H146" s="229">
        <v>1033.0907781122796</v>
      </c>
      <c r="I146" s="229">
        <v>1712.8174091529079</v>
      </c>
      <c r="J146" s="229">
        <v>0</v>
      </c>
      <c r="K146" s="229">
        <v>0</v>
      </c>
      <c r="L146" s="170"/>
      <c r="M146" s="170"/>
      <c r="N146" s="195">
        <f t="shared" si="19"/>
        <v>5165.9214238109798</v>
      </c>
      <c r="O146" s="195">
        <f t="shared" si="21"/>
        <v>1033.0907781122796</v>
      </c>
      <c r="P146" s="195">
        <f t="shared" si="20"/>
        <v>172.52834643658747</v>
      </c>
      <c r="Q146" s="195">
        <f>N146+P146+O146</f>
        <v>6371.540548359847</v>
      </c>
      <c r="R146" s="221">
        <f t="shared" si="23"/>
        <v>0.81078059295106963</v>
      </c>
      <c r="AC146" s="251"/>
    </row>
    <row r="147" spans="1:29" ht="15.6" x14ac:dyDescent="0.3">
      <c r="A147" s="206">
        <v>2024</v>
      </c>
      <c r="B147" s="229">
        <v>5127.5978484995521</v>
      </c>
      <c r="C147" s="229">
        <v>0</v>
      </c>
      <c r="D147" s="229">
        <v>0</v>
      </c>
      <c r="E147" s="229">
        <v>4124.6738406947306</v>
      </c>
      <c r="F147" s="229">
        <v>2112.3059840144947</v>
      </c>
      <c r="G147" s="229">
        <v>172.33507847292742</v>
      </c>
      <c r="H147" s="229">
        <v>1024.2354270527803</v>
      </c>
      <c r="I147" s="229">
        <v>1721.9656707167446</v>
      </c>
      <c r="J147" s="229">
        <v>0</v>
      </c>
      <c r="K147" s="229">
        <v>0</v>
      </c>
      <c r="L147" s="170"/>
      <c r="M147" s="170"/>
      <c r="N147" s="195">
        <f t="shared" si="19"/>
        <v>5212.7443976564455</v>
      </c>
      <c r="O147" s="195">
        <f t="shared" si="21"/>
        <v>1024.2354270527803</v>
      </c>
      <c r="P147" s="195">
        <f t="shared" si="20"/>
        <v>172.33507847292742</v>
      </c>
      <c r="Q147" s="195">
        <f t="shared" si="22"/>
        <v>6409.3149031821531</v>
      </c>
      <c r="R147" s="221">
        <f t="shared" si="23"/>
        <v>0.8133075806695621</v>
      </c>
      <c r="AC147" s="251"/>
    </row>
    <row r="148" spans="1:29" ht="15.6" x14ac:dyDescent="0.3">
      <c r="A148" s="206">
        <v>2025</v>
      </c>
      <c r="B148" s="229">
        <v>5193.508617036513</v>
      </c>
      <c r="C148" s="229">
        <v>0</v>
      </c>
      <c r="D148" s="229">
        <v>0</v>
      </c>
      <c r="E148" s="229">
        <v>4128.3960614554153</v>
      </c>
      <c r="F148" s="229">
        <v>2146.0347352900535</v>
      </c>
      <c r="G148" s="229">
        <v>172.11560110089468</v>
      </c>
      <c r="H148" s="229">
        <v>1014.9334665288106</v>
      </c>
      <c r="I148" s="229">
        <v>1730.8252148991162</v>
      </c>
      <c r="J148" s="229">
        <v>0</v>
      </c>
      <c r="K148" s="229">
        <v>0</v>
      </c>
      <c r="L148" s="170"/>
      <c r="M148" s="170"/>
      <c r="N148" s="195">
        <f t="shared" si="19"/>
        <v>5259.4973302166582</v>
      </c>
      <c r="O148" s="195">
        <f t="shared" si="21"/>
        <v>1014.9334665288106</v>
      </c>
      <c r="P148" s="195">
        <f t="shared" si="20"/>
        <v>172.11560110089468</v>
      </c>
      <c r="Q148" s="195">
        <f t="shared" si="22"/>
        <v>6446.5463978463631</v>
      </c>
      <c r="R148" s="221">
        <f t="shared" si="23"/>
        <v>0.81586279003184248</v>
      </c>
      <c r="AC148" s="251"/>
    </row>
    <row r="149" spans="1:29" ht="15.6" x14ac:dyDescent="0.3">
      <c r="A149" s="206">
        <v>2026</v>
      </c>
      <c r="B149" s="229">
        <v>5259.1779602900378</v>
      </c>
      <c r="C149" s="229">
        <v>0</v>
      </c>
      <c r="D149" s="229">
        <v>0</v>
      </c>
      <c r="E149" s="229">
        <v>4131.5018319747196</v>
      </c>
      <c r="F149" s="229">
        <v>2179.8591065891023</v>
      </c>
      <c r="G149" s="229">
        <v>171.87008819809614</v>
      </c>
      <c r="H149" s="229">
        <v>1005.2239623486087</v>
      </c>
      <c r="I149" s="229">
        <v>1739.3951803854534</v>
      </c>
      <c r="J149" s="229">
        <v>0</v>
      </c>
      <c r="K149" s="229">
        <v>0</v>
      </c>
      <c r="L149" s="170"/>
      <c r="M149" s="170"/>
      <c r="N149" s="195">
        <f t="shared" si="19"/>
        <v>5306.1369762152135</v>
      </c>
      <c r="O149" s="195">
        <f t="shared" si="21"/>
        <v>1005.2239623486087</v>
      </c>
      <c r="P149" s="195">
        <f t="shared" si="20"/>
        <v>171.87008819809614</v>
      </c>
      <c r="Q149" s="195">
        <f t="shared" si="22"/>
        <v>6483.2310267619177</v>
      </c>
      <c r="R149" s="221">
        <f t="shared" si="23"/>
        <v>0.81844021203504613</v>
      </c>
      <c r="AC149" s="251"/>
    </row>
    <row r="150" spans="1:29" ht="15.6" x14ac:dyDescent="0.3">
      <c r="A150" s="206">
        <v>2027</v>
      </c>
      <c r="B150" s="229">
        <v>5324.5976928216296</v>
      </c>
      <c r="C150" s="229">
        <v>0</v>
      </c>
      <c r="D150" s="229">
        <v>0</v>
      </c>
      <c r="E150" s="229">
        <v>4133.9909984507904</v>
      </c>
      <c r="F150" s="229">
        <v>2213.7750722453275</v>
      </c>
      <c r="G150" s="229">
        <v>171.59871364213873</v>
      </c>
      <c r="H150" s="229">
        <v>995.1459803204126</v>
      </c>
      <c r="I150" s="229">
        <v>1747.6747058611882</v>
      </c>
      <c r="J150" s="229">
        <v>0</v>
      </c>
      <c r="K150" s="229">
        <v>0</v>
      </c>
      <c r="L150" s="170"/>
      <c r="M150" s="170"/>
      <c r="N150" s="195">
        <f t="shared" si="19"/>
        <v>5352.6200903757053</v>
      </c>
      <c r="O150" s="195">
        <f t="shared" si="21"/>
        <v>995.1459803204126</v>
      </c>
      <c r="P150" s="195">
        <f t="shared" si="20"/>
        <v>171.59871364213873</v>
      </c>
      <c r="Q150" s="195">
        <f t="shared" si="22"/>
        <v>6519.3647843382569</v>
      </c>
      <c r="R150" s="221">
        <f t="shared" si="23"/>
        <v>0.82103399141501154</v>
      </c>
      <c r="AC150" s="251"/>
    </row>
    <row r="151" spans="1:29" ht="15.6" x14ac:dyDescent="0.3">
      <c r="A151" s="206">
        <v>2028</v>
      </c>
      <c r="B151" s="229">
        <v>5389.7521233414827</v>
      </c>
      <c r="C151" s="229">
        <v>0</v>
      </c>
      <c r="D151" s="229">
        <v>0</v>
      </c>
      <c r="E151" s="229">
        <v>4135.8634070817716</v>
      </c>
      <c r="F151" s="229">
        <v>2247.7786065924156</v>
      </c>
      <c r="G151" s="229">
        <v>171.30165131062935</v>
      </c>
      <c r="H151" s="229">
        <v>984.73858625246021</v>
      </c>
      <c r="I151" s="229">
        <v>1755.662930011752</v>
      </c>
      <c r="J151" s="229">
        <v>0</v>
      </c>
      <c r="K151" s="229">
        <v>0</v>
      </c>
      <c r="L151" s="170"/>
      <c r="M151" s="170"/>
      <c r="N151" s="195">
        <f t="shared" si="19"/>
        <v>5398.9034274217265</v>
      </c>
      <c r="O151" s="195">
        <f t="shared" si="21"/>
        <v>984.73858625246021</v>
      </c>
      <c r="P151" s="195">
        <f t="shared" si="20"/>
        <v>171.30165131062935</v>
      </c>
      <c r="Q151" s="195">
        <f t="shared" si="22"/>
        <v>6554.9436649848158</v>
      </c>
      <c r="R151" s="221">
        <f t="shared" si="23"/>
        <v>0.82363841755979961</v>
      </c>
      <c r="AC151" s="251"/>
    </row>
    <row r="152" spans="1:29" ht="15.6" x14ac:dyDescent="0.3">
      <c r="A152" s="206">
        <v>2029</v>
      </c>
      <c r="B152" s="229">
        <v>5454.6270857568661</v>
      </c>
      <c r="C152" s="229">
        <v>0</v>
      </c>
      <c r="D152" s="229">
        <v>0</v>
      </c>
      <c r="E152" s="229">
        <v>4137.1189040658091</v>
      </c>
      <c r="F152" s="229">
        <v>2281.8656839640535</v>
      </c>
      <c r="G152" s="229">
        <v>170.97907508117495</v>
      </c>
      <c r="H152" s="229">
        <v>974.04084595298957</v>
      </c>
      <c r="I152" s="229">
        <v>1763.3589915225764</v>
      </c>
      <c r="J152" s="229">
        <v>0</v>
      </c>
      <c r="K152" s="229">
        <v>0</v>
      </c>
      <c r="L152" s="170"/>
      <c r="M152" s="170"/>
      <c r="N152" s="195">
        <f t="shared" si="19"/>
        <v>5444.9437420768727</v>
      </c>
      <c r="O152" s="195">
        <f t="shared" si="21"/>
        <v>974.04084595298957</v>
      </c>
      <c r="P152" s="195">
        <f t="shared" si="20"/>
        <v>170.97907508117495</v>
      </c>
      <c r="Q152" s="195">
        <f t="shared" si="22"/>
        <v>6589.9636631110379</v>
      </c>
      <c r="R152" s="221">
        <f t="shared" si="23"/>
        <v>0.82624791583545454</v>
      </c>
      <c r="AC152" s="251"/>
    </row>
    <row r="153" spans="1:29" ht="15.6" x14ac:dyDescent="0.3">
      <c r="A153" s="206">
        <v>2030</v>
      </c>
      <c r="B153" s="229">
        <v>5519.2063213740985</v>
      </c>
      <c r="C153" s="229">
        <v>0</v>
      </c>
      <c r="D153" s="229">
        <v>0</v>
      </c>
      <c r="E153" s="229">
        <v>4137.7573356010489</v>
      </c>
      <c r="F153" s="229">
        <v>2316.0322786939278</v>
      </c>
      <c r="G153" s="229">
        <v>170.63115883138241</v>
      </c>
      <c r="H153" s="229">
        <v>963.09182523023878</v>
      </c>
      <c r="I153" s="229">
        <v>1770.7620290790928</v>
      </c>
      <c r="J153" s="229">
        <v>0</v>
      </c>
      <c r="K153" s="229">
        <v>0</v>
      </c>
      <c r="L153" s="170"/>
      <c r="M153" s="170"/>
      <c r="N153" s="195">
        <f t="shared" si="19"/>
        <v>5490.6977890647377</v>
      </c>
      <c r="O153" s="195">
        <f t="shared" si="21"/>
        <v>963.09182523023878</v>
      </c>
      <c r="P153" s="195">
        <f t="shared" si="20"/>
        <v>170.63115883138241</v>
      </c>
      <c r="Q153" s="195">
        <f t="shared" si="22"/>
        <v>6624.4207731263587</v>
      </c>
      <c r="R153" s="221">
        <f t="shared" si="23"/>
        <v>0.82885703929604604</v>
      </c>
      <c r="AC153" s="251"/>
    </row>
    <row r="154" spans="1:29" ht="15.6" x14ac:dyDescent="0.3">
      <c r="A154" s="206">
        <v>2031</v>
      </c>
      <c r="B154" s="229">
        <v>5575.3169470519524</v>
      </c>
      <c r="C154" s="229">
        <v>0</v>
      </c>
      <c r="D154" s="229">
        <v>0</v>
      </c>
      <c r="E154" s="229">
        <v>4137.7785478856358</v>
      </c>
      <c r="F154" s="229">
        <v>2350.2743651157252</v>
      </c>
      <c r="G154" s="229">
        <v>170.25807643885869</v>
      </c>
      <c r="H154" s="229">
        <v>951.93058989244571</v>
      </c>
      <c r="I154" s="229">
        <v>1777.8711813667326</v>
      </c>
      <c r="J154" s="229">
        <v>0</v>
      </c>
      <c r="K154" s="229">
        <v>0</v>
      </c>
      <c r="L154" s="170"/>
      <c r="M154" s="170"/>
      <c r="N154" s="195">
        <f t="shared" si="19"/>
        <v>5536.1223231089152</v>
      </c>
      <c r="O154" s="195">
        <f t="shared" si="21"/>
        <v>951.93058989244571</v>
      </c>
      <c r="P154" s="195">
        <f t="shared" si="20"/>
        <v>170.25807643885869</v>
      </c>
      <c r="Q154" s="195">
        <f t="shared" si="22"/>
        <v>6658.3109894402196</v>
      </c>
      <c r="R154" s="221">
        <f t="shared" si="23"/>
        <v>0.83146046075182656</v>
      </c>
      <c r="AC154" s="251"/>
    </row>
    <row r="155" spans="1:29" ht="15.6" x14ac:dyDescent="0.3">
      <c r="A155" s="206">
        <v>2032</v>
      </c>
      <c r="B155" s="229">
        <v>5631.1788205521534</v>
      </c>
      <c r="C155" s="229">
        <v>0</v>
      </c>
      <c r="D155" s="229">
        <v>0</v>
      </c>
      <c r="E155" s="229">
        <v>4137.1823871177157</v>
      </c>
      <c r="F155" s="229">
        <v>2384.5879175631321</v>
      </c>
      <c r="G155" s="229">
        <v>169.86000178121068</v>
      </c>
      <c r="H155" s="229">
        <v>940.59620574784856</v>
      </c>
      <c r="I155" s="229">
        <v>1784.6855870709273</v>
      </c>
      <c r="J155" s="229">
        <v>0</v>
      </c>
      <c r="K155" s="229">
        <v>0</v>
      </c>
      <c r="L155" s="170"/>
      <c r="M155" s="170"/>
      <c r="N155" s="195">
        <f t="shared" si="19"/>
        <v>5581.1740989329992</v>
      </c>
      <c r="O155" s="195">
        <f t="shared" si="21"/>
        <v>940.59620574784856</v>
      </c>
      <c r="P155" s="195">
        <f t="shared" si="20"/>
        <v>169.86000178121068</v>
      </c>
      <c r="Q155" s="195">
        <f t="shared" si="22"/>
        <v>6691.6303064620579</v>
      </c>
      <c r="R155" s="221">
        <f t="shared" si="23"/>
        <v>0.83405296517102878</v>
      </c>
      <c r="AC155" s="251"/>
    </row>
    <row r="156" spans="1:29" ht="15.6" x14ac:dyDescent="0.3">
      <c r="A156" s="206">
        <v>2033</v>
      </c>
      <c r="B156" s="229">
        <v>5686.7821323566286</v>
      </c>
      <c r="C156" s="229">
        <v>0</v>
      </c>
      <c r="D156" s="229">
        <v>0</v>
      </c>
      <c r="E156" s="229">
        <v>4135.9686994954336</v>
      </c>
      <c r="F156" s="229">
        <v>2418.9689103698356</v>
      </c>
      <c r="G156" s="229">
        <v>169.4371087360453</v>
      </c>
      <c r="H156" s="229">
        <v>929.12773860468531</v>
      </c>
      <c r="I156" s="229">
        <v>1791.2043848771086</v>
      </c>
      <c r="J156" s="229">
        <v>0</v>
      </c>
      <c r="K156" s="229">
        <v>0</v>
      </c>
      <c r="L156" s="170"/>
      <c r="M156" s="170"/>
      <c r="N156" s="195">
        <f t="shared" si="19"/>
        <v>5625.8098712605843</v>
      </c>
      <c r="O156" s="195">
        <f t="shared" si="21"/>
        <v>929.12773860468531</v>
      </c>
      <c r="P156" s="195">
        <f t="shared" si="20"/>
        <v>169.4371087360453</v>
      </c>
      <c r="Q156" s="195">
        <f t="shared" si="22"/>
        <v>6724.3747186013143</v>
      </c>
      <c r="R156" s="221">
        <f t="shared" si="23"/>
        <v>0.83662944239234271</v>
      </c>
      <c r="AC156" s="251"/>
    </row>
    <row r="157" spans="1:29" ht="15.6" x14ac:dyDescent="0.3">
      <c r="A157" s="206">
        <v>2034</v>
      </c>
      <c r="B157" s="229">
        <v>5742.1177052205576</v>
      </c>
      <c r="C157" s="229">
        <v>0</v>
      </c>
      <c r="D157" s="229">
        <v>0</v>
      </c>
      <c r="E157" s="229">
        <v>4134.1373312169353</v>
      </c>
      <c r="F157" s="229">
        <v>2453.413317869522</v>
      </c>
      <c r="G157" s="229">
        <v>168.98957118096945</v>
      </c>
      <c r="H157" s="229">
        <v>917.56425427119382</v>
      </c>
      <c r="I157" s="229">
        <v>1797.4267134707079</v>
      </c>
      <c r="J157" s="229">
        <v>0</v>
      </c>
      <c r="K157" s="229">
        <v>0</v>
      </c>
      <c r="L157" s="170"/>
      <c r="M157" s="170"/>
      <c r="N157" s="195">
        <f t="shared" si="19"/>
        <v>5669.9863948152633</v>
      </c>
      <c r="O157" s="195">
        <f t="shared" si="21"/>
        <v>917.56425427119382</v>
      </c>
      <c r="P157" s="195">
        <f t="shared" si="20"/>
        <v>168.98957118096945</v>
      </c>
      <c r="Q157" s="195">
        <f t="shared" si="22"/>
        <v>6756.5402202674268</v>
      </c>
      <c r="R157" s="221">
        <f t="shared" si="23"/>
        <v>0.83918488012653947</v>
      </c>
      <c r="AC157" s="251"/>
    </row>
    <row r="158" spans="1:29" ht="15.6" x14ac:dyDescent="0.3">
      <c r="A158" s="206">
        <v>2035</v>
      </c>
      <c r="B158" s="229">
        <v>5797.1723864159267</v>
      </c>
      <c r="C158" s="229">
        <v>0</v>
      </c>
      <c r="D158" s="229">
        <v>0</v>
      </c>
      <c r="E158" s="229">
        <v>4131.6881284803658</v>
      </c>
      <c r="F158" s="229">
        <v>2487.9171143958783</v>
      </c>
      <c r="G158" s="229">
        <v>168.5175629935901</v>
      </c>
      <c r="H158" s="229">
        <v>905.9448185556123</v>
      </c>
      <c r="I158" s="229">
        <v>1803.3517115371567</v>
      </c>
      <c r="J158" s="229">
        <v>0</v>
      </c>
      <c r="K158" s="229">
        <v>0</v>
      </c>
      <c r="L158" s="170"/>
      <c r="M158" s="170"/>
      <c r="N158" s="195">
        <f t="shared" si="19"/>
        <v>5713.660424320632</v>
      </c>
      <c r="O158" s="195">
        <f t="shared" si="21"/>
        <v>905.9448185556123</v>
      </c>
      <c r="P158" s="195">
        <f t="shared" si="20"/>
        <v>168.5175629935901</v>
      </c>
      <c r="Q158" s="195">
        <f t="shared" si="22"/>
        <v>6788.1228058698343</v>
      </c>
      <c r="R158" s="221">
        <f t="shared" si="23"/>
        <v>0.84171435722699484</v>
      </c>
      <c r="AC158" s="251"/>
    </row>
    <row r="159" spans="1:29" ht="15.6" x14ac:dyDescent="0.3">
      <c r="A159" s="206">
        <v>2036</v>
      </c>
      <c r="B159" s="229">
        <v>5851.9287919537901</v>
      </c>
      <c r="C159" s="229">
        <v>0</v>
      </c>
      <c r="D159" s="229">
        <v>0</v>
      </c>
      <c r="E159" s="229">
        <v>4128.6209374838709</v>
      </c>
      <c r="F159" s="229">
        <v>2522.4762742825906</v>
      </c>
      <c r="G159" s="229">
        <v>168.02125805151414</v>
      </c>
      <c r="H159" s="229">
        <v>894.30849726617885</v>
      </c>
      <c r="I159" s="229">
        <v>1808.9785177618865</v>
      </c>
      <c r="J159" s="229">
        <v>0</v>
      </c>
      <c r="K159" s="229">
        <v>0</v>
      </c>
      <c r="L159" s="170"/>
      <c r="M159" s="170"/>
      <c r="N159" s="195">
        <f t="shared" si="19"/>
        <v>5756.7887145002824</v>
      </c>
      <c r="O159" s="195">
        <f t="shared" si="21"/>
        <v>894.30849726617885</v>
      </c>
      <c r="P159" s="195">
        <f t="shared" si="20"/>
        <v>168.02125805151414</v>
      </c>
      <c r="Q159" s="195">
        <f t="shared" si="22"/>
        <v>6819.1184698179759</v>
      </c>
      <c r="R159" s="221">
        <f t="shared" si="23"/>
        <v>0.84421303721006469</v>
      </c>
      <c r="AC159" s="251"/>
    </row>
    <row r="160" spans="1:29" ht="15.6" x14ac:dyDescent="0.3">
      <c r="A160" s="206">
        <v>2037</v>
      </c>
      <c r="B160" s="229">
        <v>5906.3633029043349</v>
      </c>
      <c r="C160" s="229">
        <v>0</v>
      </c>
      <c r="D160" s="229">
        <v>0</v>
      </c>
      <c r="E160" s="229">
        <v>4124.9356044255946</v>
      </c>
      <c r="F160" s="229">
        <v>2557.0867718633458</v>
      </c>
      <c r="G160" s="229">
        <v>167.50083023234848</v>
      </c>
      <c r="H160" s="229">
        <v>882.69435621113121</v>
      </c>
      <c r="I160" s="229">
        <v>1814.3062708303289</v>
      </c>
      <c r="J160" s="229">
        <v>0</v>
      </c>
      <c r="K160" s="229">
        <v>0</v>
      </c>
      <c r="L160" s="170"/>
      <c r="M160" s="170"/>
      <c r="N160" s="195">
        <f t="shared" si="19"/>
        <v>5799.328020077809</v>
      </c>
      <c r="O160" s="195">
        <f t="shared" si="21"/>
        <v>882.69435621113121</v>
      </c>
      <c r="P160" s="195">
        <f t="shared" si="20"/>
        <v>167.50083023234848</v>
      </c>
      <c r="Q160" s="195">
        <f t="shared" si="22"/>
        <v>6849.5232065212886</v>
      </c>
      <c r="R160" s="221">
        <f t="shared" si="23"/>
        <v>0.84667616200736273</v>
      </c>
      <c r="AC160" s="251"/>
    </row>
    <row r="161" spans="1:29" ht="15.6" x14ac:dyDescent="0.3">
      <c r="A161" s="206">
        <v>2038</v>
      </c>
      <c r="B161" s="229">
        <v>5960.4478613526053</v>
      </c>
      <c r="C161" s="229">
        <v>0</v>
      </c>
      <c r="D161" s="229">
        <v>0</v>
      </c>
      <c r="E161" s="229">
        <v>4120.6319755036848</v>
      </c>
      <c r="F161" s="229">
        <v>2591.7445814718312</v>
      </c>
      <c r="G161" s="229">
        <v>166.95645341370005</v>
      </c>
      <c r="H161" s="229">
        <v>871.14146119870747</v>
      </c>
      <c r="I161" s="229">
        <v>1819.3341094279153</v>
      </c>
      <c r="J161" s="229">
        <v>0</v>
      </c>
      <c r="K161" s="229">
        <v>0</v>
      </c>
      <c r="L161" s="170"/>
      <c r="M161" s="170"/>
      <c r="N161" s="195">
        <f t="shared" si="19"/>
        <v>5841.2350957768085</v>
      </c>
      <c r="O161" s="195">
        <f t="shared" si="21"/>
        <v>871.14146119870747</v>
      </c>
      <c r="P161" s="195">
        <f t="shared" si="20"/>
        <v>166.95645341370005</v>
      </c>
      <c r="Q161" s="195">
        <f t="shared" si="22"/>
        <v>6879.3330103892158</v>
      </c>
      <c r="R161" s="221">
        <f t="shared" si="23"/>
        <v>0.84909904593299024</v>
      </c>
      <c r="AC161" s="251"/>
    </row>
    <row r="162" spans="1:29" ht="15.6" x14ac:dyDescent="0.3">
      <c r="A162" s="206">
        <v>2039</v>
      </c>
      <c r="B162" s="229">
        <v>6014.1507569269452</v>
      </c>
      <c r="C162" s="229">
        <v>0</v>
      </c>
      <c r="D162" s="229">
        <v>0</v>
      </c>
      <c r="E162" s="229">
        <v>4115.7098969162853</v>
      </c>
      <c r="F162" s="229">
        <v>2626.4456774417322</v>
      </c>
      <c r="G162" s="229">
        <v>166.38830147317577</v>
      </c>
      <c r="H162" s="229">
        <v>859.68887803714574</v>
      </c>
      <c r="I162" s="229">
        <v>1824.0611722400772</v>
      </c>
      <c r="J162" s="229">
        <v>0</v>
      </c>
      <c r="K162" s="229">
        <v>0</v>
      </c>
      <c r="L162" s="170"/>
      <c r="M162" s="170"/>
      <c r="N162" s="195">
        <f t="shared" si="19"/>
        <v>5882.466696320872</v>
      </c>
      <c r="O162" s="195">
        <f t="shared" si="21"/>
        <v>859.68887803714574</v>
      </c>
      <c r="P162" s="195">
        <f t="shared" si="20"/>
        <v>166.38830147317577</v>
      </c>
      <c r="Q162" s="195">
        <f t="shared" si="22"/>
        <v>6908.543875831193</v>
      </c>
      <c r="R162" s="221">
        <f t="shared" si="23"/>
        <v>0.8514770698497055</v>
      </c>
      <c r="AC162" s="251"/>
    </row>
    <row r="163" spans="1:29" ht="15.6" x14ac:dyDescent="0.3">
      <c r="A163" s="206">
        <v>2040</v>
      </c>
      <c r="B163" s="229">
        <v>6067.4408516783096</v>
      </c>
      <c r="C163" s="229">
        <v>0</v>
      </c>
      <c r="D163" s="229">
        <v>0</v>
      </c>
      <c r="E163" s="229">
        <v>4110.1692148615421</v>
      </c>
      <c r="F163" s="229">
        <v>2661.1860341067363</v>
      </c>
      <c r="G163" s="229">
        <v>165.79654828838255</v>
      </c>
      <c r="H163" s="229">
        <v>848.3756725346841</v>
      </c>
      <c r="I163" s="229">
        <v>1828.486597952246</v>
      </c>
      <c r="J163" s="229">
        <v>0</v>
      </c>
      <c r="K163" s="229">
        <v>0</v>
      </c>
      <c r="L163" s="170"/>
      <c r="M163" s="170"/>
      <c r="N163" s="195">
        <f t="shared" si="19"/>
        <v>5922.979576433595</v>
      </c>
      <c r="O163" s="195">
        <f t="shared" si="21"/>
        <v>848.3756725346841</v>
      </c>
      <c r="P163" s="195">
        <f t="shared" si="20"/>
        <v>165.79654828838255</v>
      </c>
      <c r="Q163" s="195">
        <f t="shared" si="22"/>
        <v>6937.1517972566617</v>
      </c>
      <c r="R163" s="221">
        <f t="shared" si="23"/>
        <v>0.85380567551885955</v>
      </c>
      <c r="AC163" s="251"/>
    </row>
    <row r="164" spans="1:29" ht="15.6" x14ac:dyDescent="0.3">
      <c r="A164" s="206">
        <v>2041</v>
      </c>
      <c r="B164" s="229">
        <v>6111.8345089233881</v>
      </c>
      <c r="C164" s="229">
        <v>0</v>
      </c>
      <c r="D164" s="229">
        <v>0</v>
      </c>
      <c r="E164" s="229">
        <v>4104.0097755376</v>
      </c>
      <c r="F164" s="229">
        <v>2695.9616258005299</v>
      </c>
      <c r="G164" s="229">
        <v>165.18136773692729</v>
      </c>
      <c r="H164" s="229">
        <v>837.24091049956041</v>
      </c>
      <c r="I164" s="229">
        <v>1832.6095252498535</v>
      </c>
      <c r="J164" s="229">
        <v>0</v>
      </c>
      <c r="K164" s="229">
        <v>0</v>
      </c>
      <c r="L164" s="170"/>
      <c r="M164" s="170"/>
      <c r="N164" s="195">
        <f t="shared" si="19"/>
        <v>5962.7304908385695</v>
      </c>
      <c r="O164" s="195">
        <f t="shared" si="21"/>
        <v>837.24091049956041</v>
      </c>
      <c r="P164" s="195">
        <f t="shared" si="20"/>
        <v>165.18136773692729</v>
      </c>
      <c r="Q164" s="195">
        <f>N164+P164+O164</f>
        <v>6965.1527690750572</v>
      </c>
      <c r="R164" s="221">
        <f>N164/Q164</f>
        <v>0.85608036011970989</v>
      </c>
      <c r="AC164" s="251"/>
    </row>
    <row r="165" spans="1:29" ht="15.6" x14ac:dyDescent="0.3">
      <c r="A165" s="206">
        <v>2042</v>
      </c>
      <c r="B165" s="229">
        <v>6155.9060474056614</v>
      </c>
      <c r="C165" s="229">
        <v>0</v>
      </c>
      <c r="D165" s="229">
        <v>0</v>
      </c>
      <c r="E165" s="229">
        <v>4097.2314251426051</v>
      </c>
      <c r="F165" s="229">
        <v>2730.7684268568</v>
      </c>
      <c r="G165" s="229">
        <v>164.54293369641695</v>
      </c>
      <c r="H165" s="229">
        <v>826.32365774001289</v>
      </c>
      <c r="I165" s="229">
        <v>1836.4290928183309</v>
      </c>
      <c r="J165" s="229">
        <v>0</v>
      </c>
      <c r="K165" s="229">
        <v>0</v>
      </c>
      <c r="L165" s="170"/>
      <c r="M165" s="170"/>
      <c r="N165" s="195">
        <f t="shared" si="19"/>
        <v>6001.6761942593921</v>
      </c>
      <c r="O165" s="195">
        <f t="shared" si="21"/>
        <v>826.32365774001289</v>
      </c>
      <c r="P165" s="195">
        <f t="shared" si="20"/>
        <v>164.54293369641695</v>
      </c>
      <c r="Q165" s="195">
        <f t="shared" si="22"/>
        <v>6992.5427856958222</v>
      </c>
      <c r="R165" s="221">
        <f t="shared" si="23"/>
        <v>0.85829667092443396</v>
      </c>
      <c r="AC165" s="251"/>
    </row>
    <row r="166" spans="1:29" ht="15.6" x14ac:dyDescent="0.3">
      <c r="A166" s="206">
        <v>2043</v>
      </c>
      <c r="B166" s="229">
        <v>6199.6360555284155</v>
      </c>
      <c r="C166" s="229">
        <v>0</v>
      </c>
      <c r="D166" s="229">
        <v>0</v>
      </c>
      <c r="E166" s="229">
        <v>4089.8340098747021</v>
      </c>
      <c r="F166" s="229">
        <v>2765.6024116092326</v>
      </c>
      <c r="G166" s="229">
        <v>163.88142004445842</v>
      </c>
      <c r="H166" s="229">
        <v>815.66298006427928</v>
      </c>
      <c r="I166" s="229">
        <v>1839.9444393431099</v>
      </c>
      <c r="J166" s="229">
        <v>0</v>
      </c>
      <c r="K166" s="229">
        <v>0</v>
      </c>
      <c r="L166" s="170"/>
      <c r="M166" s="170"/>
      <c r="N166" s="195">
        <f t="shared" si="19"/>
        <v>6039.7734414196557</v>
      </c>
      <c r="O166" s="195">
        <f t="shared" si="21"/>
        <v>815.66298006427928</v>
      </c>
      <c r="P166" s="195">
        <f t="shared" si="20"/>
        <v>163.88142004445842</v>
      </c>
      <c r="Q166" s="195">
        <f t="shared" si="22"/>
        <v>7019.3178415283937</v>
      </c>
      <c r="R166" s="221">
        <f t="shared" si="23"/>
        <v>0.86045020011582052</v>
      </c>
      <c r="AC166" s="251"/>
    </row>
    <row r="167" spans="1:29" ht="15.6" x14ac:dyDescent="0.3">
      <c r="A167" s="206">
        <v>2044</v>
      </c>
      <c r="B167" s="229">
        <v>6243.0037004014157</v>
      </c>
      <c r="C167" s="229">
        <v>0</v>
      </c>
      <c r="D167" s="229">
        <v>0</v>
      </c>
      <c r="E167" s="229">
        <v>4081.8173759320371</v>
      </c>
      <c r="F167" s="229">
        <v>2800.4595543915152</v>
      </c>
      <c r="G167" s="229">
        <v>163.19700065865865</v>
      </c>
      <c r="H167" s="229">
        <v>805.29794328059791</v>
      </c>
      <c r="I167" s="229">
        <v>1843.1547035096219</v>
      </c>
      <c r="J167" s="229">
        <v>0</v>
      </c>
      <c r="K167" s="229">
        <v>0</v>
      </c>
      <c r="L167" s="170"/>
      <c r="M167" s="170"/>
      <c r="N167" s="195">
        <f t="shared" si="19"/>
        <v>6076.9789870429549</v>
      </c>
      <c r="O167" s="195">
        <f t="shared" si="21"/>
        <v>805.29794328059791</v>
      </c>
      <c r="P167" s="195">
        <f t="shared" si="20"/>
        <v>163.19700065865865</v>
      </c>
      <c r="Q167" s="195">
        <f t="shared" si="22"/>
        <v>7045.4739309822116</v>
      </c>
      <c r="R167" s="221">
        <f t="shared" si="23"/>
        <v>0.86253657973520614</v>
      </c>
      <c r="AC167" s="251"/>
    </row>
    <row r="168" spans="1:29" ht="15.6" x14ac:dyDescent="0.3">
      <c r="A168" s="206">
        <v>2045</v>
      </c>
      <c r="B168" s="229">
        <v>6285.9860416715701</v>
      </c>
      <c r="C168" s="229">
        <v>0</v>
      </c>
      <c r="D168" s="229">
        <v>0</v>
      </c>
      <c r="E168" s="229">
        <v>4073.1813695127548</v>
      </c>
      <c r="F168" s="229">
        <v>2835.3358295373337</v>
      </c>
      <c r="G168" s="229">
        <v>162.48984941662451</v>
      </c>
      <c r="H168" s="229">
        <v>795.26761319720663</v>
      </c>
      <c r="I168" s="229">
        <v>1846.0590240032984</v>
      </c>
      <c r="J168" s="229">
        <v>0</v>
      </c>
      <c r="K168" s="229">
        <v>0</v>
      </c>
      <c r="L168" s="170"/>
      <c r="M168" s="170"/>
      <c r="N168" s="195">
        <f t="shared" si="19"/>
        <v>6113.2495858528819</v>
      </c>
      <c r="O168" s="195">
        <f t="shared" si="21"/>
        <v>795.26761319720663</v>
      </c>
      <c r="P168" s="195">
        <f t="shared" si="20"/>
        <v>162.48984941662451</v>
      </c>
      <c r="Q168" s="195">
        <f t="shared" si="22"/>
        <v>7071.0070484667131</v>
      </c>
      <c r="R168" s="221">
        <f t="shared" si="23"/>
        <v>0.86455147674877331</v>
      </c>
      <c r="AC168" s="251"/>
    </row>
    <row r="169" spans="1:29" ht="15.6" x14ac:dyDescent="0.3">
      <c r="A169" s="206">
        <v>2046</v>
      </c>
      <c r="B169" s="229">
        <v>6328.5570747503398</v>
      </c>
      <c r="C169" s="229">
        <v>0</v>
      </c>
      <c r="D169" s="229">
        <v>0</v>
      </c>
      <c r="E169" s="229">
        <v>4063.9258368150017</v>
      </c>
      <c r="F169" s="229">
        <v>2870.2272113803747</v>
      </c>
      <c r="G169" s="229">
        <v>161.76014019596295</v>
      </c>
      <c r="H169" s="229">
        <v>785.61105562234343</v>
      </c>
      <c r="I169" s="229">
        <v>1848.6565395095711</v>
      </c>
      <c r="J169" s="229">
        <v>0</v>
      </c>
      <c r="K169" s="229">
        <v>0</v>
      </c>
      <c r="L169" s="170"/>
      <c r="M169" s="170"/>
      <c r="N169" s="195">
        <f t="shared" si="19"/>
        <v>6148.541992573033</v>
      </c>
      <c r="O169" s="195">
        <f t="shared" si="21"/>
        <v>785.61105562234343</v>
      </c>
      <c r="P169" s="195">
        <f t="shared" si="20"/>
        <v>161.76014019596295</v>
      </c>
      <c r="Q169" s="195">
        <f t="shared" si="22"/>
        <v>7095.9131883913396</v>
      </c>
      <c r="R169" s="221">
        <f t="shared" si="23"/>
        <v>0.86649058822081249</v>
      </c>
      <c r="AC169" s="251"/>
    </row>
    <row r="170" spans="1:29" ht="15.6" x14ac:dyDescent="0.3">
      <c r="A170" s="206">
        <v>2047</v>
      </c>
      <c r="B170" s="229">
        <v>6370.6892620748204</v>
      </c>
      <c r="C170" s="229">
        <v>0</v>
      </c>
      <c r="D170" s="229">
        <v>0</v>
      </c>
      <c r="E170" s="229">
        <v>4054.0506240369223</v>
      </c>
      <c r="F170" s="229">
        <v>2905.1296742543254</v>
      </c>
      <c r="G170" s="229">
        <v>161.00804687428089</v>
      </c>
      <c r="H170" s="229">
        <v>776.36733636424628</v>
      </c>
      <c r="I170" s="229">
        <v>1850.9463887138711</v>
      </c>
      <c r="J170" s="229">
        <v>0</v>
      </c>
      <c r="K170" s="229">
        <v>0</v>
      </c>
      <c r="L170" s="170"/>
      <c r="M170" s="170"/>
      <c r="N170" s="195">
        <f t="shared" si="19"/>
        <v>6182.8129619270012</v>
      </c>
      <c r="O170" s="195">
        <f t="shared" si="21"/>
        <v>776.36733636424628</v>
      </c>
      <c r="P170" s="195">
        <f t="shared" si="20"/>
        <v>161.00804687428089</v>
      </c>
      <c r="Q170" s="195">
        <f t="shared" si="22"/>
        <v>7120.1883451655285</v>
      </c>
      <c r="R170" s="221">
        <f t="shared" si="23"/>
        <v>0.86834963658300035</v>
      </c>
      <c r="AC170" s="251"/>
    </row>
    <row r="171" spans="1:29" ht="15.6" x14ac:dyDescent="0.3">
      <c r="A171" s="206">
        <v>2048</v>
      </c>
      <c r="B171" s="229">
        <v>6412.3541740798728</v>
      </c>
      <c r="C171" s="229">
        <v>0</v>
      </c>
      <c r="D171" s="229">
        <v>0</v>
      </c>
      <c r="E171" s="229">
        <v>4043.5555773766628</v>
      </c>
      <c r="F171" s="229">
        <v>2940.0391924928726</v>
      </c>
      <c r="G171" s="229">
        <v>160.23374332918522</v>
      </c>
      <c r="H171" s="229">
        <v>767.57552123115352</v>
      </c>
      <c r="I171" s="229">
        <v>1852.9277103016302</v>
      </c>
      <c r="J171" s="229">
        <v>0</v>
      </c>
      <c r="K171" s="229">
        <v>0</v>
      </c>
      <c r="L171" s="170"/>
      <c r="M171" s="170"/>
      <c r="N171" s="195">
        <f t="shared" si="19"/>
        <v>6216.0192486383821</v>
      </c>
      <c r="O171" s="195">
        <f t="shared" si="21"/>
        <v>767.57552123115352</v>
      </c>
      <c r="P171" s="195">
        <f t="shared" si="20"/>
        <v>160.23374332918522</v>
      </c>
      <c r="Q171" s="195">
        <f t="shared" si="22"/>
        <v>7143.8285131987204</v>
      </c>
      <c r="R171" s="221">
        <f t="shared" si="23"/>
        <v>0.87012436498914469</v>
      </c>
      <c r="AC171" s="251"/>
    </row>
    <row r="172" spans="1:29" ht="15.6" x14ac:dyDescent="0.3">
      <c r="A172" s="206">
        <v>2049</v>
      </c>
      <c r="B172" s="229">
        <v>6453.521052645664</v>
      </c>
      <c r="C172" s="229">
        <v>0</v>
      </c>
      <c r="D172" s="229">
        <v>0</v>
      </c>
      <c r="E172" s="229">
        <v>4032.4405430323673</v>
      </c>
      <c r="F172" s="229">
        <v>2974.9517404297021</v>
      </c>
      <c r="G172" s="229">
        <v>159.4374034382829</v>
      </c>
      <c r="H172" s="229">
        <v>759.27467603130276</v>
      </c>
      <c r="I172" s="229">
        <v>1854.5996429582799</v>
      </c>
      <c r="J172" s="229">
        <v>0</v>
      </c>
      <c r="K172" s="229">
        <v>0</v>
      </c>
      <c r="L172" s="170"/>
      <c r="M172" s="170"/>
      <c r="N172" s="195">
        <f t="shared" si="19"/>
        <v>6248.1176074307668</v>
      </c>
      <c r="O172" s="195">
        <f t="shared" si="21"/>
        <v>759.27467603130276</v>
      </c>
      <c r="P172" s="195">
        <f t="shared" si="20"/>
        <v>159.4374034382829</v>
      </c>
      <c r="Q172" s="195">
        <f t="shared" si="22"/>
        <v>7166.8296869003525</v>
      </c>
      <c r="R172" s="221">
        <f t="shared" si="23"/>
        <v>0.87181053274520781</v>
      </c>
      <c r="AC172" s="251"/>
    </row>
    <row r="173" spans="1:29" ht="16.2" thickBot="1" x14ac:dyDescent="0.35">
      <c r="A173" s="208">
        <v>2050</v>
      </c>
      <c r="B173" s="231">
        <v>6494.1553555018436</v>
      </c>
      <c r="C173" s="231">
        <v>0</v>
      </c>
      <c r="D173" s="231">
        <v>0</v>
      </c>
      <c r="E173" s="231">
        <v>4020.7053672021825</v>
      </c>
      <c r="F173" s="231">
        <v>3009.8632923985015</v>
      </c>
      <c r="G173" s="231">
        <v>158.61920107918081</v>
      </c>
      <c r="H173" s="231">
        <v>751.50386657293234</v>
      </c>
      <c r="I173" s="231">
        <v>1855.9613253692517</v>
      </c>
      <c r="J173" s="231">
        <v>0</v>
      </c>
      <c r="K173" s="231">
        <v>0</v>
      </c>
      <c r="L173" s="209"/>
      <c r="M173" s="209"/>
      <c r="N173" s="195">
        <f t="shared" si="19"/>
        <v>6279.064793027751</v>
      </c>
      <c r="O173" s="195">
        <f t="shared" si="21"/>
        <v>751.50386657293234</v>
      </c>
      <c r="P173" s="195">
        <f t="shared" si="20"/>
        <v>158.61920107918081</v>
      </c>
      <c r="Q173" s="195">
        <f t="shared" si="22"/>
        <v>7189.1878606798646</v>
      </c>
      <c r="R173" s="222">
        <f t="shared" si="23"/>
        <v>0.87340391080473934</v>
      </c>
      <c r="AC173" s="251"/>
    </row>
    <row r="174" spans="1:29" ht="15.6" x14ac:dyDescent="0.3">
      <c r="A174" s="213">
        <v>2051</v>
      </c>
      <c r="B174" s="227">
        <v>6526.7215914967783</v>
      </c>
      <c r="C174" s="227">
        <v>0</v>
      </c>
      <c r="D174" s="227">
        <v>0</v>
      </c>
      <c r="E174" s="227">
        <v>4008.3498960842535</v>
      </c>
      <c r="F174" s="227">
        <v>3044.7698227329565</v>
      </c>
      <c r="G174" s="227">
        <v>157.77931012948591</v>
      </c>
      <c r="H174" s="227">
        <v>744.30215866428011</v>
      </c>
      <c r="I174" s="227">
        <v>1857.011896219977</v>
      </c>
      <c r="J174" s="227">
        <v>0</v>
      </c>
      <c r="K174" s="227">
        <v>0</v>
      </c>
      <c r="N174" s="195">
        <f t="shared" si="19"/>
        <v>6308.8175601529301</v>
      </c>
      <c r="O174" s="195">
        <f t="shared" si="21"/>
        <v>744.30215866428011</v>
      </c>
      <c r="P174" s="195">
        <f t="shared" si="20"/>
        <v>157.77931012948591</v>
      </c>
      <c r="Q174" s="195">
        <f t="shared" si="22"/>
        <v>7210.8990289466956</v>
      </c>
      <c r="R174" s="214">
        <f t="shared" si="23"/>
        <v>0.87490027732013143</v>
      </c>
      <c r="AC174" s="251"/>
    </row>
    <row r="175" spans="1:29" ht="15.6" x14ac:dyDescent="0.3">
      <c r="A175" s="194">
        <v>2052</v>
      </c>
      <c r="B175" s="229">
        <v>6558.8622512144593</v>
      </c>
      <c r="C175" s="229">
        <v>0</v>
      </c>
      <c r="D175" s="229">
        <v>0</v>
      </c>
      <c r="E175" s="229">
        <v>3995.3739758767251</v>
      </c>
      <c r="F175" s="229">
        <v>3079.6673057667549</v>
      </c>
      <c r="G175" s="229">
        <v>156.91790446680506</v>
      </c>
      <c r="H175" s="229">
        <v>737.70861811358418</v>
      </c>
      <c r="I175" s="229">
        <v>1857.7504941958873</v>
      </c>
      <c r="J175" s="229">
        <v>0</v>
      </c>
      <c r="K175" s="229">
        <v>0</v>
      </c>
      <c r="N175" s="195">
        <f t="shared" si="19"/>
        <v>6337.3326635298963</v>
      </c>
      <c r="O175" s="195">
        <f t="shared" si="21"/>
        <v>737.70861811358418</v>
      </c>
      <c r="P175" s="195">
        <f t="shared" si="20"/>
        <v>156.91790446680506</v>
      </c>
      <c r="Q175" s="195">
        <f t="shared" si="22"/>
        <v>7231.9591861102854</v>
      </c>
      <c r="R175" s="196">
        <f t="shared" si="23"/>
        <v>0.87629541324035531</v>
      </c>
      <c r="AC175" s="251"/>
    </row>
    <row r="176" spans="1:29" ht="15.6" x14ac:dyDescent="0.3">
      <c r="A176" s="194">
        <v>2053</v>
      </c>
      <c r="B176" s="229">
        <v>6590.5467790789226</v>
      </c>
      <c r="C176" s="229">
        <v>0</v>
      </c>
      <c r="D176" s="229">
        <v>0</v>
      </c>
      <c r="E176" s="229">
        <v>3981.7774527777433</v>
      </c>
      <c r="F176" s="229">
        <v>3114.5517158335824</v>
      </c>
      <c r="G176" s="229">
        <v>156.03515796874524</v>
      </c>
      <c r="H176" s="229">
        <v>731.7623107290824</v>
      </c>
      <c r="I176" s="229">
        <v>1858.1762579824144</v>
      </c>
      <c r="J176" s="229">
        <v>0</v>
      </c>
      <c r="K176" s="229">
        <v>0</v>
      </c>
      <c r="N176" s="195">
        <f t="shared" si="19"/>
        <v>6364.5668578822442</v>
      </c>
      <c r="O176" s="195">
        <f t="shared" si="21"/>
        <v>731.7623107290824</v>
      </c>
      <c r="P176" s="195">
        <f t="shared" si="20"/>
        <v>156.03515796874524</v>
      </c>
      <c r="Q176" s="195">
        <f t="shared" si="22"/>
        <v>7252.3643265800711</v>
      </c>
      <c r="R176" s="196">
        <f t="shared" si="23"/>
        <v>0.87758509794605466</v>
      </c>
      <c r="AC176" s="251"/>
    </row>
    <row r="177" spans="1:29" ht="15.6" x14ac:dyDescent="0.3">
      <c r="A177" s="194">
        <v>2054</v>
      </c>
      <c r="B177" s="229">
        <v>6621.7412110166742</v>
      </c>
      <c r="C177" s="229">
        <v>0</v>
      </c>
      <c r="D177" s="229">
        <v>0</v>
      </c>
      <c r="E177" s="229">
        <v>3967.5601729854538</v>
      </c>
      <c r="F177" s="229">
        <v>3149.4190272671258</v>
      </c>
      <c r="G177" s="229">
        <v>155.13124451291333</v>
      </c>
      <c r="H177" s="229">
        <v>726.50230231901298</v>
      </c>
      <c r="I177" s="229">
        <v>1858.2883262649893</v>
      </c>
      <c r="J177" s="229">
        <v>0</v>
      </c>
      <c r="K177" s="229">
        <v>0</v>
      </c>
      <c r="N177" s="195">
        <f t="shared" si="19"/>
        <v>6390.4768979335659</v>
      </c>
      <c r="O177" s="195">
        <f t="shared" si="21"/>
        <v>726.50230231901298</v>
      </c>
      <c r="P177" s="195">
        <f t="shared" si="20"/>
        <v>155.13124451291333</v>
      </c>
      <c r="Q177" s="195">
        <f t="shared" si="22"/>
        <v>7272.1104447654925</v>
      </c>
      <c r="R177" s="196">
        <f t="shared" si="23"/>
        <v>0.8787651049130405</v>
      </c>
      <c r="AC177" s="251"/>
    </row>
    <row r="178" spans="1:29" ht="15.6" x14ac:dyDescent="0.3">
      <c r="A178" s="194">
        <v>2055</v>
      </c>
      <c r="B178" s="229">
        <v>6652.4091499872093</v>
      </c>
      <c r="C178" s="229">
        <v>0</v>
      </c>
      <c r="D178" s="229">
        <v>0</v>
      </c>
      <c r="E178" s="229">
        <v>3952.7219826980013</v>
      </c>
      <c r="F178" s="229">
        <v>3184.2652144010717</v>
      </c>
      <c r="G178" s="229">
        <v>154.20633797691625</v>
      </c>
      <c r="H178" s="229">
        <v>721.96765869161402</v>
      </c>
      <c r="I178" s="229">
        <v>1858.0858377290438</v>
      </c>
      <c r="J178" s="229">
        <v>0</v>
      </c>
      <c r="K178" s="229">
        <v>0</v>
      </c>
      <c r="N178" s="195">
        <f t="shared" si="19"/>
        <v>6415.0195384074595</v>
      </c>
      <c r="O178" s="195">
        <f t="shared" si="21"/>
        <v>721.96765869161402</v>
      </c>
      <c r="P178" s="195">
        <f t="shared" si="20"/>
        <v>154.20633797691625</v>
      </c>
      <c r="Q178" s="195">
        <f t="shared" si="22"/>
        <v>7291.1935350759895</v>
      </c>
      <c r="R178" s="196">
        <f t="shared" si="23"/>
        <v>0.87983119739539351</v>
      </c>
      <c r="AC178" s="251"/>
    </row>
    <row r="179" spans="1:29" ht="15.6" x14ac:dyDescent="0.3">
      <c r="A179" s="194">
        <v>2056</v>
      </c>
      <c r="B179" s="229">
        <v>6682.5130183740384</v>
      </c>
      <c r="C179" s="229">
        <v>0</v>
      </c>
      <c r="D179" s="229">
        <v>0</v>
      </c>
      <c r="E179" s="229">
        <v>3937.2627281135319</v>
      </c>
      <c r="F179" s="229">
        <v>3219.0862515691069</v>
      </c>
      <c r="G179" s="229">
        <v>153.26061223836092</v>
      </c>
      <c r="H179" s="229">
        <v>718.19744565512326</v>
      </c>
      <c r="I179" s="229">
        <v>1857.5679310600094</v>
      </c>
      <c r="J179" s="229">
        <v>0</v>
      </c>
      <c r="K179" s="229">
        <v>0</v>
      </c>
      <c r="N179" s="195">
        <f t="shared" si="19"/>
        <v>6438.1515340275155</v>
      </c>
      <c r="O179" s="195">
        <f t="shared" si="21"/>
        <v>718.19744565512326</v>
      </c>
      <c r="P179" s="195">
        <f t="shared" si="20"/>
        <v>153.26061223836092</v>
      </c>
      <c r="Q179" s="195">
        <f t="shared" si="22"/>
        <v>7309.6095919210002</v>
      </c>
      <c r="R179" s="196">
        <f t="shared" si="23"/>
        <v>0.88077912411947823</v>
      </c>
      <c r="AC179" s="251"/>
    </row>
    <row r="180" spans="1:29" ht="15.6" x14ac:dyDescent="0.3">
      <c r="A180" s="194">
        <v>2057</v>
      </c>
      <c r="B180" s="229">
        <v>6712.014511642521</v>
      </c>
      <c r="C180" s="229">
        <v>0</v>
      </c>
      <c r="D180" s="229">
        <v>0</v>
      </c>
      <c r="E180" s="229">
        <v>3921.1822554301903</v>
      </c>
      <c r="F180" s="229">
        <v>3253.8781131049186</v>
      </c>
      <c r="G180" s="229">
        <v>152.29424117485428</v>
      </c>
      <c r="H180" s="229">
        <v>715.23072901777891</v>
      </c>
      <c r="I180" s="229">
        <v>1856.7337449433176</v>
      </c>
      <c r="J180" s="229">
        <v>0</v>
      </c>
      <c r="K180" s="229">
        <v>0</v>
      </c>
      <c r="N180" s="195">
        <f t="shared" si="19"/>
        <v>6459.8296395173302</v>
      </c>
      <c r="O180" s="195">
        <f t="shared" si="21"/>
        <v>715.23072901777891</v>
      </c>
      <c r="P180" s="195">
        <f t="shared" si="20"/>
        <v>152.29424117485428</v>
      </c>
      <c r="Q180" s="195">
        <f t="shared" si="22"/>
        <v>7327.3546097099634</v>
      </c>
      <c r="R180" s="196">
        <f t="shared" si="23"/>
        <v>0.88160461498027975</v>
      </c>
      <c r="AC180" s="251"/>
    </row>
    <row r="181" spans="1:29" ht="15.6" x14ac:dyDescent="0.3">
      <c r="A181" s="194">
        <v>2058</v>
      </c>
      <c r="B181" s="229">
        <v>6740.8743115155876</v>
      </c>
      <c r="C181" s="229">
        <v>0</v>
      </c>
      <c r="D181" s="229">
        <v>0</v>
      </c>
      <c r="E181" s="229">
        <v>3904.4804108461221</v>
      </c>
      <c r="F181" s="229">
        <v>3288.636773342193</v>
      </c>
      <c r="G181" s="229">
        <v>151.30739866400324</v>
      </c>
      <c r="H181" s="229">
        <v>713.10657458781884</v>
      </c>
      <c r="I181" s="229">
        <v>1855.5824180643999</v>
      </c>
      <c r="J181" s="229">
        <v>0</v>
      </c>
      <c r="K181" s="229">
        <v>0</v>
      </c>
      <c r="N181" s="195">
        <f t="shared" si="19"/>
        <v>6480.0106096004965</v>
      </c>
      <c r="O181" s="195">
        <f t="shared" si="21"/>
        <v>713.10657458781884</v>
      </c>
      <c r="P181" s="195">
        <f t="shared" si="20"/>
        <v>151.30739866400324</v>
      </c>
      <c r="Q181" s="195">
        <f t="shared" si="22"/>
        <v>7344.4245828523181</v>
      </c>
      <c r="R181" s="196">
        <f t="shared" si="23"/>
        <v>0.88230337673150794</v>
      </c>
      <c r="AC181" s="251"/>
    </row>
    <row r="182" spans="1:29" ht="15.6" x14ac:dyDescent="0.3">
      <c r="A182" s="194">
        <v>2059</v>
      </c>
      <c r="B182" s="229">
        <v>6769.0534090324627</v>
      </c>
      <c r="C182" s="229">
        <v>0</v>
      </c>
      <c r="D182" s="229">
        <v>0</v>
      </c>
      <c r="E182" s="229">
        <v>3887.1570405594734</v>
      </c>
      <c r="F182" s="229">
        <v>3323.3582066146164</v>
      </c>
      <c r="G182" s="229">
        <v>150.30025858341469</v>
      </c>
      <c r="H182" s="229">
        <v>711.86404817348125</v>
      </c>
      <c r="I182" s="229">
        <v>1854.1130891086877</v>
      </c>
      <c r="J182" s="229">
        <v>0</v>
      </c>
      <c r="K182" s="229">
        <v>0</v>
      </c>
      <c r="N182" s="195">
        <f t="shared" si="19"/>
        <v>6498.6511990006084</v>
      </c>
      <c r="O182" s="195">
        <f t="shared" si="21"/>
        <v>711.86404817348125</v>
      </c>
      <c r="P182" s="195">
        <f t="shared" si="20"/>
        <v>150.30025858341469</v>
      </c>
      <c r="Q182" s="195">
        <f t="shared" si="22"/>
        <v>7360.8155057575041</v>
      </c>
      <c r="R182" s="196">
        <f t="shared" si="23"/>
        <v>0.88287108866096076</v>
      </c>
      <c r="AC182" s="251"/>
    </row>
    <row r="183" spans="1:29" ht="15.6" x14ac:dyDescent="0.3">
      <c r="A183" s="194">
        <v>2060</v>
      </c>
      <c r="B183" s="229">
        <v>6796.5131728107408</v>
      </c>
      <c r="C183" s="229">
        <v>0</v>
      </c>
      <c r="D183" s="229">
        <v>0</v>
      </c>
      <c r="E183" s="229">
        <v>3869.2119907683887</v>
      </c>
      <c r="F183" s="229">
        <v>3358.0383872558759</v>
      </c>
      <c r="G183" s="229">
        <v>149.27299481069559</v>
      </c>
      <c r="H183" s="229">
        <v>711.54221558300412</v>
      </c>
      <c r="I183" s="229">
        <v>1852.3248967616125</v>
      </c>
      <c r="J183" s="229">
        <v>0</v>
      </c>
      <c r="K183" s="229">
        <v>0</v>
      </c>
      <c r="N183" s="195">
        <f t="shared" si="19"/>
        <v>6515.7081624412604</v>
      </c>
      <c r="O183" s="195">
        <f t="shared" si="21"/>
        <v>711.54221558300412</v>
      </c>
      <c r="P183" s="195">
        <f t="shared" si="20"/>
        <v>149.27299481069559</v>
      </c>
      <c r="Q183" s="195">
        <f t="shared" si="22"/>
        <v>7376.5233728349594</v>
      </c>
      <c r="R183" s="196">
        <f>N183/Q183</f>
        <v>0.88330339824262372</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formula1>"Y,N"</formula1>
    </dataValidation>
  </dataValidation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2" tint="-0.249977111117893"/>
  </sheetPr>
  <dimension ref="A1:EX343"/>
  <sheetViews>
    <sheetView showGridLines="0" topLeftCell="Q232" zoomScaleNormal="100" zoomScalePageLayoutView="80" workbookViewId="0">
      <selection activeCell="AE131" sqref="AE131:AP131"/>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8.796875"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9.199218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ComLight_cluster</v>
      </c>
      <c r="B1" s="156"/>
      <c r="C1" s="157" t="s">
        <v>533</v>
      </c>
      <c r="D1" s="157" t="s">
        <v>532</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SUM(OFFSET(AV136,J2-2015,0,J3-J2+1,1))/1000</f>
        <v>0</v>
      </c>
      <c r="O4" s="164">
        <f>SUM(AV136:AV181)/1000</f>
        <v>0</v>
      </c>
    </row>
    <row r="5" spans="1:154" ht="12.75" customHeight="1" x14ac:dyDescent="0.25">
      <c r="E5" s="498" t="s">
        <v>309</v>
      </c>
      <c r="F5" s="499">
        <v>0.75</v>
      </c>
      <c r="G5" s="167" t="s">
        <v>211</v>
      </c>
      <c r="H5" s="167" t="s">
        <v>213</v>
      </c>
      <c r="L5" s="617"/>
      <c r="M5" s="153" t="s">
        <v>375</v>
      </c>
      <c r="N5" s="164">
        <f ca="1">SUM(OFFSET(AU136,J2-2015,0,J3-J2+1,1))/1000</f>
        <v>1.0359271298621544</v>
      </c>
      <c r="O5" s="164">
        <f>SUM(AU136:AU181)/1000</f>
        <v>2.6551957546865919</v>
      </c>
    </row>
    <row r="6" spans="1:154" ht="13.8" x14ac:dyDescent="0.25">
      <c r="E6" s="498" t="s">
        <v>310</v>
      </c>
      <c r="F6" s="499">
        <v>0.1</v>
      </c>
      <c r="G6" s="167" t="s">
        <v>211</v>
      </c>
      <c r="H6" s="167" t="s">
        <v>213</v>
      </c>
    </row>
    <row r="7" spans="1:154" ht="13.8" x14ac:dyDescent="0.25">
      <c r="A7" s="35" t="s">
        <v>491</v>
      </c>
      <c r="E7" s="498" t="s">
        <v>311</v>
      </c>
      <c r="F7" s="499">
        <v>0.02</v>
      </c>
      <c r="G7" s="167" t="s">
        <v>211</v>
      </c>
      <c r="H7" s="167" t="s">
        <v>213</v>
      </c>
      <c r="I7" s="516"/>
      <c r="J7" s="516"/>
      <c r="K7" s="516"/>
      <c r="L7" s="618" t="s">
        <v>369</v>
      </c>
      <c r="M7" s="497" t="s">
        <v>377</v>
      </c>
      <c r="N7" s="164">
        <f ca="1">SUM(OFFSET(AA195,J2-2015,0,J3-J2+1,1))/1000</f>
        <v>0</v>
      </c>
      <c r="O7" s="164">
        <f>SUM(AA195:AA240)/1000</f>
        <v>0</v>
      </c>
      <c r="P7" s="165"/>
    </row>
    <row r="8" spans="1:154" ht="13.8" x14ac:dyDescent="0.25">
      <c r="A8" s="486" t="s">
        <v>368</v>
      </c>
      <c r="B8" s="487" t="s">
        <v>492</v>
      </c>
      <c r="C8" s="487"/>
      <c r="E8" s="498" t="s">
        <v>312</v>
      </c>
      <c r="F8" s="499">
        <v>0.1</v>
      </c>
      <c r="G8" s="167" t="s">
        <v>211</v>
      </c>
      <c r="H8" s="167" t="s">
        <v>213</v>
      </c>
      <c r="L8" s="618"/>
      <c r="M8" s="153" t="s">
        <v>375</v>
      </c>
      <c r="N8" s="164">
        <f ca="1">SUM(OFFSET(Z195,J2-2015,0,J3-J2+1,1))/1000</f>
        <v>0.92515695894670757</v>
      </c>
      <c r="O8" s="164">
        <f>SUM(Z195:Z240)/1000</f>
        <v>1.9044771171755497</v>
      </c>
    </row>
    <row r="9" spans="1:154" ht="13.8" x14ac:dyDescent="0.25">
      <c r="A9" s="488" t="s">
        <v>369</v>
      </c>
      <c r="B9" s="489" t="s">
        <v>455</v>
      </c>
      <c r="C9" s="489"/>
      <c r="E9" s="498"/>
      <c r="F9" s="499"/>
      <c r="G9" s="167"/>
      <c r="H9" s="167"/>
    </row>
    <row r="10" spans="1:154" ht="39.6" x14ac:dyDescent="0.25">
      <c r="A10" s="527" t="s">
        <v>592</v>
      </c>
      <c r="B10" s="490" t="s">
        <v>509</v>
      </c>
      <c r="C10" s="493" t="s">
        <v>512</v>
      </c>
      <c r="E10" s="498"/>
      <c r="F10" s="499"/>
      <c r="G10" s="167"/>
      <c r="H10" s="167"/>
    </row>
    <row r="11" spans="1:154" ht="39.6" x14ac:dyDescent="0.25">
      <c r="A11" s="527" t="s">
        <v>593</v>
      </c>
      <c r="B11" s="490" t="s">
        <v>507</v>
      </c>
      <c r="C11" s="493" t="s">
        <v>512</v>
      </c>
      <c r="E11" s="498"/>
      <c r="F11" s="499"/>
      <c r="G11" s="167"/>
      <c r="H11" s="167"/>
      <c r="L11" s="617" t="s">
        <v>522</v>
      </c>
      <c r="M11" s="497" t="s">
        <v>377</v>
      </c>
      <c r="N11" s="164">
        <f ca="1">N4+N7</f>
        <v>0</v>
      </c>
      <c r="O11" s="164">
        <f>O4+O7</f>
        <v>0</v>
      </c>
    </row>
    <row r="12" spans="1:154" ht="13.8" x14ac:dyDescent="0.25">
      <c r="A12" s="488" t="s">
        <v>493</v>
      </c>
      <c r="B12" s="489" t="s">
        <v>506</v>
      </c>
      <c r="C12" s="489"/>
      <c r="E12" s="498"/>
      <c r="F12" s="499"/>
      <c r="G12" s="167"/>
      <c r="H12" s="167"/>
      <c r="L12" s="617"/>
      <c r="M12" s="153" t="s">
        <v>375</v>
      </c>
      <c r="N12" s="164">
        <f ca="1">N5+N8</f>
        <v>1.9610840888088621</v>
      </c>
      <c r="O12" s="164">
        <f>O5+O8</f>
        <v>4.5596728718621415</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ht="13.8" x14ac:dyDescent="0.25">
      <c r="E21" s="500" t="s">
        <v>326</v>
      </c>
      <c r="F21" s="501">
        <v>19.857916817007897</v>
      </c>
    </row>
    <row r="22" spans="1:68" ht="13.8" x14ac:dyDescent="0.25">
      <c r="E22" s="500" t="s">
        <v>268</v>
      </c>
      <c r="F22" s="518"/>
    </row>
    <row r="23" spans="1:68" x14ac:dyDescent="0.25">
      <c r="D23" s="443"/>
      <c r="E23" s="443" t="s">
        <v>527</v>
      </c>
      <c r="F23" s="420"/>
    </row>
    <row r="24" spans="1:68" ht="13.8" thickBot="1" x14ac:dyDescent="0.3">
      <c r="E24" s="443" t="s">
        <v>528</v>
      </c>
      <c r="F24" s="420"/>
    </row>
    <row r="25" spans="1:68" ht="15" customHeight="1" thickBot="1" x14ac:dyDescent="0.3">
      <c r="A25" s="646" t="str">
        <f>CONCATENATE("Table 2: REF2, ",C1," TAM ",D1)</f>
        <v>Table 2: REF2, Commercial Lighting TAM Petalumen hours (Plmh)</v>
      </c>
      <c r="B25" s="647"/>
      <c r="C25" s="647"/>
      <c r="D25" s="647"/>
      <c r="E25" s="647"/>
      <c r="F25" s="699"/>
      <c r="G25" s="647"/>
      <c r="H25" s="647"/>
      <c r="I25" s="647"/>
      <c r="J25" s="647"/>
      <c r="K25" s="648"/>
      <c r="M25" s="638" t="str">
        <f>CONCATENATE("Table 3: REF1 ,",C1," TAM ",D1)</f>
        <v>Table 3: REF1 ,Commercial Lighting TAM Petalumen hours (Plmh)</v>
      </c>
      <c r="N25" s="639"/>
      <c r="O25" s="639"/>
      <c r="P25" s="639"/>
      <c r="Q25" s="639"/>
      <c r="R25" s="639"/>
      <c r="S25" s="639"/>
      <c r="T25" s="639"/>
      <c r="U25" s="639"/>
      <c r="V25" s="639"/>
      <c r="W25" s="640"/>
      <c r="Y25" s="627" t="str">
        <f>CONCATENATE("Table 3: REF1 ",$C$1," TAM ",$D$1)</f>
        <v>Table 3: REF1 Commercial Lighting TAM Petalumen hours (Plmh)</v>
      </c>
      <c r="Z25" s="627"/>
      <c r="AA25" s="627"/>
      <c r="AB25" s="627"/>
      <c r="AC25" s="627"/>
      <c r="AD25" s="627"/>
      <c r="AE25" s="627"/>
      <c r="AF25" s="627"/>
      <c r="AG25" s="627"/>
      <c r="AH25" s="627"/>
      <c r="AI25" s="627"/>
      <c r="AK25" s="628" t="str">
        <f>CONCATENATE("Table 3: REF1 ",$C$1," TAM ",$D$1)</f>
        <v>Table 3: REF1 Commercial Lighting TAM Petalumen hours (Plmh)</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ComLight_cluster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528" t="s">
        <v>594</v>
      </c>
      <c r="C27" s="460" t="s">
        <v>211</v>
      </c>
      <c r="D27" s="460" t="s">
        <v>211</v>
      </c>
      <c r="E27" s="460" t="s">
        <v>213</v>
      </c>
      <c r="F27" s="460" t="s">
        <v>213</v>
      </c>
      <c r="G27" s="460" t="s">
        <v>211</v>
      </c>
      <c r="H27" s="435"/>
      <c r="I27" s="435"/>
      <c r="J27" s="435"/>
      <c r="K27" s="435"/>
      <c r="M27" s="455"/>
      <c r="N27" s="461" t="str">
        <f>B27</f>
        <v>Regions included as LLDC</v>
      </c>
      <c r="O27" s="462" t="str">
        <f>C27</f>
        <v>N</v>
      </c>
      <c r="P27" s="462" t="str">
        <f t="shared" ref="P27:S27" si="0">D27</f>
        <v>N</v>
      </c>
      <c r="Q27" s="462" t="str">
        <f t="shared" si="0"/>
        <v>Y</v>
      </c>
      <c r="R27" s="462" t="str">
        <f t="shared" si="0"/>
        <v>Y</v>
      </c>
      <c r="S27" s="462" t="str">
        <f t="shared" si="0"/>
        <v>N</v>
      </c>
      <c r="T27" s="435"/>
      <c r="U27" s="435"/>
      <c r="V27" s="435"/>
      <c r="W27" s="435"/>
      <c r="Y27" s="455"/>
      <c r="Z27" s="461" t="str">
        <f>B27</f>
        <v>Regions included as LLDC</v>
      </c>
      <c r="AA27" s="462" t="str">
        <f>O27</f>
        <v>N</v>
      </c>
      <c r="AB27" s="462" t="str">
        <f t="shared" ref="AB27:AE27" si="1">P27</f>
        <v>N</v>
      </c>
      <c r="AC27" s="462" t="str">
        <f t="shared" si="1"/>
        <v>Y</v>
      </c>
      <c r="AD27" s="462" t="str">
        <f t="shared" si="1"/>
        <v>Y</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40.200000000000003" thickBot="1" x14ac:dyDescent="0.3">
      <c r="A28" s="213"/>
      <c r="B28" s="474" t="s">
        <v>4</v>
      </c>
      <c r="C28" s="475" t="s">
        <v>5</v>
      </c>
      <c r="D28" s="475" t="s">
        <v>6</v>
      </c>
      <c r="E28" s="475" t="s">
        <v>7</v>
      </c>
      <c r="F28" s="475" t="s">
        <v>8</v>
      </c>
      <c r="G28" s="475" t="s">
        <v>9</v>
      </c>
      <c r="H28" s="475" t="s">
        <v>10</v>
      </c>
      <c r="I28" s="475" t="s">
        <v>11</v>
      </c>
      <c r="J28" s="475" t="s">
        <v>12</v>
      </c>
      <c r="K28" s="476" t="s">
        <v>13</v>
      </c>
      <c r="M28" s="189"/>
      <c r="N28" s="190" t="s">
        <v>4</v>
      </c>
      <c r="O28" s="191" t="s">
        <v>5</v>
      </c>
      <c r="P28" s="191" t="s">
        <v>6</v>
      </c>
      <c r="Q28" s="191" t="s">
        <v>460</v>
      </c>
      <c r="R28" s="191" t="s">
        <v>8</v>
      </c>
      <c r="S28" s="191" t="s">
        <v>9</v>
      </c>
      <c r="T28" s="191" t="s">
        <v>10</v>
      </c>
      <c r="U28" s="191" t="s">
        <v>11</v>
      </c>
      <c r="V28" s="191" t="s">
        <v>12</v>
      </c>
      <c r="W28" s="192" t="s">
        <v>13</v>
      </c>
      <c r="Y28" s="456"/>
      <c r="Z28" s="457" t="s">
        <v>4</v>
      </c>
      <c r="AA28" s="458" t="s">
        <v>5</v>
      </c>
      <c r="AB28" s="458" t="s">
        <v>6</v>
      </c>
      <c r="AC28" s="458" t="s">
        <v>7</v>
      </c>
      <c r="AD28" s="458" t="s">
        <v>8</v>
      </c>
      <c r="AE28" s="458" t="s">
        <v>9</v>
      </c>
      <c r="AF28" s="458" t="s">
        <v>10</v>
      </c>
      <c r="AG28" s="458" t="s">
        <v>11</v>
      </c>
      <c r="AH28" s="458" t="s">
        <v>12</v>
      </c>
      <c r="AI28" s="458" t="s">
        <v>13</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51.454871928752119</v>
      </c>
      <c r="C29" s="229">
        <v>14.638908399670909</v>
      </c>
      <c r="D29" s="229">
        <v>1.9920692037759276</v>
      </c>
      <c r="E29" s="229">
        <v>22.829472814325261</v>
      </c>
      <c r="F29" s="229">
        <v>3.9482310577903004</v>
      </c>
      <c r="G29" s="229">
        <v>1.2603858871628411</v>
      </c>
      <c r="H29" s="229">
        <v>17.439282369233027</v>
      </c>
      <c r="I29" s="229">
        <v>4.6948149288588139</v>
      </c>
      <c r="J29" s="229">
        <v>6.8462656993072342</v>
      </c>
      <c r="K29" s="229">
        <v>7.4924316730035754</v>
      </c>
      <c r="M29" s="194">
        <v>2014</v>
      </c>
      <c r="N29" s="419">
        <f t="shared" ref="N29:N75" si="2">SUM(O29:S29)</f>
        <v>5.3305324842248876</v>
      </c>
      <c r="O29" s="418">
        <f>(C29/Population_Tables!P3)*Population_Tables!D62</f>
        <v>0</v>
      </c>
      <c r="P29" s="418">
        <f>(D29/Population_Tables!Q3)*Population_Tables!E62</f>
        <v>0</v>
      </c>
      <c r="Q29" s="418">
        <f>((E29-H29)/Population_Tables!R3)*Population_Tables!F62</f>
        <v>2.7366561345495999</v>
      </c>
      <c r="R29" s="418">
        <f>(F29/Population_Tables!S3)*Population_Tables!G62</f>
        <v>2.2595000340115683</v>
      </c>
      <c r="S29" s="418">
        <f>(G29/Population_Tables!T3)*Population_Tables!H62</f>
        <v>0.33437631566371989</v>
      </c>
      <c r="T29" s="418">
        <f>(H29/Population_Tables!U3)*Population_Tables!I62</f>
        <v>0</v>
      </c>
      <c r="U29" s="418">
        <f>(I29/Population_Tables!V3)*Population_Tables!J62</f>
        <v>0</v>
      </c>
      <c r="V29" s="418">
        <f>(J29/Population_Tables!W3)*Population_Tables!K62</f>
        <v>0</v>
      </c>
      <c r="W29" s="418">
        <f>(K29/Population_Tables!X3)*Population_Tables!L62</f>
        <v>0</v>
      </c>
      <c r="Y29" s="456">
        <v>2014</v>
      </c>
      <c r="Z29" s="459">
        <f>((B29/Population_Tables!O3)*Population_Tables!C3)-N29</f>
        <v>46.124252415122648</v>
      </c>
      <c r="AA29" s="459">
        <f>((C29/Population_Tables!P3)*Population_Tables!D3)-O29</f>
        <v>14.63890839967091</v>
      </c>
      <c r="AB29" s="459">
        <f>((D29/Population_Tables!Q3)*Population_Tables!E3)-P29</f>
        <v>1.9920692037759276</v>
      </c>
      <c r="AC29" s="459">
        <f>((E29/Population_Tables!R3)*Population_Tables!F3)-Q29</f>
        <v>20.092745490881363</v>
      </c>
      <c r="AD29" s="459">
        <f>((F29/Population_Tables!S3)*Population_Tables!G3)-R29</f>
        <v>1.6887310237787321</v>
      </c>
      <c r="AE29" s="459">
        <f>((G29/Population_Tables!T3)*Population_Tables!H3)-S29</f>
        <v>0.92600957149912122</v>
      </c>
      <c r="AF29" s="459">
        <f>(H29/Population_Tables!U3)*Population_Tables!I3</f>
        <v>17.439282369233027</v>
      </c>
      <c r="AG29" s="459">
        <f>(I29/Population_Tables!V3)*Population_Tables!J3</f>
        <v>4.6948149288588139</v>
      </c>
      <c r="AH29" s="459">
        <f>(J29/Population_Tables!W3)*Population_Tables!K3</f>
        <v>6.8462656993072342</v>
      </c>
      <c r="AI29" s="459">
        <f>(K29/Population_Tables!X3)*Population_Tables!L3</f>
        <v>7.4924316730035754</v>
      </c>
      <c r="AK29" s="456">
        <v>2014</v>
      </c>
      <c r="AL29" s="459">
        <f>Z29+N29</f>
        <v>51.454784899347537</v>
      </c>
      <c r="AM29" s="459">
        <f t="shared" ref="AM29:AU44" si="3">AA29+O29</f>
        <v>14.63890839967091</v>
      </c>
      <c r="AN29" s="459">
        <f t="shared" si="3"/>
        <v>1.9920692037759276</v>
      </c>
      <c r="AO29" s="459">
        <f t="shared" si="3"/>
        <v>22.829401625430961</v>
      </c>
      <c r="AP29" s="459">
        <f t="shared" si="3"/>
        <v>3.9482310577903004</v>
      </c>
      <c r="AQ29" s="459">
        <f t="shared" si="3"/>
        <v>1.2603858871628411</v>
      </c>
      <c r="AR29" s="459">
        <f t="shared" si="3"/>
        <v>17.439282369233027</v>
      </c>
      <c r="AS29" s="459">
        <f t="shared" si="3"/>
        <v>4.6948149288588139</v>
      </c>
      <c r="AT29" s="459">
        <f t="shared" si="3"/>
        <v>6.8462656993072342</v>
      </c>
      <c r="AU29" s="459">
        <f t="shared" si="3"/>
        <v>7.4924316730035754</v>
      </c>
      <c r="AW29" s="216">
        <f>(B29/Population_Tables!O3)*Population_Tables!C3</f>
        <v>51.454784899347537</v>
      </c>
      <c r="AX29" s="153" t="str">
        <f>IF(AW29-AL29=0,"OK")</f>
        <v>OK</v>
      </c>
      <c r="AY29" s="421">
        <f t="shared" ref="AY29:AY75" si="4">SUM(BB29:BF29)</f>
        <v>44.668996173830941</v>
      </c>
      <c r="AZ29" s="153" t="str">
        <f t="shared" ref="AZ29:AZ75" si="5">IF(AY29-(SUM(AM29:AQ29))=0,"OK")</f>
        <v>OK</v>
      </c>
      <c r="BB29" s="216">
        <f>(C29/Population_Tables!P3)*Population_Tables!D3</f>
        <v>14.63890839967091</v>
      </c>
      <c r="BC29" s="216">
        <f>(D29/Population_Tables!Q3)*Population_Tables!E3</f>
        <v>1.9920692037759276</v>
      </c>
      <c r="BD29" s="216">
        <f>(E29/Population_Tables!R3)*Population_Tables!F3</f>
        <v>22.829401625430965</v>
      </c>
      <c r="BE29" s="216">
        <f>(F29/Population_Tables!S3)*Population_Tables!G3</f>
        <v>3.9482310577903004</v>
      </c>
      <c r="BF29" s="216">
        <f>(G29/Population_Tables!T3)*Population_Tables!H3</f>
        <v>1.2603858871628411</v>
      </c>
      <c r="BG29" s="216"/>
      <c r="BN29" s="216"/>
      <c r="BO29" s="216"/>
      <c r="BP29" s="216"/>
    </row>
    <row r="30" spans="1:68" ht="15.6" x14ac:dyDescent="0.3">
      <c r="A30" s="194">
        <v>2015</v>
      </c>
      <c r="B30" s="229">
        <v>54.446467382568436</v>
      </c>
      <c r="C30" s="229">
        <v>16.711538858527337</v>
      </c>
      <c r="D30" s="229">
        <v>2.0699939491968133</v>
      </c>
      <c r="E30" s="229">
        <v>24.553273115014292</v>
      </c>
      <c r="F30" s="229">
        <v>4.0388326275602644</v>
      </c>
      <c r="G30" s="229">
        <v>1.2928975683685373</v>
      </c>
      <c r="H30" s="229">
        <v>19.194195388345928</v>
      </c>
      <c r="I30" s="229">
        <v>4.8414743414533277</v>
      </c>
      <c r="J30" s="229">
        <v>7.3085335268491471</v>
      </c>
      <c r="K30" s="229">
        <v>7.5939339513900279</v>
      </c>
      <c r="M30" s="194">
        <v>2015</v>
      </c>
      <c r="N30" s="419">
        <f t="shared" si="2"/>
        <v>5.3920927007979067</v>
      </c>
      <c r="O30" s="418">
        <f>(C30/Population_Tables!P4)*Population_Tables!D63</f>
        <v>0</v>
      </c>
      <c r="P30" s="418">
        <f>(D30/Population_Tables!Q4)*Population_Tables!E63</f>
        <v>0</v>
      </c>
      <c r="Q30" s="418">
        <f>((E30-H30)/Population_Tables!R4)*Population_Tables!F63</f>
        <v>2.728752074457073</v>
      </c>
      <c r="R30" s="418">
        <f>(F30/Population_Tables!S4)*Population_Tables!G63</f>
        <v>2.3193620523853147</v>
      </c>
      <c r="S30" s="418">
        <f>(G30/Population_Tables!T4)*Population_Tables!H63</f>
        <v>0.34397857395551923</v>
      </c>
      <c r="T30" s="418">
        <f>(H30/Population_Tables!U4)*Population_Tables!I63</f>
        <v>0</v>
      </c>
      <c r="U30" s="418">
        <f>(I30/Population_Tables!V4)*Population_Tables!J63</f>
        <v>0</v>
      </c>
      <c r="V30" s="418">
        <f>(J30/Population_Tables!W4)*Population_Tables!K63</f>
        <v>0</v>
      </c>
      <c r="W30" s="418">
        <f>(K30/Population_Tables!X4)*Population_Tables!L63</f>
        <v>0</v>
      </c>
      <c r="Y30" s="456">
        <v>2015</v>
      </c>
      <c r="Z30" s="459">
        <f>((B30/Population_Tables!O4)*Population_Tables!C4)-N30</f>
        <v>49.054284207820103</v>
      </c>
      <c r="AA30" s="459">
        <f>((C30/Population_Tables!P4)*Population_Tables!D4)-O30</f>
        <v>16.711538858527337</v>
      </c>
      <c r="AB30" s="459">
        <f>((D30/Population_Tables!Q4)*Population_Tables!E4)-P30</f>
        <v>2.0699939491968133</v>
      </c>
      <c r="AC30" s="459">
        <f>((E30/Population_Tables!R4)*Population_Tables!F4)-Q30</f>
        <v>21.82444568263054</v>
      </c>
      <c r="AD30" s="459">
        <f>((F30/Population_Tables!S4)*Population_Tables!G4)-R30</f>
        <v>1.7194705751749497</v>
      </c>
      <c r="AE30" s="459">
        <f>((G30/Population_Tables!T4)*Population_Tables!H4)-S30</f>
        <v>0.9489189944130183</v>
      </c>
      <c r="AF30" s="459">
        <f>(H30/Population_Tables!U4)*Population_Tables!I4</f>
        <v>19.194195388345928</v>
      </c>
      <c r="AG30" s="459">
        <f>(I30/Population_Tables!V4)*Population_Tables!J4</f>
        <v>4.8414743414533277</v>
      </c>
      <c r="AH30" s="459">
        <f>(J30/Population_Tables!W4)*Population_Tables!K4</f>
        <v>7.3085335268491471</v>
      </c>
      <c r="AI30" s="459">
        <f>(K30/Population_Tables!X4)*Population_Tables!L4</f>
        <v>7.5939339513900279</v>
      </c>
      <c r="AK30" s="456">
        <v>2015</v>
      </c>
      <c r="AL30" s="459">
        <f t="shared" ref="AL30:AU68" si="6">Z30+N30</f>
        <v>54.446376908618006</v>
      </c>
      <c r="AM30" s="459">
        <f t="shared" si="3"/>
        <v>16.711538858527337</v>
      </c>
      <c r="AN30" s="459">
        <f t="shared" si="3"/>
        <v>2.0699939491968133</v>
      </c>
      <c r="AO30" s="459">
        <f t="shared" si="3"/>
        <v>24.553197757087613</v>
      </c>
      <c r="AP30" s="459">
        <f t="shared" si="3"/>
        <v>4.0388326275602644</v>
      </c>
      <c r="AQ30" s="459">
        <f t="shared" si="3"/>
        <v>1.2928975683685375</v>
      </c>
      <c r="AR30" s="459">
        <f t="shared" si="3"/>
        <v>19.194195388345928</v>
      </c>
      <c r="AS30" s="459">
        <f t="shared" si="3"/>
        <v>4.8414743414533277</v>
      </c>
      <c r="AT30" s="459">
        <f t="shared" si="3"/>
        <v>7.3085335268491471</v>
      </c>
      <c r="AU30" s="459">
        <f t="shared" si="3"/>
        <v>7.5939339513900279</v>
      </c>
      <c r="AW30" s="216">
        <f>(B30/Population_Tables!O4)*Population_Tables!C4</f>
        <v>54.446376908618006</v>
      </c>
      <c r="AX30" s="153" t="str">
        <f t="shared" ref="AX30:AX75" si="7">IF(AW30-AL30=0,"OK")</f>
        <v>OK</v>
      </c>
      <c r="AY30" s="421">
        <f t="shared" si="4"/>
        <v>48.66646076074057</v>
      </c>
      <c r="AZ30" s="153" t="str">
        <f t="shared" si="5"/>
        <v>OK</v>
      </c>
      <c r="BB30" s="216">
        <f>(C30/Population_Tables!P4)*Population_Tables!D4</f>
        <v>16.711538858527337</v>
      </c>
      <c r="BC30" s="216">
        <f>(D30/Population_Tables!Q4)*Population_Tables!E4</f>
        <v>2.0699939491968133</v>
      </c>
      <c r="BD30" s="216">
        <f>(E30/Population_Tables!R4)*Population_Tables!F4</f>
        <v>24.553197757087613</v>
      </c>
      <c r="BE30" s="216">
        <f>(F30/Population_Tables!S4)*Population_Tables!G4</f>
        <v>4.0388326275602644</v>
      </c>
      <c r="BF30" s="216">
        <f>(G30/Population_Tables!T4)*Population_Tables!H4</f>
        <v>1.2928975683685375</v>
      </c>
      <c r="BG30" s="216"/>
      <c r="BN30" s="216"/>
      <c r="BO30" s="216"/>
      <c r="BP30" s="216"/>
    </row>
    <row r="31" spans="1:68" ht="15.6" x14ac:dyDescent="0.3">
      <c r="A31" s="194">
        <v>2016</v>
      </c>
      <c r="B31" s="229">
        <v>57.081545887273947</v>
      </c>
      <c r="C31" s="229">
        <v>16.552972550290875</v>
      </c>
      <c r="D31" s="229">
        <v>2.1508664952208356</v>
      </c>
      <c r="E31" s="229">
        <v>25.942885737930851</v>
      </c>
      <c r="F31" s="229">
        <v>4.2235222130056576</v>
      </c>
      <c r="G31" s="229">
        <v>1.3327402612158661</v>
      </c>
      <c r="H31" s="229">
        <v>20.035786418782706</v>
      </c>
      <c r="I31" s="229">
        <v>5.2988529476936606</v>
      </c>
      <c r="J31" s="229">
        <v>7.3446995972457803</v>
      </c>
      <c r="K31" s="229">
        <v>7.704709268917294</v>
      </c>
      <c r="M31" s="194">
        <v>2016</v>
      </c>
      <c r="N31" s="419">
        <f t="shared" si="2"/>
        <v>5.8054586662353671</v>
      </c>
      <c r="O31" s="418">
        <f>(C31/Population_Tables!P5)*Population_Tables!D64</f>
        <v>0</v>
      </c>
      <c r="P31" s="418">
        <f>(D31/Population_Tables!Q5)*Population_Tables!E64</f>
        <v>0</v>
      </c>
      <c r="Q31" s="418">
        <f>((E31-H31)/Population_Tables!R5)*Population_Tables!F64</f>
        <v>3.0162317175090574</v>
      </c>
      <c r="R31" s="418">
        <f>(F31/Population_Tables!S5)*Population_Tables!G64</f>
        <v>2.4336440673053148</v>
      </c>
      <c r="S31" s="418">
        <f>(G31/Population_Tables!T5)*Population_Tables!H64</f>
        <v>0.3555828814209952</v>
      </c>
      <c r="T31" s="418">
        <f>(H31/Population_Tables!U5)*Population_Tables!I64</f>
        <v>0</v>
      </c>
      <c r="U31" s="418">
        <f>(I31/Population_Tables!V5)*Population_Tables!J64</f>
        <v>0</v>
      </c>
      <c r="V31" s="418">
        <f>(J31/Population_Tables!W5)*Population_Tables!K64</f>
        <v>0</v>
      </c>
      <c r="W31" s="418">
        <f>(K31/Population_Tables!X5)*Population_Tables!L64</f>
        <v>0</v>
      </c>
      <c r="Y31" s="456">
        <v>2016</v>
      </c>
      <c r="Z31" s="459">
        <f>((B31/Population_Tables!O5)*Population_Tables!C5)-N31</f>
        <v>51.275994693085551</v>
      </c>
      <c r="AA31" s="459">
        <f>((C31/Population_Tables!P5)*Population_Tables!D5)-O31</f>
        <v>16.552972550290875</v>
      </c>
      <c r="AB31" s="459">
        <f>((D31/Population_Tables!Q5)*Population_Tables!E5)-P31</f>
        <v>2.1508664952208356</v>
      </c>
      <c r="AC31" s="459">
        <f>((E31/Population_Tables!R5)*Population_Tables!F5)-Q31</f>
        <v>22.92657620438699</v>
      </c>
      <c r="AD31" s="459">
        <f>((F31/Population_Tables!S5)*Population_Tables!G5)-R31</f>
        <v>1.7898781457003428</v>
      </c>
      <c r="AE31" s="459">
        <f>((G31/Population_Tables!T5)*Population_Tables!H5)-S31</f>
        <v>0.97715737979487094</v>
      </c>
      <c r="AF31" s="459">
        <f>(H31/Population_Tables!U5)*Population_Tables!I5</f>
        <v>20.035786418782706</v>
      </c>
      <c r="AG31" s="459">
        <f>(I31/Population_Tables!V5)*Population_Tables!J5</f>
        <v>5.2988529476936597</v>
      </c>
      <c r="AH31" s="459">
        <f>(J31/Population_Tables!W5)*Population_Tables!K5</f>
        <v>7.3446995972457803</v>
      </c>
      <c r="AI31" s="459">
        <f>(K31/Population_Tables!X5)*Population_Tables!L5</f>
        <v>7.704709268917294</v>
      </c>
      <c r="AK31" s="456">
        <v>2016</v>
      </c>
      <c r="AL31" s="459">
        <f t="shared" si="6"/>
        <v>57.081453359320918</v>
      </c>
      <c r="AM31" s="459">
        <f t="shared" si="3"/>
        <v>16.552972550290875</v>
      </c>
      <c r="AN31" s="459">
        <f t="shared" si="3"/>
        <v>2.1508664952208356</v>
      </c>
      <c r="AO31" s="459">
        <f t="shared" si="3"/>
        <v>25.942807921896048</v>
      </c>
      <c r="AP31" s="459">
        <f t="shared" si="3"/>
        <v>4.2235222130056576</v>
      </c>
      <c r="AQ31" s="459">
        <f t="shared" si="3"/>
        <v>1.3327402612158661</v>
      </c>
      <c r="AR31" s="459">
        <f t="shared" si="3"/>
        <v>20.035786418782706</v>
      </c>
      <c r="AS31" s="459">
        <f t="shared" si="3"/>
        <v>5.2988529476936597</v>
      </c>
      <c r="AT31" s="459">
        <f t="shared" si="3"/>
        <v>7.3446995972457803</v>
      </c>
      <c r="AU31" s="459">
        <f t="shared" si="3"/>
        <v>7.704709268917294</v>
      </c>
      <c r="AW31" s="216">
        <f>(B31/Population_Tables!O5)*Population_Tables!C5</f>
        <v>57.081453359320918</v>
      </c>
      <c r="AX31" s="153" t="str">
        <f t="shared" si="7"/>
        <v>OK</v>
      </c>
      <c r="AY31" s="421">
        <f t="shared" si="4"/>
        <v>50.202909441629288</v>
      </c>
      <c r="AZ31" s="153" t="str">
        <f t="shared" si="5"/>
        <v>OK</v>
      </c>
      <c r="BB31" s="216">
        <f>(C31/Population_Tables!P5)*Population_Tables!D5</f>
        <v>16.552972550290875</v>
      </c>
      <c r="BC31" s="216">
        <f>(D31/Population_Tables!Q5)*Population_Tables!E5</f>
        <v>2.1508664952208356</v>
      </c>
      <c r="BD31" s="216">
        <f>(E31/Population_Tables!R5)*Population_Tables!F5</f>
        <v>25.942807921896048</v>
      </c>
      <c r="BE31" s="216">
        <f>(F31/Population_Tables!S5)*Population_Tables!G5</f>
        <v>4.2235222130056576</v>
      </c>
      <c r="BF31" s="216">
        <f>(G31/Population_Tables!T5)*Population_Tables!H5</f>
        <v>1.3327402612158661</v>
      </c>
      <c r="BG31" s="216"/>
      <c r="BN31" s="216"/>
      <c r="BO31" s="216"/>
      <c r="BP31" s="216"/>
    </row>
    <row r="32" spans="1:68" ht="15.6" x14ac:dyDescent="0.3">
      <c r="A32" s="194">
        <v>2017</v>
      </c>
      <c r="B32" s="229">
        <v>59.808762867653577</v>
      </c>
      <c r="C32" s="229">
        <v>16.427300488451106</v>
      </c>
      <c r="D32" s="229">
        <v>2.2329381235187435</v>
      </c>
      <c r="E32" s="229">
        <v>27.395806664169019</v>
      </c>
      <c r="F32" s="229">
        <v>4.41644110091696</v>
      </c>
      <c r="G32" s="229">
        <v>1.3749137581310149</v>
      </c>
      <c r="H32" s="229">
        <v>20.878555492508404</v>
      </c>
      <c r="I32" s="229">
        <v>5.8021201707966679</v>
      </c>
      <c r="J32" s="229">
        <v>7.3870718774110502</v>
      </c>
      <c r="K32" s="229">
        <v>7.8171875275112006</v>
      </c>
      <c r="M32" s="194">
        <v>2017</v>
      </c>
      <c r="N32" s="419">
        <f t="shared" si="2"/>
        <v>6.2580103313037965</v>
      </c>
      <c r="O32" s="418">
        <f>(C32/Population_Tables!P6)*Population_Tables!D65</f>
        <v>0</v>
      </c>
      <c r="P32" s="418">
        <f>(D32/Population_Tables!Q6)*Population_Tables!E65</f>
        <v>0</v>
      </c>
      <c r="Q32" s="418">
        <f>((E32-H32)/Population_Tables!R6)*Population_Tables!F65</f>
        <v>3.3368608678534373</v>
      </c>
      <c r="R32" s="418">
        <f>(F32/Population_Tables!S6)*Population_Tables!G65</f>
        <v>2.5532921919350908</v>
      </c>
      <c r="S32" s="418">
        <f>(G32/Population_Tables!T6)*Population_Tables!H65</f>
        <v>0.36785727151526881</v>
      </c>
      <c r="T32" s="418">
        <f>(H32/Population_Tables!U6)*Population_Tables!I65</f>
        <v>0</v>
      </c>
      <c r="U32" s="418">
        <f>(I32/Population_Tables!V6)*Population_Tables!J65</f>
        <v>0</v>
      </c>
      <c r="V32" s="418">
        <f>(J32/Population_Tables!W6)*Population_Tables!K65</f>
        <v>0</v>
      </c>
      <c r="W32" s="418">
        <f>(K32/Population_Tables!X6)*Population_Tables!L65</f>
        <v>0</v>
      </c>
      <c r="Y32" s="456">
        <v>2017</v>
      </c>
      <c r="Z32" s="459">
        <f>((B32/Population_Tables!O6)*Population_Tables!C6)-N32</f>
        <v>53.550658281186692</v>
      </c>
      <c r="AA32" s="459">
        <f>((C32/Population_Tables!P6)*Population_Tables!D6)-O32</f>
        <v>16.427300488451106</v>
      </c>
      <c r="AB32" s="459">
        <f>((D32/Population_Tables!Q6)*Population_Tables!E6)-P32</f>
        <v>2.2329381235187435</v>
      </c>
      <c r="AC32" s="459">
        <f>((E32/Population_Tables!R6)*Population_Tables!F6)-Q32</f>
        <v>24.058865753163179</v>
      </c>
      <c r="AD32" s="459">
        <f>((F32/Population_Tables!S6)*Population_Tables!G6)-R32</f>
        <v>1.8631489089818691</v>
      </c>
      <c r="AE32" s="459">
        <f>((G32/Population_Tables!T6)*Population_Tables!H6)-S32</f>
        <v>1.0070564866157461</v>
      </c>
      <c r="AF32" s="459">
        <f>(H32/Population_Tables!U6)*Population_Tables!I6</f>
        <v>20.878555492508404</v>
      </c>
      <c r="AG32" s="459">
        <f>(I32/Population_Tables!V6)*Population_Tables!J6</f>
        <v>5.8021201707966679</v>
      </c>
      <c r="AH32" s="459">
        <f>(J32/Population_Tables!W6)*Population_Tables!K6</f>
        <v>7.3870718774110502</v>
      </c>
      <c r="AI32" s="459">
        <f>(K32/Population_Tables!X6)*Population_Tables!L6</f>
        <v>7.8171875275112015</v>
      </c>
      <c r="AK32" s="456">
        <v>2017</v>
      </c>
      <c r="AL32" s="459">
        <f t="shared" si="6"/>
        <v>59.808668612490486</v>
      </c>
      <c r="AM32" s="459">
        <f t="shared" si="3"/>
        <v>16.427300488451106</v>
      </c>
      <c r="AN32" s="459">
        <f t="shared" si="3"/>
        <v>2.2329381235187435</v>
      </c>
      <c r="AO32" s="459">
        <f t="shared" si="3"/>
        <v>27.395726621016617</v>
      </c>
      <c r="AP32" s="459">
        <f t="shared" si="3"/>
        <v>4.41644110091696</v>
      </c>
      <c r="AQ32" s="459">
        <f t="shared" si="3"/>
        <v>1.3749137581310149</v>
      </c>
      <c r="AR32" s="459">
        <f t="shared" si="3"/>
        <v>20.878555492508404</v>
      </c>
      <c r="AS32" s="459">
        <f t="shared" si="3"/>
        <v>5.8021201707966679</v>
      </c>
      <c r="AT32" s="459">
        <f t="shared" si="3"/>
        <v>7.3870718774110502</v>
      </c>
      <c r="AU32" s="459">
        <f t="shared" si="3"/>
        <v>7.8171875275112015</v>
      </c>
      <c r="AW32" s="216">
        <f>(B32/Population_Tables!O6)*Population_Tables!C6</f>
        <v>59.808668612490486</v>
      </c>
      <c r="AX32" s="153" t="str">
        <f t="shared" si="7"/>
        <v>OK</v>
      </c>
      <c r="AY32" s="421">
        <f t="shared" si="4"/>
        <v>51.847320092034444</v>
      </c>
      <c r="AZ32" s="153" t="str">
        <f t="shared" si="5"/>
        <v>OK</v>
      </c>
      <c r="BB32" s="216">
        <f>(C32/Population_Tables!P6)*Population_Tables!D6</f>
        <v>16.427300488451106</v>
      </c>
      <c r="BC32" s="216">
        <f>(D32/Population_Tables!Q6)*Population_Tables!E6</f>
        <v>2.2329381235187435</v>
      </c>
      <c r="BD32" s="216">
        <f>(E32/Population_Tables!R6)*Population_Tables!F6</f>
        <v>27.395726621016617</v>
      </c>
      <c r="BE32" s="216">
        <f>(F32/Population_Tables!S6)*Population_Tables!G6</f>
        <v>4.41644110091696</v>
      </c>
      <c r="BF32" s="216">
        <f>(G32/Population_Tables!T6)*Population_Tables!H6</f>
        <v>1.3749137581310149</v>
      </c>
      <c r="BG32" s="216"/>
      <c r="BN32" s="216"/>
      <c r="BO32" s="216"/>
      <c r="BP32" s="216"/>
    </row>
    <row r="33" spans="1:68" ht="15.6" x14ac:dyDescent="0.3">
      <c r="A33" s="194">
        <v>2018</v>
      </c>
      <c r="B33" s="229">
        <v>62.627749476115468</v>
      </c>
      <c r="C33" s="229">
        <v>16.333029420875359</v>
      </c>
      <c r="D33" s="229">
        <v>2.3162081559063363</v>
      </c>
      <c r="E33" s="229">
        <v>28.911041776183065</v>
      </c>
      <c r="F33" s="229">
        <v>4.618777107979005</v>
      </c>
      <c r="G33" s="229">
        <v>1.4193768156503164</v>
      </c>
      <c r="H33" s="229">
        <v>21.72201069127312</v>
      </c>
      <c r="I33" s="229">
        <v>6.3511530168064247</v>
      </c>
      <c r="J33" s="229">
        <v>7.43535486523841</v>
      </c>
      <c r="K33" s="229">
        <v>7.9313649249864007</v>
      </c>
      <c r="M33" s="194">
        <v>2018</v>
      </c>
      <c r="N33" s="419">
        <f t="shared" si="2"/>
        <v>6.7505216184590626</v>
      </c>
      <c r="O33" s="418">
        <f>(C33/Population_Tables!P7)*Population_Tables!D66</f>
        <v>0</v>
      </c>
      <c r="P33" s="418">
        <f>(D33/Population_Tables!Q7)*Population_Tables!E66</f>
        <v>0</v>
      </c>
      <c r="Q33" s="418">
        <f>((E33-H33)/Population_Tables!R7)*Population_Tables!F66</f>
        <v>3.6907845366851268</v>
      </c>
      <c r="R33" s="418">
        <f>(F33/Population_Tables!S7)*Population_Tables!G66</f>
        <v>2.6789500850171577</v>
      </c>
      <c r="S33" s="418">
        <f>(G33/Population_Tables!T7)*Population_Tables!H66</f>
        <v>0.38078699675677791</v>
      </c>
      <c r="T33" s="418">
        <f>(H33/Population_Tables!U7)*Population_Tables!I66</f>
        <v>0</v>
      </c>
      <c r="U33" s="418">
        <f>(I33/Population_Tables!V7)*Population_Tables!J66</f>
        <v>0</v>
      </c>
      <c r="V33" s="418">
        <f>(J33/Population_Tables!W7)*Population_Tables!K66</f>
        <v>0</v>
      </c>
      <c r="W33" s="418">
        <f>(K33/Population_Tables!X7)*Population_Tables!L66</f>
        <v>0</v>
      </c>
      <c r="Y33" s="456">
        <v>2018</v>
      </c>
      <c r="Z33" s="459">
        <f>((B33/Population_Tables!O7)*Population_Tables!C7)-N33</f>
        <v>55.877132214543487</v>
      </c>
      <c r="AA33" s="459">
        <f>((C33/Population_Tables!P7)*Population_Tables!D7)-O33</f>
        <v>16.333029420875359</v>
      </c>
      <c r="AB33" s="459">
        <f>((D33/Population_Tables!Q7)*Population_Tables!E7)-P33</f>
        <v>2.3162081559063363</v>
      </c>
      <c r="AC33" s="459">
        <f>((E33/Population_Tables!R7)*Population_Tables!F7)-Q33</f>
        <v>25.220175222986164</v>
      </c>
      <c r="AD33" s="459">
        <f>((F33/Population_Tables!S7)*Population_Tables!G7)-R33</f>
        <v>1.9398270229618473</v>
      </c>
      <c r="AE33" s="459">
        <f>((G33/Population_Tables!T7)*Population_Tables!H7)-S33</f>
        <v>1.0385898188935387</v>
      </c>
      <c r="AF33" s="459">
        <f>(H33/Population_Tables!U7)*Population_Tables!I7</f>
        <v>21.72201069127312</v>
      </c>
      <c r="AG33" s="459">
        <f>(I33/Population_Tables!V7)*Population_Tables!J7</f>
        <v>6.3511530168064247</v>
      </c>
      <c r="AH33" s="459">
        <f>(J33/Population_Tables!W7)*Population_Tables!K7</f>
        <v>7.43535486523841</v>
      </c>
      <c r="AI33" s="459">
        <f>(K33/Population_Tables!X7)*Population_Tables!L7</f>
        <v>7.9313649249864007</v>
      </c>
      <c r="AK33" s="456">
        <v>2018</v>
      </c>
      <c r="AL33" s="459">
        <f t="shared" si="6"/>
        <v>62.627653833002547</v>
      </c>
      <c r="AM33" s="459">
        <f t="shared" si="3"/>
        <v>16.333029420875359</v>
      </c>
      <c r="AN33" s="459">
        <f t="shared" si="3"/>
        <v>2.3162081559063363</v>
      </c>
      <c r="AO33" s="459">
        <f t="shared" si="3"/>
        <v>28.91095975967129</v>
      </c>
      <c r="AP33" s="459">
        <f t="shared" si="3"/>
        <v>4.618777107979005</v>
      </c>
      <c r="AQ33" s="459">
        <f t="shared" si="3"/>
        <v>1.4193768156503166</v>
      </c>
      <c r="AR33" s="459">
        <f t="shared" si="3"/>
        <v>21.72201069127312</v>
      </c>
      <c r="AS33" s="459">
        <f t="shared" si="3"/>
        <v>6.3511530168064247</v>
      </c>
      <c r="AT33" s="459">
        <f t="shared" si="3"/>
        <v>7.43535486523841</v>
      </c>
      <c r="AU33" s="459">
        <f t="shared" si="3"/>
        <v>7.9313649249864007</v>
      </c>
      <c r="AW33" s="216">
        <f>(B33/Population_Tables!O7)*Population_Tables!C7</f>
        <v>62.627653833002547</v>
      </c>
      <c r="AX33" s="153" t="str">
        <f t="shared" si="7"/>
        <v>OK</v>
      </c>
      <c r="AY33" s="421">
        <f t="shared" si="4"/>
        <v>53.59835126008231</v>
      </c>
      <c r="AZ33" s="153" t="str">
        <f t="shared" si="5"/>
        <v>OK</v>
      </c>
      <c r="BB33" s="216">
        <f>(C33/Population_Tables!P7)*Population_Tables!D7</f>
        <v>16.333029420875359</v>
      </c>
      <c r="BC33" s="216">
        <f>(D33/Population_Tables!Q7)*Population_Tables!E7</f>
        <v>2.3162081559063363</v>
      </c>
      <c r="BD33" s="216">
        <f>(E33/Population_Tables!R7)*Population_Tables!F7</f>
        <v>28.91095975967129</v>
      </c>
      <c r="BE33" s="216">
        <f>(F33/Population_Tables!S7)*Population_Tables!G7</f>
        <v>4.618777107979005</v>
      </c>
      <c r="BF33" s="216">
        <f>(G33/Population_Tables!T7)*Population_Tables!H7</f>
        <v>1.4193768156503166</v>
      </c>
      <c r="BG33" s="216"/>
      <c r="BN33" s="216"/>
      <c r="BO33" s="216"/>
      <c r="BP33" s="216"/>
    </row>
    <row r="34" spans="1:68" ht="16.2" thickBot="1" x14ac:dyDescent="0.35">
      <c r="A34" s="198">
        <v>2019</v>
      </c>
      <c r="B34" s="230">
        <v>65.538136865067756</v>
      </c>
      <c r="C34" s="230">
        <v>16.26866609543098</v>
      </c>
      <c r="D34" s="230">
        <v>2.4006759141994158</v>
      </c>
      <c r="E34" s="230">
        <v>30.48759695642725</v>
      </c>
      <c r="F34" s="230">
        <v>4.8317180508766295</v>
      </c>
      <c r="G34" s="230">
        <v>1.4660881903101031</v>
      </c>
      <c r="H34" s="230">
        <v>22.565660096826957</v>
      </c>
      <c r="I34" s="230">
        <v>6.9458284917670037</v>
      </c>
      <c r="J34" s="230">
        <v>7.489253058621312</v>
      </c>
      <c r="K34" s="230">
        <v>8.0472376591575454</v>
      </c>
      <c r="M34" s="198">
        <v>2019</v>
      </c>
      <c r="N34" s="419">
        <f t="shared" si="2"/>
        <v>7.2838820776072817</v>
      </c>
      <c r="O34" s="418">
        <f>(C34/Population_Tables!P8)*Population_Tables!D67</f>
        <v>0</v>
      </c>
      <c r="P34" s="418">
        <f>(D34/Population_Tables!Q8)*Population_Tables!E67</f>
        <v>0</v>
      </c>
      <c r="Q34" s="418">
        <f>((E34-H34)/Population_Tables!R8)*Population_Tables!F67</f>
        <v>4.078268766889801</v>
      </c>
      <c r="R34" s="418">
        <f>(F34/Population_Tables!S8)*Population_Tables!G67</f>
        <v>2.8112600805228172</v>
      </c>
      <c r="S34" s="418">
        <f>(G34/Population_Tables!T8)*Population_Tables!H67</f>
        <v>0.39435323019466312</v>
      </c>
      <c r="T34" s="418">
        <f>(H34/Population_Tables!U8)*Population_Tables!I67</f>
        <v>0</v>
      </c>
      <c r="U34" s="418">
        <f>(I34/Population_Tables!V8)*Population_Tables!J67</f>
        <v>0</v>
      </c>
      <c r="V34" s="418">
        <f>(J34/Population_Tables!W8)*Population_Tables!K67</f>
        <v>0</v>
      </c>
      <c r="W34" s="418">
        <f>(K34/Population_Tables!X8)*Population_Tables!L67</f>
        <v>0</v>
      </c>
      <c r="Y34" s="456">
        <v>2019</v>
      </c>
      <c r="Z34" s="459">
        <f>((B34/Population_Tables!O8)*Population_Tables!C8)-N34</f>
        <v>58.254157612591662</v>
      </c>
      <c r="AA34" s="459">
        <f>((C34/Population_Tables!P8)*Population_Tables!D8)-O34</f>
        <v>16.26866609543098</v>
      </c>
      <c r="AB34" s="459">
        <f>((D34/Population_Tables!Q8)*Population_Tables!E8)-P34</f>
        <v>2.4006759141994158</v>
      </c>
      <c r="AC34" s="459">
        <f>((E34/Population_Tables!R8)*Population_Tables!F8)-Q34</f>
        <v>26.409244046505741</v>
      </c>
      <c r="AD34" s="459">
        <f>((F34/Population_Tables!S8)*Population_Tables!G8)-R34</f>
        <v>2.0204579703538124</v>
      </c>
      <c r="AE34" s="459">
        <f>((G34/Population_Tables!T8)*Population_Tables!H8)-S34</f>
        <v>1.0717349601154398</v>
      </c>
      <c r="AF34" s="459">
        <f>(H34/Population_Tables!U8)*Population_Tables!I8</f>
        <v>22.565660096826957</v>
      </c>
      <c r="AG34" s="459">
        <f>(I34/Population_Tables!V8)*Population_Tables!J8</f>
        <v>6.9458284917670037</v>
      </c>
      <c r="AH34" s="459">
        <f>(J34/Population_Tables!W8)*Population_Tables!K8</f>
        <v>7.4892530586213129</v>
      </c>
      <c r="AI34" s="459">
        <f>(K34/Population_Tables!X8)*Population_Tables!L8</f>
        <v>8.0472376591575454</v>
      </c>
      <c r="AK34" s="456">
        <v>2019</v>
      </c>
      <c r="AL34" s="459">
        <f t="shared" si="6"/>
        <v>65.538039690198943</v>
      </c>
      <c r="AM34" s="459">
        <f t="shared" si="3"/>
        <v>16.26866609543098</v>
      </c>
      <c r="AN34" s="459">
        <f t="shared" si="3"/>
        <v>2.4006759141994158</v>
      </c>
      <c r="AO34" s="459">
        <f t="shared" si="3"/>
        <v>30.48751281339554</v>
      </c>
      <c r="AP34" s="459">
        <f t="shared" si="3"/>
        <v>4.8317180508766295</v>
      </c>
      <c r="AQ34" s="459">
        <f t="shared" si="3"/>
        <v>1.4660881903101028</v>
      </c>
      <c r="AR34" s="459">
        <f t="shared" si="3"/>
        <v>22.565660096826957</v>
      </c>
      <c r="AS34" s="459">
        <f t="shared" si="3"/>
        <v>6.9458284917670037</v>
      </c>
      <c r="AT34" s="459">
        <f t="shared" si="3"/>
        <v>7.4892530586213129</v>
      </c>
      <c r="AU34" s="459">
        <f t="shared" si="3"/>
        <v>8.0472376591575454</v>
      </c>
      <c r="AW34" s="216">
        <f>(B34/Population_Tables!O8)*Population_Tables!C8</f>
        <v>65.538039690198943</v>
      </c>
      <c r="AX34" s="153" t="str">
        <f t="shared" si="7"/>
        <v>OK</v>
      </c>
      <c r="AY34" s="421">
        <f t="shared" si="4"/>
        <v>55.454661064212672</v>
      </c>
      <c r="AZ34" s="153" t="str">
        <f t="shared" si="5"/>
        <v>OK</v>
      </c>
      <c r="BB34" s="216">
        <f>(C34/Population_Tables!P8)*Population_Tables!D8</f>
        <v>16.26866609543098</v>
      </c>
      <c r="BC34" s="216">
        <f>(D34/Population_Tables!Q8)*Population_Tables!E8</f>
        <v>2.4006759141994158</v>
      </c>
      <c r="BD34" s="216">
        <f>(E34/Population_Tables!R8)*Population_Tables!F8</f>
        <v>30.48751281339554</v>
      </c>
      <c r="BE34" s="216">
        <f>(F34/Population_Tables!S8)*Population_Tables!G8</f>
        <v>4.8317180508766295</v>
      </c>
      <c r="BF34" s="216">
        <f>(G34/Population_Tables!T8)*Population_Tables!H8</f>
        <v>1.4660881903101028</v>
      </c>
      <c r="BG34" s="216"/>
      <c r="BN34" s="216"/>
      <c r="BO34" s="216"/>
      <c r="BP34" s="216"/>
    </row>
    <row r="35" spans="1:68" ht="15.6" x14ac:dyDescent="0.3">
      <c r="A35" s="201">
        <v>2020</v>
      </c>
      <c r="B35" s="228">
        <v>68.539556186918574</v>
      </c>
      <c r="C35" s="228">
        <v>16.232717259985296</v>
      </c>
      <c r="D35" s="228">
        <v>2.4863407202137813</v>
      </c>
      <c r="E35" s="228">
        <v>32.12447808735584</v>
      </c>
      <c r="F35" s="228">
        <v>5.0564517462946679</v>
      </c>
      <c r="G35" s="228">
        <v>1.5150066386467071</v>
      </c>
      <c r="H35" s="228">
        <v>23.409011790920012</v>
      </c>
      <c r="I35" s="228">
        <v>7.5860236017224789</v>
      </c>
      <c r="J35" s="228">
        <v>7.5484709554532072</v>
      </c>
      <c r="K35" s="228">
        <v>8.1648019278392887</v>
      </c>
      <c r="M35" s="201">
        <v>2020</v>
      </c>
      <c r="N35" s="419">
        <f t="shared" si="2"/>
        <v>7.8590317126725502</v>
      </c>
      <c r="O35" s="418">
        <f>(C35/Population_Tables!P9)*Population_Tables!D68</f>
        <v>0</v>
      </c>
      <c r="P35" s="418">
        <f>(D35/Population_Tables!Q9)*Population_Tables!E68</f>
        <v>0</v>
      </c>
      <c r="Q35" s="418">
        <f>((E35-H35)/Population_Tables!R9)*Population_Tables!F68</f>
        <v>4.4995930314926085</v>
      </c>
      <c r="R35" s="418">
        <f>(F35/Population_Tables!S9)*Population_Tables!G68</f>
        <v>2.9508991645576081</v>
      </c>
      <c r="S35" s="418">
        <f>(G35/Population_Tables!T9)*Population_Tables!H68</f>
        <v>0.40853951662233373</v>
      </c>
      <c r="T35" s="418">
        <f>(H35/Population_Tables!U9)*Population_Tables!I68</f>
        <v>0</v>
      </c>
      <c r="U35" s="418">
        <f>(I35/Population_Tables!V9)*Population_Tables!J68</f>
        <v>0</v>
      </c>
      <c r="V35" s="418">
        <f>(J35/Population_Tables!W9)*Population_Tables!K68</f>
        <v>0</v>
      </c>
      <c r="W35" s="418">
        <f>(K35/Population_Tables!X9)*Population_Tables!L68</f>
        <v>0</v>
      </c>
      <c r="Y35" s="456">
        <v>2020</v>
      </c>
      <c r="Z35" s="459">
        <f>((B35/Population_Tables!O9)*Population_Tables!C9)-N35</f>
        <v>60.680425588248326</v>
      </c>
      <c r="AA35" s="459">
        <f>((C35/Population_Tables!P9)*Population_Tables!D9)-O35</f>
        <v>16.232717259985296</v>
      </c>
      <c r="AB35" s="459">
        <f>((D35/Population_Tables!Q9)*Population_Tables!E9)-P35</f>
        <v>2.4863407202137813</v>
      </c>
      <c r="AC35" s="459">
        <f>((E35/Population_Tables!R9)*Population_Tables!F9)-Q35</f>
        <v>27.624798594209373</v>
      </c>
      <c r="AD35" s="459">
        <f>((F35/Population_Tables!S9)*Population_Tables!G9)-R35</f>
        <v>2.1055525817370597</v>
      </c>
      <c r="AE35" s="459">
        <f>((G35/Population_Tables!T9)*Population_Tables!H9)-S35</f>
        <v>1.1064671220243731</v>
      </c>
      <c r="AF35" s="459">
        <f>(H35/Population_Tables!U9)*Population_Tables!I9</f>
        <v>23.409011790920012</v>
      </c>
      <c r="AG35" s="459">
        <f>(I35/Population_Tables!V9)*Population_Tables!J9</f>
        <v>7.5860236017224789</v>
      </c>
      <c r="AH35" s="459">
        <f>(J35/Population_Tables!W9)*Population_Tables!K9</f>
        <v>7.5484709554532063</v>
      </c>
      <c r="AI35" s="459">
        <f>(K35/Population_Tables!X9)*Population_Tables!L9</f>
        <v>8.1648019278392887</v>
      </c>
      <c r="AK35" s="456">
        <v>2020</v>
      </c>
      <c r="AL35" s="459">
        <f t="shared" si="6"/>
        <v>68.539457300920873</v>
      </c>
      <c r="AM35" s="459">
        <f t="shared" si="3"/>
        <v>16.232717259985296</v>
      </c>
      <c r="AN35" s="459">
        <f t="shared" si="3"/>
        <v>2.4863407202137813</v>
      </c>
      <c r="AO35" s="459">
        <f t="shared" si="3"/>
        <v>32.124391625701982</v>
      </c>
      <c r="AP35" s="459">
        <f t="shared" si="3"/>
        <v>5.0564517462946679</v>
      </c>
      <c r="AQ35" s="459">
        <f t="shared" si="3"/>
        <v>1.5150066386467069</v>
      </c>
      <c r="AR35" s="459">
        <f t="shared" si="3"/>
        <v>23.409011790920012</v>
      </c>
      <c r="AS35" s="459">
        <f t="shared" si="3"/>
        <v>7.5860236017224789</v>
      </c>
      <c r="AT35" s="459">
        <f t="shared" si="3"/>
        <v>7.5484709554532063</v>
      </c>
      <c r="AU35" s="459">
        <f t="shared" si="3"/>
        <v>8.1648019278392887</v>
      </c>
      <c r="AW35" s="216">
        <f>(B35/Population_Tables!O9)*Population_Tables!C9</f>
        <v>68.539457300920873</v>
      </c>
      <c r="AX35" s="153" t="str">
        <f t="shared" si="7"/>
        <v>OK</v>
      </c>
      <c r="AY35" s="421">
        <f t="shared" si="4"/>
        <v>57.414907990842437</v>
      </c>
      <c r="AZ35" s="153" t="str">
        <f t="shared" si="5"/>
        <v>OK</v>
      </c>
      <c r="BB35" s="216">
        <f>(C35/Population_Tables!P9)*Population_Tables!D9</f>
        <v>16.232717259985296</v>
      </c>
      <c r="BC35" s="216">
        <f>(D35/Population_Tables!Q9)*Population_Tables!E9</f>
        <v>2.4863407202137813</v>
      </c>
      <c r="BD35" s="216">
        <f>(E35/Population_Tables!R9)*Population_Tables!F9</f>
        <v>32.124391625701982</v>
      </c>
      <c r="BE35" s="216">
        <f>(F35/Population_Tables!S9)*Population_Tables!G9</f>
        <v>5.0564517462946679</v>
      </c>
      <c r="BF35" s="216">
        <f>(G35/Population_Tables!T9)*Population_Tables!H9</f>
        <v>1.5150066386467069</v>
      </c>
      <c r="BG35" s="216"/>
      <c r="BN35" s="216"/>
      <c r="BO35" s="216"/>
      <c r="BP35" s="216"/>
    </row>
    <row r="36" spans="1:68" ht="15.6" x14ac:dyDescent="0.3">
      <c r="A36" s="206">
        <v>2021</v>
      </c>
      <c r="B36" s="229">
        <v>71.63163859407608</v>
      </c>
      <c r="C36" s="229">
        <v>16.223689662405647</v>
      </c>
      <c r="D36" s="229">
        <v>2.5732018957652341</v>
      </c>
      <c r="E36" s="229">
        <v>33.82069105142309</v>
      </c>
      <c r="F36" s="229">
        <v>5.2941660109179542</v>
      </c>
      <c r="G36" s="229">
        <v>1.566090917196461</v>
      </c>
      <c r="H36" s="229">
        <v>24.251573855302379</v>
      </c>
      <c r="I36" s="229">
        <v>8.2716153527169247</v>
      </c>
      <c r="J36" s="229">
        <v>7.6127130536275507</v>
      </c>
      <c r="K36" s="229">
        <v>8.28405392884628</v>
      </c>
      <c r="M36" s="206">
        <v>2021</v>
      </c>
      <c r="N36" s="419">
        <f t="shared" si="2"/>
        <v>8.4897421687140024</v>
      </c>
      <c r="O36" s="418">
        <f>(C36/Population_Tables!P10)*Population_Tables!D69</f>
        <v>0</v>
      </c>
      <c r="P36" s="418">
        <f>(D36/Population_Tables!Q10)*Population_Tables!E69</f>
        <v>0</v>
      </c>
      <c r="Q36" s="418">
        <f>((E36-H36)/Population_Tables!R10)*Population_Tables!F69</f>
        <v>4.9637025039299045</v>
      </c>
      <c r="R36" s="418">
        <f>(F36/Population_Tables!S10)*Population_Tables!G69</f>
        <v>3.101748458246679</v>
      </c>
      <c r="S36" s="418">
        <f>(G36/Population_Tables!T10)*Population_Tables!H69</f>
        <v>0.42429120653741814</v>
      </c>
      <c r="T36" s="418">
        <f>(H36/Population_Tables!U10)*Population_Tables!I69</f>
        <v>0</v>
      </c>
      <c r="U36" s="418">
        <f>(I36/Population_Tables!V10)*Population_Tables!J69</f>
        <v>0</v>
      </c>
      <c r="V36" s="418">
        <f>(J36/Population_Tables!W10)*Population_Tables!K69</f>
        <v>0</v>
      </c>
      <c r="W36" s="418">
        <f>(K36/Population_Tables!X10)*Population_Tables!L69</f>
        <v>0</v>
      </c>
      <c r="Y36" s="456">
        <v>2021</v>
      </c>
      <c r="Z36" s="459">
        <f>((B36/Population_Tables!O10)*Population_Tables!C10)-N36</f>
        <v>63.232479452642778</v>
      </c>
      <c r="AA36" s="459">
        <f>((C36/Population_Tables!P10)*Population_Tables!D10)-O36</f>
        <v>16.240517343879642</v>
      </c>
      <c r="AB36" s="459">
        <f>((D36/Population_Tables!Q10)*Population_Tables!E10)-P36</f>
        <v>2.5762546479279296</v>
      </c>
      <c r="AC36" s="459">
        <f>((E36/Population_Tables!R10)*Population_Tables!F10)-Q36</f>
        <v>28.897369086318772</v>
      </c>
      <c r="AD36" s="459">
        <f>((F36/Population_Tables!S10)*Population_Tables!G10)-R36</f>
        <v>2.1995156458887517</v>
      </c>
      <c r="AE36" s="459">
        <f>((G36/Population_Tables!T10)*Population_Tables!H10)-S36</f>
        <v>1.1447655468123976</v>
      </c>
      <c r="AF36" s="459">
        <f>(H36/Population_Tables!U10)*Population_Tables!I10</f>
        <v>24.277022351821763</v>
      </c>
      <c r="AG36" s="459">
        <f>(I36/Population_Tables!V10)*Population_Tables!J10</f>
        <v>8.2811314122855446</v>
      </c>
      <c r="AH36" s="459">
        <f>(J36/Population_Tables!W10)*Population_Tables!K10</f>
        <v>7.6205890703710111</v>
      </c>
      <c r="AI36" s="459">
        <f>(K36/Population_Tables!X10)*Population_Tables!L10</f>
        <v>8.2928058281582029</v>
      </c>
      <c r="AK36" s="456">
        <v>2021</v>
      </c>
      <c r="AL36" s="459">
        <f t="shared" si="6"/>
        <v>71.72222162135678</v>
      </c>
      <c r="AM36" s="459">
        <f t="shared" si="3"/>
        <v>16.240517343879642</v>
      </c>
      <c r="AN36" s="459">
        <f t="shared" si="3"/>
        <v>2.5762546479279296</v>
      </c>
      <c r="AO36" s="459">
        <f t="shared" si="3"/>
        <v>33.861071590248677</v>
      </c>
      <c r="AP36" s="459">
        <f t="shared" si="3"/>
        <v>5.3012641041354307</v>
      </c>
      <c r="AQ36" s="459">
        <f t="shared" si="3"/>
        <v>1.5690567533498156</v>
      </c>
      <c r="AR36" s="459">
        <f t="shared" si="3"/>
        <v>24.277022351821763</v>
      </c>
      <c r="AS36" s="459">
        <f t="shared" si="3"/>
        <v>8.2811314122855446</v>
      </c>
      <c r="AT36" s="459">
        <f t="shared" si="3"/>
        <v>7.6205890703710111</v>
      </c>
      <c r="AU36" s="459">
        <f t="shared" si="3"/>
        <v>8.2928058281582029</v>
      </c>
      <c r="AW36" s="216">
        <f>(B36/Population_Tables!O10)*Population_Tables!C10</f>
        <v>71.72222162135678</v>
      </c>
      <c r="AX36" s="153" t="str">
        <f t="shared" si="7"/>
        <v>OK</v>
      </c>
      <c r="AY36" s="421">
        <f t="shared" si="4"/>
        <v>59.548164439541495</v>
      </c>
      <c r="AZ36" s="153" t="str">
        <f t="shared" si="5"/>
        <v>OK</v>
      </c>
      <c r="BB36" s="216">
        <f>(C36/Population_Tables!P10)*Population_Tables!D10</f>
        <v>16.240517343879642</v>
      </c>
      <c r="BC36" s="216">
        <f>(D36/Population_Tables!Q10)*Population_Tables!E10</f>
        <v>2.5762546479279296</v>
      </c>
      <c r="BD36" s="216">
        <f>(E36/Population_Tables!R10)*Population_Tables!F10</f>
        <v>33.861071590248677</v>
      </c>
      <c r="BE36" s="216">
        <f>(F36/Population_Tables!S10)*Population_Tables!G10</f>
        <v>5.3012641041354307</v>
      </c>
      <c r="BF36" s="216">
        <f>(G36/Population_Tables!T10)*Population_Tables!H10</f>
        <v>1.5690567533498156</v>
      </c>
      <c r="BG36" s="216"/>
      <c r="BN36" s="216"/>
      <c r="BO36" s="216"/>
      <c r="BP36" s="216"/>
    </row>
    <row r="37" spans="1:68" ht="15.6" x14ac:dyDescent="0.3">
      <c r="A37" s="206">
        <v>2022</v>
      </c>
      <c r="B37" s="229">
        <v>74.8140152389484</v>
      </c>
      <c r="C37" s="229">
        <v>16.24009005055937</v>
      </c>
      <c r="D37" s="229">
        <v>2.6612587626695747</v>
      </c>
      <c r="E37" s="229">
        <v>35.575241731083267</v>
      </c>
      <c r="F37" s="229">
        <v>5.5460486614313247</v>
      </c>
      <c r="G37" s="229">
        <v>1.6192997824956974</v>
      </c>
      <c r="H37" s="229">
        <v>25.092854371724162</v>
      </c>
      <c r="I37" s="229">
        <v>9.0024807507944118</v>
      </c>
      <c r="J37" s="229">
        <v>7.6816838510377927</v>
      </c>
      <c r="K37" s="229">
        <v>8.4049898599931741</v>
      </c>
      <c r="M37" s="206">
        <v>2022</v>
      </c>
      <c r="N37" s="419">
        <f t="shared" si="2"/>
        <v>9.1704361339215357</v>
      </c>
      <c r="O37" s="418">
        <f>(C37/Population_Tables!P11)*Population_Tables!D70</f>
        <v>0</v>
      </c>
      <c r="P37" s="418">
        <f>(D37/Population_Tables!Q11)*Population_Tables!E70</f>
        <v>0</v>
      </c>
      <c r="Q37" s="418">
        <f>((E37-H37)/Population_Tables!R11)*Population_Tables!F70</f>
        <v>5.4664255027505071</v>
      </c>
      <c r="R37" s="418">
        <f>(F37/Population_Tables!S11)*Population_Tables!G70</f>
        <v>3.263184197517679</v>
      </c>
      <c r="S37" s="418">
        <f>(G37/Population_Tables!T11)*Population_Tables!H70</f>
        <v>0.44082643365334861</v>
      </c>
      <c r="T37" s="418">
        <f>(H37/Population_Tables!U11)*Population_Tables!I70</f>
        <v>0</v>
      </c>
      <c r="U37" s="418">
        <f>(I37/Population_Tables!V11)*Population_Tables!J70</f>
        <v>0</v>
      </c>
      <c r="V37" s="418">
        <f>(J37/Population_Tables!W11)*Population_Tables!K70</f>
        <v>0</v>
      </c>
      <c r="W37" s="418">
        <f>(K37/Population_Tables!X11)*Population_Tables!L70</f>
        <v>0</v>
      </c>
      <c r="Y37" s="456">
        <v>2022</v>
      </c>
      <c r="Z37" s="459">
        <f>((B37/Population_Tables!O11)*Population_Tables!C11)-N37</f>
        <v>65.855205396114343</v>
      </c>
      <c r="AA37" s="459">
        <f>((C37/Population_Tables!P11)*Population_Tables!D11)-O37</f>
        <v>16.278433647713527</v>
      </c>
      <c r="AB37" s="459">
        <f>((D37/Population_Tables!Q11)*Population_Tables!E11)-P37</f>
        <v>2.66811113254882</v>
      </c>
      <c r="AC37" s="459">
        <f>((E37/Population_Tables!R11)*Population_Tables!F11)-Q37</f>
        <v>30.207462950270571</v>
      </c>
      <c r="AD37" s="459">
        <f>((F37/Population_Tables!S11)*Population_Tables!G11)-R37</f>
        <v>2.2988809986285159</v>
      </c>
      <c r="AE37" s="459">
        <f>((G37/Population_Tables!T11)*Population_Tables!H11)-S37</f>
        <v>1.1847020570407194</v>
      </c>
      <c r="AF37" s="459">
        <f>(H37/Population_Tables!U11)*Population_Tables!I11</f>
        <v>25.151579809095526</v>
      </c>
      <c r="AG37" s="459">
        <f>(I37/Population_Tables!V11)*Population_Tables!J11</f>
        <v>9.0273671836512666</v>
      </c>
      <c r="AH37" s="459">
        <f>(J37/Population_Tables!W11)*Population_Tables!K11</f>
        <v>7.6994516769407184</v>
      </c>
      <c r="AI37" s="459">
        <f>(K37/Population_Tables!X11)*Population_Tables!L11</f>
        <v>8.4255415378102629</v>
      </c>
      <c r="AK37" s="456">
        <v>2022</v>
      </c>
      <c r="AL37" s="459">
        <f t="shared" si="6"/>
        <v>75.025641530035884</v>
      </c>
      <c r="AM37" s="459">
        <f t="shared" si="3"/>
        <v>16.278433647713527</v>
      </c>
      <c r="AN37" s="459">
        <f t="shared" si="3"/>
        <v>2.66811113254882</v>
      </c>
      <c r="AO37" s="459">
        <f t="shared" si="3"/>
        <v>35.673888453021078</v>
      </c>
      <c r="AP37" s="459">
        <f t="shared" si="3"/>
        <v>5.5620651961461949</v>
      </c>
      <c r="AQ37" s="459">
        <f t="shared" si="3"/>
        <v>1.6255284906940681</v>
      </c>
      <c r="AR37" s="459">
        <f t="shared" si="3"/>
        <v>25.151579809095526</v>
      </c>
      <c r="AS37" s="459">
        <f t="shared" si="3"/>
        <v>9.0273671836512666</v>
      </c>
      <c r="AT37" s="459">
        <f t="shared" si="3"/>
        <v>7.6994516769407184</v>
      </c>
      <c r="AU37" s="459">
        <f t="shared" si="3"/>
        <v>8.4255415378102629</v>
      </c>
      <c r="AW37" s="216">
        <f>(B37/Population_Tables!O11)*Population_Tables!C11</f>
        <v>75.025641530035884</v>
      </c>
      <c r="AX37" s="153" t="str">
        <f t="shared" si="7"/>
        <v>OK</v>
      </c>
      <c r="AY37" s="421">
        <f t="shared" si="4"/>
        <v>61.80802692012368</v>
      </c>
      <c r="AZ37" s="153" t="str">
        <f t="shared" si="5"/>
        <v>OK</v>
      </c>
      <c r="BB37" s="216">
        <f>(C37/Population_Tables!P11)*Population_Tables!D11</f>
        <v>16.278433647713527</v>
      </c>
      <c r="BC37" s="216">
        <f>(D37/Population_Tables!Q11)*Population_Tables!E11</f>
        <v>2.66811113254882</v>
      </c>
      <c r="BD37" s="216">
        <f>(E37/Population_Tables!R11)*Population_Tables!F11</f>
        <v>35.673888453021078</v>
      </c>
      <c r="BE37" s="216">
        <f>(F37/Population_Tables!S11)*Population_Tables!G11</f>
        <v>5.5620651961461949</v>
      </c>
      <c r="BF37" s="216">
        <f>(G37/Population_Tables!T11)*Population_Tables!H11</f>
        <v>1.6255284906940679</v>
      </c>
      <c r="BG37" s="216"/>
      <c r="BN37" s="216"/>
      <c r="BO37" s="216"/>
      <c r="BP37" s="216"/>
    </row>
    <row r="38" spans="1:68" ht="15.6" x14ac:dyDescent="0.3">
      <c r="A38" s="206">
        <v>2023</v>
      </c>
      <c r="B38" s="229">
        <v>78.086317273943678</v>
      </c>
      <c r="C38" s="229">
        <v>16.280425172313802</v>
      </c>
      <c r="D38" s="229">
        <v>2.7505106427426025</v>
      </c>
      <c r="E38" s="229">
        <v>37.387136008790648</v>
      </c>
      <c r="F38" s="229">
        <v>5.8132875145196143</v>
      </c>
      <c r="G38" s="229">
        <v>1.6745919910807485</v>
      </c>
      <c r="H38" s="229">
        <v>25.932361421935457</v>
      </c>
      <c r="I38" s="229">
        <v>9.7784968019990188</v>
      </c>
      <c r="J38" s="229">
        <v>7.7550878455773873</v>
      </c>
      <c r="K38" s="229">
        <v>8.5276059190946221</v>
      </c>
      <c r="M38" s="206">
        <v>2023</v>
      </c>
      <c r="N38" s="419">
        <f t="shared" si="2"/>
        <v>9.9022617304201059</v>
      </c>
      <c r="O38" s="418">
        <f>(C38/Population_Tables!P12)*Population_Tables!D71</f>
        <v>0</v>
      </c>
      <c r="P38" s="418">
        <f>(D38/Population_Tables!Q12)*Population_Tables!E71</f>
        <v>0</v>
      </c>
      <c r="Q38" s="418">
        <f>((E38-H38)/Population_Tables!R12)*Population_Tables!F71</f>
        <v>6.0081431423033402</v>
      </c>
      <c r="R38" s="418">
        <f>(F38/Population_Tables!S12)*Population_Tables!G71</f>
        <v>3.4359626321669379</v>
      </c>
      <c r="S38" s="418">
        <f>(G38/Population_Tables!T12)*Population_Tables!H71</f>
        <v>0.45815595594982739</v>
      </c>
      <c r="T38" s="418">
        <f>(H38/Population_Tables!U12)*Population_Tables!I71</f>
        <v>0</v>
      </c>
      <c r="U38" s="418">
        <f>(I38/Population_Tables!V12)*Population_Tables!J71</f>
        <v>0</v>
      </c>
      <c r="V38" s="418">
        <f>(J38/Population_Tables!W12)*Population_Tables!K71</f>
        <v>0</v>
      </c>
      <c r="W38" s="418">
        <f>(K38/Population_Tables!X12)*Population_Tables!L71</f>
        <v>0</v>
      </c>
      <c r="Y38" s="456">
        <v>2023</v>
      </c>
      <c r="Z38" s="459">
        <f>((B38/Population_Tables!O12)*Population_Tables!C12)-N38</f>
        <v>68.546426548228141</v>
      </c>
      <c r="AA38" s="459">
        <f>((C38/Population_Tables!P12)*Population_Tables!D12)-O38</f>
        <v>16.34429054244108</v>
      </c>
      <c r="AB38" s="459">
        <f>((D38/Population_Tables!Q12)*Population_Tables!E12)-P38</f>
        <v>2.7619068546551842</v>
      </c>
      <c r="AC38" s="459">
        <f>((E38/Population_Tables!R12)*Population_Tables!F12)-Q38</f>
        <v>31.553067126945983</v>
      </c>
      <c r="AD38" s="459">
        <f>((F38/Population_Tables!S12)*Population_Tables!G12)-R38</f>
        <v>2.404169194038881</v>
      </c>
      <c r="AE38" s="459">
        <f>((G38/Population_Tables!T12)*Population_Tables!H12)-S38</f>
        <v>1.2263272743893017</v>
      </c>
      <c r="AF38" s="459">
        <f>(H38/Population_Tables!U12)*Population_Tables!I12</f>
        <v>26.031705973842708</v>
      </c>
      <c r="AG38" s="459">
        <f>(I38/Population_Tables!V12)*Population_Tables!J12</f>
        <v>9.8247358123884947</v>
      </c>
      <c r="AH38" s="459">
        <f>(J38/Population_Tables!W12)*Population_Tables!K12</f>
        <v>7.7845292429764488</v>
      </c>
      <c r="AI38" s="459">
        <f>(K38/Population_Tables!X12)*Population_Tables!L12</f>
        <v>8.5626280228682319</v>
      </c>
      <c r="AK38" s="456">
        <v>2023</v>
      </c>
      <c r="AL38" s="459">
        <f t="shared" si="6"/>
        <v>78.448688278648248</v>
      </c>
      <c r="AM38" s="459">
        <f t="shared" si="3"/>
        <v>16.34429054244108</v>
      </c>
      <c r="AN38" s="459">
        <f t="shared" si="3"/>
        <v>2.7619068546551842</v>
      </c>
      <c r="AO38" s="459">
        <f t="shared" si="3"/>
        <v>37.561210269249322</v>
      </c>
      <c r="AP38" s="459">
        <f t="shared" si="3"/>
        <v>5.8401318262058188</v>
      </c>
      <c r="AQ38" s="459">
        <f t="shared" si="3"/>
        <v>1.6844832303391291</v>
      </c>
      <c r="AR38" s="459">
        <f t="shared" si="3"/>
        <v>26.031705973842708</v>
      </c>
      <c r="AS38" s="459">
        <f t="shared" si="3"/>
        <v>9.8247358123884947</v>
      </c>
      <c r="AT38" s="459">
        <f t="shared" si="3"/>
        <v>7.7845292429764488</v>
      </c>
      <c r="AU38" s="459">
        <f t="shared" si="3"/>
        <v>8.5626280228682319</v>
      </c>
      <c r="AW38" s="216">
        <f>(B38/Population_Tables!O12)*Population_Tables!C12</f>
        <v>78.448688278648248</v>
      </c>
      <c r="AX38" s="153" t="str">
        <f t="shared" si="7"/>
        <v>OK</v>
      </c>
      <c r="AY38" s="421">
        <f t="shared" si="4"/>
        <v>64.192022722890528</v>
      </c>
      <c r="AZ38" s="153" t="str">
        <f t="shared" si="5"/>
        <v>OK</v>
      </c>
      <c r="BB38" s="216">
        <f>(C38/Population_Tables!P12)*Population_Tables!D12</f>
        <v>16.34429054244108</v>
      </c>
      <c r="BC38" s="216">
        <f>(D38/Population_Tables!Q12)*Population_Tables!E12</f>
        <v>2.7619068546551842</v>
      </c>
      <c r="BD38" s="216">
        <f>(E38/Population_Tables!R12)*Population_Tables!F12</f>
        <v>37.561210269249322</v>
      </c>
      <c r="BE38" s="216">
        <f>(F38/Population_Tables!S12)*Population_Tables!G12</f>
        <v>5.8401318262058188</v>
      </c>
      <c r="BF38" s="216">
        <f>(G38/Population_Tables!T12)*Population_Tables!H12</f>
        <v>1.6844832303391291</v>
      </c>
      <c r="BG38" s="216"/>
      <c r="BN38" s="216"/>
      <c r="BO38" s="216"/>
      <c r="BP38" s="216"/>
    </row>
    <row r="39" spans="1:68" ht="15.6" x14ac:dyDescent="0.3">
      <c r="A39" s="206">
        <v>2024</v>
      </c>
      <c r="B39" s="229">
        <v>81.448175851470069</v>
      </c>
      <c r="C39" s="229">
        <v>16.343201775536276</v>
      </c>
      <c r="D39" s="229">
        <v>2.8409568578001196</v>
      </c>
      <c r="E39" s="229">
        <v>39.255379766999468</v>
      </c>
      <c r="F39" s="229">
        <v>6.0970703868676583</v>
      </c>
      <c r="G39" s="229">
        <v>1.7319262994879465</v>
      </c>
      <c r="H39" s="229">
        <v>26.769603087686363</v>
      </c>
      <c r="I39" s="229">
        <v>10.599540512374814</v>
      </c>
      <c r="J39" s="229">
        <v>7.8326295351397857</v>
      </c>
      <c r="K39" s="229">
        <v>8.651898303965277</v>
      </c>
      <c r="M39" s="206">
        <v>2024</v>
      </c>
      <c r="N39" s="419">
        <f t="shared" si="2"/>
        <v>10.686546042510969</v>
      </c>
      <c r="O39" s="418">
        <f>(C39/Population_Tables!P13)*Population_Tables!D72</f>
        <v>0</v>
      </c>
      <c r="P39" s="418">
        <f>(D39/Population_Tables!Q13)*Population_Tables!E72</f>
        <v>0</v>
      </c>
      <c r="Q39" s="418">
        <f>((E39-H39)/Population_Tables!R13)*Population_Tables!F72</f>
        <v>6.5892553156693445</v>
      </c>
      <c r="R39" s="418">
        <f>(F39/Population_Tables!S13)*Population_Tables!G72</f>
        <v>3.6209614393443119</v>
      </c>
      <c r="S39" s="418">
        <f>(G39/Population_Tables!T13)*Population_Tables!H72</f>
        <v>0.47632928749731324</v>
      </c>
      <c r="T39" s="418">
        <f>(H39/Population_Tables!U13)*Population_Tables!I72</f>
        <v>0</v>
      </c>
      <c r="U39" s="418">
        <f>(I39/Population_Tables!V13)*Population_Tables!J72</f>
        <v>0</v>
      </c>
      <c r="V39" s="418">
        <f>(J39/Population_Tables!W13)*Population_Tables!K72</f>
        <v>0</v>
      </c>
      <c r="W39" s="418">
        <f>(K39/Population_Tables!X13)*Population_Tables!L72</f>
        <v>0</v>
      </c>
      <c r="Y39" s="456">
        <v>2024</v>
      </c>
      <c r="Z39" s="459">
        <f>((B39/Population_Tables!O13)*Population_Tables!C13)-N39</f>
        <v>71.305140366007109</v>
      </c>
      <c r="AA39" s="459">
        <f>((C39/Population_Tables!P13)*Population_Tables!D13)-O39</f>
        <v>16.436085752745015</v>
      </c>
      <c r="AB39" s="459">
        <f>((D39/Population_Tables!Q13)*Population_Tables!E13)-P39</f>
        <v>2.8576280587901337</v>
      </c>
      <c r="AC39" s="459">
        <f>((E39/Population_Tables!R13)*Population_Tables!F13)-Q39</f>
        <v>32.932417898287525</v>
      </c>
      <c r="AD39" s="459">
        <f>((F39/Population_Tables!S13)*Population_Tables!G13)-R39</f>
        <v>2.5159510228996527</v>
      </c>
      <c r="AE39" s="459">
        <f>((G39/Population_Tables!T13)*Population_Tables!H13)-S39</f>
        <v>1.2697818812565951</v>
      </c>
      <c r="AF39" s="459">
        <f>(H39/Population_Tables!U13)*Population_Tables!I13</f>
        <v>26.916508965348729</v>
      </c>
      <c r="AG39" s="459">
        <f>(I39/Population_Tables!V13)*Population_Tables!J13</f>
        <v>10.673319462934307</v>
      </c>
      <c r="AH39" s="459">
        <f>(J39/Population_Tables!W13)*Population_Tables!K13</f>
        <v>7.8753435006778361</v>
      </c>
      <c r="AI39" s="459">
        <f>(K39/Population_Tables!X13)*Population_Tables!L13</f>
        <v>8.7037619358453604</v>
      </c>
      <c r="AK39" s="456">
        <v>2024</v>
      </c>
      <c r="AL39" s="459">
        <f t="shared" si="6"/>
        <v>81.991686408518078</v>
      </c>
      <c r="AM39" s="459">
        <f t="shared" si="3"/>
        <v>16.436085752745015</v>
      </c>
      <c r="AN39" s="459">
        <f t="shared" si="3"/>
        <v>2.8576280587901337</v>
      </c>
      <c r="AO39" s="459">
        <f t="shared" si="3"/>
        <v>39.521673213956873</v>
      </c>
      <c r="AP39" s="459">
        <f t="shared" si="3"/>
        <v>6.1369124622439646</v>
      </c>
      <c r="AQ39" s="459">
        <f t="shared" si="3"/>
        <v>1.7461111687539084</v>
      </c>
      <c r="AR39" s="459">
        <f t="shared" si="3"/>
        <v>26.916508965348729</v>
      </c>
      <c r="AS39" s="459">
        <f t="shared" si="3"/>
        <v>10.673319462934307</v>
      </c>
      <c r="AT39" s="459">
        <f t="shared" si="3"/>
        <v>7.8753435006778361</v>
      </c>
      <c r="AU39" s="459">
        <f t="shared" si="3"/>
        <v>8.7037619358453604</v>
      </c>
      <c r="AW39" s="216">
        <f>(B39/Population_Tables!O13)*Population_Tables!C13</f>
        <v>81.991686408518078</v>
      </c>
      <c r="AX39" s="153" t="str">
        <f t="shared" si="7"/>
        <v>OK</v>
      </c>
      <c r="AY39" s="421">
        <f t="shared" si="4"/>
        <v>66.698410656489898</v>
      </c>
      <c r="AZ39" s="153" t="str">
        <f t="shared" si="5"/>
        <v>OK</v>
      </c>
      <c r="BB39" s="216">
        <f>(C39/Population_Tables!P13)*Population_Tables!D13</f>
        <v>16.436085752745015</v>
      </c>
      <c r="BC39" s="216">
        <f>(D39/Population_Tables!Q13)*Population_Tables!E13</f>
        <v>2.8576280587901337</v>
      </c>
      <c r="BD39" s="216">
        <f>(E39/Population_Tables!R13)*Population_Tables!F13</f>
        <v>39.521673213956866</v>
      </c>
      <c r="BE39" s="216">
        <f>(F39/Population_Tables!S13)*Population_Tables!G13</f>
        <v>6.1369124622439646</v>
      </c>
      <c r="BF39" s="216">
        <f>(G39/Population_Tables!T13)*Population_Tables!H13</f>
        <v>1.7461111687539084</v>
      </c>
      <c r="BG39" s="216"/>
      <c r="BN39" s="216"/>
      <c r="BO39" s="216"/>
      <c r="BP39" s="216"/>
    </row>
    <row r="40" spans="1:68" ht="15.6" x14ac:dyDescent="0.3">
      <c r="A40" s="206">
        <v>2025</v>
      </c>
      <c r="B40" s="229">
        <v>84.899222123935687</v>
      </c>
      <c r="C40" s="229">
        <v>16.426926608094128</v>
      </c>
      <c r="D40" s="229">
        <v>2.9325967296579254</v>
      </c>
      <c r="E40" s="229">
        <v>41.178978888164018</v>
      </c>
      <c r="F40" s="229">
        <v>6.3985850951602909</v>
      </c>
      <c r="G40" s="229">
        <v>1.791261464253624</v>
      </c>
      <c r="H40" s="229">
        <v>27.604087450726979</v>
      </c>
      <c r="I40" s="229">
        <v>11.465488887965874</v>
      </c>
      <c r="J40" s="229">
        <v>7.9140134176184418</v>
      </c>
      <c r="K40" s="229">
        <v>8.7778632124197902</v>
      </c>
      <c r="M40" s="206">
        <v>2025</v>
      </c>
      <c r="N40" s="419">
        <f t="shared" si="2"/>
        <v>11.524671565031348</v>
      </c>
      <c r="O40" s="418">
        <f>(C40/Population_Tables!P14)*Population_Tables!D73</f>
        <v>0</v>
      </c>
      <c r="P40" s="418">
        <f>(D40/Population_Tables!Q14)*Population_Tables!E73</f>
        <v>0</v>
      </c>
      <c r="Q40" s="418">
        <f>((E40-H40)/Population_Tables!R14)*Population_Tables!F73</f>
        <v>7.2101897939582482</v>
      </c>
      <c r="R40" s="418">
        <f>(F40/Population_Tables!S14)*Population_Tables!G73</f>
        <v>3.819091288774517</v>
      </c>
      <c r="S40" s="418">
        <f>(G40/Population_Tables!T14)*Population_Tables!H73</f>
        <v>0.49539048229858235</v>
      </c>
      <c r="T40" s="418">
        <f>(H40/Population_Tables!U14)*Population_Tables!I73</f>
        <v>0</v>
      </c>
      <c r="U40" s="418">
        <f>(I40/Population_Tables!V14)*Population_Tables!J73</f>
        <v>0</v>
      </c>
      <c r="V40" s="418">
        <f>(J40/Population_Tables!W14)*Population_Tables!K73</f>
        <v>0</v>
      </c>
      <c r="W40" s="418">
        <f>(K40/Population_Tables!X14)*Population_Tables!L73</f>
        <v>0</v>
      </c>
      <c r="Y40" s="456">
        <v>2025</v>
      </c>
      <c r="Z40" s="459">
        <f>((B40/Population_Tables!O14)*Population_Tables!C14)-N40</f>
        <v>74.130572891277325</v>
      </c>
      <c r="AA40" s="459">
        <f>((C40/Population_Tables!P14)*Population_Tables!D14)-O40</f>
        <v>16.551973983234411</v>
      </c>
      <c r="AB40" s="459">
        <f>((D40/Population_Tables!Q14)*Population_Tables!E14)-P40</f>
        <v>2.9552744123290942</v>
      </c>
      <c r="AC40" s="459">
        <f>((E40/Population_Tables!R14)*Population_Tables!F14)-Q40</f>
        <v>34.343976686813278</v>
      </c>
      <c r="AD40" s="459">
        <f>((F40/Population_Tables!S14)*Population_Tables!G14)-R40</f>
        <v>2.6347817407244691</v>
      </c>
      <c r="AE40" s="459">
        <f>((G40/Population_Tables!T14)*Population_Tables!H14)-S40</f>
        <v>1.3151754495877974</v>
      </c>
      <c r="AF40" s="459">
        <f>(H40/Population_Tables!U14)*Population_Tables!I14</f>
        <v>27.805212031791989</v>
      </c>
      <c r="AG40" s="459">
        <f>(I40/Population_Tables!V14)*Population_Tables!J14</f>
        <v>11.573259832068759</v>
      </c>
      <c r="AH40" s="459">
        <f>(J40/Population_Tables!W14)*Population_Tables!K14</f>
        <v>7.9714654234249398</v>
      </c>
      <c r="AI40" s="459">
        <f>(K40/Population_Tables!X14)*Population_Tables!L14</f>
        <v>8.8487202852049425</v>
      </c>
      <c r="AK40" s="456">
        <v>2025</v>
      </c>
      <c r="AL40" s="459">
        <f t="shared" si="6"/>
        <v>85.655244456308679</v>
      </c>
      <c r="AM40" s="459">
        <f t="shared" si="3"/>
        <v>16.551973983234411</v>
      </c>
      <c r="AN40" s="459">
        <f t="shared" si="3"/>
        <v>2.9552744123290942</v>
      </c>
      <c r="AO40" s="459">
        <f t="shared" si="3"/>
        <v>41.554166480771528</v>
      </c>
      <c r="AP40" s="459">
        <f t="shared" si="3"/>
        <v>6.4538730294989861</v>
      </c>
      <c r="AQ40" s="459">
        <f t="shared" si="3"/>
        <v>1.8105659318863798</v>
      </c>
      <c r="AR40" s="459">
        <f t="shared" si="3"/>
        <v>27.805212031791989</v>
      </c>
      <c r="AS40" s="459">
        <f t="shared" si="3"/>
        <v>11.573259832068759</v>
      </c>
      <c r="AT40" s="459">
        <f t="shared" si="3"/>
        <v>7.9714654234249398</v>
      </c>
      <c r="AU40" s="459">
        <f t="shared" si="3"/>
        <v>8.8487202852049425</v>
      </c>
      <c r="AW40" s="216">
        <f>(B40/Population_Tables!O14)*Population_Tables!C14</f>
        <v>85.655244456308665</v>
      </c>
      <c r="AX40" s="153" t="b">
        <f t="shared" si="7"/>
        <v>0</v>
      </c>
      <c r="AY40" s="421">
        <f t="shared" si="4"/>
        <v>69.325853837720388</v>
      </c>
      <c r="AZ40" s="153" t="str">
        <f t="shared" si="5"/>
        <v>OK</v>
      </c>
      <c r="BB40" s="216">
        <f>(C40/Population_Tables!P14)*Population_Tables!D14</f>
        <v>16.551973983234411</v>
      </c>
      <c r="BC40" s="216">
        <f>(D40/Population_Tables!Q14)*Population_Tables!E14</f>
        <v>2.9552744123290942</v>
      </c>
      <c r="BD40" s="216">
        <f>(E40/Population_Tables!R14)*Population_Tables!F14</f>
        <v>41.554166480771528</v>
      </c>
      <c r="BE40" s="216">
        <f>(F40/Population_Tables!S14)*Population_Tables!G14</f>
        <v>6.4538730294989861</v>
      </c>
      <c r="BF40" s="216">
        <f>(G40/Population_Tables!T14)*Population_Tables!H14</f>
        <v>1.8105659318863798</v>
      </c>
      <c r="BG40" s="216"/>
      <c r="BN40" s="216"/>
      <c r="BO40" s="216"/>
      <c r="BP40" s="216"/>
    </row>
    <row r="41" spans="1:68" ht="15.6" x14ac:dyDescent="0.3">
      <c r="A41" s="206">
        <v>2026</v>
      </c>
      <c r="B41" s="229">
        <v>88.439087243748702</v>
      </c>
      <c r="C41" s="229">
        <v>16.530106417854697</v>
      </c>
      <c r="D41" s="229">
        <v>3.0254295801318203</v>
      </c>
      <c r="E41" s="229">
        <v>43.156939254738546</v>
      </c>
      <c r="F41" s="229">
        <v>6.7190194560823482</v>
      </c>
      <c r="G41" s="229">
        <v>1.8525562419141137</v>
      </c>
      <c r="H41" s="229">
        <v>28.435322592807402</v>
      </c>
      <c r="I41" s="229">
        <v>12.376218934816269</v>
      </c>
      <c r="J41" s="229">
        <v>7.9989439909068079</v>
      </c>
      <c r="K41" s="229">
        <v>8.9054968422728127</v>
      </c>
      <c r="M41" s="206">
        <v>2026</v>
      </c>
      <c r="N41" s="419">
        <f t="shared" si="2"/>
        <v>12.418045040962305</v>
      </c>
      <c r="O41" s="418">
        <f>(C41/Population_Tables!P15)*Population_Tables!D74</f>
        <v>0</v>
      </c>
      <c r="P41" s="418">
        <f>(D41/Population_Tables!Q15)*Population_Tables!E74</f>
        <v>0</v>
      </c>
      <c r="Q41" s="418">
        <f>((E41-H41)/Population_Tables!R15)*Population_Tables!F74</f>
        <v>7.8714280425821022</v>
      </c>
      <c r="R41" s="418">
        <f>(F41/Population_Tables!S15)*Population_Tables!G74</f>
        <v>4.0312652049697393</v>
      </c>
      <c r="S41" s="418">
        <f>(G41/Population_Tables!T15)*Population_Tables!H74</f>
        <v>0.51535179341046322</v>
      </c>
      <c r="T41" s="418">
        <f>(H41/Population_Tables!U15)*Population_Tables!I74</f>
        <v>0</v>
      </c>
      <c r="U41" s="418">
        <f>(I41/Population_Tables!V15)*Population_Tables!J74</f>
        <v>0</v>
      </c>
      <c r="V41" s="418">
        <f>(J41/Population_Tables!W15)*Population_Tables!K74</f>
        <v>0</v>
      </c>
      <c r="W41" s="418">
        <f>(K41/Population_Tables!X15)*Population_Tables!L74</f>
        <v>0</v>
      </c>
      <c r="Y41" s="456">
        <v>2026</v>
      </c>
      <c r="Z41" s="459">
        <f>((B41/Population_Tables!O15)*Population_Tables!C15)-N41</f>
        <v>77.021747691203274</v>
      </c>
      <c r="AA41" s="459">
        <f>((C41/Population_Tables!P15)*Population_Tables!D15)-O41</f>
        <v>16.69026787364886</v>
      </c>
      <c r="AB41" s="459">
        <f>((D41/Population_Tables!Q15)*Population_Tables!E15)-P41</f>
        <v>3.0548955137295515</v>
      </c>
      <c r="AC41" s="459">
        <f>((E41/Population_Tables!R15)*Population_Tables!F15)-Q41</f>
        <v>35.786447058380638</v>
      </c>
      <c r="AD41" s="459">
        <f>((F41/Population_Tables!S15)*Population_Tables!G15)-R41</f>
        <v>2.7611773139561855</v>
      </c>
      <c r="AE41" s="459">
        <f>((G41/Population_Tables!T15)*Population_Tables!H15)-S41</f>
        <v>1.3625159636587691</v>
      </c>
      <c r="AF41" s="459">
        <f>(H41/Population_Tables!U15)*Population_Tables!I15</f>
        <v>28.697193718604748</v>
      </c>
      <c r="AG41" s="459">
        <f>(I41/Population_Tables!V15)*Population_Tables!J15</f>
        <v>12.524757390437786</v>
      </c>
      <c r="AH41" s="459">
        <f>(J41/Population_Tables!W15)*Population_Tables!K15</f>
        <v>8.0725206740919031</v>
      </c>
      <c r="AI41" s="459">
        <f>(K41/Population_Tables!X15)*Population_Tables!L15</f>
        <v>8.9973690987585915</v>
      </c>
      <c r="AK41" s="456">
        <v>2026</v>
      </c>
      <c r="AL41" s="459">
        <f t="shared" si="6"/>
        <v>89.439792732165586</v>
      </c>
      <c r="AM41" s="459">
        <f t="shared" si="3"/>
        <v>16.69026787364886</v>
      </c>
      <c r="AN41" s="459">
        <f t="shared" si="3"/>
        <v>3.0548955137295515</v>
      </c>
      <c r="AO41" s="459">
        <f t="shared" si="3"/>
        <v>43.657875100962741</v>
      </c>
      <c r="AP41" s="459">
        <f t="shared" si="3"/>
        <v>6.7924425189259248</v>
      </c>
      <c r="AQ41" s="459">
        <f t="shared" si="3"/>
        <v>1.8778677570692324</v>
      </c>
      <c r="AR41" s="459">
        <f t="shared" si="3"/>
        <v>28.697193718604748</v>
      </c>
      <c r="AS41" s="459">
        <f t="shared" si="3"/>
        <v>12.524757390437786</v>
      </c>
      <c r="AT41" s="459">
        <f t="shared" si="3"/>
        <v>8.0725206740919031</v>
      </c>
      <c r="AU41" s="459">
        <f t="shared" si="3"/>
        <v>8.9973690987585915</v>
      </c>
      <c r="AW41" s="216">
        <f>(B41/Population_Tables!O15)*Population_Tables!C15</f>
        <v>89.439792732165586</v>
      </c>
      <c r="AX41" s="153" t="str">
        <f t="shared" si="7"/>
        <v>OK</v>
      </c>
      <c r="AY41" s="421">
        <f t="shared" si="4"/>
        <v>72.073348764336316</v>
      </c>
      <c r="AZ41" s="153" t="str">
        <f t="shared" si="5"/>
        <v>OK</v>
      </c>
      <c r="BB41" s="216">
        <f>(C41/Population_Tables!P15)*Population_Tables!D15</f>
        <v>16.69026787364886</v>
      </c>
      <c r="BC41" s="216">
        <f>(D41/Population_Tables!Q15)*Population_Tables!E15</f>
        <v>3.0548955137295515</v>
      </c>
      <c r="BD41" s="216">
        <f>(E41/Population_Tables!R15)*Population_Tables!F15</f>
        <v>43.657875100962741</v>
      </c>
      <c r="BE41" s="216">
        <f>(F41/Population_Tables!S15)*Population_Tables!G15</f>
        <v>6.7924425189259248</v>
      </c>
      <c r="BF41" s="216">
        <f>(G41/Population_Tables!T15)*Population_Tables!H15</f>
        <v>1.8778677570692324</v>
      </c>
      <c r="BG41" s="216"/>
      <c r="BN41" s="216"/>
      <c r="BO41" s="216"/>
      <c r="BP41" s="216"/>
    </row>
    <row r="42" spans="1:68" ht="15.6" x14ac:dyDescent="0.3">
      <c r="A42" s="206">
        <v>2027</v>
      </c>
      <c r="B42" s="229">
        <v>92.067402363317228</v>
      </c>
      <c r="C42" s="229">
        <v>16.651247952685321</v>
      </c>
      <c r="D42" s="229">
        <v>3.1194547310376057</v>
      </c>
      <c r="E42" s="229">
        <v>45.188266749177316</v>
      </c>
      <c r="F42" s="229">
        <v>7.0595612863186643</v>
      </c>
      <c r="G42" s="229">
        <v>1.9157693890057477</v>
      </c>
      <c r="H42" s="229">
        <v>29.262816595677734</v>
      </c>
      <c r="I42" s="229">
        <v>13.331607658970078</v>
      </c>
      <c r="J42" s="229">
        <v>8.087125752898336</v>
      </c>
      <c r="K42" s="229">
        <v>9.0347953913389993</v>
      </c>
      <c r="M42" s="206">
        <v>2027</v>
      </c>
      <c r="N42" s="419">
        <f t="shared" si="2"/>
        <v>13.368141279066236</v>
      </c>
      <c r="O42" s="418">
        <f>(C42/Population_Tables!P16)*Population_Tables!D75</f>
        <v>0</v>
      </c>
      <c r="P42" s="418">
        <f>(D42/Population_Tables!Q16)*Population_Tables!E75</f>
        <v>0</v>
      </c>
      <c r="Q42" s="418">
        <f>((E42-H42)/Population_Tables!R16)*Population_Tables!F75</f>
        <v>8.5735470679129406</v>
      </c>
      <c r="R42" s="418">
        <f>(F42/Population_Tables!S16)*Population_Tables!G75</f>
        <v>4.2583906052492821</v>
      </c>
      <c r="S42" s="418">
        <f>(G42/Population_Tables!T16)*Population_Tables!H75</f>
        <v>0.5362036059040135</v>
      </c>
      <c r="T42" s="418">
        <f>(H42/Population_Tables!U16)*Population_Tables!I75</f>
        <v>0</v>
      </c>
      <c r="U42" s="418">
        <f>(I42/Population_Tables!V16)*Population_Tables!J75</f>
        <v>0</v>
      </c>
      <c r="V42" s="418">
        <f>(J42/Population_Tables!W16)*Population_Tables!K75</f>
        <v>0</v>
      </c>
      <c r="W42" s="418">
        <f>(K42/Population_Tables!X16)*Population_Tables!L75</f>
        <v>0</v>
      </c>
      <c r="Y42" s="456">
        <v>2027</v>
      </c>
      <c r="Z42" s="459">
        <f>((B42/Population_Tables!O16)*Population_Tables!C16)-N42</f>
        <v>79.977589054548289</v>
      </c>
      <c r="AA42" s="459">
        <f>((C42/Population_Tables!P16)*Population_Tables!D16)-O42</f>
        <v>16.849422817067499</v>
      </c>
      <c r="AB42" s="459">
        <f>((D42/Population_Tables!Q16)*Population_Tables!E16)-P42</f>
        <v>3.1565546991578497</v>
      </c>
      <c r="AC42" s="459">
        <f>((E42/Population_Tables!R16)*Population_Tables!F16)-Q42</f>
        <v>37.258858525738347</v>
      </c>
      <c r="AD42" s="459">
        <f>((F42/Population_Tables!S16)*Population_Tables!G16)-R42</f>
        <v>2.8956090297375621</v>
      </c>
      <c r="AE42" s="459">
        <f>((G42/Population_Tables!T16)*Population_Tables!H16)-S42</f>
        <v>1.4117341448444813</v>
      </c>
      <c r="AF42" s="459">
        <f>(H42/Population_Tables!U16)*Population_Tables!I16</f>
        <v>29.592012837187117</v>
      </c>
      <c r="AG42" s="459">
        <f>(I42/Population_Tables!V16)*Population_Tables!J16</f>
        <v>13.528164293180016</v>
      </c>
      <c r="AH42" s="459">
        <f>(J42/Population_Tables!W16)*Population_Tables!K16</f>
        <v>8.1781876806969613</v>
      </c>
      <c r="AI42" s="459">
        <f>(K42/Population_Tables!X16)*Population_Tables!L16</f>
        <v>9.1496629052984932</v>
      </c>
      <c r="AK42" s="456">
        <v>2027</v>
      </c>
      <c r="AL42" s="459">
        <f t="shared" si="6"/>
        <v>93.345730333614526</v>
      </c>
      <c r="AM42" s="459">
        <f t="shared" si="3"/>
        <v>16.849422817067499</v>
      </c>
      <c r="AN42" s="459">
        <f t="shared" si="3"/>
        <v>3.1565546991578497</v>
      </c>
      <c r="AO42" s="459">
        <f t="shared" si="3"/>
        <v>45.832405593651288</v>
      </c>
      <c r="AP42" s="459">
        <f t="shared" si="3"/>
        <v>7.1539996349868442</v>
      </c>
      <c r="AQ42" s="459">
        <f t="shared" si="3"/>
        <v>1.947937750748495</v>
      </c>
      <c r="AR42" s="459">
        <f t="shared" si="3"/>
        <v>29.592012837187117</v>
      </c>
      <c r="AS42" s="459">
        <f t="shared" si="3"/>
        <v>13.528164293180016</v>
      </c>
      <c r="AT42" s="459">
        <f t="shared" si="3"/>
        <v>8.1781876806969613</v>
      </c>
      <c r="AU42" s="459">
        <f t="shared" si="3"/>
        <v>9.1496629052984932</v>
      </c>
      <c r="AW42" s="216">
        <f>(B42/Population_Tables!O16)*Population_Tables!C16</f>
        <v>93.345730333614526</v>
      </c>
      <c r="AX42" s="153" t="str">
        <f t="shared" si="7"/>
        <v>OK</v>
      </c>
      <c r="AY42" s="421">
        <f t="shared" si="4"/>
        <v>74.940320495611985</v>
      </c>
      <c r="AZ42" s="153" t="str">
        <f t="shared" si="5"/>
        <v>OK</v>
      </c>
      <c r="BB42" s="216">
        <f>(C42/Population_Tables!P16)*Population_Tables!D16</f>
        <v>16.849422817067499</v>
      </c>
      <c r="BC42" s="216">
        <f>(D42/Population_Tables!Q16)*Population_Tables!E16</f>
        <v>3.1565546991578497</v>
      </c>
      <c r="BD42" s="216">
        <f>(E42/Population_Tables!R16)*Population_Tables!F16</f>
        <v>45.832405593651288</v>
      </c>
      <c r="BE42" s="216">
        <f>(F42/Population_Tables!S16)*Population_Tables!G16</f>
        <v>7.1539996349868442</v>
      </c>
      <c r="BF42" s="216">
        <f>(G42/Population_Tables!T16)*Population_Tables!H16</f>
        <v>1.947937750748495</v>
      </c>
      <c r="BG42" s="216"/>
      <c r="BN42" s="216"/>
      <c r="BO42" s="216"/>
      <c r="BP42" s="216"/>
    </row>
    <row r="43" spans="1:68" ht="15.6" x14ac:dyDescent="0.3">
      <c r="A43" s="206">
        <v>2028</v>
      </c>
      <c r="B43" s="229">
        <v>95.783798635049422</v>
      </c>
      <c r="C43" s="229">
        <v>16.788857960453331</v>
      </c>
      <c r="D43" s="229">
        <v>3.2146715041910814</v>
      </c>
      <c r="E43" s="229">
        <v>47.271967253934605</v>
      </c>
      <c r="F43" s="229">
        <v>7.4213984025540753</v>
      </c>
      <c r="G43" s="229">
        <v>1.9808596620648586</v>
      </c>
      <c r="H43" s="229">
        <v>30.086077541088066</v>
      </c>
      <c r="I43" s="229">
        <v>14.331532066471372</v>
      </c>
      <c r="J43" s="229">
        <v>8.1782632014864785</v>
      </c>
      <c r="K43" s="229">
        <v>9.1657550574330013</v>
      </c>
      <c r="M43" s="206">
        <v>2028</v>
      </c>
      <c r="N43" s="419">
        <f t="shared" si="2"/>
        <v>14.376644600633009</v>
      </c>
      <c r="O43" s="418">
        <f>(C43/Population_Tables!P17)*Population_Tables!D76</f>
        <v>0</v>
      </c>
      <c r="P43" s="418">
        <f>(D43/Population_Tables!Q17)*Population_Tables!E76</f>
        <v>0</v>
      </c>
      <c r="Q43" s="418">
        <f>((E43-H43)/Population_Tables!R17)*Population_Tables!F76</f>
        <v>9.3172645049372615</v>
      </c>
      <c r="R43" s="418">
        <f>(F43/Population_Tables!S17)*Population_Tables!G76</f>
        <v>4.5014270908829834</v>
      </c>
      <c r="S43" s="418">
        <f>(G43/Population_Tables!T17)*Population_Tables!H76</f>
        <v>0.557953004812765</v>
      </c>
      <c r="T43" s="418">
        <f>(H43/Population_Tables!U17)*Population_Tables!I76</f>
        <v>0</v>
      </c>
      <c r="U43" s="418">
        <f>(I43/Population_Tables!V17)*Population_Tables!J76</f>
        <v>0</v>
      </c>
      <c r="V43" s="418">
        <f>(J43/Population_Tables!W17)*Population_Tables!K76</f>
        <v>0</v>
      </c>
      <c r="W43" s="418">
        <f>(K43/Population_Tables!X17)*Population_Tables!L76</f>
        <v>0</v>
      </c>
      <c r="Y43" s="456">
        <v>2028</v>
      </c>
      <c r="Z43" s="459">
        <f>((B43/Population_Tables!O17)*Population_Tables!C17)-N43</f>
        <v>82.997709474740248</v>
      </c>
      <c r="AA43" s="459">
        <f>((C43/Population_Tables!P17)*Population_Tables!D17)-O43</f>
        <v>17.028022902393804</v>
      </c>
      <c r="AB43" s="459">
        <f>((D43/Population_Tables!Q17)*Population_Tables!E17)-P43</f>
        <v>3.2602827151280951</v>
      </c>
      <c r="AC43" s="459">
        <f>((E43/Population_Tables!R17)*Population_Tables!F17)-Q43</f>
        <v>38.760651817949956</v>
      </c>
      <c r="AD43" s="459">
        <f>((F43/Population_Tables!S17)*Population_Tables!G17)-R43</f>
        <v>3.0385469333101938</v>
      </c>
      <c r="AE43" s="459">
        <f>((G43/Population_Tables!T17)*Population_Tables!H17)-S43</f>
        <v>1.4627900036689347</v>
      </c>
      <c r="AF43" s="459">
        <f>(H43/Population_Tables!U17)*Population_Tables!I17</f>
        <v>30.489405383302589</v>
      </c>
      <c r="AG43" s="459">
        <f>(I43/Population_Tables!V17)*Population_Tables!J17</f>
        <v>14.584114996404807</v>
      </c>
      <c r="AH43" s="459">
        <f>(J43/Population_Tables!W17)*Population_Tables!K17</f>
        <v>8.2881979965411308</v>
      </c>
      <c r="AI43" s="459">
        <f>(K43/Population_Tables!X17)*Population_Tables!L17</f>
        <v>9.3056341850781177</v>
      </c>
      <c r="AK43" s="456">
        <v>2028</v>
      </c>
      <c r="AL43" s="459">
        <f t="shared" si="6"/>
        <v>97.374354075373262</v>
      </c>
      <c r="AM43" s="459">
        <f t="shared" si="3"/>
        <v>17.028022902393804</v>
      </c>
      <c r="AN43" s="459">
        <f t="shared" si="3"/>
        <v>3.2602827151280951</v>
      </c>
      <c r="AO43" s="459">
        <f t="shared" si="3"/>
        <v>48.077916322887219</v>
      </c>
      <c r="AP43" s="459">
        <f t="shared" si="3"/>
        <v>7.5399740241931772</v>
      </c>
      <c r="AQ43" s="459">
        <f t="shared" si="3"/>
        <v>2.0207430084816997</v>
      </c>
      <c r="AR43" s="459">
        <f t="shared" si="3"/>
        <v>30.489405383302589</v>
      </c>
      <c r="AS43" s="459">
        <f t="shared" si="3"/>
        <v>14.584114996404807</v>
      </c>
      <c r="AT43" s="459">
        <f t="shared" si="3"/>
        <v>8.2881979965411308</v>
      </c>
      <c r="AU43" s="459">
        <f t="shared" si="3"/>
        <v>9.3056341850781177</v>
      </c>
      <c r="AW43" s="216">
        <f>(B43/Population_Tables!O17)*Population_Tables!C17</f>
        <v>97.374354075373262</v>
      </c>
      <c r="AX43" s="153" t="str">
        <f t="shared" si="7"/>
        <v>OK</v>
      </c>
      <c r="AY43" s="421">
        <f t="shared" si="4"/>
        <v>77.926938973083992</v>
      </c>
      <c r="AZ43" s="153" t="str">
        <f t="shared" si="5"/>
        <v>OK</v>
      </c>
      <c r="BB43" s="216">
        <f>(C43/Population_Tables!P17)*Population_Tables!D17</f>
        <v>17.028022902393804</v>
      </c>
      <c r="BC43" s="216">
        <f>(D43/Population_Tables!Q17)*Population_Tables!E17</f>
        <v>3.2602827151280951</v>
      </c>
      <c r="BD43" s="216">
        <f>(E43/Population_Tables!R17)*Population_Tables!F17</f>
        <v>48.077916322887219</v>
      </c>
      <c r="BE43" s="216">
        <f>(F43/Population_Tables!S17)*Population_Tables!G17</f>
        <v>7.5399740241931772</v>
      </c>
      <c r="BF43" s="216">
        <f>(G43/Population_Tables!T17)*Population_Tables!H17</f>
        <v>2.0207430084816997</v>
      </c>
      <c r="BG43" s="216"/>
      <c r="BN43" s="216"/>
      <c r="BO43" s="216"/>
      <c r="BP43" s="216"/>
    </row>
    <row r="44" spans="1:68" ht="15.6" x14ac:dyDescent="0.3">
      <c r="A44" s="206">
        <v>2029</v>
      </c>
      <c r="B44" s="229">
        <v>99.587907211353411</v>
      </c>
      <c r="C44" s="229">
        <v>16.941443189026064</v>
      </c>
      <c r="D44" s="229">
        <v>3.3110792214080478</v>
      </c>
      <c r="E44" s="229">
        <v>49.407046651464654</v>
      </c>
      <c r="F44" s="229">
        <v>7.8057186214734164</v>
      </c>
      <c r="G44" s="229">
        <v>2.0477858176277786</v>
      </c>
      <c r="H44" s="229">
        <v>30.904613510788508</v>
      </c>
      <c r="I44" s="229">
        <v>15.375869163364221</v>
      </c>
      <c r="J44" s="229">
        <v>8.2720608345646873</v>
      </c>
      <c r="K44" s="229">
        <v>9.2983720383694681</v>
      </c>
      <c r="M44" s="206">
        <v>2029</v>
      </c>
      <c r="N44" s="419">
        <f t="shared" si="2"/>
        <v>15.445390344340368</v>
      </c>
      <c r="O44" s="418">
        <f>(C44/Population_Tables!P18)*Population_Tables!D77</f>
        <v>0</v>
      </c>
      <c r="P44" s="418">
        <f>(D44/Population_Tables!Q18)*Population_Tables!E77</f>
        <v>0</v>
      </c>
      <c r="Q44" s="418">
        <f>((E44-H44)/Population_Tables!R18)*Population_Tables!F77</f>
        <v>10.103434563416995</v>
      </c>
      <c r="R44" s="418">
        <f>(F44/Population_Tables!S18)*Population_Tables!G77</f>
        <v>4.7613525144030042</v>
      </c>
      <c r="S44" s="418">
        <f>(G44/Population_Tables!T18)*Population_Tables!H77</f>
        <v>0.58060326652036842</v>
      </c>
      <c r="T44" s="418">
        <f>(H44/Population_Tables!U18)*Population_Tables!I77</f>
        <v>0</v>
      </c>
      <c r="U44" s="418">
        <f>(I44/Population_Tables!V18)*Population_Tables!J77</f>
        <v>0</v>
      </c>
      <c r="V44" s="418">
        <f>(J44/Population_Tables!W18)*Population_Tables!K77</f>
        <v>0</v>
      </c>
      <c r="W44" s="418">
        <f>(K44/Population_Tables!X18)*Population_Tables!L77</f>
        <v>0</v>
      </c>
      <c r="Y44" s="456">
        <v>2029</v>
      </c>
      <c r="Z44" s="459">
        <f>((B44/Population_Tables!O18)*Population_Tables!C18)-N44</f>
        <v>86.081899732607042</v>
      </c>
      <c r="AA44" s="459">
        <f>((C44/Population_Tables!P18)*Population_Tables!D18)-O44</f>
        <v>17.224736674239633</v>
      </c>
      <c r="AB44" s="459">
        <f>((D44/Population_Tables!Q18)*Population_Tables!E18)-P44</f>
        <v>3.3661010256117496</v>
      </c>
      <c r="AC44" s="459">
        <f>((E44/Population_Tables!R18)*Population_Tables!F18)-Q44</f>
        <v>40.291583100433023</v>
      </c>
      <c r="AD44" s="459">
        <f>((F44/Population_Tables!S18)*Population_Tables!G18)-R44</f>
        <v>3.1904404123538548</v>
      </c>
      <c r="AE44" s="459">
        <f>((G44/Population_Tables!T18)*Population_Tables!H18)-S44</f>
        <v>1.5156189897252625</v>
      </c>
      <c r="AF44" s="459">
        <f>(H44/Population_Tables!U18)*Population_Tables!I18</f>
        <v>31.389256362725476</v>
      </c>
      <c r="AG44" s="459">
        <f>(I44/Population_Tables!V18)*Population_Tables!J18</f>
        <v>15.693485371505309</v>
      </c>
      <c r="AH44" s="459">
        <f>(J44/Population_Tables!W18)*Population_Tables!K18</f>
        <v>8.4023152016610148</v>
      </c>
      <c r="AI44" s="459">
        <f>(K44/Population_Tables!X18)*Population_Tables!L18</f>
        <v>9.4653752933139224</v>
      </c>
      <c r="AK44" s="456">
        <v>2029</v>
      </c>
      <c r="AL44" s="459">
        <f t="shared" si="6"/>
        <v>101.52729007694741</v>
      </c>
      <c r="AM44" s="459">
        <f t="shared" si="3"/>
        <v>17.224736674239633</v>
      </c>
      <c r="AN44" s="459">
        <f t="shared" si="3"/>
        <v>3.3661010256117496</v>
      </c>
      <c r="AO44" s="459">
        <f t="shared" si="3"/>
        <v>50.39501766385002</v>
      </c>
      <c r="AP44" s="459">
        <f t="shared" si="3"/>
        <v>7.951792926756859</v>
      </c>
      <c r="AQ44" s="459">
        <f t="shared" si="3"/>
        <v>2.096222256245631</v>
      </c>
      <c r="AR44" s="459">
        <f t="shared" si="3"/>
        <v>31.389256362725476</v>
      </c>
      <c r="AS44" s="459">
        <f t="shared" si="3"/>
        <v>15.693485371505309</v>
      </c>
      <c r="AT44" s="459">
        <f t="shared" si="3"/>
        <v>8.4023152016610148</v>
      </c>
      <c r="AU44" s="459">
        <f t="shared" si="3"/>
        <v>9.4653752933139224</v>
      </c>
      <c r="AW44" s="216">
        <f>(B44/Population_Tables!O18)*Population_Tables!C18</f>
        <v>101.52729007694741</v>
      </c>
      <c r="AX44" s="153" t="str">
        <f t="shared" si="7"/>
        <v>OK</v>
      </c>
      <c r="AY44" s="421">
        <f t="shared" si="4"/>
        <v>81.033870546703895</v>
      </c>
      <c r="AZ44" s="153" t="str">
        <f t="shared" si="5"/>
        <v>OK</v>
      </c>
      <c r="BB44" s="216">
        <f>(C44/Population_Tables!P18)*Population_Tables!D18</f>
        <v>17.224736674239633</v>
      </c>
      <c r="BC44" s="216">
        <f>(D44/Population_Tables!Q18)*Population_Tables!E18</f>
        <v>3.3661010256117496</v>
      </c>
      <c r="BD44" s="216">
        <f>(E44/Population_Tables!R18)*Population_Tables!F18</f>
        <v>50.39501766385002</v>
      </c>
      <c r="BE44" s="216">
        <f>(F44/Population_Tables!S18)*Population_Tables!G18</f>
        <v>7.951792926756859</v>
      </c>
      <c r="BF44" s="216">
        <f>(G44/Population_Tables!T18)*Population_Tables!H18</f>
        <v>2.096222256245631</v>
      </c>
      <c r="BG44" s="216"/>
      <c r="BN44" s="216"/>
      <c r="BO44" s="216"/>
      <c r="BP44" s="216"/>
    </row>
    <row r="45" spans="1:68" ht="15.6" x14ac:dyDescent="0.3">
      <c r="A45" s="206">
        <v>2030</v>
      </c>
      <c r="B45" s="229">
        <v>103.47935924463735</v>
      </c>
      <c r="C45" s="229">
        <v>17.10751038627086</v>
      </c>
      <c r="D45" s="229">
        <v>3.4086772045043059</v>
      </c>
      <c r="E45" s="229">
        <v>51.592510824221741</v>
      </c>
      <c r="F45" s="229">
        <v>8.213709759761521</v>
      </c>
      <c r="G45" s="229">
        <v>2.11650661223084</v>
      </c>
      <c r="H45" s="229">
        <v>31.717932586529152</v>
      </c>
      <c r="I45" s="229">
        <v>16.464495955692705</v>
      </c>
      <c r="J45" s="229">
        <v>8.3682231500264166</v>
      </c>
      <c r="K45" s="229">
        <v>9.4326425319630562</v>
      </c>
      <c r="M45" s="206">
        <v>2030</v>
      </c>
      <c r="N45" s="419">
        <f t="shared" si="2"/>
        <v>16.576274333341445</v>
      </c>
      <c r="O45" s="418">
        <f>(C45/Population_Tables!P19)*Population_Tables!D78</f>
        <v>0</v>
      </c>
      <c r="P45" s="418">
        <f>(D45/Population_Tables!Q19)*Population_Tables!E78</f>
        <v>0</v>
      </c>
      <c r="Q45" s="418">
        <f>((E45-H45)/Population_Tables!R19)*Population_Tables!F78</f>
        <v>10.932942034729635</v>
      </c>
      <c r="R45" s="418">
        <f>(F45/Population_Tables!S19)*Population_Tables!G78</f>
        <v>5.0391727831539734</v>
      </c>
      <c r="S45" s="418">
        <f>(G45/Population_Tables!T19)*Population_Tables!H78</f>
        <v>0.60415951545783875</v>
      </c>
      <c r="T45" s="418">
        <f>(H45/Population_Tables!U19)*Population_Tables!I78</f>
        <v>0</v>
      </c>
      <c r="U45" s="418">
        <f>(I45/Population_Tables!V19)*Population_Tables!J78</f>
        <v>0</v>
      </c>
      <c r="V45" s="418">
        <f>(J45/Population_Tables!W19)*Population_Tables!K78</f>
        <v>0</v>
      </c>
      <c r="W45" s="418">
        <f>(K45/Population_Tables!X19)*Population_Tables!L78</f>
        <v>0</v>
      </c>
      <c r="Y45" s="456">
        <v>2030</v>
      </c>
      <c r="Z45" s="459">
        <f>((B45/Population_Tables!O19)*Population_Tables!C19)-N45</f>
        <v>89.22999742269316</v>
      </c>
      <c r="AA45" s="459">
        <f>((C45/Population_Tables!P19)*Population_Tables!D19)-O45</f>
        <v>17.438219477340013</v>
      </c>
      <c r="AB45" s="459">
        <f>((D45/Population_Tables!Q19)*Population_Tables!E19)-P45</f>
        <v>3.474039311966254</v>
      </c>
      <c r="AC45" s="459">
        <f>((E45/Population_Tables!R19)*Population_Tables!F19)-Q45</f>
        <v>41.851405739270042</v>
      </c>
      <c r="AD45" s="459">
        <f>((F45/Population_Tables!S19)*Population_Tables!G19)-R45</f>
        <v>3.3517496163123157</v>
      </c>
      <c r="AE45" s="459">
        <f>((G45/Population_Tables!T19)*Population_Tables!H19)-S45</f>
        <v>1.5701642025535536</v>
      </c>
      <c r="AF45" s="459">
        <f>(H45/Population_Tables!U19)*Population_Tables!I19</f>
        <v>32.291433807026891</v>
      </c>
      <c r="AG45" s="459">
        <f>(I45/Population_Tables!V19)*Population_Tables!J19</f>
        <v>16.857211802087061</v>
      </c>
      <c r="AH45" s="459">
        <f>(J45/Population_Tables!W19)*Population_Tables!K19</f>
        <v>8.5203032251181998</v>
      </c>
      <c r="AI45" s="459">
        <f>(K45/Population_Tables!X19)*Population_Tables!L19</f>
        <v>9.6289665707620031</v>
      </c>
      <c r="AK45" s="456">
        <v>2030</v>
      </c>
      <c r="AL45" s="459">
        <f t="shared" si="6"/>
        <v>105.8062717560346</v>
      </c>
      <c r="AM45" s="459">
        <f t="shared" si="6"/>
        <v>17.438219477340013</v>
      </c>
      <c r="AN45" s="459">
        <f t="shared" si="6"/>
        <v>3.474039311966254</v>
      </c>
      <c r="AO45" s="459">
        <f t="shared" si="6"/>
        <v>52.784347773999677</v>
      </c>
      <c r="AP45" s="459">
        <f t="shared" si="6"/>
        <v>8.3909223994662891</v>
      </c>
      <c r="AQ45" s="459">
        <f t="shared" si="6"/>
        <v>2.1743237180113923</v>
      </c>
      <c r="AR45" s="459">
        <f t="shared" si="6"/>
        <v>32.291433807026891</v>
      </c>
      <c r="AS45" s="459">
        <f t="shared" si="6"/>
        <v>16.857211802087061</v>
      </c>
      <c r="AT45" s="459">
        <f t="shared" si="6"/>
        <v>8.5203032251181998</v>
      </c>
      <c r="AU45" s="459">
        <f t="shared" si="6"/>
        <v>9.6289665707620031</v>
      </c>
      <c r="AW45" s="216">
        <f>(B45/Population_Tables!O19)*Population_Tables!C19</f>
        <v>105.8062717560346</v>
      </c>
      <c r="AX45" s="153" t="str">
        <f t="shared" si="7"/>
        <v>OK</v>
      </c>
      <c r="AY45" s="421">
        <f t="shared" si="4"/>
        <v>84.261852680783633</v>
      </c>
      <c r="AZ45" s="153" t="str">
        <f t="shared" si="5"/>
        <v>OK</v>
      </c>
      <c r="BB45" s="216">
        <f>(C45/Population_Tables!P19)*Population_Tables!D19</f>
        <v>17.438219477340013</v>
      </c>
      <c r="BC45" s="216">
        <f>(D45/Population_Tables!Q19)*Population_Tables!E19</f>
        <v>3.474039311966254</v>
      </c>
      <c r="BD45" s="216">
        <f>(E45/Population_Tables!R19)*Population_Tables!F19</f>
        <v>52.784347773999677</v>
      </c>
      <c r="BE45" s="216">
        <f>(F45/Population_Tables!S19)*Population_Tables!G19</f>
        <v>8.3909223994662891</v>
      </c>
      <c r="BF45" s="216">
        <f>(G45/Population_Tables!T19)*Population_Tables!H19</f>
        <v>2.1743237180113923</v>
      </c>
      <c r="BG45" s="216"/>
      <c r="BN45" s="216"/>
      <c r="BO45" s="216"/>
      <c r="BP45" s="216"/>
    </row>
    <row r="46" spans="1:68" ht="15.6" x14ac:dyDescent="0.3">
      <c r="A46" s="206">
        <v>2031</v>
      </c>
      <c r="B46" s="229">
        <v>107.45778588730938</v>
      </c>
      <c r="C46" s="229">
        <v>17.285566300055056</v>
      </c>
      <c r="D46" s="229">
        <v>3.5074647752956558</v>
      </c>
      <c r="E46" s="229">
        <v>53.827365654660127</v>
      </c>
      <c r="F46" s="229">
        <v>8.6465596341032267</v>
      </c>
      <c r="G46" s="229">
        <v>2.1869808024103756</v>
      </c>
      <c r="H46" s="229">
        <v>32.525542850060091</v>
      </c>
      <c r="I46" s="229">
        <v>17.597289449500892</v>
      </c>
      <c r="J46" s="229">
        <v>8.4664546457651184</v>
      </c>
      <c r="K46" s="229">
        <v>9.5685627360284151</v>
      </c>
      <c r="M46" s="206">
        <v>2031</v>
      </c>
      <c r="N46" s="419">
        <f t="shared" si="2"/>
        <v>17.771062365514833</v>
      </c>
      <c r="O46" s="418">
        <f>(C46/Population_Tables!P20)*Population_Tables!D79</f>
        <v>0</v>
      </c>
      <c r="P46" s="418">
        <f>(D46/Population_Tables!Q20)*Population_Tables!E79</f>
        <v>0</v>
      </c>
      <c r="Q46" s="418">
        <f>((E46-H46)/Population_Tables!R20)*Population_Tables!F79</f>
        <v>11.806511434511787</v>
      </c>
      <c r="R46" s="418">
        <f>(F46/Population_Tables!S20)*Population_Tables!G79</f>
        <v>5.3359176154388681</v>
      </c>
      <c r="S46" s="418">
        <f>(G46/Population_Tables!T20)*Population_Tables!H79</f>
        <v>0.62863331556417645</v>
      </c>
      <c r="T46" s="418">
        <f>(H46/Population_Tables!U20)*Population_Tables!I79</f>
        <v>0</v>
      </c>
      <c r="U46" s="418">
        <f>(I46/Population_Tables!V20)*Population_Tables!J79</f>
        <v>0</v>
      </c>
      <c r="V46" s="418">
        <f>(J46/Population_Tables!W20)*Population_Tables!K79</f>
        <v>0</v>
      </c>
      <c r="W46" s="418">
        <f>(K46/Population_Tables!X20)*Population_Tables!L79</f>
        <v>0</v>
      </c>
      <c r="Y46" s="456">
        <v>2031</v>
      </c>
      <c r="Z46" s="459">
        <f>((B46/Population_Tables!O20)*Population_Tables!C20)-N46</f>
        <v>92.441518669498265</v>
      </c>
      <c r="AA46" s="459">
        <f>((C46/Population_Tables!P20)*Population_Tables!D20)-O46</f>
        <v>17.666987256069199</v>
      </c>
      <c r="AB46" s="459">
        <f>((D46/Population_Tables!Q20)*Population_Tables!E20)-P46</f>
        <v>3.5841378265623711</v>
      </c>
      <c r="AC46" s="459">
        <f>((E46/Population_Tables!R20)*Population_Tables!F20)-Q46</f>
        <v>43.439410770909376</v>
      </c>
      <c r="AD46" s="459">
        <f>((F46/Population_Tables!S20)*Population_Tables!G20)-R46</f>
        <v>3.5229696068538594</v>
      </c>
      <c r="AE46" s="459">
        <f>((G46/Population_Tables!T20)*Population_Tables!H20)-S46</f>
        <v>1.6264060075787312</v>
      </c>
      <c r="AF46" s="459">
        <f>(H46/Population_Tables!U20)*Population_Tables!I20</f>
        <v>33.195579459809096</v>
      </c>
      <c r="AG46" s="459">
        <f>(I46/Population_Tables!V20)*Population_Tables!J20</f>
        <v>18.075920050344482</v>
      </c>
      <c r="AH46" s="459">
        <f>(J46/Population_Tables!W20)*Population_Tables!K20</f>
        <v>8.6418694870475576</v>
      </c>
      <c r="AI46" s="459">
        <f>(K46/Population_Tables!X20)*Population_Tables!L20</f>
        <v>9.7963958207913091</v>
      </c>
      <c r="AK46" s="456">
        <v>2031</v>
      </c>
      <c r="AL46" s="459">
        <f t="shared" si="6"/>
        <v>110.2125810350131</v>
      </c>
      <c r="AM46" s="459">
        <f t="shared" si="6"/>
        <v>17.666987256069199</v>
      </c>
      <c r="AN46" s="459">
        <f t="shared" si="6"/>
        <v>3.5841378265623711</v>
      </c>
      <c r="AO46" s="459">
        <f t="shared" si="6"/>
        <v>55.245922205421166</v>
      </c>
      <c r="AP46" s="459">
        <f t="shared" si="6"/>
        <v>8.8588872222927275</v>
      </c>
      <c r="AQ46" s="459">
        <f t="shared" si="6"/>
        <v>2.2550393231429076</v>
      </c>
      <c r="AR46" s="459">
        <f t="shared" si="6"/>
        <v>33.195579459809096</v>
      </c>
      <c r="AS46" s="459">
        <f t="shared" si="6"/>
        <v>18.075920050344482</v>
      </c>
      <c r="AT46" s="459">
        <f t="shared" si="6"/>
        <v>8.6418694870475576</v>
      </c>
      <c r="AU46" s="459">
        <f t="shared" si="6"/>
        <v>9.7963958207913091</v>
      </c>
      <c r="AW46" s="216">
        <f>(B46/Population_Tables!O20)*Population_Tables!C20</f>
        <v>110.2125810350131</v>
      </c>
      <c r="AX46" s="153" t="str">
        <f t="shared" si="7"/>
        <v>OK</v>
      </c>
      <c r="AY46" s="421">
        <f t="shared" si="4"/>
        <v>87.610973833488373</v>
      </c>
      <c r="AZ46" s="153" t="str">
        <f t="shared" si="5"/>
        <v>OK</v>
      </c>
      <c r="BB46" s="216">
        <f>(C46/Population_Tables!P20)*Population_Tables!D20</f>
        <v>17.666987256069199</v>
      </c>
      <c r="BC46" s="216">
        <f>(D46/Population_Tables!Q20)*Population_Tables!E20</f>
        <v>3.5841378265623711</v>
      </c>
      <c r="BD46" s="216">
        <f>(E46/Population_Tables!R20)*Population_Tables!F20</f>
        <v>55.245922205421166</v>
      </c>
      <c r="BE46" s="216">
        <f>(F46/Population_Tables!S20)*Population_Tables!G20</f>
        <v>8.8588872222927275</v>
      </c>
      <c r="BF46" s="216">
        <f>(G46/Population_Tables!T20)*Population_Tables!H20</f>
        <v>2.2550393231429076</v>
      </c>
      <c r="BG46" s="216"/>
      <c r="BN46" s="216"/>
      <c r="BO46" s="216"/>
      <c r="BP46" s="216"/>
    </row>
    <row r="47" spans="1:68" ht="15.6" x14ac:dyDescent="0.3">
      <c r="A47" s="206">
        <v>2032</v>
      </c>
      <c r="B47" s="229">
        <v>111.52281829177764</v>
      </c>
      <c r="C47" s="229">
        <v>17.474117678245982</v>
      </c>
      <c r="D47" s="229">
        <v>3.6074412555978985</v>
      </c>
      <c r="E47" s="229">
        <v>56.11061702523407</v>
      </c>
      <c r="F47" s="229">
        <v>9.1054560611833679</v>
      </c>
      <c r="G47" s="229">
        <v>2.259167144702718</v>
      </c>
      <c r="H47" s="229">
        <v>33.326952383131434</v>
      </c>
      <c r="I47" s="229">
        <v>18.774126650832859</v>
      </c>
      <c r="J47" s="229">
        <v>8.566459819674245</v>
      </c>
      <c r="K47" s="229">
        <v>9.7061288483801995</v>
      </c>
      <c r="M47" s="206">
        <v>2032</v>
      </c>
      <c r="N47" s="419">
        <f t="shared" si="2"/>
        <v>19.031069566929151</v>
      </c>
      <c r="O47" s="418">
        <f>(C47/Population_Tables!P21)*Population_Tables!D80</f>
        <v>0</v>
      </c>
      <c r="P47" s="418">
        <f>(D47/Population_Tables!Q21)*Population_Tables!E80</f>
        <v>0</v>
      </c>
      <c r="Q47" s="418">
        <f>((E47-H47)/Population_Tables!R21)*Population_Tables!F80</f>
        <v>12.72452238908814</v>
      </c>
      <c r="R47" s="418">
        <f>(F47/Population_Tables!S21)*Population_Tables!G80</f>
        <v>5.6525250338066355</v>
      </c>
      <c r="S47" s="418">
        <f>(G47/Population_Tables!T21)*Population_Tables!H80</f>
        <v>0.65402214403437475</v>
      </c>
      <c r="T47" s="418">
        <f>(H47/Population_Tables!U21)*Population_Tables!I80</f>
        <v>0</v>
      </c>
      <c r="U47" s="418">
        <f>(I47/Population_Tables!V21)*Population_Tables!J80</f>
        <v>0</v>
      </c>
      <c r="V47" s="418">
        <f>(J47/Population_Tables!W21)*Population_Tables!K80</f>
        <v>0</v>
      </c>
      <c r="W47" s="418">
        <f>(K47/Population_Tables!X21)*Population_Tables!L80</f>
        <v>0</v>
      </c>
      <c r="Y47" s="456">
        <v>2032</v>
      </c>
      <c r="Z47" s="459">
        <f>((B47/Population_Tables!O21)*Population_Tables!C21)-N47</f>
        <v>95.714674899874055</v>
      </c>
      <c r="AA47" s="459">
        <f>((C47/Population_Tables!P21)*Population_Tables!D21)-O47</f>
        <v>17.909300508402954</v>
      </c>
      <c r="AB47" s="459">
        <f>((D47/Population_Tables!Q21)*Population_Tables!E21)-P47</f>
        <v>3.6964084375245667</v>
      </c>
      <c r="AC47" s="459">
        <f>((E47/Population_Tables!R21)*Population_Tables!F21)-Q47</f>
        <v>45.054149453328506</v>
      </c>
      <c r="AD47" s="459">
        <f>((F47/Population_Tables!S21)*Population_Tables!G21)-R47</f>
        <v>3.704582037763589</v>
      </c>
      <c r="AE47" s="459">
        <f>((G47/Population_Tables!T21)*Population_Tables!H21)-S47</f>
        <v>1.6843273596180872</v>
      </c>
      <c r="AF47" s="459">
        <f>(H47/Population_Tables!U21)*Population_Tables!I21</f>
        <v>34.100887558379867</v>
      </c>
      <c r="AG47" s="459">
        <f>(I47/Population_Tables!V21)*Population_Tables!J21</f>
        <v>19.349760166322127</v>
      </c>
      <c r="AH47" s="459">
        <f>(J47/Population_Tables!W21)*Population_Tables!K21</f>
        <v>8.766617331935521</v>
      </c>
      <c r="AI47" s="459">
        <f>(K47/Population_Tables!X21)*Population_Tables!L21</f>
        <v>9.9674833346144869</v>
      </c>
      <c r="AK47" s="456">
        <v>2032</v>
      </c>
      <c r="AL47" s="459">
        <f t="shared" si="6"/>
        <v>114.7457444668032</v>
      </c>
      <c r="AM47" s="459">
        <f t="shared" si="6"/>
        <v>17.909300508402954</v>
      </c>
      <c r="AN47" s="459">
        <f t="shared" si="6"/>
        <v>3.6964084375245667</v>
      </c>
      <c r="AO47" s="459">
        <f t="shared" si="6"/>
        <v>57.778671842416642</v>
      </c>
      <c r="AP47" s="459">
        <f t="shared" si="6"/>
        <v>9.3571070715702245</v>
      </c>
      <c r="AQ47" s="459">
        <f t="shared" si="6"/>
        <v>2.338349503652462</v>
      </c>
      <c r="AR47" s="459">
        <f t="shared" si="6"/>
        <v>34.100887558379867</v>
      </c>
      <c r="AS47" s="459">
        <f t="shared" si="6"/>
        <v>19.349760166322127</v>
      </c>
      <c r="AT47" s="459">
        <f t="shared" si="6"/>
        <v>8.766617331935521</v>
      </c>
      <c r="AU47" s="459">
        <f t="shared" si="6"/>
        <v>9.9674833346144869</v>
      </c>
      <c r="AW47" s="216">
        <f>(B47/Population_Tables!O21)*Population_Tables!C21</f>
        <v>114.7457444668032</v>
      </c>
      <c r="AX47" s="153" t="str">
        <f t="shared" si="7"/>
        <v>OK</v>
      </c>
      <c r="AY47" s="421">
        <f t="shared" si="4"/>
        <v>91.079837363566867</v>
      </c>
      <c r="AZ47" s="153" t="b">
        <f t="shared" si="5"/>
        <v>0</v>
      </c>
      <c r="BB47" s="216">
        <f>(C47/Population_Tables!P21)*Population_Tables!D21</f>
        <v>17.909300508402954</v>
      </c>
      <c r="BC47" s="216">
        <f>(D47/Population_Tables!Q21)*Population_Tables!E21</f>
        <v>3.6964084375245667</v>
      </c>
      <c r="BD47" s="216">
        <f>(E47/Population_Tables!R21)*Population_Tables!F21</f>
        <v>57.778671842416649</v>
      </c>
      <c r="BE47" s="216">
        <f>(F47/Population_Tables!S21)*Population_Tables!G21</f>
        <v>9.3571070715702245</v>
      </c>
      <c r="BF47" s="216">
        <f>(G47/Population_Tables!T21)*Population_Tables!H21</f>
        <v>2.338349503652462</v>
      </c>
      <c r="BG47" s="216"/>
      <c r="BN47" s="216"/>
      <c r="BO47" s="216"/>
      <c r="BP47" s="216"/>
    </row>
    <row r="48" spans="1:68" ht="15.6" x14ac:dyDescent="0.3">
      <c r="A48" s="206">
        <v>2033</v>
      </c>
      <c r="B48" s="229">
        <v>115.67408761045026</v>
      </c>
      <c r="C48" s="229">
        <v>17.671671268710977</v>
      </c>
      <c r="D48" s="229">
        <v>3.7086059672268341</v>
      </c>
      <c r="E48" s="229">
        <v>58.44127081839784</v>
      </c>
      <c r="F48" s="229">
        <v>9.591586857686778</v>
      </c>
      <c r="G48" s="229">
        <v>2.3330243956441992</v>
      </c>
      <c r="H48" s="229">
        <v>34.121669267493274</v>
      </c>
      <c r="I48" s="229">
        <v>19.994884565732676</v>
      </c>
      <c r="J48" s="229">
        <v>8.6679431696472484</v>
      </c>
      <c r="K48" s="229">
        <v>9.8453370668330571</v>
      </c>
      <c r="M48" s="206">
        <v>2033</v>
      </c>
      <c r="N48" s="419">
        <f t="shared" si="2"/>
        <v>20.35684469147602</v>
      </c>
      <c r="O48" s="418">
        <f>(C48/Population_Tables!P22)*Population_Tables!D81</f>
        <v>0</v>
      </c>
      <c r="P48" s="418">
        <f>(D48/Population_Tables!Q22)*Population_Tables!E81</f>
        <v>0</v>
      </c>
      <c r="Q48" s="418">
        <f>((E48-H48)/Population_Tables!R22)*Population_Tables!F81</f>
        <v>13.686851823478678</v>
      </c>
      <c r="R48" s="418">
        <f>(F48/Population_Tables!S22)*Population_Tables!G81</f>
        <v>5.9897080308835591</v>
      </c>
      <c r="S48" s="418">
        <f>(G48/Population_Tables!T22)*Population_Tables!H81</f>
        <v>0.68028483711378185</v>
      </c>
      <c r="T48" s="418">
        <f>(H48/Population_Tables!U22)*Population_Tables!I81</f>
        <v>0</v>
      </c>
      <c r="U48" s="418">
        <f>(I48/Population_Tables!V22)*Population_Tables!J81</f>
        <v>0</v>
      </c>
      <c r="V48" s="418">
        <f>(J48/Population_Tables!W22)*Population_Tables!K81</f>
        <v>0</v>
      </c>
      <c r="W48" s="418">
        <f>(K48/Population_Tables!X22)*Population_Tables!L81</f>
        <v>0</v>
      </c>
      <c r="Y48" s="456">
        <v>2033</v>
      </c>
      <c r="Z48" s="459">
        <f>((B48/Population_Tables!O22)*Population_Tables!C22)-N48</f>
        <v>99.045383263484581</v>
      </c>
      <c r="AA48" s="459">
        <f>((C48/Population_Tables!P22)*Population_Tables!D22)-O48</f>
        <v>18.163104732030728</v>
      </c>
      <c r="AB48" s="459">
        <f>((D48/Population_Tables!Q22)*Population_Tables!E22)-P48</f>
        <v>3.8107824950411526</v>
      </c>
      <c r="AC48" s="459">
        <f>((E48/Population_Tables!R22)*Population_Tables!F22)-Q48</f>
        <v>46.693272217518455</v>
      </c>
      <c r="AD48" s="459">
        <f>((F48/Population_Tables!S22)*Population_Tables!G22)-R48</f>
        <v>3.896988723423334</v>
      </c>
      <c r="AE48" s="459">
        <f>((G48/Population_Tables!T22)*Population_Tables!H22)-S48</f>
        <v>1.7438643249962622</v>
      </c>
      <c r="AF48" s="459">
        <f>(H48/Population_Tables!U22)*Population_Tables!I22</f>
        <v>35.005959247258552</v>
      </c>
      <c r="AG48" s="459">
        <f>(I48/Population_Tables!V22)*Population_Tables!J22</f>
        <v>20.678287596727834</v>
      </c>
      <c r="AH48" s="459">
        <f>(J48/Population_Tables!W22)*Population_Tables!K22</f>
        <v>8.8940202951932008</v>
      </c>
      <c r="AI48" s="459">
        <f>(K48/Population_Tables!X22)*Population_Tables!L22</f>
        <v>10.141840312017754</v>
      </c>
      <c r="AK48" s="456">
        <v>2033</v>
      </c>
      <c r="AL48" s="459">
        <f t="shared" si="6"/>
        <v>119.40222795496061</v>
      </c>
      <c r="AM48" s="459">
        <f t="shared" si="6"/>
        <v>18.163104732030728</v>
      </c>
      <c r="AN48" s="459">
        <f t="shared" si="6"/>
        <v>3.8107824950411526</v>
      </c>
      <c r="AO48" s="459">
        <f t="shared" si="6"/>
        <v>60.380124040997131</v>
      </c>
      <c r="AP48" s="459">
        <f t="shared" si="6"/>
        <v>9.8866967543068931</v>
      </c>
      <c r="AQ48" s="459">
        <f t="shared" si="6"/>
        <v>2.4241491621100439</v>
      </c>
      <c r="AR48" s="459">
        <f t="shared" si="6"/>
        <v>35.005959247258552</v>
      </c>
      <c r="AS48" s="459">
        <f t="shared" si="6"/>
        <v>20.678287596727834</v>
      </c>
      <c r="AT48" s="459">
        <f t="shared" si="6"/>
        <v>8.8940202951932008</v>
      </c>
      <c r="AU48" s="459">
        <f t="shared" si="6"/>
        <v>10.141840312017754</v>
      </c>
      <c r="AW48" s="216">
        <f>(B48/Population_Tables!O22)*Population_Tables!C22</f>
        <v>119.40222795496059</v>
      </c>
      <c r="AX48" s="153" t="b">
        <f t="shared" si="7"/>
        <v>0</v>
      </c>
      <c r="AY48" s="421">
        <f t="shared" si="4"/>
        <v>94.664857184485953</v>
      </c>
      <c r="AZ48" s="153" t="str">
        <f t="shared" si="5"/>
        <v>OK</v>
      </c>
      <c r="BB48" s="216">
        <f>(C48/Population_Tables!P22)*Population_Tables!D22</f>
        <v>18.163104732030728</v>
      </c>
      <c r="BC48" s="216">
        <f>(D48/Population_Tables!Q22)*Population_Tables!E22</f>
        <v>3.8107824950411526</v>
      </c>
      <c r="BD48" s="216">
        <f>(E48/Population_Tables!R22)*Population_Tables!F22</f>
        <v>60.380124040997131</v>
      </c>
      <c r="BE48" s="216">
        <f>(F48/Population_Tables!S22)*Population_Tables!G22</f>
        <v>9.8866967543068931</v>
      </c>
      <c r="BF48" s="216">
        <f>(G48/Population_Tables!T22)*Population_Tables!H22</f>
        <v>2.4241491621100439</v>
      </c>
      <c r="BG48" s="216"/>
      <c r="BN48" s="216"/>
      <c r="BO48" s="216"/>
      <c r="BP48" s="216"/>
    </row>
    <row r="49" spans="1:68" ht="15.6" x14ac:dyDescent="0.3">
      <c r="A49" s="206">
        <v>2034</v>
      </c>
      <c r="B49" s="229">
        <v>119.91122499573538</v>
      </c>
      <c r="C49" s="229">
        <v>17.87673381931738</v>
      </c>
      <c r="D49" s="229">
        <v>3.8109582319982627</v>
      </c>
      <c r="E49" s="229">
        <v>60.818332916605698</v>
      </c>
      <c r="F49" s="229">
        <v>10.106139840298294</v>
      </c>
      <c r="G49" s="229">
        <v>2.408511311771151</v>
      </c>
      <c r="H49" s="229">
        <v>34.909201584895712</v>
      </c>
      <c r="I49" s="229">
        <v>21.25944020024442</v>
      </c>
      <c r="J49" s="229">
        <v>8.7706091935775827</v>
      </c>
      <c r="K49" s="229">
        <v>9.9861835892016444</v>
      </c>
      <c r="M49" s="206">
        <v>2034</v>
      </c>
      <c r="N49" s="419">
        <f t="shared" si="2"/>
        <v>21.748326252055779</v>
      </c>
      <c r="O49" s="418">
        <f>(C49/Population_Tables!P23)*Population_Tables!D82</f>
        <v>0</v>
      </c>
      <c r="P49" s="418">
        <f>(D49/Population_Tables!Q23)*Population_Tables!E82</f>
        <v>0</v>
      </c>
      <c r="Q49" s="418">
        <f>((E49-H49)/Population_Tables!R23)*Population_Tables!F82</f>
        <v>14.692919956492766</v>
      </c>
      <c r="R49" s="418">
        <f>(F49/Population_Tables!S23)*Population_Tables!G82</f>
        <v>6.3480479604826527</v>
      </c>
      <c r="S49" s="418">
        <f>(G49/Population_Tables!T23)*Population_Tables!H82</f>
        <v>0.70735833508036206</v>
      </c>
      <c r="T49" s="418">
        <f>(H49/Population_Tables!U23)*Population_Tables!I82</f>
        <v>0</v>
      </c>
      <c r="U49" s="418">
        <f>(I49/Population_Tables!V23)*Population_Tables!J82</f>
        <v>0</v>
      </c>
      <c r="V49" s="418">
        <f>(J49/Population_Tables!W23)*Population_Tables!K82</f>
        <v>0</v>
      </c>
      <c r="W49" s="418">
        <f>(K49/Population_Tables!X23)*Population_Tables!L82</f>
        <v>0</v>
      </c>
      <c r="Y49" s="456">
        <v>2034</v>
      </c>
      <c r="Z49" s="459">
        <f>((B49/Population_Tables!O23)*Population_Tables!C23)-N49</f>
        <v>102.4281543339409</v>
      </c>
      <c r="AA49" s="459">
        <f>((C49/Population_Tables!P23)*Population_Tables!D23)-O49</f>
        <v>18.426130813203358</v>
      </c>
      <c r="AB49" s="459">
        <f>((D49/Population_Tables!Q23)*Population_Tables!E23)-P49</f>
        <v>3.9271442317408103</v>
      </c>
      <c r="AC49" s="459">
        <f>((E49/Population_Tables!R23)*Population_Tables!F23)-Q49</f>
        <v>48.353760689822394</v>
      </c>
      <c r="AD49" s="459">
        <f>((F49/Population_Tables!S23)*Population_Tables!G23)-R49</f>
        <v>4.1005541732483763</v>
      </c>
      <c r="AE49" s="459">
        <f>((G49/Population_Tables!T23)*Population_Tables!H23)-S49</f>
        <v>1.8049360999021979</v>
      </c>
      <c r="AF49" s="459">
        <f>(H49/Population_Tables!U23)*Population_Tables!I23</f>
        <v>35.908963075285584</v>
      </c>
      <c r="AG49" s="459">
        <f>(I49/Population_Tables!V23)*Population_Tables!J23</f>
        <v>22.060503865647931</v>
      </c>
      <c r="AH49" s="459">
        <f>(J49/Population_Tables!W23)*Population_Tables!K23</f>
        <v>9.0234569516309833</v>
      </c>
      <c r="AI49" s="459">
        <f>(K49/Population_Tables!X23)*Population_Tables!L23</f>
        <v>10.318944414204045</v>
      </c>
      <c r="AK49" s="456">
        <v>2034</v>
      </c>
      <c r="AL49" s="459">
        <f t="shared" si="6"/>
        <v>124.17648058599667</v>
      </c>
      <c r="AM49" s="459">
        <f t="shared" si="6"/>
        <v>18.426130813203358</v>
      </c>
      <c r="AN49" s="459">
        <f t="shared" si="6"/>
        <v>3.9271442317408103</v>
      </c>
      <c r="AO49" s="459">
        <f t="shared" si="6"/>
        <v>63.04668064631516</v>
      </c>
      <c r="AP49" s="459">
        <f t="shared" si="6"/>
        <v>10.448602133731029</v>
      </c>
      <c r="AQ49" s="459">
        <f t="shared" si="6"/>
        <v>2.51229443498256</v>
      </c>
      <c r="AR49" s="459">
        <f t="shared" si="6"/>
        <v>35.908963075285584</v>
      </c>
      <c r="AS49" s="459">
        <f t="shared" si="6"/>
        <v>22.060503865647931</v>
      </c>
      <c r="AT49" s="459">
        <f t="shared" si="6"/>
        <v>9.0234569516309833</v>
      </c>
      <c r="AU49" s="459">
        <f t="shared" si="6"/>
        <v>10.318944414204045</v>
      </c>
      <c r="AW49" s="216">
        <f>(B49/Population_Tables!O23)*Population_Tables!C23</f>
        <v>124.17648058599667</v>
      </c>
      <c r="AX49" s="153" t="str">
        <f t="shared" si="7"/>
        <v>OK</v>
      </c>
      <c r="AY49" s="421">
        <f t="shared" si="4"/>
        <v>98.360852259972916</v>
      </c>
      <c r="AZ49" s="153" t="str">
        <f t="shared" si="5"/>
        <v>OK</v>
      </c>
      <c r="BB49" s="216">
        <f>(C49/Population_Tables!P23)*Population_Tables!D23</f>
        <v>18.426130813203358</v>
      </c>
      <c r="BC49" s="216">
        <f>(D49/Population_Tables!Q23)*Population_Tables!E23</f>
        <v>3.9271442317408103</v>
      </c>
      <c r="BD49" s="216">
        <f>(E49/Population_Tables!R23)*Population_Tables!F23</f>
        <v>63.04668064631516</v>
      </c>
      <c r="BE49" s="216">
        <f>(F49/Population_Tables!S23)*Population_Tables!G23</f>
        <v>10.448602133731029</v>
      </c>
      <c r="BF49" s="216">
        <f>(G49/Population_Tables!T23)*Population_Tables!H23</f>
        <v>2.51229443498256</v>
      </c>
      <c r="BG49" s="216"/>
      <c r="BN49" s="216"/>
      <c r="BO49" s="216"/>
      <c r="BP49" s="216"/>
    </row>
    <row r="50" spans="1:68" ht="15.6" x14ac:dyDescent="0.3">
      <c r="A50" s="206">
        <v>2035</v>
      </c>
      <c r="B50" s="229">
        <v>124.23386160004115</v>
      </c>
      <c r="C50" s="229">
        <v>18.087812077932522</v>
      </c>
      <c r="D50" s="229">
        <v>3.9144973717279856</v>
      </c>
      <c r="E50" s="229">
        <v>63.240809202311908</v>
      </c>
      <c r="F50" s="229">
        <v>10.650302825702749</v>
      </c>
      <c r="G50" s="229">
        <v>2.4855866496199068</v>
      </c>
      <c r="H50" s="229">
        <v>35.68905741708884</v>
      </c>
      <c r="I50" s="229">
        <v>22.567670560412164</v>
      </c>
      <c r="J50" s="229">
        <v>8.8741623893586983</v>
      </c>
      <c r="K50" s="229">
        <v>10.128664613300613</v>
      </c>
      <c r="M50" s="206">
        <v>2035</v>
      </c>
      <c r="N50" s="419">
        <f t="shared" si="2"/>
        <v>23.205626009672045</v>
      </c>
      <c r="O50" s="418">
        <f>(C50/Population_Tables!P24)*Population_Tables!D83</f>
        <v>0</v>
      </c>
      <c r="P50" s="418">
        <f>(D50/Population_Tables!Q24)*Population_Tables!E83</f>
        <v>0</v>
      </c>
      <c r="Q50" s="418">
        <f>((E50-H50)/Population_Tables!R24)*Population_Tables!F83</f>
        <v>15.742218711229899</v>
      </c>
      <c r="R50" s="418">
        <f>(F50/Population_Tables!S24)*Population_Tables!G83</f>
        <v>6.7282162466266859</v>
      </c>
      <c r="S50" s="418">
        <f>(G50/Population_Tables!T24)*Population_Tables!H83</f>
        <v>0.73519105181546007</v>
      </c>
      <c r="T50" s="418">
        <f>(H50/Population_Tables!U24)*Population_Tables!I83</f>
        <v>0</v>
      </c>
      <c r="U50" s="418">
        <f>(I50/Population_Tables!V24)*Population_Tables!J83</f>
        <v>0</v>
      </c>
      <c r="V50" s="418">
        <f>(J50/Population_Tables!W24)*Population_Tables!K83</f>
        <v>0</v>
      </c>
      <c r="W50" s="418">
        <f>(K50/Population_Tables!X24)*Population_Tables!L83</f>
        <v>0</v>
      </c>
      <c r="Y50" s="456">
        <v>2035</v>
      </c>
      <c r="Z50" s="459">
        <f>((B50/Population_Tables!O24)*Population_Tables!C24)-N50</f>
        <v>105.85849441588573</v>
      </c>
      <c r="AA50" s="459">
        <f>((C50/Population_Tables!P24)*Population_Tables!D24)-O50</f>
        <v>18.696273330126573</v>
      </c>
      <c r="AB50" s="459">
        <f>((D50/Population_Tables!Q24)*Population_Tables!E24)-P50</f>
        <v>4.0454029050320628</v>
      </c>
      <c r="AC50" s="459">
        <f>((E50/Population_Tables!R24)*Population_Tables!F24)-Q50</f>
        <v>50.033043458795262</v>
      </c>
      <c r="AD50" s="459">
        <f>((F50/Population_Tables!S24)*Population_Tables!G24)-R50</f>
        <v>4.3156702384541434</v>
      </c>
      <c r="AE50" s="459">
        <f>((G50/Population_Tables!T24)*Population_Tables!H24)-S50</f>
        <v>1.867474099095533</v>
      </c>
      <c r="AF50" s="459">
        <f>(H50/Population_Tables!U24)*Population_Tables!I24</f>
        <v>36.808312341253426</v>
      </c>
      <c r="AG50" s="459">
        <f>(I50/Population_Tables!V24)*Population_Tables!J24</f>
        <v>23.495542173655469</v>
      </c>
      <c r="AH50" s="459">
        <f>(J50/Population_Tables!W24)*Population_Tables!K24</f>
        <v>9.1543764538701176</v>
      </c>
      <c r="AI50" s="459">
        <f>(K50/Population_Tables!X24)*Population_Tables!L24</f>
        <v>10.498393539608761</v>
      </c>
      <c r="AK50" s="456">
        <v>2035</v>
      </c>
      <c r="AL50" s="459">
        <f t="shared" si="6"/>
        <v>129.06412042555777</v>
      </c>
      <c r="AM50" s="459">
        <f t="shared" si="6"/>
        <v>18.696273330126573</v>
      </c>
      <c r="AN50" s="459">
        <f t="shared" si="6"/>
        <v>4.0454029050320628</v>
      </c>
      <c r="AO50" s="459">
        <f t="shared" si="6"/>
        <v>65.775262170025158</v>
      </c>
      <c r="AP50" s="459">
        <f t="shared" si="6"/>
        <v>11.043886485080829</v>
      </c>
      <c r="AQ50" s="459">
        <f t="shared" si="6"/>
        <v>2.602665150910993</v>
      </c>
      <c r="AR50" s="459">
        <f t="shared" si="6"/>
        <v>36.808312341253426</v>
      </c>
      <c r="AS50" s="459">
        <f t="shared" si="6"/>
        <v>23.495542173655469</v>
      </c>
      <c r="AT50" s="459">
        <f t="shared" si="6"/>
        <v>9.1543764538701176</v>
      </c>
      <c r="AU50" s="459">
        <f t="shared" si="6"/>
        <v>10.498393539608761</v>
      </c>
      <c r="AW50" s="216">
        <f>(B50/Population_Tables!O24)*Population_Tables!C24</f>
        <v>129.06412042555777</v>
      </c>
      <c r="AX50" s="153" t="str">
        <f t="shared" si="7"/>
        <v>OK</v>
      </c>
      <c r="AY50" s="421">
        <f t="shared" si="4"/>
        <v>102.16349004117562</v>
      </c>
      <c r="AZ50" s="153" t="str">
        <f t="shared" si="5"/>
        <v>OK</v>
      </c>
      <c r="BB50" s="216">
        <f>(C50/Population_Tables!P24)*Population_Tables!D24</f>
        <v>18.696273330126573</v>
      </c>
      <c r="BC50" s="216">
        <f>(D50/Population_Tables!Q24)*Population_Tables!E24</f>
        <v>4.0454029050320628</v>
      </c>
      <c r="BD50" s="216">
        <f>(E50/Population_Tables!R24)*Population_Tables!F24</f>
        <v>65.775262170025158</v>
      </c>
      <c r="BE50" s="216">
        <f>(F50/Population_Tables!S24)*Population_Tables!G24</f>
        <v>11.043886485080829</v>
      </c>
      <c r="BF50" s="216">
        <f>(G50/Population_Tables!T24)*Population_Tables!H24</f>
        <v>2.602665150910993</v>
      </c>
      <c r="BG50" s="216"/>
      <c r="BN50" s="216"/>
      <c r="BO50" s="216"/>
      <c r="BP50" s="216"/>
    </row>
    <row r="51" spans="1:68" ht="15.6" x14ac:dyDescent="0.3">
      <c r="A51" s="206">
        <v>2036</v>
      </c>
      <c r="B51" s="229">
        <v>128.64162857577571</v>
      </c>
      <c r="C51" s="229">
        <v>18.303412792423746</v>
      </c>
      <c r="D51" s="229">
        <v>4.0192227082318031</v>
      </c>
      <c r="E51" s="229">
        <v>65.707705557970726</v>
      </c>
      <c r="F51" s="229">
        <v>11.22526363058498</v>
      </c>
      <c r="G51" s="229">
        <v>2.5642091657267989</v>
      </c>
      <c r="H51" s="229">
        <v>36.460744845822759</v>
      </c>
      <c r="I51" s="229">
        <v>23.919452652279986</v>
      </c>
      <c r="J51" s="229">
        <v>8.978307254884049</v>
      </c>
      <c r="K51" s="229">
        <v>10.272776336944611</v>
      </c>
      <c r="M51" s="206">
        <v>2036</v>
      </c>
      <c r="N51" s="419">
        <f t="shared" si="2"/>
        <v>24.729432265357207</v>
      </c>
      <c r="O51" s="418">
        <f>(C51/Population_Tables!P25)*Population_Tables!D84</f>
        <v>0</v>
      </c>
      <c r="P51" s="418">
        <f>(D51/Population_Tables!Q25)*Population_Tables!E84</f>
        <v>0</v>
      </c>
      <c r="Q51" s="418">
        <f>((E51-H51)/Population_Tables!R25)*Population_Tables!F84</f>
        <v>16.834602231577094</v>
      </c>
      <c r="R51" s="418">
        <f>(F51/Population_Tables!S25)*Population_Tables!G84</f>
        <v>7.1310730416379622</v>
      </c>
      <c r="S51" s="418">
        <f>(G51/Population_Tables!T25)*Population_Tables!H84</f>
        <v>0.76375699214215176</v>
      </c>
      <c r="T51" s="418">
        <f>(H51/Population_Tables!U25)*Population_Tables!I84</f>
        <v>0</v>
      </c>
      <c r="U51" s="418">
        <f>(I51/Population_Tables!V25)*Population_Tables!J84</f>
        <v>0</v>
      </c>
      <c r="V51" s="418">
        <f>(J51/Population_Tables!W25)*Population_Tables!K84</f>
        <v>0</v>
      </c>
      <c r="W51" s="418">
        <f>(K51/Population_Tables!X25)*Population_Tables!L84</f>
        <v>0</v>
      </c>
      <c r="Y51" s="456">
        <v>2036</v>
      </c>
      <c r="Z51" s="459">
        <f>((B51/Population_Tables!O25)*Population_Tables!C25)-N51</f>
        <v>109.33375708191913</v>
      </c>
      <c r="AA51" s="459">
        <f>((C51/Population_Tables!P25)*Population_Tables!D25)-O51</f>
        <v>18.971709053745268</v>
      </c>
      <c r="AB51" s="459">
        <f>((D51/Population_Tables!Q25)*Population_Tables!E25)-P51</f>
        <v>4.1655153352348098</v>
      </c>
      <c r="AC51" s="459">
        <f>((E51/Population_Tables!R25)*Population_Tables!F25)-Q51</f>
        <v>51.729415376825088</v>
      </c>
      <c r="AD51" s="459">
        <f>((F51/Population_Tables!S25)*Population_Tables!G25)-R51</f>
        <v>4.5427755372736263</v>
      </c>
      <c r="AE51" s="459">
        <f>((G51/Population_Tables!T25)*Population_Tables!H25)-S51</f>
        <v>1.9314279617707002</v>
      </c>
      <c r="AF51" s="459">
        <f>(H51/Population_Tables!U25)*Population_Tables!I25</f>
        <v>37.702922642441244</v>
      </c>
      <c r="AG51" s="459">
        <f>(I51/Population_Tables!V25)*Population_Tables!J25</f>
        <v>24.983069411457361</v>
      </c>
      <c r="AH51" s="459">
        <f>(J51/Population_Tables!W25)*Population_Tables!K25</f>
        <v>9.2863389164116601</v>
      </c>
      <c r="AI51" s="459">
        <f>(K51/Population_Tables!X25)*Population_Tables!L25</f>
        <v>10.679996844935578</v>
      </c>
      <c r="AK51" s="456">
        <v>2036</v>
      </c>
      <c r="AL51" s="459">
        <f t="shared" si="6"/>
        <v>134.06318934727634</v>
      </c>
      <c r="AM51" s="459">
        <f t="shared" si="6"/>
        <v>18.971709053745268</v>
      </c>
      <c r="AN51" s="459">
        <f t="shared" si="6"/>
        <v>4.1655153352348098</v>
      </c>
      <c r="AO51" s="459">
        <f t="shared" si="6"/>
        <v>68.564017608402182</v>
      </c>
      <c r="AP51" s="459">
        <f t="shared" si="6"/>
        <v>11.673848578911588</v>
      </c>
      <c r="AQ51" s="459">
        <f t="shared" si="6"/>
        <v>2.6951849539128521</v>
      </c>
      <c r="AR51" s="459">
        <f t="shared" si="6"/>
        <v>37.702922642441244</v>
      </c>
      <c r="AS51" s="459">
        <f t="shared" si="6"/>
        <v>24.983069411457361</v>
      </c>
      <c r="AT51" s="459">
        <f t="shared" si="6"/>
        <v>9.2863389164116601</v>
      </c>
      <c r="AU51" s="459">
        <f t="shared" si="6"/>
        <v>10.679996844935578</v>
      </c>
      <c r="AW51" s="216">
        <f>(B51/Population_Tables!O25)*Population_Tables!C25</f>
        <v>134.06318934727634</v>
      </c>
      <c r="AX51" s="153" t="str">
        <f t="shared" si="7"/>
        <v>OK</v>
      </c>
      <c r="AY51" s="421">
        <f t="shared" si="4"/>
        <v>106.0702755302067</v>
      </c>
      <c r="AZ51" s="153" t="str">
        <f t="shared" si="5"/>
        <v>OK</v>
      </c>
      <c r="BB51" s="216">
        <f>(C51/Population_Tables!P25)*Population_Tables!D25</f>
        <v>18.971709053745268</v>
      </c>
      <c r="BC51" s="216">
        <f>(D51/Population_Tables!Q25)*Population_Tables!E25</f>
        <v>4.1655153352348098</v>
      </c>
      <c r="BD51" s="216">
        <f>(E51/Population_Tables!R25)*Population_Tables!F25</f>
        <v>68.564017608402182</v>
      </c>
      <c r="BE51" s="216">
        <f>(F51/Population_Tables!S25)*Population_Tables!G25</f>
        <v>11.673848578911588</v>
      </c>
      <c r="BF51" s="216">
        <f>(G51/Population_Tables!T25)*Population_Tables!H25</f>
        <v>2.6951849539128521</v>
      </c>
      <c r="BG51" s="216"/>
      <c r="BN51" s="216"/>
      <c r="BO51" s="216"/>
      <c r="BP51" s="216"/>
    </row>
    <row r="52" spans="1:68" ht="15.6" x14ac:dyDescent="0.3">
      <c r="A52" s="206">
        <v>2037</v>
      </c>
      <c r="B52" s="229">
        <v>133.13415707534719</v>
      </c>
      <c r="C52" s="229">
        <v>18.522042710658383</v>
      </c>
      <c r="D52" s="229">
        <v>4.1251335633255142</v>
      </c>
      <c r="E52" s="229">
        <v>68.218027866036437</v>
      </c>
      <c r="F52" s="229">
        <v>11.83221007162982</v>
      </c>
      <c r="G52" s="229">
        <v>2.6443376166281598</v>
      </c>
      <c r="H52" s="229">
        <v>37.223771952847585</v>
      </c>
      <c r="I52" s="229">
        <v>25.314663481891948</v>
      </c>
      <c r="J52" s="229">
        <v>9.0827482880470889</v>
      </c>
      <c r="K52" s="229">
        <v>10.418514957948297</v>
      </c>
      <c r="M52" s="206">
        <v>2037</v>
      </c>
      <c r="N52" s="419">
        <f t="shared" si="2"/>
        <v>26.321223193812187</v>
      </c>
      <c r="O52" s="418">
        <f>(C52/Population_Tables!P26)*Population_Tables!D85</f>
        <v>0</v>
      </c>
      <c r="P52" s="418">
        <f>(D52/Population_Tables!Q26)*Population_Tables!E85</f>
        <v>0</v>
      </c>
      <c r="Q52" s="418">
        <f>((E52-H52)/Population_Tables!R26)*Population_Tables!F85</f>
        <v>17.970455142171186</v>
      </c>
      <c r="R52" s="418">
        <f>(F52/Population_Tables!S26)*Population_Tables!G85</f>
        <v>7.5577073483523334</v>
      </c>
      <c r="S52" s="418">
        <f>(G52/Population_Tables!T26)*Population_Tables!H85</f>
        <v>0.79306070328866729</v>
      </c>
      <c r="T52" s="418">
        <f>(H52/Population_Tables!U26)*Population_Tables!I85</f>
        <v>0</v>
      </c>
      <c r="U52" s="418">
        <f>(I52/Population_Tables!V26)*Population_Tables!J85</f>
        <v>0</v>
      </c>
      <c r="V52" s="418">
        <f>(J52/Population_Tables!W26)*Population_Tables!K85</f>
        <v>0</v>
      </c>
      <c r="W52" s="418">
        <f>(K52/Population_Tables!X26)*Population_Tables!L85</f>
        <v>0</v>
      </c>
      <c r="Y52" s="456">
        <v>2037</v>
      </c>
      <c r="Z52" s="459">
        <f>((B52/Population_Tables!O26)*Population_Tables!C26)-N52</f>
        <v>112.8536071657463</v>
      </c>
      <c r="AA52" s="459">
        <f>((C52/Population_Tables!P26)*Population_Tables!D26)-O52</f>
        <v>19.250952891561276</v>
      </c>
      <c r="AB52" s="459">
        <f>((D52/Population_Tables!Q26)*Population_Tables!E26)-P52</f>
        <v>4.2875148676596861</v>
      </c>
      <c r="AC52" s="459">
        <f>((E52/Population_Tables!R26)*Population_Tables!F26)-Q52</f>
        <v>53.442246691778806</v>
      </c>
      <c r="AD52" s="459">
        <f>((F52/Population_Tables!S26)*Population_Tables!G26)-R52</f>
        <v>4.7823756583668304</v>
      </c>
      <c r="AE52" s="459">
        <f>((G52/Population_Tables!T26)*Population_Tables!H26)-S52</f>
        <v>1.9967797171662585</v>
      </c>
      <c r="AF52" s="459">
        <f>(H52/Population_Tables!U26)*Population_Tables!I26</f>
        <v>38.59236234165423</v>
      </c>
      <c r="AG52" s="459">
        <f>(I52/Population_Tables!V26)*Population_Tables!J26</f>
        <v>26.523405985972847</v>
      </c>
      <c r="AH52" s="459">
        <f>(J52/Population_Tables!W26)*Population_Tables!K26</f>
        <v>9.4190621767076017</v>
      </c>
      <c r="AI52" s="459">
        <f>(K52/Population_Tables!X26)*Population_Tables!L26</f>
        <v>10.863791615093804</v>
      </c>
      <c r="AK52" s="456">
        <v>2037</v>
      </c>
      <c r="AL52" s="459">
        <f t="shared" si="6"/>
        <v>139.17483035955848</v>
      </c>
      <c r="AM52" s="459">
        <f t="shared" si="6"/>
        <v>19.250952891561276</v>
      </c>
      <c r="AN52" s="459">
        <f t="shared" si="6"/>
        <v>4.2875148676596861</v>
      </c>
      <c r="AO52" s="459">
        <f t="shared" si="6"/>
        <v>71.412701833949995</v>
      </c>
      <c r="AP52" s="459">
        <f t="shared" si="6"/>
        <v>12.340083006719164</v>
      </c>
      <c r="AQ52" s="459">
        <f t="shared" si="6"/>
        <v>2.7898404204549259</v>
      </c>
      <c r="AR52" s="459">
        <f t="shared" si="6"/>
        <v>38.59236234165423</v>
      </c>
      <c r="AS52" s="459">
        <f t="shared" si="6"/>
        <v>26.523405985972847</v>
      </c>
      <c r="AT52" s="459">
        <f t="shared" si="6"/>
        <v>9.4190621767076017</v>
      </c>
      <c r="AU52" s="459">
        <f t="shared" si="6"/>
        <v>10.863791615093804</v>
      </c>
      <c r="AW52" s="216">
        <f>(B52/Population_Tables!O26)*Population_Tables!C26</f>
        <v>139.17483035955848</v>
      </c>
      <c r="AX52" s="153" t="str">
        <f t="shared" si="7"/>
        <v>OK</v>
      </c>
      <c r="AY52" s="421">
        <f t="shared" si="4"/>
        <v>110.08109302034505</v>
      </c>
      <c r="AZ52" s="153" t="str">
        <f t="shared" si="5"/>
        <v>OK</v>
      </c>
      <c r="BB52" s="216">
        <f>(C52/Population_Tables!P26)*Population_Tables!D26</f>
        <v>19.250952891561276</v>
      </c>
      <c r="BC52" s="216">
        <f>(D52/Population_Tables!Q26)*Population_Tables!E26</f>
        <v>4.2875148676596861</v>
      </c>
      <c r="BD52" s="216">
        <f>(E52/Population_Tables!R26)*Population_Tables!F26</f>
        <v>71.412701833949995</v>
      </c>
      <c r="BE52" s="216">
        <f>(F52/Population_Tables!S26)*Population_Tables!G26</f>
        <v>12.340083006719164</v>
      </c>
      <c r="BF52" s="216">
        <f>(G52/Population_Tables!T26)*Population_Tables!H26</f>
        <v>2.7898404204549259</v>
      </c>
      <c r="BG52" s="216"/>
      <c r="BN52" s="216"/>
      <c r="BO52" s="216"/>
      <c r="BP52" s="216"/>
    </row>
    <row r="53" spans="1:68" ht="15.6" x14ac:dyDescent="0.3">
      <c r="A53" s="206">
        <v>2038</v>
      </c>
      <c r="B53" s="229">
        <v>137.71107825116374</v>
      </c>
      <c r="C53" s="229">
        <v>18.742208580503767</v>
      </c>
      <c r="D53" s="229">
        <v>4.2322292588249217</v>
      </c>
      <c r="E53" s="229">
        <v>70.770782008963266</v>
      </c>
      <c r="F53" s="229">
        <v>12.472329965522107</v>
      </c>
      <c r="G53" s="229">
        <v>2.7259307588603212</v>
      </c>
      <c r="H53" s="229">
        <v>37.977646819913389</v>
      </c>
      <c r="I53" s="229">
        <v>26.75318005529213</v>
      </c>
      <c r="J53" s="229">
        <v>9.1871899867412665</v>
      </c>
      <c r="K53" s="229">
        <v>10.565876674126317</v>
      </c>
      <c r="M53" s="206">
        <v>2038</v>
      </c>
      <c r="N53" s="419">
        <f t="shared" si="2"/>
        <v>27.982837281912218</v>
      </c>
      <c r="O53" s="418">
        <f>(C53/Population_Tables!P27)*Population_Tables!D86</f>
        <v>0</v>
      </c>
      <c r="P53" s="418">
        <f>(D53/Population_Tables!Q27)*Population_Tables!E86</f>
        <v>0</v>
      </c>
      <c r="Q53" s="418">
        <f>((E53-H53)/Population_Tables!R27)*Population_Tables!F86</f>
        <v>19.150407779718041</v>
      </c>
      <c r="R53" s="418">
        <f>(F53/Population_Tables!S27)*Population_Tables!G86</f>
        <v>8.0093093524422603</v>
      </c>
      <c r="S53" s="418">
        <f>(G53/Population_Tables!T27)*Population_Tables!H86</f>
        <v>0.82312014975191661</v>
      </c>
      <c r="T53" s="418">
        <f>(H53/Population_Tables!U27)*Population_Tables!I86</f>
        <v>0</v>
      </c>
      <c r="U53" s="418">
        <f>(I53/Population_Tables!V27)*Population_Tables!J86</f>
        <v>0</v>
      </c>
      <c r="V53" s="418">
        <f>(J53/Population_Tables!W27)*Population_Tables!K86</f>
        <v>0</v>
      </c>
      <c r="W53" s="418">
        <f>(K53/Population_Tables!X27)*Population_Tables!L86</f>
        <v>0</v>
      </c>
      <c r="Y53" s="456">
        <v>2038</v>
      </c>
      <c r="Z53" s="459">
        <f>((B53/Population_Tables!O27)*Population_Tables!C27)-N53</f>
        <v>116.41874546362197</v>
      </c>
      <c r="AA53" s="459">
        <f>((C53/Population_Tables!P27)*Population_Tables!D27)-O53</f>
        <v>19.532649406765401</v>
      </c>
      <c r="AB53" s="459">
        <f>((D53/Population_Tables!Q27)*Population_Tables!E27)-P53</f>
        <v>4.4114764056198403</v>
      </c>
      <c r="AC53" s="459">
        <f>((E53/Population_Tables!R27)*Population_Tables!F27)-Q53</f>
        <v>55.171367500657965</v>
      </c>
      <c r="AD53" s="459">
        <f>((F53/Population_Tables!S27)*Population_Tables!G27)-R53</f>
        <v>5.0350133001919719</v>
      </c>
      <c r="AE53" s="459">
        <f>((G53/Population_Tables!T27)*Population_Tables!H27)-S53</f>
        <v>2.0635383107565937</v>
      </c>
      <c r="AF53" s="459">
        <f>(H53/Population_Tables!U27)*Population_Tables!I27</f>
        <v>39.47649292894733</v>
      </c>
      <c r="AG53" s="459">
        <f>(I53/Population_Tables!V27)*Population_Tables!J27</f>
        <v>28.117086183723593</v>
      </c>
      <c r="AH53" s="459">
        <f>(J53/Population_Tables!W27)*Population_Tables!K27</f>
        <v>9.5523359857065469</v>
      </c>
      <c r="AI53" s="459">
        <f>(K53/Population_Tables!X27)*Population_Tables!L27</f>
        <v>11.049890354690884</v>
      </c>
      <c r="AK53" s="456">
        <v>2038</v>
      </c>
      <c r="AL53" s="459">
        <f t="shared" si="6"/>
        <v>144.4015827455342</v>
      </c>
      <c r="AM53" s="459">
        <f t="shared" si="6"/>
        <v>19.532649406765401</v>
      </c>
      <c r="AN53" s="459">
        <f t="shared" si="6"/>
        <v>4.4114764056198403</v>
      </c>
      <c r="AO53" s="459">
        <f t="shared" si="6"/>
        <v>74.321775280376002</v>
      </c>
      <c r="AP53" s="459">
        <f t="shared" si="6"/>
        <v>13.044322652634232</v>
      </c>
      <c r="AQ53" s="459">
        <f t="shared" si="6"/>
        <v>2.8866584605085102</v>
      </c>
      <c r="AR53" s="459">
        <f t="shared" si="6"/>
        <v>39.47649292894733</v>
      </c>
      <c r="AS53" s="459">
        <f t="shared" si="6"/>
        <v>28.117086183723593</v>
      </c>
      <c r="AT53" s="459">
        <f t="shared" si="6"/>
        <v>9.5523359857065469</v>
      </c>
      <c r="AU53" s="459">
        <f t="shared" si="6"/>
        <v>11.049890354690884</v>
      </c>
      <c r="AW53" s="216">
        <f>(B53/Population_Tables!O27)*Population_Tables!C27</f>
        <v>144.4015827455342</v>
      </c>
      <c r="AX53" s="153" t="str">
        <f t="shared" si="7"/>
        <v>OK</v>
      </c>
      <c r="AY53" s="421">
        <f t="shared" si="4"/>
        <v>114.19688220590399</v>
      </c>
      <c r="AZ53" s="153" t="str">
        <f t="shared" si="5"/>
        <v>OK</v>
      </c>
      <c r="BB53" s="216">
        <f>(C53/Population_Tables!P27)*Population_Tables!D27</f>
        <v>19.532649406765401</v>
      </c>
      <c r="BC53" s="216">
        <f>(D53/Population_Tables!Q27)*Population_Tables!E27</f>
        <v>4.4114764056198403</v>
      </c>
      <c r="BD53" s="216">
        <f>(E53/Population_Tables!R27)*Population_Tables!F27</f>
        <v>74.321775280376002</v>
      </c>
      <c r="BE53" s="216">
        <f>(F53/Population_Tables!S27)*Population_Tables!G27</f>
        <v>13.044322652634232</v>
      </c>
      <c r="BF53" s="216">
        <f>(G53/Population_Tables!T27)*Population_Tables!H27</f>
        <v>2.8866584605085102</v>
      </c>
      <c r="BG53" s="216"/>
      <c r="BN53" s="216"/>
      <c r="BO53" s="216"/>
      <c r="BP53" s="216"/>
    </row>
    <row r="54" spans="1:68" ht="15.6" x14ac:dyDescent="0.3">
      <c r="A54" s="206">
        <v>2039</v>
      </c>
      <c r="B54" s="229">
        <v>142.37202325563351</v>
      </c>
      <c r="C54" s="229">
        <v>18.962417149827246</v>
      </c>
      <c r="D54" s="229">
        <v>4.3405091165458245</v>
      </c>
      <c r="E54" s="229">
        <v>73.364973869205514</v>
      </c>
      <c r="F54" s="229">
        <v>13.146811128946677</v>
      </c>
      <c r="G54" s="229">
        <v>2.8089473489596157</v>
      </c>
      <c r="H54" s="229">
        <v>38.721877528770285</v>
      </c>
      <c r="I54" s="229">
        <v>28.23487937852461</v>
      </c>
      <c r="J54" s="229">
        <v>9.2913368488600376</v>
      </c>
      <c r="K54" s="229">
        <v>10.714857683293328</v>
      </c>
      <c r="M54" s="206">
        <v>2039</v>
      </c>
      <c r="N54" s="419">
        <f t="shared" si="2"/>
        <v>29.716719430062209</v>
      </c>
      <c r="O54" s="418">
        <f>(C54/Population_Tables!P28)*Population_Tables!D87</f>
        <v>0</v>
      </c>
      <c r="P54" s="418">
        <f>(D54/Population_Tables!Q28)*Population_Tables!E87</f>
        <v>0</v>
      </c>
      <c r="Q54" s="418">
        <f>((E54-H54)/Population_Tables!R28)*Population_Tables!F87</f>
        <v>20.375521024560602</v>
      </c>
      <c r="R54" s="418">
        <f>(F54/Population_Tables!S28)*Population_Tables!G87</f>
        <v>8.4872263304363127</v>
      </c>
      <c r="S54" s="418">
        <f>(G54/Population_Tables!T28)*Population_Tables!H87</f>
        <v>0.85397207506529849</v>
      </c>
      <c r="T54" s="418">
        <f>(H54/Population_Tables!U28)*Population_Tables!I87</f>
        <v>0</v>
      </c>
      <c r="U54" s="418">
        <f>(I54/Population_Tables!V28)*Population_Tables!J87</f>
        <v>0</v>
      </c>
      <c r="V54" s="418">
        <f>(J54/Population_Tables!W28)*Population_Tables!K87</f>
        <v>0</v>
      </c>
      <c r="W54" s="418">
        <f>(K54/Population_Tables!X28)*Population_Tables!L87</f>
        <v>0</v>
      </c>
      <c r="Y54" s="456">
        <v>2039</v>
      </c>
      <c r="Z54" s="459">
        <f>((B54/Population_Tables!O28)*Population_Tables!C28)-N54</f>
        <v>120.03128085707293</v>
      </c>
      <c r="AA54" s="459">
        <f>((C54/Population_Tables!P28)*Population_Tables!D28)-O54</f>
        <v>19.815627909588045</v>
      </c>
      <c r="AB54" s="459">
        <f>((D54/Population_Tables!Q28)*Population_Tables!E28)-P54</f>
        <v>4.5375311571046497</v>
      </c>
      <c r="AC54" s="459">
        <f>((E54/Population_Tables!R28)*Population_Tables!F28)-Q54</f>
        <v>56.917279167316309</v>
      </c>
      <c r="AD54" s="459">
        <f>((F54/Population_Tables!S28)*Population_Tables!G28)-R54</f>
        <v>5.3012771857129213</v>
      </c>
      <c r="AE54" s="459">
        <f>((G54/Population_Tables!T28)*Population_Tables!H28)-S54</f>
        <v>2.1317362892228648</v>
      </c>
      <c r="AF54" s="459">
        <f>(H54/Population_Tables!U28)*Population_Tables!I28</f>
        <v>40.355594090019984</v>
      </c>
      <c r="AG54" s="459">
        <f>(I54/Population_Tables!V28)*Population_Tables!J28</f>
        <v>29.765113919464547</v>
      </c>
      <c r="AH54" s="459">
        <f>(J54/Population_Tables!W28)*Population_Tables!K28</f>
        <v>9.6860464351794189</v>
      </c>
      <c r="AI54" s="459">
        <f>(K54/Population_Tables!X28)*Population_Tables!L28</f>
        <v>11.238528009967682</v>
      </c>
      <c r="AK54" s="456">
        <v>2039</v>
      </c>
      <c r="AL54" s="459">
        <f t="shared" si="6"/>
        <v>149.74800028713514</v>
      </c>
      <c r="AM54" s="459">
        <f t="shared" si="6"/>
        <v>19.815627909588045</v>
      </c>
      <c r="AN54" s="459">
        <f t="shared" si="6"/>
        <v>4.5375311571046497</v>
      </c>
      <c r="AO54" s="459">
        <f t="shared" si="6"/>
        <v>77.292800191876907</v>
      </c>
      <c r="AP54" s="459">
        <f t="shared" si="6"/>
        <v>13.788503516149234</v>
      </c>
      <c r="AQ54" s="459">
        <f t="shared" si="6"/>
        <v>2.9857083642881634</v>
      </c>
      <c r="AR54" s="459">
        <f t="shared" si="6"/>
        <v>40.355594090019984</v>
      </c>
      <c r="AS54" s="459">
        <f t="shared" si="6"/>
        <v>29.765113919464547</v>
      </c>
      <c r="AT54" s="459">
        <f t="shared" si="6"/>
        <v>9.6860464351794189</v>
      </c>
      <c r="AU54" s="459">
        <f t="shared" si="6"/>
        <v>11.238528009967682</v>
      </c>
      <c r="AW54" s="216">
        <f>(B54/Population_Tables!O28)*Population_Tables!C28</f>
        <v>149.74800028713514</v>
      </c>
      <c r="AX54" s="153" t="str">
        <f t="shared" si="7"/>
        <v>OK</v>
      </c>
      <c r="AY54" s="421">
        <f t="shared" si="4"/>
        <v>118.420171139007</v>
      </c>
      <c r="AZ54" s="153" t="str">
        <f t="shared" si="5"/>
        <v>OK</v>
      </c>
      <c r="BB54" s="216">
        <f>(C54/Population_Tables!P28)*Population_Tables!D28</f>
        <v>19.815627909588045</v>
      </c>
      <c r="BC54" s="216">
        <f>(D54/Population_Tables!Q28)*Population_Tables!E28</f>
        <v>4.5375311571046497</v>
      </c>
      <c r="BD54" s="216">
        <f>(E54/Population_Tables!R28)*Population_Tables!F28</f>
        <v>77.292800191876907</v>
      </c>
      <c r="BE54" s="216">
        <f>(F54/Population_Tables!S28)*Population_Tables!G28</f>
        <v>13.788503516149234</v>
      </c>
      <c r="BF54" s="216">
        <f>(G54/Population_Tables!T28)*Population_Tables!H28</f>
        <v>2.9857083642881634</v>
      </c>
      <c r="BG54" s="216"/>
      <c r="BN54" s="216"/>
      <c r="BO54" s="216"/>
      <c r="BP54" s="216"/>
    </row>
    <row r="55" spans="1:68" ht="15.6" x14ac:dyDescent="0.3">
      <c r="A55" s="206">
        <v>2040</v>
      </c>
      <c r="B55" s="229">
        <v>147.11662324116463</v>
      </c>
      <c r="C55" s="229">
        <v>19.181175166496139</v>
      </c>
      <c r="D55" s="229">
        <v>4.4499724583040248</v>
      </c>
      <c r="E55" s="229">
        <v>75.999609329217421</v>
      </c>
      <c r="F55" s="229">
        <v>13.85684137858836</v>
      </c>
      <c r="G55" s="229">
        <v>2.8933461434623764</v>
      </c>
      <c r="H55" s="229">
        <v>39.455972161168368</v>
      </c>
      <c r="I55" s="229">
        <v>29.759638457633454</v>
      </c>
      <c r="J55" s="229">
        <v>9.3948933722968526</v>
      </c>
      <c r="K55" s="229">
        <v>10.865454183263978</v>
      </c>
      <c r="M55" s="206">
        <v>2040</v>
      </c>
      <c r="N55" s="419">
        <f t="shared" si="2"/>
        <v>31.525351480088773</v>
      </c>
      <c r="O55" s="418">
        <f>(C55/Population_Tables!P29)*Population_Tables!D88</f>
        <v>0</v>
      </c>
      <c r="P55" s="418">
        <f>(D55/Population_Tables!Q29)*Population_Tables!E88</f>
        <v>0</v>
      </c>
      <c r="Q55" s="418">
        <f>((E55-H55)/Population_Tables!R29)*Population_Tables!F88</f>
        <v>21.646897555721665</v>
      </c>
      <c r="R55" s="418">
        <f>(F55/Population_Tables!S29)*Population_Tables!G88</f>
        <v>8.9928042281401819</v>
      </c>
      <c r="S55" s="418">
        <f>(G55/Population_Tables!T29)*Population_Tables!H88</f>
        <v>0.88564969622692624</v>
      </c>
      <c r="T55" s="418">
        <f>(H55/Population_Tables!U29)*Population_Tables!I88</f>
        <v>0</v>
      </c>
      <c r="U55" s="418">
        <f>(I55/Population_Tables!V29)*Population_Tables!J88</f>
        <v>0</v>
      </c>
      <c r="V55" s="418">
        <f>(J55/Population_Tables!W29)*Population_Tables!K88</f>
        <v>0</v>
      </c>
      <c r="W55" s="418">
        <f>(K55/Population_Tables!X29)*Population_Tables!L88</f>
        <v>0</v>
      </c>
      <c r="Y55" s="456">
        <v>2040</v>
      </c>
      <c r="Z55" s="459">
        <f>((B55/Population_Tables!O29)*Population_Tables!C29)-N55</f>
        <v>123.69300064315809</v>
      </c>
      <c r="AA55" s="459">
        <f>((C55/Population_Tables!P29)*Population_Tables!D29)-O55</f>
        <v>20.098633798415221</v>
      </c>
      <c r="AB55" s="459">
        <f>((D55/Population_Tables!Q29)*Population_Tables!E29)-P55</f>
        <v>4.6657976746610457</v>
      </c>
      <c r="AC55" s="459">
        <f>((E55/Population_Tables!R29)*Population_Tables!F29)-Q55</f>
        <v>58.680357771781914</v>
      </c>
      <c r="AD55" s="459">
        <f>((F55/Population_Tables!S29)*Population_Tables!G29)-R55</f>
        <v>5.5817567761555722</v>
      </c>
      <c r="AE55" s="459">
        <f>((G55/Population_Tables!T29)*Population_Tables!H29)-S55</f>
        <v>2.2014024537344219</v>
      </c>
      <c r="AF55" s="459">
        <f>(H55/Population_Tables!U29)*Population_Tables!I29</f>
        <v>41.229856856186352</v>
      </c>
      <c r="AG55" s="459">
        <f>(I55/Population_Tables!V29)*Population_Tables!J29</f>
        <v>31.468547493654487</v>
      </c>
      <c r="AH55" s="459">
        <f>(J55/Population_Tables!W29)*Population_Tables!K29</f>
        <v>9.8200412296400295</v>
      </c>
      <c r="AI55" s="459">
        <f>(K55/Population_Tables!X29)*Population_Tables!L29</f>
        <v>11.429904430095196</v>
      </c>
      <c r="AK55" s="456">
        <v>2040</v>
      </c>
      <c r="AL55" s="459">
        <f t="shared" si="6"/>
        <v>155.21835212324686</v>
      </c>
      <c r="AM55" s="459">
        <f t="shared" si="6"/>
        <v>20.098633798415221</v>
      </c>
      <c r="AN55" s="459">
        <f t="shared" si="6"/>
        <v>4.6657976746610457</v>
      </c>
      <c r="AO55" s="459">
        <f t="shared" si="6"/>
        <v>80.327255327503579</v>
      </c>
      <c r="AP55" s="459">
        <f t="shared" si="6"/>
        <v>14.574561004295754</v>
      </c>
      <c r="AQ55" s="459">
        <f t="shared" si="6"/>
        <v>3.0870521499613481</v>
      </c>
      <c r="AR55" s="459">
        <f t="shared" si="6"/>
        <v>41.229856856186352</v>
      </c>
      <c r="AS55" s="459">
        <f t="shared" si="6"/>
        <v>31.468547493654487</v>
      </c>
      <c r="AT55" s="459">
        <f t="shared" si="6"/>
        <v>9.8200412296400295</v>
      </c>
      <c r="AU55" s="459">
        <f t="shared" si="6"/>
        <v>11.429904430095196</v>
      </c>
      <c r="AW55" s="216">
        <f>(B55/Population_Tables!O29)*Population_Tables!C29</f>
        <v>155.21835212324686</v>
      </c>
      <c r="AX55" s="153" t="str">
        <f t="shared" si="7"/>
        <v>OK</v>
      </c>
      <c r="AY55" s="421">
        <f t="shared" si="4"/>
        <v>122.75329995483696</v>
      </c>
      <c r="AZ55" s="153" t="str">
        <f t="shared" si="5"/>
        <v>OK</v>
      </c>
      <c r="BB55" s="216">
        <f>(C55/Population_Tables!P29)*Population_Tables!D29</f>
        <v>20.098633798415221</v>
      </c>
      <c r="BC55" s="216">
        <f>(D55/Population_Tables!Q29)*Population_Tables!E29</f>
        <v>4.6657976746610457</v>
      </c>
      <c r="BD55" s="216">
        <f>(E55/Population_Tables!R29)*Population_Tables!F29</f>
        <v>80.327255327503579</v>
      </c>
      <c r="BE55" s="216">
        <f>(F55/Population_Tables!S29)*Population_Tables!G29</f>
        <v>14.574561004295754</v>
      </c>
      <c r="BF55" s="216">
        <f>(G55/Population_Tables!T29)*Population_Tables!H29</f>
        <v>3.0870521499613481</v>
      </c>
      <c r="BG55" s="216"/>
      <c r="BN55" s="216"/>
      <c r="BO55" s="216"/>
      <c r="BP55" s="216"/>
    </row>
    <row r="56" spans="1:68" ht="15.6" x14ac:dyDescent="0.3">
      <c r="A56" s="206">
        <v>2041</v>
      </c>
      <c r="B56" s="229">
        <v>151.94450936016523</v>
      </c>
      <c r="C56" s="229">
        <v>19.396989378377796</v>
      </c>
      <c r="D56" s="229">
        <v>4.5606186059153213</v>
      </c>
      <c r="E56" s="229">
        <v>78.673694271453257</v>
      </c>
      <c r="F56" s="229">
        <v>14.603608531131993</v>
      </c>
      <c r="G56" s="229">
        <v>2.9790858989049354</v>
      </c>
      <c r="H56" s="229">
        <v>40.179438798857738</v>
      </c>
      <c r="I56" s="229">
        <v>31.327334298662738</v>
      </c>
      <c r="J56" s="229">
        <v>9.4975640549451672</v>
      </c>
      <c r="K56" s="229">
        <v>11.017662371852923</v>
      </c>
      <c r="M56" s="206">
        <v>2041</v>
      </c>
      <c r="N56" s="419">
        <f t="shared" si="2"/>
        <v>33.410572020479769</v>
      </c>
      <c r="O56" s="418">
        <f>(C56/Population_Tables!P30)*Population_Tables!D89</f>
        <v>0</v>
      </c>
      <c r="P56" s="418">
        <f>(D56/Population_Tables!Q30)*Population_Tables!E89</f>
        <v>0</v>
      </c>
      <c r="Q56" s="418">
        <f>((E56-H56)/Population_Tables!R30)*Population_Tables!F89</f>
        <v>22.965180089222038</v>
      </c>
      <c r="R56" s="418">
        <f>(F56/Population_Tables!S30)*Population_Tables!G89</f>
        <v>9.5272314653553103</v>
      </c>
      <c r="S56" s="418">
        <f>(G56/Population_Tables!T30)*Population_Tables!H89</f>
        <v>0.91816046590242795</v>
      </c>
      <c r="T56" s="418">
        <f>(H56/Population_Tables!U30)*Population_Tables!I89</f>
        <v>0</v>
      </c>
      <c r="U56" s="418">
        <f>(I56/Population_Tables!V30)*Population_Tables!J89</f>
        <v>0</v>
      </c>
      <c r="V56" s="418">
        <f>(J56/Population_Tables!W30)*Population_Tables!K89</f>
        <v>0</v>
      </c>
      <c r="W56" s="418">
        <f>(K56/Population_Tables!X30)*Population_Tables!L89</f>
        <v>0</v>
      </c>
      <c r="Y56" s="456">
        <v>2041</v>
      </c>
      <c r="Z56" s="459">
        <f>((B56/Population_Tables!O30)*Population_Tables!C30)-N56</f>
        <v>127.40386194810876</v>
      </c>
      <c r="AA56" s="459">
        <f>((C56/Population_Tables!P30)*Population_Tables!D30)-O56</f>
        <v>20.380160114778604</v>
      </c>
      <c r="AB56" s="459">
        <f>((D56/Population_Tables!Q30)*Population_Tables!E30)-P56</f>
        <v>4.7963284536274244</v>
      </c>
      <c r="AC56" s="459">
        <f>((E56/Population_Tables!R30)*Population_Tables!F30)-Q56</f>
        <v>60.460127251102868</v>
      </c>
      <c r="AD56" s="459">
        <f>((F56/Population_Tables!S30)*Population_Tables!G30)-R56</f>
        <v>5.8769943228731023</v>
      </c>
      <c r="AE56" s="459">
        <f>((G56/Population_Tables!T30)*Population_Tables!H30)-S56</f>
        <v>2.2725339300527967</v>
      </c>
      <c r="AF56" s="459">
        <f>(H56/Population_Tables!U30)*Population_Tables!I30</f>
        <v>42.098906272158736</v>
      </c>
      <c r="AG56" s="459">
        <f>(I56/Population_Tables!V30)*Population_Tables!J30</f>
        <v>33.227959293228871</v>
      </c>
      <c r="AH56" s="459">
        <f>(J56/Population_Tables!W30)*Population_Tables!K30</f>
        <v>9.9540499005280765</v>
      </c>
      <c r="AI56" s="459">
        <f>(K56/Population_Tables!X30)*Population_Tables!L30</f>
        <v>11.62407153835187</v>
      </c>
      <c r="AK56" s="456">
        <v>2041</v>
      </c>
      <c r="AL56" s="459">
        <f t="shared" si="6"/>
        <v>160.81443396858853</v>
      </c>
      <c r="AM56" s="459">
        <f t="shared" si="6"/>
        <v>20.380160114778604</v>
      </c>
      <c r="AN56" s="459">
        <f t="shared" si="6"/>
        <v>4.7963284536274244</v>
      </c>
      <c r="AO56" s="459">
        <f t="shared" si="6"/>
        <v>83.425307340324906</v>
      </c>
      <c r="AP56" s="459">
        <f t="shared" si="6"/>
        <v>15.404225788228413</v>
      </c>
      <c r="AQ56" s="459">
        <f t="shared" si="6"/>
        <v>3.1906943959552247</v>
      </c>
      <c r="AR56" s="459">
        <f t="shared" si="6"/>
        <v>42.098906272158736</v>
      </c>
      <c r="AS56" s="459">
        <f t="shared" si="6"/>
        <v>33.227959293228871</v>
      </c>
      <c r="AT56" s="459">
        <f t="shared" si="6"/>
        <v>9.9540499005280765</v>
      </c>
      <c r="AU56" s="459">
        <f t="shared" si="6"/>
        <v>11.62407153835187</v>
      </c>
      <c r="AW56" s="216">
        <f>(B56/Population_Tables!O30)*Population_Tables!C30</f>
        <v>160.81443396858853</v>
      </c>
      <c r="AX56" s="153" t="str">
        <f t="shared" si="7"/>
        <v>OK</v>
      </c>
      <c r="AY56" s="421">
        <f t="shared" si="4"/>
        <v>127.19671609291457</v>
      </c>
      <c r="AZ56" s="153" t="str">
        <f t="shared" si="5"/>
        <v>OK</v>
      </c>
      <c r="BB56" s="216">
        <f>(C56/Population_Tables!P30)*Population_Tables!D30</f>
        <v>20.380160114778604</v>
      </c>
      <c r="BC56" s="216">
        <f>(D56/Population_Tables!Q30)*Population_Tables!E30</f>
        <v>4.7963284536274244</v>
      </c>
      <c r="BD56" s="216">
        <f>(E56/Population_Tables!R30)*Population_Tables!F30</f>
        <v>83.425307340324906</v>
      </c>
      <c r="BE56" s="216">
        <f>(F56/Population_Tables!S30)*Population_Tables!G30</f>
        <v>15.404225788228413</v>
      </c>
      <c r="BF56" s="216">
        <f>(G56/Population_Tables!T30)*Population_Tables!H30</f>
        <v>3.1906943959552247</v>
      </c>
      <c r="BG56" s="216"/>
      <c r="BN56" s="216"/>
      <c r="BO56" s="216"/>
      <c r="BP56" s="216"/>
    </row>
    <row r="57" spans="1:68" ht="15.6" x14ac:dyDescent="0.3">
      <c r="A57" s="206">
        <v>2042</v>
      </c>
      <c r="B57" s="229">
        <v>156.85531276504346</v>
      </c>
      <c r="C57" s="229">
        <v>19.608366533339549</v>
      </c>
      <c r="D57" s="229">
        <v>4.6724468811955155</v>
      </c>
      <c r="E57" s="229">
        <v>81.386234578367294</v>
      </c>
      <c r="F57" s="229">
        <v>15.388300403262413</v>
      </c>
      <c r="G57" s="229">
        <v>3.0661253718236248</v>
      </c>
      <c r="H57" s="229">
        <v>40.891785523588496</v>
      </c>
      <c r="I57" s="229">
        <v>32.937843907656543</v>
      </c>
      <c r="J57" s="229">
        <v>9.5990533946984318</v>
      </c>
      <c r="K57" s="229">
        <v>11.171478446874813</v>
      </c>
      <c r="M57" s="206">
        <v>2042</v>
      </c>
      <c r="N57" s="419">
        <f t="shared" si="2"/>
        <v>35.374153645437801</v>
      </c>
      <c r="O57" s="418">
        <f>(C57/Population_Tables!P31)*Population_Tables!D90</f>
        <v>0</v>
      </c>
      <c r="P57" s="418">
        <f>(D57/Population_Tables!Q31)*Population_Tables!E90</f>
        <v>0</v>
      </c>
      <c r="Q57" s="418">
        <f>((E57-H57)/Population_Tables!R31)*Population_Tables!F90</f>
        <v>24.330984464387686</v>
      </c>
      <c r="R57" s="418">
        <f>(F57/Population_Tables!S31)*Population_Tables!G90</f>
        <v>10.091665878174769</v>
      </c>
      <c r="S57" s="418">
        <f>(G57/Population_Tables!T31)*Population_Tables!H90</f>
        <v>0.95150330287534668</v>
      </c>
      <c r="T57" s="418">
        <f>(H57/Population_Tables!U31)*Population_Tables!I90</f>
        <v>0</v>
      </c>
      <c r="U57" s="418">
        <f>(I57/Population_Tables!V31)*Population_Tables!J90</f>
        <v>0</v>
      </c>
      <c r="V57" s="418">
        <f>(J57/Population_Tables!W31)*Population_Tables!K90</f>
        <v>0</v>
      </c>
      <c r="W57" s="418">
        <f>(K57/Population_Tables!X31)*Population_Tables!L90</f>
        <v>0</v>
      </c>
      <c r="Y57" s="456">
        <v>2042</v>
      </c>
      <c r="Z57" s="459">
        <f>((B57/Population_Tables!O31)*Population_Tables!C31)-N57</f>
        <v>131.16324276908045</v>
      </c>
      <c r="AA57" s="459">
        <f>((C57/Population_Tables!P31)*Population_Tables!D31)-O57</f>
        <v>20.658564685772394</v>
      </c>
      <c r="AB57" s="459">
        <f>((D57/Population_Tables!Q31)*Population_Tables!E31)-P57</f>
        <v>4.9291478253320333</v>
      </c>
      <c r="AC57" s="459">
        <f>((E57/Population_Tables!R31)*Population_Tables!F31)-Q57</f>
        <v>62.255888458086687</v>
      </c>
      <c r="AD57" s="459">
        <f>((F57/Population_Tables!S31)*Population_Tables!G31)-R57</f>
        <v>6.1875203196070068</v>
      </c>
      <c r="AE57" s="459">
        <f>((G57/Population_Tables!T31)*Population_Tables!H31)-S57</f>
        <v>2.3451152918080025</v>
      </c>
      <c r="AF57" s="459">
        <f>(H57/Population_Tables!U31)*Population_Tables!I31</f>
        <v>42.962211981394582</v>
      </c>
      <c r="AG57" s="459">
        <f>(I57/Population_Tables!V31)*Population_Tables!J31</f>
        <v>35.043949080656454</v>
      </c>
      <c r="AH57" s="459">
        <f>(J57/Population_Tables!W31)*Population_Tables!K31</f>
        <v>10.087737086192378</v>
      </c>
      <c r="AI57" s="459">
        <f>(K57/Population_Tables!X31)*Population_Tables!L31</f>
        <v>11.821022550742075</v>
      </c>
      <c r="AK57" s="456">
        <v>2042</v>
      </c>
      <c r="AL57" s="459">
        <f t="shared" si="6"/>
        <v>166.53739641451824</v>
      </c>
      <c r="AM57" s="459">
        <f t="shared" si="6"/>
        <v>20.658564685772394</v>
      </c>
      <c r="AN57" s="459">
        <f t="shared" si="6"/>
        <v>4.9291478253320333</v>
      </c>
      <c r="AO57" s="459">
        <f t="shared" si="6"/>
        <v>86.58687292247437</v>
      </c>
      <c r="AP57" s="459">
        <f t="shared" si="6"/>
        <v>16.279186197781776</v>
      </c>
      <c r="AQ57" s="459">
        <f t="shared" si="6"/>
        <v>3.2966185946833493</v>
      </c>
      <c r="AR57" s="459">
        <f t="shared" si="6"/>
        <v>42.962211981394582</v>
      </c>
      <c r="AS57" s="459">
        <f t="shared" si="6"/>
        <v>35.043949080656454</v>
      </c>
      <c r="AT57" s="459">
        <f t="shared" si="6"/>
        <v>10.087737086192378</v>
      </c>
      <c r="AU57" s="459">
        <f t="shared" si="6"/>
        <v>11.821022550742075</v>
      </c>
      <c r="AW57" s="216">
        <f>(B57/Population_Tables!O31)*Population_Tables!C31</f>
        <v>166.53739641451824</v>
      </c>
      <c r="AX57" s="153" t="str">
        <f t="shared" si="7"/>
        <v>OK</v>
      </c>
      <c r="AY57" s="421">
        <f t="shared" si="4"/>
        <v>131.75039022604392</v>
      </c>
      <c r="AZ57" s="153" t="str">
        <f t="shared" si="5"/>
        <v>OK</v>
      </c>
      <c r="BB57" s="216">
        <f>(C57/Population_Tables!P31)*Population_Tables!D31</f>
        <v>20.658564685772394</v>
      </c>
      <c r="BC57" s="216">
        <f>(D57/Population_Tables!Q31)*Population_Tables!E31</f>
        <v>4.9291478253320333</v>
      </c>
      <c r="BD57" s="216">
        <f>(E57/Population_Tables!R31)*Population_Tables!F31</f>
        <v>86.58687292247437</v>
      </c>
      <c r="BE57" s="216">
        <f>(F57/Population_Tables!S31)*Population_Tables!G31</f>
        <v>16.279186197781776</v>
      </c>
      <c r="BF57" s="216">
        <f>(G57/Population_Tables!T31)*Population_Tables!H31</f>
        <v>3.2966185946833493</v>
      </c>
      <c r="BG57" s="216"/>
      <c r="BN57" s="216"/>
      <c r="BO57" s="216"/>
      <c r="BP57" s="216"/>
    </row>
    <row r="58" spans="1:68" ht="15.6" x14ac:dyDescent="0.3">
      <c r="A58" s="206">
        <v>2043</v>
      </c>
      <c r="B58" s="229">
        <v>161.84866460820749</v>
      </c>
      <c r="C58" s="229">
        <v>19.813813379248732</v>
      </c>
      <c r="D58" s="229">
        <v>4.7854566059604071</v>
      </c>
      <c r="E58" s="229">
        <v>84.136236132413785</v>
      </c>
      <c r="F58" s="229">
        <v>16.212104811664453</v>
      </c>
      <c r="G58" s="229">
        <v>3.1544233187547772</v>
      </c>
      <c r="H58" s="229">
        <v>41.592520417110734</v>
      </c>
      <c r="I58" s="229">
        <v>34.591044290658928</v>
      </c>
      <c r="J58" s="229">
        <v>9.6990658894500967</v>
      </c>
      <c r="K58" s="229">
        <v>11.326898606144301</v>
      </c>
      <c r="M58" s="206">
        <v>2043</v>
      </c>
      <c r="N58" s="419">
        <f t="shared" si="2"/>
        <v>37.418758419838603</v>
      </c>
      <c r="O58" s="418">
        <f>(C58/Population_Tables!P32)*Population_Tables!D91</f>
        <v>0</v>
      </c>
      <c r="P58" s="418">
        <f>(D58/Population_Tables!Q32)*Population_Tables!E91</f>
        <v>0</v>
      </c>
      <c r="Q58" s="418">
        <f>((E58-H58)/Population_Tables!R32)*Population_Tables!F91</f>
        <v>25.745602220572501</v>
      </c>
      <c r="R58" s="418">
        <f>(F58/Population_Tables!S32)*Population_Tables!G91</f>
        <v>10.687459249270116</v>
      </c>
      <c r="S58" s="418">
        <f>(G58/Population_Tables!T32)*Population_Tables!H91</f>
        <v>0.98569694999599167</v>
      </c>
      <c r="T58" s="418">
        <f>(H58/Population_Tables!U32)*Population_Tables!I91</f>
        <v>0</v>
      </c>
      <c r="U58" s="418">
        <f>(I58/Population_Tables!V32)*Population_Tables!J91</f>
        <v>0</v>
      </c>
      <c r="V58" s="418">
        <f>(J58/Population_Tables!W32)*Population_Tables!K91</f>
        <v>0</v>
      </c>
      <c r="W58" s="418">
        <f>(K58/Population_Tables!X32)*Population_Tables!L91</f>
        <v>0</v>
      </c>
      <c r="Y58" s="456">
        <v>2043</v>
      </c>
      <c r="Z58" s="459">
        <f>((B58/Population_Tables!O32)*Population_Tables!C32)-N58</f>
        <v>134.97202474105865</v>
      </c>
      <c r="AA58" s="459">
        <f>((C58/Population_Tables!P32)*Population_Tables!D32)-O58</f>
        <v>20.932352022387064</v>
      </c>
      <c r="AB58" s="459">
        <f>((D58/Population_Tables!Q32)*Population_Tables!E32)-P58</f>
        <v>5.0643259905422626</v>
      </c>
      <c r="AC58" s="459">
        <f>((E58/Population_Tables!R32)*Population_Tables!F32)-Q58</f>
        <v>64.067710160906387</v>
      </c>
      <c r="AD58" s="459">
        <f>((F58/Population_Tables!S32)*Population_Tables!G32)-R58</f>
        <v>6.5139190370173523</v>
      </c>
      <c r="AE58" s="459">
        <f>((G58/Population_Tables!T32)*Population_Tables!H32)-S58</f>
        <v>2.4191539730018654</v>
      </c>
      <c r="AF58" s="459">
        <f>(H58/Population_Tables!U32)*Population_Tables!I32</f>
        <v>43.819750786551182</v>
      </c>
      <c r="AG58" s="459">
        <f>(I58/Population_Tables!V32)*Population_Tables!J32</f>
        <v>36.917913239435627</v>
      </c>
      <c r="AH58" s="459">
        <f>(J58/Population_Tables!W32)*Population_Tables!K32</f>
        <v>10.220838815972524</v>
      </c>
      <c r="AI58" s="459">
        <f>(K58/Population_Tables!X32)*Population_Tables!L32</f>
        <v>12.020857047504002</v>
      </c>
      <c r="AK58" s="456">
        <v>2043</v>
      </c>
      <c r="AL58" s="459">
        <f t="shared" si="6"/>
        <v>172.39078316089726</v>
      </c>
      <c r="AM58" s="459">
        <f t="shared" si="6"/>
        <v>20.932352022387064</v>
      </c>
      <c r="AN58" s="459">
        <f t="shared" si="6"/>
        <v>5.0643259905422626</v>
      </c>
      <c r="AO58" s="459">
        <f t="shared" si="6"/>
        <v>89.81331238147888</v>
      </c>
      <c r="AP58" s="459">
        <f t="shared" si="6"/>
        <v>17.201378286287468</v>
      </c>
      <c r="AQ58" s="459">
        <f t="shared" si="6"/>
        <v>3.404850922997857</v>
      </c>
      <c r="AR58" s="459">
        <f t="shared" si="6"/>
        <v>43.819750786551182</v>
      </c>
      <c r="AS58" s="459">
        <f t="shared" si="6"/>
        <v>36.917913239435627</v>
      </c>
      <c r="AT58" s="459">
        <f t="shared" si="6"/>
        <v>10.220838815972524</v>
      </c>
      <c r="AU58" s="459">
        <f t="shared" si="6"/>
        <v>12.020857047504002</v>
      </c>
      <c r="AW58" s="216">
        <f>(B58/Population_Tables!O32)*Population_Tables!C32</f>
        <v>172.39078316089726</v>
      </c>
      <c r="AX58" s="153" t="str">
        <f t="shared" si="7"/>
        <v>OK</v>
      </c>
      <c r="AY58" s="421">
        <f t="shared" si="4"/>
        <v>136.41621960369355</v>
      </c>
      <c r="AZ58" s="153" t="str">
        <f t="shared" si="5"/>
        <v>OK</v>
      </c>
      <c r="BB58" s="216">
        <f>(C58/Population_Tables!P32)*Population_Tables!D32</f>
        <v>20.932352022387064</v>
      </c>
      <c r="BC58" s="216">
        <f>(D58/Population_Tables!Q32)*Population_Tables!E32</f>
        <v>5.0643259905422626</v>
      </c>
      <c r="BD58" s="216">
        <f>(E58/Population_Tables!R32)*Population_Tables!F32</f>
        <v>89.813312381478895</v>
      </c>
      <c r="BE58" s="216">
        <f>(F58/Population_Tables!S32)*Population_Tables!G32</f>
        <v>17.201378286287468</v>
      </c>
      <c r="BF58" s="216">
        <f>(G58/Population_Tables!T32)*Population_Tables!H32</f>
        <v>3.404850922997857</v>
      </c>
      <c r="BG58" s="216"/>
      <c r="BN58" s="216"/>
      <c r="BO58" s="216"/>
      <c r="BP58" s="216"/>
    </row>
    <row r="59" spans="1:68" ht="15.6" x14ac:dyDescent="0.3">
      <c r="A59" s="206">
        <v>2044</v>
      </c>
      <c r="B59" s="229">
        <v>166.9241960420654</v>
      </c>
      <c r="C59" s="229">
        <v>20.011836663972684</v>
      </c>
      <c r="D59" s="229">
        <v>4.8996471020257975</v>
      </c>
      <c r="E59" s="229">
        <v>86.922704816047002</v>
      </c>
      <c r="F59" s="229">
        <v>17.07620957302295</v>
      </c>
      <c r="G59" s="229">
        <v>3.2439384962347253</v>
      </c>
      <c r="H59" s="229">
        <v>42.281151561174553</v>
      </c>
      <c r="I59" s="229">
        <v>36.286812453713978</v>
      </c>
      <c r="J59" s="229">
        <v>9.7973060370936196</v>
      </c>
      <c r="K59" s="229">
        <v>11.483919047476039</v>
      </c>
      <c r="M59" s="206">
        <v>2044</v>
      </c>
      <c r="N59" s="419">
        <f t="shared" si="2"/>
        <v>39.547433681014418</v>
      </c>
      <c r="O59" s="418">
        <f>(C59/Population_Tables!P33)*Population_Tables!D92</f>
        <v>0</v>
      </c>
      <c r="P59" s="418">
        <f>(D59/Population_Tables!Q33)*Population_Tables!E92</f>
        <v>0</v>
      </c>
      <c r="Q59" s="418">
        <f>((E59-H59)/Population_Tables!R33)*Population_Tables!F92</f>
        <v>27.210639568708377</v>
      </c>
      <c r="R59" s="418">
        <f>(F59/Population_Tables!S33)*Population_Tables!G92</f>
        <v>11.316030369223473</v>
      </c>
      <c r="S59" s="418">
        <f>(G59/Population_Tables!T33)*Population_Tables!H92</f>
        <v>1.0207637430825671</v>
      </c>
      <c r="T59" s="418">
        <f>(H59/Population_Tables!U33)*Population_Tables!I92</f>
        <v>0</v>
      </c>
      <c r="U59" s="418">
        <f>(I59/Population_Tables!V33)*Population_Tables!J92</f>
        <v>0</v>
      </c>
      <c r="V59" s="418">
        <f>(J59/Population_Tables!W33)*Population_Tables!K92</f>
        <v>0</v>
      </c>
      <c r="W59" s="418">
        <f>(K59/Population_Tables!X33)*Population_Tables!L92</f>
        <v>0</v>
      </c>
      <c r="Y59" s="456">
        <v>2044</v>
      </c>
      <c r="Z59" s="459">
        <f>((B59/Population_Tables!O33)*Population_Tables!C33)-N59</f>
        <v>138.83134360423793</v>
      </c>
      <c r="AA59" s="459">
        <f>((C59/Population_Tables!P33)*Population_Tables!D33)-O59</f>
        <v>21.200015545866446</v>
      </c>
      <c r="AB59" s="459">
        <f>((D59/Population_Tables!Q33)*Population_Tables!E33)-P59</f>
        <v>5.2019367634123652</v>
      </c>
      <c r="AC59" s="459">
        <f>((E59/Population_Tables!R33)*Population_Tables!F33)-Q59</f>
        <v>65.89584060853889</v>
      </c>
      <c r="AD59" s="459">
        <f>((F59/Population_Tables!S33)*Population_Tables!G33)-R59</f>
        <v>6.8567922460073838</v>
      </c>
      <c r="AE59" s="459">
        <f>((G59/Population_Tables!T33)*Population_Tables!H33)-S59</f>
        <v>2.4946606980194113</v>
      </c>
      <c r="AF59" s="459">
        <f>(H59/Population_Tables!U33)*Population_Tables!I33</f>
        <v>44.671622751145257</v>
      </c>
      <c r="AG59" s="459">
        <f>(I59/Population_Tables!V33)*Population_Tables!J33</f>
        <v>38.851635013006558</v>
      </c>
      <c r="AH59" s="459">
        <f>(J59/Population_Tables!W33)*Population_Tables!K33</f>
        <v>10.353087633998106</v>
      </c>
      <c r="AI59" s="459">
        <f>(K59/Population_Tables!X33)*Population_Tables!L33</f>
        <v>12.223689162189615</v>
      </c>
      <c r="AK59" s="456">
        <v>2044</v>
      </c>
      <c r="AL59" s="459">
        <f t="shared" si="6"/>
        <v>178.37877728525234</v>
      </c>
      <c r="AM59" s="459">
        <f t="shared" si="6"/>
        <v>21.200015545866446</v>
      </c>
      <c r="AN59" s="459">
        <f t="shared" si="6"/>
        <v>5.2019367634123652</v>
      </c>
      <c r="AO59" s="459">
        <f t="shared" si="6"/>
        <v>93.106480177247263</v>
      </c>
      <c r="AP59" s="459">
        <f t="shared" si="6"/>
        <v>18.172822615230857</v>
      </c>
      <c r="AQ59" s="459">
        <f t="shared" si="6"/>
        <v>3.5154244411019784</v>
      </c>
      <c r="AR59" s="459">
        <f t="shared" si="6"/>
        <v>44.671622751145257</v>
      </c>
      <c r="AS59" s="459">
        <f t="shared" si="6"/>
        <v>38.851635013006558</v>
      </c>
      <c r="AT59" s="459">
        <f t="shared" si="6"/>
        <v>10.353087633998106</v>
      </c>
      <c r="AU59" s="459">
        <f t="shared" si="6"/>
        <v>12.223689162189615</v>
      </c>
      <c r="AW59" s="216">
        <f>(B59/Population_Tables!O33)*Population_Tables!C33</f>
        <v>178.37877728525234</v>
      </c>
      <c r="AX59" s="153" t="str">
        <f t="shared" si="7"/>
        <v>OK</v>
      </c>
      <c r="AY59" s="421">
        <f t="shared" si="4"/>
        <v>141.1966795428589</v>
      </c>
      <c r="AZ59" s="153" t="str">
        <f t="shared" si="5"/>
        <v>OK</v>
      </c>
      <c r="BB59" s="216">
        <f>(C59/Population_Tables!P33)*Population_Tables!D33</f>
        <v>21.200015545866446</v>
      </c>
      <c r="BC59" s="216">
        <f>(D59/Population_Tables!Q33)*Population_Tables!E33</f>
        <v>5.2019367634123652</v>
      </c>
      <c r="BD59" s="216">
        <f>(E59/Population_Tables!R33)*Population_Tables!F33</f>
        <v>93.106480177247263</v>
      </c>
      <c r="BE59" s="216">
        <f>(F59/Population_Tables!S33)*Population_Tables!G33</f>
        <v>18.172822615230857</v>
      </c>
      <c r="BF59" s="216">
        <f>(G59/Population_Tables!T33)*Population_Tables!H33</f>
        <v>3.5154244411019784</v>
      </c>
      <c r="BG59" s="216"/>
      <c r="BN59" s="216"/>
      <c r="BO59" s="216"/>
      <c r="BP59" s="216"/>
    </row>
    <row r="60" spans="1:68" ht="15.6" x14ac:dyDescent="0.3">
      <c r="A60" s="206">
        <v>2045</v>
      </c>
      <c r="B60" s="229">
        <v>172.08153821902539</v>
      </c>
      <c r="C60" s="229">
        <v>20.200943135378736</v>
      </c>
      <c r="D60" s="229">
        <v>5.0150176912074862</v>
      </c>
      <c r="E60" s="229">
        <v>89.7446465117212</v>
      </c>
      <c r="F60" s="229">
        <v>17.981802504022738</v>
      </c>
      <c r="G60" s="229">
        <v>3.3346296607998012</v>
      </c>
      <c r="H60" s="229">
        <v>42.957187037530048</v>
      </c>
      <c r="I60" s="229">
        <v>38.025025402865758</v>
      </c>
      <c r="J60" s="229">
        <v>9.8934783355224489</v>
      </c>
      <c r="K60" s="229">
        <v>11.64253596868468</v>
      </c>
      <c r="M60" s="206">
        <v>2045</v>
      </c>
      <c r="N60" s="419">
        <f t="shared" si="2"/>
        <v>41.763285114381489</v>
      </c>
      <c r="O60" s="418">
        <f>(C60/Population_Tables!P34)*Population_Tables!D93</f>
        <v>0</v>
      </c>
      <c r="P60" s="418">
        <f>(D60/Population_Tables!Q34)*Population_Tables!E93</f>
        <v>0</v>
      </c>
      <c r="Q60" s="418">
        <f>((E60-H60)/Population_Tables!R34)*Population_Tables!F93</f>
        <v>28.727742504151106</v>
      </c>
      <c r="R60" s="418">
        <f>(F60/Population_Tables!S34)*Population_Tables!G93</f>
        <v>11.978816905098993</v>
      </c>
      <c r="S60" s="418">
        <f>(G60/Population_Tables!T34)*Population_Tables!H93</f>
        <v>1.0567257051313894</v>
      </c>
      <c r="T60" s="418">
        <f>(H60/Population_Tables!U34)*Population_Tables!I93</f>
        <v>0</v>
      </c>
      <c r="U60" s="418">
        <f>(I60/Population_Tables!V34)*Population_Tables!J93</f>
        <v>0</v>
      </c>
      <c r="V60" s="418">
        <f>(J60/Population_Tables!W34)*Population_Tables!K93</f>
        <v>0</v>
      </c>
      <c r="W60" s="418">
        <f>(K60/Population_Tables!X34)*Population_Tables!L93</f>
        <v>0</v>
      </c>
      <c r="Y60" s="456">
        <v>2045</v>
      </c>
      <c r="Z60" s="459">
        <f>((B60/Population_Tables!O34)*Population_Tables!C34)-N60</f>
        <v>142.74222863343067</v>
      </c>
      <c r="AA60" s="459">
        <f>((C60/Population_Tables!P34)*Population_Tables!D34)-O60</f>
        <v>21.460057623153787</v>
      </c>
      <c r="AB60" s="459">
        <f>((D60/Population_Tables!Q34)*Population_Tables!E34)-P60</f>
        <v>5.3420582283737517</v>
      </c>
      <c r="AC60" s="459">
        <f>((E60/Population_Tables!R34)*Population_Tables!F34)-Q60</f>
        <v>67.74045123861562</v>
      </c>
      <c r="AD60" s="459">
        <f>((F60/Population_Tables!S34)*Population_Tables!G34)-R60</f>
        <v>7.2167499021787638</v>
      </c>
      <c r="AE60" s="459">
        <f>((G60/Population_Tables!T34)*Population_Tables!H34)-S60</f>
        <v>2.5716473728430329</v>
      </c>
      <c r="AF60" s="459">
        <f>(H60/Population_Tables!U34)*Population_Tables!I34</f>
        <v>45.51788029032064</v>
      </c>
      <c r="AG60" s="459">
        <f>(I60/Population_Tables!V34)*Population_Tables!J34</f>
        <v>40.846941162147317</v>
      </c>
      <c r="AH60" s="459">
        <f>(J60/Population_Tables!W34)*Population_Tables!K34</f>
        <v>10.484224061799807</v>
      </c>
      <c r="AI60" s="459">
        <f>(K60/Population_Tables!X34)*Population_Tables!L34</f>
        <v>12.429645248056604</v>
      </c>
      <c r="AK60" s="456">
        <v>2045</v>
      </c>
      <c r="AL60" s="459">
        <f t="shared" si="6"/>
        <v>184.50551374781216</v>
      </c>
      <c r="AM60" s="459">
        <f t="shared" si="6"/>
        <v>21.460057623153787</v>
      </c>
      <c r="AN60" s="459">
        <f t="shared" si="6"/>
        <v>5.3420582283737517</v>
      </c>
      <c r="AO60" s="459">
        <f t="shared" si="6"/>
        <v>96.468193742766729</v>
      </c>
      <c r="AP60" s="459">
        <f t="shared" si="6"/>
        <v>19.195566807277757</v>
      </c>
      <c r="AQ60" s="459">
        <f t="shared" si="6"/>
        <v>3.6283730779744223</v>
      </c>
      <c r="AR60" s="459">
        <f t="shared" si="6"/>
        <v>45.51788029032064</v>
      </c>
      <c r="AS60" s="459">
        <f t="shared" si="6"/>
        <v>40.846941162147317</v>
      </c>
      <c r="AT60" s="459">
        <f t="shared" si="6"/>
        <v>10.484224061799807</v>
      </c>
      <c r="AU60" s="459">
        <f t="shared" si="6"/>
        <v>12.429645248056604</v>
      </c>
      <c r="AW60" s="216">
        <f>(B60/Population_Tables!O34)*Population_Tables!C34</f>
        <v>184.50551374781216</v>
      </c>
      <c r="AX60" s="153" t="str">
        <f t="shared" si="7"/>
        <v>OK</v>
      </c>
      <c r="AY60" s="421">
        <f t="shared" si="4"/>
        <v>146.09424947954645</v>
      </c>
      <c r="AZ60" s="153" t="str">
        <f t="shared" si="5"/>
        <v>OK</v>
      </c>
      <c r="BB60" s="216">
        <f>(C60/Population_Tables!P34)*Population_Tables!D34</f>
        <v>21.460057623153787</v>
      </c>
      <c r="BC60" s="216">
        <f>(D60/Population_Tables!Q34)*Population_Tables!E34</f>
        <v>5.3420582283737517</v>
      </c>
      <c r="BD60" s="216">
        <f>(E60/Population_Tables!R34)*Population_Tables!F34</f>
        <v>96.468193742766729</v>
      </c>
      <c r="BE60" s="216">
        <f>(F60/Population_Tables!S34)*Population_Tables!G34</f>
        <v>19.195566807277757</v>
      </c>
      <c r="BF60" s="216">
        <f>(G60/Population_Tables!T34)*Population_Tables!H34</f>
        <v>3.6283730779744223</v>
      </c>
      <c r="BG60" s="216"/>
      <c r="BN60" s="216"/>
      <c r="BO60" s="216"/>
      <c r="BP60" s="216"/>
    </row>
    <row r="61" spans="1:68" ht="15.6" x14ac:dyDescent="0.3">
      <c r="A61" s="206">
        <v>2046</v>
      </c>
      <c r="B61" s="229">
        <v>177.32032229149556</v>
      </c>
      <c r="C61" s="229">
        <v>20.379639541334235</v>
      </c>
      <c r="D61" s="229">
        <v>5.1315676953212748</v>
      </c>
      <c r="E61" s="229">
        <v>92.601067101890635</v>
      </c>
      <c r="F61" s="229">
        <v>18.930071421348657</v>
      </c>
      <c r="G61" s="229">
        <v>3.426455568986337</v>
      </c>
      <c r="H61" s="229">
        <v>43.620134927927324</v>
      </c>
      <c r="I61" s="229">
        <v>39.805560144158356</v>
      </c>
      <c r="J61" s="229">
        <v>9.9872872826300387</v>
      </c>
      <c r="K61" s="229">
        <v>11.802745567584875</v>
      </c>
      <c r="M61" s="206">
        <v>2046</v>
      </c>
      <c r="N61" s="419">
        <f t="shared" si="2"/>
        <v>44.069079674014489</v>
      </c>
      <c r="O61" s="418">
        <f>(C61/Population_Tables!P35)*Population_Tables!D94</f>
        <v>0</v>
      </c>
      <c r="P61" s="418">
        <f>(D61/Population_Tables!Q35)*Population_Tables!E94</f>
        <v>0</v>
      </c>
      <c r="Q61" s="418">
        <f>((E61-H61)/Population_Tables!R35)*Population_Tables!F94</f>
        <v>30.298249045494213</v>
      </c>
      <c r="R61" s="418">
        <f>(F61/Population_Tables!S35)*Population_Tables!G94</f>
        <v>12.677231046861149</v>
      </c>
      <c r="S61" s="418">
        <f>(G61/Population_Tables!T35)*Population_Tables!H94</f>
        <v>1.093599581659126</v>
      </c>
      <c r="T61" s="418">
        <f>(H61/Population_Tables!U35)*Population_Tables!I94</f>
        <v>0</v>
      </c>
      <c r="U61" s="418">
        <f>(I61/Population_Tables!V35)*Population_Tables!J94</f>
        <v>0</v>
      </c>
      <c r="V61" s="418">
        <f>(J61/Population_Tables!W35)*Population_Tables!K94</f>
        <v>0</v>
      </c>
      <c r="W61" s="418">
        <f>(K61/Population_Tables!X35)*Population_Tables!L94</f>
        <v>0</v>
      </c>
      <c r="Y61" s="456">
        <v>2046</v>
      </c>
      <c r="Z61" s="459">
        <f>((B61/Population_Tables!O35)*Population_Tables!C35)-N61</f>
        <v>146.70520384789586</v>
      </c>
      <c r="AA61" s="459">
        <f>((C61/Population_Tables!P35)*Population_Tables!D35)-O61</f>
        <v>21.710934699820999</v>
      </c>
      <c r="AB61" s="459">
        <f>((D61/Population_Tables!Q35)*Population_Tables!E35)-P61</f>
        <v>5.4847647299931213</v>
      </c>
      <c r="AC61" s="459">
        <f>((E61/Population_Tables!R35)*Population_Tables!F35)-Q61</f>
        <v>69.601420535572828</v>
      </c>
      <c r="AD61" s="459">
        <f>((F61/Population_Tables!S35)*Population_Tables!G35)-R61</f>
        <v>7.5943937027021029</v>
      </c>
      <c r="AE61" s="459">
        <f>((G61/Population_Tables!T35)*Population_Tables!H35)-S61</f>
        <v>2.650121210127498</v>
      </c>
      <c r="AF61" s="459">
        <f>(H61/Population_Tables!U35)*Population_Tables!I35</f>
        <v>46.358408867674122</v>
      </c>
      <c r="AG61" s="459">
        <f>(I61/Population_Tables!V35)*Population_Tables!J35</f>
        <v>42.905243848055079</v>
      </c>
      <c r="AH61" s="459">
        <f>(J61/Population_Tables!W35)*Population_Tables!K35</f>
        <v>10.613980258357271</v>
      </c>
      <c r="AI61" s="459">
        <f>(K61/Population_Tables!X35)*Population_Tables!L35</f>
        <v>12.638819131990841</v>
      </c>
      <c r="AK61" s="456">
        <v>2046</v>
      </c>
      <c r="AL61" s="459">
        <f t="shared" si="6"/>
        <v>190.77428352191035</v>
      </c>
      <c r="AM61" s="459">
        <f t="shared" si="6"/>
        <v>21.710934699820999</v>
      </c>
      <c r="AN61" s="459">
        <f t="shared" si="6"/>
        <v>5.4847647299931213</v>
      </c>
      <c r="AO61" s="459">
        <f t="shared" si="6"/>
        <v>99.899669581067045</v>
      </c>
      <c r="AP61" s="459">
        <f t="shared" si="6"/>
        <v>20.271624749563252</v>
      </c>
      <c r="AQ61" s="459">
        <f t="shared" si="6"/>
        <v>3.743720791786624</v>
      </c>
      <c r="AR61" s="459">
        <f t="shared" si="6"/>
        <v>46.358408867674122</v>
      </c>
      <c r="AS61" s="459">
        <f t="shared" si="6"/>
        <v>42.905243848055079</v>
      </c>
      <c r="AT61" s="459">
        <f t="shared" si="6"/>
        <v>10.613980258357271</v>
      </c>
      <c r="AU61" s="459">
        <f t="shared" si="6"/>
        <v>12.638819131990841</v>
      </c>
      <c r="AW61" s="216">
        <f>(B61/Population_Tables!O35)*Population_Tables!C35</f>
        <v>190.77428352191035</v>
      </c>
      <c r="AX61" s="153" t="str">
        <f t="shared" si="7"/>
        <v>OK</v>
      </c>
      <c r="AY61" s="421">
        <f t="shared" si="4"/>
        <v>151.11071455223103</v>
      </c>
      <c r="AZ61" s="153" t="str">
        <f t="shared" si="5"/>
        <v>OK</v>
      </c>
      <c r="BB61" s="216">
        <f>(C61/Population_Tables!P35)*Population_Tables!D35</f>
        <v>21.710934699820999</v>
      </c>
      <c r="BC61" s="216">
        <f>(D61/Population_Tables!Q35)*Population_Tables!E35</f>
        <v>5.4847647299931213</v>
      </c>
      <c r="BD61" s="216">
        <f>(E61/Population_Tables!R35)*Population_Tables!F35</f>
        <v>99.899669581067045</v>
      </c>
      <c r="BE61" s="216">
        <f>(F61/Population_Tables!S35)*Population_Tables!G35</f>
        <v>20.271624749563252</v>
      </c>
      <c r="BF61" s="216">
        <f>(G61/Population_Tables!T35)*Population_Tables!H35</f>
        <v>3.743720791786624</v>
      </c>
      <c r="BG61" s="216"/>
      <c r="BN61" s="216"/>
      <c r="BO61" s="216"/>
      <c r="BP61" s="216"/>
    </row>
    <row r="62" spans="1:68" ht="15.6" x14ac:dyDescent="0.3">
      <c r="A62" s="206">
        <v>2047</v>
      </c>
      <c r="B62" s="229">
        <v>182.64017941188405</v>
      </c>
      <c r="C62" s="229">
        <v>20.546432629706509</v>
      </c>
      <c r="D62" s="229">
        <v>5.2492964361829628</v>
      </c>
      <c r="E62" s="229">
        <v>95.490972469009577</v>
      </c>
      <c r="F62" s="229">
        <v>19.922204141685533</v>
      </c>
      <c r="G62" s="229">
        <v>3.5193749773306653</v>
      </c>
      <c r="H62" s="229">
        <v>44.269503314116484</v>
      </c>
      <c r="I62" s="229">
        <v>41.628293683635832</v>
      </c>
      <c r="J62" s="229">
        <v>10.078437376309841</v>
      </c>
      <c r="K62" s="229">
        <v>11.964544041991275</v>
      </c>
      <c r="M62" s="206">
        <v>2047</v>
      </c>
      <c r="N62" s="419">
        <f t="shared" si="2"/>
        <v>46.4675667352383</v>
      </c>
      <c r="O62" s="418">
        <f>(C62/Population_Tables!P36)*Population_Tables!D95</f>
        <v>0</v>
      </c>
      <c r="P62" s="418">
        <f>(D62/Population_Tables!Q36)*Population_Tables!E95</f>
        <v>0</v>
      </c>
      <c r="Q62" s="418">
        <f>((E62-H62)/Population_Tables!R36)*Population_Tables!F95</f>
        <v>31.923482707540845</v>
      </c>
      <c r="R62" s="418">
        <f>(F62/Population_Tables!S36)*Population_Tables!G95</f>
        <v>13.412682911799459</v>
      </c>
      <c r="S62" s="418">
        <f>(G62/Population_Tables!T36)*Population_Tables!H95</f>
        <v>1.1314011158979933</v>
      </c>
      <c r="T62" s="418">
        <f>(H62/Population_Tables!U36)*Population_Tables!I95</f>
        <v>0</v>
      </c>
      <c r="U62" s="418">
        <f>(I62/Population_Tables!V36)*Population_Tables!J95</f>
        <v>0</v>
      </c>
      <c r="V62" s="418">
        <f>(J62/Population_Tables!W36)*Population_Tables!K95</f>
        <v>0</v>
      </c>
      <c r="W62" s="418">
        <f>(K62/Population_Tables!X36)*Population_Tables!L95</f>
        <v>0</v>
      </c>
      <c r="Y62" s="456">
        <v>2047</v>
      </c>
      <c r="Z62" s="459">
        <f>((B62/Population_Tables!O36)*Population_Tables!C36)-N62</f>
        <v>150.72072145687548</v>
      </c>
      <c r="AA62" s="459">
        <f>((C62/Population_Tables!P36)*Population_Tables!D36)-O62</f>
        <v>21.951143960350329</v>
      </c>
      <c r="AB62" s="459">
        <f>((D62/Population_Tables!Q36)*Population_Tables!E36)-P62</f>
        <v>5.6301331322237358</v>
      </c>
      <c r="AC62" s="459">
        <f>((E62/Population_Tables!R36)*Population_Tables!F36)-Q62</f>
        <v>71.478555572463776</v>
      </c>
      <c r="AD62" s="459">
        <f>((F62/Population_Tables!S36)*Population_Tables!G36)-R62</f>
        <v>7.9903361509487336</v>
      </c>
      <c r="AE62" s="459">
        <f>((G62/Population_Tables!T36)*Population_Tables!H36)-S62</f>
        <v>2.7300926897926447</v>
      </c>
      <c r="AF62" s="459">
        <f>(H62/Population_Tables!U36)*Population_Tables!I36</f>
        <v>47.192981463932405</v>
      </c>
      <c r="AG62" s="459">
        <f>(I62/Population_Tables!V36)*Population_Tables!J36</f>
        <v>45.027975453276397</v>
      </c>
      <c r="AH62" s="459">
        <f>(J62/Population_Tables!W36)*Population_Tables!K36</f>
        <v>10.742105670430638</v>
      </c>
      <c r="AI62" s="459">
        <f>(K62/Population_Tables!X36)*Population_Tables!L36</f>
        <v>12.851346556837843</v>
      </c>
      <c r="AK62" s="456">
        <v>2047</v>
      </c>
      <c r="AL62" s="459">
        <f t="shared" si="6"/>
        <v>197.18828819211379</v>
      </c>
      <c r="AM62" s="459">
        <f t="shared" si="6"/>
        <v>21.951143960350329</v>
      </c>
      <c r="AN62" s="459">
        <f t="shared" si="6"/>
        <v>5.6301331322237358</v>
      </c>
      <c r="AO62" s="459">
        <f t="shared" si="6"/>
        <v>103.40203828000462</v>
      </c>
      <c r="AP62" s="459">
        <f t="shared" si="6"/>
        <v>21.403019062748193</v>
      </c>
      <c r="AQ62" s="459">
        <f t="shared" si="6"/>
        <v>3.861493805690638</v>
      </c>
      <c r="AR62" s="459">
        <f t="shared" si="6"/>
        <v>47.192981463932405</v>
      </c>
      <c r="AS62" s="459">
        <f t="shared" si="6"/>
        <v>45.027975453276397</v>
      </c>
      <c r="AT62" s="459">
        <f t="shared" si="6"/>
        <v>10.742105670430638</v>
      </c>
      <c r="AU62" s="459">
        <f t="shared" si="6"/>
        <v>12.851346556837843</v>
      </c>
      <c r="AW62" s="216">
        <f>(B62/Population_Tables!O36)*Population_Tables!C36</f>
        <v>197.18828819211379</v>
      </c>
      <c r="AX62" s="153" t="str">
        <f t="shared" si="7"/>
        <v>OK</v>
      </c>
      <c r="AY62" s="421">
        <f t="shared" si="4"/>
        <v>156.24782824101752</v>
      </c>
      <c r="AZ62" s="153" t="str">
        <f t="shared" si="5"/>
        <v>OK</v>
      </c>
      <c r="BB62" s="216">
        <f>(C62/Population_Tables!P36)*Population_Tables!D36</f>
        <v>21.951143960350329</v>
      </c>
      <c r="BC62" s="216">
        <f>(D62/Population_Tables!Q36)*Population_Tables!E36</f>
        <v>5.6301331322237358</v>
      </c>
      <c r="BD62" s="216">
        <f>(E62/Population_Tables!R36)*Population_Tables!F36</f>
        <v>103.40203828000462</v>
      </c>
      <c r="BE62" s="216">
        <f>(F62/Population_Tables!S36)*Population_Tables!G36</f>
        <v>21.403019062748193</v>
      </c>
      <c r="BF62" s="216">
        <f>(G62/Population_Tables!T36)*Population_Tables!H36</f>
        <v>3.861493805690638</v>
      </c>
      <c r="BG62" s="216"/>
      <c r="BN62" s="216"/>
      <c r="BO62" s="216"/>
      <c r="BP62" s="216"/>
    </row>
    <row r="63" spans="1:68" ht="15.6" x14ac:dyDescent="0.3">
      <c r="A63" s="206">
        <v>2048</v>
      </c>
      <c r="B63" s="229">
        <v>188.04074073259903</v>
      </c>
      <c r="C63" s="229">
        <v>20.699829148362895</v>
      </c>
      <c r="D63" s="229">
        <v>5.36820323560835</v>
      </c>
      <c r="E63" s="229">
        <v>98.41336849553231</v>
      </c>
      <c r="F63" s="229">
        <v>20.959388481718207</v>
      </c>
      <c r="G63" s="229">
        <v>3.6133466423691187</v>
      </c>
      <c r="H63" s="229">
        <v>44.904800277847613</v>
      </c>
      <c r="I63" s="229">
        <v>43.493103027342258</v>
      </c>
      <c r="J63" s="229">
        <v>10.166633114455308</v>
      </c>
      <c r="K63" s="229">
        <v>12.127927589718535</v>
      </c>
      <c r="M63" s="206">
        <v>2048</v>
      </c>
      <c r="N63" s="419">
        <f t="shared" si="2"/>
        <v>48.962005127727863</v>
      </c>
      <c r="O63" s="418">
        <f>(C63/Population_Tables!P37)*Population_Tables!D96</f>
        <v>0</v>
      </c>
      <c r="P63" s="418">
        <f>(D63/Population_Tables!Q37)*Population_Tables!E96</f>
        <v>0</v>
      </c>
      <c r="Q63" s="418">
        <f>((E63-H63)/Population_Tables!R37)*Population_Tables!F96</f>
        <v>33.605218540290892</v>
      </c>
      <c r="R63" s="418">
        <f>(F63/Population_Tables!S37)*Population_Tables!G96</f>
        <v>14.186637235058523</v>
      </c>
      <c r="S63" s="418">
        <f>(G63/Population_Tables!T37)*Population_Tables!H96</f>
        <v>1.1701493523784443</v>
      </c>
      <c r="T63" s="418">
        <f>(H63/Population_Tables!U37)*Population_Tables!I96</f>
        <v>0</v>
      </c>
      <c r="U63" s="418">
        <f>(I63/Population_Tables!V37)*Population_Tables!J96</f>
        <v>0</v>
      </c>
      <c r="V63" s="418">
        <f>(J63/Population_Tables!W37)*Population_Tables!K96</f>
        <v>0</v>
      </c>
      <c r="W63" s="418">
        <f>(K63/Population_Tables!X37)*Population_Tables!L96</f>
        <v>0</v>
      </c>
      <c r="Y63" s="456">
        <v>2048</v>
      </c>
      <c r="Z63" s="459">
        <f>((B63/Population_Tables!O37)*Population_Tables!C37)-N63</f>
        <v>154.7896778712884</v>
      </c>
      <c r="AA63" s="459">
        <f>((C63/Population_Tables!P37)*Population_Tables!D37)-O63</f>
        <v>22.179281021059968</v>
      </c>
      <c r="AB63" s="459">
        <f>((D63/Population_Tables!Q37)*Population_Tables!E37)-P63</f>
        <v>5.7782452997215712</v>
      </c>
      <c r="AC63" s="459">
        <f>((E63/Population_Tables!R37)*Population_Tables!F37)-Q63</f>
        <v>73.37189901740274</v>
      </c>
      <c r="AD63" s="459">
        <f>((F63/Population_Tables!S37)*Population_Tables!G37)-R63</f>
        <v>8.4052257571849047</v>
      </c>
      <c r="AE63" s="459">
        <f>((G63/Population_Tables!T37)*Population_Tables!H37)-S63</f>
        <v>2.8115811165966793</v>
      </c>
      <c r="AF63" s="459">
        <f>(H63/Population_Tables!U37)*Population_Tables!I37</f>
        <v>48.021421463434159</v>
      </c>
      <c r="AG63" s="459">
        <f>(I63/Population_Tables!V37)*Population_Tables!J37</f>
        <v>47.217199557270405</v>
      </c>
      <c r="AH63" s="459">
        <f>(J63/Population_Tables!W37)*Population_Tables!K37</f>
        <v>10.868380887137993</v>
      </c>
      <c r="AI63" s="459">
        <f>(K63/Population_Tables!X37)*Population_Tables!L37</f>
        <v>13.067456909424259</v>
      </c>
      <c r="AK63" s="456">
        <v>2048</v>
      </c>
      <c r="AL63" s="459">
        <f t="shared" si="6"/>
        <v>203.75168299901628</v>
      </c>
      <c r="AM63" s="459">
        <f t="shared" si="6"/>
        <v>22.179281021059968</v>
      </c>
      <c r="AN63" s="459">
        <f t="shared" si="6"/>
        <v>5.7782452997215712</v>
      </c>
      <c r="AO63" s="459">
        <f t="shared" si="6"/>
        <v>106.97711755769363</v>
      </c>
      <c r="AP63" s="459">
        <f t="shared" si="6"/>
        <v>22.591862992243428</v>
      </c>
      <c r="AQ63" s="459">
        <f t="shared" si="6"/>
        <v>3.9817304689751234</v>
      </c>
      <c r="AR63" s="459">
        <f t="shared" si="6"/>
        <v>48.021421463434159</v>
      </c>
      <c r="AS63" s="459">
        <f t="shared" si="6"/>
        <v>47.217199557270405</v>
      </c>
      <c r="AT63" s="459">
        <f t="shared" si="6"/>
        <v>10.868380887137993</v>
      </c>
      <c r="AU63" s="459">
        <f t="shared" si="6"/>
        <v>13.067456909424259</v>
      </c>
      <c r="AW63" s="216">
        <f>(B63/Population_Tables!O37)*Population_Tables!C37</f>
        <v>203.75168299901628</v>
      </c>
      <c r="AX63" s="153" t="str">
        <f t="shared" si="7"/>
        <v>OK</v>
      </c>
      <c r="AY63" s="421">
        <f t="shared" si="4"/>
        <v>161.50823733969372</v>
      </c>
      <c r="AZ63" s="153" t="str">
        <f t="shared" si="5"/>
        <v>OK</v>
      </c>
      <c r="BB63" s="216">
        <f>(C63/Population_Tables!P37)*Population_Tables!D37</f>
        <v>22.179281021059968</v>
      </c>
      <c r="BC63" s="216">
        <f>(D63/Population_Tables!Q37)*Population_Tables!E37</f>
        <v>5.7782452997215712</v>
      </c>
      <c r="BD63" s="216">
        <f>(E63/Population_Tables!R37)*Population_Tables!F37</f>
        <v>106.97711755769363</v>
      </c>
      <c r="BE63" s="216">
        <f>(F63/Population_Tables!S37)*Population_Tables!G37</f>
        <v>22.591862992243428</v>
      </c>
      <c r="BF63" s="216">
        <f>(G63/Population_Tables!T37)*Population_Tables!H37</f>
        <v>3.9817304689751238</v>
      </c>
      <c r="BG63" s="216"/>
      <c r="BN63" s="216"/>
      <c r="BO63" s="216"/>
      <c r="BP63" s="216"/>
    </row>
    <row r="64" spans="1:68" ht="15.6" x14ac:dyDescent="0.3">
      <c r="A64" s="206">
        <v>2049</v>
      </c>
      <c r="B64" s="229">
        <v>193.52163740604863</v>
      </c>
      <c r="C64" s="229">
        <v>20.838335845170729</v>
      </c>
      <c r="D64" s="229">
        <v>5.4882874154132395</v>
      </c>
      <c r="E64" s="229">
        <v>101.36726106391306</v>
      </c>
      <c r="F64" s="229">
        <v>22.042812258131509</v>
      </c>
      <c r="G64" s="229">
        <v>3.7083293206380303</v>
      </c>
      <c r="H64" s="229">
        <v>45.525533900870826</v>
      </c>
      <c r="I64" s="229">
        <v>45.399865181321722</v>
      </c>
      <c r="J64" s="229">
        <v>10.251578994959894</v>
      </c>
      <c r="K64" s="229">
        <v>12.292892408581306</v>
      </c>
      <c r="M64" s="206">
        <v>2049</v>
      </c>
      <c r="N64" s="419">
        <f t="shared" si="2"/>
        <v>51.555849695766241</v>
      </c>
      <c r="O64" s="418">
        <f>(C64/Population_Tables!P38)*Population_Tables!D97</f>
        <v>0</v>
      </c>
      <c r="P64" s="418">
        <f>(D64/Population_Tables!Q38)*Population_Tables!E97</f>
        <v>0</v>
      </c>
      <c r="Q64" s="418">
        <f>((E64-H64)/Population_Tables!R38)*Population_Tables!F97</f>
        <v>35.345404034203547</v>
      </c>
      <c r="R64" s="418">
        <f>(F64/Population_Tables!S38)*Population_Tables!G97</f>
        <v>15.000582271934711</v>
      </c>
      <c r="S64" s="418">
        <f>(G64/Population_Tables!T38)*Population_Tables!H97</f>
        <v>1.2098633896279847</v>
      </c>
      <c r="T64" s="418">
        <f>(H64/Population_Tables!U38)*Population_Tables!I97</f>
        <v>0</v>
      </c>
      <c r="U64" s="418">
        <f>(I64/Population_Tables!V38)*Population_Tables!J97</f>
        <v>0</v>
      </c>
      <c r="V64" s="418">
        <f>(J64/Population_Tables!W38)*Population_Tables!K97</f>
        <v>0</v>
      </c>
      <c r="W64" s="418">
        <f>(K64/Population_Tables!X38)*Population_Tables!L97</f>
        <v>0</v>
      </c>
      <c r="Y64" s="456">
        <v>2049</v>
      </c>
      <c r="Z64" s="459">
        <f>((B64/Population_Tables!O38)*Population_Tables!C38)-N64</f>
        <v>158.91305893507359</v>
      </c>
      <c r="AA64" s="459">
        <f>((C64/Population_Tables!P38)*Population_Tables!D38)-O64</f>
        <v>22.393983485732956</v>
      </c>
      <c r="AB64" s="459">
        <f>((D64/Population_Tables!Q38)*Population_Tables!E38)-P64</f>
        <v>5.9291900265056912</v>
      </c>
      <c r="AC64" s="459">
        <f>((E64/Population_Tables!R38)*Population_Tables!F38)-Q64</f>
        <v>75.28151607035457</v>
      </c>
      <c r="AD64" s="459">
        <f>((F64/Population_Tables!S38)*Population_Tables!G38)-R64</f>
        <v>8.8397308383893503</v>
      </c>
      <c r="AE64" s="459">
        <f>((G64/Population_Tables!T38)*Population_Tables!H38)-S64</f>
        <v>2.894612234379581</v>
      </c>
      <c r="AF64" s="459">
        <f>(H64/Population_Tables!U38)*Population_Tables!I38</f>
        <v>48.843510887152696</v>
      </c>
      <c r="AG64" s="459">
        <f>(I64/Population_Tables!V38)*Population_Tables!J38</f>
        <v>49.475242536977426</v>
      </c>
      <c r="AH64" s="459">
        <f>(J64/Population_Tables!W38)*Population_Tables!K38</f>
        <v>10.992607451630226</v>
      </c>
      <c r="AI64" s="459">
        <f>(K64/Population_Tables!X38)*Population_Tables!L38</f>
        <v>13.287424363903863</v>
      </c>
      <c r="AK64" s="456">
        <v>2049</v>
      </c>
      <c r="AL64" s="459">
        <f t="shared" si="6"/>
        <v>210.46890863083985</v>
      </c>
      <c r="AM64" s="459">
        <f t="shared" si="6"/>
        <v>22.393983485732956</v>
      </c>
      <c r="AN64" s="459">
        <f t="shared" si="6"/>
        <v>5.9291900265056912</v>
      </c>
      <c r="AO64" s="459">
        <f t="shared" si="6"/>
        <v>110.62692010455811</v>
      </c>
      <c r="AP64" s="459">
        <f t="shared" si="6"/>
        <v>23.840313110324061</v>
      </c>
      <c r="AQ64" s="459">
        <f t="shared" si="6"/>
        <v>4.1044756240075655</v>
      </c>
      <c r="AR64" s="459">
        <f t="shared" si="6"/>
        <v>48.843510887152696</v>
      </c>
      <c r="AS64" s="459">
        <f t="shared" si="6"/>
        <v>49.475242536977426</v>
      </c>
      <c r="AT64" s="459">
        <f t="shared" si="6"/>
        <v>10.992607451630226</v>
      </c>
      <c r="AU64" s="459">
        <f t="shared" si="6"/>
        <v>13.287424363903863</v>
      </c>
      <c r="AW64" s="216">
        <f>(B64/Population_Tables!O38)*Population_Tables!C38</f>
        <v>210.46890863083985</v>
      </c>
      <c r="AX64" s="153" t="str">
        <f t="shared" si="7"/>
        <v>OK</v>
      </c>
      <c r="AY64" s="421">
        <f t="shared" si="4"/>
        <v>166.89488235112836</v>
      </c>
      <c r="AZ64" s="153" t="str">
        <f t="shared" si="5"/>
        <v>OK</v>
      </c>
      <c r="BB64" s="216">
        <f>(C64/Population_Tables!P38)*Population_Tables!D38</f>
        <v>22.393983485732956</v>
      </c>
      <c r="BC64" s="216">
        <f>(D64/Population_Tables!Q38)*Population_Tables!E38</f>
        <v>5.9291900265056912</v>
      </c>
      <c r="BD64" s="216">
        <f>(E64/Population_Tables!R38)*Population_Tables!F38</f>
        <v>110.62692010455811</v>
      </c>
      <c r="BE64" s="216">
        <f>(F64/Population_Tables!S38)*Population_Tables!G38</f>
        <v>23.840313110324061</v>
      </c>
      <c r="BF64" s="216">
        <f>(G64/Population_Tables!T38)*Population_Tables!H38</f>
        <v>4.1044756240075655</v>
      </c>
      <c r="BG64" s="216"/>
      <c r="BN64" s="216"/>
      <c r="BO64" s="216"/>
      <c r="BP64" s="216"/>
    </row>
    <row r="65" spans="1:68" ht="16.2" thickBot="1" x14ac:dyDescent="0.35">
      <c r="A65" s="208">
        <v>2050</v>
      </c>
      <c r="B65" s="231">
        <v>199.08250058464097</v>
      </c>
      <c r="C65" s="231">
        <v>20.960459467997349</v>
      </c>
      <c r="D65" s="231">
        <v>5.609548297413431</v>
      </c>
      <c r="E65" s="231">
        <v>104.35165605660613</v>
      </c>
      <c r="F65" s="231">
        <v>23.173663287610282</v>
      </c>
      <c r="G65" s="231">
        <v>3.8042817686737314</v>
      </c>
      <c r="H65" s="231">
        <v>46.131212264936202</v>
      </c>
      <c r="I65" s="231">
        <v>47.348457151618284</v>
      </c>
      <c r="J65" s="231">
        <v>10.332979515717051</v>
      </c>
      <c r="K65" s="231">
        <v>12.459434696394238</v>
      </c>
      <c r="M65" s="208">
        <v>2050</v>
      </c>
      <c r="N65" s="419">
        <f t="shared" si="2"/>
        <v>54.252540847215869</v>
      </c>
      <c r="O65" s="418">
        <f>(C65/Population_Tables!P39)*Population_Tables!D98</f>
        <v>0</v>
      </c>
      <c r="P65" s="418">
        <f>(D65/Population_Tables!Q39)*Population_Tables!E98</f>
        <v>0</v>
      </c>
      <c r="Q65" s="418">
        <f>((E65-H65)/Population_Tables!R39)*Population_Tables!F98</f>
        <v>37.145942458935885</v>
      </c>
      <c r="R65" s="418">
        <f>(F65/Population_Tables!S39)*Population_Tables!G98</f>
        <v>15.856035464824554</v>
      </c>
      <c r="S65" s="418">
        <f>(G65/Population_Tables!T39)*Population_Tables!H98</f>
        <v>1.2505629234554345</v>
      </c>
      <c r="T65" s="418">
        <f>(H65/Population_Tables!U39)*Population_Tables!I98</f>
        <v>0</v>
      </c>
      <c r="U65" s="418">
        <f>(I65/Population_Tables!V39)*Population_Tables!J98</f>
        <v>0</v>
      </c>
      <c r="V65" s="418">
        <f>(J65/Population_Tables!W39)*Population_Tables!K98</f>
        <v>0</v>
      </c>
      <c r="W65" s="418">
        <f>(K65/Population_Tables!X39)*Population_Tables!L98</f>
        <v>0</v>
      </c>
      <c r="Y65" s="456">
        <v>2050</v>
      </c>
      <c r="Z65" s="459">
        <f>((B65/Population_Tables!O39)*Population_Tables!C39)-N65</f>
        <v>163.09166551564533</v>
      </c>
      <c r="AA65" s="459">
        <f>((C65/Population_Tables!P39)*Population_Tables!D39)-O65</f>
        <v>22.593818811207914</v>
      </c>
      <c r="AB65" s="459">
        <f>((D65/Population_Tables!Q39)*Population_Tables!E39)-P65</f>
        <v>6.0830552865321392</v>
      </c>
      <c r="AC65" s="459">
        <f>((E65/Population_Tables!R39)*Population_Tables!F39)-Q65</f>
        <v>77.207380555122427</v>
      </c>
      <c r="AD65" s="459">
        <f>((F65/Population_Tables!S39)*Population_Tables!G39)-R65</f>
        <v>9.2945216614655486</v>
      </c>
      <c r="AE65" s="459">
        <f>((G65/Population_Tables!T39)*Population_Tables!H39)-S65</f>
        <v>2.9792089147293019</v>
      </c>
      <c r="AF65" s="459">
        <f>(H65/Population_Tables!U39)*Population_Tables!I39</f>
        <v>49.659020220181745</v>
      </c>
      <c r="AG65" s="459">
        <f>(I65/Population_Tables!V39)*Population_Tables!J39</f>
        <v>51.804348911996819</v>
      </c>
      <c r="AH65" s="459">
        <f>(J65/Population_Tables!W39)*Population_Tables!K39</f>
        <v>11.114568252585592</v>
      </c>
      <c r="AI65" s="459">
        <f>(K65/Population_Tables!X39)*Population_Tables!L39</f>
        <v>13.511494283818488</v>
      </c>
      <c r="AK65" s="456">
        <v>2050</v>
      </c>
      <c r="AL65" s="459">
        <f t="shared" si="6"/>
        <v>217.3442063628612</v>
      </c>
      <c r="AM65" s="459">
        <f t="shared" si="6"/>
        <v>22.593818811207914</v>
      </c>
      <c r="AN65" s="459">
        <f t="shared" si="6"/>
        <v>6.0830552865321392</v>
      </c>
      <c r="AO65" s="459">
        <f t="shared" si="6"/>
        <v>114.3533230140583</v>
      </c>
      <c r="AP65" s="459">
        <f t="shared" si="6"/>
        <v>25.150557126290103</v>
      </c>
      <c r="AQ65" s="459">
        <f t="shared" si="6"/>
        <v>4.2297718381847362</v>
      </c>
      <c r="AR65" s="459">
        <f t="shared" si="6"/>
        <v>49.659020220181745</v>
      </c>
      <c r="AS65" s="459">
        <f t="shared" si="6"/>
        <v>51.804348911996819</v>
      </c>
      <c r="AT65" s="459">
        <f t="shared" si="6"/>
        <v>11.114568252585592</v>
      </c>
      <c r="AU65" s="459">
        <f t="shared" si="6"/>
        <v>13.511494283818488</v>
      </c>
      <c r="AW65" s="216">
        <f>(B65/Population_Tables!O39)*Population_Tables!C39</f>
        <v>217.3442063628612</v>
      </c>
      <c r="AX65" s="153" t="str">
        <f t="shared" si="7"/>
        <v>OK</v>
      </c>
      <c r="AY65" s="421">
        <f t="shared" si="4"/>
        <v>172.41052607627321</v>
      </c>
      <c r="AZ65" s="153" t="str">
        <f t="shared" si="5"/>
        <v>OK</v>
      </c>
      <c r="BB65" s="216">
        <f>(C65/Population_Tables!P39)*Population_Tables!D39</f>
        <v>22.593818811207914</v>
      </c>
      <c r="BC65" s="216">
        <f>(D65/Population_Tables!Q39)*Population_Tables!E39</f>
        <v>6.0830552865321392</v>
      </c>
      <c r="BD65" s="216">
        <f>(E65/Population_Tables!R39)*Population_Tables!F39</f>
        <v>114.35332301405832</v>
      </c>
      <c r="BE65" s="216">
        <f>(F65/Population_Tables!S39)*Population_Tables!G39</f>
        <v>25.150557126290103</v>
      </c>
      <c r="BF65" s="216">
        <f>(G65/Population_Tables!T39)*Population_Tables!H39</f>
        <v>4.2297718381847362</v>
      </c>
      <c r="BG65" s="216"/>
      <c r="BN65" s="216"/>
      <c r="BO65" s="216"/>
      <c r="BP65" s="216"/>
    </row>
    <row r="66" spans="1:68" ht="15.6" x14ac:dyDescent="0.3">
      <c r="A66" s="213">
        <v>2051</v>
      </c>
      <c r="B66" s="227">
        <v>204.72296142078423</v>
      </c>
      <c r="C66" s="227">
        <v>21.064706764710092</v>
      </c>
      <c r="D66" s="227">
        <v>5.7319852034247223</v>
      </c>
      <c r="E66" s="227">
        <v>107.36555935606575</v>
      </c>
      <c r="F66" s="227">
        <v>24.353129386839356</v>
      </c>
      <c r="G66" s="227">
        <v>3.9011627430125548</v>
      </c>
      <c r="H66" s="227">
        <v>46.721343451793857</v>
      </c>
      <c r="I66" s="227">
        <v>49.338755944276024</v>
      </c>
      <c r="J66" s="227">
        <v>10.410539174620229</v>
      </c>
      <c r="K66" s="227">
        <v>12.627550650971987</v>
      </c>
      <c r="M66" s="213">
        <v>2051</v>
      </c>
      <c r="N66" s="419">
        <f t="shared" si="2"/>
        <v>57.055421670815257</v>
      </c>
      <c r="O66" s="418">
        <f>(C66/Population_Tables!P40)*Population_Tables!D99</f>
        <v>0</v>
      </c>
      <c r="P66" s="418">
        <f>(D66/Population_Tables!Q40)*Population_Tables!E99</f>
        <v>0</v>
      </c>
      <c r="Q66" s="418">
        <f>((E66-H66)/Population_Tables!R40)*Population_Tables!F99</f>
        <v>39.008620392137423</v>
      </c>
      <c r="R66" s="418">
        <f>(F66/Population_Tables!S40)*Population_Tables!G99</f>
        <v>16.754535616343503</v>
      </c>
      <c r="S66" s="418">
        <f>(G66/Population_Tables!T40)*Population_Tables!H99</f>
        <v>1.2922656623343332</v>
      </c>
      <c r="T66" s="418">
        <f>(H66/Population_Tables!U40)*Population_Tables!I99</f>
        <v>0</v>
      </c>
      <c r="U66" s="418">
        <f>(I66/Population_Tables!V40)*Population_Tables!J99</f>
        <v>0</v>
      </c>
      <c r="V66" s="418">
        <f>(J66/Population_Tables!W40)*Population_Tables!K99</f>
        <v>0</v>
      </c>
      <c r="W66" s="418">
        <f>(K66/Population_Tables!X40)*Population_Tables!L99</f>
        <v>0</v>
      </c>
      <c r="Y66" s="456">
        <v>2051</v>
      </c>
      <c r="Z66" s="459">
        <f>((B66/Population_Tables!O40)*Population_Tables!C40)-N66</f>
        <v>167.32597412251909</v>
      </c>
      <c r="AA66" s="459">
        <f>((C66/Population_Tables!P40)*Population_Tables!D40)-O66</f>
        <v>22.777194364589349</v>
      </c>
      <c r="AB66" s="459">
        <f>((D66/Population_Tables!Q40)*Population_Tables!E40)-P66</f>
        <v>6.239929607427201</v>
      </c>
      <c r="AC66" s="459">
        <f>((E66/Population_Tables!R40)*Population_Tables!F40)-Q66</f>
        <v>79.149338957149666</v>
      </c>
      <c r="AD66" s="459">
        <f>((F66/Population_Tables!S40)*Population_Tables!G40)-R66</f>
        <v>9.7702720560686807</v>
      </c>
      <c r="AE66" s="459">
        <f>((G66/Population_Tables!T40)*Population_Tables!H40)-S66</f>
        <v>3.0653868957676553</v>
      </c>
      <c r="AF66" s="459">
        <f>(H66/Population_Tables!U40)*Population_Tables!I40</f>
        <v>50.467755703900501</v>
      </c>
      <c r="AG66" s="459">
        <f>(I66/Population_Tables!V40)*Population_Tables!J40</f>
        <v>54.206529974153035</v>
      </c>
      <c r="AH66" s="459">
        <f>(J66/Population_Tables!W40)*Population_Tables!K40</f>
        <v>11.234004718588029</v>
      </c>
      <c r="AI66" s="459">
        <f>(K66/Population_Tables!X40)*Population_Tables!L40</f>
        <v>13.73981838799136</v>
      </c>
      <c r="AK66" s="456">
        <v>2051</v>
      </c>
      <c r="AL66" s="459">
        <f t="shared" si="6"/>
        <v>224.38139579333435</v>
      </c>
      <c r="AM66" s="459">
        <f t="shared" si="6"/>
        <v>22.777194364589349</v>
      </c>
      <c r="AN66" s="459">
        <f t="shared" si="6"/>
        <v>6.239929607427201</v>
      </c>
      <c r="AO66" s="459">
        <f t="shared" si="6"/>
        <v>118.1579593492871</v>
      </c>
      <c r="AP66" s="459">
        <f t="shared" si="6"/>
        <v>26.524807672412184</v>
      </c>
      <c r="AQ66" s="459">
        <f t="shared" si="6"/>
        <v>4.3576525581019885</v>
      </c>
      <c r="AR66" s="459">
        <f t="shared" si="6"/>
        <v>50.467755703900501</v>
      </c>
      <c r="AS66" s="459">
        <f t="shared" si="6"/>
        <v>54.206529974153035</v>
      </c>
      <c r="AT66" s="459">
        <f t="shared" si="6"/>
        <v>11.234004718588029</v>
      </c>
      <c r="AU66" s="459">
        <f t="shared" si="6"/>
        <v>13.73981838799136</v>
      </c>
      <c r="AW66" s="216">
        <f>(B66/Population_Tables!O40)*Population_Tables!C40</f>
        <v>224.38139579333435</v>
      </c>
      <c r="AX66" s="153" t="str">
        <f t="shared" si="7"/>
        <v>OK</v>
      </c>
      <c r="AY66" s="421">
        <f t="shared" si="4"/>
        <v>178.05754355181782</v>
      </c>
      <c r="AZ66" s="153" t="str">
        <f t="shared" si="5"/>
        <v>OK</v>
      </c>
      <c r="BB66" s="216">
        <f>(C66/Population_Tables!P40)*Population_Tables!D40</f>
        <v>22.777194364589349</v>
      </c>
      <c r="BC66" s="216">
        <f>(D66/Population_Tables!Q40)*Population_Tables!E40</f>
        <v>6.239929607427201</v>
      </c>
      <c r="BD66" s="216">
        <f>(E66/Population_Tables!R40)*Population_Tables!F40</f>
        <v>118.15795934928708</v>
      </c>
      <c r="BE66" s="216">
        <f>(F66/Population_Tables!S40)*Population_Tables!G40</f>
        <v>26.524807672412184</v>
      </c>
      <c r="BF66" s="216">
        <f>(G66/Population_Tables!T40)*Population_Tables!H40</f>
        <v>4.3576525581019885</v>
      </c>
      <c r="BG66" s="216"/>
      <c r="BN66" s="216"/>
      <c r="BO66" s="216"/>
      <c r="BP66" s="216"/>
    </row>
    <row r="67" spans="1:68" ht="15.6" x14ac:dyDescent="0.3">
      <c r="A67" s="194">
        <v>2052</v>
      </c>
      <c r="B67" s="229">
        <v>210.4426510668865</v>
      </c>
      <c r="C67" s="229">
        <v>21.149584483176291</v>
      </c>
      <c r="D67" s="229">
        <v>5.8555974552629166</v>
      </c>
      <c r="E67" s="229">
        <v>110.4079768447462</v>
      </c>
      <c r="F67" s="229">
        <v>25.582398372503565</v>
      </c>
      <c r="G67" s="229">
        <v>3.9989310001908329</v>
      </c>
      <c r="H67" s="229">
        <v>47.295435543193875</v>
      </c>
      <c r="I67" s="229">
        <v>51.370638565339014</v>
      </c>
      <c r="J67" s="229">
        <v>10.483962469562885</v>
      </c>
      <c r="K67" s="229">
        <v>12.797236470129203</v>
      </c>
      <c r="M67" s="194">
        <v>2052</v>
      </c>
      <c r="N67" s="419">
        <f t="shared" si="2"/>
        <v>59.967611091230211</v>
      </c>
      <c r="O67" s="418">
        <f>(C67/Population_Tables!P41)*Population_Tables!D100</f>
        <v>0</v>
      </c>
      <c r="P67" s="418">
        <f>(D67/Population_Tables!Q41)*Population_Tables!E100</f>
        <v>0</v>
      </c>
      <c r="Q67" s="418">
        <f>((E67-H67)/Population_Tables!R41)*Population_Tables!F100</f>
        <v>40.934970455520201</v>
      </c>
      <c r="R67" s="418">
        <f>(F67/Population_Tables!S41)*Population_Tables!G100</f>
        <v>17.697652035768712</v>
      </c>
      <c r="S67" s="418">
        <f>(G67/Population_Tables!T41)*Population_Tables!H100</f>
        <v>1.3349885999413</v>
      </c>
      <c r="T67" s="418">
        <f>(H67/Population_Tables!U41)*Population_Tables!I100</f>
        <v>0</v>
      </c>
      <c r="U67" s="418">
        <f>(I67/Population_Tables!V41)*Population_Tables!J100</f>
        <v>0</v>
      </c>
      <c r="V67" s="418">
        <f>(J67/Population_Tables!W41)*Population_Tables!K100</f>
        <v>0</v>
      </c>
      <c r="W67" s="418">
        <f>(K67/Population_Tables!X41)*Population_Tables!L100</f>
        <v>0</v>
      </c>
      <c r="Y67" s="456">
        <v>2052</v>
      </c>
      <c r="Z67" s="459">
        <f>((B67/Population_Tables!O41)*Population_Tables!C41)-N67</f>
        <v>171.61617166780263</v>
      </c>
      <c r="AA67" s="459">
        <f>((C67/Population_Tables!P41)*Population_Tables!D41)-O67</f>
        <v>22.942445823719815</v>
      </c>
      <c r="AB67" s="459">
        <f>((D67/Population_Tables!Q41)*Population_Tables!E41)-P67</f>
        <v>6.3998979057890786</v>
      </c>
      <c r="AC67" s="459">
        <f>((E67/Population_Tables!R41)*Population_Tables!F41)-Q67</f>
        <v>81.107082284833382</v>
      </c>
      <c r="AD67" s="459">
        <f>((F67/Population_Tables!S41)*Population_Tables!G41)-R67</f>
        <v>10.267636459902647</v>
      </c>
      <c r="AE67" s="459">
        <f>((G67/Population_Tables!T41)*Population_Tables!H41)-S67</f>
        <v>3.1531567677462453</v>
      </c>
      <c r="AF67" s="459">
        <f>(H67/Population_Tables!U41)*Population_Tables!I41</f>
        <v>51.269478489489529</v>
      </c>
      <c r="AG67" s="459">
        <f>(I67/Population_Tables!V41)*Population_Tables!J41</f>
        <v>56.683451411667114</v>
      </c>
      <c r="AH67" s="459">
        <f>(J67/Population_Tables!W41)*Population_Tables!K41</f>
        <v>11.35063330409859</v>
      </c>
      <c r="AI67" s="459">
        <f>(K67/Population_Tables!X41)*Population_Tables!L41</f>
        <v>13.972511252779633</v>
      </c>
      <c r="AK67" s="456">
        <v>2052</v>
      </c>
      <c r="AL67" s="459">
        <f t="shared" si="6"/>
        <v>231.58378275903283</v>
      </c>
      <c r="AM67" s="459">
        <f t="shared" si="6"/>
        <v>22.942445823719815</v>
      </c>
      <c r="AN67" s="459">
        <f t="shared" si="6"/>
        <v>6.3998979057890786</v>
      </c>
      <c r="AO67" s="459">
        <f t="shared" si="6"/>
        <v>122.04205274035358</v>
      </c>
      <c r="AP67" s="459">
        <f t="shared" si="6"/>
        <v>27.965288495671359</v>
      </c>
      <c r="AQ67" s="459">
        <f t="shared" si="6"/>
        <v>4.4881453676875456</v>
      </c>
      <c r="AR67" s="459">
        <f t="shared" si="6"/>
        <v>51.269478489489529</v>
      </c>
      <c r="AS67" s="459">
        <f t="shared" si="6"/>
        <v>56.683451411667114</v>
      </c>
      <c r="AT67" s="459">
        <f t="shared" si="6"/>
        <v>11.35063330409859</v>
      </c>
      <c r="AU67" s="459">
        <f t="shared" si="6"/>
        <v>13.972511252779633</v>
      </c>
      <c r="AW67" s="216">
        <f>(B67/Population_Tables!O41)*Population_Tables!C41</f>
        <v>231.58378275903283</v>
      </c>
      <c r="AX67" s="153" t="str">
        <f t="shared" si="7"/>
        <v>OK</v>
      </c>
      <c r="AY67" s="421">
        <f t="shared" si="4"/>
        <v>183.83783033322138</v>
      </c>
      <c r="AZ67" s="153" t="str">
        <f t="shared" si="5"/>
        <v>OK</v>
      </c>
      <c r="BB67" s="216">
        <f>(C67/Population_Tables!P41)*Population_Tables!D41</f>
        <v>22.942445823719815</v>
      </c>
      <c r="BC67" s="216">
        <f>(D67/Population_Tables!Q41)*Population_Tables!E41</f>
        <v>6.3998979057890786</v>
      </c>
      <c r="BD67" s="216">
        <f>(E67/Population_Tables!R41)*Population_Tables!F41</f>
        <v>122.04205274035358</v>
      </c>
      <c r="BE67" s="216">
        <f>(F67/Population_Tables!S41)*Population_Tables!G41</f>
        <v>27.965288495671359</v>
      </c>
      <c r="BF67" s="216">
        <f>(G67/Population_Tables!T41)*Population_Tables!H41</f>
        <v>4.4881453676875456</v>
      </c>
      <c r="BG67" s="216"/>
      <c r="BN67" s="216"/>
      <c r="BO67" s="216"/>
      <c r="BP67" s="216"/>
    </row>
    <row r="68" spans="1:68" ht="15.6" x14ac:dyDescent="0.3">
      <c r="A68" s="194">
        <v>2053</v>
      </c>
      <c r="B68" s="229">
        <v>216.24120067535594</v>
      </c>
      <c r="C68" s="229">
        <v>21.213599371263282</v>
      </c>
      <c r="D68" s="229">
        <v>5.9803843747438146</v>
      </c>
      <c r="E68" s="229">
        <v>113.47791440510173</v>
      </c>
      <c r="F68" s="229">
        <v>26.862658061287746</v>
      </c>
      <c r="G68" s="229">
        <v>4.0975452967448982</v>
      </c>
      <c r="H68" s="229">
        <v>47.852996620886358</v>
      </c>
      <c r="I68" s="229">
        <v>53.44398202085133</v>
      </c>
      <c r="J68" s="229">
        <v>10.552953898438467</v>
      </c>
      <c r="K68" s="229">
        <v>12.968488351680538</v>
      </c>
      <c r="M68" s="194">
        <v>2053</v>
      </c>
      <c r="N68" s="419">
        <f t="shared" si="2"/>
        <v>62.992049127336429</v>
      </c>
      <c r="O68" s="418">
        <f>(C68/Population_Tables!P42)*Population_Tables!D101</f>
        <v>0</v>
      </c>
      <c r="P68" s="418">
        <f>(D68/Population_Tables!Q42)*Population_Tables!E101</f>
        <v>0</v>
      </c>
      <c r="Q68" s="418">
        <f>((E68-H68)/Population_Tables!R42)*Population_Tables!F101</f>
        <v>42.926322716305627</v>
      </c>
      <c r="R68" s="418">
        <f>(F68/Population_Tables!S42)*Population_Tables!G101</f>
        <v>18.686979547167788</v>
      </c>
      <c r="S68" s="418">
        <f>(G68/Population_Tables!T42)*Population_Tables!H101</f>
        <v>1.3787468638630116</v>
      </c>
      <c r="T68" s="418">
        <f>(H68/Population_Tables!U42)*Population_Tables!I101</f>
        <v>0</v>
      </c>
      <c r="U68" s="418">
        <f>(I68/Population_Tables!V42)*Population_Tables!J101</f>
        <v>0</v>
      </c>
      <c r="V68" s="418">
        <f>(J68/Population_Tables!W42)*Population_Tables!K101</f>
        <v>0</v>
      </c>
      <c r="W68" s="418">
        <f>(K68/Population_Tables!X42)*Population_Tables!L101</f>
        <v>0</v>
      </c>
      <c r="Y68" s="456">
        <v>2053</v>
      </c>
      <c r="Z68" s="459">
        <f>((B68/Population_Tables!O42)*Population_Tables!C42)-N68</f>
        <v>175.96240246321446</v>
      </c>
      <c r="AA68" s="459">
        <f>((C68/Population_Tables!P42)*Population_Tables!D42)-O68</f>
        <v>23.087979735929213</v>
      </c>
      <c r="AB68" s="459">
        <f>((D68/Population_Tables!Q42)*Population_Tables!E42)-P68</f>
        <v>6.5630486543811575</v>
      </c>
      <c r="AC68" s="459">
        <f>((E68/Population_Tables!R42)*Population_Tables!F42)-Q68</f>
        <v>83.080218495133039</v>
      </c>
      <c r="AD68" s="459">
        <f>((F68/Population_Tables!S42)*Population_Tables!G42)-R68</f>
        <v>10.787252545464572</v>
      </c>
      <c r="AE68" s="459">
        <f>((G68/Population_Tables!T42)*Population_Tables!H42)-S68</f>
        <v>3.2425310698925713</v>
      </c>
      <c r="AF68" s="459">
        <f>(H68/Population_Tables!U42)*Population_Tables!I42</f>
        <v>52.063825116957773</v>
      </c>
      <c r="AG68" s="459">
        <f>(I68/Population_Tables!V42)*Population_Tables!J42</f>
        <v>59.236589713049923</v>
      </c>
      <c r="AH68" s="459">
        <f>(J68/Population_Tables!W42)*Population_Tables!K42</f>
        <v>11.464212633808396</v>
      </c>
      <c r="AI68" s="459">
        <f>(K68/Population_Tables!X42)*Population_Tables!L42</f>
        <v>14.209736499166324</v>
      </c>
      <c r="AK68" s="456">
        <v>2053</v>
      </c>
      <c r="AL68" s="459">
        <f t="shared" si="6"/>
        <v>238.95445159055089</v>
      </c>
      <c r="AM68" s="459">
        <f t="shared" si="6"/>
        <v>23.087979735929213</v>
      </c>
      <c r="AN68" s="459">
        <f t="shared" si="6"/>
        <v>6.5630486543811575</v>
      </c>
      <c r="AO68" s="459">
        <f t="shared" si="6"/>
        <v>126.00654121143867</v>
      </c>
      <c r="AP68" s="459">
        <f t="shared" si="6"/>
        <v>29.474232092632359</v>
      </c>
      <c r="AQ68" s="459">
        <f t="shared" si="6"/>
        <v>4.6212779337555832</v>
      </c>
      <c r="AR68" s="459">
        <f t="shared" si="6"/>
        <v>52.063825116957773</v>
      </c>
      <c r="AS68" s="459">
        <f t="shared" si="6"/>
        <v>59.236589713049923</v>
      </c>
      <c r="AT68" s="459">
        <f t="shared" si="6"/>
        <v>11.464212633808396</v>
      </c>
      <c r="AU68" s="459">
        <f t="shared" si="6"/>
        <v>14.209736499166324</v>
      </c>
      <c r="AW68" s="216">
        <f>(B68/Population_Tables!O42)*Population_Tables!C42</f>
        <v>238.95445159055089</v>
      </c>
      <c r="AX68" s="153" t="str">
        <f t="shared" si="7"/>
        <v>OK</v>
      </c>
      <c r="AY68" s="421">
        <f t="shared" si="4"/>
        <v>189.75307962813696</v>
      </c>
      <c r="AZ68" s="153" t="b">
        <f t="shared" si="5"/>
        <v>0</v>
      </c>
      <c r="BB68" s="216">
        <f>(C68/Population_Tables!P42)*Population_Tables!D42</f>
        <v>23.087979735929213</v>
      </c>
      <c r="BC68" s="216">
        <f>(D68/Population_Tables!Q42)*Population_Tables!E42</f>
        <v>6.5630486543811575</v>
      </c>
      <c r="BD68" s="216">
        <f>(E68/Population_Tables!R42)*Population_Tables!F42</f>
        <v>126.00654121143866</v>
      </c>
      <c r="BE68" s="216">
        <f>(F68/Population_Tables!S42)*Population_Tables!G42</f>
        <v>29.474232092632359</v>
      </c>
      <c r="BF68" s="216">
        <f>(G68/Population_Tables!T42)*Population_Tables!H42</f>
        <v>4.6212779337555832</v>
      </c>
      <c r="BG68" s="216"/>
      <c r="BN68" s="216"/>
      <c r="BO68" s="216"/>
      <c r="BP68" s="216"/>
    </row>
    <row r="69" spans="1:68" ht="15.6" x14ac:dyDescent="0.3">
      <c r="A69" s="194">
        <v>2054</v>
      </c>
      <c r="B69" s="229">
        <v>222.11824139860073</v>
      </c>
      <c r="C69" s="229">
        <v>21.255258176838407</v>
      </c>
      <c r="D69" s="229">
        <v>6.1063452836832148</v>
      </c>
      <c r="E69" s="229">
        <v>116.57437791958661</v>
      </c>
      <c r="F69" s="229">
        <v>28.195096269876739</v>
      </c>
      <c r="G69" s="229">
        <v>4.1969643892110833</v>
      </c>
      <c r="H69" s="229">
        <v>48.393534766621421</v>
      </c>
      <c r="I69" s="229">
        <v>55.558663316857043</v>
      </c>
      <c r="J69" s="229">
        <v>10.617217959140429</v>
      </c>
      <c r="K69" s="229">
        <v>13.141302493440646</v>
      </c>
      <c r="M69" s="194">
        <v>2054</v>
      </c>
      <c r="N69" s="419">
        <f t="shared" si="2"/>
        <v>66.13146067731455</v>
      </c>
      <c r="O69" s="418">
        <f>(C69/Population_Tables!P43)*Population_Tables!D102</f>
        <v>0</v>
      </c>
      <c r="P69" s="418">
        <f>(D69/Population_Tables!Q43)*Population_Tables!E102</f>
        <v>0</v>
      </c>
      <c r="Q69" s="418">
        <f>((E69-H69)/Population_Tables!R43)*Population_Tables!F102</f>
        <v>44.983766456634278</v>
      </c>
      <c r="R69" s="418">
        <f>(F69/Population_Tables!S43)*Population_Tables!G102</f>
        <v>19.724140860892074</v>
      </c>
      <c r="S69" s="418">
        <f>(G69/Population_Tables!T43)*Population_Tables!H102</f>
        <v>1.4235533597882009</v>
      </c>
      <c r="T69" s="418">
        <f>(H69/Population_Tables!U43)*Population_Tables!I102</f>
        <v>0</v>
      </c>
      <c r="U69" s="418">
        <f>(I69/Population_Tables!V43)*Population_Tables!J102</f>
        <v>0</v>
      </c>
      <c r="V69" s="418">
        <f>(J69/Population_Tables!W43)*Population_Tables!K102</f>
        <v>0</v>
      </c>
      <c r="W69" s="418">
        <f>(K69/Population_Tables!X43)*Population_Tables!L102</f>
        <v>0</v>
      </c>
      <c r="Y69" s="456">
        <v>2054</v>
      </c>
      <c r="Z69" s="459">
        <f>((B69/Population_Tables!O43)*Population_Tables!C43)-N69</f>
        <v>180.36463884704119</v>
      </c>
      <c r="AA69" s="459">
        <f>((C69/Population_Tables!P43)*Population_Tables!D43)-O69</f>
        <v>23.212164466666074</v>
      </c>
      <c r="AB69" s="459">
        <f>((D69/Population_Tables!Q43)*Population_Tables!E43)-P69</f>
        <v>6.7294714266148112</v>
      </c>
      <c r="AC69" s="459">
        <f>((E69/Population_Tables!R43)*Population_Tables!F43)-Q69</f>
        <v>85.068252079847639</v>
      </c>
      <c r="AD69" s="459">
        <f>((F69/Population_Tables!S43)*Population_Tables!G43)-R69</f>
        <v>11.329741036912047</v>
      </c>
      <c r="AE69" s="459">
        <f>((G69/Population_Tables!T43)*Population_Tables!H43)-S69</f>
        <v>3.333517760743244</v>
      </c>
      <c r="AF69" s="459">
        <f>(H69/Population_Tables!U43)*Population_Tables!I43</f>
        <v>52.85035369828006</v>
      </c>
      <c r="AG69" s="459">
        <f>(I69/Population_Tables!V43)*Population_Tables!J43</f>
        <v>61.867146297901847</v>
      </c>
      <c r="AH69" s="459">
        <f>(J69/Population_Tables!W43)*Population_Tables!K43</f>
        <v>11.57449365358595</v>
      </c>
      <c r="AI69" s="459">
        <f>(K69/Population_Tables!X43)*Population_Tables!L43</f>
        <v>14.451650854921304</v>
      </c>
      <c r="AK69" s="456">
        <v>2054</v>
      </c>
      <c r="AL69" s="459">
        <f t="shared" ref="AL69:AU75" si="8">Z69+N69</f>
        <v>246.49609952435574</v>
      </c>
      <c r="AM69" s="459">
        <f t="shared" si="8"/>
        <v>23.212164466666074</v>
      </c>
      <c r="AN69" s="459">
        <f t="shared" si="8"/>
        <v>6.7294714266148112</v>
      </c>
      <c r="AO69" s="459">
        <f t="shared" si="8"/>
        <v>130.05201853648191</v>
      </c>
      <c r="AP69" s="459">
        <f t="shared" si="8"/>
        <v>31.053881897804121</v>
      </c>
      <c r="AQ69" s="459">
        <f t="shared" si="8"/>
        <v>4.7570711205314451</v>
      </c>
      <c r="AR69" s="459">
        <f t="shared" si="8"/>
        <v>52.85035369828006</v>
      </c>
      <c r="AS69" s="459">
        <f t="shared" si="8"/>
        <v>61.867146297901847</v>
      </c>
      <c r="AT69" s="459">
        <f t="shared" si="8"/>
        <v>11.57449365358595</v>
      </c>
      <c r="AU69" s="459">
        <f t="shared" si="8"/>
        <v>14.451650854921304</v>
      </c>
      <c r="AW69" s="216">
        <f>(B69/Population_Tables!O43)*Population_Tables!C43</f>
        <v>246.49609952435574</v>
      </c>
      <c r="AX69" s="153" t="str">
        <f t="shared" si="7"/>
        <v>OK</v>
      </c>
      <c r="AY69" s="421">
        <f t="shared" si="4"/>
        <v>195.80460744809835</v>
      </c>
      <c r="AZ69" s="153" t="str">
        <f t="shared" si="5"/>
        <v>OK</v>
      </c>
      <c r="BB69" s="216">
        <f>(C69/Population_Tables!P43)*Population_Tables!D43</f>
        <v>23.212164466666074</v>
      </c>
      <c r="BC69" s="216">
        <f>(D69/Population_Tables!Q43)*Population_Tables!E43</f>
        <v>6.7294714266148112</v>
      </c>
      <c r="BD69" s="216">
        <f>(E69/Population_Tables!R43)*Population_Tables!F43</f>
        <v>130.05201853648191</v>
      </c>
      <c r="BE69" s="216">
        <f>(F69/Population_Tables!S43)*Population_Tables!G43</f>
        <v>31.053881897804121</v>
      </c>
      <c r="BF69" s="216">
        <f>(G69/Population_Tables!T43)*Population_Tables!H43</f>
        <v>4.7570711205314451</v>
      </c>
      <c r="BG69" s="216"/>
      <c r="BN69" s="216"/>
      <c r="BO69" s="216"/>
      <c r="BP69" s="216"/>
    </row>
    <row r="70" spans="1:68" ht="15.6" x14ac:dyDescent="0.3">
      <c r="A70" s="194">
        <v>2055</v>
      </c>
      <c r="B70" s="229">
        <v>228.07340438902898</v>
      </c>
      <c r="C70" s="229">
        <v>21.273067647768997</v>
      </c>
      <c r="D70" s="229">
        <v>6.2334795038969197</v>
      </c>
      <c r="E70" s="229">
        <v>119.69637327065512</v>
      </c>
      <c r="F70" s="229">
        <v>29.58090081495537</v>
      </c>
      <c r="G70" s="229">
        <v>4.2971470341257199</v>
      </c>
      <c r="H70" s="229">
        <v>48.916558062149143</v>
      </c>
      <c r="I70" s="229">
        <v>57.71455945940022</v>
      </c>
      <c r="J70" s="229">
        <v>10.676459149562227</v>
      </c>
      <c r="K70" s="229">
        <v>13.315675093224177</v>
      </c>
      <c r="M70" s="194">
        <v>2055</v>
      </c>
      <c r="N70" s="419">
        <f t="shared" si="2"/>
        <v>69.388567739555839</v>
      </c>
      <c r="O70" s="418">
        <f>(C70/Population_Tables!P44)*Population_Tables!D103</f>
        <v>0</v>
      </c>
      <c r="P70" s="418">
        <f>(D70/Population_Tables!Q44)*Population_Tables!E103</f>
        <v>0</v>
      </c>
      <c r="Q70" s="418">
        <f>((E70-H70)/Population_Tables!R44)*Population_Tables!F103</f>
        <v>47.108372006090008</v>
      </c>
      <c r="R70" s="418">
        <f>(F70/Population_Tables!S44)*Population_Tables!G103</f>
        <v>20.81077471884419</v>
      </c>
      <c r="S70" s="418">
        <f>(G70/Population_Tables!T44)*Population_Tables!H103</f>
        <v>1.4694210146216449</v>
      </c>
      <c r="T70" s="418">
        <f>(H70/Population_Tables!U44)*Population_Tables!I103</f>
        <v>0</v>
      </c>
      <c r="U70" s="418">
        <f>(I70/Population_Tables!V44)*Population_Tables!J103</f>
        <v>0</v>
      </c>
      <c r="V70" s="418">
        <f>(J70/Population_Tables!W44)*Population_Tables!K103</f>
        <v>0</v>
      </c>
      <c r="W70" s="418">
        <f>(K70/Population_Tables!X44)*Population_Tables!L103</f>
        <v>0</v>
      </c>
      <c r="Y70" s="456">
        <v>2055</v>
      </c>
      <c r="Z70" s="459">
        <f>((B70/Population_Tables!O44)*Population_Tables!C44)-N70</f>
        <v>184.82278692243364</v>
      </c>
      <c r="AA70" s="459">
        <f>((C70/Population_Tables!P44)*Population_Tables!D44)-O70</f>
        <v>23.313289230921001</v>
      </c>
      <c r="AB70" s="459">
        <f>((D70/Population_Tables!Q44)*Population_Tables!E44)-P70</f>
        <v>6.8992558896147473</v>
      </c>
      <c r="AC70" s="459">
        <f>((E70/Population_Tables!R44)*Population_Tables!F44)-Q70</f>
        <v>87.070667011978941</v>
      </c>
      <c r="AD70" s="459">
        <f>((F70/Population_Tables!S44)*Population_Tables!G44)-R70</f>
        <v>11.895737711944914</v>
      </c>
      <c r="AE70" s="459">
        <f>((G70/Population_Tables!T44)*Population_Tables!H44)-S70</f>
        <v>3.426124007785055</v>
      </c>
      <c r="AF70" s="459">
        <f>(H70/Population_Tables!U44)*Population_Tables!I44</f>
        <v>53.628608251516319</v>
      </c>
      <c r="AG70" s="459">
        <f>(I70/Population_Tables!V44)*Population_Tables!J44</f>
        <v>64.576292337324418</v>
      </c>
      <c r="AH70" s="459">
        <f>(J70/Population_Tables!W44)*Population_Tables!K44</f>
        <v>11.681208027859709</v>
      </c>
      <c r="AI70" s="459">
        <f>(K70/Population_Tables!X44)*Population_Tables!L44</f>
        <v>14.698387969183562</v>
      </c>
      <c r="AK70" s="456">
        <v>2055</v>
      </c>
      <c r="AL70" s="459">
        <f t="shared" si="8"/>
        <v>254.21135466198947</v>
      </c>
      <c r="AM70" s="459">
        <f t="shared" si="8"/>
        <v>23.313289230921001</v>
      </c>
      <c r="AN70" s="459">
        <f t="shared" si="8"/>
        <v>6.8992558896147473</v>
      </c>
      <c r="AO70" s="459">
        <f t="shared" si="8"/>
        <v>134.17903901806895</v>
      </c>
      <c r="AP70" s="459">
        <f t="shared" si="8"/>
        <v>32.706512430789104</v>
      </c>
      <c r="AQ70" s="459">
        <f t="shared" si="8"/>
        <v>4.8955450224066999</v>
      </c>
      <c r="AR70" s="459">
        <f t="shared" si="8"/>
        <v>53.628608251516319</v>
      </c>
      <c r="AS70" s="459">
        <f t="shared" si="8"/>
        <v>64.576292337324418</v>
      </c>
      <c r="AT70" s="459">
        <f t="shared" si="8"/>
        <v>11.681208027859709</v>
      </c>
      <c r="AU70" s="459">
        <f t="shared" si="8"/>
        <v>14.698387969183562</v>
      </c>
      <c r="AW70" s="216">
        <f>(B70/Population_Tables!O44)*Population_Tables!C44</f>
        <v>254.21135466198947</v>
      </c>
      <c r="AX70" s="153" t="str">
        <f t="shared" si="7"/>
        <v>OK</v>
      </c>
      <c r="AY70" s="421">
        <f t="shared" si="4"/>
        <v>201.9936415918005</v>
      </c>
      <c r="AZ70" s="153" t="str">
        <f t="shared" si="5"/>
        <v>OK</v>
      </c>
      <c r="BB70" s="216">
        <f>(C70/Population_Tables!P44)*Population_Tables!D44</f>
        <v>23.313289230921001</v>
      </c>
      <c r="BC70" s="216">
        <f>(D70/Population_Tables!Q44)*Population_Tables!E44</f>
        <v>6.8992558896147473</v>
      </c>
      <c r="BD70" s="216">
        <f>(E70/Population_Tables!R44)*Population_Tables!F44</f>
        <v>134.17903901806895</v>
      </c>
      <c r="BE70" s="216">
        <f>(F70/Population_Tables!S44)*Population_Tables!G44</f>
        <v>32.706512430789104</v>
      </c>
      <c r="BF70" s="216">
        <f>(G70/Population_Tables!T44)*Population_Tables!H44</f>
        <v>4.8955450224066999</v>
      </c>
      <c r="BG70" s="216"/>
      <c r="BN70" s="216"/>
      <c r="BO70" s="216"/>
      <c r="BP70" s="216"/>
    </row>
    <row r="71" spans="1:68" ht="15.6" x14ac:dyDescent="0.3">
      <c r="A71" s="194">
        <v>2056</v>
      </c>
      <c r="B71" s="229">
        <v>234.1063207990488</v>
      </c>
      <c r="C71" s="229">
        <v>21.265534531922384</v>
      </c>
      <c r="D71" s="229">
        <v>6.361786357200728</v>
      </c>
      <c r="E71" s="229">
        <v>122.8429063407615</v>
      </c>
      <c r="F71" s="229">
        <v>31.021259513208481</v>
      </c>
      <c r="G71" s="229">
        <v>4.3980519880251414</v>
      </c>
      <c r="H71" s="229">
        <v>49.421574589219631</v>
      </c>
      <c r="I71" s="229">
        <v>59.911547454524943</v>
      </c>
      <c r="J71" s="229">
        <v>10.730381967597308</v>
      </c>
      <c r="K71" s="229">
        <v>13.491602348845785</v>
      </c>
      <c r="M71" s="194">
        <v>2056</v>
      </c>
      <c r="N71" s="419">
        <f t="shared" si="2"/>
        <v>72.766518794198873</v>
      </c>
      <c r="O71" s="418">
        <f>(C71/Population_Tables!P45)*Population_Tables!D104</f>
        <v>0</v>
      </c>
      <c r="P71" s="418">
        <f>(D71/Population_Tables!Q45)*Population_Tables!E104</f>
        <v>0</v>
      </c>
      <c r="Q71" s="418">
        <f>((E71-H71)/Population_Tables!R45)*Population_Tables!F104</f>
        <v>49.301596030667433</v>
      </c>
      <c r="R71" s="418">
        <f>(F71/Population_Tables!S45)*Population_Tables!G104</f>
        <v>21.94855815375902</v>
      </c>
      <c r="S71" s="418">
        <f>(G71/Population_Tables!T45)*Population_Tables!H104</f>
        <v>1.5163646097724175</v>
      </c>
      <c r="T71" s="418">
        <f>(H71/Population_Tables!U45)*Population_Tables!I104</f>
        <v>0</v>
      </c>
      <c r="U71" s="418">
        <f>(I71/Population_Tables!V45)*Population_Tables!J104</f>
        <v>0</v>
      </c>
      <c r="V71" s="418">
        <f>(J71/Population_Tables!W45)*Population_Tables!K104</f>
        <v>0</v>
      </c>
      <c r="W71" s="418">
        <f>(K71/Population_Tables!X45)*Population_Tables!L104</f>
        <v>0</v>
      </c>
      <c r="Y71" s="456">
        <v>2056</v>
      </c>
      <c r="Z71" s="459">
        <f>((B71/Population_Tables!O45)*Population_Tables!C45)-N71</f>
        <v>189.33694182370647</v>
      </c>
      <c r="AA71" s="459">
        <f>((C71/Population_Tables!P45)*Population_Tables!D45)-O71</f>
        <v>23.389545692590193</v>
      </c>
      <c r="AB71" s="459">
        <f>((D71/Population_Tables!Q45)*Population_Tables!E45)-P71</f>
        <v>7.0724944511646193</v>
      </c>
      <c r="AC71" s="459">
        <f>((E71/Population_Tables!R45)*Population_Tables!F45)-Q71</f>
        <v>89.087104998698976</v>
      </c>
      <c r="AD71" s="459">
        <f>((F71/Population_Tables!S45)*Population_Tables!G45)-R71</f>
        <v>12.485930570745342</v>
      </c>
      <c r="AE71" s="459">
        <f>((G71/Population_Tables!T45)*Population_Tables!H45)-S71</f>
        <v>3.5203626564016242</v>
      </c>
      <c r="AF71" s="459">
        <f>(H71/Population_Tables!U45)*Population_Tables!I45</f>
        <v>54.398207918334741</v>
      </c>
      <c r="AG71" s="459">
        <f>(I71/Population_Tables!V45)*Population_Tables!J45</f>
        <v>67.365673104655187</v>
      </c>
      <c r="AH71" s="459">
        <f>(J71/Population_Tables!W45)*Population_Tables!K45</f>
        <v>11.784056021888063</v>
      </c>
      <c r="AI71" s="459">
        <f>(K71/Population_Tables!X45)*Population_Tables!L45</f>
        <v>14.950069603589579</v>
      </c>
      <c r="AK71" s="456">
        <v>2056</v>
      </c>
      <c r="AL71" s="459">
        <f t="shared" si="8"/>
        <v>262.10346061790534</v>
      </c>
      <c r="AM71" s="459">
        <f t="shared" si="8"/>
        <v>23.389545692590193</v>
      </c>
      <c r="AN71" s="459">
        <f t="shared" si="8"/>
        <v>7.0724944511646193</v>
      </c>
      <c r="AO71" s="459">
        <f t="shared" si="8"/>
        <v>138.38870102936642</v>
      </c>
      <c r="AP71" s="459">
        <f t="shared" si="8"/>
        <v>34.434488724504362</v>
      </c>
      <c r="AQ71" s="459">
        <f t="shared" si="8"/>
        <v>5.0367272661740419</v>
      </c>
      <c r="AR71" s="459">
        <f t="shared" si="8"/>
        <v>54.398207918334741</v>
      </c>
      <c r="AS71" s="459">
        <f t="shared" si="8"/>
        <v>67.365673104655187</v>
      </c>
      <c r="AT71" s="459">
        <f t="shared" si="8"/>
        <v>11.784056021888063</v>
      </c>
      <c r="AU71" s="459">
        <f t="shared" si="8"/>
        <v>14.950069603589579</v>
      </c>
      <c r="AW71" s="216">
        <f>(B71/Population_Tables!O45)*Population_Tables!C45</f>
        <v>262.10346061790534</v>
      </c>
      <c r="AX71" s="153" t="str">
        <f t="shared" si="7"/>
        <v>OK</v>
      </c>
      <c r="AY71" s="421">
        <f t="shared" si="4"/>
        <v>208.32195716379962</v>
      </c>
      <c r="AZ71" s="153" t="str">
        <f t="shared" si="5"/>
        <v>OK</v>
      </c>
      <c r="BB71" s="216">
        <f>(C71/Population_Tables!P45)*Population_Tables!D45</f>
        <v>23.389545692590193</v>
      </c>
      <c r="BC71" s="216">
        <f>(D71/Population_Tables!Q45)*Population_Tables!E45</f>
        <v>7.0724944511646193</v>
      </c>
      <c r="BD71" s="216">
        <f>(E71/Population_Tables!R45)*Population_Tables!F45</f>
        <v>138.38870102936642</v>
      </c>
      <c r="BE71" s="216">
        <f>(F71/Population_Tables!S45)*Population_Tables!G45</f>
        <v>34.434488724504362</v>
      </c>
      <c r="BF71" s="216">
        <f>(G71/Population_Tables!T45)*Population_Tables!H45</f>
        <v>5.0367272661740419</v>
      </c>
      <c r="BG71" s="216"/>
      <c r="BN71" s="216"/>
      <c r="BO71" s="216"/>
      <c r="BP71" s="216"/>
    </row>
    <row r="72" spans="1:68" ht="15.6" x14ac:dyDescent="0.3">
      <c r="A72" s="194">
        <v>2057</v>
      </c>
      <c r="B72" s="229">
        <v>240.21662178106837</v>
      </c>
      <c r="C72" s="229">
        <v>21.231165577165918</v>
      </c>
      <c r="D72" s="229">
        <v>6.4912651654104412</v>
      </c>
      <c r="E72" s="229">
        <v>126.01298301236004</v>
      </c>
      <c r="F72" s="229">
        <v>32.517360181320903</v>
      </c>
      <c r="G72" s="229">
        <v>4.4996380074456805</v>
      </c>
      <c r="H72" s="229">
        <v>49.908092429582979</v>
      </c>
      <c r="I72" s="229">
        <v>62.149504308275283</v>
      </c>
      <c r="J72" s="229">
        <v>10.778690911139128</v>
      </c>
      <c r="K72" s="229">
        <v>13.669080458120121</v>
      </c>
      <c r="M72" s="194">
        <v>2057</v>
      </c>
      <c r="N72" s="419">
        <f t="shared" si="2"/>
        <v>76.26833223753863</v>
      </c>
      <c r="O72" s="418">
        <f>(C72/Population_Tables!P46)*Population_Tables!D105</f>
        <v>0</v>
      </c>
      <c r="P72" s="418">
        <f>(D72/Population_Tables!Q46)*Population_Tables!E105</f>
        <v>0</v>
      </c>
      <c r="Q72" s="418">
        <f>((E72-H72)/Population_Tables!R46)*Population_Tables!F105</f>
        <v>51.564774329517817</v>
      </c>
      <c r="R72" s="418">
        <f>(F72/Population_Tables!S46)*Population_Tables!G105</f>
        <v>23.139160325181596</v>
      </c>
      <c r="S72" s="418">
        <f>(G72/Population_Tables!T46)*Population_Tables!H105</f>
        <v>1.5643975828392245</v>
      </c>
      <c r="T72" s="418">
        <f>(H72/Population_Tables!U46)*Population_Tables!I105</f>
        <v>0</v>
      </c>
      <c r="U72" s="418">
        <f>(I72/Population_Tables!V46)*Population_Tables!J105</f>
        <v>0</v>
      </c>
      <c r="V72" s="418">
        <f>(J72/Population_Tables!W46)*Population_Tables!K105</f>
        <v>0</v>
      </c>
      <c r="W72" s="418">
        <f>(K72/Population_Tables!X46)*Population_Tables!L105</f>
        <v>0</v>
      </c>
      <c r="Y72" s="456">
        <v>2057</v>
      </c>
      <c r="Z72" s="459">
        <f>((B72/Population_Tables!O46)*Population_Tables!C46)-N72</f>
        <v>193.90692231641356</v>
      </c>
      <c r="AA72" s="459">
        <f>((C72/Population_Tables!P46)*Population_Tables!D46)-O72</f>
        <v>23.439001988095974</v>
      </c>
      <c r="AB72" s="459">
        <f>((D72/Population_Tables!Q46)*Population_Tables!E46)-P72</f>
        <v>7.2492788703109472</v>
      </c>
      <c r="AC72" s="459">
        <f>((E72/Population_Tables!R46)*Population_Tables!F46)-Q72</f>
        <v>91.117067810084549</v>
      </c>
      <c r="AD72" s="459">
        <f>((F72/Population_Tables!S46)*Population_Tables!G46)-R72</f>
        <v>13.101026354491136</v>
      </c>
      <c r="AE72" s="459">
        <f>((G72/Population_Tables!T46)*Population_Tables!H46)-S72</f>
        <v>3.6162405705933631</v>
      </c>
      <c r="AF72" s="459">
        <f>(H72/Population_Tables!U46)*Population_Tables!I46</f>
        <v>55.158744105467889</v>
      </c>
      <c r="AG72" s="459">
        <f>(I72/Population_Tables!V46)*Population_Tables!J46</f>
        <v>70.236743591090871</v>
      </c>
      <c r="AH72" s="459">
        <f>(J72/Population_Tables!W46)*Population_Tables!K46</f>
        <v>11.882702846409183</v>
      </c>
      <c r="AI72" s="459">
        <f>(K72/Population_Tables!X46)*Population_Tables!L46</f>
        <v>15.206765123245235</v>
      </c>
      <c r="AK72" s="456">
        <v>2057</v>
      </c>
      <c r="AL72" s="459">
        <f t="shared" si="8"/>
        <v>270.17525455395219</v>
      </c>
      <c r="AM72" s="459">
        <f t="shared" si="8"/>
        <v>23.439001988095974</v>
      </c>
      <c r="AN72" s="459">
        <f t="shared" si="8"/>
        <v>7.2492788703109472</v>
      </c>
      <c r="AO72" s="459">
        <f t="shared" si="8"/>
        <v>142.68184213960237</v>
      </c>
      <c r="AP72" s="459">
        <f t="shared" si="8"/>
        <v>36.240186679672732</v>
      </c>
      <c r="AQ72" s="459">
        <f t="shared" si="8"/>
        <v>5.1806381534325876</v>
      </c>
      <c r="AR72" s="459">
        <f t="shared" si="8"/>
        <v>55.158744105467889</v>
      </c>
      <c r="AS72" s="459">
        <f t="shared" si="8"/>
        <v>70.236743591090871</v>
      </c>
      <c r="AT72" s="459">
        <f t="shared" si="8"/>
        <v>11.882702846409183</v>
      </c>
      <c r="AU72" s="459">
        <f t="shared" si="8"/>
        <v>15.206765123245235</v>
      </c>
      <c r="AW72" s="216">
        <f>(B72/Population_Tables!O46)*Population_Tables!C46</f>
        <v>270.17525455395219</v>
      </c>
      <c r="AX72" s="153" t="str">
        <f t="shared" si="7"/>
        <v>OK</v>
      </c>
      <c r="AY72" s="421">
        <f t="shared" si="4"/>
        <v>214.79094783111464</v>
      </c>
      <c r="AZ72" s="153" t="str">
        <f t="shared" si="5"/>
        <v>OK</v>
      </c>
      <c r="BB72" s="216">
        <f>(C72/Population_Tables!P46)*Population_Tables!D46</f>
        <v>23.439001988095974</v>
      </c>
      <c r="BC72" s="216">
        <f>(D72/Population_Tables!Q46)*Population_Tables!E46</f>
        <v>7.2492788703109472</v>
      </c>
      <c r="BD72" s="216">
        <f>(E72/Population_Tables!R46)*Population_Tables!F46</f>
        <v>142.68184213960237</v>
      </c>
      <c r="BE72" s="216">
        <f>(F72/Population_Tables!S46)*Population_Tables!G46</f>
        <v>36.240186679672732</v>
      </c>
      <c r="BF72" s="216">
        <f>(G72/Population_Tables!T46)*Population_Tables!H46</f>
        <v>5.1806381534325876</v>
      </c>
      <c r="BG72" s="216"/>
      <c r="BN72" s="216"/>
      <c r="BO72" s="216"/>
      <c r="BP72" s="216"/>
    </row>
    <row r="73" spans="1:68" ht="15.6" x14ac:dyDescent="0.3">
      <c r="A73" s="194">
        <v>2058</v>
      </c>
      <c r="B73" s="229">
        <v>246.40393848749582</v>
      </c>
      <c r="C73" s="229">
        <v>21.168467531366922</v>
      </c>
      <c r="D73" s="229">
        <v>6.6219152503418606</v>
      </c>
      <c r="E73" s="229">
        <v>129.20560916790498</v>
      </c>
      <c r="F73" s="229">
        <v>34.070390635977475</v>
      </c>
      <c r="G73" s="229">
        <v>4.6018638489236672</v>
      </c>
      <c r="H73" s="229">
        <v>50.375619664989287</v>
      </c>
      <c r="I73" s="229">
        <v>64.428307026695322</v>
      </c>
      <c r="J73" s="229">
        <v>10.821090478081139</v>
      </c>
      <c r="K73" s="229">
        <v>13.848105618861837</v>
      </c>
      <c r="M73" s="194">
        <v>2058</v>
      </c>
      <c r="N73" s="419">
        <f t="shared" si="2"/>
        <v>79.896271257751295</v>
      </c>
      <c r="O73" s="418">
        <f>(C73/Population_Tables!P47)*Population_Tables!D106</f>
        <v>0</v>
      </c>
      <c r="P73" s="418">
        <f>(D73/Population_Tables!Q47)*Population_Tables!E106</f>
        <v>0</v>
      </c>
      <c r="Q73" s="418">
        <f>((E73-H73)/Population_Tables!R47)*Population_Tables!F106</f>
        <v>53.898538045525783</v>
      </c>
      <c r="R73" s="418">
        <f>(F73/Population_Tables!S47)*Population_Tables!G106</f>
        <v>24.384205925866095</v>
      </c>
      <c r="S73" s="418">
        <f>(G73/Population_Tables!T47)*Population_Tables!H106</f>
        <v>1.613527286359421</v>
      </c>
      <c r="T73" s="418">
        <f>(H73/Population_Tables!U47)*Population_Tables!I106</f>
        <v>0</v>
      </c>
      <c r="U73" s="418">
        <f>(I73/Population_Tables!V47)*Population_Tables!J106</f>
        <v>0</v>
      </c>
      <c r="V73" s="418">
        <f>(J73/Population_Tables!W47)*Population_Tables!K106</f>
        <v>0</v>
      </c>
      <c r="W73" s="418">
        <f>(K73/Population_Tables!X47)*Population_Tables!L106</f>
        <v>0</v>
      </c>
      <c r="Y73" s="456">
        <v>2058</v>
      </c>
      <c r="Z73" s="459">
        <f>((B73/Population_Tables!O47)*Population_Tables!C47)-N73</f>
        <v>198.53189721168209</v>
      </c>
      <c r="AA73" s="459">
        <f>((C73/Population_Tables!P47)*Population_Tables!D47)-O73</f>
        <v>23.459593334886694</v>
      </c>
      <c r="AB73" s="459">
        <f>((D73/Population_Tables!Q47)*Population_Tables!E47)-P73</f>
        <v>7.4296774434139969</v>
      </c>
      <c r="AC73" s="459">
        <f>((E73/Population_Tables!R47)*Population_Tables!F47)-Q73</f>
        <v>93.159683420286882</v>
      </c>
      <c r="AD73" s="459">
        <f>((F73/Population_Tables!S47)*Population_Tables!G47)-R73</f>
        <v>13.741708230655032</v>
      </c>
      <c r="AE73" s="459">
        <f>((G73/Population_Tables!T47)*Population_Tables!H47)-S73</f>
        <v>3.7137511704848354</v>
      </c>
      <c r="AF73" s="459">
        <f>(H73/Population_Tables!U47)*Population_Tables!I47</f>
        <v>55.909647713167232</v>
      </c>
      <c r="AG73" s="459">
        <f>(I73/Population_Tables!V47)*Population_Tables!J47</f>
        <v>73.190064357460329</v>
      </c>
      <c r="AH73" s="459">
        <f>(J73/Population_Tables!W47)*Population_Tables!K47</f>
        <v>11.976761195890703</v>
      </c>
      <c r="AI73" s="459">
        <f>(K73/Population_Tables!X47)*Population_Tables!L47</f>
        <v>15.468473636732014</v>
      </c>
      <c r="AK73" s="456">
        <v>2058</v>
      </c>
      <c r="AL73" s="459">
        <f t="shared" si="8"/>
        <v>278.42816846943339</v>
      </c>
      <c r="AM73" s="459">
        <f t="shared" si="8"/>
        <v>23.459593334886694</v>
      </c>
      <c r="AN73" s="459">
        <f t="shared" si="8"/>
        <v>7.4296774434139969</v>
      </c>
      <c r="AO73" s="459">
        <f t="shared" si="8"/>
        <v>147.05822146581266</v>
      </c>
      <c r="AP73" s="459">
        <f t="shared" si="8"/>
        <v>38.125914156521127</v>
      </c>
      <c r="AQ73" s="459">
        <f t="shared" si="8"/>
        <v>5.3272784568442564</v>
      </c>
      <c r="AR73" s="459">
        <f t="shared" si="8"/>
        <v>55.909647713167232</v>
      </c>
      <c r="AS73" s="459">
        <f t="shared" si="8"/>
        <v>73.190064357460329</v>
      </c>
      <c r="AT73" s="459">
        <f t="shared" si="8"/>
        <v>11.976761195890703</v>
      </c>
      <c r="AU73" s="459">
        <f t="shared" si="8"/>
        <v>15.468473636732014</v>
      </c>
      <c r="AW73" s="216">
        <f>(B73/Population_Tables!O47)*Population_Tables!C47</f>
        <v>278.42816846943339</v>
      </c>
      <c r="AX73" s="153" t="str">
        <f t="shared" si="7"/>
        <v>OK</v>
      </c>
      <c r="AY73" s="421">
        <f t="shared" si="4"/>
        <v>221.40068485747875</v>
      </c>
      <c r="AZ73" s="153" t="str">
        <f t="shared" si="5"/>
        <v>OK</v>
      </c>
      <c r="BB73" s="216">
        <f>(C73/Population_Tables!P47)*Population_Tables!D47</f>
        <v>23.459593334886694</v>
      </c>
      <c r="BC73" s="216">
        <f>(D73/Population_Tables!Q47)*Population_Tables!E47</f>
        <v>7.4296774434139969</v>
      </c>
      <c r="BD73" s="216">
        <f>(E73/Population_Tables!R47)*Population_Tables!F47</f>
        <v>147.05822146581266</v>
      </c>
      <c r="BE73" s="216">
        <f>(F73/Population_Tables!S47)*Population_Tables!G47</f>
        <v>38.125914156521127</v>
      </c>
      <c r="BF73" s="216">
        <f>(G73/Population_Tables!T47)*Population_Tables!H47</f>
        <v>5.3272784568442564</v>
      </c>
      <c r="BG73" s="216"/>
      <c r="BN73" s="216"/>
      <c r="BO73" s="216"/>
      <c r="BP73" s="216"/>
    </row>
    <row r="74" spans="1:68" ht="15.6" x14ac:dyDescent="0.3">
      <c r="A74" s="194">
        <v>2059</v>
      </c>
      <c r="B74" s="229">
        <v>252.6679020707393</v>
      </c>
      <c r="C74" s="229">
        <v>21.075947142392739</v>
      </c>
      <c r="D74" s="229">
        <v>6.7537359338107841</v>
      </c>
      <c r="E74" s="229">
        <v>132.41979068985054</v>
      </c>
      <c r="F74" s="229">
        <v>35.681538693863025</v>
      </c>
      <c r="G74" s="229">
        <v>4.7046882689954366</v>
      </c>
      <c r="H74" s="229">
        <v>50.823664377188663</v>
      </c>
      <c r="I74" s="229">
        <v>66.747832615829111</v>
      </c>
      <c r="J74" s="229">
        <v>10.857285166316792</v>
      </c>
      <c r="K74" s="229">
        <v>14.028674028885586</v>
      </c>
      <c r="M74" s="194">
        <v>2059</v>
      </c>
      <c r="N74" s="419">
        <f t="shared" si="2"/>
        <v>83.652200279540978</v>
      </c>
      <c r="O74" s="418">
        <f>(C74/Population_Tables!P48)*Population_Tables!D107</f>
        <v>0</v>
      </c>
      <c r="P74" s="418">
        <f>(D74/Population_Tables!Q48)*Population_Tables!E107</f>
        <v>0</v>
      </c>
      <c r="Q74" s="418">
        <f>((E74-H74)/Population_Tables!R48)*Population_Tables!F107</f>
        <v>56.303147176682863</v>
      </c>
      <c r="R74" s="418">
        <f>(F74/Population_Tables!S48)*Population_Tables!G107</f>
        <v>25.685296091485384</v>
      </c>
      <c r="S74" s="418">
        <f>(G74/Population_Tables!T48)*Population_Tables!H107</f>
        <v>1.6637570113727305</v>
      </c>
      <c r="T74" s="418">
        <f>(H74/Population_Tables!U48)*Population_Tables!I107</f>
        <v>0</v>
      </c>
      <c r="U74" s="418">
        <f>(I74/Population_Tables!V48)*Population_Tables!J107</f>
        <v>0</v>
      </c>
      <c r="V74" s="418">
        <f>(J74/Population_Tables!W48)*Population_Tables!K107</f>
        <v>0</v>
      </c>
      <c r="W74" s="418">
        <f>(K74/Population_Tables!X48)*Population_Tables!L107</f>
        <v>0</v>
      </c>
      <c r="Y74" s="456">
        <v>2059</v>
      </c>
      <c r="Z74" s="459">
        <f>((B74/Population_Tables!O48)*Population_Tables!C48)-N74</f>
        <v>203.21071235630217</v>
      </c>
      <c r="AA74" s="459">
        <f>((C74/Population_Tables!P48)*Population_Tables!D48)-O74</f>
        <v>23.449146043146218</v>
      </c>
      <c r="AB74" s="459">
        <f>((D74/Population_Tables!Q48)*Population_Tables!E48)-P74</f>
        <v>7.6137512318752734</v>
      </c>
      <c r="AC74" s="459">
        <f>((E74/Population_Tables!R48)*Population_Tables!F48)-Q74</f>
        <v>95.213894718040109</v>
      </c>
      <c r="AD74" s="459">
        <f>((F74/Population_Tables!S48)*Population_Tables!G48)-R74</f>
        <v>14.408661491696442</v>
      </c>
      <c r="AE74" s="459">
        <f>((G74/Population_Tables!T48)*Population_Tables!H48)-S74</f>
        <v>3.812881562635126</v>
      </c>
      <c r="AF74" s="459">
        <f>(H74/Population_Tables!U48)*Population_Tables!I48</f>
        <v>56.650260423758397</v>
      </c>
      <c r="AG74" s="459">
        <f>(I74/Population_Tables!V48)*Population_Tables!J48</f>
        <v>76.225731954614218</v>
      </c>
      <c r="AH74" s="459">
        <f>(J74/Population_Tables!W48)*Population_Tables!K48</f>
        <v>12.065810630918902</v>
      </c>
      <c r="AI74" s="459">
        <f>(K74/Population_Tables!X48)*Population_Tables!L48</f>
        <v>15.735144124556012</v>
      </c>
      <c r="AK74" s="456">
        <v>2059</v>
      </c>
      <c r="AL74" s="459">
        <f t="shared" si="8"/>
        <v>286.86291263584314</v>
      </c>
      <c r="AM74" s="459">
        <f t="shared" si="8"/>
        <v>23.449146043146218</v>
      </c>
      <c r="AN74" s="459">
        <f t="shared" si="8"/>
        <v>7.6137512318752734</v>
      </c>
      <c r="AO74" s="459">
        <f t="shared" si="8"/>
        <v>151.51704189472298</v>
      </c>
      <c r="AP74" s="459">
        <f t="shared" si="8"/>
        <v>40.093957583181826</v>
      </c>
      <c r="AQ74" s="459">
        <f t="shared" si="8"/>
        <v>5.4766385740078567</v>
      </c>
      <c r="AR74" s="459">
        <f t="shared" si="8"/>
        <v>56.650260423758397</v>
      </c>
      <c r="AS74" s="459">
        <f t="shared" si="8"/>
        <v>76.225731954614218</v>
      </c>
      <c r="AT74" s="459">
        <f t="shared" si="8"/>
        <v>12.065810630918902</v>
      </c>
      <c r="AU74" s="459">
        <f t="shared" si="8"/>
        <v>15.735144124556012</v>
      </c>
      <c r="AW74" s="216">
        <f>(B74/Population_Tables!O48)*Population_Tables!C48</f>
        <v>286.86291263584314</v>
      </c>
      <c r="AX74" s="153" t="str">
        <f t="shared" si="7"/>
        <v>OK</v>
      </c>
      <c r="AY74" s="421">
        <f t="shared" si="4"/>
        <v>228.15053532693418</v>
      </c>
      <c r="AZ74" s="153" t="str">
        <f t="shared" si="5"/>
        <v>OK</v>
      </c>
      <c r="BB74" s="216">
        <f>(C74/Population_Tables!P48)*Population_Tables!D48</f>
        <v>23.449146043146218</v>
      </c>
      <c r="BC74" s="216">
        <f>(D74/Population_Tables!Q48)*Population_Tables!E48</f>
        <v>7.6137512318752734</v>
      </c>
      <c r="BD74" s="216">
        <f>(E74/Population_Tables!R48)*Population_Tables!F48</f>
        <v>151.51704189472298</v>
      </c>
      <c r="BE74" s="216">
        <f>(F74/Population_Tables!S48)*Population_Tables!G48</f>
        <v>40.093957583181826</v>
      </c>
      <c r="BF74" s="216">
        <f>(G74/Population_Tables!T48)*Population_Tables!H48</f>
        <v>5.4766385740078567</v>
      </c>
      <c r="BG74" s="216"/>
      <c r="BN74" s="216"/>
      <c r="BO74" s="216"/>
      <c r="BP74" s="216"/>
    </row>
    <row r="75" spans="1:68" ht="15.6" x14ac:dyDescent="0.3">
      <c r="A75" s="194">
        <v>2060</v>
      </c>
      <c r="B75" s="229">
        <v>259.00814368320698</v>
      </c>
      <c r="C75" s="229">
        <v>20.952111158110711</v>
      </c>
      <c r="D75" s="229">
        <v>6.8867265376330149</v>
      </c>
      <c r="E75" s="229">
        <v>135.65453346065109</v>
      </c>
      <c r="F75" s="229">
        <v>37.351992171662388</v>
      </c>
      <c r="G75" s="229">
        <v>4.8080700241973195</v>
      </c>
      <c r="H75" s="229">
        <v>51.251734647931187</v>
      </c>
      <c r="I75" s="229">
        <v>69.107958081720767</v>
      </c>
      <c r="J75" s="229">
        <v>10.886979473739542</v>
      </c>
      <c r="K75" s="229">
        <v>14.210781886006021</v>
      </c>
      <c r="M75" s="194">
        <v>2060</v>
      </c>
      <c r="N75" s="419">
        <f t="shared" si="2"/>
        <v>87.538081819184157</v>
      </c>
      <c r="O75" s="418">
        <f>(C75/Population_Tables!P49)*Population_Tables!D108</f>
        <v>0</v>
      </c>
      <c r="P75" s="418">
        <f>(D75/Population_Tables!Q49)*Population_Tables!E108</f>
        <v>0</v>
      </c>
      <c r="Q75" s="418">
        <f>((E75-H75)/Population_Tables!R49)*Population_Tables!F108</f>
        <v>58.778920896331222</v>
      </c>
      <c r="R75" s="418">
        <f>(F75/Population_Tables!S49)*Population_Tables!G108</f>
        <v>27.044069040810978</v>
      </c>
      <c r="S75" s="418">
        <f>(G75/Population_Tables!T49)*Population_Tables!H108</f>
        <v>1.7150918820419543</v>
      </c>
      <c r="T75" s="418">
        <f>(H75/Population_Tables!U49)*Population_Tables!I108</f>
        <v>0</v>
      </c>
      <c r="U75" s="418">
        <f>(I75/Population_Tables!V49)*Population_Tables!J108</f>
        <v>0</v>
      </c>
      <c r="V75" s="418">
        <f>(J75/Population_Tables!W49)*Population_Tables!K108</f>
        <v>0</v>
      </c>
      <c r="W75" s="418">
        <f>(K75/Population_Tables!X49)*Population_Tables!L108</f>
        <v>0</v>
      </c>
      <c r="Y75" s="456">
        <v>2060</v>
      </c>
      <c r="Z75" s="459">
        <f>((B75/Population_Tables!O49)*Population_Tables!C49)-N75</f>
        <v>207.9423314855454</v>
      </c>
      <c r="AA75" s="459">
        <f>((C75/Population_Tables!P49)*Population_Tables!D49)-O75</f>
        <v>23.405441122730689</v>
      </c>
      <c r="AB75" s="459">
        <f>((D75/Population_Tables!Q49)*Population_Tables!E49)-P75</f>
        <v>7.8015627387599382</v>
      </c>
      <c r="AC75" s="459">
        <f>((E75/Population_Tables!R49)*Population_Tables!F49)-Q75</f>
        <v>97.278727246555206</v>
      </c>
      <c r="AD75" s="459">
        <f>((F75/Population_Tables!S49)*Population_Tables!G49)-R75</f>
        <v>15.102589760379562</v>
      </c>
      <c r="AE75" s="459">
        <f>((G75/Population_Tables!T49)*Population_Tables!H49)-S75</f>
        <v>3.9136193720351411</v>
      </c>
      <c r="AF75" s="459">
        <f>(H75/Population_Tables!U49)*Population_Tables!I49</f>
        <v>57.37991138881754</v>
      </c>
      <c r="AG75" s="459">
        <f>(I75/Population_Tables!V49)*Population_Tables!J49</f>
        <v>79.343965981595602</v>
      </c>
      <c r="AH75" s="459">
        <f>(J75/Population_Tables!W49)*Population_Tables!K49</f>
        <v>12.149418159722883</v>
      </c>
      <c r="AI75" s="459">
        <f>(K75/Population_Tables!X49)*Population_Tables!L49</f>
        <v>16.006729775379242</v>
      </c>
      <c r="AK75" s="456">
        <v>2060</v>
      </c>
      <c r="AL75" s="459">
        <f t="shared" si="8"/>
        <v>295.48041330472955</v>
      </c>
      <c r="AM75" s="459">
        <f t="shared" si="8"/>
        <v>23.405441122730689</v>
      </c>
      <c r="AN75" s="459">
        <f t="shared" si="8"/>
        <v>7.8015627387599382</v>
      </c>
      <c r="AO75" s="459">
        <f t="shared" si="8"/>
        <v>156.05764814288642</v>
      </c>
      <c r="AP75" s="459">
        <f t="shared" si="8"/>
        <v>42.14665880119054</v>
      </c>
      <c r="AQ75" s="459">
        <f t="shared" si="8"/>
        <v>5.6287112540770954</v>
      </c>
      <c r="AR75" s="459">
        <f t="shared" si="8"/>
        <v>57.37991138881754</v>
      </c>
      <c r="AS75" s="459">
        <f t="shared" si="8"/>
        <v>79.343965981595602</v>
      </c>
      <c r="AT75" s="459">
        <f t="shared" si="8"/>
        <v>12.149418159722883</v>
      </c>
      <c r="AU75" s="459">
        <f t="shared" si="8"/>
        <v>16.006729775379242</v>
      </c>
      <c r="AW75" s="216">
        <f>(B75/Population_Tables!O49)*Population_Tables!C49</f>
        <v>295.48041330472955</v>
      </c>
      <c r="AX75" s="153" t="str">
        <f t="shared" si="7"/>
        <v>OK</v>
      </c>
      <c r="AY75" s="421">
        <f t="shared" si="4"/>
        <v>235.04002205964468</v>
      </c>
      <c r="AZ75" s="153" t="str">
        <f t="shared" si="5"/>
        <v>OK</v>
      </c>
      <c r="BB75" s="216">
        <f>(C75/Population_Tables!P49)*Population_Tables!D49</f>
        <v>23.405441122730689</v>
      </c>
      <c r="BC75" s="216">
        <f>(D75/Population_Tables!Q49)*Population_Tables!E49</f>
        <v>7.8015627387599382</v>
      </c>
      <c r="BD75" s="216">
        <f>(E75/Population_Tables!R49)*Population_Tables!F49</f>
        <v>156.05764814288642</v>
      </c>
      <c r="BE75" s="216">
        <f>(F75/Population_Tables!S49)*Population_Tables!G49</f>
        <v>42.14665880119054</v>
      </c>
      <c r="BF75" s="216">
        <f>(G75/Population_Tables!T49)*Population_Tables!H49</f>
        <v>5.6287112540770954</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Commercial Lighting by Economic Development Status Petalumen hours (Plmh)</v>
      </c>
      <c r="B78" s="644"/>
      <c r="C78" s="644"/>
      <c r="D78" s="644"/>
      <c r="E78" s="644"/>
      <c r="F78" s="645"/>
      <c r="H78" s="650" t="str">
        <f>CONCATENATE("Table 5: Total REF1 ",C1," by Economic Development Status ",D1)</f>
        <v>Table 5: Total REF1 Commercial Lighting by Economic Development Status Petalumen hours (Plmh)</v>
      </c>
      <c r="I78" s="651"/>
      <c r="J78" s="651"/>
      <c r="K78" s="651"/>
      <c r="L78" s="651"/>
      <c r="M78" s="651"/>
      <c r="N78" s="651"/>
      <c r="O78" s="651"/>
      <c r="P78" s="651"/>
      <c r="Q78" s="651"/>
      <c r="R78" s="651"/>
      <c r="S78" s="651"/>
      <c r="T78" s="652"/>
      <c r="W78" s="653" t="str">
        <f>CONCATENATE("Table 6: Change in ",C1," by MDC vs. LLDC Regions, REF1-REF2 ",D1)</f>
        <v>Table 6: Change in Commercial Lighting by MDC vs. LLDC Regions, REF1-REF2 Petalumen hours (Plmh)</v>
      </c>
      <c r="X78" s="654"/>
      <c r="Y78" s="654"/>
      <c r="Z78" s="654"/>
      <c r="AA78" s="654"/>
      <c r="AB78" s="654"/>
      <c r="AC78" s="654"/>
      <c r="AD78" s="655"/>
    </row>
    <row r="79" spans="1:68" ht="105" customHeight="1" x14ac:dyDescent="0.25">
      <c r="A79" s="213"/>
      <c r="B79" s="530" t="s">
        <v>368</v>
      </c>
      <c r="C79" s="463" t="s">
        <v>10</v>
      </c>
      <c r="D79" s="463" t="s">
        <v>514</v>
      </c>
      <c r="E79" s="463" t="str">
        <f>Q79</f>
        <v>Total Commercial Lighting Demand in Countries with Higher Educational Attainment (TWh)</v>
      </c>
      <c r="F79" s="463" t="str">
        <f>R79</f>
        <v xml:space="preserve"> --&gt; % LLDC</v>
      </c>
      <c r="H79" s="472"/>
      <c r="I79" s="473" t="s">
        <v>488</v>
      </c>
      <c r="J79" s="473" t="s">
        <v>490</v>
      </c>
      <c r="K79" s="473" t="s">
        <v>10</v>
      </c>
      <c r="L79" s="473" t="s">
        <v>489</v>
      </c>
      <c r="M79" s="473" t="s">
        <v>475</v>
      </c>
      <c r="O79" s="473" t="s">
        <v>613</v>
      </c>
      <c r="P79" s="473" t="s">
        <v>502</v>
      </c>
      <c r="Q79" s="473" t="s">
        <v>612</v>
      </c>
      <c r="R79" s="473" t="s">
        <v>502</v>
      </c>
      <c r="S79" s="473" t="s">
        <v>611</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9.3384215028825324</v>
      </c>
      <c r="C80" s="195">
        <f t="shared" ref="C80:C126" si="9">H29</f>
        <v>17.439282369233027</v>
      </c>
      <c r="D80" s="195">
        <f t="shared" ref="D80:D126" si="10">SUMIF($AA$27:$AE$27,"N",C29:G29)-(IF($AC$27="N",H29))</f>
        <v>17.891363490609677</v>
      </c>
      <c r="E80" s="195">
        <f t="shared" ref="E80:E126" si="11">B80+D80+C80</f>
        <v>44.669067362725237</v>
      </c>
      <c r="F80" s="196">
        <f t="shared" ref="F80:F126" si="12">B80/E80</f>
        <v>0.20905790190450935</v>
      </c>
      <c r="H80" s="194">
        <v>2014</v>
      </c>
      <c r="I80" s="195">
        <f t="shared" ref="I80:I126" si="13">SUMIF($O$27:$S$27,"Y",O29:S29)-T29</f>
        <v>4.9961561685611677</v>
      </c>
      <c r="J80" s="195">
        <f t="shared" ref="J80:J126" si="14">SUMIF($O$27:$S$27,"N",O29:S29)-(IF($Q$27="N",T29))</f>
        <v>0.33437631566371989</v>
      </c>
      <c r="K80" s="195">
        <f t="shared" ref="K80:K126" si="15">AF29</f>
        <v>17.439282369233027</v>
      </c>
      <c r="L80" s="195">
        <f t="shared" ref="L80:L126" si="16">SUMIF($AA$27:$AE$27,"Y",AA29:AE29)-AF29</f>
        <v>4.3421941454270687</v>
      </c>
      <c r="M80" s="195">
        <f t="shared" ref="M80:M126" si="17">SUMIF($AA$27:$AE$27,"N",AA29:AE29)-(IF($AC$27="N",AF29))</f>
        <v>17.556987174945959</v>
      </c>
      <c r="O80" s="195">
        <f t="shared" ref="O80:O126" si="18">I80+J80</f>
        <v>5.3305324842248876</v>
      </c>
      <c r="P80" s="196">
        <f t="shared" ref="P80:P126" si="19">I80/O80</f>
        <v>0.9372714983628242</v>
      </c>
      <c r="Q80" s="195">
        <f t="shared" ref="Q80:Q126" si="20">L80+M80+K80</f>
        <v>39.338463689606058</v>
      </c>
      <c r="R80" s="196">
        <f t="shared" ref="R80:R126" si="21">L80/Q80</f>
        <v>0.11038036919002396</v>
      </c>
      <c r="S80" s="464">
        <f t="shared" ref="S80:S126" si="22">Q80+O80</f>
        <v>44.668996173830948</v>
      </c>
      <c r="T80" s="196">
        <f>O80/S80</f>
        <v>0.1193340558511979</v>
      </c>
      <c r="W80" s="197">
        <v>0</v>
      </c>
      <c r="X80" s="195">
        <f t="shared" ref="X80:X126" si="23">K80-C80</f>
        <v>0</v>
      </c>
      <c r="Y80" s="197">
        <v>0</v>
      </c>
      <c r="Z80" s="195">
        <f>(Q80+O80)-E80</f>
        <v>-7.1188894288809479E-5</v>
      </c>
      <c r="AA80" s="196">
        <v>0</v>
      </c>
      <c r="AB80" s="196">
        <f t="shared" ref="AB80:AB126" si="24">(W80/Z80)*(I80/(L80+I80))</f>
        <v>0</v>
      </c>
      <c r="AC80" s="196">
        <f>W80/Z80</f>
        <v>0</v>
      </c>
      <c r="AD80" s="247">
        <f>(X80+Y80)/Z80</f>
        <v>0</v>
      </c>
      <c r="AF80" s="251">
        <f t="shared" ref="AF80:AF126" si="25">I80/(I80+L80)</f>
        <v>0.53501485814654581</v>
      </c>
      <c r="AG80" s="251">
        <f t="shared" ref="AG80:AG126" si="26">L80/(L80+I80)</f>
        <v>0.46498514185345419</v>
      </c>
    </row>
    <row r="81" spans="1:33" x14ac:dyDescent="0.25">
      <c r="A81" s="194">
        <v>2015</v>
      </c>
      <c r="B81" s="195">
        <f t="shared" ref="B81:B126" si="27">SUMIF($AA$27:$AE$27,"Y",C30:G30)-H30</f>
        <v>9.3979103542286282</v>
      </c>
      <c r="C81" s="195">
        <f t="shared" si="9"/>
        <v>19.194195388345928</v>
      </c>
      <c r="D81" s="195">
        <f t="shared" si="10"/>
        <v>20.074430376092689</v>
      </c>
      <c r="E81" s="195">
        <f t="shared" si="11"/>
        <v>48.666536118667246</v>
      </c>
      <c r="F81" s="196">
        <f t="shared" si="12"/>
        <v>0.1931082650162938</v>
      </c>
      <c r="H81" s="194">
        <v>2015</v>
      </c>
      <c r="I81" s="195">
        <f t="shared" si="13"/>
        <v>5.0481141268423873</v>
      </c>
      <c r="J81" s="195">
        <f t="shared" si="14"/>
        <v>0.34397857395551923</v>
      </c>
      <c r="K81" s="195">
        <f t="shared" si="15"/>
        <v>19.194195388345928</v>
      </c>
      <c r="L81" s="195">
        <f t="shared" si="16"/>
        <v>4.3497208694595599</v>
      </c>
      <c r="M81" s="195">
        <f t="shared" si="17"/>
        <v>19.730451802137168</v>
      </c>
      <c r="O81" s="195">
        <f t="shared" si="18"/>
        <v>5.3920927007979067</v>
      </c>
      <c r="P81" s="196">
        <f t="shared" si="19"/>
        <v>0.93620685083833621</v>
      </c>
      <c r="Q81" s="195">
        <f t="shared" si="20"/>
        <v>43.27436805994266</v>
      </c>
      <c r="R81" s="196">
        <f t="shared" si="21"/>
        <v>0.10051494832771277</v>
      </c>
      <c r="S81" s="464">
        <f t="shared" si="22"/>
        <v>48.666460760740563</v>
      </c>
      <c r="T81" s="196">
        <f t="shared" ref="T81:T126" si="28">O81/S81</f>
        <v>0.11079689413428088</v>
      </c>
      <c r="W81" s="197">
        <v>0</v>
      </c>
      <c r="X81" s="195">
        <f t="shared" si="23"/>
        <v>0</v>
      </c>
      <c r="Y81" s="197">
        <v>0</v>
      </c>
      <c r="Z81" s="195">
        <f>W81+X81+Y81</f>
        <v>0</v>
      </c>
      <c r="AA81" s="196">
        <v>0</v>
      </c>
      <c r="AB81" s="196" t="e">
        <f t="shared" si="24"/>
        <v>#DIV/0!</v>
      </c>
      <c r="AC81" s="196" t="e">
        <f>W81/Z81</f>
        <v>#DIV/0!</v>
      </c>
      <c r="AD81" s="247" t="e">
        <f t="shared" ref="AD81:AD126" si="29">(X81+Y81)/Z81</f>
        <v>#DIV/0!</v>
      </c>
      <c r="AF81" s="251">
        <f t="shared" si="25"/>
        <v>0.53715713553481448</v>
      </c>
      <c r="AG81" s="251">
        <f t="shared" si="26"/>
        <v>0.46284286446518558</v>
      </c>
    </row>
    <row r="82" spans="1:33" x14ac:dyDescent="0.25">
      <c r="A82" s="194">
        <v>2016</v>
      </c>
      <c r="B82" s="195">
        <f t="shared" si="27"/>
        <v>10.130621532153803</v>
      </c>
      <c r="C82" s="195">
        <f t="shared" si="9"/>
        <v>20.035786418782706</v>
      </c>
      <c r="D82" s="195">
        <f t="shared" si="10"/>
        <v>20.036579306727575</v>
      </c>
      <c r="E82" s="195">
        <f t="shared" si="11"/>
        <v>50.202987257664084</v>
      </c>
      <c r="F82" s="196">
        <f t="shared" si="12"/>
        <v>0.20179320167062853</v>
      </c>
      <c r="H82" s="194">
        <v>2016</v>
      </c>
      <c r="I82" s="195">
        <f t="shared" si="13"/>
        <v>5.4498757848143722</v>
      </c>
      <c r="J82" s="195">
        <f t="shared" si="14"/>
        <v>0.3555828814209952</v>
      </c>
      <c r="K82" s="195">
        <f t="shared" si="15"/>
        <v>20.035786418782706</v>
      </c>
      <c r="L82" s="195">
        <f t="shared" si="16"/>
        <v>4.680667931304626</v>
      </c>
      <c r="M82" s="195">
        <f t="shared" si="17"/>
        <v>19.680996425306581</v>
      </c>
      <c r="O82" s="195">
        <f t="shared" si="18"/>
        <v>5.8054586662353671</v>
      </c>
      <c r="P82" s="196">
        <f t="shared" si="19"/>
        <v>0.93875025181230376</v>
      </c>
      <c r="Q82" s="195">
        <f t="shared" si="20"/>
        <v>44.397450775393914</v>
      </c>
      <c r="R82" s="196">
        <f t="shared" si="21"/>
        <v>0.10542650196255772</v>
      </c>
      <c r="S82" s="464">
        <f t="shared" si="22"/>
        <v>50.202909441629281</v>
      </c>
      <c r="T82" s="196">
        <f t="shared" si="28"/>
        <v>0.11563988483546657</v>
      </c>
      <c r="W82" s="195">
        <f t="shared" ref="W82:W126" si="30">(L82+I82)-B82</f>
        <v>-7.7816034805167078E-5</v>
      </c>
      <c r="X82" s="195">
        <f t="shared" si="23"/>
        <v>0</v>
      </c>
      <c r="Y82" s="195">
        <f t="shared" ref="Y82:Y126" si="31">(M82+J82)-D82</f>
        <v>0</v>
      </c>
      <c r="Z82" s="195">
        <f>W82+X82+Y82</f>
        <v>-7.7816034805167078E-5</v>
      </c>
      <c r="AA82" s="196">
        <f>(W82/Z82)*(L82/(L82+I82))</f>
        <v>0.46203521375235579</v>
      </c>
      <c r="AB82" s="196">
        <f t="shared" si="24"/>
        <v>0.53796478624764421</v>
      </c>
      <c r="AC82" s="196">
        <f t="shared" ref="AC82:AC126" si="32">W82/Z82</f>
        <v>1</v>
      </c>
      <c r="AD82" s="247">
        <f t="shared" si="29"/>
        <v>0</v>
      </c>
      <c r="AF82" s="251">
        <f t="shared" si="25"/>
        <v>0.53796478624764421</v>
      </c>
      <c r="AG82" s="251">
        <f t="shared" si="26"/>
        <v>0.46203521375235579</v>
      </c>
    </row>
    <row r="83" spans="1:33" x14ac:dyDescent="0.25">
      <c r="A83" s="194">
        <v>2017</v>
      </c>
      <c r="B83" s="195">
        <f t="shared" si="27"/>
        <v>10.933692272577574</v>
      </c>
      <c r="C83" s="195">
        <f t="shared" si="9"/>
        <v>20.878555492508404</v>
      </c>
      <c r="D83" s="195">
        <f t="shared" si="10"/>
        <v>20.035152370100864</v>
      </c>
      <c r="E83" s="195">
        <f t="shared" si="11"/>
        <v>51.847400135186845</v>
      </c>
      <c r="F83" s="196">
        <f t="shared" si="12"/>
        <v>0.21088217044768065</v>
      </c>
      <c r="H83" s="194">
        <v>2017</v>
      </c>
      <c r="I83" s="195">
        <f t="shared" si="13"/>
        <v>5.8901530597885277</v>
      </c>
      <c r="J83" s="195">
        <f t="shared" si="14"/>
        <v>0.36785727151526881</v>
      </c>
      <c r="K83" s="195">
        <f t="shared" si="15"/>
        <v>20.878555492508404</v>
      </c>
      <c r="L83" s="195">
        <f t="shared" si="16"/>
        <v>5.0434591696366446</v>
      </c>
      <c r="M83" s="195">
        <f t="shared" si="17"/>
        <v>19.667295098585594</v>
      </c>
      <c r="O83" s="195">
        <f t="shared" si="18"/>
        <v>6.2580103313037965</v>
      </c>
      <c r="P83" s="196">
        <f t="shared" si="19"/>
        <v>0.94121817446111034</v>
      </c>
      <c r="Q83" s="195">
        <f t="shared" si="20"/>
        <v>45.589309760730643</v>
      </c>
      <c r="R83" s="196">
        <f t="shared" si="21"/>
        <v>0.11062810988160517</v>
      </c>
      <c r="S83" s="464">
        <f t="shared" si="22"/>
        <v>51.847320092034437</v>
      </c>
      <c r="T83" s="196">
        <f t="shared" si="28"/>
        <v>0.12070074827773491</v>
      </c>
      <c r="W83" s="195">
        <f t="shared" si="30"/>
        <v>-8.0043152401287898E-5</v>
      </c>
      <c r="X83" s="195">
        <f t="shared" si="23"/>
        <v>0</v>
      </c>
      <c r="Y83" s="195">
        <f t="shared" si="31"/>
        <v>0</v>
      </c>
      <c r="Z83" s="195">
        <f t="shared" ref="Z83:Z126" si="33">W83+X83+Y83</f>
        <v>-8.0043152401287898E-5</v>
      </c>
      <c r="AA83" s="196">
        <f t="shared" ref="AA83:AA126" si="34">(W83*(L83/(L83+I83)))/Z83</f>
        <v>0.46128023052284534</v>
      </c>
      <c r="AB83" s="196">
        <f t="shared" si="24"/>
        <v>0.53871976947715461</v>
      </c>
      <c r="AC83" s="196">
        <f t="shared" si="32"/>
        <v>1</v>
      </c>
      <c r="AD83" s="247">
        <f>(X83+Y83)/Z83</f>
        <v>0</v>
      </c>
      <c r="AF83" s="251">
        <f t="shared" si="25"/>
        <v>0.53871976947715461</v>
      </c>
      <c r="AG83" s="251">
        <f t="shared" si="26"/>
        <v>0.46128023052284534</v>
      </c>
    </row>
    <row r="84" spans="1:33" x14ac:dyDescent="0.25">
      <c r="A84" s="194">
        <v>2018</v>
      </c>
      <c r="B84" s="195">
        <f t="shared" si="27"/>
        <v>11.807808192888949</v>
      </c>
      <c r="C84" s="195">
        <f t="shared" si="9"/>
        <v>21.72201069127312</v>
      </c>
      <c r="D84" s="195">
        <f t="shared" si="10"/>
        <v>20.068614392432011</v>
      </c>
      <c r="E84" s="195">
        <f t="shared" si="11"/>
        <v>53.598433276594079</v>
      </c>
      <c r="F84" s="196">
        <f t="shared" si="12"/>
        <v>0.22030136836192385</v>
      </c>
      <c r="H84" s="194">
        <v>2018</v>
      </c>
      <c r="I84" s="195">
        <f t="shared" si="13"/>
        <v>6.3697346217022845</v>
      </c>
      <c r="J84" s="195">
        <f t="shared" si="14"/>
        <v>0.38078699675677791</v>
      </c>
      <c r="K84" s="195">
        <f t="shared" si="15"/>
        <v>21.72201069127312</v>
      </c>
      <c r="L84" s="195">
        <f t="shared" si="16"/>
        <v>5.4379915546748911</v>
      </c>
      <c r="M84" s="195">
        <f t="shared" si="17"/>
        <v>19.687827395675232</v>
      </c>
      <c r="O84" s="195">
        <f t="shared" si="18"/>
        <v>6.7505216184590626</v>
      </c>
      <c r="P84" s="196">
        <f t="shared" si="19"/>
        <v>0.94359147066272187</v>
      </c>
      <c r="Q84" s="195">
        <f t="shared" si="20"/>
        <v>46.847829641623242</v>
      </c>
      <c r="R84" s="196">
        <f t="shared" si="21"/>
        <v>0.11607776915759953</v>
      </c>
      <c r="S84" s="464">
        <f t="shared" si="22"/>
        <v>53.598351260082303</v>
      </c>
      <c r="T84" s="196">
        <f t="shared" si="28"/>
        <v>0.12594644163031474</v>
      </c>
      <c r="W84" s="195">
        <f t="shared" si="30"/>
        <v>-8.2016511772309286E-5</v>
      </c>
      <c r="X84" s="195">
        <f t="shared" si="23"/>
        <v>0</v>
      </c>
      <c r="Y84" s="195">
        <f t="shared" si="31"/>
        <v>0</v>
      </c>
      <c r="Z84" s="195">
        <f t="shared" si="33"/>
        <v>-8.2016511772309286E-5</v>
      </c>
      <c r="AA84" s="196">
        <f t="shared" si="34"/>
        <v>0.46054519502275287</v>
      </c>
      <c r="AB84" s="196">
        <f t="shared" si="24"/>
        <v>0.53945480497724707</v>
      </c>
      <c r="AC84" s="196">
        <f>W84/Z84</f>
        <v>1</v>
      </c>
      <c r="AD84" s="247">
        <f t="shared" si="29"/>
        <v>0</v>
      </c>
      <c r="AF84" s="251">
        <f t="shared" si="25"/>
        <v>0.53945480497724707</v>
      </c>
      <c r="AG84" s="251">
        <f t="shared" si="26"/>
        <v>0.46054519502275287</v>
      </c>
    </row>
    <row r="85" spans="1:33" ht="13.8" thickBot="1" x14ac:dyDescent="0.3">
      <c r="A85" s="198">
        <v>2019</v>
      </c>
      <c r="B85" s="195">
        <f t="shared" si="27"/>
        <v>12.753654910476921</v>
      </c>
      <c r="C85" s="195">
        <f t="shared" si="9"/>
        <v>22.565660096826957</v>
      </c>
      <c r="D85" s="195">
        <f t="shared" si="10"/>
        <v>20.135430199940497</v>
      </c>
      <c r="E85" s="195">
        <f t="shared" si="11"/>
        <v>55.454745207244372</v>
      </c>
      <c r="F85" s="199">
        <f t="shared" si="12"/>
        <v>0.229983112586925</v>
      </c>
      <c r="H85" s="198">
        <v>2019</v>
      </c>
      <c r="I85" s="195">
        <f t="shared" si="13"/>
        <v>6.8895288474126186</v>
      </c>
      <c r="J85" s="195">
        <f t="shared" si="14"/>
        <v>0.39435323019466312</v>
      </c>
      <c r="K85" s="195">
        <f t="shared" si="15"/>
        <v>22.565660096826957</v>
      </c>
      <c r="L85" s="195">
        <f t="shared" si="16"/>
        <v>5.8640419200325979</v>
      </c>
      <c r="M85" s="195">
        <f t="shared" si="17"/>
        <v>19.741076969745833</v>
      </c>
      <c r="O85" s="195">
        <f t="shared" si="18"/>
        <v>7.2838820776072817</v>
      </c>
      <c r="P85" s="199">
        <f t="shared" si="19"/>
        <v>0.94585947081611654</v>
      </c>
      <c r="Q85" s="195">
        <f t="shared" si="20"/>
        <v>48.170778986605384</v>
      </c>
      <c r="R85" s="199">
        <f t="shared" si="21"/>
        <v>0.12173442164311239</v>
      </c>
      <c r="S85" s="464">
        <f t="shared" si="22"/>
        <v>55.454661064212665</v>
      </c>
      <c r="T85" s="196">
        <f t="shared" si="28"/>
        <v>0.13134841937223365</v>
      </c>
      <c r="W85" s="195">
        <f t="shared" si="30"/>
        <v>-8.4143031704897453E-5</v>
      </c>
      <c r="X85" s="195">
        <f t="shared" si="23"/>
        <v>0</v>
      </c>
      <c r="Y85" s="195">
        <f t="shared" si="31"/>
        <v>0</v>
      </c>
      <c r="Z85" s="195">
        <f t="shared" si="33"/>
        <v>-8.4143031704897453E-5</v>
      </c>
      <c r="AA85" s="196">
        <f t="shared" si="34"/>
        <v>0.45979608589314924</v>
      </c>
      <c r="AB85" s="196">
        <f t="shared" si="24"/>
        <v>0.54020391410685076</v>
      </c>
      <c r="AC85" s="196">
        <f t="shared" si="32"/>
        <v>1</v>
      </c>
      <c r="AD85" s="247">
        <f t="shared" si="29"/>
        <v>0</v>
      </c>
      <c r="AF85" s="251">
        <f t="shared" si="25"/>
        <v>0.54020391410685076</v>
      </c>
      <c r="AG85" s="251">
        <f t="shared" si="26"/>
        <v>0.45979608589314924</v>
      </c>
    </row>
    <row r="86" spans="1:33" x14ac:dyDescent="0.25">
      <c r="A86" s="201">
        <v>2020</v>
      </c>
      <c r="B86" s="195">
        <f t="shared" si="27"/>
        <v>13.771918042730498</v>
      </c>
      <c r="C86" s="195">
        <f t="shared" si="9"/>
        <v>23.409011790920012</v>
      </c>
      <c r="D86" s="195">
        <f t="shared" si="10"/>
        <v>20.234064618845785</v>
      </c>
      <c r="E86" s="195">
        <f t="shared" si="11"/>
        <v>57.414994452496295</v>
      </c>
      <c r="F86" s="220">
        <f t="shared" si="12"/>
        <v>0.23986622613235697</v>
      </c>
      <c r="H86" s="201">
        <v>2020</v>
      </c>
      <c r="I86" s="195">
        <f t="shared" si="13"/>
        <v>7.4504921960502166</v>
      </c>
      <c r="J86" s="195">
        <f t="shared" si="14"/>
        <v>0.40853951662233373</v>
      </c>
      <c r="K86" s="195">
        <f t="shared" si="15"/>
        <v>23.409011790920012</v>
      </c>
      <c r="L86" s="195">
        <f t="shared" si="16"/>
        <v>6.3213393850264197</v>
      </c>
      <c r="M86" s="195">
        <f t="shared" si="17"/>
        <v>19.825525102223452</v>
      </c>
      <c r="O86" s="195">
        <f t="shared" si="18"/>
        <v>7.8590317126725502</v>
      </c>
      <c r="P86" s="203">
        <f t="shared" si="19"/>
        <v>0.94801655832949872</v>
      </c>
      <c r="Q86" s="195">
        <f t="shared" si="20"/>
        <v>49.555876278169883</v>
      </c>
      <c r="R86" s="203">
        <f t="shared" si="21"/>
        <v>0.12755983467113194</v>
      </c>
      <c r="S86" s="464">
        <f t="shared" si="22"/>
        <v>57.414907990842437</v>
      </c>
      <c r="T86" s="196">
        <f t="shared" si="28"/>
        <v>0.13688137781089973</v>
      </c>
      <c r="W86" s="195">
        <f t="shared" si="30"/>
        <v>-8.6461653861391596E-5</v>
      </c>
      <c r="X86" s="195">
        <f t="shared" si="23"/>
        <v>0</v>
      </c>
      <c r="Y86" s="195">
        <f t="shared" si="31"/>
        <v>0</v>
      </c>
      <c r="Z86" s="195">
        <f t="shared" si="33"/>
        <v>-8.6461653861391596E-5</v>
      </c>
      <c r="AA86" s="196">
        <f t="shared" si="34"/>
        <v>0.45900498766716968</v>
      </c>
      <c r="AB86" s="196">
        <f t="shared" si="24"/>
        <v>0.54099501233283032</v>
      </c>
      <c r="AC86" s="196">
        <f t="shared" si="32"/>
        <v>1</v>
      </c>
      <c r="AD86" s="247">
        <f t="shared" si="29"/>
        <v>0</v>
      </c>
      <c r="AF86" s="251">
        <f t="shared" si="25"/>
        <v>0.54099501233283032</v>
      </c>
      <c r="AG86" s="251">
        <f t="shared" si="26"/>
        <v>0.45900498766716968</v>
      </c>
    </row>
    <row r="87" spans="1:33" x14ac:dyDescent="0.25">
      <c r="A87" s="206">
        <v>2021</v>
      </c>
      <c r="B87" s="195">
        <f t="shared" si="27"/>
        <v>14.863283207038666</v>
      </c>
      <c r="C87" s="195">
        <f t="shared" si="9"/>
        <v>24.251573855302379</v>
      </c>
      <c r="D87" s="195">
        <f t="shared" si="10"/>
        <v>20.362982475367343</v>
      </c>
      <c r="E87" s="195">
        <f t="shared" si="11"/>
        <v>59.477839537708391</v>
      </c>
      <c r="F87" s="221">
        <f t="shared" si="12"/>
        <v>0.24989615161820875</v>
      </c>
      <c r="H87" s="206">
        <v>2021</v>
      </c>
      <c r="I87" s="195">
        <f t="shared" si="13"/>
        <v>8.065450962176584</v>
      </c>
      <c r="J87" s="195">
        <f t="shared" si="14"/>
        <v>0.42429120653741814</v>
      </c>
      <c r="K87" s="195">
        <f t="shared" si="15"/>
        <v>24.277022351821763</v>
      </c>
      <c r="L87" s="195">
        <f t="shared" si="16"/>
        <v>6.8198623803857608</v>
      </c>
      <c r="M87" s="195">
        <f t="shared" si="17"/>
        <v>19.961537538619968</v>
      </c>
      <c r="O87" s="195">
        <f t="shared" si="18"/>
        <v>8.4897421687140024</v>
      </c>
      <c r="P87" s="196">
        <f t="shared" si="19"/>
        <v>0.95002307512930173</v>
      </c>
      <c r="Q87" s="195">
        <f t="shared" si="20"/>
        <v>51.058422270827492</v>
      </c>
      <c r="R87" s="196">
        <f t="shared" si="21"/>
        <v>0.13356978294807842</v>
      </c>
      <c r="S87" s="464">
        <f t="shared" si="22"/>
        <v>59.548164439541495</v>
      </c>
      <c r="T87" s="196">
        <f t="shared" si="28"/>
        <v>0.1425693343970918</v>
      </c>
      <c r="W87" s="195">
        <f t="shared" si="30"/>
        <v>2.2030135523678496E-2</v>
      </c>
      <c r="X87" s="195">
        <f t="shared" si="23"/>
        <v>2.5448496519384634E-2</v>
      </c>
      <c r="Y87" s="195">
        <f t="shared" si="31"/>
        <v>2.2846269790044005E-2</v>
      </c>
      <c r="Z87" s="195">
        <f t="shared" si="33"/>
        <v>7.0324901833107134E-2</v>
      </c>
      <c r="AA87" s="196">
        <f t="shared" si="34"/>
        <v>0.14352437490874134</v>
      </c>
      <c r="AB87" s="196">
        <f t="shared" si="24"/>
        <v>0.16973785439318825</v>
      </c>
      <c r="AC87" s="196">
        <f t="shared" si="32"/>
        <v>0.3132622293019296</v>
      </c>
      <c r="AD87" s="247">
        <f t="shared" si="29"/>
        <v>0.6867377706980704</v>
      </c>
      <c r="AF87" s="251">
        <f t="shared" si="25"/>
        <v>0.541839515001315</v>
      </c>
      <c r="AG87" s="251">
        <f t="shared" si="26"/>
        <v>0.458160484998685</v>
      </c>
    </row>
    <row r="88" spans="1:33" x14ac:dyDescent="0.25">
      <c r="A88" s="206">
        <v>2022</v>
      </c>
      <c r="B88" s="195">
        <f t="shared" si="27"/>
        <v>16.028436020790434</v>
      </c>
      <c r="C88" s="195">
        <f t="shared" si="9"/>
        <v>25.092854371724162</v>
      </c>
      <c r="D88" s="195">
        <f t="shared" si="10"/>
        <v>20.520648595724644</v>
      </c>
      <c r="E88" s="195">
        <f t="shared" si="11"/>
        <v>61.641938988239232</v>
      </c>
      <c r="F88" s="221">
        <f t="shared" si="12"/>
        <v>0.2600248513248184</v>
      </c>
      <c r="H88" s="206">
        <v>2022</v>
      </c>
      <c r="I88" s="195">
        <f t="shared" si="13"/>
        <v>8.7296097002681865</v>
      </c>
      <c r="J88" s="195">
        <f t="shared" si="14"/>
        <v>0.44082643365334861</v>
      </c>
      <c r="K88" s="195">
        <f t="shared" si="15"/>
        <v>25.151579809095526</v>
      </c>
      <c r="L88" s="195">
        <f t="shared" si="16"/>
        <v>7.3547641398035601</v>
      </c>
      <c r="M88" s="195">
        <f t="shared" si="17"/>
        <v>20.131246837303067</v>
      </c>
      <c r="O88" s="195">
        <f t="shared" si="18"/>
        <v>9.1704361339215357</v>
      </c>
      <c r="P88" s="196">
        <f t="shared" si="19"/>
        <v>0.9519296108477624</v>
      </c>
      <c r="Q88" s="195">
        <f t="shared" si="20"/>
        <v>52.637590786202153</v>
      </c>
      <c r="R88" s="196">
        <f t="shared" si="21"/>
        <v>0.13972455862724359</v>
      </c>
      <c r="S88" s="464">
        <f t="shared" si="22"/>
        <v>61.808026920123687</v>
      </c>
      <c r="T88" s="196">
        <f t="shared" si="28"/>
        <v>0.14836966314703359</v>
      </c>
      <c r="W88" s="195">
        <f t="shared" si="30"/>
        <v>5.5937819281314916E-2</v>
      </c>
      <c r="X88" s="195">
        <f t="shared" si="23"/>
        <v>5.8725437371364819E-2</v>
      </c>
      <c r="Y88" s="195">
        <f t="shared" si="31"/>
        <v>5.1424675231771744E-2</v>
      </c>
      <c r="Z88" s="195">
        <f t="shared" si="33"/>
        <v>0.16608793188445148</v>
      </c>
      <c r="AA88" s="196">
        <f t="shared" si="34"/>
        <v>0.15400401574719622</v>
      </c>
      <c r="AB88" s="196">
        <f t="shared" si="24"/>
        <v>0.18279239472428363</v>
      </c>
      <c r="AC88" s="196">
        <f t="shared" si="32"/>
        <v>0.3367964104714799</v>
      </c>
      <c r="AD88" s="247">
        <f t="shared" si="29"/>
        <v>0.6632035895285201</v>
      </c>
      <c r="AF88" s="251">
        <f t="shared" si="25"/>
        <v>0.54273854780219688</v>
      </c>
      <c r="AG88" s="251">
        <f t="shared" si="26"/>
        <v>0.45726145219780295</v>
      </c>
    </row>
    <row r="89" spans="1:33" x14ac:dyDescent="0.25">
      <c r="A89" s="206">
        <v>2023</v>
      </c>
      <c r="B89" s="195">
        <f t="shared" si="27"/>
        <v>17.268062101374806</v>
      </c>
      <c r="C89" s="195">
        <f t="shared" si="9"/>
        <v>25.932361421935457</v>
      </c>
      <c r="D89" s="195">
        <f t="shared" si="10"/>
        <v>20.705527806137152</v>
      </c>
      <c r="E89" s="195">
        <f t="shared" si="11"/>
        <v>63.905951329447419</v>
      </c>
      <c r="F89" s="221">
        <f t="shared" si="12"/>
        <v>0.2702105475647274</v>
      </c>
      <c r="H89" s="206">
        <v>2023</v>
      </c>
      <c r="I89" s="195">
        <f t="shared" si="13"/>
        <v>9.4441057744702785</v>
      </c>
      <c r="J89" s="195">
        <f t="shared" si="14"/>
        <v>0.45815595594982739</v>
      </c>
      <c r="K89" s="195">
        <f t="shared" si="15"/>
        <v>26.031705973842708</v>
      </c>
      <c r="L89" s="195">
        <f t="shared" si="16"/>
        <v>7.9255303471421534</v>
      </c>
      <c r="M89" s="195">
        <f t="shared" si="17"/>
        <v>20.332524671485565</v>
      </c>
      <c r="O89" s="195">
        <f t="shared" si="18"/>
        <v>9.9022617304201059</v>
      </c>
      <c r="P89" s="196">
        <f t="shared" si="19"/>
        <v>0.95373219084460714</v>
      </c>
      <c r="Q89" s="195">
        <f t="shared" si="20"/>
        <v>54.289760992470427</v>
      </c>
      <c r="R89" s="196">
        <f t="shared" si="21"/>
        <v>0.14598572921036371</v>
      </c>
      <c r="S89" s="464">
        <f t="shared" si="22"/>
        <v>64.192022722890528</v>
      </c>
      <c r="T89" s="196">
        <f t="shared" si="28"/>
        <v>0.15426000475428253</v>
      </c>
      <c r="W89" s="195">
        <f t="shared" si="30"/>
        <v>0.1015740202376243</v>
      </c>
      <c r="X89" s="195">
        <f t="shared" si="23"/>
        <v>9.9344551907250889E-2</v>
      </c>
      <c r="Y89" s="195">
        <f t="shared" si="31"/>
        <v>8.5152821298240866E-2</v>
      </c>
      <c r="Z89" s="195">
        <f t="shared" si="33"/>
        <v>0.28607139344311605</v>
      </c>
      <c r="AA89" s="196">
        <f t="shared" si="34"/>
        <v>0.16201149264172859</v>
      </c>
      <c r="AB89" s="196">
        <f t="shared" si="24"/>
        <v>0.19305379024130748</v>
      </c>
      <c r="AC89" s="196">
        <f t="shared" si="32"/>
        <v>0.35506528288303602</v>
      </c>
      <c r="AD89" s="247">
        <f t="shared" si="29"/>
        <v>0.64493471711696393</v>
      </c>
      <c r="AF89" s="251">
        <f t="shared" si="25"/>
        <v>0.54371350720003331</v>
      </c>
      <c r="AG89" s="251">
        <f t="shared" si="26"/>
        <v>0.4562864927999668</v>
      </c>
    </row>
    <row r="90" spans="1:33" x14ac:dyDescent="0.25">
      <c r="A90" s="206">
        <v>2024</v>
      </c>
      <c r="B90" s="195">
        <f t="shared" si="27"/>
        <v>18.582847066180761</v>
      </c>
      <c r="C90" s="195">
        <f t="shared" si="9"/>
        <v>26.769603087686363</v>
      </c>
      <c r="D90" s="195">
        <f t="shared" si="10"/>
        <v>20.91608493282434</v>
      </c>
      <c r="E90" s="195">
        <f t="shared" si="11"/>
        <v>66.268535086691458</v>
      </c>
      <c r="F90" s="221">
        <f t="shared" si="12"/>
        <v>0.28041735103802995</v>
      </c>
      <c r="H90" s="206">
        <v>2024</v>
      </c>
      <c r="I90" s="195">
        <f t="shared" si="13"/>
        <v>10.210216755013656</v>
      </c>
      <c r="J90" s="195">
        <f t="shared" si="14"/>
        <v>0.47632928749731324</v>
      </c>
      <c r="K90" s="195">
        <f t="shared" si="15"/>
        <v>26.916508965348729</v>
      </c>
      <c r="L90" s="195">
        <f t="shared" si="16"/>
        <v>8.5318599558384456</v>
      </c>
      <c r="M90" s="195">
        <f t="shared" si="17"/>
        <v>20.563495692791744</v>
      </c>
      <c r="O90" s="195">
        <f t="shared" si="18"/>
        <v>10.686546042510969</v>
      </c>
      <c r="P90" s="196">
        <f t="shared" si="19"/>
        <v>0.95542719924637198</v>
      </c>
      <c r="Q90" s="195">
        <f t="shared" si="20"/>
        <v>56.011864613978915</v>
      </c>
      <c r="R90" s="196">
        <f t="shared" si="21"/>
        <v>0.15232236981643249</v>
      </c>
      <c r="S90" s="464">
        <f t="shared" si="22"/>
        <v>66.698410656489884</v>
      </c>
      <c r="T90" s="196">
        <f t="shared" si="28"/>
        <v>0.1602218994025032</v>
      </c>
      <c r="W90" s="195">
        <f t="shared" si="30"/>
        <v>0.15922964467134193</v>
      </c>
      <c r="X90" s="195">
        <f t="shared" si="23"/>
        <v>0.14690587766236618</v>
      </c>
      <c r="Y90" s="195">
        <f t="shared" si="31"/>
        <v>0.12374004746471812</v>
      </c>
      <c r="Z90" s="195">
        <f t="shared" si="33"/>
        <v>0.42987556979842623</v>
      </c>
      <c r="AA90" s="196">
        <f t="shared" si="34"/>
        <v>0.16861925594228944</v>
      </c>
      <c r="AB90" s="196">
        <f t="shared" si="24"/>
        <v>0.20178942940358074</v>
      </c>
      <c r="AC90" s="196">
        <f t="shared" si="32"/>
        <v>0.37040868534587024</v>
      </c>
      <c r="AD90" s="247">
        <f t="shared" si="29"/>
        <v>0.62959131465412976</v>
      </c>
      <c r="AF90" s="251">
        <f t="shared" si="25"/>
        <v>0.54477510216899816</v>
      </c>
      <c r="AG90" s="251">
        <f t="shared" si="26"/>
        <v>0.45522489783100173</v>
      </c>
    </row>
    <row r="91" spans="1:33" x14ac:dyDescent="0.25">
      <c r="A91" s="206">
        <v>2025</v>
      </c>
      <c r="B91" s="195">
        <f t="shared" si="27"/>
        <v>19.973476532597331</v>
      </c>
      <c r="C91" s="195">
        <f t="shared" si="9"/>
        <v>27.604087450726979</v>
      </c>
      <c r="D91" s="195">
        <f t="shared" si="10"/>
        <v>21.150784802005674</v>
      </c>
      <c r="E91" s="195">
        <f t="shared" si="11"/>
        <v>68.728348785329985</v>
      </c>
      <c r="F91" s="221">
        <f t="shared" si="12"/>
        <v>0.29061481740211187</v>
      </c>
      <c r="H91" s="206">
        <v>2025</v>
      </c>
      <c r="I91" s="195">
        <f t="shared" si="13"/>
        <v>11.029281082732766</v>
      </c>
      <c r="J91" s="195">
        <f t="shared" si="14"/>
        <v>0.49539048229858235</v>
      </c>
      <c r="K91" s="195">
        <f t="shared" si="15"/>
        <v>27.805212031791989</v>
      </c>
      <c r="L91" s="195">
        <f t="shared" si="16"/>
        <v>9.1735463957457597</v>
      </c>
      <c r="M91" s="195">
        <f t="shared" si="17"/>
        <v>20.822423845151302</v>
      </c>
      <c r="O91" s="195">
        <f t="shared" si="18"/>
        <v>11.524671565031348</v>
      </c>
      <c r="P91" s="196">
        <f t="shared" si="19"/>
        <v>0.95701478523676831</v>
      </c>
      <c r="Q91" s="195">
        <f t="shared" si="20"/>
        <v>57.801182272689047</v>
      </c>
      <c r="R91" s="196">
        <f t="shared" si="21"/>
        <v>0.15870862904616129</v>
      </c>
      <c r="S91" s="464">
        <f t="shared" si="22"/>
        <v>69.325853837720388</v>
      </c>
      <c r="T91" s="196">
        <f t="shared" si="28"/>
        <v>0.16623915793390118</v>
      </c>
      <c r="W91" s="195">
        <f t="shared" si="30"/>
        <v>0.22935094588119398</v>
      </c>
      <c r="X91" s="195">
        <f t="shared" si="23"/>
        <v>0.20112458106500952</v>
      </c>
      <c r="Y91" s="195">
        <f t="shared" si="31"/>
        <v>0.16702952544421024</v>
      </c>
      <c r="Z91" s="195">
        <f t="shared" si="33"/>
        <v>0.59750505239041374</v>
      </c>
      <c r="AA91" s="196">
        <f t="shared" si="34"/>
        <v>0.17429465144839251</v>
      </c>
      <c r="AB91" s="196">
        <f t="shared" si="24"/>
        <v>0.2095530582297753</v>
      </c>
      <c r="AC91" s="196">
        <f t="shared" si="32"/>
        <v>0.38384770967816784</v>
      </c>
      <c r="AD91" s="247">
        <f t="shared" si="29"/>
        <v>0.61615229032183216</v>
      </c>
      <c r="AF91" s="251">
        <f t="shared" si="25"/>
        <v>0.54592759822762094</v>
      </c>
      <c r="AG91" s="251">
        <f t="shared" si="26"/>
        <v>0.45407240177237901</v>
      </c>
    </row>
    <row r="92" spans="1:33" x14ac:dyDescent="0.25">
      <c r="A92" s="206">
        <v>2026</v>
      </c>
      <c r="B92" s="195">
        <f t="shared" si="27"/>
        <v>21.440636118013494</v>
      </c>
      <c r="C92" s="195">
        <f t="shared" si="9"/>
        <v>28.435322592807402</v>
      </c>
      <c r="D92" s="195">
        <f t="shared" si="10"/>
        <v>21.408092239900633</v>
      </c>
      <c r="E92" s="195">
        <f t="shared" si="11"/>
        <v>71.284050950721536</v>
      </c>
      <c r="F92" s="221">
        <f t="shared" si="12"/>
        <v>0.30077746469312394</v>
      </c>
      <c r="H92" s="206">
        <v>2026</v>
      </c>
      <c r="I92" s="195">
        <f t="shared" si="13"/>
        <v>11.902693247551841</v>
      </c>
      <c r="J92" s="195">
        <f t="shared" si="14"/>
        <v>0.51535179341046322</v>
      </c>
      <c r="K92" s="195">
        <f t="shared" si="15"/>
        <v>28.697193718604748</v>
      </c>
      <c r="L92" s="195">
        <f t="shared" si="16"/>
        <v>9.8504306537320794</v>
      </c>
      <c r="M92" s="195">
        <f t="shared" si="17"/>
        <v>21.107679351037181</v>
      </c>
      <c r="O92" s="195">
        <f t="shared" si="18"/>
        <v>12.418045040962305</v>
      </c>
      <c r="P92" s="196">
        <f t="shared" si="19"/>
        <v>0.95849976451925256</v>
      </c>
      <c r="Q92" s="195">
        <f t="shared" si="20"/>
        <v>59.655303723374004</v>
      </c>
      <c r="R92" s="196">
        <f t="shared" si="21"/>
        <v>0.16512246252922028</v>
      </c>
      <c r="S92" s="464">
        <f t="shared" si="22"/>
        <v>72.073348764336316</v>
      </c>
      <c r="T92" s="196">
        <f t="shared" si="28"/>
        <v>0.17229732285045513</v>
      </c>
      <c r="W92" s="195">
        <f t="shared" si="30"/>
        <v>0.31248778327042714</v>
      </c>
      <c r="X92" s="195">
        <f t="shared" si="23"/>
        <v>0.26187112579734517</v>
      </c>
      <c r="Y92" s="195">
        <f t="shared" si="31"/>
        <v>0.21493890454701159</v>
      </c>
      <c r="Z92" s="195">
        <f t="shared" si="33"/>
        <v>0.78929781361478391</v>
      </c>
      <c r="AA92" s="196">
        <f t="shared" si="34"/>
        <v>0.17927747543986686</v>
      </c>
      <c r="AB92" s="196">
        <f t="shared" si="24"/>
        <v>0.2166285791319966</v>
      </c>
      <c r="AC92" s="196">
        <f t="shared" si="32"/>
        <v>0.39590605457186345</v>
      </c>
      <c r="AD92" s="247">
        <f t="shared" si="29"/>
        <v>0.60409394542813655</v>
      </c>
      <c r="AF92" s="251">
        <f t="shared" si="25"/>
        <v>0.54717167527599642</v>
      </c>
      <c r="AG92" s="251">
        <f t="shared" si="26"/>
        <v>0.45282832472400358</v>
      </c>
    </row>
    <row r="93" spans="1:33" x14ac:dyDescent="0.25">
      <c r="A93" s="206">
        <v>2027</v>
      </c>
      <c r="B93" s="195">
        <f t="shared" si="27"/>
        <v>22.985011439818244</v>
      </c>
      <c r="C93" s="195">
        <f t="shared" si="9"/>
        <v>29.262816595677734</v>
      </c>
      <c r="D93" s="195">
        <f t="shared" si="10"/>
        <v>21.686472072728677</v>
      </c>
      <c r="E93" s="195">
        <f t="shared" si="11"/>
        <v>73.934300108224647</v>
      </c>
      <c r="F93" s="221">
        <f t="shared" si="12"/>
        <v>0.31088427706995131</v>
      </c>
      <c r="H93" s="206">
        <v>2027</v>
      </c>
      <c r="I93" s="195">
        <f t="shared" si="13"/>
        <v>12.831937673162223</v>
      </c>
      <c r="J93" s="195">
        <f t="shared" si="14"/>
        <v>0.5362036059040135</v>
      </c>
      <c r="K93" s="195">
        <f t="shared" si="15"/>
        <v>29.592012837187117</v>
      </c>
      <c r="L93" s="195">
        <f t="shared" si="16"/>
        <v>10.562454718288794</v>
      </c>
      <c r="M93" s="195">
        <f t="shared" si="17"/>
        <v>21.417711661069831</v>
      </c>
      <c r="O93" s="195">
        <f t="shared" si="18"/>
        <v>13.368141279066236</v>
      </c>
      <c r="P93" s="196">
        <f t="shared" si="19"/>
        <v>0.95988944201661908</v>
      </c>
      <c r="Q93" s="195">
        <f t="shared" si="20"/>
        <v>61.572179216545742</v>
      </c>
      <c r="R93" s="196">
        <f t="shared" si="21"/>
        <v>0.17154589707051396</v>
      </c>
      <c r="S93" s="464">
        <f t="shared" si="22"/>
        <v>74.940320495611985</v>
      </c>
      <c r="T93" s="196">
        <f t="shared" si="28"/>
        <v>0.17838382850055981</v>
      </c>
      <c r="W93" s="195">
        <f t="shared" si="30"/>
        <v>0.4093809516327731</v>
      </c>
      <c r="X93" s="195">
        <f t="shared" si="23"/>
        <v>0.32919624150938276</v>
      </c>
      <c r="Y93" s="195">
        <f t="shared" si="31"/>
        <v>0.2674431942451676</v>
      </c>
      <c r="Z93" s="195">
        <f t="shared" si="33"/>
        <v>1.0060203873873235</v>
      </c>
      <c r="AA93" s="196">
        <f t="shared" si="34"/>
        <v>0.18372740430315043</v>
      </c>
      <c r="AB93" s="196">
        <f t="shared" si="24"/>
        <v>0.2232036646545596</v>
      </c>
      <c r="AC93" s="196">
        <f t="shared" si="32"/>
        <v>0.40693106895771003</v>
      </c>
      <c r="AD93" s="247">
        <f t="shared" si="29"/>
        <v>0.59306893104228997</v>
      </c>
      <c r="AF93" s="251">
        <f t="shared" si="25"/>
        <v>0.54850484930103938</v>
      </c>
      <c r="AG93" s="251">
        <f t="shared" si="26"/>
        <v>0.45149515069896062</v>
      </c>
    </row>
    <row r="94" spans="1:33" x14ac:dyDescent="0.25">
      <c r="A94" s="206">
        <v>2028</v>
      </c>
      <c r="B94" s="195">
        <f t="shared" si="27"/>
        <v>24.607288115400614</v>
      </c>
      <c r="C94" s="195">
        <f t="shared" si="9"/>
        <v>30.086077541088066</v>
      </c>
      <c r="D94" s="195">
        <f t="shared" si="10"/>
        <v>21.984389126709271</v>
      </c>
      <c r="E94" s="195">
        <f t="shared" si="11"/>
        <v>76.67775478319794</v>
      </c>
      <c r="F94" s="221">
        <f t="shared" si="12"/>
        <v>0.32091821395887693</v>
      </c>
      <c r="H94" s="206">
        <v>2028</v>
      </c>
      <c r="I94" s="195">
        <f t="shared" si="13"/>
        <v>13.818691595820244</v>
      </c>
      <c r="J94" s="195">
        <f t="shared" si="14"/>
        <v>0.557953004812765</v>
      </c>
      <c r="K94" s="195">
        <f t="shared" si="15"/>
        <v>30.489405383302589</v>
      </c>
      <c r="L94" s="195">
        <f t="shared" si="16"/>
        <v>11.30979336795756</v>
      </c>
      <c r="M94" s="195">
        <f t="shared" si="17"/>
        <v>21.751095621190835</v>
      </c>
      <c r="O94" s="195">
        <f t="shared" si="18"/>
        <v>14.376644600633009</v>
      </c>
      <c r="P94" s="196">
        <f t="shared" si="19"/>
        <v>0.9611903180253758</v>
      </c>
      <c r="Q94" s="195">
        <f t="shared" si="20"/>
        <v>63.550294372450985</v>
      </c>
      <c r="R94" s="196">
        <f t="shared" si="21"/>
        <v>0.17796602643056125</v>
      </c>
      <c r="S94" s="464">
        <f t="shared" si="22"/>
        <v>77.926938973083992</v>
      </c>
      <c r="T94" s="196">
        <f t="shared" si="28"/>
        <v>0.18448876332225381</v>
      </c>
      <c r="W94" s="195">
        <f t="shared" si="30"/>
        <v>0.52119684837719049</v>
      </c>
      <c r="X94" s="195">
        <f t="shared" si="23"/>
        <v>0.403327842214523</v>
      </c>
      <c r="Y94" s="195">
        <f t="shared" si="31"/>
        <v>0.3246594992943308</v>
      </c>
      <c r="Z94" s="195">
        <f t="shared" si="33"/>
        <v>1.2491841898860443</v>
      </c>
      <c r="AA94" s="196">
        <f t="shared" si="34"/>
        <v>0.18778619716312742</v>
      </c>
      <c r="AB94" s="196">
        <f t="shared" si="24"/>
        <v>0.22944358576002677</v>
      </c>
      <c r="AC94" s="196">
        <f t="shared" si="32"/>
        <v>0.41722978292315421</v>
      </c>
      <c r="AD94" s="247">
        <f t="shared" si="29"/>
        <v>0.58277021707684584</v>
      </c>
      <c r="AF94" s="251">
        <f t="shared" si="25"/>
        <v>0.54992139859365197</v>
      </c>
      <c r="AG94" s="251">
        <f t="shared" si="26"/>
        <v>0.45007860140634803</v>
      </c>
    </row>
    <row r="95" spans="1:33" x14ac:dyDescent="0.25">
      <c r="A95" s="206">
        <v>2029</v>
      </c>
      <c r="B95" s="195">
        <f t="shared" si="27"/>
        <v>26.308151762149564</v>
      </c>
      <c r="C95" s="195">
        <f t="shared" si="9"/>
        <v>30.904613510788508</v>
      </c>
      <c r="D95" s="195">
        <f t="shared" si="10"/>
        <v>22.300308228061891</v>
      </c>
      <c r="E95" s="195">
        <f t="shared" si="11"/>
        <v>79.513073500999965</v>
      </c>
      <c r="F95" s="221">
        <f t="shared" si="12"/>
        <v>0.33086573822125881</v>
      </c>
      <c r="H95" s="206">
        <v>2029</v>
      </c>
      <c r="I95" s="195">
        <f t="shared" si="13"/>
        <v>14.864787077819999</v>
      </c>
      <c r="J95" s="195">
        <f t="shared" si="14"/>
        <v>0.58060326652036842</v>
      </c>
      <c r="K95" s="195">
        <f t="shared" si="15"/>
        <v>31.389256362725476</v>
      </c>
      <c r="L95" s="195">
        <f t="shared" si="16"/>
        <v>12.092767150061405</v>
      </c>
      <c r="M95" s="195">
        <f t="shared" si="17"/>
        <v>22.106456689576646</v>
      </c>
      <c r="O95" s="195">
        <f t="shared" si="18"/>
        <v>15.445390344340368</v>
      </c>
      <c r="P95" s="196">
        <f t="shared" si="19"/>
        <v>0.96240928499854206</v>
      </c>
      <c r="Q95" s="195">
        <f t="shared" si="20"/>
        <v>65.588480202363527</v>
      </c>
      <c r="R95" s="196">
        <f t="shared" si="21"/>
        <v>0.18437333984185891</v>
      </c>
      <c r="S95" s="464">
        <f t="shared" si="22"/>
        <v>81.033870546703895</v>
      </c>
      <c r="T95" s="196">
        <f t="shared" si="28"/>
        <v>0.19060412936141824</v>
      </c>
      <c r="W95" s="195">
        <f t="shared" si="30"/>
        <v>0.64940246573183913</v>
      </c>
      <c r="X95" s="195">
        <f t="shared" si="23"/>
        <v>0.4846428519369681</v>
      </c>
      <c r="Y95" s="195">
        <f t="shared" si="31"/>
        <v>0.38675172803512581</v>
      </c>
      <c r="Z95" s="195">
        <f t="shared" si="33"/>
        <v>1.520797045703933</v>
      </c>
      <c r="AA95" s="196">
        <f t="shared" si="34"/>
        <v>0.19155252276075874</v>
      </c>
      <c r="AB95" s="196">
        <f t="shared" si="24"/>
        <v>0.23546202698887567</v>
      </c>
      <c r="AC95" s="196">
        <f t="shared" si="32"/>
        <v>0.42701454974963438</v>
      </c>
      <c r="AD95" s="247">
        <f t="shared" si="29"/>
        <v>0.57298545025036562</v>
      </c>
      <c r="AF95" s="251">
        <f t="shared" si="25"/>
        <v>0.55141452938062863</v>
      </c>
      <c r="AG95" s="251">
        <f t="shared" si="26"/>
        <v>0.44858547061937143</v>
      </c>
    </row>
    <row r="96" spans="1:33" x14ac:dyDescent="0.25">
      <c r="A96" s="206">
        <v>2030</v>
      </c>
      <c r="B96" s="195">
        <f t="shared" si="27"/>
        <v>28.08828799745411</v>
      </c>
      <c r="C96" s="195">
        <f t="shared" si="9"/>
        <v>31.717932586529152</v>
      </c>
      <c r="D96" s="195">
        <f t="shared" si="10"/>
        <v>22.632694203006007</v>
      </c>
      <c r="E96" s="195">
        <f t="shared" si="11"/>
        <v>82.438914786989272</v>
      </c>
      <c r="F96" s="221">
        <f t="shared" si="12"/>
        <v>0.34071637248052516</v>
      </c>
      <c r="H96" s="206">
        <v>2030</v>
      </c>
      <c r="I96" s="195">
        <f t="shared" si="13"/>
        <v>15.972114817883607</v>
      </c>
      <c r="J96" s="195">
        <f t="shared" si="14"/>
        <v>0.60415951545783875</v>
      </c>
      <c r="K96" s="195">
        <f t="shared" si="15"/>
        <v>32.291433807026891</v>
      </c>
      <c r="L96" s="195">
        <f t="shared" si="16"/>
        <v>12.911721548555469</v>
      </c>
      <c r="M96" s="195">
        <f t="shared" si="17"/>
        <v>22.482422991859821</v>
      </c>
      <c r="O96" s="195">
        <f t="shared" si="18"/>
        <v>16.576274333341445</v>
      </c>
      <c r="P96" s="196">
        <f t="shared" si="19"/>
        <v>0.96355275598675183</v>
      </c>
      <c r="Q96" s="195">
        <f t="shared" si="20"/>
        <v>67.685578347442174</v>
      </c>
      <c r="R96" s="196">
        <f t="shared" si="21"/>
        <v>0.19076030468820543</v>
      </c>
      <c r="S96" s="464">
        <f t="shared" si="22"/>
        <v>84.261852680783619</v>
      </c>
      <c r="T96" s="196">
        <f t="shared" si="28"/>
        <v>0.19672335470878813</v>
      </c>
      <c r="W96" s="195">
        <f t="shared" si="30"/>
        <v>0.79554836898496717</v>
      </c>
      <c r="X96" s="195">
        <f t="shared" si="23"/>
        <v>0.57350122049773944</v>
      </c>
      <c r="Y96" s="195">
        <f t="shared" si="31"/>
        <v>0.45388830431165061</v>
      </c>
      <c r="Z96" s="195">
        <f t="shared" si="33"/>
        <v>1.8229378937943572</v>
      </c>
      <c r="AA96" s="196">
        <f t="shared" si="34"/>
        <v>0.19508505145724564</v>
      </c>
      <c r="AB96" s="196">
        <f t="shared" si="24"/>
        <v>0.24132497199619835</v>
      </c>
      <c r="AC96" s="196">
        <f t="shared" si="32"/>
        <v>0.43641002345344398</v>
      </c>
      <c r="AD96" s="247">
        <f t="shared" si="29"/>
        <v>0.56358997654655607</v>
      </c>
      <c r="AF96" s="251">
        <f t="shared" si="25"/>
        <v>0.55297761056568118</v>
      </c>
      <c r="AG96" s="251">
        <f t="shared" si="26"/>
        <v>0.44702238943431882</v>
      </c>
    </row>
    <row r="97" spans="1:33" x14ac:dyDescent="0.25">
      <c r="A97" s="206">
        <v>2031</v>
      </c>
      <c r="B97" s="195">
        <f t="shared" si="27"/>
        <v>29.948382438703263</v>
      </c>
      <c r="C97" s="195">
        <f t="shared" si="9"/>
        <v>32.525542850060091</v>
      </c>
      <c r="D97" s="195">
        <f t="shared" si="10"/>
        <v>22.980011877761086</v>
      </c>
      <c r="E97" s="195">
        <f t="shared" si="11"/>
        <v>85.45393716652444</v>
      </c>
      <c r="F97" s="221">
        <f t="shared" si="12"/>
        <v>0.35046228917858668</v>
      </c>
      <c r="H97" s="206">
        <v>2031</v>
      </c>
      <c r="I97" s="195">
        <f t="shared" si="13"/>
        <v>17.142429049950657</v>
      </c>
      <c r="J97" s="195">
        <f t="shared" si="14"/>
        <v>0.62863331556417645</v>
      </c>
      <c r="K97" s="195">
        <f t="shared" si="15"/>
        <v>33.195579459809096</v>
      </c>
      <c r="L97" s="195">
        <f t="shared" si="16"/>
        <v>13.766800917954143</v>
      </c>
      <c r="M97" s="195">
        <f t="shared" si="17"/>
        <v>22.877531090210301</v>
      </c>
      <c r="O97" s="195">
        <f t="shared" si="18"/>
        <v>17.771062365514833</v>
      </c>
      <c r="P97" s="196">
        <f t="shared" si="19"/>
        <v>0.96462601376133517</v>
      </c>
      <c r="Q97" s="195">
        <f t="shared" si="20"/>
        <v>69.839911467973536</v>
      </c>
      <c r="R97" s="196">
        <f t="shared" si="21"/>
        <v>0.19711939245895493</v>
      </c>
      <c r="S97" s="464">
        <f t="shared" si="22"/>
        <v>87.610973833488373</v>
      </c>
      <c r="T97" s="196">
        <f t="shared" si="28"/>
        <v>0.20284059847674049</v>
      </c>
      <c r="W97" s="195">
        <f t="shared" si="30"/>
        <v>0.96084752920153704</v>
      </c>
      <c r="X97" s="195">
        <f t="shared" si="23"/>
        <v>0.6700366097490047</v>
      </c>
      <c r="Y97" s="195">
        <f t="shared" si="31"/>
        <v>0.52615252801339096</v>
      </c>
      <c r="Z97" s="195">
        <f t="shared" si="33"/>
        <v>2.1570366669639327</v>
      </c>
      <c r="AA97" s="196">
        <f t="shared" si="34"/>
        <v>0.19840005875253156</v>
      </c>
      <c r="AB97" s="196">
        <f t="shared" si="24"/>
        <v>0.24704787633238609</v>
      </c>
      <c r="AC97" s="196">
        <f t="shared" si="32"/>
        <v>0.44544793508491765</v>
      </c>
      <c r="AD97" s="247">
        <f t="shared" si="29"/>
        <v>0.55455206491508235</v>
      </c>
      <c r="AF97" s="251">
        <f t="shared" si="25"/>
        <v>0.55460550352599636</v>
      </c>
      <c r="AG97" s="251">
        <f t="shared" si="26"/>
        <v>0.44539449647400364</v>
      </c>
    </row>
    <row r="98" spans="1:33" x14ac:dyDescent="0.25">
      <c r="A98" s="206">
        <v>2032</v>
      </c>
      <c r="B98" s="195">
        <f t="shared" si="27"/>
        <v>31.889120703286004</v>
      </c>
      <c r="C98" s="195">
        <f t="shared" si="9"/>
        <v>33.326952383131434</v>
      </c>
      <c r="D98" s="195">
        <f t="shared" si="10"/>
        <v>23.340726078546599</v>
      </c>
      <c r="E98" s="195">
        <f t="shared" si="11"/>
        <v>88.556799164964048</v>
      </c>
      <c r="F98" s="221">
        <f t="shared" si="12"/>
        <v>0.360097937188118</v>
      </c>
      <c r="H98" s="206">
        <v>2032</v>
      </c>
      <c r="I98" s="195">
        <f t="shared" si="13"/>
        <v>18.377047422894776</v>
      </c>
      <c r="J98" s="195">
        <f t="shared" si="14"/>
        <v>0.65402214403437475</v>
      </c>
      <c r="K98" s="195">
        <f t="shared" si="15"/>
        <v>34.100887558379867</v>
      </c>
      <c r="L98" s="195">
        <f t="shared" si="16"/>
        <v>14.657843932712225</v>
      </c>
      <c r="M98" s="195">
        <f t="shared" si="17"/>
        <v>23.290036305545609</v>
      </c>
      <c r="O98" s="195">
        <f t="shared" si="18"/>
        <v>19.031069566929151</v>
      </c>
      <c r="P98" s="196">
        <f t="shared" si="19"/>
        <v>0.96563397859829758</v>
      </c>
      <c r="Q98" s="195">
        <f t="shared" si="20"/>
        <v>72.048767796637705</v>
      </c>
      <c r="R98" s="196">
        <f t="shared" si="21"/>
        <v>0.20344336733259527</v>
      </c>
      <c r="S98" s="464">
        <f t="shared" si="22"/>
        <v>91.079837363566853</v>
      </c>
      <c r="T98" s="196">
        <f t="shared" si="28"/>
        <v>0.20894931433575256</v>
      </c>
      <c r="W98" s="195">
        <f t="shared" si="30"/>
        <v>1.1457706523209978</v>
      </c>
      <c r="X98" s="195">
        <f t="shared" si="23"/>
        <v>0.77393517524843247</v>
      </c>
      <c r="Y98" s="195">
        <f t="shared" si="31"/>
        <v>0.60333237103338533</v>
      </c>
      <c r="Z98" s="195">
        <f t="shared" si="33"/>
        <v>2.5230381986028156</v>
      </c>
      <c r="AA98" s="196">
        <f t="shared" si="34"/>
        <v>0.20149815724911413</v>
      </c>
      <c r="AB98" s="196">
        <f t="shared" si="24"/>
        <v>0.25262522976717916</v>
      </c>
      <c r="AC98" s="196">
        <f t="shared" si="32"/>
        <v>0.45412338701629329</v>
      </c>
      <c r="AD98" s="247">
        <f t="shared" si="29"/>
        <v>0.54587661298370671</v>
      </c>
      <c r="AF98" s="251">
        <f t="shared" si="25"/>
        <v>0.5562920496717676</v>
      </c>
      <c r="AG98" s="251">
        <f t="shared" si="26"/>
        <v>0.4437079503282324</v>
      </c>
    </row>
    <row r="99" spans="1:33" x14ac:dyDescent="0.25">
      <c r="A99" s="206">
        <v>2033</v>
      </c>
      <c r="B99" s="195">
        <f t="shared" si="27"/>
        <v>33.911188408591343</v>
      </c>
      <c r="C99" s="195">
        <f t="shared" si="9"/>
        <v>34.121669267493274</v>
      </c>
      <c r="D99" s="195">
        <f t="shared" si="10"/>
        <v>23.713301631582009</v>
      </c>
      <c r="E99" s="195">
        <f t="shared" si="11"/>
        <v>91.74615930766663</v>
      </c>
      <c r="F99" s="221">
        <f t="shared" si="12"/>
        <v>0.36961970576742831</v>
      </c>
      <c r="H99" s="206">
        <v>2033</v>
      </c>
      <c r="I99" s="195">
        <f t="shared" si="13"/>
        <v>19.676559854362239</v>
      </c>
      <c r="J99" s="195">
        <f t="shared" si="14"/>
        <v>0.68028483711378185</v>
      </c>
      <c r="K99" s="195">
        <f t="shared" si="15"/>
        <v>35.005959247258552</v>
      </c>
      <c r="L99" s="195">
        <f t="shared" si="16"/>
        <v>15.584301693683237</v>
      </c>
      <c r="M99" s="195">
        <f t="shared" si="17"/>
        <v>23.717751552068144</v>
      </c>
      <c r="O99" s="195">
        <f t="shared" si="18"/>
        <v>20.35684469147602</v>
      </c>
      <c r="P99" s="196">
        <f t="shared" si="19"/>
        <v>0.96658200976506758</v>
      </c>
      <c r="Q99" s="195">
        <f t="shared" si="20"/>
        <v>74.308012493009926</v>
      </c>
      <c r="R99" s="196">
        <f t="shared" si="21"/>
        <v>0.20972572365798689</v>
      </c>
      <c r="S99" s="464">
        <f t="shared" si="22"/>
        <v>94.664857184485953</v>
      </c>
      <c r="T99" s="196">
        <f t="shared" si="28"/>
        <v>0.21504120216231815</v>
      </c>
      <c r="W99" s="195">
        <f t="shared" si="30"/>
        <v>1.3496731394541328</v>
      </c>
      <c r="X99" s="195">
        <f t="shared" si="23"/>
        <v>0.88428997976527768</v>
      </c>
      <c r="Y99" s="195">
        <f t="shared" si="31"/>
        <v>0.68473475759991587</v>
      </c>
      <c r="Z99" s="195">
        <f t="shared" si="33"/>
        <v>2.9186978768193264</v>
      </c>
      <c r="AA99" s="196">
        <f t="shared" si="34"/>
        <v>0.20437788015540509</v>
      </c>
      <c r="AB99" s="196">
        <f t="shared" si="24"/>
        <v>0.2580451579306573</v>
      </c>
      <c r="AC99" s="196">
        <f t="shared" si="32"/>
        <v>0.46242303808606239</v>
      </c>
      <c r="AD99" s="247">
        <f t="shared" si="29"/>
        <v>0.53757696191393756</v>
      </c>
      <c r="AF99" s="251">
        <f t="shared" si="25"/>
        <v>0.55802833483099956</v>
      </c>
      <c r="AG99" s="251">
        <f t="shared" si="26"/>
        <v>0.44197166516900044</v>
      </c>
    </row>
    <row r="100" spans="1:33" x14ac:dyDescent="0.25">
      <c r="A100" s="206">
        <v>2034</v>
      </c>
      <c r="B100" s="195">
        <f t="shared" si="27"/>
        <v>36.015271172008283</v>
      </c>
      <c r="C100" s="195">
        <f t="shared" si="9"/>
        <v>34.909201584895712</v>
      </c>
      <c r="D100" s="195">
        <f t="shared" si="10"/>
        <v>24.096203363086794</v>
      </c>
      <c r="E100" s="195">
        <f t="shared" si="11"/>
        <v>95.020676119990782</v>
      </c>
      <c r="F100" s="221">
        <f t="shared" si="12"/>
        <v>0.37902562518634053</v>
      </c>
      <c r="H100" s="206">
        <v>2034</v>
      </c>
      <c r="I100" s="195">
        <f t="shared" si="13"/>
        <v>21.040967916975418</v>
      </c>
      <c r="J100" s="195">
        <f t="shared" si="14"/>
        <v>0.70735833508036206</v>
      </c>
      <c r="K100" s="195">
        <f t="shared" si="15"/>
        <v>35.908963075285584</v>
      </c>
      <c r="L100" s="195">
        <f t="shared" si="16"/>
        <v>16.545351787785187</v>
      </c>
      <c r="M100" s="195">
        <f t="shared" si="17"/>
        <v>24.158211144846366</v>
      </c>
      <c r="O100" s="195">
        <f t="shared" si="18"/>
        <v>21.748326252055779</v>
      </c>
      <c r="P100" s="196">
        <f t="shared" si="19"/>
        <v>0.96747527479207751</v>
      </c>
      <c r="Q100" s="195">
        <f t="shared" si="20"/>
        <v>76.61252600791714</v>
      </c>
      <c r="R100" s="196">
        <f t="shared" si="21"/>
        <v>0.21596144455640831</v>
      </c>
      <c r="S100" s="464">
        <f t="shared" si="22"/>
        <v>98.360852259972916</v>
      </c>
      <c r="T100" s="196">
        <f t="shared" si="28"/>
        <v>0.22110754179491865</v>
      </c>
      <c r="W100" s="195">
        <f t="shared" si="30"/>
        <v>1.5710485327523216</v>
      </c>
      <c r="X100" s="195">
        <f t="shared" si="23"/>
        <v>0.99976149038987216</v>
      </c>
      <c r="Y100" s="195">
        <f t="shared" si="31"/>
        <v>0.76936611683993306</v>
      </c>
      <c r="Z100" s="195">
        <f t="shared" si="33"/>
        <v>3.3401761399821268</v>
      </c>
      <c r="AA100" s="196">
        <f t="shared" si="34"/>
        <v>0.2070458043089507</v>
      </c>
      <c r="AB100" s="196">
        <f t="shared" si="24"/>
        <v>0.26330320332174517</v>
      </c>
      <c r="AC100" s="196">
        <f t="shared" si="32"/>
        <v>0.47034900763069587</v>
      </c>
      <c r="AD100" s="247">
        <f t="shared" si="29"/>
        <v>0.52965099236930413</v>
      </c>
      <c r="AF100" s="251">
        <f t="shared" si="25"/>
        <v>0.55980388828306626</v>
      </c>
      <c r="AG100" s="251">
        <f t="shared" si="26"/>
        <v>0.44019611171693374</v>
      </c>
    </row>
    <row r="101" spans="1:33" x14ac:dyDescent="0.25">
      <c r="A101" s="206">
        <v>2035</v>
      </c>
      <c r="B101" s="195">
        <f t="shared" si="27"/>
        <v>38.202054610925821</v>
      </c>
      <c r="C101" s="195">
        <f t="shared" si="9"/>
        <v>35.68905741708884</v>
      </c>
      <c r="D101" s="195">
        <f t="shared" si="10"/>
        <v>24.487896099280416</v>
      </c>
      <c r="E101" s="195">
        <f t="shared" si="11"/>
        <v>98.379008127295066</v>
      </c>
      <c r="F101" s="221">
        <f t="shared" si="12"/>
        <v>0.38831510235898314</v>
      </c>
      <c r="H101" s="206">
        <v>2035</v>
      </c>
      <c r="I101" s="195">
        <f t="shared" si="13"/>
        <v>22.470434957856586</v>
      </c>
      <c r="J101" s="195">
        <f t="shared" si="14"/>
        <v>0.73519105181546007</v>
      </c>
      <c r="K101" s="195">
        <f t="shared" si="15"/>
        <v>36.808312341253426</v>
      </c>
      <c r="L101" s="195">
        <f t="shared" si="16"/>
        <v>17.540401355995982</v>
      </c>
      <c r="M101" s="195">
        <f t="shared" si="17"/>
        <v>24.609150334254167</v>
      </c>
      <c r="O101" s="195">
        <f t="shared" si="18"/>
        <v>23.205626009672045</v>
      </c>
      <c r="P101" s="196">
        <f t="shared" si="19"/>
        <v>0.96831841332317292</v>
      </c>
      <c r="Q101" s="195">
        <f t="shared" si="20"/>
        <v>78.957864031503576</v>
      </c>
      <c r="R101" s="196">
        <f t="shared" si="21"/>
        <v>0.22214888372610356</v>
      </c>
      <c r="S101" s="464">
        <f t="shared" si="22"/>
        <v>102.16349004117562</v>
      </c>
      <c r="T101" s="196">
        <f t="shared" si="28"/>
        <v>0.22714206415931298</v>
      </c>
      <c r="W101" s="195">
        <f t="shared" si="30"/>
        <v>1.8087817029267441</v>
      </c>
      <c r="X101" s="195">
        <f t="shared" si="23"/>
        <v>1.1192549241645864</v>
      </c>
      <c r="Y101" s="195">
        <f t="shared" si="31"/>
        <v>0.85644528678921006</v>
      </c>
      <c r="Z101" s="195">
        <f t="shared" si="33"/>
        <v>3.7844819138805406</v>
      </c>
      <c r="AA101" s="196">
        <f t="shared" si="34"/>
        <v>0.20952778383478043</v>
      </c>
      <c r="AB101" s="196">
        <f t="shared" si="24"/>
        <v>0.26841919651478391</v>
      </c>
      <c r="AC101" s="196">
        <f t="shared" si="32"/>
        <v>0.47794698034956429</v>
      </c>
      <c r="AD101" s="247">
        <f t="shared" si="29"/>
        <v>0.52205301965043571</v>
      </c>
      <c r="AF101" s="251">
        <f t="shared" si="25"/>
        <v>0.56160872973497089</v>
      </c>
      <c r="AG101" s="251">
        <f t="shared" si="26"/>
        <v>0.43839127026502916</v>
      </c>
    </row>
    <row r="102" spans="1:33" x14ac:dyDescent="0.25">
      <c r="A102" s="206">
        <v>2036</v>
      </c>
      <c r="B102" s="195">
        <f t="shared" si="27"/>
        <v>40.472224342732943</v>
      </c>
      <c r="C102" s="195">
        <f t="shared" si="9"/>
        <v>36.460744845822759</v>
      </c>
      <c r="D102" s="195">
        <f t="shared" si="10"/>
        <v>24.886844666382348</v>
      </c>
      <c r="E102" s="195">
        <f t="shared" si="11"/>
        <v>101.81981385493805</v>
      </c>
      <c r="F102" s="221">
        <f t="shared" si="12"/>
        <v>0.39748868918964464</v>
      </c>
      <c r="H102" s="206">
        <v>2036</v>
      </c>
      <c r="I102" s="195">
        <f t="shared" si="13"/>
        <v>23.965675273215055</v>
      </c>
      <c r="J102" s="195">
        <f t="shared" si="14"/>
        <v>0.76375699214215176</v>
      </c>
      <c r="K102" s="195">
        <f t="shared" si="15"/>
        <v>37.702922642441244</v>
      </c>
      <c r="L102" s="195">
        <f t="shared" si="16"/>
        <v>18.569268271657471</v>
      </c>
      <c r="M102" s="195">
        <f t="shared" si="17"/>
        <v>25.068652350750781</v>
      </c>
      <c r="O102" s="195">
        <f t="shared" si="18"/>
        <v>24.729432265357207</v>
      </c>
      <c r="P102" s="196">
        <f t="shared" si="19"/>
        <v>0.96911546597808151</v>
      </c>
      <c r="Q102" s="195">
        <f t="shared" si="20"/>
        <v>81.340843264849497</v>
      </c>
      <c r="R102" s="196">
        <f t="shared" si="21"/>
        <v>0.22828959630028775</v>
      </c>
      <c r="S102" s="464">
        <f t="shared" si="22"/>
        <v>106.0702755302067</v>
      </c>
      <c r="T102" s="196">
        <f t="shared" si="28"/>
        <v>0.23314196311590382</v>
      </c>
      <c r="W102" s="195">
        <f t="shared" si="30"/>
        <v>2.0627192021395828</v>
      </c>
      <c r="X102" s="195">
        <f t="shared" si="23"/>
        <v>1.2421777966184848</v>
      </c>
      <c r="Y102" s="195">
        <f t="shared" si="31"/>
        <v>0.9455646765105854</v>
      </c>
      <c r="Z102" s="195">
        <f t="shared" si="33"/>
        <v>4.250461675268653</v>
      </c>
      <c r="AA102" s="196">
        <f t="shared" si="34"/>
        <v>0.21186193605821996</v>
      </c>
      <c r="AB102" s="196">
        <f t="shared" si="24"/>
        <v>0.27343104144150249</v>
      </c>
      <c r="AC102" s="196">
        <f t="shared" si="32"/>
        <v>0.48529297749972239</v>
      </c>
      <c r="AD102" s="247">
        <f t="shared" si="29"/>
        <v>0.51470702250027756</v>
      </c>
      <c r="AF102" s="251">
        <f t="shared" si="25"/>
        <v>0.56343498488324795</v>
      </c>
      <c r="AG102" s="251">
        <f t="shared" si="26"/>
        <v>0.43656501511675211</v>
      </c>
    </row>
    <row r="103" spans="1:33" x14ac:dyDescent="0.25">
      <c r="A103" s="206">
        <v>2037</v>
      </c>
      <c r="B103" s="195">
        <f t="shared" si="27"/>
        <v>42.826465984818668</v>
      </c>
      <c r="C103" s="195">
        <f t="shared" si="9"/>
        <v>37.223771952847585</v>
      </c>
      <c r="D103" s="195">
        <f t="shared" si="10"/>
        <v>25.291513890612055</v>
      </c>
      <c r="E103" s="195">
        <f t="shared" si="11"/>
        <v>105.3417518282783</v>
      </c>
      <c r="F103" s="221">
        <f t="shared" si="12"/>
        <v>0.40654788098295308</v>
      </c>
      <c r="H103" s="206">
        <v>2037</v>
      </c>
      <c r="I103" s="195">
        <f t="shared" si="13"/>
        <v>25.52816249052352</v>
      </c>
      <c r="J103" s="195">
        <f t="shared" si="14"/>
        <v>0.79306070328866729</v>
      </c>
      <c r="K103" s="195">
        <f t="shared" si="15"/>
        <v>38.59236234165423</v>
      </c>
      <c r="L103" s="195">
        <f t="shared" si="16"/>
        <v>19.632260008491407</v>
      </c>
      <c r="M103" s="195">
        <f t="shared" si="17"/>
        <v>25.535247476387223</v>
      </c>
      <c r="O103" s="195">
        <f t="shared" si="18"/>
        <v>26.321223193812187</v>
      </c>
      <c r="P103" s="196">
        <f t="shared" si="19"/>
        <v>0.96986991457619243</v>
      </c>
      <c r="Q103" s="195">
        <f t="shared" si="20"/>
        <v>83.759869826532849</v>
      </c>
      <c r="R103" s="196">
        <f t="shared" si="21"/>
        <v>0.2343874226303112</v>
      </c>
      <c r="S103" s="464">
        <f t="shared" si="22"/>
        <v>110.08109302034504</v>
      </c>
      <c r="T103" s="196">
        <f t="shared" si="28"/>
        <v>0.23910757489433299</v>
      </c>
      <c r="W103" s="195">
        <f t="shared" si="30"/>
        <v>2.3339565141962595</v>
      </c>
      <c r="X103" s="195">
        <f t="shared" si="23"/>
        <v>1.3685903888066449</v>
      </c>
      <c r="Y103" s="195">
        <f t="shared" si="31"/>
        <v>1.0367942890638346</v>
      </c>
      <c r="Z103" s="195">
        <f t="shared" si="33"/>
        <v>4.739341192066739</v>
      </c>
      <c r="AA103" s="196">
        <f t="shared" si="34"/>
        <v>0.21408541723630731</v>
      </c>
      <c r="AB103" s="196">
        <f t="shared" si="24"/>
        <v>0.27837891896786965</v>
      </c>
      <c r="AC103" s="196">
        <f t="shared" si="32"/>
        <v>0.49246433620417701</v>
      </c>
      <c r="AD103" s="247">
        <f t="shared" si="29"/>
        <v>0.50753566379582304</v>
      </c>
      <c r="AF103" s="251">
        <f t="shared" si="25"/>
        <v>0.56527731756894783</v>
      </c>
      <c r="AG103" s="251">
        <f t="shared" si="26"/>
        <v>0.43472268243105211</v>
      </c>
    </row>
    <row r="104" spans="1:33" x14ac:dyDescent="0.25">
      <c r="A104" s="206">
        <v>2038</v>
      </c>
      <c r="B104" s="195">
        <f t="shared" si="27"/>
        <v>45.265465154571984</v>
      </c>
      <c r="C104" s="195">
        <f t="shared" si="9"/>
        <v>37.977646819913389</v>
      </c>
      <c r="D104" s="195">
        <f t="shared" si="10"/>
        <v>25.700368598189012</v>
      </c>
      <c r="E104" s="195">
        <f t="shared" si="11"/>
        <v>108.94348057267439</v>
      </c>
      <c r="F104" s="221">
        <f t="shared" si="12"/>
        <v>0.41549494211703786</v>
      </c>
      <c r="H104" s="206">
        <v>2038</v>
      </c>
      <c r="I104" s="195">
        <f t="shared" si="13"/>
        <v>27.159717132160303</v>
      </c>
      <c r="J104" s="195">
        <f t="shared" si="14"/>
        <v>0.82312014975191661</v>
      </c>
      <c r="K104" s="195">
        <f t="shared" si="15"/>
        <v>39.47649292894733</v>
      </c>
      <c r="L104" s="195">
        <f t="shared" si="16"/>
        <v>20.729887871902605</v>
      </c>
      <c r="M104" s="195">
        <f t="shared" si="17"/>
        <v>26.007664123141836</v>
      </c>
      <c r="O104" s="195">
        <f t="shared" si="18"/>
        <v>27.982837281912218</v>
      </c>
      <c r="P104" s="196">
        <f t="shared" si="19"/>
        <v>0.9705848216369406</v>
      </c>
      <c r="Q104" s="195">
        <f t="shared" si="20"/>
        <v>86.214044923991764</v>
      </c>
      <c r="R104" s="196">
        <f t="shared" si="21"/>
        <v>0.24044676119973885</v>
      </c>
      <c r="S104" s="464">
        <f t="shared" si="22"/>
        <v>114.19688220590399</v>
      </c>
      <c r="T104" s="196">
        <f t="shared" si="28"/>
        <v>0.2450402913054793</v>
      </c>
      <c r="W104" s="195">
        <f t="shared" si="30"/>
        <v>2.6241398494909234</v>
      </c>
      <c r="X104" s="195">
        <f t="shared" si="23"/>
        <v>1.4988461090339413</v>
      </c>
      <c r="Y104" s="195">
        <f t="shared" si="31"/>
        <v>1.1304156747047394</v>
      </c>
      <c r="Z104" s="195">
        <f t="shared" si="33"/>
        <v>5.2534016332296041</v>
      </c>
      <c r="AA104" s="196">
        <f t="shared" si="34"/>
        <v>0.2162230900808389</v>
      </c>
      <c r="AB104" s="196">
        <f t="shared" si="24"/>
        <v>0.2832894225152513</v>
      </c>
      <c r="AC104" s="196">
        <f t="shared" si="32"/>
        <v>0.4995125125960902</v>
      </c>
      <c r="AD104" s="247">
        <f t="shared" si="29"/>
        <v>0.5004874874039098</v>
      </c>
      <c r="AF104" s="251">
        <f t="shared" si="25"/>
        <v>0.56713178423284338</v>
      </c>
      <c r="AG104" s="251">
        <f t="shared" si="26"/>
        <v>0.43286821576715662</v>
      </c>
    </row>
    <row r="105" spans="1:33" x14ac:dyDescent="0.25">
      <c r="A105" s="206">
        <v>2039</v>
      </c>
      <c r="B105" s="195">
        <f t="shared" si="27"/>
        <v>47.789907469381909</v>
      </c>
      <c r="C105" s="195">
        <f t="shared" si="9"/>
        <v>38.721877528770285</v>
      </c>
      <c r="D105" s="195">
        <f t="shared" si="10"/>
        <v>26.111873615332687</v>
      </c>
      <c r="E105" s="195">
        <f t="shared" si="11"/>
        <v>112.62365861348488</v>
      </c>
      <c r="F105" s="221">
        <f t="shared" si="12"/>
        <v>0.42433275616975769</v>
      </c>
      <c r="H105" s="206">
        <v>2039</v>
      </c>
      <c r="I105" s="195">
        <f t="shared" si="13"/>
        <v>28.862747354996912</v>
      </c>
      <c r="J105" s="195">
        <f t="shared" si="14"/>
        <v>0.85397207506529849</v>
      </c>
      <c r="K105" s="195">
        <f t="shared" si="15"/>
        <v>40.355594090019984</v>
      </c>
      <c r="L105" s="195">
        <f t="shared" si="16"/>
        <v>21.862962263009244</v>
      </c>
      <c r="M105" s="195">
        <f t="shared" si="17"/>
        <v>26.484895355915558</v>
      </c>
      <c r="O105" s="195">
        <f t="shared" si="18"/>
        <v>29.716719430062209</v>
      </c>
      <c r="P105" s="196">
        <f t="shared" si="19"/>
        <v>0.97126290884580635</v>
      </c>
      <c r="Q105" s="195">
        <f t="shared" si="20"/>
        <v>88.703451708944783</v>
      </c>
      <c r="R105" s="196">
        <f t="shared" si="21"/>
        <v>0.24647250858677242</v>
      </c>
      <c r="S105" s="464">
        <f t="shared" si="22"/>
        <v>118.420171139007</v>
      </c>
      <c r="T105" s="196">
        <f t="shared" si="28"/>
        <v>0.25094305424689323</v>
      </c>
      <c r="W105" s="195">
        <f t="shared" si="30"/>
        <v>2.9358021486242478</v>
      </c>
      <c r="X105" s="195">
        <f t="shared" si="23"/>
        <v>1.6337165612496989</v>
      </c>
      <c r="Y105" s="195">
        <f t="shared" si="31"/>
        <v>1.2269938156481679</v>
      </c>
      <c r="Z105" s="195">
        <f t="shared" si="33"/>
        <v>5.7965125255221146</v>
      </c>
      <c r="AA105" s="196">
        <f t="shared" si="34"/>
        <v>0.21829353774654475</v>
      </c>
      <c r="AB105" s="196">
        <f t="shared" si="24"/>
        <v>0.28818378559190666</v>
      </c>
      <c r="AC105" s="196">
        <f t="shared" si="32"/>
        <v>0.50647732333845141</v>
      </c>
      <c r="AD105" s="247">
        <f t="shared" si="29"/>
        <v>0.49352267666154853</v>
      </c>
      <c r="AF105" s="251">
        <f t="shared" si="25"/>
        <v>0.56899642355622115</v>
      </c>
      <c r="AG105" s="251">
        <f t="shared" si="26"/>
        <v>0.43100357644377885</v>
      </c>
    </row>
    <row r="106" spans="1:33" x14ac:dyDescent="0.25">
      <c r="A106" s="206">
        <v>2040</v>
      </c>
      <c r="B106" s="195">
        <f t="shared" si="27"/>
        <v>50.400478546637409</v>
      </c>
      <c r="C106" s="195">
        <f t="shared" si="9"/>
        <v>39.455972161168368</v>
      </c>
      <c r="D106" s="195">
        <f t="shared" si="10"/>
        <v>26.524493768262541</v>
      </c>
      <c r="E106" s="195">
        <f t="shared" si="11"/>
        <v>116.38094447606832</v>
      </c>
      <c r="F106" s="221">
        <f t="shared" si="12"/>
        <v>0.43306469777791995</v>
      </c>
      <c r="H106" s="206">
        <v>2040</v>
      </c>
      <c r="I106" s="195">
        <f t="shared" si="13"/>
        <v>30.639701783861845</v>
      </c>
      <c r="J106" s="195">
        <f t="shared" si="14"/>
        <v>0.88564969622692624</v>
      </c>
      <c r="K106" s="195">
        <f t="shared" si="15"/>
        <v>41.229856856186352</v>
      </c>
      <c r="L106" s="195">
        <f t="shared" si="16"/>
        <v>23.032257691751134</v>
      </c>
      <c r="M106" s="195">
        <f t="shared" si="17"/>
        <v>26.965833926810689</v>
      </c>
      <c r="O106" s="195">
        <f t="shared" si="18"/>
        <v>31.525351480088773</v>
      </c>
      <c r="P106" s="196">
        <f t="shared" si="19"/>
        <v>0.97190674632806873</v>
      </c>
      <c r="Q106" s="195">
        <f t="shared" si="20"/>
        <v>91.227948474748175</v>
      </c>
      <c r="R106" s="196">
        <f t="shared" si="21"/>
        <v>0.2524693153450277</v>
      </c>
      <c r="S106" s="464">
        <f t="shared" si="22"/>
        <v>122.75329995483695</v>
      </c>
      <c r="T106" s="196">
        <f t="shared" si="28"/>
        <v>0.25681876977390827</v>
      </c>
      <c r="W106" s="195">
        <f t="shared" si="30"/>
        <v>3.2714809289755706</v>
      </c>
      <c r="X106" s="195">
        <f t="shared" si="23"/>
        <v>1.7738846950179834</v>
      </c>
      <c r="Y106" s="195">
        <f t="shared" si="31"/>
        <v>1.3269898547750749</v>
      </c>
      <c r="Z106" s="195">
        <f t="shared" si="33"/>
        <v>6.372355478768629</v>
      </c>
      <c r="AA106" s="196">
        <f t="shared" si="34"/>
        <v>0.22030961836878421</v>
      </c>
      <c r="AB106" s="196">
        <f t="shared" si="24"/>
        <v>0.29307682717328709</v>
      </c>
      <c r="AC106" s="196">
        <f t="shared" si="32"/>
        <v>0.51338644554207136</v>
      </c>
      <c r="AD106" s="247">
        <f t="shared" si="29"/>
        <v>0.48661355445792864</v>
      </c>
      <c r="AF106" s="251">
        <f t="shared" si="25"/>
        <v>0.57086981886293264</v>
      </c>
      <c r="AG106" s="251">
        <f t="shared" si="26"/>
        <v>0.4291301811370673</v>
      </c>
    </row>
    <row r="107" spans="1:33" x14ac:dyDescent="0.25">
      <c r="A107" s="206">
        <v>2041</v>
      </c>
      <c r="B107" s="195">
        <f t="shared" si="27"/>
        <v>53.097864003727516</v>
      </c>
      <c r="C107" s="195">
        <f t="shared" si="9"/>
        <v>40.179438798857738</v>
      </c>
      <c r="D107" s="195">
        <f t="shared" si="10"/>
        <v>26.936693883198053</v>
      </c>
      <c r="E107" s="195">
        <f t="shared" si="11"/>
        <v>120.21399668578331</v>
      </c>
      <c r="F107" s="221">
        <f t="shared" si="12"/>
        <v>0.44169452366279199</v>
      </c>
      <c r="H107" s="206">
        <v>2041</v>
      </c>
      <c r="I107" s="195">
        <f t="shared" si="13"/>
        <v>32.492411554577345</v>
      </c>
      <c r="J107" s="195">
        <f t="shared" si="14"/>
        <v>0.91816046590242795</v>
      </c>
      <c r="K107" s="195">
        <f t="shared" si="15"/>
        <v>42.098906272158736</v>
      </c>
      <c r="L107" s="195">
        <f t="shared" si="16"/>
        <v>24.238215301817227</v>
      </c>
      <c r="M107" s="195">
        <f t="shared" si="17"/>
        <v>27.449022498458824</v>
      </c>
      <c r="O107" s="195">
        <f t="shared" si="18"/>
        <v>33.410572020479769</v>
      </c>
      <c r="P107" s="196">
        <f t="shared" si="19"/>
        <v>0.97251886422837608</v>
      </c>
      <c r="Q107" s="195">
        <f t="shared" si="20"/>
        <v>93.78614407243478</v>
      </c>
      <c r="R107" s="196">
        <f t="shared" si="21"/>
        <v>0.25844132458518698</v>
      </c>
      <c r="S107" s="464">
        <f t="shared" si="22"/>
        <v>127.19671609291456</v>
      </c>
      <c r="T107" s="196">
        <f t="shared" si="28"/>
        <v>0.26266851100207683</v>
      </c>
      <c r="W107" s="195">
        <f t="shared" si="30"/>
        <v>3.6327628526670566</v>
      </c>
      <c r="X107" s="195">
        <f t="shared" si="23"/>
        <v>1.9194674733009975</v>
      </c>
      <c r="Y107" s="195">
        <f t="shared" si="31"/>
        <v>1.4304890811631985</v>
      </c>
      <c r="Z107" s="195">
        <f t="shared" si="33"/>
        <v>6.9827194071312526</v>
      </c>
      <c r="AA107" s="196">
        <f t="shared" si="34"/>
        <v>0.22227750519557948</v>
      </c>
      <c r="AB107" s="196">
        <f t="shared" si="24"/>
        <v>0.29797293605185476</v>
      </c>
      <c r="AC107" s="196">
        <f t="shared" si="32"/>
        <v>0.52025044124743425</v>
      </c>
      <c r="AD107" s="247">
        <f t="shared" si="29"/>
        <v>0.47974955875256575</v>
      </c>
      <c r="AF107" s="251">
        <f t="shared" si="25"/>
        <v>0.57274903090401619</v>
      </c>
      <c r="AG107" s="251">
        <f t="shared" si="26"/>
        <v>0.42725096909598381</v>
      </c>
    </row>
    <row r="108" spans="1:33" x14ac:dyDescent="0.25">
      <c r="A108" s="206">
        <v>2042</v>
      </c>
      <c r="B108" s="195">
        <f t="shared" si="27"/>
        <v>55.882749458041204</v>
      </c>
      <c r="C108" s="195">
        <f t="shared" si="9"/>
        <v>40.891785523588496</v>
      </c>
      <c r="D108" s="195">
        <f t="shared" si="10"/>
        <v>27.346938786358688</v>
      </c>
      <c r="E108" s="195">
        <f t="shared" si="11"/>
        <v>124.12147376798839</v>
      </c>
      <c r="F108" s="221">
        <f t="shared" si="12"/>
        <v>0.45022628044603247</v>
      </c>
      <c r="H108" s="206">
        <v>2042</v>
      </c>
      <c r="I108" s="195">
        <f t="shared" si="13"/>
        <v>34.422650342562456</v>
      </c>
      <c r="J108" s="195">
        <f t="shared" si="14"/>
        <v>0.95150330287534668</v>
      </c>
      <c r="K108" s="195">
        <f t="shared" si="15"/>
        <v>42.962211981394582</v>
      </c>
      <c r="L108" s="195">
        <f t="shared" si="16"/>
        <v>25.481196796299109</v>
      </c>
      <c r="M108" s="195">
        <f t="shared" si="17"/>
        <v>27.932827802912431</v>
      </c>
      <c r="O108" s="195">
        <f t="shared" si="18"/>
        <v>35.374153645437801</v>
      </c>
      <c r="P108" s="196">
        <f t="shared" si="19"/>
        <v>0.97310173658393495</v>
      </c>
      <c r="Q108" s="195">
        <f t="shared" si="20"/>
        <v>96.376236580606133</v>
      </c>
      <c r="R108" s="196">
        <f t="shared" si="21"/>
        <v>0.26439294270416358</v>
      </c>
      <c r="S108" s="464">
        <f t="shared" si="22"/>
        <v>131.75039022604392</v>
      </c>
      <c r="T108" s="196">
        <f t="shared" si="28"/>
        <v>0.26849372958020412</v>
      </c>
      <c r="W108" s="195">
        <f t="shared" si="30"/>
        <v>4.0210976808203611</v>
      </c>
      <c r="X108" s="195">
        <f t="shared" si="23"/>
        <v>2.0704264578060858</v>
      </c>
      <c r="Y108" s="195">
        <f t="shared" si="31"/>
        <v>1.5373923194290882</v>
      </c>
      <c r="Z108" s="195">
        <f t="shared" si="33"/>
        <v>7.6289164580555351</v>
      </c>
      <c r="AA108" s="196">
        <f t="shared" si="34"/>
        <v>0.22420581463638697</v>
      </c>
      <c r="AB108" s="196">
        <f t="shared" si="24"/>
        <v>0.30288052887369282</v>
      </c>
      <c r="AC108" s="196">
        <f t="shared" si="32"/>
        <v>0.52708634351007977</v>
      </c>
      <c r="AD108" s="247">
        <f t="shared" si="29"/>
        <v>0.47291365648992018</v>
      </c>
      <c r="AF108" s="251">
        <f t="shared" si="25"/>
        <v>0.57463171376569855</v>
      </c>
      <c r="AG108" s="251">
        <f t="shared" si="26"/>
        <v>0.42536828623430151</v>
      </c>
    </row>
    <row r="109" spans="1:33" x14ac:dyDescent="0.25">
      <c r="A109" s="206">
        <v>2043</v>
      </c>
      <c r="B109" s="195">
        <f t="shared" si="27"/>
        <v>58.755820526967511</v>
      </c>
      <c r="C109" s="195">
        <f t="shared" si="9"/>
        <v>41.592520417110734</v>
      </c>
      <c r="D109" s="195">
        <f t="shared" si="10"/>
        <v>27.753693303963917</v>
      </c>
      <c r="E109" s="195">
        <f t="shared" si="11"/>
        <v>128.10203424804217</v>
      </c>
      <c r="F109" s="221">
        <f t="shared" si="12"/>
        <v>0.45866422708947335</v>
      </c>
      <c r="H109" s="206">
        <v>2043</v>
      </c>
      <c r="I109" s="195">
        <f t="shared" si="13"/>
        <v>36.433061469842613</v>
      </c>
      <c r="J109" s="195">
        <f t="shared" si="14"/>
        <v>0.98569694999599167</v>
      </c>
      <c r="K109" s="195">
        <f t="shared" si="15"/>
        <v>43.819750786551182</v>
      </c>
      <c r="L109" s="195">
        <f t="shared" si="16"/>
        <v>26.761878411372564</v>
      </c>
      <c r="M109" s="195">
        <f t="shared" si="17"/>
        <v>28.415831985931192</v>
      </c>
      <c r="O109" s="195">
        <f t="shared" si="18"/>
        <v>37.418758419838603</v>
      </c>
      <c r="P109" s="196">
        <f t="shared" si="19"/>
        <v>0.97365767888564159</v>
      </c>
      <c r="Q109" s="195">
        <f t="shared" si="20"/>
        <v>98.997461183854938</v>
      </c>
      <c r="R109" s="196">
        <f t="shared" si="21"/>
        <v>0.27032893663476132</v>
      </c>
      <c r="S109" s="464">
        <f t="shared" si="22"/>
        <v>136.41621960369355</v>
      </c>
      <c r="T109" s="196">
        <f t="shared" si="28"/>
        <v>0.27429845606735659</v>
      </c>
      <c r="W109" s="195">
        <f t="shared" si="30"/>
        <v>4.4391193542476657</v>
      </c>
      <c r="X109" s="195">
        <f t="shared" si="23"/>
        <v>2.2272303694404485</v>
      </c>
      <c r="Y109" s="195">
        <f t="shared" si="31"/>
        <v>1.6478356319632645</v>
      </c>
      <c r="Z109" s="195">
        <f t="shared" si="33"/>
        <v>8.3141853556513787</v>
      </c>
      <c r="AA109" s="196">
        <f t="shared" si="34"/>
        <v>0.22610564637834754</v>
      </c>
      <c r="AB109" s="196">
        <f t="shared" si="24"/>
        <v>0.30781549734865327</v>
      </c>
      <c r="AC109" s="196">
        <f t="shared" si="32"/>
        <v>0.53392114372700084</v>
      </c>
      <c r="AD109" s="247">
        <f t="shared" si="29"/>
        <v>0.46607885627299911</v>
      </c>
      <c r="AF109" s="251">
        <f t="shared" si="25"/>
        <v>0.57651865067558061</v>
      </c>
      <c r="AG109" s="251">
        <f t="shared" si="26"/>
        <v>0.42348134932441933</v>
      </c>
    </row>
    <row r="110" spans="1:33" x14ac:dyDescent="0.25">
      <c r="A110" s="206">
        <v>2044</v>
      </c>
      <c r="B110" s="195">
        <f t="shared" si="27"/>
        <v>61.717762827895399</v>
      </c>
      <c r="C110" s="195">
        <f t="shared" si="9"/>
        <v>42.281151561174553</v>
      </c>
      <c r="D110" s="195">
        <f t="shared" si="10"/>
        <v>28.155422262233209</v>
      </c>
      <c r="E110" s="195">
        <f t="shared" si="11"/>
        <v>132.15433665130314</v>
      </c>
      <c r="F110" s="221">
        <f t="shared" si="12"/>
        <v>0.46701277000649088</v>
      </c>
      <c r="H110" s="206">
        <v>2044</v>
      </c>
      <c r="I110" s="195">
        <f t="shared" si="13"/>
        <v>38.52666993793185</v>
      </c>
      <c r="J110" s="195">
        <f t="shared" si="14"/>
        <v>1.0207637430825671</v>
      </c>
      <c r="K110" s="195">
        <f t="shared" si="15"/>
        <v>44.671622751145257</v>
      </c>
      <c r="L110" s="195">
        <f t="shared" si="16"/>
        <v>28.08101010340102</v>
      </c>
      <c r="M110" s="195">
        <f t="shared" si="17"/>
        <v>28.896613007298225</v>
      </c>
      <c r="O110" s="195">
        <f t="shared" si="18"/>
        <v>39.547433681014418</v>
      </c>
      <c r="P110" s="196">
        <f t="shared" si="19"/>
        <v>0.97418887528035458</v>
      </c>
      <c r="Q110" s="195">
        <f t="shared" si="20"/>
        <v>101.64924586184449</v>
      </c>
      <c r="R110" s="196">
        <f t="shared" si="21"/>
        <v>0.27625399347838775</v>
      </c>
      <c r="S110" s="464">
        <f t="shared" si="22"/>
        <v>141.1966795428589</v>
      </c>
      <c r="T110" s="196">
        <f t="shared" si="28"/>
        <v>0.28008756161302062</v>
      </c>
      <c r="W110" s="195">
        <f t="shared" si="30"/>
        <v>4.8899172134374709</v>
      </c>
      <c r="X110" s="195">
        <f t="shared" si="23"/>
        <v>2.3904711899707038</v>
      </c>
      <c r="Y110" s="195">
        <f t="shared" si="31"/>
        <v>1.7619544881475839</v>
      </c>
      <c r="Z110" s="195">
        <f t="shared" si="33"/>
        <v>9.0423428915557587</v>
      </c>
      <c r="AA110" s="196">
        <f t="shared" si="34"/>
        <v>0.22798640644753507</v>
      </c>
      <c r="AB110" s="196">
        <f t="shared" si="24"/>
        <v>0.31279348567577148</v>
      </c>
      <c r="AC110" s="196">
        <f t="shared" si="32"/>
        <v>0.54077989212330657</v>
      </c>
      <c r="AD110" s="247">
        <f t="shared" si="29"/>
        <v>0.45922010787669348</v>
      </c>
      <c r="AF110" s="251">
        <f t="shared" si="25"/>
        <v>0.57841182749533426</v>
      </c>
      <c r="AG110" s="251">
        <f t="shared" si="26"/>
        <v>0.42158817250466568</v>
      </c>
    </row>
    <row r="111" spans="1:33" x14ac:dyDescent="0.25">
      <c r="A111" s="206">
        <v>2045</v>
      </c>
      <c r="B111" s="195">
        <f t="shared" si="27"/>
        <v>64.769261978213891</v>
      </c>
      <c r="C111" s="195">
        <f t="shared" si="9"/>
        <v>42.957187037530048</v>
      </c>
      <c r="D111" s="195">
        <f t="shared" si="10"/>
        <v>28.550590487386025</v>
      </c>
      <c r="E111" s="195">
        <f t="shared" si="11"/>
        <v>136.27703950312997</v>
      </c>
      <c r="F111" s="221">
        <f t="shared" si="12"/>
        <v>0.47527640910284297</v>
      </c>
      <c r="H111" s="206">
        <v>2045</v>
      </c>
      <c r="I111" s="195">
        <f t="shared" si="13"/>
        <v>40.706559409250097</v>
      </c>
      <c r="J111" s="195">
        <f t="shared" si="14"/>
        <v>1.0567257051313894</v>
      </c>
      <c r="K111" s="195">
        <f t="shared" si="15"/>
        <v>45.51788029032064</v>
      </c>
      <c r="L111" s="195">
        <f t="shared" si="16"/>
        <v>29.439320850473742</v>
      </c>
      <c r="M111" s="195">
        <f t="shared" si="17"/>
        <v>29.37376322437057</v>
      </c>
      <c r="O111" s="195">
        <f t="shared" si="18"/>
        <v>41.763285114381489</v>
      </c>
      <c r="P111" s="196">
        <f t="shared" si="19"/>
        <v>0.97469725616083058</v>
      </c>
      <c r="Q111" s="195">
        <f t="shared" si="20"/>
        <v>104.33096436516496</v>
      </c>
      <c r="R111" s="196">
        <f t="shared" si="21"/>
        <v>0.2821724214820277</v>
      </c>
      <c r="S111" s="464">
        <f t="shared" si="22"/>
        <v>146.09424947954645</v>
      </c>
      <c r="T111" s="196">
        <f t="shared" si="28"/>
        <v>0.28586535926746692</v>
      </c>
      <c r="W111" s="195">
        <f t="shared" si="30"/>
        <v>5.3766182815099484</v>
      </c>
      <c r="X111" s="195">
        <f t="shared" si="23"/>
        <v>2.5606932527905926</v>
      </c>
      <c r="Y111" s="195">
        <f t="shared" si="31"/>
        <v>1.8798984421159339</v>
      </c>
      <c r="Z111" s="195">
        <f t="shared" si="33"/>
        <v>9.8172099764164749</v>
      </c>
      <c r="AA111" s="196">
        <f t="shared" si="34"/>
        <v>0.22985118210704419</v>
      </c>
      <c r="AB111" s="196">
        <f t="shared" si="24"/>
        <v>0.31782155733990691</v>
      </c>
      <c r="AC111" s="196">
        <f t="shared" si="32"/>
        <v>0.54767273944695105</v>
      </c>
      <c r="AD111" s="247">
        <f t="shared" si="29"/>
        <v>0.45232726055304895</v>
      </c>
      <c r="AF111" s="251">
        <f t="shared" si="25"/>
        <v>0.5803129030319244</v>
      </c>
      <c r="AG111" s="251">
        <f t="shared" si="26"/>
        <v>0.41968709696807566</v>
      </c>
    </row>
    <row r="112" spans="1:33" x14ac:dyDescent="0.25">
      <c r="A112" s="206">
        <v>2046</v>
      </c>
      <c r="B112" s="195">
        <f t="shared" si="27"/>
        <v>67.911003595311968</v>
      </c>
      <c r="C112" s="195">
        <f t="shared" si="9"/>
        <v>43.620134927927324</v>
      </c>
      <c r="D112" s="195">
        <f t="shared" si="10"/>
        <v>28.937662805641846</v>
      </c>
      <c r="E112" s="195">
        <f t="shared" si="11"/>
        <v>140.46880132888114</v>
      </c>
      <c r="F112" s="221">
        <f t="shared" si="12"/>
        <v>0.48345969320483623</v>
      </c>
      <c r="H112" s="206">
        <v>2046</v>
      </c>
      <c r="I112" s="195">
        <f t="shared" si="13"/>
        <v>42.975480092355362</v>
      </c>
      <c r="J112" s="195">
        <f t="shared" si="14"/>
        <v>1.093599581659126</v>
      </c>
      <c r="K112" s="195">
        <f t="shared" si="15"/>
        <v>46.358408867674122</v>
      </c>
      <c r="L112" s="195">
        <f t="shared" si="16"/>
        <v>30.837405370600813</v>
      </c>
      <c r="M112" s="195">
        <f t="shared" si="17"/>
        <v>29.845820639941618</v>
      </c>
      <c r="O112" s="195">
        <f t="shared" si="18"/>
        <v>44.069079674014489</v>
      </c>
      <c r="P112" s="196">
        <f t="shared" si="19"/>
        <v>0.97518442432316166</v>
      </c>
      <c r="Q112" s="195">
        <f t="shared" si="20"/>
        <v>107.04163487821654</v>
      </c>
      <c r="R112" s="196">
        <f t="shared" si="21"/>
        <v>0.28808795199816556</v>
      </c>
      <c r="S112" s="464">
        <f t="shared" si="22"/>
        <v>151.11071455223103</v>
      </c>
      <c r="T112" s="196">
        <f t="shared" si="28"/>
        <v>0.29163438082203047</v>
      </c>
      <c r="W112" s="195">
        <f t="shared" si="30"/>
        <v>5.9018818676442066</v>
      </c>
      <c r="X112" s="195">
        <f t="shared" si="23"/>
        <v>2.7382739397467972</v>
      </c>
      <c r="Y112" s="195">
        <f t="shared" si="31"/>
        <v>2.0017574159588989</v>
      </c>
      <c r="Z112" s="195">
        <f t="shared" si="33"/>
        <v>10.641913223349903</v>
      </c>
      <c r="AA112" s="196">
        <f t="shared" si="34"/>
        <v>0.23169488488777976</v>
      </c>
      <c r="AB112" s="196">
        <f t="shared" si="24"/>
        <v>0.32289353768031837</v>
      </c>
      <c r="AC112" s="196">
        <f t="shared" si="32"/>
        <v>0.55458842256809804</v>
      </c>
      <c r="AD112" s="247">
        <f t="shared" si="29"/>
        <v>0.44541157743190191</v>
      </c>
      <c r="AF112" s="251">
        <f t="shared" si="25"/>
        <v>0.58222192267396311</v>
      </c>
      <c r="AG112" s="251">
        <f t="shared" si="26"/>
        <v>0.41777807732603695</v>
      </c>
    </row>
    <row r="113" spans="1:53" x14ac:dyDescent="0.25">
      <c r="A113" s="206">
        <v>2047</v>
      </c>
      <c r="B113" s="195">
        <f t="shared" si="27"/>
        <v>71.143673296578612</v>
      </c>
      <c r="C113" s="195">
        <f t="shared" si="9"/>
        <v>44.269503314116484</v>
      </c>
      <c r="D113" s="195">
        <f t="shared" si="10"/>
        <v>29.315104043220138</v>
      </c>
      <c r="E113" s="195">
        <f t="shared" si="11"/>
        <v>144.72828065391525</v>
      </c>
      <c r="F113" s="221">
        <f t="shared" si="12"/>
        <v>0.49156718351890411</v>
      </c>
      <c r="H113" s="206">
        <v>2047</v>
      </c>
      <c r="I113" s="195">
        <f t="shared" si="13"/>
        <v>45.336165619340306</v>
      </c>
      <c r="J113" s="195">
        <f t="shared" si="14"/>
        <v>1.1314011158979933</v>
      </c>
      <c r="K113" s="195">
        <f t="shared" si="15"/>
        <v>47.192981463932405</v>
      </c>
      <c r="L113" s="195">
        <f t="shared" si="16"/>
        <v>32.275910259480106</v>
      </c>
      <c r="M113" s="195">
        <f t="shared" si="17"/>
        <v>30.311369782366711</v>
      </c>
      <c r="O113" s="195">
        <f t="shared" si="18"/>
        <v>46.4675667352383</v>
      </c>
      <c r="P113" s="196">
        <f t="shared" si="19"/>
        <v>0.97565181059846617</v>
      </c>
      <c r="Q113" s="195">
        <f t="shared" si="20"/>
        <v>109.78026150577922</v>
      </c>
      <c r="R113" s="196">
        <f t="shared" si="21"/>
        <v>0.29400467640333494</v>
      </c>
      <c r="S113" s="464">
        <f t="shared" si="22"/>
        <v>156.24782824101752</v>
      </c>
      <c r="T113" s="196">
        <f t="shared" si="28"/>
        <v>0.29739656069689824</v>
      </c>
      <c r="W113" s="195">
        <f t="shared" si="30"/>
        <v>6.4684025822417937</v>
      </c>
      <c r="X113" s="195">
        <f t="shared" si="23"/>
        <v>2.9234781498159208</v>
      </c>
      <c r="Y113" s="195">
        <f t="shared" si="31"/>
        <v>2.1276668550445663</v>
      </c>
      <c r="Z113" s="195">
        <f t="shared" si="33"/>
        <v>11.519547587102281</v>
      </c>
      <c r="AA113" s="196">
        <f t="shared" si="34"/>
        <v>0.23351286824882203</v>
      </c>
      <c r="AB113" s="196">
        <f t="shared" si="24"/>
        <v>0.32800246326333399</v>
      </c>
      <c r="AC113" s="196">
        <f t="shared" si="32"/>
        <v>0.56151533151215594</v>
      </c>
      <c r="AD113" s="247">
        <f t="shared" si="29"/>
        <v>0.43848466848784401</v>
      </c>
      <c r="AF113" s="251">
        <f t="shared" si="25"/>
        <v>0.58413803658757846</v>
      </c>
      <c r="AG113" s="251">
        <f t="shared" si="26"/>
        <v>0.41586196341242165</v>
      </c>
    </row>
    <row r="114" spans="1:53" x14ac:dyDescent="0.25">
      <c r="A114" s="206">
        <v>2048</v>
      </c>
      <c r="B114" s="195">
        <f t="shared" si="27"/>
        <v>74.467956699402905</v>
      </c>
      <c r="C114" s="195">
        <f t="shared" si="9"/>
        <v>44.904800277847613</v>
      </c>
      <c r="D114" s="195">
        <f t="shared" si="10"/>
        <v>29.681379026340363</v>
      </c>
      <c r="E114" s="195">
        <f t="shared" si="11"/>
        <v>149.05413600359088</v>
      </c>
      <c r="F114" s="221">
        <f t="shared" si="12"/>
        <v>0.49960342393725249</v>
      </c>
      <c r="H114" s="206">
        <v>2048</v>
      </c>
      <c r="I114" s="195">
        <f t="shared" si="13"/>
        <v>47.791855775349418</v>
      </c>
      <c r="J114" s="195">
        <f t="shared" si="14"/>
        <v>1.1701493523784443</v>
      </c>
      <c r="K114" s="195">
        <f t="shared" si="15"/>
        <v>48.021421463434159</v>
      </c>
      <c r="L114" s="195">
        <f t="shared" si="16"/>
        <v>33.755703311153489</v>
      </c>
      <c r="M114" s="195">
        <f t="shared" si="17"/>
        <v>30.769107437378217</v>
      </c>
      <c r="O114" s="195">
        <f t="shared" si="18"/>
        <v>48.962005127727863</v>
      </c>
      <c r="P114" s="196">
        <f t="shared" si="19"/>
        <v>0.97610086945324526</v>
      </c>
      <c r="Q114" s="195">
        <f t="shared" si="20"/>
        <v>112.54623221196587</v>
      </c>
      <c r="R114" s="196">
        <f t="shared" si="21"/>
        <v>0.29992744001930788</v>
      </c>
      <c r="S114" s="464">
        <f t="shared" si="22"/>
        <v>161.50823733969372</v>
      </c>
      <c r="T114" s="196">
        <f t="shared" si="28"/>
        <v>0.30315484791495845</v>
      </c>
      <c r="W114" s="195">
        <f t="shared" si="30"/>
        <v>7.079602387099996</v>
      </c>
      <c r="X114" s="195">
        <f t="shared" si="23"/>
        <v>3.1166211855865456</v>
      </c>
      <c r="Y114" s="195">
        <f t="shared" si="31"/>
        <v>2.2578777634162996</v>
      </c>
      <c r="Z114" s="195">
        <f t="shared" si="33"/>
        <v>12.454101336102841</v>
      </c>
      <c r="AA114" s="196">
        <f t="shared" si="34"/>
        <v>0.23530581881276763</v>
      </c>
      <c r="AB114" s="196">
        <f t="shared" si="24"/>
        <v>0.33314967998561923</v>
      </c>
      <c r="AC114" s="196">
        <f t="shared" si="32"/>
        <v>0.56845549879838675</v>
      </c>
      <c r="AD114" s="247">
        <f t="shared" si="29"/>
        <v>0.4315445012016132</v>
      </c>
      <c r="AF114" s="251">
        <f t="shared" si="25"/>
        <v>0.58606114408223342</v>
      </c>
      <c r="AG114" s="251">
        <f t="shared" si="26"/>
        <v>0.41393885591776669</v>
      </c>
    </row>
    <row r="115" spans="1:53" x14ac:dyDescent="0.25">
      <c r="A115" s="206">
        <v>2049</v>
      </c>
      <c r="B115" s="195">
        <f t="shared" si="27"/>
        <v>77.884539421173741</v>
      </c>
      <c r="C115" s="195">
        <f t="shared" si="9"/>
        <v>45.525533900870826</v>
      </c>
      <c r="D115" s="195">
        <f t="shared" si="10"/>
        <v>30.034952581221997</v>
      </c>
      <c r="E115" s="195">
        <f t="shared" si="11"/>
        <v>153.44502590326658</v>
      </c>
      <c r="F115" s="221">
        <f t="shared" si="12"/>
        <v>0.50757291715844222</v>
      </c>
      <c r="H115" s="206">
        <v>2049</v>
      </c>
      <c r="I115" s="195">
        <f t="shared" si="13"/>
        <v>50.345986306138258</v>
      </c>
      <c r="J115" s="195">
        <f t="shared" si="14"/>
        <v>1.2098633896279847</v>
      </c>
      <c r="K115" s="195">
        <f t="shared" si="15"/>
        <v>48.843510887152696</v>
      </c>
      <c r="L115" s="195">
        <f t="shared" si="16"/>
        <v>35.277736021591231</v>
      </c>
      <c r="M115" s="195">
        <f t="shared" si="17"/>
        <v>31.217785746618226</v>
      </c>
      <c r="O115" s="195">
        <f t="shared" si="18"/>
        <v>51.555849695766241</v>
      </c>
      <c r="P115" s="196">
        <f t="shared" si="19"/>
        <v>0.97653295607060209</v>
      </c>
      <c r="Q115" s="195">
        <f t="shared" si="20"/>
        <v>115.33903265536216</v>
      </c>
      <c r="R115" s="196">
        <f t="shared" si="21"/>
        <v>0.30586120942250816</v>
      </c>
      <c r="S115" s="464">
        <f t="shared" si="22"/>
        <v>166.89488235112839</v>
      </c>
      <c r="T115" s="196">
        <f t="shared" si="28"/>
        <v>0.30891210664745505</v>
      </c>
      <c r="W115" s="195">
        <f t="shared" si="30"/>
        <v>7.7391829065557545</v>
      </c>
      <c r="X115" s="195">
        <f t="shared" si="23"/>
        <v>3.3179769862818702</v>
      </c>
      <c r="Y115" s="195">
        <f t="shared" si="31"/>
        <v>2.3926965550242123</v>
      </c>
      <c r="Z115" s="195">
        <f t="shared" si="33"/>
        <v>13.449856447861837</v>
      </c>
      <c r="AA115" s="196">
        <f t="shared" si="34"/>
        <v>0.23707407451984525</v>
      </c>
      <c r="AB115" s="196">
        <f t="shared" si="24"/>
        <v>0.33833600041713108</v>
      </c>
      <c r="AC115" s="196">
        <f t="shared" si="32"/>
        <v>0.57541007493697638</v>
      </c>
      <c r="AD115" s="247">
        <f t="shared" si="29"/>
        <v>0.42458992506302362</v>
      </c>
      <c r="AF115" s="251">
        <f t="shared" si="25"/>
        <v>0.58799109566197361</v>
      </c>
      <c r="AG115" s="251">
        <f t="shared" si="26"/>
        <v>0.41200890433802634</v>
      </c>
    </row>
    <row r="116" spans="1:53" ht="13.8" thickBot="1" x14ac:dyDescent="0.3">
      <c r="A116" s="208">
        <v>2050</v>
      </c>
      <c r="B116" s="195">
        <f t="shared" si="27"/>
        <v>81.394107079280218</v>
      </c>
      <c r="C116" s="195">
        <f t="shared" si="9"/>
        <v>46.131212264936202</v>
      </c>
      <c r="D116" s="195">
        <f t="shared" si="10"/>
        <v>30.374289534084511</v>
      </c>
      <c r="E116" s="195">
        <f t="shared" si="11"/>
        <v>157.89960887830094</v>
      </c>
      <c r="F116" s="222">
        <f t="shared" si="12"/>
        <v>0.51548010572979741</v>
      </c>
      <c r="H116" s="208">
        <v>2050</v>
      </c>
      <c r="I116" s="195">
        <f t="shared" si="13"/>
        <v>53.001977923760435</v>
      </c>
      <c r="J116" s="195">
        <f t="shared" si="14"/>
        <v>1.2505629234554345</v>
      </c>
      <c r="K116" s="195">
        <f t="shared" si="15"/>
        <v>49.659020220181745</v>
      </c>
      <c r="L116" s="195">
        <f t="shared" si="16"/>
        <v>36.842881996406234</v>
      </c>
      <c r="M116" s="195">
        <f t="shared" si="17"/>
        <v>31.656083012469356</v>
      </c>
      <c r="O116" s="195">
        <f t="shared" si="18"/>
        <v>54.252540847215869</v>
      </c>
      <c r="P116" s="210">
        <f t="shared" si="19"/>
        <v>0.97694922847987475</v>
      </c>
      <c r="Q116" s="195">
        <f t="shared" si="20"/>
        <v>118.15798522905733</v>
      </c>
      <c r="R116" s="210">
        <f t="shared" si="21"/>
        <v>0.31181034379507899</v>
      </c>
      <c r="S116" s="464">
        <f t="shared" si="22"/>
        <v>172.41052607627319</v>
      </c>
      <c r="T116" s="196">
        <f t="shared" si="28"/>
        <v>0.31467069953266619</v>
      </c>
      <c r="W116" s="195">
        <f t="shared" si="30"/>
        <v>8.4507528408864516</v>
      </c>
      <c r="X116" s="195">
        <f t="shared" si="23"/>
        <v>3.5278079552455424</v>
      </c>
      <c r="Y116" s="195">
        <f t="shared" si="31"/>
        <v>2.532356401840282</v>
      </c>
      <c r="Z116" s="195">
        <f t="shared" si="33"/>
        <v>14.510917197972276</v>
      </c>
      <c r="AA116" s="196">
        <f t="shared" si="34"/>
        <v>0.23881461173265309</v>
      </c>
      <c r="AB116" s="196">
        <f t="shared" si="24"/>
        <v>0.34355745514588582</v>
      </c>
      <c r="AC116" s="196">
        <f t="shared" si="32"/>
        <v>0.58237206687853893</v>
      </c>
      <c r="AD116" s="247">
        <f t="shared" si="29"/>
        <v>0.41762793312146101</v>
      </c>
      <c r="AF116" s="251">
        <f t="shared" si="25"/>
        <v>0.58992777072451708</v>
      </c>
      <c r="AG116" s="251">
        <f t="shared" si="26"/>
        <v>0.41007222927548292</v>
      </c>
    </row>
    <row r="117" spans="1:53" x14ac:dyDescent="0.25">
      <c r="A117" s="213">
        <v>2051</v>
      </c>
      <c r="B117" s="195">
        <f t="shared" si="27"/>
        <v>84.997345291111245</v>
      </c>
      <c r="C117" s="195">
        <f t="shared" si="9"/>
        <v>46.721343451793857</v>
      </c>
      <c r="D117" s="195">
        <f t="shared" si="10"/>
        <v>30.697854711147372</v>
      </c>
      <c r="E117" s="195">
        <f t="shared" si="11"/>
        <v>162.41654345405249</v>
      </c>
      <c r="F117" s="214">
        <f t="shared" si="12"/>
        <v>0.52332935724098162</v>
      </c>
      <c r="H117" s="213">
        <v>2051</v>
      </c>
      <c r="I117" s="195">
        <f t="shared" si="13"/>
        <v>55.763156008480927</v>
      </c>
      <c r="J117" s="195">
        <f t="shared" si="14"/>
        <v>1.2922656623343332</v>
      </c>
      <c r="K117" s="195">
        <f t="shared" si="15"/>
        <v>50.467755703900501</v>
      </c>
      <c r="L117" s="195">
        <f t="shared" si="16"/>
        <v>38.451855309317843</v>
      </c>
      <c r="M117" s="195">
        <f t="shared" si="17"/>
        <v>32.082510867784201</v>
      </c>
      <c r="O117" s="195">
        <f t="shared" si="18"/>
        <v>57.055421670815257</v>
      </c>
      <c r="P117" s="214">
        <f t="shared" si="19"/>
        <v>0.97735069473695002</v>
      </c>
      <c r="Q117" s="195">
        <f t="shared" si="20"/>
        <v>121.00212188100255</v>
      </c>
      <c r="R117" s="214">
        <f t="shared" si="21"/>
        <v>0.31777835554927419</v>
      </c>
      <c r="S117" s="464">
        <f t="shared" si="22"/>
        <v>178.05754355181782</v>
      </c>
      <c r="T117" s="196">
        <f t="shared" si="28"/>
        <v>0.32043248790642304</v>
      </c>
      <c r="W117" s="195">
        <f t="shared" si="30"/>
        <v>9.2176660266875245</v>
      </c>
      <c r="X117" s="195">
        <f t="shared" si="23"/>
        <v>3.7464122521066443</v>
      </c>
      <c r="Y117" s="195">
        <f t="shared" si="31"/>
        <v>2.6769218189711594</v>
      </c>
      <c r="Z117" s="195">
        <f t="shared" si="33"/>
        <v>15.641000097765328</v>
      </c>
      <c r="AA117" s="196">
        <f t="shared" si="34"/>
        <v>0.24052135666955812</v>
      </c>
      <c r="AB117" s="196">
        <f t="shared" si="24"/>
        <v>0.34880579434839226</v>
      </c>
      <c r="AC117" s="196">
        <f t="shared" si="32"/>
        <v>0.58932715101795041</v>
      </c>
      <c r="AD117" s="247">
        <f t="shared" si="29"/>
        <v>0.41067284898204959</v>
      </c>
      <c r="AF117" s="251">
        <f t="shared" si="25"/>
        <v>0.59187124459800755</v>
      </c>
      <c r="AG117" s="251">
        <f t="shared" si="26"/>
        <v>0.40812875540199245</v>
      </c>
    </row>
    <row r="118" spans="1:53" x14ac:dyDescent="0.25">
      <c r="A118" s="194">
        <v>2052</v>
      </c>
      <c r="B118" s="195">
        <f t="shared" si="27"/>
        <v>88.694939674055902</v>
      </c>
      <c r="C118" s="195">
        <f t="shared" si="9"/>
        <v>47.295435543193875</v>
      </c>
      <c r="D118" s="195">
        <f t="shared" si="10"/>
        <v>31.00411293863004</v>
      </c>
      <c r="E118" s="195">
        <f t="shared" si="11"/>
        <v>166.99448815587982</v>
      </c>
      <c r="F118" s="196">
        <f t="shared" si="12"/>
        <v>0.53112495300601925</v>
      </c>
      <c r="H118" s="194">
        <v>2052</v>
      </c>
      <c r="I118" s="195">
        <f t="shared" si="13"/>
        <v>58.632622491288913</v>
      </c>
      <c r="J118" s="195">
        <f t="shared" si="14"/>
        <v>1.3349885999413</v>
      </c>
      <c r="K118" s="195">
        <f t="shared" si="15"/>
        <v>51.269478489489529</v>
      </c>
      <c r="L118" s="195">
        <f t="shared" si="16"/>
        <v>40.1052402552465</v>
      </c>
      <c r="M118" s="195">
        <f t="shared" si="17"/>
        <v>32.495500497255136</v>
      </c>
      <c r="O118" s="195">
        <f t="shared" si="18"/>
        <v>59.967611091230211</v>
      </c>
      <c r="P118" s="196">
        <f t="shared" si="19"/>
        <v>0.97773817272943642</v>
      </c>
      <c r="Q118" s="195">
        <f t="shared" si="20"/>
        <v>123.87021924199117</v>
      </c>
      <c r="R118" s="196">
        <f t="shared" si="21"/>
        <v>0.3237682188718618</v>
      </c>
      <c r="S118" s="464">
        <f t="shared" si="22"/>
        <v>183.83783033322138</v>
      </c>
      <c r="T118" s="196">
        <f t="shared" si="28"/>
        <v>0.3261984270731107</v>
      </c>
      <c r="W118" s="195">
        <f t="shared" si="30"/>
        <v>10.04292307247951</v>
      </c>
      <c r="X118" s="195">
        <f t="shared" si="23"/>
        <v>3.9740429462956541</v>
      </c>
      <c r="Y118" s="195">
        <f t="shared" si="31"/>
        <v>2.8263761585663936</v>
      </c>
      <c r="Z118" s="195">
        <f t="shared" si="33"/>
        <v>16.843342177341558</v>
      </c>
      <c r="AA118" s="196">
        <f t="shared" si="34"/>
        <v>0.24218612835472753</v>
      </c>
      <c r="AB118" s="196">
        <f t="shared" si="24"/>
        <v>0.35406863906249658</v>
      </c>
      <c r="AC118" s="196">
        <f t="shared" si="32"/>
        <v>0.59625476741722405</v>
      </c>
      <c r="AD118" s="247">
        <f t="shared" si="29"/>
        <v>0.40374523258277595</v>
      </c>
      <c r="AF118" s="251">
        <f t="shared" si="25"/>
        <v>0.59382106175218241</v>
      </c>
      <c r="AG118" s="251">
        <f t="shared" si="26"/>
        <v>0.40617893824781764</v>
      </c>
    </row>
    <row r="119" spans="1:53" x14ac:dyDescent="0.25">
      <c r="A119" s="194">
        <v>2053</v>
      </c>
      <c r="B119" s="195">
        <f t="shared" si="27"/>
        <v>92.487575845503102</v>
      </c>
      <c r="C119" s="195">
        <f t="shared" si="9"/>
        <v>47.852996620886358</v>
      </c>
      <c r="D119" s="195">
        <f t="shared" si="10"/>
        <v>31.291529042751993</v>
      </c>
      <c r="E119" s="195">
        <f t="shared" si="11"/>
        <v>171.63210150914145</v>
      </c>
      <c r="F119" s="196">
        <f t="shared" si="12"/>
        <v>0.53887107966557779</v>
      </c>
      <c r="H119" s="194">
        <v>2053</v>
      </c>
      <c r="I119" s="195">
        <f t="shared" si="13"/>
        <v>61.613302263473415</v>
      </c>
      <c r="J119" s="195">
        <f t="shared" si="14"/>
        <v>1.3787468638630116</v>
      </c>
      <c r="K119" s="195">
        <f t="shared" si="15"/>
        <v>52.063825116957773</v>
      </c>
      <c r="L119" s="195">
        <f t="shared" si="16"/>
        <v>41.803645923639834</v>
      </c>
      <c r="M119" s="195">
        <f t="shared" si="17"/>
        <v>32.893559460202944</v>
      </c>
      <c r="O119" s="195">
        <f t="shared" si="18"/>
        <v>62.992049127336429</v>
      </c>
      <c r="P119" s="196">
        <f t="shared" si="19"/>
        <v>0.97811236683099612</v>
      </c>
      <c r="Q119" s="195">
        <f t="shared" si="20"/>
        <v>126.76103050080054</v>
      </c>
      <c r="R119" s="196">
        <f t="shared" si="21"/>
        <v>0.32978310257091059</v>
      </c>
      <c r="S119" s="464">
        <f t="shared" si="22"/>
        <v>189.75307962813696</v>
      </c>
      <c r="T119" s="196">
        <f t="shared" si="28"/>
        <v>0.33196852062049931</v>
      </c>
      <c r="W119" s="195">
        <f t="shared" si="30"/>
        <v>10.929372341610147</v>
      </c>
      <c r="X119" s="195">
        <f t="shared" si="23"/>
        <v>4.2108284960714144</v>
      </c>
      <c r="Y119" s="195">
        <f t="shared" si="31"/>
        <v>2.9807772813139657</v>
      </c>
      <c r="Z119" s="195">
        <f t="shared" si="33"/>
        <v>18.120978118995527</v>
      </c>
      <c r="AA119" s="196">
        <f t="shared" si="34"/>
        <v>0.24380130655789725</v>
      </c>
      <c r="AB119" s="196">
        <f t="shared" si="24"/>
        <v>0.35933238025745756</v>
      </c>
      <c r="AC119" s="196">
        <f t="shared" si="32"/>
        <v>0.60313368681535484</v>
      </c>
      <c r="AD119" s="247">
        <f t="shared" si="29"/>
        <v>0.3968663131846451</v>
      </c>
      <c r="AF119" s="251">
        <f t="shared" si="25"/>
        <v>0.59577567645871632</v>
      </c>
      <c r="AG119" s="251">
        <f t="shared" si="26"/>
        <v>0.40422432354128368</v>
      </c>
    </row>
    <row r="120" spans="1:53" x14ac:dyDescent="0.25">
      <c r="A120" s="194">
        <v>2054</v>
      </c>
      <c r="B120" s="195">
        <f t="shared" si="27"/>
        <v>96.375939422841924</v>
      </c>
      <c r="C120" s="195">
        <f t="shared" si="9"/>
        <v>48.393534766621421</v>
      </c>
      <c r="D120" s="195">
        <f t="shared" si="10"/>
        <v>31.558567849732704</v>
      </c>
      <c r="E120" s="195">
        <f t="shared" si="11"/>
        <v>176.32804203919605</v>
      </c>
      <c r="F120" s="196">
        <f t="shared" si="12"/>
        <v>0.54657182322377551</v>
      </c>
      <c r="H120" s="194">
        <v>2054</v>
      </c>
      <c r="I120" s="195">
        <f t="shared" si="13"/>
        <v>64.707907317526349</v>
      </c>
      <c r="J120" s="195">
        <f t="shared" si="14"/>
        <v>1.4235533597882009</v>
      </c>
      <c r="K120" s="195">
        <f t="shared" si="15"/>
        <v>52.85035369828006</v>
      </c>
      <c r="L120" s="195">
        <f t="shared" si="16"/>
        <v>43.547639418479633</v>
      </c>
      <c r="M120" s="195">
        <f t="shared" si="17"/>
        <v>33.27515365402413</v>
      </c>
      <c r="O120" s="195">
        <f t="shared" si="18"/>
        <v>66.13146067731455</v>
      </c>
      <c r="P120" s="196">
        <f t="shared" si="19"/>
        <v>0.97847388602628382</v>
      </c>
      <c r="Q120" s="195">
        <f t="shared" si="20"/>
        <v>129.67314677078383</v>
      </c>
      <c r="R120" s="196">
        <f t="shared" si="21"/>
        <v>0.33582619457408885</v>
      </c>
      <c r="S120" s="464">
        <f t="shared" si="22"/>
        <v>195.80460744809838</v>
      </c>
      <c r="T120" s="196">
        <f t="shared" si="28"/>
        <v>0.33774210698716023</v>
      </c>
      <c r="W120" s="195">
        <f t="shared" si="30"/>
        <v>11.879607313164058</v>
      </c>
      <c r="X120" s="195">
        <f t="shared" si="23"/>
        <v>4.4568189316586384</v>
      </c>
      <c r="Y120" s="195">
        <f t="shared" si="31"/>
        <v>3.1401391640796277</v>
      </c>
      <c r="Z120" s="195">
        <f t="shared" si="33"/>
        <v>19.476565408902324</v>
      </c>
      <c r="AA120" s="196">
        <f t="shared" si="34"/>
        <v>0.24536023098803394</v>
      </c>
      <c r="AB120" s="196">
        <f t="shared" si="24"/>
        <v>0.36458341481176104</v>
      </c>
      <c r="AC120" s="196">
        <f t="shared" si="32"/>
        <v>0.60994364579979499</v>
      </c>
      <c r="AD120" s="247">
        <f t="shared" si="29"/>
        <v>0.39005635420020501</v>
      </c>
      <c r="AF120" s="251">
        <f t="shared" si="25"/>
        <v>0.59773295012147754</v>
      </c>
      <c r="AG120" s="251">
        <f t="shared" si="26"/>
        <v>0.40226704987852241</v>
      </c>
    </row>
    <row r="121" spans="1:53" x14ac:dyDescent="0.25">
      <c r="A121" s="194">
        <v>2055</v>
      </c>
      <c r="B121" s="195">
        <f t="shared" si="27"/>
        <v>100.36071602346135</v>
      </c>
      <c r="C121" s="195">
        <f t="shared" si="9"/>
        <v>48.916558062149143</v>
      </c>
      <c r="D121" s="195">
        <f t="shared" si="10"/>
        <v>31.803694185791635</v>
      </c>
      <c r="E121" s="195">
        <f t="shared" si="11"/>
        <v>181.08096827140213</v>
      </c>
      <c r="F121" s="196">
        <f t="shared" si="12"/>
        <v>0.55423116510533477</v>
      </c>
      <c r="H121" s="194">
        <v>2055</v>
      </c>
      <c r="I121" s="195">
        <f t="shared" si="13"/>
        <v>67.919146724934194</v>
      </c>
      <c r="J121" s="195">
        <f t="shared" si="14"/>
        <v>1.4694210146216449</v>
      </c>
      <c r="K121" s="195">
        <f t="shared" si="15"/>
        <v>53.628608251516319</v>
      </c>
      <c r="L121" s="195">
        <f t="shared" si="16"/>
        <v>45.33779647240754</v>
      </c>
      <c r="M121" s="195">
        <f t="shared" si="17"/>
        <v>33.638669128320799</v>
      </c>
      <c r="O121" s="195">
        <f t="shared" si="18"/>
        <v>69.388567739555839</v>
      </c>
      <c r="P121" s="196">
        <f t="shared" si="19"/>
        <v>0.9788232980951993</v>
      </c>
      <c r="Q121" s="195">
        <f t="shared" si="20"/>
        <v>132.60507385224466</v>
      </c>
      <c r="R121" s="196">
        <f t="shared" si="21"/>
        <v>0.34190091793112853</v>
      </c>
      <c r="S121" s="464">
        <f t="shared" si="22"/>
        <v>201.9936415918005</v>
      </c>
      <c r="T121" s="196">
        <f t="shared" si="28"/>
        <v>0.34351857411323844</v>
      </c>
      <c r="W121" s="195">
        <f t="shared" si="30"/>
        <v>12.896227173880391</v>
      </c>
      <c r="X121" s="195">
        <f t="shared" si="23"/>
        <v>4.7120501893671758</v>
      </c>
      <c r="Y121" s="195">
        <f t="shared" si="31"/>
        <v>3.3043959571508097</v>
      </c>
      <c r="Z121" s="195">
        <f t="shared" si="33"/>
        <v>20.912673320398376</v>
      </c>
      <c r="AA121" s="196">
        <f t="shared" si="34"/>
        <v>0.2468588458585827</v>
      </c>
      <c r="AB121" s="196">
        <f t="shared" si="24"/>
        <v>0.36981158055224417</v>
      </c>
      <c r="AC121" s="196">
        <f t="shared" si="32"/>
        <v>0.61667042641082692</v>
      </c>
      <c r="AD121" s="247">
        <f t="shared" si="29"/>
        <v>0.38332957358917308</v>
      </c>
      <c r="AF121" s="251">
        <f t="shared" si="25"/>
        <v>0.59969079870529585</v>
      </c>
      <c r="AG121" s="251">
        <f t="shared" si="26"/>
        <v>0.40030920129470404</v>
      </c>
    </row>
    <row r="122" spans="1:53" x14ac:dyDescent="0.25">
      <c r="A122" s="194">
        <v>2056</v>
      </c>
      <c r="B122" s="195">
        <f t="shared" si="27"/>
        <v>104.44259126475035</v>
      </c>
      <c r="C122" s="195">
        <f t="shared" si="9"/>
        <v>49.421574589219631</v>
      </c>
      <c r="D122" s="195">
        <f t="shared" si="10"/>
        <v>32.025372877148257</v>
      </c>
      <c r="E122" s="195">
        <f t="shared" si="11"/>
        <v>185.88953873111825</v>
      </c>
      <c r="F122" s="196">
        <f t="shared" si="12"/>
        <v>0.5618529798808225</v>
      </c>
      <c r="H122" s="194">
        <v>2056</v>
      </c>
      <c r="I122" s="195">
        <f t="shared" si="13"/>
        <v>71.250154184426449</v>
      </c>
      <c r="J122" s="195">
        <f t="shared" si="14"/>
        <v>1.5163646097724175</v>
      </c>
      <c r="K122" s="195">
        <f t="shared" si="15"/>
        <v>54.398207918334741</v>
      </c>
      <c r="L122" s="195">
        <f t="shared" si="16"/>
        <v>47.174827651109574</v>
      </c>
      <c r="M122" s="195">
        <f t="shared" si="17"/>
        <v>33.982402800156436</v>
      </c>
      <c r="O122" s="195">
        <f t="shared" si="18"/>
        <v>72.766518794198873</v>
      </c>
      <c r="P122" s="196">
        <f t="shared" si="19"/>
        <v>0.97916123191132631</v>
      </c>
      <c r="Q122" s="195">
        <f t="shared" si="20"/>
        <v>135.55543836960075</v>
      </c>
      <c r="R122" s="196">
        <f t="shared" si="21"/>
        <v>0.34801132450683631</v>
      </c>
      <c r="S122" s="464">
        <f t="shared" si="22"/>
        <v>208.32195716379962</v>
      </c>
      <c r="T122" s="196">
        <f t="shared" si="28"/>
        <v>0.34929836386369939</v>
      </c>
      <c r="W122" s="195">
        <f t="shared" si="30"/>
        <v>13.982390570785668</v>
      </c>
      <c r="X122" s="195">
        <f t="shared" si="23"/>
        <v>4.9766333291151099</v>
      </c>
      <c r="Y122" s="195">
        <f t="shared" si="31"/>
        <v>3.4733945327805955</v>
      </c>
      <c r="Z122" s="195">
        <f t="shared" si="33"/>
        <v>22.432418432681374</v>
      </c>
      <c r="AA122" s="196">
        <f t="shared" si="34"/>
        <v>0.24829748879641864</v>
      </c>
      <c r="AB122" s="196">
        <f t="shared" si="24"/>
        <v>0.37501428709373613</v>
      </c>
      <c r="AC122" s="196">
        <f t="shared" si="32"/>
        <v>0.62331177589015474</v>
      </c>
      <c r="AD122" s="247">
        <f t="shared" si="29"/>
        <v>0.37668822410984526</v>
      </c>
      <c r="AF122" s="251">
        <f t="shared" si="25"/>
        <v>0.60164800602102586</v>
      </c>
      <c r="AG122" s="251">
        <f t="shared" si="26"/>
        <v>0.39835199397897419</v>
      </c>
    </row>
    <row r="123" spans="1:53" x14ac:dyDescent="0.25">
      <c r="A123" s="194">
        <v>2057</v>
      </c>
      <c r="B123" s="195">
        <f t="shared" si="27"/>
        <v>108.62225076409797</v>
      </c>
      <c r="C123" s="195">
        <f t="shared" si="9"/>
        <v>49.908092429582979</v>
      </c>
      <c r="D123" s="195">
        <f t="shared" si="10"/>
        <v>32.222068750022039</v>
      </c>
      <c r="E123" s="195">
        <f t="shared" si="11"/>
        <v>190.75241194370298</v>
      </c>
      <c r="F123" s="196">
        <f t="shared" si="12"/>
        <v>0.56944103436110571</v>
      </c>
      <c r="H123" s="194">
        <v>2057</v>
      </c>
      <c r="I123" s="195">
        <f t="shared" si="13"/>
        <v>74.70393465469941</v>
      </c>
      <c r="J123" s="195">
        <f t="shared" si="14"/>
        <v>1.5643975828392245</v>
      </c>
      <c r="K123" s="195">
        <f t="shared" si="15"/>
        <v>55.158744105467889</v>
      </c>
      <c r="L123" s="195">
        <f t="shared" si="16"/>
        <v>49.0593500591078</v>
      </c>
      <c r="M123" s="195">
        <f t="shared" si="17"/>
        <v>34.304521429000282</v>
      </c>
      <c r="O123" s="195">
        <f t="shared" si="18"/>
        <v>76.26833223753863</v>
      </c>
      <c r="P123" s="196">
        <f t="shared" si="19"/>
        <v>0.97948824188305461</v>
      </c>
      <c r="Q123" s="195">
        <f t="shared" si="20"/>
        <v>138.52261559357598</v>
      </c>
      <c r="R123" s="196">
        <f t="shared" si="21"/>
        <v>0.35416130318422129</v>
      </c>
      <c r="S123" s="464">
        <f t="shared" si="22"/>
        <v>214.79094783111461</v>
      </c>
      <c r="T123" s="196">
        <f t="shared" si="28"/>
        <v>0.35508168760215508</v>
      </c>
      <c r="W123" s="195">
        <f t="shared" si="30"/>
        <v>15.141033949709239</v>
      </c>
      <c r="X123" s="195">
        <f t="shared" si="23"/>
        <v>5.2506516758849102</v>
      </c>
      <c r="Y123" s="195">
        <f t="shared" si="31"/>
        <v>3.6468502618174696</v>
      </c>
      <c r="Z123" s="195">
        <f t="shared" si="33"/>
        <v>24.038535887411619</v>
      </c>
      <c r="AA123" s="196">
        <f t="shared" si="34"/>
        <v>0.2496763942994516</v>
      </c>
      <c r="AB123" s="196">
        <f t="shared" si="24"/>
        <v>0.38018866988851424</v>
      </c>
      <c r="AC123" s="196">
        <f t="shared" si="32"/>
        <v>0.62986506418796584</v>
      </c>
      <c r="AD123" s="247">
        <f t="shared" si="29"/>
        <v>0.37013493581203416</v>
      </c>
      <c r="AF123" s="251">
        <f t="shared" si="25"/>
        <v>0.60360336126700531</v>
      </c>
      <c r="AG123" s="251">
        <f t="shared" si="26"/>
        <v>0.39639663873299469</v>
      </c>
    </row>
    <row r="124" spans="1:53" x14ac:dyDescent="0.25">
      <c r="A124" s="194">
        <v>2058</v>
      </c>
      <c r="B124" s="195">
        <f t="shared" si="27"/>
        <v>112.90038013889317</v>
      </c>
      <c r="C124" s="195">
        <f t="shared" si="9"/>
        <v>50.375619664989287</v>
      </c>
      <c r="D124" s="195">
        <f t="shared" si="10"/>
        <v>32.392246630632449</v>
      </c>
      <c r="E124" s="195">
        <f t="shared" si="11"/>
        <v>195.66824643451491</v>
      </c>
      <c r="F124" s="196">
        <f t="shared" si="12"/>
        <v>0.57699898780806014</v>
      </c>
      <c r="H124" s="194">
        <v>2058</v>
      </c>
      <c r="I124" s="195">
        <f t="shared" si="13"/>
        <v>78.282743971391881</v>
      </c>
      <c r="J124" s="195">
        <f t="shared" si="14"/>
        <v>1.613527286359421</v>
      </c>
      <c r="K124" s="195">
        <f t="shared" si="15"/>
        <v>55.909647713167232</v>
      </c>
      <c r="L124" s="195">
        <f t="shared" si="16"/>
        <v>50.991743937774686</v>
      </c>
      <c r="M124" s="195">
        <f t="shared" si="17"/>
        <v>34.603021948785525</v>
      </c>
      <c r="O124" s="195">
        <f t="shared" si="18"/>
        <v>79.896271257751295</v>
      </c>
      <c r="P124" s="196">
        <f t="shared" si="19"/>
        <v>0.97980472353767234</v>
      </c>
      <c r="Q124" s="195">
        <f t="shared" si="20"/>
        <v>141.50441359972746</v>
      </c>
      <c r="R124" s="196">
        <f t="shared" si="21"/>
        <v>0.36035444153717122</v>
      </c>
      <c r="S124" s="464">
        <f t="shared" si="22"/>
        <v>221.40068485747875</v>
      </c>
      <c r="T124" s="196">
        <f t="shared" si="28"/>
        <v>0.3608673175929088</v>
      </c>
      <c r="W124" s="195">
        <f t="shared" si="30"/>
        <v>16.374107770273397</v>
      </c>
      <c r="X124" s="195">
        <f t="shared" si="23"/>
        <v>5.5340280481779445</v>
      </c>
      <c r="Y124" s="195">
        <f t="shared" si="31"/>
        <v>3.8243026045124964</v>
      </c>
      <c r="Z124" s="195">
        <f t="shared" si="33"/>
        <v>25.732438422963838</v>
      </c>
      <c r="AA124" s="196">
        <f t="shared" si="34"/>
        <v>0.25099423212431243</v>
      </c>
      <c r="AB124" s="196">
        <f t="shared" si="24"/>
        <v>0.38532742154613836</v>
      </c>
      <c r="AC124" s="196">
        <f t="shared" si="32"/>
        <v>0.63632165367045079</v>
      </c>
      <c r="AD124" s="247">
        <f t="shared" si="29"/>
        <v>0.36367834632954915</v>
      </c>
      <c r="AF124" s="251">
        <f t="shared" si="25"/>
        <v>0.60555446969858795</v>
      </c>
      <c r="AG124" s="251">
        <f t="shared" si="26"/>
        <v>0.39444553030141205</v>
      </c>
    </row>
    <row r="125" spans="1:53" x14ac:dyDescent="0.25">
      <c r="A125" s="194">
        <v>2059</v>
      </c>
      <c r="B125" s="195">
        <f t="shared" si="27"/>
        <v>117.2776650065249</v>
      </c>
      <c r="C125" s="195">
        <f t="shared" si="9"/>
        <v>50.823664377188663</v>
      </c>
      <c r="D125" s="195">
        <f t="shared" si="10"/>
        <v>32.534371345198963</v>
      </c>
      <c r="E125" s="195">
        <f t="shared" si="11"/>
        <v>200.63570072891252</v>
      </c>
      <c r="F125" s="196">
        <f t="shared" si="12"/>
        <v>0.58453039304796395</v>
      </c>
      <c r="H125" s="194">
        <v>2059</v>
      </c>
      <c r="I125" s="195">
        <f t="shared" si="13"/>
        <v>81.988443268168254</v>
      </c>
      <c r="J125" s="195">
        <f t="shared" si="14"/>
        <v>1.6637570113727305</v>
      </c>
      <c r="K125" s="195">
        <f t="shared" si="15"/>
        <v>56.650260423758397</v>
      </c>
      <c r="L125" s="195">
        <f t="shared" si="16"/>
        <v>52.972295785978162</v>
      </c>
      <c r="M125" s="195">
        <f t="shared" si="17"/>
        <v>34.875778837656618</v>
      </c>
      <c r="O125" s="195">
        <f t="shared" si="18"/>
        <v>83.652200279540978</v>
      </c>
      <c r="P125" s="196">
        <f t="shared" si="19"/>
        <v>0.98011101912665854</v>
      </c>
      <c r="Q125" s="195">
        <f t="shared" si="20"/>
        <v>144.49833504739317</v>
      </c>
      <c r="R125" s="196">
        <f t="shared" si="21"/>
        <v>0.36659450621769507</v>
      </c>
      <c r="S125" s="464">
        <f t="shared" si="22"/>
        <v>228.15053532693415</v>
      </c>
      <c r="T125" s="196">
        <f t="shared" si="28"/>
        <v>0.36665353495519709</v>
      </c>
      <c r="W125" s="195">
        <f t="shared" si="30"/>
        <v>17.683074047621517</v>
      </c>
      <c r="X125" s="195">
        <f t="shared" si="23"/>
        <v>5.8265960465697333</v>
      </c>
      <c r="Y125" s="195">
        <f t="shared" si="31"/>
        <v>4.005164503830386</v>
      </c>
      <c r="Z125" s="195">
        <f t="shared" si="33"/>
        <v>27.514834598021636</v>
      </c>
      <c r="AA125" s="196">
        <f t="shared" si="34"/>
        <v>0.25225059927275595</v>
      </c>
      <c r="AB125" s="196">
        <f t="shared" si="24"/>
        <v>0.39042359106720559</v>
      </c>
      <c r="AC125" s="196">
        <f t="shared" si="32"/>
        <v>0.64267419033996154</v>
      </c>
      <c r="AD125" s="247">
        <f t="shared" si="29"/>
        <v>0.35732580966003841</v>
      </c>
      <c r="AF125" s="251">
        <f t="shared" si="25"/>
        <v>0.60749847579950189</v>
      </c>
      <c r="AG125" s="251">
        <f t="shared" si="26"/>
        <v>0.39250152420049811</v>
      </c>
    </row>
    <row r="126" spans="1:53" x14ac:dyDescent="0.25">
      <c r="A126" s="194">
        <v>2060</v>
      </c>
      <c r="B126" s="195">
        <f t="shared" si="27"/>
        <v>121.75479098438228</v>
      </c>
      <c r="C126" s="195">
        <f t="shared" si="9"/>
        <v>51.251734647931187</v>
      </c>
      <c r="D126" s="195">
        <f t="shared" si="10"/>
        <v>32.646907719941048</v>
      </c>
      <c r="E126" s="195">
        <f t="shared" si="11"/>
        <v>205.65343335225452</v>
      </c>
      <c r="F126" s="196">
        <f t="shared" si="12"/>
        <v>0.59203869830772027</v>
      </c>
      <c r="H126" s="194">
        <v>2060</v>
      </c>
      <c r="I126" s="195">
        <f t="shared" si="13"/>
        <v>85.822989937142196</v>
      </c>
      <c r="J126" s="195">
        <f t="shared" si="14"/>
        <v>1.7150918820419543</v>
      </c>
      <c r="K126" s="195">
        <f t="shared" si="15"/>
        <v>57.37991138881754</v>
      </c>
      <c r="L126" s="195">
        <f t="shared" si="16"/>
        <v>55.001405618117225</v>
      </c>
      <c r="M126" s="195">
        <f t="shared" si="17"/>
        <v>35.12062323352577</v>
      </c>
      <c r="O126" s="195">
        <f t="shared" si="18"/>
        <v>87.538081819184157</v>
      </c>
      <c r="P126" s="196">
        <f t="shared" si="19"/>
        <v>0.980407476992875</v>
      </c>
      <c r="Q126" s="195">
        <f t="shared" si="20"/>
        <v>147.50194024046053</v>
      </c>
      <c r="R126" s="196">
        <f t="shared" si="21"/>
        <v>0.37288598054000421</v>
      </c>
      <c r="S126" s="464">
        <f t="shared" si="22"/>
        <v>235.04002205964468</v>
      </c>
      <c r="T126" s="196">
        <f t="shared" si="28"/>
        <v>0.37243904698481584</v>
      </c>
      <c r="W126" s="195">
        <f t="shared" si="30"/>
        <v>19.069604570877146</v>
      </c>
      <c r="X126" s="195">
        <f t="shared" si="23"/>
        <v>6.128176740886353</v>
      </c>
      <c r="Y126" s="195">
        <f t="shared" si="31"/>
        <v>4.1888073956266751</v>
      </c>
      <c r="Z126" s="195">
        <f t="shared" si="33"/>
        <v>29.386588707390175</v>
      </c>
      <c r="AA126" s="196">
        <f t="shared" si="34"/>
        <v>0.25344772984317343</v>
      </c>
      <c r="AB126" s="196">
        <f t="shared" si="24"/>
        <v>0.39547429240167115</v>
      </c>
      <c r="AC126" s="196">
        <f t="shared" si="32"/>
        <v>0.64892202224484463</v>
      </c>
      <c r="AD126" s="247">
        <f t="shared" si="29"/>
        <v>0.35107797775515537</v>
      </c>
      <c r="AF126" s="251">
        <f t="shared" si="25"/>
        <v>0.60943268812728757</v>
      </c>
      <c r="AG126" s="251">
        <f t="shared" si="26"/>
        <v>0.39056731187271243</v>
      </c>
      <c r="BA126" s="516"/>
    </row>
    <row r="127" spans="1:53" x14ac:dyDescent="0.25">
      <c r="BA127" s="516"/>
    </row>
    <row r="128" spans="1:53" x14ac:dyDescent="0.25">
      <c r="BA128" s="516"/>
    </row>
    <row r="129" spans="1:58" ht="92.25" customHeight="1" x14ac:dyDescent="0.25">
      <c r="BA129" s="516"/>
    </row>
    <row r="130" spans="1:58" ht="13.5" customHeight="1" thickBot="1" x14ac:dyDescent="0.3">
      <c r="BA130" s="516"/>
    </row>
    <row r="131" spans="1:58" s="485" customFormat="1" ht="44.25" customHeight="1" thickBot="1" x14ac:dyDescent="0.35">
      <c r="A131" s="491"/>
      <c r="B131" s="660" t="s">
        <v>602</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598</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516"/>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ComLight_cluster</v>
      </c>
      <c r="AU132" s="607"/>
      <c r="AV132" s="608"/>
      <c r="AW132" s="445"/>
      <c r="AX132" s="606" t="str">
        <f ca="1">CONCATENATE("Table 11(b): EMISSIONS ALLOCATION TO Education in LLDC, ",A1)</f>
        <v>Table 11(b): EMISSIONS ALLOCATION TO Education in LLDC, ComLight_cluster</v>
      </c>
      <c r="AY132" s="608"/>
      <c r="AZ132" s="446"/>
      <c r="BA132" s="606" t="str">
        <f ca="1">CONCATENATE("Table 11(c): EMISSIONS ALLOCATION TO Family Planning in LLDC, ",A1)</f>
        <v>Table 11(c): EMISSIONS ALLOCATION TO Family Planning in LLDC, ComLight_cluster</v>
      </c>
      <c r="BB132" s="608"/>
      <c r="BC132" s="516"/>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514" t="s">
        <v>219</v>
      </c>
      <c r="K133" s="514" t="s">
        <v>220</v>
      </c>
      <c r="L133" s="514" t="s">
        <v>221</v>
      </c>
      <c r="M133" s="515" t="s">
        <v>222</v>
      </c>
      <c r="N133" s="515" t="s">
        <v>220</v>
      </c>
      <c r="O133" s="515" t="s">
        <v>248</v>
      </c>
      <c r="P133" s="515"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516"/>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514" t="s">
        <v>500</v>
      </c>
      <c r="K134" s="514" t="s">
        <v>500</v>
      </c>
      <c r="L134" s="514" t="s">
        <v>513</v>
      </c>
      <c r="M134" s="515" t="s">
        <v>500</v>
      </c>
      <c r="N134" s="515" t="s">
        <v>500</v>
      </c>
      <c r="O134" s="515" t="s">
        <v>249</v>
      </c>
      <c r="P134" s="515"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516"/>
      <c r="BE134" s="481" t="s">
        <v>227</v>
      </c>
      <c r="BF134" s="481" t="s">
        <v>228</v>
      </c>
    </row>
    <row r="135" spans="1:58" ht="15.6" x14ac:dyDescent="0.3">
      <c r="A135" s="152">
        <v>2014</v>
      </c>
      <c r="B135" s="178"/>
      <c r="C135" s="182"/>
      <c r="D135" s="183"/>
      <c r="E135" s="179">
        <f>IFERROR(IF($G$19="Y",$F$19,$AA80)*(SUMIF($H$5:$H$16,"Y",$F$5:$F$16)*(Z29-B29)),0)</f>
        <v>0</v>
      </c>
      <c r="F135" s="183" t="str">
        <f>IFERROR(E135-E134,"")</f>
        <v/>
      </c>
      <c r="G135" s="247">
        <f t="shared" ref="G135:G181" si="35">IFERROR(E135/((Z29+N29)-B29),"")</f>
        <v>0</v>
      </c>
      <c r="H135" s="245" t="s">
        <v>264</v>
      </c>
      <c r="I135" s="416"/>
      <c r="J135" s="178"/>
      <c r="K135" s="182"/>
      <c r="L135" s="183"/>
      <c r="M135" s="179">
        <f t="shared" ref="M135:M181" si="36">IFERROR(IF($G$19="Y",$F$19,$AB80)*(SUMIF($H$5:$H$16,"Y",$F$5:$F$16)*((Z29+N29)-B29)),0)</f>
        <v>0</v>
      </c>
      <c r="N135" s="183" t="str">
        <f>IFERROR(M135-M134,"")</f>
        <v/>
      </c>
      <c r="O135" s="247">
        <f t="shared" ref="O135:O181" si="37">IFERROR(M135/((Z29+N29)-B29),"")</f>
        <v>0</v>
      </c>
      <c r="P135" s="245" t="s">
        <v>264</v>
      </c>
      <c r="Q135" s="416"/>
      <c r="R135" s="167"/>
      <c r="S135" s="167"/>
      <c r="T135" s="167"/>
      <c r="U135" s="167"/>
      <c r="V135" s="506"/>
      <c r="W135" s="167" t="s">
        <v>213</v>
      </c>
      <c r="X135" s="167" t="s">
        <v>211</v>
      </c>
      <c r="Y135" s="167" t="s">
        <v>211</v>
      </c>
      <c r="Z135" s="167" t="s">
        <v>211</v>
      </c>
      <c r="AA135" s="509"/>
      <c r="AB135" s="496"/>
      <c r="AC135" s="496"/>
      <c r="AE135" s="167" t="s">
        <v>211</v>
      </c>
      <c r="AF135" s="167" t="s">
        <v>211</v>
      </c>
      <c r="AG135" s="167" t="s">
        <v>211</v>
      </c>
      <c r="AH135" s="167" t="s">
        <v>211</v>
      </c>
      <c r="AI135" s="165"/>
      <c r="AJ135" s="167" t="s">
        <v>213</v>
      </c>
      <c r="AK135" s="167" t="s">
        <v>211</v>
      </c>
      <c r="AL135" s="167" t="s">
        <v>211</v>
      </c>
      <c r="AM135" s="167" t="s">
        <v>211</v>
      </c>
      <c r="AN135" s="165"/>
      <c r="AO135" s="257"/>
      <c r="AP135" s="257"/>
      <c r="AT135" s="478">
        <v>2014</v>
      </c>
      <c r="AU135" s="479">
        <f>IFERROR(AB135+AO135,"")</f>
        <v>0</v>
      </c>
      <c r="AV135" s="479">
        <f>IFERROR(AC135+AP135,"")</f>
        <v>0</v>
      </c>
      <c r="AW135" s="430"/>
      <c r="AX135" s="479">
        <f t="shared" ref="AX135:AY181" si="38">IFERROR(AO135*$F$20,"")</f>
        <v>0</v>
      </c>
      <c r="AY135" s="479">
        <f t="shared" si="38"/>
        <v>0</v>
      </c>
      <c r="AZ135" s="430"/>
      <c r="BA135" s="479">
        <f t="shared" ref="BA135:BB181" si="39">AU135-AX135</f>
        <v>0</v>
      </c>
      <c r="BB135" s="479">
        <f t="shared" si="39"/>
        <v>0</v>
      </c>
      <c r="BC135" s="516"/>
      <c r="BE135" s="480" t="str">
        <f t="shared" ref="BE135:BE181" si="40">IFERROR(AX135/AU135,"")</f>
        <v/>
      </c>
      <c r="BF135" s="480" t="str">
        <f t="shared" ref="BF135:BF181" si="41">IFERROR(BB135/(AY135+BB135),"")</f>
        <v/>
      </c>
    </row>
    <row r="136" spans="1:58" ht="15.6" x14ac:dyDescent="0.3">
      <c r="A136" s="152">
        <v>2015</v>
      </c>
      <c r="B136" s="178"/>
      <c r="C136" s="182"/>
      <c r="D136" s="183"/>
      <c r="E136" s="179">
        <f>IFERROR(IF($G$19="Y",$F$19,$AA81)*(SUMIF($H$5:$H$16,"Y",$F$5:$F$16)*(Z30-B30)),0)</f>
        <v>0</v>
      </c>
      <c r="F136" s="183">
        <f>IFERROR(E136-E135,"")</f>
        <v>0</v>
      </c>
      <c r="G136" s="247">
        <f t="shared" si="35"/>
        <v>0</v>
      </c>
      <c r="H136" s="246"/>
      <c r="I136" s="417"/>
      <c r="J136" s="178"/>
      <c r="K136" s="182"/>
      <c r="L136" s="183"/>
      <c r="M136" s="179">
        <f t="shared" si="36"/>
        <v>0</v>
      </c>
      <c r="N136" s="183">
        <f>IFERROR(M136-M135,"")</f>
        <v>0</v>
      </c>
      <c r="O136" s="247">
        <f t="shared" si="37"/>
        <v>0</v>
      </c>
      <c r="P136" s="246"/>
      <c r="Q136" s="417"/>
      <c r="R136" s="439"/>
      <c r="S136" s="440"/>
      <c r="T136" s="439"/>
      <c r="U136" s="440"/>
      <c r="V136" s="506"/>
      <c r="W136" s="259">
        <f>IF(W$135="Y",E136*$F$21*'Emissions Factors'!$B12,"")</f>
        <v>0</v>
      </c>
      <c r="X136" s="259" t="str">
        <f>IF(X$135="Y",E136*'Emissions Factors'!$R$36*$F$22/10^6,"")</f>
        <v/>
      </c>
      <c r="Y136" s="441"/>
      <c r="Z136" s="441"/>
      <c r="AA136" s="509"/>
      <c r="AB136" s="441">
        <f t="shared" ref="AB136:AB181" si="42">SUM(W136:Z136)</f>
        <v>0</v>
      </c>
      <c r="AC136" s="441">
        <f t="shared" ref="AC136:AC181" si="43">SUM(R136:U136)</f>
        <v>0</v>
      </c>
      <c r="AE136" s="182"/>
      <c r="AF136" s="178"/>
      <c r="AG136" s="182"/>
      <c r="AH136" s="178"/>
      <c r="AJ136" s="259">
        <f>IF(AJ$135="Y",M136*$F$21*'Emissions Factors'!$B12,"")</f>
        <v>0</v>
      </c>
      <c r="AK136" s="259" t="str">
        <f>IF(AK$135="Y",M136*'Emissions Factors'!$R$36*$F$22/10^6,"")</f>
        <v/>
      </c>
      <c r="AL136" s="180"/>
      <c r="AM136" s="180"/>
      <c r="AO136" s="180">
        <f t="shared" ref="AO136:AO181" si="44">SUM(AJ136:AM136)</f>
        <v>0</v>
      </c>
      <c r="AP136" s="180">
        <f t="shared" ref="AP136:AP181" si="45">SUM(AE136:AH136)</f>
        <v>0</v>
      </c>
      <c r="AT136" s="478">
        <v>2015</v>
      </c>
      <c r="AU136" s="479">
        <f t="shared" ref="AU136:AV181" si="46">IFERROR(AB136+AO136,"")</f>
        <v>0</v>
      </c>
      <c r="AV136" s="479">
        <f t="shared" si="46"/>
        <v>0</v>
      </c>
      <c r="AW136" s="430"/>
      <c r="AX136" s="479">
        <f t="shared" si="38"/>
        <v>0</v>
      </c>
      <c r="AY136" s="479">
        <f t="shared" si="38"/>
        <v>0</v>
      </c>
      <c r="AZ136" s="430"/>
      <c r="BA136" s="479">
        <f t="shared" si="39"/>
        <v>0</v>
      </c>
      <c r="BB136" s="479">
        <f t="shared" si="39"/>
        <v>0</v>
      </c>
      <c r="BC136" s="516"/>
      <c r="BE136" s="480" t="str">
        <f t="shared" si="40"/>
        <v/>
      </c>
      <c r="BF136" s="480" t="str">
        <f t="shared" si="41"/>
        <v/>
      </c>
    </row>
    <row r="137" spans="1:58" ht="15.6" x14ac:dyDescent="0.3">
      <c r="A137" s="152">
        <v>2016</v>
      </c>
      <c r="B137" s="178"/>
      <c r="C137" s="182"/>
      <c r="D137" s="183"/>
      <c r="E137" s="179">
        <f t="shared" ref="E137:E181" si="47">IFERROR(IF($G$19="Y",$F$19,$AA82)*(SUMIF($H$5:$H$16,"Y",$F$5:$F$16)*((Z31+N31)-B31)),0)</f>
        <v>-4.1468637379270772E-5</v>
      </c>
      <c r="F137" s="183">
        <f t="shared" ref="F137:F181" si="48">IFERROR(E137-E136,"")</f>
        <v>-4.1468637379270772E-5</v>
      </c>
      <c r="G137" s="247">
        <f t="shared" si="35"/>
        <v>0.44817415733978511</v>
      </c>
      <c r="H137" s="246"/>
      <c r="I137" s="417"/>
      <c r="J137" s="178"/>
      <c r="K137" s="182"/>
      <c r="L137" s="183"/>
      <c r="M137" s="179">
        <f t="shared" si="36"/>
        <v>-4.8283477059126481E-5</v>
      </c>
      <c r="N137" s="183">
        <f>IFERROR(M137-M136,"")</f>
        <v>-4.8283477059126481E-5</v>
      </c>
      <c r="O137" s="247">
        <f t="shared" si="37"/>
        <v>0.52182584266021492</v>
      </c>
      <c r="P137" s="246"/>
      <c r="Q137" s="417"/>
      <c r="R137" s="439"/>
      <c r="S137" s="440"/>
      <c r="T137" s="439"/>
      <c r="U137" s="440"/>
      <c r="V137" s="506"/>
      <c r="W137" s="259">
        <f>IF(W$135="Y",E137*$F$21*'Emissions Factors'!$B13,"")</f>
        <v>-5.0483793145636837E-4</v>
      </c>
      <c r="X137" s="259" t="str">
        <f>IF(X$135="Y",E137*'Emissions Factors'!$R$36*$F$22/10^6,"")</f>
        <v/>
      </c>
      <c r="Y137" s="441"/>
      <c r="Z137" s="441"/>
      <c r="AA137" s="509"/>
      <c r="AB137" s="441">
        <f t="shared" si="42"/>
        <v>-5.0483793145636837E-4</v>
      </c>
      <c r="AC137" s="441">
        <f t="shared" si="43"/>
        <v>0</v>
      </c>
      <c r="AE137" s="182"/>
      <c r="AF137" s="178"/>
      <c r="AG137" s="182"/>
      <c r="AH137" s="178"/>
      <c r="AJ137" s="259">
        <f>IF(AJ$135="Y",M137*$F$21*'Emissions Factors'!$B13,"")</f>
        <v>-5.8780158265424711E-4</v>
      </c>
      <c r="AK137" s="259" t="str">
        <f>IF(AK$135="Y",M137*'Emissions Factors'!$R$36*$F$22/10^6,"")</f>
        <v/>
      </c>
      <c r="AL137" s="180"/>
      <c r="AM137" s="180"/>
      <c r="AO137" s="180">
        <f t="shared" si="44"/>
        <v>-5.8780158265424711E-4</v>
      </c>
      <c r="AP137" s="180">
        <f t="shared" si="45"/>
        <v>0</v>
      </c>
      <c r="AT137" s="478">
        <v>2016</v>
      </c>
      <c r="AU137" s="479">
        <f t="shared" si="46"/>
        <v>-1.0926395141106155E-3</v>
      </c>
      <c r="AV137" s="479">
        <f t="shared" si="46"/>
        <v>0</v>
      </c>
      <c r="AW137" s="430"/>
      <c r="AX137" s="479">
        <f t="shared" si="38"/>
        <v>-2.9390079132712355E-4</v>
      </c>
      <c r="AY137" s="479">
        <f t="shared" si="38"/>
        <v>0</v>
      </c>
      <c r="AZ137" s="430"/>
      <c r="BA137" s="479">
        <f t="shared" si="39"/>
        <v>-7.9873872278349192E-4</v>
      </c>
      <c r="BB137" s="479">
        <f t="shared" si="39"/>
        <v>0</v>
      </c>
      <c r="BC137" s="516"/>
      <c r="BE137" s="480">
        <f t="shared" si="40"/>
        <v>0.26898239312382211</v>
      </c>
      <c r="BF137" s="480" t="str">
        <f t="shared" si="41"/>
        <v/>
      </c>
    </row>
    <row r="138" spans="1:58" ht="15.6" x14ac:dyDescent="0.3">
      <c r="A138" s="152">
        <v>2017</v>
      </c>
      <c r="B138" s="178"/>
      <c r="C138" s="182"/>
      <c r="D138" s="183"/>
      <c r="E138" s="179">
        <f t="shared" si="47"/>
        <v>-4.2173702057988964E-5</v>
      </c>
      <c r="F138" s="183">
        <f>IFERROR(E138-E137,"")</f>
        <v>-7.0506467871819269E-7</v>
      </c>
      <c r="G138" s="247">
        <f t="shared" si="35"/>
        <v>0.44744182360715989</v>
      </c>
      <c r="H138" s="246"/>
      <c r="I138" s="417"/>
      <c r="J138" s="178"/>
      <c r="K138" s="182"/>
      <c r="L138" s="183"/>
      <c r="M138" s="179">
        <f t="shared" si="36"/>
        <v>-4.9253806140631466E-5</v>
      </c>
      <c r="N138" s="183">
        <f>IFERROR(M138-M137,"")</f>
        <v>-9.7032908150498557E-7</v>
      </c>
      <c r="O138" s="247">
        <f t="shared" si="37"/>
        <v>0.52255817639283997</v>
      </c>
      <c r="P138" s="246"/>
      <c r="Q138" s="417"/>
      <c r="R138" s="439"/>
      <c r="S138" s="440"/>
      <c r="T138" s="439"/>
      <c r="U138" s="440"/>
      <c r="V138" s="506"/>
      <c r="W138" s="259">
        <f>IF(W$135="Y",E138*$F$21*'Emissions Factors'!$B14,"")</f>
        <v>-5.0714469978261473E-4</v>
      </c>
      <c r="X138" s="259" t="str">
        <f>IF(X$135="Y",E138*'Emissions Factors'!$R$36*$F$22/10^6,"")</f>
        <v/>
      </c>
      <c r="Y138" s="441"/>
      <c r="Z138" s="441"/>
      <c r="AA138" s="509"/>
      <c r="AB138" s="441">
        <f t="shared" si="42"/>
        <v>-5.0714469978261473E-4</v>
      </c>
      <c r="AC138" s="441">
        <f t="shared" si="43"/>
        <v>0</v>
      </c>
      <c r="AE138" s="182"/>
      <c r="AF138" s="178"/>
      <c r="AG138" s="182"/>
      <c r="AH138" s="178"/>
      <c r="AJ138" s="259">
        <f>IF(AJ$135="Y",M138*$F$21*'Emissions Factors'!$B14,"")</f>
        <v>-5.9228394732802254E-4</v>
      </c>
      <c r="AK138" s="259" t="str">
        <f>IF(AK$135="Y",M138*'Emissions Factors'!$R$36*$F$22/10^6,"")</f>
        <v/>
      </c>
      <c r="AL138" s="180"/>
      <c r="AM138" s="180"/>
      <c r="AO138" s="180">
        <f t="shared" si="44"/>
        <v>-5.9228394732802254E-4</v>
      </c>
      <c r="AP138" s="180">
        <f t="shared" si="45"/>
        <v>0</v>
      </c>
      <c r="AT138" s="478">
        <v>2017</v>
      </c>
      <c r="AU138" s="479">
        <f t="shared" si="46"/>
        <v>-1.0994286471106372E-3</v>
      </c>
      <c r="AV138" s="479">
        <f t="shared" si="46"/>
        <v>0</v>
      </c>
      <c r="AW138" s="430"/>
      <c r="AX138" s="479">
        <f t="shared" si="38"/>
        <v>-2.9614197366401127E-4</v>
      </c>
      <c r="AY138" s="479">
        <f t="shared" si="38"/>
        <v>0</v>
      </c>
      <c r="AZ138" s="430"/>
      <c r="BA138" s="479">
        <f t="shared" si="39"/>
        <v>-8.0328667344662589E-4</v>
      </c>
      <c r="BB138" s="479">
        <f t="shared" si="39"/>
        <v>0</v>
      </c>
      <c r="BC138" s="516"/>
      <c r="BE138" s="480">
        <f t="shared" si="40"/>
        <v>0.26935988473857736</v>
      </c>
      <c r="BF138" s="480" t="str">
        <f t="shared" si="41"/>
        <v/>
      </c>
    </row>
    <row r="139" spans="1:58" ht="15.6" x14ac:dyDescent="0.3">
      <c r="A139" s="152">
        <v>2018</v>
      </c>
      <c r="B139" s="178"/>
      <c r="C139" s="182"/>
      <c r="D139" s="183"/>
      <c r="E139" s="179">
        <f t="shared" si="47"/>
        <v>-4.2726536810044235E-5</v>
      </c>
      <c r="F139" s="183">
        <f t="shared" si="48"/>
        <v>-5.5283475205527048E-7</v>
      </c>
      <c r="G139" s="247">
        <f t="shared" si="35"/>
        <v>0.44672883917207029</v>
      </c>
      <c r="H139" s="246"/>
      <c r="I139" s="417"/>
      <c r="J139" s="178"/>
      <c r="K139" s="182"/>
      <c r="L139" s="183"/>
      <c r="M139" s="179">
        <f t="shared" si="36"/>
        <v>-5.0047282723418404E-5</v>
      </c>
      <c r="N139" s="183">
        <f t="shared" ref="N139:N181" si="49">IFERROR(M139-M138,"")</f>
        <v>-7.9347658278693773E-7</v>
      </c>
      <c r="O139" s="247">
        <f t="shared" si="37"/>
        <v>0.52327116082792968</v>
      </c>
      <c r="P139" s="246"/>
      <c r="Q139" s="417"/>
      <c r="R139" s="439"/>
      <c r="S139" s="440"/>
      <c r="T139" s="439"/>
      <c r="U139" s="440"/>
      <c r="V139" s="506"/>
      <c r="W139" s="259">
        <f>IF(W$135="Y",E139*$F$21*'Emissions Factors'!$B15,"")</f>
        <v>-5.0892647914444541E-4</v>
      </c>
      <c r="X139" s="259" t="str">
        <f>IF(X$135="Y",E139*'Emissions Factors'!$R$36*$F$22/10^6,"")</f>
        <v/>
      </c>
      <c r="Y139" s="441"/>
      <c r="Z139" s="441"/>
      <c r="AA139" s="509"/>
      <c r="AB139" s="441">
        <f t="shared" si="42"/>
        <v>-5.0892647914444541E-4</v>
      </c>
      <c r="AC139" s="441">
        <f t="shared" si="43"/>
        <v>0</v>
      </c>
      <c r="AE139" s="182"/>
      <c r="AF139" s="178"/>
      <c r="AG139" s="182"/>
      <c r="AH139" s="178"/>
      <c r="AJ139" s="259">
        <f>IF(AJ$135="Y",M139*$F$21*'Emissions Factors'!$B15,"")</f>
        <v>-5.9612571691484094E-4</v>
      </c>
      <c r="AK139" s="259" t="str">
        <f>IF(AK$135="Y",M139*'Emissions Factors'!$R$36*$F$22/10^6,"")</f>
        <v/>
      </c>
      <c r="AL139" s="180"/>
      <c r="AM139" s="180"/>
      <c r="AO139" s="180">
        <f t="shared" si="44"/>
        <v>-5.9612571691484094E-4</v>
      </c>
      <c r="AP139" s="180">
        <f t="shared" si="45"/>
        <v>0</v>
      </c>
      <c r="AT139" s="478">
        <v>2018</v>
      </c>
      <c r="AU139" s="479">
        <f t="shared" si="46"/>
        <v>-1.1050521960592865E-3</v>
      </c>
      <c r="AV139" s="479">
        <f t="shared" si="46"/>
        <v>0</v>
      </c>
      <c r="AW139" s="430"/>
      <c r="AX139" s="479">
        <f t="shared" si="38"/>
        <v>-2.9806285845742047E-4</v>
      </c>
      <c r="AY139" s="479">
        <f t="shared" si="38"/>
        <v>0</v>
      </c>
      <c r="AZ139" s="430"/>
      <c r="BA139" s="479">
        <f t="shared" si="39"/>
        <v>-8.0698933760186599E-4</v>
      </c>
      <c r="BB139" s="479">
        <f t="shared" si="39"/>
        <v>0</v>
      </c>
      <c r="BC139" s="516"/>
      <c r="BE139" s="480">
        <f t="shared" si="40"/>
        <v>0.26972740248862354</v>
      </c>
      <c r="BF139" s="480" t="str">
        <f t="shared" si="41"/>
        <v/>
      </c>
    </row>
    <row r="140" spans="1:58" ht="15.6" x14ac:dyDescent="0.3">
      <c r="A140" s="152">
        <v>2019</v>
      </c>
      <c r="B140" s="178"/>
      <c r="C140" s="182"/>
      <c r="D140" s="183"/>
      <c r="E140" s="179">
        <f t="shared" si="47"/>
        <v>-4.3340205597575364E-5</v>
      </c>
      <c r="F140" s="183">
        <f t="shared" si="48"/>
        <v>-6.1366878753112874E-7</v>
      </c>
      <c r="G140" s="247">
        <f t="shared" si="35"/>
        <v>0.44600220331635471</v>
      </c>
      <c r="H140" s="246"/>
      <c r="I140" s="417"/>
      <c r="J140" s="178"/>
      <c r="K140" s="182"/>
      <c r="L140" s="183"/>
      <c r="M140" s="179">
        <f t="shared" si="36"/>
        <v>-5.0919417151033847E-5</v>
      </c>
      <c r="N140" s="183">
        <f t="shared" si="49"/>
        <v>-8.7213442761544327E-7</v>
      </c>
      <c r="O140" s="247">
        <f t="shared" si="37"/>
        <v>0.52399779668364521</v>
      </c>
      <c r="P140" s="246"/>
      <c r="Q140" s="417"/>
      <c r="R140" s="439"/>
      <c r="S140" s="440"/>
      <c r="T140" s="439"/>
      <c r="U140" s="440"/>
      <c r="V140" s="506"/>
      <c r="W140" s="259">
        <f>IF(W$135="Y",E140*$F$21*'Emissions Factors'!$B16,"")</f>
        <v>-5.1354079486134693E-4</v>
      </c>
      <c r="X140" s="259" t="str">
        <f>IF(X$135="Y",E140*'Emissions Factors'!$R$36*$F$22/10^6,"")</f>
        <v/>
      </c>
      <c r="Y140" s="441"/>
      <c r="Z140" s="441"/>
      <c r="AA140" s="509"/>
      <c r="AB140" s="441">
        <f t="shared" si="42"/>
        <v>-5.1354079486134693E-4</v>
      </c>
      <c r="AC140" s="441">
        <f t="shared" si="43"/>
        <v>0</v>
      </c>
      <c r="AE140" s="182"/>
      <c r="AF140" s="178"/>
      <c r="AG140" s="182"/>
      <c r="AH140" s="178"/>
      <c r="AJ140" s="259">
        <f>IF(AJ$135="Y",M140*$F$21*'Emissions Factors'!$B16,"")</f>
        <v>-6.0334734450547521E-4</v>
      </c>
      <c r="AK140" s="259" t="str">
        <f>IF(AK$135="Y",M140*'Emissions Factors'!$R$36*$F$22/10^6,"")</f>
        <v/>
      </c>
      <c r="AL140" s="180"/>
      <c r="AM140" s="180"/>
      <c r="AO140" s="180">
        <f t="shared" si="44"/>
        <v>-6.0334734450547521E-4</v>
      </c>
      <c r="AP140" s="180">
        <f t="shared" si="45"/>
        <v>0</v>
      </c>
      <c r="AT140" s="478">
        <v>2019</v>
      </c>
      <c r="AU140" s="479">
        <f t="shared" si="46"/>
        <v>-1.1168881393668222E-3</v>
      </c>
      <c r="AV140" s="479">
        <f t="shared" si="46"/>
        <v>0</v>
      </c>
      <c r="AW140" s="430"/>
      <c r="AX140" s="479">
        <f t="shared" si="38"/>
        <v>-3.016736722527376E-4</v>
      </c>
      <c r="AY140" s="479">
        <f t="shared" si="38"/>
        <v>0</v>
      </c>
      <c r="AZ140" s="430"/>
      <c r="BA140" s="479">
        <f t="shared" si="39"/>
        <v>-8.1521446711408469E-4</v>
      </c>
      <c r="BB140" s="479">
        <f t="shared" si="39"/>
        <v>0</v>
      </c>
      <c r="BC140" s="516"/>
      <c r="BE140" s="480">
        <f t="shared" si="40"/>
        <v>0.27010195705342538</v>
      </c>
      <c r="BF140" s="480" t="str">
        <f t="shared" si="41"/>
        <v/>
      </c>
    </row>
    <row r="141" spans="1:58" ht="15.6" x14ac:dyDescent="0.3">
      <c r="A141" s="152">
        <v>2020</v>
      </c>
      <c r="B141" s="178"/>
      <c r="C141" s="182"/>
      <c r="D141" s="183"/>
      <c r="E141" s="179">
        <f t="shared" si="47"/>
        <v>-4.4027491170707002E-5</v>
      </c>
      <c r="F141" s="183">
        <f t="shared" si="48"/>
        <v>-6.8728557313163849E-7</v>
      </c>
      <c r="G141" s="247">
        <f t="shared" si="35"/>
        <v>0.44523483803715458</v>
      </c>
      <c r="H141" s="246"/>
      <c r="I141" s="417"/>
      <c r="J141" s="178"/>
      <c r="K141" s="182"/>
      <c r="L141" s="183"/>
      <c r="M141" s="179">
        <f t="shared" si="36"/>
        <v>-5.1891926599611203E-5</v>
      </c>
      <c r="N141" s="183">
        <f t="shared" si="49"/>
        <v>-9.7250944857735542E-7</v>
      </c>
      <c r="O141" s="247">
        <f t="shared" si="37"/>
        <v>0.52476516196284539</v>
      </c>
      <c r="P141" s="246"/>
      <c r="Q141" s="417"/>
      <c r="R141" s="439"/>
      <c r="S141" s="440"/>
      <c r="T141" s="439"/>
      <c r="U141" s="440"/>
      <c r="V141" s="506"/>
      <c r="W141" s="259">
        <f>IF(W$135="Y",E141*$F$21*'Emissions Factors'!$B17,"")</f>
        <v>-5.1841843234836011E-4</v>
      </c>
      <c r="X141" s="259" t="str">
        <f>IF(X$135="Y",E141*'Emissions Factors'!$R$36*$F$22/10^6,"")</f>
        <v/>
      </c>
      <c r="Y141" s="441"/>
      <c r="Z141" s="441"/>
      <c r="AA141" s="509"/>
      <c r="AB141" s="441">
        <f t="shared" si="42"/>
        <v>-5.1841843234836011E-4</v>
      </c>
      <c r="AC141" s="441">
        <f t="shared" si="43"/>
        <v>0</v>
      </c>
      <c r="AE141" s="182"/>
      <c r="AF141" s="178"/>
      <c r="AG141" s="182"/>
      <c r="AH141" s="178"/>
      <c r="AJ141" s="259">
        <f>IF(AJ$135="Y",M141*$F$21*'Emissions Factors'!$B17,"")</f>
        <v>-6.1102121706188095E-4</v>
      </c>
      <c r="AK141" s="259" t="str">
        <f>IF(AK$135="Y",M141*'Emissions Factors'!$R$36*$F$22/10^6,"")</f>
        <v/>
      </c>
      <c r="AL141" s="180"/>
      <c r="AM141" s="180"/>
      <c r="AO141" s="180">
        <f t="shared" si="44"/>
        <v>-6.1102121706188095E-4</v>
      </c>
      <c r="AP141" s="180">
        <f t="shared" si="45"/>
        <v>0</v>
      </c>
      <c r="AS141" s="430"/>
      <c r="AT141" s="478">
        <v>2020</v>
      </c>
      <c r="AU141" s="479">
        <f t="shared" si="46"/>
        <v>-1.1294396494102412E-3</v>
      </c>
      <c r="AV141" s="479">
        <f t="shared" si="46"/>
        <v>0</v>
      </c>
      <c r="AW141" s="430"/>
      <c r="AX141" s="479">
        <f t="shared" si="38"/>
        <v>-3.0551060853094048E-4</v>
      </c>
      <c r="AY141" s="479">
        <f t="shared" si="38"/>
        <v>0</v>
      </c>
      <c r="AZ141" s="430"/>
      <c r="BA141" s="479">
        <f t="shared" si="39"/>
        <v>-8.2392904087930075E-4</v>
      </c>
      <c r="BB141" s="479">
        <f t="shared" si="39"/>
        <v>0</v>
      </c>
      <c r="BC141" s="516"/>
      <c r="BE141" s="480">
        <f t="shared" si="40"/>
        <v>0.27049750616641516</v>
      </c>
      <c r="BF141" s="480" t="str">
        <f t="shared" si="41"/>
        <v/>
      </c>
    </row>
    <row r="142" spans="1:58" ht="15.6" x14ac:dyDescent="0.3">
      <c r="A142" s="152">
        <v>2021</v>
      </c>
      <c r="B142" s="178"/>
      <c r="C142" s="182"/>
      <c r="D142" s="183"/>
      <c r="E142" s="179">
        <f t="shared" si="47"/>
        <v>1.2610846196769937E-2</v>
      </c>
      <c r="F142" s="183">
        <f t="shared" si="48"/>
        <v>1.2654873687940644E-2</v>
      </c>
      <c r="G142" s="247">
        <f t="shared" si="35"/>
        <v>0.1392186436614791</v>
      </c>
      <c r="H142" s="246"/>
      <c r="I142" s="417"/>
      <c r="J142" s="178"/>
      <c r="K142" s="182"/>
      <c r="L142" s="183"/>
      <c r="M142" s="179">
        <f t="shared" si="36"/>
        <v>1.4914107634213832E-2</v>
      </c>
      <c r="N142" s="183">
        <f t="shared" si="49"/>
        <v>1.4965999560813443E-2</v>
      </c>
      <c r="O142" s="247">
        <f t="shared" si="37"/>
        <v>0.16464571876139258</v>
      </c>
      <c r="P142" s="246"/>
      <c r="Q142" s="417"/>
      <c r="R142" s="439"/>
      <c r="S142" s="440"/>
      <c r="T142" s="439"/>
      <c r="U142" s="440"/>
      <c r="V142" s="506"/>
      <c r="W142" s="259">
        <f>IF(W$135="Y",E142*$F$21*'Emissions Factors'!$B18,"")</f>
        <v>0.14759912459525074</v>
      </c>
      <c r="X142" s="259" t="str">
        <f>IF(X$135="Y",E142*'Emissions Factors'!$R$36*$F$22/10^6,"")</f>
        <v/>
      </c>
      <c r="Y142" s="441"/>
      <c r="Z142" s="441"/>
      <c r="AA142" s="509"/>
      <c r="AB142" s="441">
        <f t="shared" si="42"/>
        <v>0.14759912459525074</v>
      </c>
      <c r="AC142" s="441">
        <f t="shared" si="43"/>
        <v>0</v>
      </c>
      <c r="AE142" s="182"/>
      <c r="AF142" s="178"/>
      <c r="AG142" s="182"/>
      <c r="AH142" s="178"/>
      <c r="AJ142" s="259">
        <f>IF(AJ$135="Y",M142*$F$21*'Emissions Factors'!$B18,"")</f>
        <v>0.17455682168997805</v>
      </c>
      <c r="AK142" s="259" t="str">
        <f>IF(AK$135="Y",M142*'Emissions Factors'!$R$36*$F$22/10^6,"")</f>
        <v/>
      </c>
      <c r="AL142" s="180"/>
      <c r="AM142" s="180"/>
      <c r="AO142" s="180">
        <f t="shared" si="44"/>
        <v>0.17455682168997805</v>
      </c>
      <c r="AP142" s="180">
        <f t="shared" si="45"/>
        <v>0</v>
      </c>
      <c r="AS142" s="430"/>
      <c r="AT142" s="478">
        <v>2021</v>
      </c>
      <c r="AU142" s="479">
        <f t="shared" si="46"/>
        <v>0.32215594628522881</v>
      </c>
      <c r="AV142" s="479">
        <f t="shared" si="46"/>
        <v>0</v>
      </c>
      <c r="AW142" s="430"/>
      <c r="AX142" s="479">
        <f t="shared" si="38"/>
        <v>8.7278410844989024E-2</v>
      </c>
      <c r="AY142" s="479">
        <f t="shared" si="38"/>
        <v>0</v>
      </c>
      <c r="AZ142" s="430"/>
      <c r="BA142" s="479">
        <f t="shared" si="39"/>
        <v>0.23487753544023979</v>
      </c>
      <c r="BB142" s="479">
        <f t="shared" si="39"/>
        <v>0</v>
      </c>
      <c r="BC142" s="516"/>
      <c r="BE142" s="480">
        <f t="shared" si="40"/>
        <v>0.2709197575006575</v>
      </c>
      <c r="BF142" s="480" t="str">
        <f t="shared" si="41"/>
        <v/>
      </c>
    </row>
    <row r="143" spans="1:58" ht="15.6" x14ac:dyDescent="0.3">
      <c r="A143" s="152">
        <v>2022</v>
      </c>
      <c r="B143" s="178"/>
      <c r="C143" s="182"/>
      <c r="D143" s="183"/>
      <c r="E143" s="179">
        <f t="shared" si="47"/>
        <v>3.1613559705202854E-2</v>
      </c>
      <c r="F143" s="183">
        <f t="shared" si="48"/>
        <v>1.9002713508432918E-2</v>
      </c>
      <c r="G143" s="247">
        <f t="shared" si="35"/>
        <v>0.14938389527478033</v>
      </c>
      <c r="H143" s="246"/>
      <c r="I143" s="417"/>
      <c r="J143" s="178"/>
      <c r="K143" s="182"/>
      <c r="L143" s="183"/>
      <c r="M143" s="179">
        <f t="shared" si="36"/>
        <v>3.7523166238464495E-2</v>
      </c>
      <c r="N143" s="183">
        <f t="shared" si="49"/>
        <v>2.2609058604250665E-2</v>
      </c>
      <c r="O143" s="247">
        <f t="shared" si="37"/>
        <v>0.17730862288255511</v>
      </c>
      <c r="P143" s="246"/>
      <c r="Q143" s="417"/>
      <c r="R143" s="182"/>
      <c r="S143" s="178"/>
      <c r="T143" s="182"/>
      <c r="U143" s="178"/>
      <c r="V143" s="506"/>
      <c r="W143" s="259">
        <f>IF(W$135="Y",E143*$F$21*'Emissions Factors'!$B19,"")</f>
        <v>0.36780965830432583</v>
      </c>
      <c r="X143" s="259" t="str">
        <f>IF(X$135="Y",E143*'Emissions Factors'!$R$36*$F$22/10^6,"")</f>
        <v/>
      </c>
      <c r="Y143" s="180"/>
      <c r="Z143" s="180"/>
      <c r="AA143" s="509"/>
      <c r="AB143" s="180">
        <f t="shared" si="42"/>
        <v>0.36780965830432583</v>
      </c>
      <c r="AC143" s="180">
        <f t="shared" si="43"/>
        <v>0</v>
      </c>
      <c r="AE143" s="182"/>
      <c r="AF143" s="178"/>
      <c r="AG143" s="182"/>
      <c r="AH143" s="178"/>
      <c r="AJ143" s="259">
        <f>IF(AJ$135="Y",M143*$F$21*'Emissions Factors'!$B19,"")</f>
        <v>0.43656529291115093</v>
      </c>
      <c r="AK143" s="259" t="str">
        <f>IF(AK$135="Y",M143*'Emissions Factors'!$R$36*$F$22/10^6,"")</f>
        <v/>
      </c>
      <c r="AL143" s="180"/>
      <c r="AM143" s="180"/>
      <c r="AO143" s="180">
        <f t="shared" si="44"/>
        <v>0.43656529291115093</v>
      </c>
      <c r="AP143" s="180">
        <f t="shared" si="45"/>
        <v>0</v>
      </c>
      <c r="AS143" s="430"/>
      <c r="AT143" s="478">
        <v>2022</v>
      </c>
      <c r="AU143" s="479">
        <f t="shared" si="46"/>
        <v>0.80437495121547675</v>
      </c>
      <c r="AV143" s="479">
        <f t="shared" si="46"/>
        <v>0</v>
      </c>
      <c r="AW143" s="430"/>
      <c r="AX143" s="479">
        <f t="shared" si="38"/>
        <v>0.21828264645557546</v>
      </c>
      <c r="AY143" s="479">
        <f t="shared" si="38"/>
        <v>0</v>
      </c>
      <c r="AZ143" s="430"/>
      <c r="BA143" s="479">
        <f t="shared" si="39"/>
        <v>0.58609230475990126</v>
      </c>
      <c r="BB143" s="479">
        <f t="shared" si="39"/>
        <v>0</v>
      </c>
      <c r="BC143" s="516"/>
      <c r="BE143" s="480">
        <f t="shared" si="40"/>
        <v>0.2713692739010985</v>
      </c>
      <c r="BF143" s="480" t="str">
        <f t="shared" si="41"/>
        <v/>
      </c>
    </row>
    <row r="144" spans="1:58" ht="15.6" x14ac:dyDescent="0.3">
      <c r="A144" s="152">
        <v>2023</v>
      </c>
      <c r="B144" s="178"/>
      <c r="C144" s="182"/>
      <c r="D144" s="183"/>
      <c r="E144" s="179">
        <f t="shared" si="47"/>
        <v>5.6947019341402214E-2</v>
      </c>
      <c r="F144" s="183">
        <f t="shared" si="48"/>
        <v>2.533345963619936E-2</v>
      </c>
      <c r="G144" s="247">
        <f t="shared" si="35"/>
        <v>0.15715114786247675</v>
      </c>
      <c r="H144" s="246"/>
      <c r="I144" s="417"/>
      <c r="J144" s="178"/>
      <c r="K144" s="182"/>
      <c r="L144" s="183"/>
      <c r="M144" s="179">
        <f t="shared" si="36"/>
        <v>6.7858383053814961E-2</v>
      </c>
      <c r="N144" s="183">
        <f t="shared" si="49"/>
        <v>3.0335216815350466E-2</v>
      </c>
      <c r="O144" s="247">
        <f t="shared" si="37"/>
        <v>0.18726217653406826</v>
      </c>
      <c r="P144" s="246"/>
      <c r="Q144" s="417"/>
      <c r="R144" s="182"/>
      <c r="S144" s="178"/>
      <c r="T144" s="182"/>
      <c r="U144" s="178"/>
      <c r="V144" s="506"/>
      <c r="W144" s="259">
        <f>IF(W$135="Y",E144*$F$21*'Emissions Factors'!$B20,"")</f>
        <v>0.65868567993478266</v>
      </c>
      <c r="X144" s="259" t="str">
        <f>IF(X$135="Y",E144*'Emissions Factors'!$R$36*$F$22/10^6,"")</f>
        <v/>
      </c>
      <c r="Y144" s="180"/>
      <c r="Z144" s="180"/>
      <c r="AA144" s="509"/>
      <c r="AB144" s="180">
        <f t="shared" si="42"/>
        <v>0.65868567993478266</v>
      </c>
      <c r="AC144" s="180">
        <f t="shared" si="43"/>
        <v>0</v>
      </c>
      <c r="AE144" s="182"/>
      <c r="AF144" s="178"/>
      <c r="AG144" s="182"/>
      <c r="AH144" s="178"/>
      <c r="AJ144" s="259">
        <f>IF(AJ$135="Y",M144*$F$21*'Emissions Factors'!$B20,"")</f>
        <v>0.78489349746494497</v>
      </c>
      <c r="AK144" s="259" t="str">
        <f>IF(AK$135="Y",M144*'Emissions Factors'!$R$36*$F$22/10^6,"")</f>
        <v/>
      </c>
      <c r="AL144" s="180"/>
      <c r="AM144" s="180"/>
      <c r="AO144" s="180">
        <f t="shared" si="44"/>
        <v>0.78489349746494497</v>
      </c>
      <c r="AP144" s="180">
        <f t="shared" si="45"/>
        <v>0</v>
      </c>
      <c r="AS144" s="430"/>
      <c r="AT144" s="478">
        <v>2023</v>
      </c>
      <c r="AU144" s="479">
        <f t="shared" si="46"/>
        <v>1.4435791773997275</v>
      </c>
      <c r="AV144" s="479">
        <f t="shared" si="46"/>
        <v>0</v>
      </c>
      <c r="AW144" s="430"/>
      <c r="AX144" s="479">
        <f t="shared" si="38"/>
        <v>0.39244674873247248</v>
      </c>
      <c r="AY144" s="479">
        <f t="shared" si="38"/>
        <v>0</v>
      </c>
      <c r="AZ144" s="430"/>
      <c r="BA144" s="479">
        <f t="shared" si="39"/>
        <v>1.051132428667255</v>
      </c>
      <c r="BB144" s="479">
        <f t="shared" si="39"/>
        <v>0</v>
      </c>
      <c r="BC144" s="516"/>
      <c r="BE144" s="480">
        <f t="shared" si="40"/>
        <v>0.27185675360001665</v>
      </c>
      <c r="BF144" s="480" t="str">
        <f t="shared" si="41"/>
        <v/>
      </c>
    </row>
    <row r="145" spans="1:58" ht="15.6" x14ac:dyDescent="0.3">
      <c r="A145" s="152">
        <v>2024</v>
      </c>
      <c r="B145" s="178"/>
      <c r="C145" s="182"/>
      <c r="D145" s="183"/>
      <c r="E145" s="179">
        <f t="shared" si="47"/>
        <v>8.8896955354428084E-2</v>
      </c>
      <c r="F145" s="183">
        <f t="shared" si="48"/>
        <v>3.194993601302587E-2</v>
      </c>
      <c r="G145" s="247">
        <f t="shared" si="35"/>
        <v>0.16356067826402074</v>
      </c>
      <c r="H145" s="246"/>
      <c r="I145" s="417"/>
      <c r="J145" s="178"/>
      <c r="K145" s="182"/>
      <c r="L145" s="183"/>
      <c r="M145" s="179">
        <f t="shared" si="36"/>
        <v>0.10638444462609385</v>
      </c>
      <c r="N145" s="183">
        <f t="shared" si="49"/>
        <v>3.8526061572278891E-2</v>
      </c>
      <c r="O145" s="247">
        <f t="shared" si="37"/>
        <v>0.19573574652147332</v>
      </c>
      <c r="P145" s="246"/>
      <c r="Q145" s="417"/>
      <c r="R145" s="182"/>
      <c r="S145" s="178"/>
      <c r="T145" s="182"/>
      <c r="U145" s="178"/>
      <c r="V145" s="506"/>
      <c r="W145" s="259">
        <f>IF(W$135="Y",E145*$F$21*'Emissions Factors'!$B21,"")</f>
        <v>1.0223368578111651</v>
      </c>
      <c r="X145" s="259" t="str">
        <f>IF(X$135="Y",E145*'Emissions Factors'!$R$36*$F$22/10^6,"")</f>
        <v/>
      </c>
      <c r="Y145" s="180"/>
      <c r="Z145" s="180"/>
      <c r="AA145" s="509"/>
      <c r="AB145" s="180">
        <f t="shared" si="42"/>
        <v>1.0223368578111651</v>
      </c>
      <c r="AC145" s="180">
        <f t="shared" si="43"/>
        <v>0</v>
      </c>
      <c r="AE145" s="182"/>
      <c r="AF145" s="178"/>
      <c r="AG145" s="182"/>
      <c r="AH145" s="178"/>
      <c r="AJ145" s="259">
        <f>IF(AJ$135="Y",M145*$F$21*'Emissions Factors'!$B21,"")</f>
        <v>1.2234472868660415</v>
      </c>
      <c r="AK145" s="259" t="str">
        <f>IF(AK$135="Y",M145*'Emissions Factors'!$R$36*$F$22/10^6,"")</f>
        <v/>
      </c>
      <c r="AL145" s="180"/>
      <c r="AM145" s="180"/>
      <c r="AO145" s="180">
        <f t="shared" si="44"/>
        <v>1.2234472868660415</v>
      </c>
      <c r="AP145" s="180">
        <f t="shared" si="45"/>
        <v>0</v>
      </c>
      <c r="AS145" s="430"/>
      <c r="AT145" s="478">
        <v>2024</v>
      </c>
      <c r="AU145" s="479">
        <f t="shared" si="46"/>
        <v>2.2457841446772067</v>
      </c>
      <c r="AV145" s="479">
        <f t="shared" si="46"/>
        <v>0</v>
      </c>
      <c r="AW145" s="430"/>
      <c r="AX145" s="479">
        <f t="shared" si="38"/>
        <v>0.61172364343302077</v>
      </c>
      <c r="AY145" s="479">
        <f t="shared" si="38"/>
        <v>0</v>
      </c>
      <c r="AZ145" s="430"/>
      <c r="BA145" s="479">
        <f t="shared" si="39"/>
        <v>1.634060501244186</v>
      </c>
      <c r="BB145" s="479">
        <f t="shared" si="39"/>
        <v>0</v>
      </c>
      <c r="BC145" s="516"/>
      <c r="BE145" s="480">
        <f t="shared" si="40"/>
        <v>0.27238755108449914</v>
      </c>
      <c r="BF145" s="480" t="str">
        <f t="shared" si="41"/>
        <v/>
      </c>
    </row>
    <row r="146" spans="1:58" ht="15.6" x14ac:dyDescent="0.3">
      <c r="A146" s="152">
        <v>2025</v>
      </c>
      <c r="B146" s="178"/>
      <c r="C146" s="182"/>
      <c r="D146" s="183"/>
      <c r="E146" s="179">
        <f t="shared" si="47"/>
        <v>0.12781752944090699</v>
      </c>
      <c r="F146" s="183">
        <f t="shared" si="48"/>
        <v>3.8920574086478907E-2</v>
      </c>
      <c r="G146" s="247">
        <f t="shared" si="35"/>
        <v>0.16906581190494072</v>
      </c>
      <c r="H146" s="246"/>
      <c r="I146" s="417"/>
      <c r="J146" s="178"/>
      <c r="K146" s="182"/>
      <c r="L146" s="183"/>
      <c r="M146" s="179">
        <f t="shared" si="36"/>
        <v>0.15367398808360527</v>
      </c>
      <c r="N146" s="183">
        <f t="shared" si="49"/>
        <v>4.7289543457511421E-2</v>
      </c>
      <c r="O146" s="247">
        <f t="shared" si="37"/>
        <v>0.20326646648288205</v>
      </c>
      <c r="P146" s="246"/>
      <c r="Q146" s="417"/>
      <c r="R146" s="182"/>
      <c r="S146" s="178"/>
      <c r="T146" s="182"/>
      <c r="U146" s="178"/>
      <c r="V146" s="506"/>
      <c r="W146" s="259">
        <f>IF(W$135="Y",E146*$F$21*'Emissions Factors'!$B22,"")</f>
        <v>1.462456074920508</v>
      </c>
      <c r="X146" s="259" t="str">
        <f>IF(X$135="Y",E146*'Emissions Factors'!$R$36*$F$22/10^6,"")</f>
        <v/>
      </c>
      <c r="Y146" s="180"/>
      <c r="Z146" s="180"/>
      <c r="AA146" s="509"/>
      <c r="AB146" s="180">
        <f t="shared" si="42"/>
        <v>1.462456074920508</v>
      </c>
      <c r="AC146" s="180">
        <f t="shared" si="43"/>
        <v>0</v>
      </c>
      <c r="AE146" s="182"/>
      <c r="AF146" s="178"/>
      <c r="AG146" s="182"/>
      <c r="AH146" s="178"/>
      <c r="AJ146" s="259">
        <f>IF(AJ$135="Y",M146*$F$21*'Emissions Factors'!$B22,"")</f>
        <v>1.758299181756861</v>
      </c>
      <c r="AK146" s="259" t="str">
        <f>IF(AK$135="Y",M146*'Emissions Factors'!$R$36*$F$22/10^6,"")</f>
        <v/>
      </c>
      <c r="AL146" s="180"/>
      <c r="AM146" s="180"/>
      <c r="AO146" s="180">
        <f t="shared" si="44"/>
        <v>1.758299181756861</v>
      </c>
      <c r="AP146" s="180">
        <f t="shared" si="45"/>
        <v>0</v>
      </c>
      <c r="AS146" s="430"/>
      <c r="AT146" s="478">
        <v>2025</v>
      </c>
      <c r="AU146" s="479">
        <f t="shared" si="46"/>
        <v>3.2207552566773687</v>
      </c>
      <c r="AV146" s="479">
        <f t="shared" si="46"/>
        <v>0</v>
      </c>
      <c r="AW146" s="430"/>
      <c r="AX146" s="479">
        <f t="shared" si="38"/>
        <v>0.87914959087843048</v>
      </c>
      <c r="AY146" s="479">
        <f t="shared" si="38"/>
        <v>0</v>
      </c>
      <c r="AZ146" s="430"/>
      <c r="BA146" s="479">
        <f t="shared" si="39"/>
        <v>2.3416056657989381</v>
      </c>
      <c r="BB146" s="479">
        <f t="shared" si="39"/>
        <v>0</v>
      </c>
      <c r="BC146" s="516"/>
      <c r="BE146" s="480">
        <f t="shared" si="40"/>
        <v>0.27296379911381052</v>
      </c>
      <c r="BF146" s="480" t="str">
        <f t="shared" si="41"/>
        <v/>
      </c>
    </row>
    <row r="147" spans="1:58" ht="15.6" x14ac:dyDescent="0.3">
      <c r="A147" s="152">
        <v>2026</v>
      </c>
      <c r="B147" s="178"/>
      <c r="C147" s="182"/>
      <c r="D147" s="183"/>
      <c r="E147" s="179">
        <f t="shared" si="47"/>
        <v>0.17402183501353191</v>
      </c>
      <c r="F147" s="183">
        <f t="shared" si="48"/>
        <v>4.6204305572624921E-2</v>
      </c>
      <c r="G147" s="247">
        <f t="shared" si="35"/>
        <v>0.17389915117667085</v>
      </c>
      <c r="H147" s="246"/>
      <c r="I147" s="417"/>
      <c r="J147" s="178"/>
      <c r="K147" s="182"/>
      <c r="L147" s="183"/>
      <c r="M147" s="179">
        <f t="shared" si="36"/>
        <v>0.21027796584278</v>
      </c>
      <c r="N147" s="183">
        <f t="shared" si="49"/>
        <v>5.6603977759174723E-2</v>
      </c>
      <c r="O147" s="247">
        <f t="shared" si="37"/>
        <v>0.21012972175803668</v>
      </c>
      <c r="P147" s="246"/>
      <c r="Q147" s="417"/>
      <c r="R147" s="182"/>
      <c r="S147" s="178"/>
      <c r="T147" s="182"/>
      <c r="U147" s="178"/>
      <c r="V147" s="506"/>
      <c r="W147" s="259">
        <f>IF(W$135="Y",E147*$F$21*'Emissions Factors'!$B23,"")</f>
        <v>1.9788800530606965</v>
      </c>
      <c r="X147" s="259" t="str">
        <f>IF(X$135="Y",E147*'Emissions Factors'!$R$36*$F$22/10^6,"")</f>
        <v/>
      </c>
      <c r="Y147" s="180"/>
      <c r="Z147" s="180"/>
      <c r="AA147" s="509"/>
      <c r="AB147" s="180">
        <f t="shared" si="42"/>
        <v>1.9788800530606965</v>
      </c>
      <c r="AC147" s="180">
        <f t="shared" si="43"/>
        <v>0</v>
      </c>
      <c r="AE147" s="182"/>
      <c r="AF147" s="178"/>
      <c r="AG147" s="182"/>
      <c r="AH147" s="178"/>
      <c r="AJ147" s="259">
        <f>IF(AJ$135="Y",M147*$F$21*'Emissions Factors'!$B23,"")</f>
        <v>2.391164718910697</v>
      </c>
      <c r="AK147" s="259" t="str">
        <f>IF(AK$135="Y",M147*'Emissions Factors'!$R$36*$F$22/10^6,"")</f>
        <v/>
      </c>
      <c r="AL147" s="180"/>
      <c r="AM147" s="180"/>
      <c r="AO147" s="180">
        <f t="shared" si="44"/>
        <v>2.391164718910697</v>
      </c>
      <c r="AP147" s="180">
        <f t="shared" si="45"/>
        <v>0</v>
      </c>
      <c r="AS147" s="430"/>
      <c r="AT147" s="478">
        <v>2026</v>
      </c>
      <c r="AU147" s="479">
        <f t="shared" si="46"/>
        <v>4.3700447719713935</v>
      </c>
      <c r="AV147" s="479">
        <f t="shared" si="46"/>
        <v>0</v>
      </c>
      <c r="AW147" s="430"/>
      <c r="AX147" s="479">
        <f t="shared" si="38"/>
        <v>1.1955823594553485</v>
      </c>
      <c r="AY147" s="479">
        <f t="shared" si="38"/>
        <v>0</v>
      </c>
      <c r="AZ147" s="430"/>
      <c r="BA147" s="479">
        <f t="shared" si="39"/>
        <v>3.174462412516045</v>
      </c>
      <c r="BB147" s="479">
        <f t="shared" si="39"/>
        <v>0</v>
      </c>
      <c r="BC147" s="516"/>
      <c r="BE147" s="480">
        <f t="shared" si="40"/>
        <v>0.27358583763799821</v>
      </c>
      <c r="BF147" s="480" t="str">
        <f t="shared" si="41"/>
        <v/>
      </c>
    </row>
    <row r="148" spans="1:58" ht="15.6" x14ac:dyDescent="0.3">
      <c r="A148" s="152">
        <v>2027</v>
      </c>
      <c r="B148" s="178"/>
      <c r="C148" s="182"/>
      <c r="D148" s="183"/>
      <c r="E148" s="179">
        <f t="shared" si="47"/>
        <v>0.22781796343591215</v>
      </c>
      <c r="F148" s="183">
        <f t="shared" si="48"/>
        <v>5.3796128422380241E-2</v>
      </c>
      <c r="G148" s="247">
        <f t="shared" si="35"/>
        <v>0.17821558217405592</v>
      </c>
      <c r="H148" s="246"/>
      <c r="I148" s="417"/>
      <c r="J148" s="178"/>
      <c r="K148" s="182"/>
      <c r="L148" s="183"/>
      <c r="M148" s="179">
        <f t="shared" si="36"/>
        <v>0.27676766297275834</v>
      </c>
      <c r="N148" s="183">
        <f t="shared" si="49"/>
        <v>6.6489697129978348E-2</v>
      </c>
      <c r="O148" s="247">
        <f t="shared" si="37"/>
        <v>0.21650755471492278</v>
      </c>
      <c r="P148" s="246"/>
      <c r="Q148" s="417"/>
      <c r="R148" s="182"/>
      <c r="S148" s="178"/>
      <c r="T148" s="182"/>
      <c r="U148" s="182"/>
      <c r="V148" s="506"/>
      <c r="W148" s="259">
        <f>IF(W$135="Y",E148*$F$21*'Emissions Factors'!$B24,"")</f>
        <v>2.5763429743163107</v>
      </c>
      <c r="X148" s="259" t="str">
        <f>IF(X$135="Y",E148*'Emissions Factors'!$R$36*$F$22/10^6,"")</f>
        <v/>
      </c>
      <c r="Y148" s="180"/>
      <c r="Z148" s="180"/>
      <c r="AA148" s="509"/>
      <c r="AB148" s="180">
        <f t="shared" si="42"/>
        <v>2.5763429743163107</v>
      </c>
      <c r="AC148" s="180">
        <f>SUM(R148:U148)</f>
        <v>0</v>
      </c>
      <c r="AE148" s="182"/>
      <c r="AF148" s="178"/>
      <c r="AG148" s="182"/>
      <c r="AH148" s="178"/>
      <c r="AJ148" s="259">
        <f>IF(AJ$135="Y",M148*$F$21*'Emissions Factors'!$B24,"")</f>
        <v>3.1299043028202616</v>
      </c>
      <c r="AK148" s="259" t="str">
        <f>IF(AK$135="Y",M148*'Emissions Factors'!$R$36*$F$22/10^6,"")</f>
        <v/>
      </c>
      <c r="AL148" s="180"/>
      <c r="AM148" s="180"/>
      <c r="AO148" s="180">
        <f t="shared" si="44"/>
        <v>3.1299043028202616</v>
      </c>
      <c r="AP148" s="180">
        <f t="shared" si="45"/>
        <v>0</v>
      </c>
      <c r="AS148" s="430"/>
      <c r="AT148" s="478">
        <v>2027</v>
      </c>
      <c r="AU148" s="479">
        <f t="shared" si="46"/>
        <v>5.7062472771365726</v>
      </c>
      <c r="AV148" s="479">
        <f t="shared" si="46"/>
        <v>0</v>
      </c>
      <c r="AW148" s="430"/>
      <c r="AX148" s="479">
        <f t="shared" si="38"/>
        <v>1.5649521514101308</v>
      </c>
      <c r="AY148" s="479">
        <f t="shared" si="38"/>
        <v>0</v>
      </c>
      <c r="AZ148" s="430"/>
      <c r="BA148" s="479">
        <f t="shared" si="39"/>
        <v>4.1412951257264421</v>
      </c>
      <c r="BB148" s="479">
        <f t="shared" si="39"/>
        <v>0</v>
      </c>
      <c r="BC148" s="516"/>
      <c r="BE148" s="480">
        <f t="shared" si="40"/>
        <v>0.27425242465051963</v>
      </c>
      <c r="BF148" s="480" t="str">
        <f t="shared" si="41"/>
        <v/>
      </c>
    </row>
    <row r="149" spans="1:58" ht="15.6" x14ac:dyDescent="0.3">
      <c r="A149" s="152">
        <v>2028</v>
      </c>
      <c r="B149" s="178"/>
      <c r="C149" s="182"/>
      <c r="D149" s="183"/>
      <c r="E149" s="179">
        <f t="shared" si="47"/>
        <v>0.28972382679007136</v>
      </c>
      <c r="F149" s="183">
        <f t="shared" si="48"/>
        <v>6.1905863354159207E-2</v>
      </c>
      <c r="G149" s="247">
        <f t="shared" si="35"/>
        <v>0.18215261124823356</v>
      </c>
      <c r="H149" s="246"/>
      <c r="I149" s="417"/>
      <c r="J149" s="178"/>
      <c r="K149" s="182"/>
      <c r="L149" s="183"/>
      <c r="M149" s="179">
        <f t="shared" si="36"/>
        <v>0.35399446127067946</v>
      </c>
      <c r="N149" s="183">
        <f t="shared" si="49"/>
        <v>7.7226798297921118E-2</v>
      </c>
      <c r="O149" s="247">
        <f t="shared" si="37"/>
        <v>0.22256027818722596</v>
      </c>
      <c r="P149" s="246"/>
      <c r="Q149" s="417"/>
      <c r="R149" s="182"/>
      <c r="S149" s="178"/>
      <c r="T149" s="182"/>
      <c r="U149" s="178"/>
      <c r="V149" s="506"/>
      <c r="W149" s="259">
        <f>IF(W$135="Y",E149*$F$21*'Emissions Factors'!$B25,"")</f>
        <v>3.2585536788787186</v>
      </c>
      <c r="X149" s="259" t="str">
        <f>IF(X$135="Y",E149*'Emissions Factors'!$R$36*$F$22/10^6,"")</f>
        <v/>
      </c>
      <c r="Y149" s="180"/>
      <c r="Z149" s="180"/>
      <c r="AA149" s="509"/>
      <c r="AB149" s="180">
        <f t="shared" si="42"/>
        <v>3.2585536788787186</v>
      </c>
      <c r="AC149" s="180">
        <f t="shared" si="43"/>
        <v>0</v>
      </c>
      <c r="AE149" s="182"/>
      <c r="AF149" s="178"/>
      <c r="AG149" s="182"/>
      <c r="AH149" s="178"/>
      <c r="AJ149" s="259">
        <f>IF(AJ$135="Y",M149*$F$21*'Emissions Factors'!$B25,"")</f>
        <v>3.9814121153110236</v>
      </c>
      <c r="AK149" s="259" t="str">
        <f>IF(AK$135="Y",M149*'Emissions Factors'!$R$36*$F$22/10^6,"")</f>
        <v/>
      </c>
      <c r="AL149" s="180"/>
      <c r="AM149" s="180"/>
      <c r="AO149" s="180">
        <f t="shared" si="44"/>
        <v>3.9814121153110236</v>
      </c>
      <c r="AP149" s="180">
        <f t="shared" si="45"/>
        <v>0</v>
      </c>
      <c r="AS149" s="430"/>
      <c r="AT149" s="478">
        <v>2028</v>
      </c>
      <c r="AU149" s="479">
        <f t="shared" si="46"/>
        <v>7.2399657941897422</v>
      </c>
      <c r="AV149" s="479">
        <f t="shared" si="46"/>
        <v>0</v>
      </c>
      <c r="AW149" s="430"/>
      <c r="AX149" s="479">
        <f t="shared" si="38"/>
        <v>1.9907060576555118</v>
      </c>
      <c r="AY149" s="479">
        <f t="shared" si="38"/>
        <v>0</v>
      </c>
      <c r="AZ149" s="430"/>
      <c r="BA149" s="479">
        <f t="shared" si="39"/>
        <v>5.2492597365342304</v>
      </c>
      <c r="BB149" s="479">
        <f t="shared" si="39"/>
        <v>0</v>
      </c>
      <c r="BC149" s="516"/>
      <c r="BE149" s="480">
        <f t="shared" si="40"/>
        <v>0.27496069929682598</v>
      </c>
      <c r="BF149" s="480" t="str">
        <f t="shared" si="41"/>
        <v/>
      </c>
    </row>
    <row r="150" spans="1:58" ht="15.6" x14ac:dyDescent="0.3">
      <c r="A150" s="152">
        <v>2029</v>
      </c>
      <c r="B150" s="178"/>
      <c r="C150" s="182"/>
      <c r="D150" s="183"/>
      <c r="E150" s="179">
        <f t="shared" si="47"/>
        <v>0.36034887008841426</v>
      </c>
      <c r="F150" s="183">
        <f t="shared" si="48"/>
        <v>7.0625043298342904E-2</v>
      </c>
      <c r="G150" s="247">
        <f t="shared" si="35"/>
        <v>0.18580594707793596</v>
      </c>
      <c r="H150" s="246"/>
      <c r="I150" s="417"/>
      <c r="J150" s="178"/>
      <c r="K150" s="182"/>
      <c r="L150" s="183"/>
      <c r="M150" s="179">
        <f t="shared" si="36"/>
        <v>0.44295149002104933</v>
      </c>
      <c r="N150" s="183">
        <f t="shared" si="49"/>
        <v>8.8957028750369871E-2</v>
      </c>
      <c r="O150" s="247">
        <f t="shared" si="37"/>
        <v>0.22839816617920938</v>
      </c>
      <c r="P150" s="246"/>
      <c r="Q150" s="417"/>
      <c r="R150" s="182"/>
      <c r="S150" s="178"/>
      <c r="T150" s="182"/>
      <c r="U150" s="178"/>
      <c r="V150" s="506"/>
      <c r="W150" s="259">
        <f>IF(W$135="Y",E150*$F$21*'Emissions Factors'!$B26,"")</f>
        <v>4.0309725863598738</v>
      </c>
      <c r="X150" s="259" t="str">
        <f>IF(X$135="Y",E150*'Emissions Factors'!$R$36*$F$22/10^6,"")</f>
        <v/>
      </c>
      <c r="Y150" s="180"/>
      <c r="Z150" s="180"/>
      <c r="AA150" s="509"/>
      <c r="AB150" s="180">
        <f t="shared" si="42"/>
        <v>4.0309725863598738</v>
      </c>
      <c r="AC150" s="180">
        <f t="shared" si="43"/>
        <v>0</v>
      </c>
      <c r="AE150" s="182"/>
      <c r="AF150" s="178"/>
      <c r="AG150" s="182"/>
      <c r="AH150" s="178"/>
      <c r="AJ150" s="259">
        <f>IF(AJ$135="Y",M150*$F$21*'Emissions Factors'!$B26,"")</f>
        <v>4.9549907369600392</v>
      </c>
      <c r="AK150" s="259" t="str">
        <f>IF(AK$135="Y",M150*'Emissions Factors'!$R$36*$F$22/10^6,"")</f>
        <v/>
      </c>
      <c r="AL150" s="180"/>
      <c r="AM150" s="180"/>
      <c r="AO150" s="180">
        <f t="shared" si="44"/>
        <v>4.9549907369600392</v>
      </c>
      <c r="AP150" s="180">
        <f t="shared" si="45"/>
        <v>0</v>
      </c>
      <c r="AS150" s="430"/>
      <c r="AT150" s="478">
        <v>2029</v>
      </c>
      <c r="AU150" s="479">
        <f t="shared" si="46"/>
        <v>8.985963323319913</v>
      </c>
      <c r="AV150" s="479">
        <f t="shared" si="46"/>
        <v>0</v>
      </c>
      <c r="AW150" s="430"/>
      <c r="AX150" s="479">
        <f t="shared" si="38"/>
        <v>2.4774953684800196</v>
      </c>
      <c r="AY150" s="479">
        <f t="shared" si="38"/>
        <v>0</v>
      </c>
      <c r="AZ150" s="430"/>
      <c r="BA150" s="479">
        <f t="shared" si="39"/>
        <v>6.5084679548398938</v>
      </c>
      <c r="BB150" s="479">
        <f t="shared" si="39"/>
        <v>0</v>
      </c>
      <c r="BC150" s="516"/>
      <c r="BE150" s="480">
        <f t="shared" si="40"/>
        <v>0.27570726469031431</v>
      </c>
      <c r="BF150" s="480" t="str">
        <f t="shared" si="41"/>
        <v/>
      </c>
    </row>
    <row r="151" spans="1:58" ht="15.6" x14ac:dyDescent="0.3">
      <c r="A151" s="152">
        <v>2030</v>
      </c>
      <c r="B151" s="178"/>
      <c r="C151" s="182"/>
      <c r="D151" s="183"/>
      <c r="E151" s="179">
        <f t="shared" si="47"/>
        <v>0.44032747161176866</v>
      </c>
      <c r="F151" s="183">
        <f t="shared" si="48"/>
        <v>7.9978601523354398E-2</v>
      </c>
      <c r="G151" s="247">
        <f t="shared" si="35"/>
        <v>0.18923249991352828</v>
      </c>
      <c r="H151" s="246"/>
      <c r="I151" s="417"/>
      <c r="J151" s="178"/>
      <c r="K151" s="182"/>
      <c r="L151" s="183"/>
      <c r="M151" s="179">
        <f t="shared" si="36"/>
        <v>0.54469583375102937</v>
      </c>
      <c r="N151" s="183">
        <f t="shared" si="49"/>
        <v>0.10174434372998004</v>
      </c>
      <c r="O151" s="247">
        <f t="shared" si="37"/>
        <v>0.23408522283631239</v>
      </c>
      <c r="P151" s="246"/>
      <c r="Q151" s="417"/>
      <c r="R151" s="182"/>
      <c r="S151" s="178"/>
      <c r="T151" s="182"/>
      <c r="U151" s="178"/>
      <c r="V151" s="506"/>
      <c r="W151" s="259">
        <f>IF(W$135="Y",E151*$F$21*'Emissions Factors'!$B27,"")</f>
        <v>4.9003493675887508</v>
      </c>
      <c r="X151" s="259" t="str">
        <f>IF(X$135="Y",E151*'Emissions Factors'!$R$36*$F$22/10^6,"")</f>
        <v/>
      </c>
      <c r="Y151" s="180"/>
      <c r="Z151" s="180"/>
      <c r="AA151" s="509"/>
      <c r="AB151" s="180">
        <f t="shared" si="42"/>
        <v>4.9003493675887508</v>
      </c>
      <c r="AC151" s="180">
        <f t="shared" si="43"/>
        <v>0</v>
      </c>
      <c r="AE151" s="182"/>
      <c r="AF151" s="178"/>
      <c r="AG151" s="182"/>
      <c r="AH151" s="178"/>
      <c r="AJ151" s="259">
        <f>IF(AJ$135="Y",M151*$F$21*'Emissions Factors'!$B27,"")</f>
        <v>6.061851818329167</v>
      </c>
      <c r="AK151" s="259" t="str">
        <f>IF(AK$135="Y",M151*'Emissions Factors'!$R$36*$F$22/10^6,"")</f>
        <v/>
      </c>
      <c r="AL151" s="180"/>
      <c r="AM151" s="180"/>
      <c r="AO151" s="180">
        <f t="shared" si="44"/>
        <v>6.061851818329167</v>
      </c>
      <c r="AP151" s="180">
        <f t="shared" si="45"/>
        <v>0</v>
      </c>
      <c r="AS151" s="430"/>
      <c r="AT151" s="478">
        <v>2030</v>
      </c>
      <c r="AU151" s="479">
        <f t="shared" si="46"/>
        <v>10.962201185917918</v>
      </c>
      <c r="AV151" s="479">
        <f t="shared" si="46"/>
        <v>0</v>
      </c>
      <c r="AW151" s="430"/>
      <c r="AX151" s="479">
        <f t="shared" si="38"/>
        <v>3.0309259091645835</v>
      </c>
      <c r="AY151" s="479">
        <f t="shared" si="38"/>
        <v>0</v>
      </c>
      <c r="AZ151" s="430"/>
      <c r="BA151" s="479">
        <f t="shared" si="39"/>
        <v>7.9312752767533343</v>
      </c>
      <c r="BB151" s="479">
        <f t="shared" si="39"/>
        <v>0</v>
      </c>
      <c r="BC151" s="516"/>
      <c r="BE151" s="480">
        <f t="shared" si="40"/>
        <v>0.27648880528284059</v>
      </c>
      <c r="BF151" s="480" t="str">
        <f t="shared" si="41"/>
        <v/>
      </c>
    </row>
    <row r="152" spans="1:58" ht="15.6" x14ac:dyDescent="0.3">
      <c r="A152" s="152">
        <v>2031</v>
      </c>
      <c r="B152" s="178"/>
      <c r="C152" s="182"/>
      <c r="D152" s="183"/>
      <c r="E152" s="179">
        <f t="shared" si="47"/>
        <v>0.5301549735809381</v>
      </c>
      <c r="F152" s="183">
        <f t="shared" si="48"/>
        <v>8.9827501969169443E-2</v>
      </c>
      <c r="G152" s="247">
        <f t="shared" si="35"/>
        <v>0.1924480569899556</v>
      </c>
      <c r="H152" s="246"/>
      <c r="I152" s="417"/>
      <c r="J152" s="178"/>
      <c r="K152" s="182"/>
      <c r="L152" s="183"/>
      <c r="M152" s="179">
        <f t="shared" si="36"/>
        <v>0.66014930224183621</v>
      </c>
      <c r="N152" s="183">
        <f t="shared" si="49"/>
        <v>0.11545346849080684</v>
      </c>
      <c r="O152" s="247">
        <f t="shared" si="37"/>
        <v>0.23963644004241449</v>
      </c>
      <c r="P152" s="246"/>
      <c r="Q152" s="417"/>
      <c r="R152" s="182"/>
      <c r="S152" s="178"/>
      <c r="T152" s="182"/>
      <c r="U152" s="178"/>
      <c r="V152" s="506"/>
      <c r="W152" s="259">
        <f>IF(W$135="Y",E152*$F$21*'Emissions Factors'!$B28,"")</f>
        <v>5.8671853686571902</v>
      </c>
      <c r="X152" s="259" t="str">
        <f>IF(X$135="Y",E152*'Emissions Factors'!$R$36*$F$22/10^6,"")</f>
        <v/>
      </c>
      <c r="Y152" s="180"/>
      <c r="Z152" s="180"/>
      <c r="AA152" s="509"/>
      <c r="AB152" s="180">
        <f t="shared" si="42"/>
        <v>5.8671853686571902</v>
      </c>
      <c r="AC152" s="180">
        <f t="shared" si="43"/>
        <v>0</v>
      </c>
      <c r="AE152" s="182"/>
      <c r="AF152" s="178"/>
      <c r="AG152" s="182"/>
      <c r="AH152" s="178"/>
      <c r="AJ152" s="259">
        <f>IF(AJ$135="Y",M152*$F$21*'Emissions Factors'!$B28,"")</f>
        <v>7.3058228636069469</v>
      </c>
      <c r="AK152" s="259" t="str">
        <f>IF(AK$135="Y",M152*'Emissions Factors'!$R$36*$F$22/10^6,"")</f>
        <v/>
      </c>
      <c r="AL152" s="180"/>
      <c r="AM152" s="180"/>
      <c r="AO152" s="180">
        <f t="shared" si="44"/>
        <v>7.3058228636069469</v>
      </c>
      <c r="AP152" s="180">
        <f t="shared" si="45"/>
        <v>0</v>
      </c>
      <c r="AS152" s="430"/>
      <c r="AT152" s="478">
        <v>2031</v>
      </c>
      <c r="AU152" s="479">
        <f t="shared" si="46"/>
        <v>13.173008232264138</v>
      </c>
      <c r="AV152" s="479">
        <f t="shared" si="46"/>
        <v>0</v>
      </c>
      <c r="AW152" s="430"/>
      <c r="AX152" s="479">
        <f t="shared" si="38"/>
        <v>3.6529114318034734</v>
      </c>
      <c r="AY152" s="479">
        <f t="shared" si="38"/>
        <v>0</v>
      </c>
      <c r="AZ152" s="430"/>
      <c r="BA152" s="479">
        <f t="shared" si="39"/>
        <v>9.5200968004606636</v>
      </c>
      <c r="BB152" s="479">
        <f t="shared" si="39"/>
        <v>0</v>
      </c>
      <c r="BC152" s="516"/>
      <c r="BE152" s="480">
        <f t="shared" si="40"/>
        <v>0.27730275176299818</v>
      </c>
      <c r="BF152" s="480" t="str">
        <f t="shared" si="41"/>
        <v/>
      </c>
    </row>
    <row r="153" spans="1:58" ht="15.6" x14ac:dyDescent="0.3">
      <c r="A153" s="152">
        <v>2032</v>
      </c>
      <c r="B153" s="178"/>
      <c r="C153" s="182"/>
      <c r="D153" s="183"/>
      <c r="E153" s="179">
        <f t="shared" si="47"/>
        <v>0.62993127466105925</v>
      </c>
      <c r="F153" s="183">
        <f t="shared" si="48"/>
        <v>9.9776301080121144E-2</v>
      </c>
      <c r="G153" s="247">
        <f t="shared" si="35"/>
        <v>0.19545321253164072</v>
      </c>
      <c r="H153" s="246"/>
      <c r="I153" s="417"/>
      <c r="J153" s="178"/>
      <c r="K153" s="182"/>
      <c r="L153" s="183"/>
      <c r="M153" s="179">
        <f t="shared" si="36"/>
        <v>0.78976669152383416</v>
      </c>
      <c r="N153" s="183">
        <f t="shared" si="49"/>
        <v>0.12961738928199795</v>
      </c>
      <c r="O153" s="247">
        <f t="shared" si="37"/>
        <v>0.24504647287416381</v>
      </c>
      <c r="P153" s="246"/>
      <c r="Q153" s="417"/>
      <c r="R153" s="182"/>
      <c r="S153" s="178"/>
      <c r="T153" s="182"/>
      <c r="U153" s="178"/>
      <c r="V153" s="506"/>
      <c r="W153" s="259">
        <f>IF(W$135="Y",E153*$F$21*'Emissions Factors'!$B29,"")</f>
        <v>6.93437427509802</v>
      </c>
      <c r="X153" s="259" t="str">
        <f>IF(X$135="Y",E153*'Emissions Factors'!$R$36*$F$22/10^6,"")</f>
        <v/>
      </c>
      <c r="Y153" s="180"/>
      <c r="Z153" s="180"/>
      <c r="AA153" s="509"/>
      <c r="AB153" s="180">
        <f t="shared" si="42"/>
        <v>6.93437427509802</v>
      </c>
      <c r="AC153" s="180">
        <f t="shared" si="43"/>
        <v>0</v>
      </c>
      <c r="AE153" s="182"/>
      <c r="AF153" s="178"/>
      <c r="AG153" s="182"/>
      <c r="AH153" s="178"/>
      <c r="AJ153" s="259">
        <f>IF(AJ$135="Y",M153*$F$21*'Emissions Factors'!$B29,"")</f>
        <v>8.6938655839541461</v>
      </c>
      <c r="AK153" s="259" t="str">
        <f>IF(AK$135="Y",M153*'Emissions Factors'!$R$36*$F$22/10^6,"")</f>
        <v/>
      </c>
      <c r="AL153" s="180"/>
      <c r="AM153" s="180"/>
      <c r="AO153" s="180">
        <f t="shared" si="44"/>
        <v>8.6938655839541461</v>
      </c>
      <c r="AP153" s="180">
        <f t="shared" si="45"/>
        <v>0</v>
      </c>
      <c r="AS153" s="430"/>
      <c r="AT153" s="478">
        <v>2032</v>
      </c>
      <c r="AU153" s="479">
        <f t="shared" si="46"/>
        <v>15.628239859052165</v>
      </c>
      <c r="AV153" s="479">
        <f t="shared" si="46"/>
        <v>0</v>
      </c>
      <c r="AW153" s="430"/>
      <c r="AX153" s="479">
        <f t="shared" si="38"/>
        <v>4.3469327919770731</v>
      </c>
      <c r="AY153" s="479">
        <f t="shared" si="38"/>
        <v>0</v>
      </c>
      <c r="AZ153" s="430"/>
      <c r="BA153" s="479">
        <f t="shared" si="39"/>
        <v>11.281307067075092</v>
      </c>
      <c r="BB153" s="479">
        <f t="shared" si="39"/>
        <v>0</v>
      </c>
      <c r="BC153" s="516"/>
      <c r="BE153" s="480">
        <f t="shared" si="40"/>
        <v>0.2781460248358838</v>
      </c>
      <c r="BF153" s="480" t="str">
        <f t="shared" si="41"/>
        <v/>
      </c>
    </row>
    <row r="154" spans="1:58" ht="15.6" x14ac:dyDescent="0.3">
      <c r="A154" s="152">
        <v>2033</v>
      </c>
      <c r="B154" s="178"/>
      <c r="C154" s="182"/>
      <c r="D154" s="183"/>
      <c r="E154" s="179">
        <f t="shared" si="47"/>
        <v>0.73909093791688107</v>
      </c>
      <c r="F154" s="183">
        <f t="shared" si="48"/>
        <v>0.10915966325582183</v>
      </c>
      <c r="G154" s="247">
        <f t="shared" si="35"/>
        <v>0.19824654375074294</v>
      </c>
      <c r="H154" s="246"/>
      <c r="I154" s="417"/>
      <c r="J154" s="178"/>
      <c r="K154" s="182"/>
      <c r="L154" s="183"/>
      <c r="M154" s="179">
        <f t="shared" si="36"/>
        <v>0.93316770706722374</v>
      </c>
      <c r="N154" s="183">
        <f t="shared" si="49"/>
        <v>0.14340101554338958</v>
      </c>
      <c r="O154" s="247">
        <f t="shared" si="37"/>
        <v>0.2503038031927376</v>
      </c>
      <c r="P154" s="246"/>
      <c r="Q154" s="417"/>
      <c r="R154" s="182"/>
      <c r="S154" s="178"/>
      <c r="T154" s="182"/>
      <c r="U154" s="178"/>
      <c r="V154" s="506"/>
      <c r="W154" s="259">
        <f>IF(W$135="Y",E154*$F$21*'Emissions Factors'!$B30,"")</f>
        <v>8.0929318074577612</v>
      </c>
      <c r="X154" s="259" t="str">
        <f>IF(X$135="Y",E154*'Emissions Factors'!$R$36*$F$22/10^6,"")</f>
        <v/>
      </c>
      <c r="Y154" s="180"/>
      <c r="Z154" s="180"/>
      <c r="AA154" s="509"/>
      <c r="AB154" s="180">
        <f t="shared" si="42"/>
        <v>8.0929318074577612</v>
      </c>
      <c r="AC154" s="180">
        <f t="shared" si="43"/>
        <v>0</v>
      </c>
      <c r="AE154" s="182"/>
      <c r="AF154" s="178"/>
      <c r="AG154" s="182"/>
      <c r="AH154" s="178"/>
      <c r="AJ154" s="259">
        <f>IF(AJ$135="Y",M154*$F$21*'Emissions Factors'!$B30,"")</f>
        <v>10.21804250435293</v>
      </c>
      <c r="AK154" s="259" t="str">
        <f>IF(AK$135="Y",M154*'Emissions Factors'!$R$36*$F$22/10^6,"")</f>
        <v/>
      </c>
      <c r="AL154" s="180"/>
      <c r="AM154" s="180"/>
      <c r="AO154" s="180">
        <f t="shared" si="44"/>
        <v>10.21804250435293</v>
      </c>
      <c r="AP154" s="180">
        <f t="shared" si="45"/>
        <v>0</v>
      </c>
      <c r="AS154" s="430"/>
      <c r="AT154" s="478">
        <v>2033</v>
      </c>
      <c r="AU154" s="479">
        <f t="shared" si="46"/>
        <v>18.310974311810689</v>
      </c>
      <c r="AV154" s="479">
        <f t="shared" si="46"/>
        <v>0</v>
      </c>
      <c r="AW154" s="430"/>
      <c r="AX154" s="479">
        <f t="shared" si="38"/>
        <v>5.1090212521764649</v>
      </c>
      <c r="AY154" s="479">
        <f t="shared" si="38"/>
        <v>0</v>
      </c>
      <c r="AZ154" s="430"/>
      <c r="BA154" s="479">
        <f t="shared" si="39"/>
        <v>13.201953059634224</v>
      </c>
      <c r="BB154" s="479">
        <f t="shared" si="39"/>
        <v>0</v>
      </c>
      <c r="BC154" s="516"/>
      <c r="BE154" s="480">
        <f t="shared" si="40"/>
        <v>0.27901416741549984</v>
      </c>
      <c r="BF154" s="480" t="str">
        <f t="shared" si="41"/>
        <v/>
      </c>
    </row>
    <row r="155" spans="1:58" ht="15.6" x14ac:dyDescent="0.3">
      <c r="A155" s="152">
        <v>2034</v>
      </c>
      <c r="B155" s="178"/>
      <c r="C155" s="182"/>
      <c r="D155" s="183"/>
      <c r="E155" s="179">
        <f t="shared" si="47"/>
        <v>0.85661017604083023</v>
      </c>
      <c r="F155" s="183">
        <f t="shared" si="48"/>
        <v>0.11751923812394915</v>
      </c>
      <c r="G155" s="247">
        <f t="shared" si="35"/>
        <v>0.20083443017968219</v>
      </c>
      <c r="H155" s="246"/>
      <c r="I155" s="417"/>
      <c r="J155" s="178"/>
      <c r="K155" s="182"/>
      <c r="L155" s="183"/>
      <c r="M155" s="179">
        <f t="shared" si="36"/>
        <v>1.0893637961047253</v>
      </c>
      <c r="N155" s="183">
        <f t="shared" si="49"/>
        <v>0.1561960890375016</v>
      </c>
      <c r="O155" s="247">
        <f t="shared" si="37"/>
        <v>0.25540410722209278</v>
      </c>
      <c r="P155" s="246"/>
      <c r="Q155" s="417"/>
      <c r="R155" s="182"/>
      <c r="S155" s="178"/>
      <c r="T155" s="182"/>
      <c r="U155" s="178"/>
      <c r="V155" s="506"/>
      <c r="W155" s="259">
        <f>IF(W$135="Y",E155*$F$21*'Emissions Factors'!$B31,"")</f>
        <v>9.3301489981821604</v>
      </c>
      <c r="X155" s="259" t="str">
        <f>IF(X$135="Y",E155*'Emissions Factors'!$R$36*$F$22/10^6,"")</f>
        <v/>
      </c>
      <c r="Y155" s="180"/>
      <c r="Z155" s="180"/>
      <c r="AA155" s="509"/>
      <c r="AB155" s="180">
        <f t="shared" si="42"/>
        <v>9.3301489981821604</v>
      </c>
      <c r="AC155" s="180">
        <f t="shared" si="43"/>
        <v>0</v>
      </c>
      <c r="AE155" s="182"/>
      <c r="AF155" s="178"/>
      <c r="AG155" s="182"/>
      <c r="AH155" s="178"/>
      <c r="AJ155" s="259">
        <f>IF(AJ$135="Y",M155*$F$21*'Emissions Factors'!$B31,"")</f>
        <v>11.865288103229298</v>
      </c>
      <c r="AK155" s="259" t="str">
        <f>IF(AK$135="Y",M155*'Emissions Factors'!$R$36*$F$22/10^6,"")</f>
        <v/>
      </c>
      <c r="AL155" s="180"/>
      <c r="AM155" s="180"/>
      <c r="AO155" s="180">
        <f t="shared" si="44"/>
        <v>11.865288103229298</v>
      </c>
      <c r="AP155" s="180">
        <f t="shared" si="45"/>
        <v>0</v>
      </c>
      <c r="AS155" s="430"/>
      <c r="AT155" s="478">
        <v>2034</v>
      </c>
      <c r="AU155" s="479">
        <f t="shared" si="46"/>
        <v>21.195437101411457</v>
      </c>
      <c r="AV155" s="479">
        <f t="shared" si="46"/>
        <v>0</v>
      </c>
      <c r="AW155" s="430"/>
      <c r="AX155" s="479">
        <f t="shared" si="38"/>
        <v>5.9326440516146492</v>
      </c>
      <c r="AY155" s="479">
        <f t="shared" si="38"/>
        <v>0</v>
      </c>
      <c r="AZ155" s="430"/>
      <c r="BA155" s="479">
        <f t="shared" si="39"/>
        <v>15.262793049796809</v>
      </c>
      <c r="BB155" s="479">
        <f t="shared" si="39"/>
        <v>0</v>
      </c>
      <c r="BC155" s="516"/>
      <c r="BE155" s="480">
        <f t="shared" si="40"/>
        <v>0.27990194414153319</v>
      </c>
      <c r="BF155" s="480" t="str">
        <f t="shared" si="41"/>
        <v/>
      </c>
    </row>
    <row r="156" spans="1:58" ht="15.6" x14ac:dyDescent="0.3">
      <c r="A156" s="152">
        <v>2035</v>
      </c>
      <c r="B156" s="178"/>
      <c r="C156" s="182"/>
      <c r="D156" s="183"/>
      <c r="E156" s="179">
        <f t="shared" si="47"/>
        <v>0.98171122424712076</v>
      </c>
      <c r="F156" s="183">
        <f t="shared" si="48"/>
        <v>0.12510104820629053</v>
      </c>
      <c r="G156" s="247">
        <f t="shared" si="35"/>
        <v>0.20324195031973702</v>
      </c>
      <c r="H156" s="246"/>
      <c r="I156" s="417"/>
      <c r="J156" s="178"/>
      <c r="K156" s="182"/>
      <c r="L156" s="183"/>
      <c r="M156" s="179">
        <f t="shared" si="36"/>
        <v>1.2576381671165071</v>
      </c>
      <c r="N156" s="183">
        <f t="shared" si="49"/>
        <v>0.16827437101178178</v>
      </c>
      <c r="O156" s="247">
        <f t="shared" si="37"/>
        <v>0.26036662061934035</v>
      </c>
      <c r="P156" s="246"/>
      <c r="Q156" s="417"/>
      <c r="R156" s="182"/>
      <c r="S156" s="178"/>
      <c r="T156" s="182"/>
      <c r="U156" s="178"/>
      <c r="V156" s="506"/>
      <c r="W156" s="259">
        <f>IF(W$135="Y",E156*$F$21*'Emissions Factors'!$B32,"")</f>
        <v>10.634648502689709</v>
      </c>
      <c r="X156" s="259" t="str">
        <f>IF(X$135="Y",E156*'Emissions Factors'!$R$36*$F$22/10^6,"")</f>
        <v/>
      </c>
      <c r="Y156" s="180"/>
      <c r="Z156" s="180"/>
      <c r="AA156" s="509"/>
      <c r="AB156" s="180">
        <f t="shared" si="42"/>
        <v>10.634648502689709</v>
      </c>
      <c r="AC156" s="180">
        <f t="shared" si="43"/>
        <v>0</v>
      </c>
      <c r="AE156" s="182"/>
      <c r="AF156" s="178"/>
      <c r="AG156" s="182"/>
      <c r="AH156" s="178"/>
      <c r="AJ156" s="259">
        <f>IF(AJ$135="Y",M156*$F$21*'Emissions Factors'!$B32,"")</f>
        <v>13.623700657092916</v>
      </c>
      <c r="AK156" s="259" t="str">
        <f>IF(AK$135="Y",M156*'Emissions Factors'!$R$36*$F$22/10^6,"")</f>
        <v/>
      </c>
      <c r="AL156" s="180"/>
      <c r="AM156" s="180"/>
      <c r="AO156" s="180">
        <f t="shared" si="44"/>
        <v>13.623700657092916</v>
      </c>
      <c r="AP156" s="180">
        <f t="shared" si="45"/>
        <v>0</v>
      </c>
      <c r="AS156" s="430"/>
      <c r="AT156" s="478">
        <v>2035</v>
      </c>
      <c r="AU156" s="479">
        <f t="shared" si="46"/>
        <v>24.258349159782625</v>
      </c>
      <c r="AV156" s="479">
        <f t="shared" si="46"/>
        <v>0</v>
      </c>
      <c r="AW156" s="430"/>
      <c r="AX156" s="479">
        <f t="shared" si="38"/>
        <v>6.8118503285464582</v>
      </c>
      <c r="AY156" s="479">
        <f t="shared" si="38"/>
        <v>0</v>
      </c>
      <c r="AZ156" s="430"/>
      <c r="BA156" s="479">
        <f t="shared" si="39"/>
        <v>17.446498831236166</v>
      </c>
      <c r="BB156" s="479">
        <f t="shared" si="39"/>
        <v>0</v>
      </c>
      <c r="BC156" s="516"/>
      <c r="BE156" s="480">
        <f t="shared" si="40"/>
        <v>0.28080436486748539</v>
      </c>
      <c r="BF156" s="480" t="str">
        <f t="shared" si="41"/>
        <v/>
      </c>
    </row>
    <row r="157" spans="1:58" ht="15.6" x14ac:dyDescent="0.3">
      <c r="A157" s="152">
        <v>2036</v>
      </c>
      <c r="B157" s="178"/>
      <c r="C157" s="182"/>
      <c r="D157" s="183"/>
      <c r="E157" s="179">
        <f t="shared" si="47"/>
        <v>1.1141636906621961</v>
      </c>
      <c r="F157" s="183">
        <f t="shared" si="48"/>
        <v>0.13245246641507535</v>
      </c>
      <c r="G157" s="247">
        <f t="shared" si="35"/>
        <v>0.20550607797647336</v>
      </c>
      <c r="H157" s="246"/>
      <c r="I157" s="417"/>
      <c r="J157" s="178"/>
      <c r="K157" s="182"/>
      <c r="L157" s="183"/>
      <c r="M157" s="179">
        <f t="shared" si="36"/>
        <v>1.4379503177501167</v>
      </c>
      <c r="N157" s="183">
        <f t="shared" si="49"/>
        <v>0.18031215063360961</v>
      </c>
      <c r="O157" s="247">
        <f t="shared" si="37"/>
        <v>0.26522811019825743</v>
      </c>
      <c r="P157" s="246"/>
      <c r="Q157" s="417"/>
      <c r="R157" s="182"/>
      <c r="S157" s="178"/>
      <c r="T157" s="182"/>
      <c r="U157" s="178"/>
      <c r="V157" s="506"/>
      <c r="W157" s="259">
        <f>IF(W$135="Y",E157*$F$21*'Emissions Factors'!$B33,"")</f>
        <v>12.006956890279207</v>
      </c>
      <c r="X157" s="259" t="str">
        <f>IF(X$135="Y",E157*'Emissions Factors'!$R$36*$F$22/10^6,"")</f>
        <v/>
      </c>
      <c r="Y157" s="180"/>
      <c r="Z157" s="180"/>
      <c r="AA157" s="509"/>
      <c r="AB157" s="180">
        <f t="shared" si="42"/>
        <v>12.006956890279207</v>
      </c>
      <c r="AC157" s="180">
        <f t="shared" si="43"/>
        <v>0</v>
      </c>
      <c r="AE157" s="182"/>
      <c r="AF157" s="178"/>
      <c r="AG157" s="182"/>
      <c r="AH157" s="178"/>
      <c r="AJ157" s="259">
        <f>IF(AJ$135="Y",M157*$F$21*'Emissions Factors'!$B33,"")</f>
        <v>15.496293426441992</v>
      </c>
      <c r="AK157" s="259" t="str">
        <f>IF(AK$135="Y",M157*'Emissions Factors'!$R$36*$F$22/10^6,"")</f>
        <v/>
      </c>
      <c r="AL157" s="180"/>
      <c r="AM157" s="180"/>
      <c r="AO157" s="180">
        <f t="shared" si="44"/>
        <v>15.496293426441992</v>
      </c>
      <c r="AP157" s="180">
        <f t="shared" si="45"/>
        <v>0</v>
      </c>
      <c r="AS157" s="430"/>
      <c r="AT157" s="478">
        <v>2036</v>
      </c>
      <c r="AU157" s="479">
        <f t="shared" si="46"/>
        <v>27.5032503167212</v>
      </c>
      <c r="AV157" s="479">
        <f t="shared" si="46"/>
        <v>0</v>
      </c>
      <c r="AW157" s="430"/>
      <c r="AX157" s="479">
        <f t="shared" si="38"/>
        <v>7.7481467132209962</v>
      </c>
      <c r="AY157" s="479">
        <f t="shared" si="38"/>
        <v>0</v>
      </c>
      <c r="AZ157" s="430"/>
      <c r="BA157" s="479">
        <f t="shared" si="39"/>
        <v>19.755103603500203</v>
      </c>
      <c r="BB157" s="479">
        <f t="shared" si="39"/>
        <v>0</v>
      </c>
      <c r="BC157" s="516"/>
      <c r="BE157" s="480">
        <f t="shared" si="40"/>
        <v>0.28171749244162397</v>
      </c>
      <c r="BF157" s="480" t="str">
        <f t="shared" si="41"/>
        <v/>
      </c>
    </row>
    <row r="158" spans="1:58" ht="15.6" x14ac:dyDescent="0.3">
      <c r="A158" s="152">
        <v>2037</v>
      </c>
      <c r="B158" s="178"/>
      <c r="C158" s="182"/>
      <c r="D158" s="183"/>
      <c r="E158" s="179">
        <f t="shared" si="47"/>
        <v>1.2544234586254319</v>
      </c>
      <c r="F158" s="183">
        <f t="shared" si="48"/>
        <v>0.1402597679632358</v>
      </c>
      <c r="G158" s="247">
        <f t="shared" si="35"/>
        <v>0.20766285471921808</v>
      </c>
      <c r="H158" s="246"/>
      <c r="I158" s="417"/>
      <c r="J158" s="178"/>
      <c r="K158" s="182"/>
      <c r="L158" s="183"/>
      <c r="M158" s="179">
        <f t="shared" si="36"/>
        <v>1.6311482157359261</v>
      </c>
      <c r="N158" s="183">
        <f t="shared" si="49"/>
        <v>0.19319789798580933</v>
      </c>
      <c r="O158" s="247">
        <f t="shared" si="37"/>
        <v>0.27002755139883355</v>
      </c>
      <c r="P158" s="246"/>
      <c r="Q158" s="417"/>
      <c r="R158" s="182"/>
      <c r="S158" s="178"/>
      <c r="T158" s="182"/>
      <c r="U158" s="178"/>
      <c r="V158" s="506"/>
      <c r="W158" s="259">
        <f>IF(W$135="Y",E158*$F$21*'Emissions Factors'!$B34,"")</f>
        <v>13.446406356032162</v>
      </c>
      <c r="X158" s="259" t="str">
        <f>IF(X$135="Y",E158*'Emissions Factors'!$R$36*$F$22/10^6,"")</f>
        <v/>
      </c>
      <c r="Y158" s="180"/>
      <c r="Z158" s="180"/>
      <c r="AA158" s="509"/>
      <c r="AB158" s="180">
        <f t="shared" si="42"/>
        <v>13.446406356032162</v>
      </c>
      <c r="AC158" s="180">
        <f t="shared" si="43"/>
        <v>0</v>
      </c>
      <c r="AE158" s="182"/>
      <c r="AF158" s="178"/>
      <c r="AG158" s="182"/>
      <c r="AH158" s="178"/>
      <c r="AJ158" s="259">
        <f>IF(AJ$135="Y",M158*$F$21*'Emissions Factors'!$B34,"")</f>
        <v>17.484591494913399</v>
      </c>
      <c r="AK158" s="259" t="str">
        <f>IF(AK$135="Y",M158*'Emissions Factors'!$R$36*$F$22/10^6,"")</f>
        <v/>
      </c>
      <c r="AL158" s="180"/>
      <c r="AM158" s="180"/>
      <c r="AO158" s="180">
        <f t="shared" si="44"/>
        <v>17.484591494913399</v>
      </c>
      <c r="AP158" s="180">
        <f t="shared" si="45"/>
        <v>0</v>
      </c>
      <c r="AS158" s="430"/>
      <c r="AT158" s="478">
        <v>2037</v>
      </c>
      <c r="AU158" s="479">
        <f t="shared" si="46"/>
        <v>30.930997850945559</v>
      </c>
      <c r="AV158" s="479">
        <f t="shared" si="46"/>
        <v>0</v>
      </c>
      <c r="AW158" s="430"/>
      <c r="AX158" s="479">
        <f t="shared" si="38"/>
        <v>8.7422957474566996</v>
      </c>
      <c r="AY158" s="479">
        <f t="shared" si="38"/>
        <v>0</v>
      </c>
      <c r="AZ158" s="430"/>
      <c r="BA158" s="479">
        <f t="shared" si="39"/>
        <v>22.188702103488858</v>
      </c>
      <c r="BB158" s="479">
        <f t="shared" si="39"/>
        <v>0</v>
      </c>
      <c r="BC158" s="516"/>
      <c r="BE158" s="480">
        <f t="shared" si="40"/>
        <v>0.28263865878447397</v>
      </c>
      <c r="BF158" s="480" t="str">
        <f t="shared" si="41"/>
        <v/>
      </c>
    </row>
    <row r="159" spans="1:58" ht="15.6" x14ac:dyDescent="0.3">
      <c r="A159" s="152">
        <v>2038</v>
      </c>
      <c r="B159" s="178"/>
      <c r="C159" s="182"/>
      <c r="D159" s="183"/>
      <c r="E159" s="179">
        <f t="shared" si="47"/>
        <v>1.4032423092933455</v>
      </c>
      <c r="F159" s="183">
        <f t="shared" si="48"/>
        <v>0.14881885066791356</v>
      </c>
      <c r="G159" s="247">
        <f t="shared" si="35"/>
        <v>0.20973639737841374</v>
      </c>
      <c r="H159" s="246"/>
      <c r="I159" s="417"/>
      <c r="J159" s="178"/>
      <c r="K159" s="182"/>
      <c r="L159" s="183"/>
      <c r="M159" s="179">
        <f t="shared" si="36"/>
        <v>1.8384886799095235</v>
      </c>
      <c r="N159" s="183">
        <f t="shared" si="49"/>
        <v>0.20734046417359742</v>
      </c>
      <c r="O159" s="247">
        <f t="shared" si="37"/>
        <v>0.27479073983979374</v>
      </c>
      <c r="P159" s="246"/>
      <c r="Q159" s="417"/>
      <c r="R159" s="182"/>
      <c r="S159" s="178"/>
      <c r="T159" s="182"/>
      <c r="U159" s="178"/>
      <c r="V159" s="506"/>
      <c r="W159" s="259">
        <f>IF(W$135="Y",E159*$F$21*'Emissions Factors'!$B35,"")</f>
        <v>14.96106901142406</v>
      </c>
      <c r="X159" s="259" t="str">
        <f>IF(X$135="Y",E159*'Emissions Factors'!$R$36*$F$22/10^6,"")</f>
        <v/>
      </c>
      <c r="Y159" s="180"/>
      <c r="Z159" s="180"/>
      <c r="AA159" s="509"/>
      <c r="AB159" s="180">
        <f t="shared" si="42"/>
        <v>14.96106901142406</v>
      </c>
      <c r="AC159" s="180">
        <f t="shared" si="43"/>
        <v>0</v>
      </c>
      <c r="AE159" s="182"/>
      <c r="AF159" s="178"/>
      <c r="AG159" s="182"/>
      <c r="AH159" s="178"/>
      <c r="AJ159" s="259">
        <f>IF(AJ$135="Y",M159*$F$21*'Emissions Factors'!$B35,"")</f>
        <v>19.601572611290376</v>
      </c>
      <c r="AK159" s="259" t="str">
        <f>IF(AK$135="Y",M159*'Emissions Factors'!$R$36*$F$22/10^6,"")</f>
        <v/>
      </c>
      <c r="AL159" s="180"/>
      <c r="AM159" s="180"/>
      <c r="AO159" s="180">
        <f t="shared" si="44"/>
        <v>19.601572611290376</v>
      </c>
      <c r="AP159" s="180">
        <f t="shared" si="45"/>
        <v>0</v>
      </c>
      <c r="AS159" s="430"/>
      <c r="AT159" s="478">
        <v>2038</v>
      </c>
      <c r="AU159" s="479">
        <f t="shared" si="46"/>
        <v>34.562641622714438</v>
      </c>
      <c r="AV159" s="479">
        <f t="shared" si="46"/>
        <v>0</v>
      </c>
      <c r="AW159" s="430"/>
      <c r="AX159" s="479">
        <f t="shared" si="38"/>
        <v>9.8007863056451878</v>
      </c>
      <c r="AY159" s="479">
        <f t="shared" si="38"/>
        <v>0</v>
      </c>
      <c r="AZ159" s="430"/>
      <c r="BA159" s="479">
        <f t="shared" si="39"/>
        <v>24.761855317069248</v>
      </c>
      <c r="BB159" s="479">
        <f t="shared" si="39"/>
        <v>0</v>
      </c>
      <c r="BC159" s="516"/>
      <c r="BE159" s="480">
        <f t="shared" si="40"/>
        <v>0.28356589211642169</v>
      </c>
      <c r="BF159" s="480" t="str">
        <f t="shared" si="41"/>
        <v/>
      </c>
    </row>
    <row r="160" spans="1:58" ht="15.6" x14ac:dyDescent="0.3">
      <c r="A160" s="152">
        <v>2039</v>
      </c>
      <c r="B160" s="178"/>
      <c r="C160" s="182"/>
      <c r="D160" s="183"/>
      <c r="E160" s="179">
        <f t="shared" si="47"/>
        <v>1.5618242769274364</v>
      </c>
      <c r="F160" s="183">
        <f t="shared" si="48"/>
        <v>0.15858196763409094</v>
      </c>
      <c r="G160" s="247">
        <f t="shared" si="35"/>
        <v>0.21174473161414839</v>
      </c>
      <c r="H160" s="246"/>
      <c r="I160" s="417"/>
      <c r="J160" s="178"/>
      <c r="K160" s="182"/>
      <c r="L160" s="183"/>
      <c r="M160" s="179">
        <f t="shared" si="36"/>
        <v>2.0618678738757823</v>
      </c>
      <c r="N160" s="183">
        <f t="shared" si="49"/>
        <v>0.22337919396625883</v>
      </c>
      <c r="O160" s="247">
        <f t="shared" si="37"/>
        <v>0.27953827202414949</v>
      </c>
      <c r="P160" s="246"/>
      <c r="Q160" s="417"/>
      <c r="R160" s="182"/>
      <c r="S160" s="178"/>
      <c r="T160" s="182"/>
      <c r="U160" s="178"/>
      <c r="V160" s="506"/>
      <c r="W160" s="259">
        <f>IF(W$135="Y",E160*$F$21*'Emissions Factors'!$B36,"")</f>
        <v>16.561732620851203</v>
      </c>
      <c r="X160" s="259" t="str">
        <f>IF(X$135="Y",E160*'Emissions Factors'!$R$36*$F$22/10^6,"")</f>
        <v/>
      </c>
      <c r="Y160" s="180"/>
      <c r="Z160" s="180"/>
      <c r="AA160" s="509"/>
      <c r="AB160" s="180">
        <f t="shared" si="42"/>
        <v>16.561732620851203</v>
      </c>
      <c r="AC160" s="180">
        <f t="shared" si="43"/>
        <v>0</v>
      </c>
      <c r="AE160" s="182"/>
      <c r="AF160" s="178"/>
      <c r="AG160" s="182"/>
      <c r="AH160" s="178"/>
      <c r="AJ160" s="259">
        <f>IF(AJ$135="Y",M160*$F$21*'Emissions Factors'!$B36,"")</f>
        <v>21.864242303771157</v>
      </c>
      <c r="AK160" s="259" t="str">
        <f>IF(AK$135="Y",M160*'Emissions Factors'!$R$36*$F$22/10^6,"")</f>
        <v/>
      </c>
      <c r="AL160" s="180"/>
      <c r="AM160" s="180"/>
      <c r="AO160" s="180">
        <f t="shared" si="44"/>
        <v>21.864242303771157</v>
      </c>
      <c r="AP160" s="180">
        <f t="shared" si="45"/>
        <v>0</v>
      </c>
      <c r="AS160" s="430"/>
      <c r="AT160" s="478">
        <v>2039</v>
      </c>
      <c r="AU160" s="479">
        <f t="shared" si="46"/>
        <v>38.425974924622359</v>
      </c>
      <c r="AV160" s="479">
        <f t="shared" si="46"/>
        <v>0</v>
      </c>
      <c r="AW160" s="430"/>
      <c r="AX160" s="479">
        <f t="shared" si="38"/>
        <v>10.932121151885578</v>
      </c>
      <c r="AY160" s="479">
        <f t="shared" si="38"/>
        <v>0</v>
      </c>
      <c r="AZ160" s="430"/>
      <c r="BA160" s="479">
        <f t="shared" si="39"/>
        <v>27.493853772736781</v>
      </c>
      <c r="BB160" s="479">
        <f t="shared" si="39"/>
        <v>0</v>
      </c>
      <c r="BC160" s="516"/>
      <c r="BE160" s="480">
        <f t="shared" si="40"/>
        <v>0.28449821177811058</v>
      </c>
      <c r="BF160" s="480" t="str">
        <f t="shared" si="41"/>
        <v/>
      </c>
    </row>
    <row r="161" spans="1:58" ht="15.6" x14ac:dyDescent="0.3">
      <c r="A161" s="152">
        <v>2040</v>
      </c>
      <c r="B161" s="178"/>
      <c r="C161" s="182"/>
      <c r="D161" s="183"/>
      <c r="E161" s="179">
        <f t="shared" si="47"/>
        <v>1.7313421341947253</v>
      </c>
      <c r="F161" s="183">
        <f t="shared" si="48"/>
        <v>0.16951785726728885</v>
      </c>
      <c r="G161" s="247">
        <f t="shared" si="35"/>
        <v>0.21370032981772066</v>
      </c>
      <c r="H161" s="246"/>
      <c r="I161" s="417"/>
      <c r="J161" s="178"/>
      <c r="K161" s="182"/>
      <c r="L161" s="183"/>
      <c r="M161" s="179">
        <f t="shared" si="36"/>
        <v>2.3031961255174758</v>
      </c>
      <c r="N161" s="183">
        <f t="shared" si="49"/>
        <v>0.24132825164169347</v>
      </c>
      <c r="O161" s="247">
        <f t="shared" si="37"/>
        <v>0.28428452235808843</v>
      </c>
      <c r="P161" s="246"/>
      <c r="Q161" s="417"/>
      <c r="R161" s="182"/>
      <c r="S161" s="178"/>
      <c r="T161" s="182"/>
      <c r="U161" s="178"/>
      <c r="V161" s="506"/>
      <c r="W161" s="259">
        <f>IF(W$135="Y",E161*$F$21*'Emissions Factors'!$B37,"")</f>
        <v>18.252110963330775</v>
      </c>
      <c r="X161" s="259" t="str">
        <f>IF(X$135="Y",E161*'Emissions Factors'!$R$36*$F$22/10^6,"")</f>
        <v/>
      </c>
      <c r="Y161" s="180"/>
      <c r="Z161" s="180"/>
      <c r="AA161" s="509"/>
      <c r="AB161" s="180">
        <f t="shared" si="42"/>
        <v>18.252110963330775</v>
      </c>
      <c r="AC161" s="180">
        <f t="shared" si="43"/>
        <v>0</v>
      </c>
      <c r="AE161" s="182"/>
      <c r="AF161" s="178"/>
      <c r="AG161" s="182"/>
      <c r="AH161" s="178"/>
      <c r="AJ161" s="259">
        <f>IF(AJ$135="Y",M161*$F$21*'Emissions Factors'!$B37,"")</f>
        <v>24.280695549993712</v>
      </c>
      <c r="AK161" s="259" t="str">
        <f>IF(AK$135="Y",M161*'Emissions Factors'!$R$36*$F$22/10^6,"")</f>
        <v/>
      </c>
      <c r="AL161" s="180"/>
      <c r="AM161" s="180"/>
      <c r="AO161" s="180">
        <f t="shared" si="44"/>
        <v>24.280695549993712</v>
      </c>
      <c r="AP161" s="180">
        <f t="shared" si="45"/>
        <v>0</v>
      </c>
      <c r="AS161" s="430"/>
      <c r="AT161" s="478">
        <v>2040</v>
      </c>
      <c r="AU161" s="479">
        <f t="shared" si="46"/>
        <v>42.532806513324488</v>
      </c>
      <c r="AV161" s="479">
        <f t="shared" si="46"/>
        <v>0</v>
      </c>
      <c r="AW161" s="430"/>
      <c r="AX161" s="479">
        <f t="shared" si="38"/>
        <v>12.140347774996856</v>
      </c>
      <c r="AY161" s="479">
        <f t="shared" si="38"/>
        <v>0</v>
      </c>
      <c r="AZ161" s="430"/>
      <c r="BA161" s="479">
        <f t="shared" si="39"/>
        <v>30.392458738327633</v>
      </c>
      <c r="BB161" s="479">
        <f t="shared" si="39"/>
        <v>0</v>
      </c>
      <c r="BC161" s="516"/>
      <c r="BE161" s="480">
        <f t="shared" si="40"/>
        <v>0.28543490943146632</v>
      </c>
      <c r="BF161" s="480" t="str">
        <f t="shared" si="41"/>
        <v/>
      </c>
    </row>
    <row r="162" spans="1:58" ht="15.6" x14ac:dyDescent="0.3">
      <c r="A162" s="152">
        <v>2041</v>
      </c>
      <c r="B162" s="178"/>
      <c r="C162" s="182"/>
      <c r="D162" s="183"/>
      <c r="E162" s="179">
        <f t="shared" si="47"/>
        <v>1.9124371718362128</v>
      </c>
      <c r="F162" s="183">
        <f t="shared" si="48"/>
        <v>0.18109503764148749</v>
      </c>
      <c r="G162" s="247">
        <f t="shared" si="35"/>
        <v>0.21560918003971208</v>
      </c>
      <c r="H162" s="246"/>
      <c r="I162" s="417"/>
      <c r="J162" s="178"/>
      <c r="K162" s="182"/>
      <c r="L162" s="183"/>
      <c r="M162" s="179">
        <f>IFERROR(IF($G$19="Y",$F$19,$AB107)*(SUMIF($H$5:$H$16,"Y",$F$5:$F$16)*((Z56+N56)-B56)),0)</f>
        <v>2.5637075537865752</v>
      </c>
      <c r="N162" s="183">
        <f t="shared" si="49"/>
        <v>0.26051142826909945</v>
      </c>
      <c r="O162" s="247">
        <f t="shared" si="37"/>
        <v>0.28903374797029913</v>
      </c>
      <c r="P162" s="246"/>
      <c r="Q162" s="417"/>
      <c r="R162" s="182"/>
      <c r="S162" s="178"/>
      <c r="T162" s="182"/>
      <c r="U162" s="178"/>
      <c r="V162" s="506"/>
      <c r="W162" s="259">
        <f>IF(W$135="Y",E162*$F$21*'Emissions Factors'!$B38,"")</f>
        <v>20.058893471435336</v>
      </c>
      <c r="X162" s="259" t="str">
        <f>IF(X$135="Y",E162*'Emissions Factors'!$R$36*$F$22/10^6,"")</f>
        <v/>
      </c>
      <c r="Y162" s="180"/>
      <c r="Z162" s="180"/>
      <c r="AA162" s="509"/>
      <c r="AB162" s="180">
        <f t="shared" si="42"/>
        <v>20.058893471435336</v>
      </c>
      <c r="AC162" s="180">
        <f t="shared" si="43"/>
        <v>0</v>
      </c>
      <c r="AE162" s="182"/>
      <c r="AF162" s="178"/>
      <c r="AG162" s="182"/>
      <c r="AH162" s="178"/>
      <c r="AJ162" s="259">
        <f>IF(AJ$135="Y",M162*$F$21*'Emissions Factors'!$B38,"")</f>
        <v>26.889843740039581</v>
      </c>
      <c r="AK162" s="259" t="str">
        <f>IF(AK$135="Y",M162*'Emissions Factors'!$R$36*$F$22/10^6,"")</f>
        <v/>
      </c>
      <c r="AL162" s="180"/>
      <c r="AM162" s="180"/>
      <c r="AO162" s="180">
        <f t="shared" si="44"/>
        <v>26.889843740039581</v>
      </c>
      <c r="AP162" s="180">
        <f t="shared" si="45"/>
        <v>0</v>
      </c>
      <c r="AS162" s="430"/>
      <c r="AT162" s="478">
        <v>2041</v>
      </c>
      <c r="AU162" s="479">
        <f t="shared" si="46"/>
        <v>46.948737211474921</v>
      </c>
      <c r="AV162" s="479">
        <f t="shared" si="46"/>
        <v>0</v>
      </c>
      <c r="AW162" s="430"/>
      <c r="AX162" s="479">
        <f t="shared" si="38"/>
        <v>13.44492187001979</v>
      </c>
      <c r="AY162" s="479">
        <f t="shared" si="38"/>
        <v>0</v>
      </c>
      <c r="AZ162" s="430"/>
      <c r="BA162" s="479">
        <f t="shared" si="39"/>
        <v>33.50381534145513</v>
      </c>
      <c r="BB162" s="479">
        <f t="shared" si="39"/>
        <v>0</v>
      </c>
      <c r="BC162" s="516"/>
      <c r="BE162" s="480">
        <f t="shared" si="40"/>
        <v>0.28637451545200804</v>
      </c>
      <c r="BF162" s="480" t="str">
        <f t="shared" si="41"/>
        <v/>
      </c>
    </row>
    <row r="163" spans="1:58" ht="15.6" x14ac:dyDescent="0.3">
      <c r="A163" s="152">
        <v>2042</v>
      </c>
      <c r="B163" s="178"/>
      <c r="C163" s="182"/>
      <c r="D163" s="183"/>
      <c r="E163" s="179">
        <f t="shared" si="47"/>
        <v>2.1056560684478911</v>
      </c>
      <c r="F163" s="183">
        <f t="shared" si="48"/>
        <v>0.19321889661167835</v>
      </c>
      <c r="G163" s="247">
        <f t="shared" si="35"/>
        <v>0.2174796401972954</v>
      </c>
      <c r="H163" s="246"/>
      <c r="I163" s="417"/>
      <c r="J163" s="178"/>
      <c r="K163" s="182"/>
      <c r="L163" s="183"/>
      <c r="M163" s="179">
        <f t="shared" si="36"/>
        <v>2.8445391778616869</v>
      </c>
      <c r="N163" s="183">
        <f t="shared" si="49"/>
        <v>0.28083162407511164</v>
      </c>
      <c r="O163" s="247">
        <f t="shared" si="37"/>
        <v>0.29379411300748204</v>
      </c>
      <c r="P163" s="246"/>
      <c r="Q163" s="417"/>
      <c r="R163" s="182"/>
      <c r="S163" s="178"/>
      <c r="T163" s="182"/>
      <c r="U163" s="178"/>
      <c r="V163" s="506"/>
      <c r="W163" s="259">
        <f>IF(W$135="Y",E163*$F$21*'Emissions Factors'!$B39,"")</f>
        <v>21.963545989962743</v>
      </c>
      <c r="X163" s="259" t="str">
        <f>IF(X$135="Y",E163*'Emissions Factors'!$R$36*$F$22/10^6,"")</f>
        <v/>
      </c>
      <c r="Y163" s="180"/>
      <c r="Z163" s="180"/>
      <c r="AA163" s="509"/>
      <c r="AB163" s="180">
        <f t="shared" si="42"/>
        <v>21.963545989962743</v>
      </c>
      <c r="AC163" s="180">
        <f t="shared" si="43"/>
        <v>0</v>
      </c>
      <c r="AE163" s="182"/>
      <c r="AF163" s="178"/>
      <c r="AG163" s="182"/>
      <c r="AH163" s="178"/>
      <c r="AJ163" s="259">
        <f>IF(AJ$135="Y",M163*$F$21*'Emissions Factors'!$B39,"")</f>
        <v>29.670641843835419</v>
      </c>
      <c r="AK163" s="259" t="str">
        <f>IF(AK$135="Y",M163*'Emissions Factors'!$R$36*$F$22/10^6,"")</f>
        <v/>
      </c>
      <c r="AL163" s="180"/>
      <c r="AM163" s="180"/>
      <c r="AO163" s="180">
        <f t="shared" si="44"/>
        <v>29.670641843835419</v>
      </c>
      <c r="AP163" s="180">
        <f t="shared" si="45"/>
        <v>0</v>
      </c>
      <c r="AS163" s="430"/>
      <c r="AT163" s="478">
        <v>2042</v>
      </c>
      <c r="AU163" s="479">
        <f t="shared" si="46"/>
        <v>51.634187833798165</v>
      </c>
      <c r="AV163" s="479">
        <f t="shared" si="46"/>
        <v>0</v>
      </c>
      <c r="AW163" s="430"/>
      <c r="AX163" s="479">
        <f t="shared" si="38"/>
        <v>14.83532092191771</v>
      </c>
      <c r="AY163" s="479">
        <f t="shared" si="38"/>
        <v>0</v>
      </c>
      <c r="AZ163" s="430"/>
      <c r="BA163" s="479">
        <f t="shared" si="39"/>
        <v>36.798866911880452</v>
      </c>
      <c r="BB163" s="479">
        <f t="shared" si="39"/>
        <v>0</v>
      </c>
      <c r="BC163" s="516"/>
      <c r="BE163" s="480">
        <f t="shared" si="40"/>
        <v>0.28731585688284927</v>
      </c>
      <c r="BF163" s="480" t="str">
        <f t="shared" si="41"/>
        <v/>
      </c>
    </row>
    <row r="164" spans="1:58" ht="15.6" x14ac:dyDescent="0.3">
      <c r="A164" s="152">
        <v>2043</v>
      </c>
      <c r="B164" s="178"/>
      <c r="C164" s="182"/>
      <c r="D164" s="183"/>
      <c r="E164" s="179">
        <f t="shared" si="47"/>
        <v>2.3121235536664977</v>
      </c>
      <c r="F164" s="183">
        <f t="shared" si="48"/>
        <v>0.20646748521860658</v>
      </c>
      <c r="G164" s="247">
        <f t="shared" si="35"/>
        <v>0.21932247698699711</v>
      </c>
      <c r="H164" s="246"/>
      <c r="I164" s="417"/>
      <c r="J164" s="178"/>
      <c r="K164" s="182"/>
      <c r="L164" s="183"/>
      <c r="M164" s="179">
        <f t="shared" si="36"/>
        <v>3.1476766414425268</v>
      </c>
      <c r="N164" s="183">
        <f t="shared" si="49"/>
        <v>0.30313746358083993</v>
      </c>
      <c r="O164" s="247">
        <f t="shared" si="37"/>
        <v>0.29858103242819367</v>
      </c>
      <c r="P164" s="246"/>
      <c r="Q164" s="417"/>
      <c r="R164" s="182"/>
      <c r="S164" s="178"/>
      <c r="T164" s="182"/>
      <c r="U164" s="178"/>
      <c r="V164" s="506"/>
      <c r="W164" s="259">
        <f>IF(W$135="Y",E164*$F$21*'Emissions Factors'!$B40,"")</f>
        <v>23.982598081055006</v>
      </c>
      <c r="X164" s="259" t="str">
        <f>IF(X$135="Y",E164*'Emissions Factors'!$R$36*$F$22/10^6,"")</f>
        <v/>
      </c>
      <c r="Y164" s="180"/>
      <c r="Z164" s="180"/>
      <c r="AA164" s="509"/>
      <c r="AB164" s="180">
        <f t="shared" si="42"/>
        <v>23.982598081055006</v>
      </c>
      <c r="AC164" s="180">
        <f t="shared" si="43"/>
        <v>0</v>
      </c>
      <c r="AE164" s="182"/>
      <c r="AF164" s="178"/>
      <c r="AG164" s="182"/>
      <c r="AH164" s="178"/>
      <c r="AJ164" s="259">
        <f>IF(AJ$135="Y",M164*$F$21*'Emissions Factors'!$B40,"")</f>
        <v>32.649407364555508</v>
      </c>
      <c r="AK164" s="259" t="str">
        <f>IF(AK$135="Y",M164*'Emissions Factors'!$R$36*$F$22/10^6,"")</f>
        <v/>
      </c>
      <c r="AL164" s="180"/>
      <c r="AM164" s="180"/>
      <c r="AO164" s="180">
        <f t="shared" si="44"/>
        <v>32.649407364555508</v>
      </c>
      <c r="AP164" s="180">
        <f t="shared" si="45"/>
        <v>0</v>
      </c>
      <c r="AS164" s="430"/>
      <c r="AT164" s="478">
        <v>2043</v>
      </c>
      <c r="AU164" s="479">
        <f t="shared" si="46"/>
        <v>56.632005445610517</v>
      </c>
      <c r="AV164" s="479">
        <f t="shared" si="46"/>
        <v>0</v>
      </c>
      <c r="AW164" s="430"/>
      <c r="AX164" s="479">
        <f t="shared" si="38"/>
        <v>16.324703682277754</v>
      </c>
      <c r="AY164" s="479">
        <f t="shared" si="38"/>
        <v>0</v>
      </c>
      <c r="AZ164" s="430"/>
      <c r="BA164" s="479">
        <f t="shared" si="39"/>
        <v>40.307301763332759</v>
      </c>
      <c r="BB164" s="479">
        <f t="shared" si="39"/>
        <v>0</v>
      </c>
      <c r="BC164" s="516"/>
      <c r="BE164" s="480">
        <f t="shared" si="40"/>
        <v>0.28825932533779031</v>
      </c>
      <c r="BF164" s="480" t="str">
        <f t="shared" si="41"/>
        <v/>
      </c>
    </row>
    <row r="165" spans="1:58" ht="15.6" x14ac:dyDescent="0.3">
      <c r="A165" s="152">
        <v>2044</v>
      </c>
      <c r="B165" s="178"/>
      <c r="C165" s="182"/>
      <c r="D165" s="183"/>
      <c r="E165" s="179">
        <f t="shared" si="47"/>
        <v>2.5331441505456622</v>
      </c>
      <c r="F165" s="183">
        <f t="shared" si="48"/>
        <v>0.22102059687916453</v>
      </c>
      <c r="G165" s="247">
        <f t="shared" si="35"/>
        <v>0.22114681425410898</v>
      </c>
      <c r="H165" s="246"/>
      <c r="I165" s="417"/>
      <c r="J165" s="178"/>
      <c r="K165" s="182"/>
      <c r="L165" s="183"/>
      <c r="M165" s="179">
        <f t="shared" si="36"/>
        <v>3.4754308421923708</v>
      </c>
      <c r="N165" s="183">
        <f t="shared" si="49"/>
        <v>0.32775420074984396</v>
      </c>
      <c r="O165" s="247">
        <f t="shared" si="37"/>
        <v>0.30340968110549832</v>
      </c>
      <c r="P165" s="246"/>
      <c r="Q165" s="417"/>
      <c r="R165" s="182"/>
      <c r="S165" s="178"/>
      <c r="T165" s="182"/>
      <c r="U165" s="178"/>
      <c r="V165" s="506"/>
      <c r="W165" s="259">
        <f>IF(W$135="Y",E165*$F$21*'Emissions Factors'!$B41,"")</f>
        <v>26.126863834963487</v>
      </c>
      <c r="X165" s="259" t="str">
        <f>IF(X$135="Y",E165*'Emissions Factors'!$R$36*$F$22/10^6,"")</f>
        <v/>
      </c>
      <c r="Y165" s="180"/>
      <c r="Z165" s="180"/>
      <c r="AA165" s="509"/>
      <c r="AB165" s="180">
        <f t="shared" si="42"/>
        <v>26.126863834963487</v>
      </c>
      <c r="AC165" s="180">
        <f t="shared" si="43"/>
        <v>0</v>
      </c>
      <c r="AE165" s="182"/>
      <c r="AF165" s="178"/>
      <c r="AG165" s="182"/>
      <c r="AH165" s="178"/>
      <c r="AJ165" s="259">
        <f>IF(AJ$135="Y",M165*$F$21*'Emissions Factors'!$B41,"")</f>
        <v>35.845614376991911</v>
      </c>
      <c r="AK165" s="259" t="str">
        <f>IF(AK$135="Y",M165*'Emissions Factors'!$R$36*$F$22/10^6,"")</f>
        <v/>
      </c>
      <c r="AL165" s="180"/>
      <c r="AM165" s="180"/>
      <c r="AO165" s="180">
        <f t="shared" si="44"/>
        <v>35.845614376991911</v>
      </c>
      <c r="AP165" s="180">
        <f t="shared" si="45"/>
        <v>0</v>
      </c>
      <c r="AS165" s="430"/>
      <c r="AT165" s="478">
        <v>2044</v>
      </c>
      <c r="AU165" s="479">
        <f t="shared" si="46"/>
        <v>61.972478211955398</v>
      </c>
      <c r="AV165" s="479">
        <f t="shared" si="46"/>
        <v>0</v>
      </c>
      <c r="AW165" s="430"/>
      <c r="AX165" s="479">
        <f t="shared" si="38"/>
        <v>17.922807188495955</v>
      </c>
      <c r="AY165" s="479">
        <f t="shared" si="38"/>
        <v>0</v>
      </c>
      <c r="AZ165" s="430"/>
      <c r="BA165" s="479">
        <f t="shared" si="39"/>
        <v>44.049671023459439</v>
      </c>
      <c r="BB165" s="479">
        <f t="shared" si="39"/>
        <v>0</v>
      </c>
      <c r="BC165" s="516"/>
      <c r="BE165" s="480">
        <f t="shared" si="40"/>
        <v>0.28920591374766719</v>
      </c>
      <c r="BF165" s="480" t="str">
        <f t="shared" si="41"/>
        <v/>
      </c>
    </row>
    <row r="166" spans="1:58" ht="15.6" x14ac:dyDescent="0.3">
      <c r="A166" s="152">
        <v>2045</v>
      </c>
      <c r="B166" s="178"/>
      <c r="C166" s="182"/>
      <c r="D166" s="183"/>
      <c r="E166" s="179">
        <f t="shared" si="47"/>
        <v>2.7699954979078094</v>
      </c>
      <c r="F166" s="183">
        <f t="shared" si="48"/>
        <v>0.23685134736214719</v>
      </c>
      <c r="G166" s="247">
        <f t="shared" si="35"/>
        <v>0.22295564664383286</v>
      </c>
      <c r="H166" s="246"/>
      <c r="I166" s="417"/>
      <c r="J166" s="178"/>
      <c r="K166" s="182"/>
      <c r="L166" s="183"/>
      <c r="M166" s="179">
        <f t="shared" si="36"/>
        <v>3.8301490333845476</v>
      </c>
      <c r="N166" s="183">
        <f t="shared" si="49"/>
        <v>0.35471819119217685</v>
      </c>
      <c r="O166" s="247">
        <f t="shared" si="37"/>
        <v>0.3082869106197097</v>
      </c>
      <c r="P166" s="246"/>
      <c r="Q166" s="417"/>
      <c r="R166" s="182"/>
      <c r="S166" s="178"/>
      <c r="T166" s="182"/>
      <c r="U166" s="178"/>
      <c r="V166" s="506"/>
      <c r="W166" s="259">
        <f>IF(W$135="Y",E166*$F$21*'Emissions Factors'!$B42,"")</f>
        <v>28.400663580725894</v>
      </c>
      <c r="X166" s="259" t="str">
        <f>IF(X$135="Y",E166*'Emissions Factors'!$R$36*$F$22/10^6,"")</f>
        <v/>
      </c>
      <c r="Y166" s="180"/>
      <c r="Z166" s="180"/>
      <c r="AA166" s="509"/>
      <c r="AB166" s="180">
        <f t="shared" si="42"/>
        <v>28.400663580725894</v>
      </c>
      <c r="AC166" s="180">
        <f t="shared" si="43"/>
        <v>0</v>
      </c>
      <c r="AE166" s="182"/>
      <c r="AF166" s="178"/>
      <c r="AG166" s="182"/>
      <c r="AH166" s="178"/>
      <c r="AJ166" s="259">
        <f>IF(AJ$135="Y",M166*$F$21*'Emissions Factors'!$B42,"")</f>
        <v>39.270379407965876</v>
      </c>
      <c r="AK166" s="259" t="str">
        <f>IF(AK$135="Y",M166*'Emissions Factors'!$R$36*$F$22/10^6,"")</f>
        <v/>
      </c>
      <c r="AL166" s="180"/>
      <c r="AM166" s="180"/>
      <c r="AO166" s="180">
        <f t="shared" si="44"/>
        <v>39.270379407965876</v>
      </c>
      <c r="AP166" s="180">
        <f t="shared" si="45"/>
        <v>0</v>
      </c>
      <c r="AS166" s="430"/>
      <c r="AT166" s="478">
        <v>2045</v>
      </c>
      <c r="AU166" s="479">
        <f t="shared" si="46"/>
        <v>67.671042988691767</v>
      </c>
      <c r="AV166" s="479">
        <f t="shared" si="46"/>
        <v>0</v>
      </c>
      <c r="AW166" s="430"/>
      <c r="AX166" s="479">
        <f t="shared" si="38"/>
        <v>19.635189703982938</v>
      </c>
      <c r="AY166" s="479">
        <f t="shared" si="38"/>
        <v>0</v>
      </c>
      <c r="AZ166" s="430"/>
      <c r="BA166" s="479">
        <f t="shared" si="39"/>
        <v>48.035853284708828</v>
      </c>
      <c r="BB166" s="479">
        <f t="shared" si="39"/>
        <v>0</v>
      </c>
      <c r="BC166" s="516"/>
      <c r="BE166" s="480">
        <f t="shared" si="40"/>
        <v>0.2901564515159622</v>
      </c>
      <c r="BF166" s="480" t="str">
        <f t="shared" si="41"/>
        <v/>
      </c>
    </row>
    <row r="167" spans="1:58" ht="15.6" x14ac:dyDescent="0.3">
      <c r="A167" s="152">
        <v>2046</v>
      </c>
      <c r="B167" s="178"/>
      <c r="C167" s="182"/>
      <c r="D167" s="183"/>
      <c r="E167" s="179">
        <f t="shared" si="47"/>
        <v>3.0236975786086382</v>
      </c>
      <c r="F167" s="183">
        <f t="shared" si="48"/>
        <v>0.25370208070082878</v>
      </c>
      <c r="G167" s="247">
        <f t="shared" si="35"/>
        <v>0.22474403834114634</v>
      </c>
      <c r="H167" s="246"/>
      <c r="I167" s="417"/>
      <c r="J167" s="178"/>
      <c r="K167" s="182"/>
      <c r="L167" s="183"/>
      <c r="M167" s="179">
        <f t="shared" si="36"/>
        <v>4.2138712233774056</v>
      </c>
      <c r="N167" s="183">
        <f t="shared" si="49"/>
        <v>0.38372218999285801</v>
      </c>
      <c r="O167" s="247">
        <f t="shared" si="37"/>
        <v>0.31320673154990875</v>
      </c>
      <c r="P167" s="246"/>
      <c r="Q167" s="417"/>
      <c r="R167" s="182"/>
      <c r="S167" s="178"/>
      <c r="T167" s="182"/>
      <c r="U167" s="178"/>
      <c r="V167" s="506"/>
      <c r="W167" s="259">
        <f>IF(W$135="Y",E167*$F$21*'Emissions Factors'!$B43,"")</f>
        <v>30.828642005085946</v>
      </c>
      <c r="X167" s="259" t="str">
        <f>IF(X$135="Y",E167*'Emissions Factors'!$R$36*$F$22/10^6,"")</f>
        <v/>
      </c>
      <c r="Y167" s="180"/>
      <c r="Z167" s="180"/>
      <c r="AA167" s="509"/>
      <c r="AB167" s="180">
        <f t="shared" si="42"/>
        <v>30.828642005085946</v>
      </c>
      <c r="AC167" s="180">
        <f t="shared" si="43"/>
        <v>0</v>
      </c>
      <c r="AE167" s="182"/>
      <c r="AF167" s="178"/>
      <c r="AG167" s="182"/>
      <c r="AH167" s="178"/>
      <c r="AJ167" s="259">
        <f>IF(AJ$135="Y",M167*$F$21*'Emissions Factors'!$B43,"")</f>
        <v>42.963267332050137</v>
      </c>
      <c r="AK167" s="259" t="str">
        <f>IF(AK$135="Y",M167*'Emissions Factors'!$R$36*$F$22/10^6,"")</f>
        <v/>
      </c>
      <c r="AL167" s="180"/>
      <c r="AM167" s="180"/>
      <c r="AO167" s="180">
        <f t="shared" si="44"/>
        <v>42.963267332050137</v>
      </c>
      <c r="AP167" s="180">
        <f t="shared" si="45"/>
        <v>0</v>
      </c>
      <c r="AS167" s="430"/>
      <c r="AT167" s="478">
        <v>2046</v>
      </c>
      <c r="AU167" s="479">
        <f t="shared" si="46"/>
        <v>73.791909337136076</v>
      </c>
      <c r="AV167" s="479">
        <f t="shared" si="46"/>
        <v>0</v>
      </c>
      <c r="AW167" s="430"/>
      <c r="AX167" s="479">
        <f t="shared" si="38"/>
        <v>21.481633666025068</v>
      </c>
      <c r="AY167" s="479">
        <f t="shared" si="38"/>
        <v>0</v>
      </c>
      <c r="AZ167" s="430"/>
      <c r="BA167" s="479">
        <f t="shared" si="39"/>
        <v>52.310275671111008</v>
      </c>
      <c r="BB167" s="479">
        <f t="shared" si="39"/>
        <v>0</v>
      </c>
      <c r="BC167" s="516"/>
      <c r="BE167" s="480">
        <f t="shared" si="40"/>
        <v>0.29111096133698156</v>
      </c>
      <c r="BF167" s="480" t="str">
        <f t="shared" si="41"/>
        <v/>
      </c>
    </row>
    <row r="168" spans="1:58" ht="15.6" x14ac:dyDescent="0.3">
      <c r="A168" s="152">
        <v>2047</v>
      </c>
      <c r="B168" s="178"/>
      <c r="C168" s="182"/>
      <c r="D168" s="183"/>
      <c r="E168" s="179">
        <f t="shared" si="47"/>
        <v>3.2952554906012983</v>
      </c>
      <c r="F168" s="183">
        <f t="shared" si="48"/>
        <v>0.27155791199266011</v>
      </c>
      <c r="G168" s="247">
        <f t="shared" si="35"/>
        <v>0.22650748220135736</v>
      </c>
      <c r="H168" s="246"/>
      <c r="I168" s="417"/>
      <c r="J168" s="178"/>
      <c r="K168" s="182"/>
      <c r="L168" s="183"/>
      <c r="M168" s="179">
        <f t="shared" si="36"/>
        <v>4.6286610502661425</v>
      </c>
      <c r="N168" s="183">
        <f t="shared" si="49"/>
        <v>0.41478982688873689</v>
      </c>
      <c r="O168" s="247">
        <f t="shared" si="37"/>
        <v>0.31816238936543395</v>
      </c>
      <c r="P168" s="246"/>
      <c r="Q168" s="417"/>
      <c r="R168" s="182"/>
      <c r="S168" s="178"/>
      <c r="T168" s="182"/>
      <c r="U168" s="178"/>
      <c r="V168" s="506"/>
      <c r="W168" s="259">
        <f>IF(W$135="Y",E168*$F$21*'Emissions Factors'!$B44,"")</f>
        <v>33.399940128383228</v>
      </c>
      <c r="X168" s="259" t="str">
        <f>IF(X$135="Y",E168*'Emissions Factors'!$R$36*$F$22/10^6,"")</f>
        <v/>
      </c>
      <c r="Y168" s="180"/>
      <c r="Z168" s="180"/>
      <c r="AA168" s="509"/>
      <c r="AB168" s="180">
        <f t="shared" si="42"/>
        <v>33.399940128383228</v>
      </c>
      <c r="AC168" s="180">
        <f t="shared" si="43"/>
        <v>0</v>
      </c>
      <c r="AE168" s="182"/>
      <c r="AF168" s="178"/>
      <c r="AG168" s="182"/>
      <c r="AH168" s="178"/>
      <c r="AJ168" s="259">
        <f>IF(AJ$135="Y",M168*$F$21*'Emissions Factors'!$B44,"")</f>
        <v>46.915027497688406</v>
      </c>
      <c r="AK168" s="259" t="str">
        <f>IF(AK$135="Y",M168*'Emissions Factors'!$R$36*$F$22/10^6,"")</f>
        <v/>
      </c>
      <c r="AL168" s="180"/>
      <c r="AM168" s="180"/>
      <c r="AO168" s="180">
        <f t="shared" si="44"/>
        <v>46.915027497688406</v>
      </c>
      <c r="AP168" s="180">
        <f t="shared" si="45"/>
        <v>0</v>
      </c>
      <c r="AS168" s="430"/>
      <c r="AT168" s="478">
        <v>2047</v>
      </c>
      <c r="AU168" s="479">
        <f t="shared" si="46"/>
        <v>80.314967626071635</v>
      </c>
      <c r="AV168" s="479">
        <f t="shared" si="46"/>
        <v>0</v>
      </c>
      <c r="AW168" s="430"/>
      <c r="AX168" s="479">
        <f t="shared" si="38"/>
        <v>23.457513748844203</v>
      </c>
      <c r="AY168" s="479">
        <f t="shared" si="38"/>
        <v>0</v>
      </c>
      <c r="AZ168" s="430"/>
      <c r="BA168" s="479">
        <f t="shared" si="39"/>
        <v>56.857453877227428</v>
      </c>
      <c r="BB168" s="479">
        <f t="shared" si="39"/>
        <v>0</v>
      </c>
      <c r="BC168" s="516"/>
      <c r="BE168" s="480">
        <f t="shared" si="40"/>
        <v>0.29206901829378917</v>
      </c>
      <c r="BF168" s="480" t="str">
        <f t="shared" si="41"/>
        <v/>
      </c>
    </row>
    <row r="169" spans="1:58" ht="15.6" x14ac:dyDescent="0.3">
      <c r="A169" s="152">
        <v>2048</v>
      </c>
      <c r="B169" s="178"/>
      <c r="C169" s="182"/>
      <c r="D169" s="183"/>
      <c r="E169" s="179">
        <f t="shared" si="47"/>
        <v>3.5859698502898469</v>
      </c>
      <c r="F169" s="183">
        <f t="shared" si="48"/>
        <v>0.29071435968854864</v>
      </c>
      <c r="G169" s="247">
        <f t="shared" si="35"/>
        <v>0.22824664424838459</v>
      </c>
      <c r="H169" s="246"/>
      <c r="I169" s="417"/>
      <c r="J169" s="178"/>
      <c r="K169" s="182"/>
      <c r="L169" s="183"/>
      <c r="M169" s="179">
        <f t="shared" si="36"/>
        <v>5.0770725266795615</v>
      </c>
      <c r="N169" s="183">
        <f t="shared" si="49"/>
        <v>0.44841147641341905</v>
      </c>
      <c r="O169" s="247">
        <f t="shared" si="37"/>
        <v>0.32315518958605061</v>
      </c>
      <c r="P169" s="246"/>
      <c r="Q169" s="417"/>
      <c r="R169" s="182"/>
      <c r="S169" s="178"/>
      <c r="T169" s="182"/>
      <c r="U169" s="178"/>
      <c r="V169" s="506"/>
      <c r="W169" s="259">
        <f>IF(W$135="Y",E169*$F$21*'Emissions Factors'!$B45,"")</f>
        <v>36.129664852626505</v>
      </c>
      <c r="X169" s="259" t="str">
        <f>IF(X$135="Y",E169*'Emissions Factors'!$R$36*$F$22/10^6,"")</f>
        <v/>
      </c>
      <c r="Y169" s="180"/>
      <c r="Z169" s="180"/>
      <c r="AA169" s="509"/>
      <c r="AB169" s="180">
        <f t="shared" si="42"/>
        <v>36.129664852626505</v>
      </c>
      <c r="AC169" s="180">
        <f t="shared" si="43"/>
        <v>0</v>
      </c>
      <c r="AE169" s="182"/>
      <c r="AF169" s="178"/>
      <c r="AG169" s="182"/>
      <c r="AH169" s="178"/>
      <c r="AJ169" s="259">
        <f>IF(AJ$135="Y",M169*$F$21*'Emissions Factors'!$B45,"")</f>
        <v>51.152947871712769</v>
      </c>
      <c r="AK169" s="259" t="str">
        <f>IF(AK$135="Y",M169*'Emissions Factors'!$R$36*$F$22/10^6,"")</f>
        <v/>
      </c>
      <c r="AL169" s="180"/>
      <c r="AM169" s="180"/>
      <c r="AO169" s="180">
        <f t="shared" si="44"/>
        <v>51.152947871712769</v>
      </c>
      <c r="AP169" s="180">
        <f t="shared" si="45"/>
        <v>0</v>
      </c>
      <c r="AS169" s="430"/>
      <c r="AT169" s="478">
        <v>2048</v>
      </c>
      <c r="AU169" s="479">
        <f t="shared" si="46"/>
        <v>87.282612724339273</v>
      </c>
      <c r="AV169" s="479">
        <f t="shared" si="46"/>
        <v>0</v>
      </c>
      <c r="AW169" s="430"/>
      <c r="AX169" s="479">
        <f t="shared" si="38"/>
        <v>25.576473935856384</v>
      </c>
      <c r="AY169" s="479">
        <f t="shared" si="38"/>
        <v>0</v>
      </c>
      <c r="AZ169" s="430"/>
      <c r="BA169" s="479">
        <f t="shared" si="39"/>
        <v>61.706138788482889</v>
      </c>
      <c r="BB169" s="479">
        <f t="shared" si="39"/>
        <v>0</v>
      </c>
      <c r="BC169" s="516"/>
      <c r="BE169" s="480">
        <f t="shared" si="40"/>
        <v>0.29303057204111665</v>
      </c>
      <c r="BF169" s="480" t="str">
        <f t="shared" si="41"/>
        <v/>
      </c>
    </row>
    <row r="170" spans="1:58" ht="15.6" x14ac:dyDescent="0.3">
      <c r="A170" s="152">
        <v>2049</v>
      </c>
      <c r="B170" s="178"/>
      <c r="C170" s="182"/>
      <c r="D170" s="183"/>
      <c r="E170" s="179">
        <f t="shared" si="47"/>
        <v>3.8972258820165573</v>
      </c>
      <c r="F170" s="183">
        <f t="shared" si="48"/>
        <v>0.31125603172671035</v>
      </c>
      <c r="G170" s="247">
        <f t="shared" si="35"/>
        <v>0.22996185228424987</v>
      </c>
      <c r="H170" s="246"/>
      <c r="I170" s="417"/>
      <c r="J170" s="178"/>
      <c r="K170" s="182"/>
      <c r="L170" s="183"/>
      <c r="M170" s="179">
        <f t="shared" si="36"/>
        <v>5.5618558052547904</v>
      </c>
      <c r="N170" s="183">
        <f t="shared" si="49"/>
        <v>0.48478327857522885</v>
      </c>
      <c r="O170" s="247">
        <f t="shared" si="37"/>
        <v>0.32818592040461714</v>
      </c>
      <c r="P170" s="246"/>
      <c r="Q170" s="417"/>
      <c r="R170" s="182"/>
      <c r="S170" s="178"/>
      <c r="T170" s="182"/>
      <c r="U170" s="178"/>
      <c r="V170" s="506"/>
      <c r="W170" s="259">
        <f>IF(W$135="Y",E170*$F$21*'Emissions Factors'!$B46,"")</f>
        <v>39.063268596212488</v>
      </c>
      <c r="X170" s="259" t="str">
        <f>IF(X$135="Y",E170*'Emissions Factors'!$R$36*$F$22/10^6,"")</f>
        <v/>
      </c>
      <c r="Y170" s="180"/>
      <c r="Z170" s="180"/>
      <c r="AA170" s="509"/>
      <c r="AB170" s="180">
        <f t="shared" si="42"/>
        <v>39.063268596212488</v>
      </c>
      <c r="AC170" s="180">
        <f t="shared" si="43"/>
        <v>0</v>
      </c>
      <c r="AE170" s="182"/>
      <c r="AF170" s="178"/>
      <c r="AG170" s="182"/>
      <c r="AH170" s="178"/>
      <c r="AJ170" s="259">
        <f>IF(AJ$135="Y",M170*$F$21*'Emissions Factors'!$B46,"")</f>
        <v>55.748441017140031</v>
      </c>
      <c r="AK170" s="259" t="str">
        <f>IF(AK$135="Y",M170*'Emissions Factors'!$R$36*$F$22/10^6,"")</f>
        <v/>
      </c>
      <c r="AL170" s="180"/>
      <c r="AM170" s="180"/>
      <c r="AO170" s="180">
        <f t="shared" si="44"/>
        <v>55.748441017140031</v>
      </c>
      <c r="AP170" s="180">
        <f t="shared" si="45"/>
        <v>0</v>
      </c>
      <c r="AS170" s="430"/>
      <c r="AT170" s="478">
        <v>2049</v>
      </c>
      <c r="AU170" s="479">
        <f t="shared" si="46"/>
        <v>94.811709613352519</v>
      </c>
      <c r="AV170" s="479">
        <f t="shared" si="46"/>
        <v>0</v>
      </c>
      <c r="AW170" s="430"/>
      <c r="AX170" s="479">
        <f t="shared" si="38"/>
        <v>27.874220508570016</v>
      </c>
      <c r="AY170" s="479">
        <f t="shared" si="38"/>
        <v>0</v>
      </c>
      <c r="AZ170" s="430"/>
      <c r="BA170" s="479">
        <f t="shared" si="39"/>
        <v>66.9374891047825</v>
      </c>
      <c r="BB170" s="479">
        <f t="shared" si="39"/>
        <v>0</v>
      </c>
      <c r="BC170" s="516"/>
      <c r="BE170" s="480">
        <f t="shared" si="40"/>
        <v>0.29399554783098686</v>
      </c>
      <c r="BF170" s="480" t="str">
        <f t="shared" si="41"/>
        <v/>
      </c>
    </row>
    <row r="171" spans="1:58" ht="15.6" x14ac:dyDescent="0.3">
      <c r="A171" s="152">
        <v>2050</v>
      </c>
      <c r="B171" s="178"/>
      <c r="C171" s="182"/>
      <c r="D171" s="183"/>
      <c r="E171" s="179">
        <f t="shared" si="47"/>
        <v>4.2303273097515639</v>
      </c>
      <c r="F171" s="183">
        <f t="shared" si="48"/>
        <v>0.33310142773500662</v>
      </c>
      <c r="G171" s="247">
        <f t="shared" si="35"/>
        <v>0.23165017338067351</v>
      </c>
      <c r="H171" s="246"/>
      <c r="I171" s="417"/>
      <c r="J171" s="178"/>
      <c r="K171" s="182"/>
      <c r="L171" s="183"/>
      <c r="M171" s="179">
        <f t="shared" si="36"/>
        <v>6.0857268088746128</v>
      </c>
      <c r="N171" s="183">
        <f t="shared" si="49"/>
        <v>0.52387100361982242</v>
      </c>
      <c r="O171" s="247">
        <f t="shared" si="37"/>
        <v>0.33325073149150919</v>
      </c>
      <c r="P171" s="246"/>
      <c r="Q171" s="417"/>
      <c r="R171" s="182"/>
      <c r="S171" s="178"/>
      <c r="T171" s="182"/>
      <c r="U171" s="178"/>
      <c r="V171" s="506"/>
      <c r="W171" s="259">
        <f>IF(W$135="Y",E171*$F$21*'Emissions Factors'!$B47,"")</f>
        <v>42.25624412861589</v>
      </c>
      <c r="X171" s="259" t="str">
        <f>IF(X$135="Y",E171*'Emissions Factors'!$R$36*$F$22/10^6,"")</f>
        <v/>
      </c>
      <c r="Y171" s="180"/>
      <c r="Z171" s="180"/>
      <c r="AA171" s="509"/>
      <c r="AB171" s="180">
        <f t="shared" si="42"/>
        <v>42.25624412861589</v>
      </c>
      <c r="AC171" s="180">
        <f t="shared" si="43"/>
        <v>0</v>
      </c>
      <c r="AE171" s="182"/>
      <c r="AF171" s="178"/>
      <c r="AG171" s="182"/>
      <c r="AH171" s="178"/>
      <c r="AJ171" s="259">
        <f>IF(AJ$135="Y",M171*$F$21*'Emissions Factors'!$B47,"")</f>
        <v>60.789612459318313</v>
      </c>
      <c r="AK171" s="259" t="str">
        <f>IF(AK$135="Y",M171*'Emissions Factors'!$R$36*$F$22/10^6,"")</f>
        <v/>
      </c>
      <c r="AL171" s="180"/>
      <c r="AM171" s="180"/>
      <c r="AO171" s="180">
        <f t="shared" si="44"/>
        <v>60.789612459318313</v>
      </c>
      <c r="AP171" s="180">
        <f t="shared" si="45"/>
        <v>0</v>
      </c>
      <c r="AS171" s="430"/>
      <c r="AT171" s="478">
        <v>2050</v>
      </c>
      <c r="AU171" s="479">
        <f t="shared" si="46"/>
        <v>103.0458565879342</v>
      </c>
      <c r="AV171" s="479">
        <f t="shared" si="46"/>
        <v>0</v>
      </c>
      <c r="AW171" s="430"/>
      <c r="AX171" s="479">
        <f t="shared" si="38"/>
        <v>30.394806229659157</v>
      </c>
      <c r="AY171" s="479">
        <f t="shared" si="38"/>
        <v>0</v>
      </c>
      <c r="AZ171" s="430"/>
      <c r="BA171" s="479">
        <f t="shared" si="39"/>
        <v>72.651050358275043</v>
      </c>
      <c r="BB171" s="479">
        <f t="shared" si="39"/>
        <v>0</v>
      </c>
      <c r="BC171" s="516"/>
      <c r="BE171" s="480">
        <f t="shared" si="40"/>
        <v>0.29496388536225854</v>
      </c>
      <c r="BF171" s="480" t="str">
        <f t="shared" si="41"/>
        <v/>
      </c>
    </row>
    <row r="172" spans="1:58" ht="15.6" x14ac:dyDescent="0.3">
      <c r="A172" s="152">
        <v>2051</v>
      </c>
      <c r="B172" s="178"/>
      <c r="C172" s="182"/>
      <c r="D172" s="183"/>
      <c r="E172" s="179">
        <f t="shared" si="47"/>
        <v>4.5864251061266712</v>
      </c>
      <c r="F172" s="183">
        <f t="shared" si="48"/>
        <v>0.3560977963751073</v>
      </c>
      <c r="G172" s="247">
        <f t="shared" si="35"/>
        <v>0.23330571596947139</v>
      </c>
      <c r="H172" s="246"/>
      <c r="I172" s="417"/>
      <c r="J172" s="178"/>
      <c r="K172" s="182"/>
      <c r="L172" s="183"/>
      <c r="M172" s="179">
        <f t="shared" si="36"/>
        <v>6.6512665424541897</v>
      </c>
      <c r="N172" s="183">
        <f t="shared" si="49"/>
        <v>0.56553973357957688</v>
      </c>
      <c r="O172" s="247">
        <f t="shared" si="37"/>
        <v>0.33834162051794048</v>
      </c>
      <c r="P172" s="246"/>
      <c r="Q172" s="417"/>
      <c r="R172" s="182"/>
      <c r="S172" s="178"/>
      <c r="T172" s="182"/>
      <c r="U172" s="178"/>
      <c r="V172" s="506"/>
      <c r="W172" s="259">
        <f>IF(W$135="Y",E172*$F$21*'Emissions Factors'!$B48,"")</f>
        <v>45.638162158028415</v>
      </c>
      <c r="X172" s="259" t="str">
        <f>IF(X$135="Y",E172*'Emissions Factors'!$R$36*$F$22/10^6,"")</f>
        <v/>
      </c>
      <c r="Y172" s="180"/>
      <c r="Z172" s="180"/>
      <c r="AA172" s="509"/>
      <c r="AB172" s="180">
        <f t="shared" si="42"/>
        <v>45.638162158028415</v>
      </c>
      <c r="AC172" s="180">
        <f t="shared" si="43"/>
        <v>0</v>
      </c>
      <c r="AE172" s="182"/>
      <c r="AF172" s="178"/>
      <c r="AG172" s="182"/>
      <c r="AH172" s="178"/>
      <c r="AJ172" s="259">
        <f>IF(AJ$135="Y",M172*$F$21*'Emissions Factors'!$B48,"")</f>
        <v>66.184789677542284</v>
      </c>
      <c r="AK172" s="259" t="str">
        <f>IF(AK$135="Y",M172*'Emissions Factors'!$R$36*$F$22/10^6,"")</f>
        <v/>
      </c>
      <c r="AL172" s="180"/>
      <c r="AM172" s="180"/>
      <c r="AO172" s="180">
        <f t="shared" si="44"/>
        <v>66.184789677542284</v>
      </c>
      <c r="AP172" s="180">
        <f t="shared" si="45"/>
        <v>0</v>
      </c>
      <c r="AT172" s="478">
        <v>2051</v>
      </c>
      <c r="AU172" s="479">
        <f t="shared" si="46"/>
        <v>111.82295183557071</v>
      </c>
      <c r="AV172" s="479">
        <f t="shared" si="46"/>
        <v>0</v>
      </c>
      <c r="AW172" s="430"/>
      <c r="AX172" s="479">
        <f t="shared" si="38"/>
        <v>33.092394838771142</v>
      </c>
      <c r="AY172" s="479">
        <f t="shared" si="38"/>
        <v>0</v>
      </c>
      <c r="AZ172" s="430"/>
      <c r="BA172" s="479">
        <f t="shared" si="39"/>
        <v>78.730556996799564</v>
      </c>
      <c r="BB172" s="479">
        <f t="shared" si="39"/>
        <v>0</v>
      </c>
      <c r="BC172" s="516"/>
      <c r="BE172" s="480">
        <f t="shared" si="40"/>
        <v>0.29593562229900378</v>
      </c>
      <c r="BF172" s="480" t="str">
        <f t="shared" si="41"/>
        <v/>
      </c>
    </row>
    <row r="173" spans="1:58" ht="15.6" x14ac:dyDescent="0.3">
      <c r="A173" s="152">
        <v>2052</v>
      </c>
      <c r="B173" s="178"/>
      <c r="C173" s="182"/>
      <c r="D173" s="183"/>
      <c r="E173" s="179">
        <f t="shared" si="47"/>
        <v>4.9664861685515991</v>
      </c>
      <c r="F173" s="183">
        <f t="shared" si="48"/>
        <v>0.38006106242492788</v>
      </c>
      <c r="G173" s="247">
        <f t="shared" si="35"/>
        <v>0.23492054450408573</v>
      </c>
      <c r="H173" s="246"/>
      <c r="I173" s="417"/>
      <c r="J173" s="178"/>
      <c r="K173" s="182"/>
      <c r="L173" s="183"/>
      <c r="M173" s="179">
        <f t="shared" si="36"/>
        <v>7.2608493746848888</v>
      </c>
      <c r="N173" s="183">
        <f t="shared" si="49"/>
        <v>0.60958283223069909</v>
      </c>
      <c r="O173" s="247">
        <f t="shared" si="37"/>
        <v>0.34344657989062166</v>
      </c>
      <c r="P173" s="246"/>
      <c r="Q173" s="417"/>
      <c r="R173" s="182"/>
      <c r="S173" s="178"/>
      <c r="T173" s="182"/>
      <c r="U173" s="178"/>
      <c r="V173" s="506"/>
      <c r="W173" s="259">
        <f>IF(W$135="Y",E173*$F$21*'Emissions Factors'!$B49,"")</f>
        <v>49.237547923653992</v>
      </c>
      <c r="X173" s="259" t="str">
        <f>IF(X$135="Y",E173*'Emissions Factors'!$R$36*$F$22/10^6,"")</f>
        <v/>
      </c>
      <c r="Y173" s="180"/>
      <c r="Z173" s="180"/>
      <c r="AA173" s="509"/>
      <c r="AB173" s="180">
        <f t="shared" si="42"/>
        <v>49.237547923653992</v>
      </c>
      <c r="AC173" s="180">
        <f t="shared" si="43"/>
        <v>0</v>
      </c>
      <c r="AE173" s="182"/>
      <c r="AF173" s="178"/>
      <c r="AG173" s="182"/>
      <c r="AH173" s="178"/>
      <c r="AJ173" s="259">
        <f>IF(AJ$135="Y",M173*$F$21*'Emissions Factors'!$B49,"")</f>
        <v>71.983774225780579</v>
      </c>
      <c r="AK173" s="259" t="str">
        <f>IF(AK$135="Y",M173*'Emissions Factors'!$R$36*$F$22/10^6,"")</f>
        <v/>
      </c>
      <c r="AL173" s="180"/>
      <c r="AM173" s="180"/>
      <c r="AO173" s="180">
        <f t="shared" si="44"/>
        <v>71.983774225780579</v>
      </c>
      <c r="AP173" s="180">
        <f t="shared" si="45"/>
        <v>0</v>
      </c>
      <c r="AT173" s="478">
        <v>2052</v>
      </c>
      <c r="AU173" s="479">
        <f t="shared" si="46"/>
        <v>121.22132214943457</v>
      </c>
      <c r="AV173" s="479">
        <f t="shared" si="46"/>
        <v>0</v>
      </c>
      <c r="AW173" s="430"/>
      <c r="AX173" s="479">
        <f t="shared" si="38"/>
        <v>35.991887112890289</v>
      </c>
      <c r="AY173" s="479">
        <f t="shared" si="38"/>
        <v>0</v>
      </c>
      <c r="AZ173" s="430"/>
      <c r="BA173" s="479">
        <f t="shared" si="39"/>
        <v>85.229435036544288</v>
      </c>
      <c r="BB173" s="479">
        <f t="shared" si="39"/>
        <v>0</v>
      </c>
      <c r="BC173" s="516"/>
      <c r="BE173" s="480">
        <f t="shared" si="40"/>
        <v>0.29691053087609121</v>
      </c>
      <c r="BF173" s="480" t="str">
        <f t="shared" si="41"/>
        <v/>
      </c>
    </row>
    <row r="174" spans="1:58" ht="15.6" x14ac:dyDescent="0.3">
      <c r="A174" s="152">
        <v>2053</v>
      </c>
      <c r="B174" s="178"/>
      <c r="C174" s="182"/>
      <c r="D174" s="183"/>
      <c r="E174" s="179">
        <f t="shared" si="47"/>
        <v>5.3713946418228264</v>
      </c>
      <c r="F174" s="183">
        <f t="shared" si="48"/>
        <v>0.40490847327122736</v>
      </c>
      <c r="G174" s="247">
        <f t="shared" si="35"/>
        <v>0.2364872673611603</v>
      </c>
      <c r="H174" s="246"/>
      <c r="I174" s="417"/>
      <c r="J174" s="178"/>
      <c r="K174" s="182"/>
      <c r="L174" s="183"/>
      <c r="M174" s="179">
        <f t="shared" si="36"/>
        <v>7.9167583192996203</v>
      </c>
      <c r="N174" s="183">
        <f t="shared" si="49"/>
        <v>0.65590894461473148</v>
      </c>
      <c r="O174" s="247">
        <f t="shared" si="37"/>
        <v>0.34855240884973382</v>
      </c>
      <c r="P174" s="246"/>
      <c r="Q174" s="417"/>
      <c r="R174" s="182"/>
      <c r="S174" s="178"/>
      <c r="T174" s="182"/>
      <c r="U174" s="178"/>
      <c r="V174" s="506"/>
      <c r="W174" s="259">
        <f>IF(W$135="Y",E174*$F$21*'Emissions Factors'!$B50,"")</f>
        <v>53.05029091913044</v>
      </c>
      <c r="X174" s="259" t="str">
        <f>IF(X$135="Y",E174*'Emissions Factors'!$R$36*$F$22/10^6,"")</f>
        <v/>
      </c>
      <c r="Y174" s="180"/>
      <c r="Z174" s="180"/>
      <c r="AA174" s="509"/>
      <c r="AB174" s="180">
        <f t="shared" si="42"/>
        <v>53.05029091913044</v>
      </c>
      <c r="AC174" s="180">
        <f t="shared" si="43"/>
        <v>0</v>
      </c>
      <c r="AE174" s="182"/>
      <c r="AF174" s="178"/>
      <c r="AG174" s="182"/>
      <c r="AH174" s="178"/>
      <c r="AJ174" s="259">
        <f>IF(AJ$135="Y",M174*$F$21*'Emissions Factors'!$B50,"")</f>
        <v>78.189438680447651</v>
      </c>
      <c r="AK174" s="259" t="str">
        <f>IF(AK$135="Y",M174*'Emissions Factors'!$R$36*$F$22/10^6,"")</f>
        <v/>
      </c>
      <c r="AL174" s="180"/>
      <c r="AM174" s="180"/>
      <c r="AO174" s="180">
        <f t="shared" si="44"/>
        <v>78.189438680447651</v>
      </c>
      <c r="AP174" s="180">
        <f t="shared" si="45"/>
        <v>0</v>
      </c>
      <c r="AT174" s="478">
        <v>2053</v>
      </c>
      <c r="AU174" s="479">
        <f t="shared" si="46"/>
        <v>131.23972959957808</v>
      </c>
      <c r="AV174" s="479">
        <f t="shared" si="46"/>
        <v>0</v>
      </c>
      <c r="AW174" s="430"/>
      <c r="AX174" s="479">
        <f t="shared" si="38"/>
        <v>39.094719340223826</v>
      </c>
      <c r="AY174" s="479">
        <f t="shared" si="38"/>
        <v>0</v>
      </c>
      <c r="AZ174" s="430"/>
      <c r="BA174" s="479">
        <f t="shared" si="39"/>
        <v>92.145010259354251</v>
      </c>
      <c r="BB174" s="479">
        <f t="shared" si="39"/>
        <v>0</v>
      </c>
      <c r="BC174" s="516"/>
      <c r="BE174" s="480">
        <f t="shared" si="40"/>
        <v>0.29788783822935816</v>
      </c>
      <c r="BF174" s="480" t="str">
        <f t="shared" si="41"/>
        <v/>
      </c>
    </row>
    <row r="175" spans="1:58" ht="15.6" x14ac:dyDescent="0.3">
      <c r="A175" s="152">
        <v>2054</v>
      </c>
      <c r="B175" s="178"/>
      <c r="C175" s="182"/>
      <c r="D175" s="183"/>
      <c r="E175" s="179">
        <f t="shared" si="47"/>
        <v>5.8019161937069068</v>
      </c>
      <c r="F175" s="183">
        <f t="shared" si="48"/>
        <v>0.43052155188408037</v>
      </c>
      <c r="G175" s="247">
        <f t="shared" si="35"/>
        <v>0.23799942405839292</v>
      </c>
      <c r="H175" s="246"/>
      <c r="I175" s="417"/>
      <c r="J175" s="178"/>
      <c r="K175" s="182"/>
      <c r="L175" s="183"/>
      <c r="M175" s="179">
        <f t="shared" si="36"/>
        <v>8.621129878445867</v>
      </c>
      <c r="N175" s="183">
        <f t="shared" si="49"/>
        <v>0.70437155914624672</v>
      </c>
      <c r="O175" s="247">
        <f t="shared" si="37"/>
        <v>0.35364591236740822</v>
      </c>
      <c r="P175" s="246"/>
      <c r="Q175" s="417"/>
      <c r="R175" s="182"/>
      <c r="S175" s="178"/>
      <c r="T175" s="182"/>
      <c r="U175" s="178"/>
      <c r="V175" s="506"/>
      <c r="W175" s="259">
        <f>IF(W$135="Y",E175*$F$21*'Emissions Factors'!$B51,"")</f>
        <v>57.079967359695075</v>
      </c>
      <c r="X175" s="259" t="str">
        <f>IF(X$135="Y",E175*'Emissions Factors'!$R$36*$F$22/10^6,"")</f>
        <v/>
      </c>
      <c r="Y175" s="180"/>
      <c r="Z175" s="180"/>
      <c r="AA175" s="509"/>
      <c r="AB175" s="180">
        <f t="shared" si="42"/>
        <v>57.079967359695075</v>
      </c>
      <c r="AC175" s="180">
        <f t="shared" si="43"/>
        <v>0</v>
      </c>
      <c r="AE175" s="182"/>
      <c r="AF175" s="178"/>
      <c r="AG175" s="182"/>
      <c r="AH175" s="178"/>
      <c r="AJ175" s="259">
        <f>IF(AJ$135="Y",M175*$F$21*'Emissions Factors'!$B51,"")</f>
        <v>84.815739427455952</v>
      </c>
      <c r="AK175" s="259" t="str">
        <f>IF(AK$135="Y",M175*'Emissions Factors'!$R$36*$F$22/10^6,"")</f>
        <v/>
      </c>
      <c r="AL175" s="180"/>
      <c r="AM175" s="180"/>
      <c r="AO175" s="180">
        <f t="shared" si="44"/>
        <v>84.815739427455952</v>
      </c>
      <c r="AP175" s="180">
        <f t="shared" si="45"/>
        <v>0</v>
      </c>
      <c r="AT175" s="478">
        <v>2054</v>
      </c>
      <c r="AU175" s="479">
        <f t="shared" si="46"/>
        <v>141.89570678715103</v>
      </c>
      <c r="AV175" s="479">
        <f t="shared" si="46"/>
        <v>0</v>
      </c>
      <c r="AW175" s="430"/>
      <c r="AX175" s="479">
        <f t="shared" si="38"/>
        <v>42.407869713727976</v>
      </c>
      <c r="AY175" s="479">
        <f t="shared" si="38"/>
        <v>0</v>
      </c>
      <c r="AZ175" s="430"/>
      <c r="BA175" s="479">
        <f t="shared" si="39"/>
        <v>99.487837073423051</v>
      </c>
      <c r="BB175" s="479">
        <f t="shared" si="39"/>
        <v>0</v>
      </c>
      <c r="BC175" s="516"/>
      <c r="BE175" s="480">
        <f t="shared" si="40"/>
        <v>0.29886647506073877</v>
      </c>
      <c r="BF175" s="480" t="str">
        <f t="shared" si="41"/>
        <v/>
      </c>
    </row>
    <row r="176" spans="1:58" ht="15.6" x14ac:dyDescent="0.3">
      <c r="A176" s="152">
        <v>2055</v>
      </c>
      <c r="B176" s="178"/>
      <c r="C176" s="182"/>
      <c r="D176" s="183"/>
      <c r="E176" s="179">
        <f t="shared" si="47"/>
        <v>6.2588127103672928</v>
      </c>
      <c r="F176" s="183">
        <f t="shared" si="48"/>
        <v>0.456896516660386</v>
      </c>
      <c r="G176" s="247">
        <f t="shared" si="35"/>
        <v>0.23945308048282521</v>
      </c>
      <c r="H176" s="246"/>
      <c r="I176" s="417"/>
      <c r="J176" s="178"/>
      <c r="K176" s="182"/>
      <c r="L176" s="183"/>
      <c r="M176" s="179">
        <f t="shared" si="36"/>
        <v>9.376133201754298</v>
      </c>
      <c r="N176" s="183">
        <f t="shared" si="49"/>
        <v>0.75500332330843101</v>
      </c>
      <c r="O176" s="247">
        <f t="shared" si="37"/>
        <v>0.35871723313567683</v>
      </c>
      <c r="P176" s="246"/>
      <c r="Q176" s="417"/>
      <c r="R176" s="182"/>
      <c r="S176" s="178"/>
      <c r="T176" s="182"/>
      <c r="U176" s="178"/>
      <c r="V176" s="506"/>
      <c r="W176" s="259">
        <f>IF(W$135="Y",E176*$F$21*'Emissions Factors'!$B52,"")</f>
        <v>61.32471817708791</v>
      </c>
      <c r="X176" s="259" t="str">
        <f>IF(X$135="Y",E176*'Emissions Factors'!$R$36*$F$22/10^6,"")</f>
        <v/>
      </c>
      <c r="Y176" s="180"/>
      <c r="Z176" s="180"/>
      <c r="AA176" s="509"/>
      <c r="AB176" s="180">
        <f t="shared" si="42"/>
        <v>61.32471817708791</v>
      </c>
      <c r="AC176" s="180">
        <f t="shared" si="43"/>
        <v>0</v>
      </c>
      <c r="AE176" s="182"/>
      <c r="AF176" s="178"/>
      <c r="AG176" s="182"/>
      <c r="AH176" s="178"/>
      <c r="AJ176" s="259">
        <f>IF(AJ$135="Y",M176*$F$21*'Emissions Factors'!$B52,"")</f>
        <v>91.868658289772753</v>
      </c>
      <c r="AK176" s="259" t="str">
        <f>IF(AK$135="Y",M176*'Emissions Factors'!$R$36*$F$22/10^6,"")</f>
        <v/>
      </c>
      <c r="AL176" s="180"/>
      <c r="AM176" s="180"/>
      <c r="AO176" s="180">
        <f t="shared" si="44"/>
        <v>91.868658289772753</v>
      </c>
      <c r="AP176" s="180">
        <f t="shared" si="45"/>
        <v>0</v>
      </c>
      <c r="AT176" s="478">
        <v>2055</v>
      </c>
      <c r="AU176" s="479">
        <f t="shared" si="46"/>
        <v>153.19337646686066</v>
      </c>
      <c r="AV176" s="479">
        <f t="shared" si="46"/>
        <v>0</v>
      </c>
      <c r="AW176" s="430"/>
      <c r="AX176" s="479">
        <f t="shared" si="38"/>
        <v>45.934329144886377</v>
      </c>
      <c r="AY176" s="479">
        <f t="shared" si="38"/>
        <v>0</v>
      </c>
      <c r="AZ176" s="430"/>
      <c r="BA176" s="479">
        <f t="shared" si="39"/>
        <v>107.25904732197428</v>
      </c>
      <c r="BB176" s="479">
        <f t="shared" si="39"/>
        <v>0</v>
      </c>
      <c r="BC176" s="516"/>
      <c r="BE176" s="480">
        <f t="shared" si="40"/>
        <v>0.29984539935264798</v>
      </c>
      <c r="BF176" s="480" t="str">
        <f t="shared" si="41"/>
        <v/>
      </c>
    </row>
    <row r="177" spans="1:58" ht="15.6" x14ac:dyDescent="0.3">
      <c r="A177" s="152">
        <v>2056</v>
      </c>
      <c r="B177" s="178"/>
      <c r="C177" s="182"/>
      <c r="D177" s="183"/>
      <c r="E177" s="179">
        <f t="shared" si="47"/>
        <v>6.7430709251891683</v>
      </c>
      <c r="F177" s="183">
        <f t="shared" si="48"/>
        <v>0.48425821482187548</v>
      </c>
      <c r="G177" s="247">
        <f t="shared" si="35"/>
        <v>0.24084856413252606</v>
      </c>
      <c r="H177" s="246"/>
      <c r="I177" s="417"/>
      <c r="J177" s="178"/>
      <c r="K177" s="182"/>
      <c r="L177" s="183"/>
      <c r="M177" s="179">
        <f t="shared" si="36"/>
        <v>10.184347606937173</v>
      </c>
      <c r="N177" s="183">
        <f t="shared" si="49"/>
        <v>0.80821440518287524</v>
      </c>
      <c r="O177" s="247">
        <f t="shared" si="37"/>
        <v>0.36376385848092402</v>
      </c>
      <c r="P177" s="246"/>
      <c r="Q177" s="417"/>
      <c r="R177" s="182"/>
      <c r="S177" s="178"/>
      <c r="T177" s="182"/>
      <c r="U177" s="178"/>
      <c r="V177" s="506"/>
      <c r="W177" s="259">
        <f>IF(W$135="Y",E177*$F$21*'Emissions Factors'!$B53,"")</f>
        <v>65.805002548424142</v>
      </c>
      <c r="X177" s="259" t="str">
        <f>IF(X$135="Y",E177*'Emissions Factors'!$R$36*$F$22/10^6,"")</f>
        <v/>
      </c>
      <c r="Y177" s="180"/>
      <c r="Z177" s="180"/>
      <c r="AA177" s="509"/>
      <c r="AB177" s="180">
        <f t="shared" si="42"/>
        <v>65.805002548424142</v>
      </c>
      <c r="AC177" s="180">
        <f t="shared" si="43"/>
        <v>0</v>
      </c>
      <c r="AE177" s="182"/>
      <c r="AF177" s="178"/>
      <c r="AG177" s="182"/>
      <c r="AH177" s="178"/>
      <c r="AJ177" s="259">
        <f>IF(AJ$135="Y",M177*$F$21*'Emissions Factors'!$B53,"")</f>
        <v>99.388101899541695</v>
      </c>
      <c r="AK177" s="259" t="str">
        <f>IF(AK$135="Y",M177*'Emissions Factors'!$R$36*$F$22/10^6,"")</f>
        <v/>
      </c>
      <c r="AL177" s="180"/>
      <c r="AM177" s="180"/>
      <c r="AO177" s="180">
        <f t="shared" si="44"/>
        <v>99.388101899541695</v>
      </c>
      <c r="AP177" s="180">
        <f t="shared" si="45"/>
        <v>0</v>
      </c>
      <c r="AT177" s="478">
        <v>2056</v>
      </c>
      <c r="AU177" s="479">
        <f t="shared" si="46"/>
        <v>165.19310444796582</v>
      </c>
      <c r="AV177" s="479">
        <f t="shared" si="46"/>
        <v>0</v>
      </c>
      <c r="AW177" s="430"/>
      <c r="AX177" s="479">
        <f t="shared" si="38"/>
        <v>49.694050949770848</v>
      </c>
      <c r="AY177" s="479">
        <f t="shared" si="38"/>
        <v>0</v>
      </c>
      <c r="AZ177" s="430"/>
      <c r="BA177" s="479">
        <f t="shared" si="39"/>
        <v>115.49905349819497</v>
      </c>
      <c r="BB177" s="479">
        <f t="shared" si="39"/>
        <v>0</v>
      </c>
      <c r="BC177" s="516"/>
      <c r="BE177" s="480">
        <f t="shared" si="40"/>
        <v>0.30082400301051293</v>
      </c>
      <c r="BF177" s="480" t="str">
        <f t="shared" si="41"/>
        <v/>
      </c>
    </row>
    <row r="178" spans="1:58" ht="15.6" x14ac:dyDescent="0.3">
      <c r="A178" s="152">
        <v>2057</v>
      </c>
      <c r="B178" s="178"/>
      <c r="C178" s="182"/>
      <c r="D178" s="183"/>
      <c r="E178" s="179">
        <f t="shared" si="47"/>
        <v>7.2555645066087626</v>
      </c>
      <c r="F178" s="183">
        <f t="shared" si="48"/>
        <v>0.51249358141959434</v>
      </c>
      <c r="G178" s="247">
        <f t="shared" si="35"/>
        <v>0.24218610247046807</v>
      </c>
      <c r="H178" s="246"/>
      <c r="I178" s="417"/>
      <c r="J178" s="178"/>
      <c r="K178" s="182"/>
      <c r="L178" s="183"/>
      <c r="M178" s="179">
        <f t="shared" si="36"/>
        <v>11.048234763233115</v>
      </c>
      <c r="N178" s="183">
        <f t="shared" si="49"/>
        <v>0.86388715629594159</v>
      </c>
      <c r="O178" s="247">
        <f t="shared" si="37"/>
        <v>0.3687830097918588</v>
      </c>
      <c r="P178" s="246"/>
      <c r="Q178" s="417"/>
      <c r="R178" s="182"/>
      <c r="S178" s="178"/>
      <c r="T178" s="182"/>
      <c r="U178" s="178"/>
      <c r="V178" s="506"/>
      <c r="W178" s="259">
        <f>IF(W$135="Y",E178*$F$21*'Emissions Factors'!$B54,"")</f>
        <v>70.509190008434288</v>
      </c>
      <c r="X178" s="259" t="str">
        <f>IF(X$135="Y",E178*'Emissions Factors'!$R$36*$F$22/10^6,"")</f>
        <v/>
      </c>
      <c r="Y178" s="180"/>
      <c r="Z178" s="180"/>
      <c r="AA178" s="509"/>
      <c r="AB178" s="180">
        <f t="shared" si="42"/>
        <v>70.509190008434288</v>
      </c>
      <c r="AC178" s="180">
        <f t="shared" si="43"/>
        <v>0</v>
      </c>
      <c r="AE178" s="182"/>
      <c r="AF178" s="178"/>
      <c r="AG178" s="182"/>
      <c r="AH178" s="178"/>
      <c r="AJ178" s="259">
        <f>IF(AJ$135="Y",M178*$F$21*'Emissions Factors'!$B54,"")</f>
        <v>107.36615785981024</v>
      </c>
      <c r="AK178" s="259" t="str">
        <f>IF(AK$135="Y",M178*'Emissions Factors'!$R$36*$F$22/10^6,"")</f>
        <v/>
      </c>
      <c r="AL178" s="180"/>
      <c r="AM178" s="180"/>
      <c r="AO178" s="180">
        <f t="shared" si="44"/>
        <v>107.36615785981024</v>
      </c>
      <c r="AP178" s="180">
        <f t="shared" si="45"/>
        <v>0</v>
      </c>
      <c r="AT178" s="478">
        <v>2057</v>
      </c>
      <c r="AU178" s="479">
        <f t="shared" si="46"/>
        <v>177.87534786824455</v>
      </c>
      <c r="AV178" s="479">
        <f t="shared" si="46"/>
        <v>0</v>
      </c>
      <c r="AW178" s="430"/>
      <c r="AX178" s="479">
        <f t="shared" si="38"/>
        <v>53.683078929905122</v>
      </c>
      <c r="AY178" s="479">
        <f t="shared" si="38"/>
        <v>0</v>
      </c>
      <c r="AZ178" s="430"/>
      <c r="BA178" s="479">
        <f t="shared" si="39"/>
        <v>124.19226893833942</v>
      </c>
      <c r="BB178" s="479">
        <f t="shared" si="39"/>
        <v>0</v>
      </c>
      <c r="BC178" s="516"/>
      <c r="BE178" s="480">
        <f t="shared" si="40"/>
        <v>0.3018016806335026</v>
      </c>
      <c r="BF178" s="480" t="str">
        <f t="shared" si="41"/>
        <v/>
      </c>
    </row>
    <row r="179" spans="1:58" ht="15.6" x14ac:dyDescent="0.3">
      <c r="A179" s="152">
        <v>2058</v>
      </c>
      <c r="B179" s="178"/>
      <c r="C179" s="182"/>
      <c r="D179" s="183"/>
      <c r="E179" s="179">
        <f t="shared" si="47"/>
        <v>7.7967601032781388</v>
      </c>
      <c r="F179" s="183">
        <f t="shared" si="48"/>
        <v>0.54119559666937622</v>
      </c>
      <c r="G179" s="247">
        <f t="shared" si="35"/>
        <v>0.24346440516058304</v>
      </c>
      <c r="H179" s="246"/>
      <c r="I179" s="417"/>
      <c r="J179" s="178"/>
      <c r="K179" s="182"/>
      <c r="L179" s="183"/>
      <c r="M179" s="179">
        <f t="shared" si="36"/>
        <v>11.969619546962322</v>
      </c>
      <c r="N179" s="183">
        <f t="shared" si="49"/>
        <v>0.92138478372920751</v>
      </c>
      <c r="O179" s="247">
        <f t="shared" si="37"/>
        <v>0.37376759889975419</v>
      </c>
      <c r="P179" s="246"/>
      <c r="Q179" s="417"/>
      <c r="R179" s="182"/>
      <c r="S179" s="178"/>
      <c r="T179" s="182"/>
      <c r="U179" s="178"/>
      <c r="V179" s="506"/>
      <c r="W179" s="259">
        <f>IF(W$135="Y",E179*$F$21*'Emissions Factors'!$B55,"")</f>
        <v>75.441792884322851</v>
      </c>
      <c r="X179" s="259" t="str">
        <f>IF(X$135="Y",E179*'Emissions Factors'!$R$36*$F$22/10^6,"")</f>
        <v/>
      </c>
      <c r="Y179" s="180"/>
      <c r="Z179" s="180"/>
      <c r="AA179" s="509"/>
      <c r="AB179" s="180">
        <f t="shared" si="42"/>
        <v>75.441792884322851</v>
      </c>
      <c r="AC179" s="180">
        <f t="shared" si="43"/>
        <v>0</v>
      </c>
      <c r="AE179" s="182"/>
      <c r="AF179" s="178"/>
      <c r="AG179" s="182"/>
      <c r="AH179" s="178"/>
      <c r="AJ179" s="259">
        <f>IF(AJ$135="Y",M179*$F$21*'Emissions Factors'!$B55,"")</f>
        <v>115.81856396818014</v>
      </c>
      <c r="AK179" s="259" t="str">
        <f>IF(AK$135="Y",M179*'Emissions Factors'!$R$36*$F$22/10^6,"")</f>
        <v/>
      </c>
      <c r="AL179" s="180"/>
      <c r="AM179" s="180"/>
      <c r="AO179" s="180">
        <f t="shared" si="44"/>
        <v>115.81856396818014</v>
      </c>
      <c r="AP179" s="180">
        <f t="shared" si="45"/>
        <v>0</v>
      </c>
      <c r="AT179" s="478">
        <v>2058</v>
      </c>
      <c r="AU179" s="479">
        <f t="shared" si="46"/>
        <v>191.26035685250298</v>
      </c>
      <c r="AV179" s="479">
        <f t="shared" si="46"/>
        <v>0</v>
      </c>
      <c r="AW179" s="430"/>
      <c r="AX179" s="479">
        <f t="shared" si="38"/>
        <v>57.909281984090072</v>
      </c>
      <c r="AY179" s="479">
        <f t="shared" si="38"/>
        <v>0</v>
      </c>
      <c r="AZ179" s="430"/>
      <c r="BA179" s="479">
        <f t="shared" si="39"/>
        <v>133.35107486841292</v>
      </c>
      <c r="BB179" s="479">
        <f t="shared" si="39"/>
        <v>0</v>
      </c>
      <c r="BC179" s="516"/>
      <c r="BE179" s="480">
        <f t="shared" si="40"/>
        <v>0.30277723484929397</v>
      </c>
      <c r="BF179" s="480" t="str">
        <f t="shared" si="41"/>
        <v/>
      </c>
    </row>
    <row r="180" spans="1:58" ht="15.6" x14ac:dyDescent="0.3">
      <c r="A180" s="152">
        <v>2059</v>
      </c>
      <c r="B180" s="178"/>
      <c r="C180" s="182"/>
      <c r="D180" s="183"/>
      <c r="E180" s="179">
        <f t="shared" si="47"/>
        <v>8.366940549970094</v>
      </c>
      <c r="F180" s="183">
        <f t="shared" si="48"/>
        <v>0.57018044669195511</v>
      </c>
      <c r="G180" s="247">
        <f t="shared" si="35"/>
        <v>0.24468308129457322</v>
      </c>
      <c r="H180" s="246"/>
      <c r="I180" s="417"/>
      <c r="J180" s="178"/>
      <c r="K180" s="182"/>
      <c r="L180" s="183"/>
      <c r="M180" s="179">
        <f t="shared" si="36"/>
        <v>12.95002265676661</v>
      </c>
      <c r="N180" s="183">
        <f t="shared" si="49"/>
        <v>0.98040310980428735</v>
      </c>
      <c r="O180" s="247">
        <f t="shared" si="37"/>
        <v>0.37871088333518937</v>
      </c>
      <c r="P180" s="246"/>
      <c r="Q180" s="417"/>
      <c r="R180" s="182"/>
      <c r="S180" s="178"/>
      <c r="T180" s="182"/>
      <c r="U180" s="178"/>
      <c r="V180" s="506"/>
      <c r="W180" s="259">
        <f>IF(W$135="Y",E180*$F$21*'Emissions Factors'!$B56,"")</f>
        <v>80.600158161771944</v>
      </c>
      <c r="X180" s="259" t="str">
        <f>IF(X$135="Y",E180*'Emissions Factors'!$R$36*$F$22/10^6,"")</f>
        <v/>
      </c>
      <c r="Y180" s="180"/>
      <c r="Z180" s="180"/>
      <c r="AA180" s="509"/>
      <c r="AB180" s="180">
        <f t="shared" si="42"/>
        <v>80.600158161771944</v>
      </c>
      <c r="AC180" s="180">
        <f t="shared" si="43"/>
        <v>0</v>
      </c>
      <c r="AE180" s="182"/>
      <c r="AF180" s="178"/>
      <c r="AG180" s="182"/>
      <c r="AH180" s="178"/>
      <c r="AJ180" s="259">
        <f>IF(AJ$135="Y",M180*$F$21*'Emissions Factors'!$B56,"")</f>
        <v>124.74976583138859</v>
      </c>
      <c r="AK180" s="259" t="str">
        <f>IF(AK$135="Y",M180*'Emissions Factors'!$R$36*$F$22/10^6,"")</f>
        <v/>
      </c>
      <c r="AL180" s="180"/>
      <c r="AM180" s="180"/>
      <c r="AO180" s="180">
        <f t="shared" si="44"/>
        <v>124.74976583138859</v>
      </c>
      <c r="AP180" s="180">
        <f t="shared" si="45"/>
        <v>0</v>
      </c>
      <c r="AT180" s="478">
        <v>2059</v>
      </c>
      <c r="AU180" s="479">
        <f t="shared" si="46"/>
        <v>205.34992399316053</v>
      </c>
      <c r="AV180" s="479">
        <f t="shared" si="46"/>
        <v>0</v>
      </c>
      <c r="AW180" s="430"/>
      <c r="AX180" s="479">
        <f t="shared" si="38"/>
        <v>62.374882915694293</v>
      </c>
      <c r="AY180" s="479">
        <f t="shared" si="38"/>
        <v>0</v>
      </c>
      <c r="AZ180" s="430"/>
      <c r="BA180" s="479">
        <f t="shared" si="39"/>
        <v>142.97504107746624</v>
      </c>
      <c r="BB180" s="479">
        <f t="shared" si="39"/>
        <v>0</v>
      </c>
      <c r="BC180" s="516"/>
      <c r="BE180" s="480">
        <f t="shared" si="40"/>
        <v>0.30374923789975095</v>
      </c>
      <c r="BF180" s="480" t="str">
        <f t="shared" si="41"/>
        <v/>
      </c>
    </row>
    <row r="181" spans="1:58" ht="15.6" x14ac:dyDescent="0.3">
      <c r="A181" s="152">
        <v>2060</v>
      </c>
      <c r="B181" s="178"/>
      <c r="C181" s="182"/>
      <c r="D181" s="183"/>
      <c r="E181" s="179">
        <f t="shared" si="47"/>
        <v>8.9664995196689414</v>
      </c>
      <c r="F181" s="183">
        <f t="shared" si="48"/>
        <v>0.59955896969884748</v>
      </c>
      <c r="G181" s="247">
        <f t="shared" si="35"/>
        <v>0.24584429794787818</v>
      </c>
      <c r="H181" s="246"/>
      <c r="I181" s="417"/>
      <c r="J181" s="178"/>
      <c r="K181" s="182"/>
      <c r="L181" s="183"/>
      <c r="M181" s="179">
        <f t="shared" si="36"/>
        <v>13.991129670228965</v>
      </c>
      <c r="N181" s="183">
        <f t="shared" si="49"/>
        <v>1.041107013462355</v>
      </c>
      <c r="O181" s="247">
        <f t="shared" si="37"/>
        <v>0.38361006362962097</v>
      </c>
      <c r="P181" s="246"/>
      <c r="Q181" s="417"/>
      <c r="R181" s="182"/>
      <c r="S181" s="178"/>
      <c r="T181" s="182"/>
      <c r="U181" s="178"/>
      <c r="V181" s="506"/>
      <c r="W181" s="259">
        <f>IF(W$135="Y",E181*$F$21*'Emissions Factors'!$B57,"")</f>
        <v>86.011209456728082</v>
      </c>
      <c r="X181" s="259" t="str">
        <f>IF(X$135="Y",E181*'Emissions Factors'!$R$36*$F$22/10^6,"")</f>
        <v/>
      </c>
      <c r="Y181" s="180"/>
      <c r="Z181" s="180"/>
      <c r="AA181" s="509"/>
      <c r="AB181" s="180">
        <f t="shared" si="42"/>
        <v>86.011209456728082</v>
      </c>
      <c r="AC181" s="180">
        <f t="shared" si="43"/>
        <v>0</v>
      </c>
      <c r="AE181" s="182"/>
      <c r="AF181" s="178"/>
      <c r="AG181" s="182"/>
      <c r="AH181" s="178"/>
      <c r="AJ181" s="259">
        <f>IF(AJ$135="Y",M181*$F$21*'Emissions Factors'!$B57,"")</f>
        <v>134.2100093757366</v>
      </c>
      <c r="AK181" s="259" t="str">
        <f>IF(AK$135="Y",M181*'Emissions Factors'!$R$36*$F$22/10^6,"")</f>
        <v/>
      </c>
      <c r="AL181" s="180"/>
      <c r="AM181" s="180"/>
      <c r="AO181" s="180">
        <f t="shared" si="44"/>
        <v>134.2100093757366</v>
      </c>
      <c r="AP181" s="180">
        <f t="shared" si="45"/>
        <v>0</v>
      </c>
      <c r="AT181" s="478">
        <v>2060</v>
      </c>
      <c r="AU181" s="479">
        <f t="shared" si="46"/>
        <v>220.22121883246467</v>
      </c>
      <c r="AV181" s="479">
        <f t="shared" si="46"/>
        <v>0</v>
      </c>
      <c r="AW181" s="430"/>
      <c r="AX181" s="479">
        <f t="shared" si="38"/>
        <v>67.105004687868302</v>
      </c>
      <c r="AY181" s="479">
        <f t="shared" si="38"/>
        <v>0</v>
      </c>
      <c r="AZ181" s="430"/>
      <c r="BA181" s="479">
        <f t="shared" si="39"/>
        <v>153.11621414459637</v>
      </c>
      <c r="BB181" s="479">
        <f t="shared" si="39"/>
        <v>0</v>
      </c>
      <c r="BC181" s="516"/>
      <c r="BE181" s="480">
        <f t="shared" si="40"/>
        <v>0.30471634406364384</v>
      </c>
      <c r="BF181" s="480" t="str">
        <f t="shared" si="41"/>
        <v/>
      </c>
    </row>
    <row r="182" spans="1:58" x14ac:dyDescent="0.25">
      <c r="BA182" s="516"/>
    </row>
    <row r="183" spans="1:58" x14ac:dyDescent="0.25">
      <c r="BA183" s="516"/>
    </row>
    <row r="184" spans="1:58" x14ac:dyDescent="0.25">
      <c r="BA184" s="516"/>
    </row>
    <row r="185" spans="1:58" x14ac:dyDescent="0.25">
      <c r="BA185" s="516"/>
    </row>
    <row r="186" spans="1:58" x14ac:dyDescent="0.25">
      <c r="BA186" s="516"/>
    </row>
    <row r="187" spans="1:58" x14ac:dyDescent="0.25">
      <c r="BA187" s="516"/>
    </row>
    <row r="188" spans="1:58" x14ac:dyDescent="0.25">
      <c r="BA188" s="516"/>
    </row>
    <row r="189" spans="1:58" ht="13.5" customHeight="1" thickBot="1" x14ac:dyDescent="0.3">
      <c r="BC189" s="516"/>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516"/>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ComLight_cluster</v>
      </c>
      <c r="Z191" s="607"/>
      <c r="AA191" s="608"/>
      <c r="AB191" s="445"/>
      <c r="AC191" s="606" t="str">
        <f ca="1">CONCATENATE("Table 14(b): EMISSIONS ALLOCATION TO Education in MDC, ",A1)</f>
        <v>Table 14(b): EMISSIONS ALLOCATION TO Education in MDC, ComLight_cluster</v>
      </c>
      <c r="AD191" s="608"/>
      <c r="AE191" s="446"/>
      <c r="AF191" s="606" t="str">
        <f ca="1">CONCATENATE("Table 14(c): EMISSIONS ALLOCATION TO Family Planning in MDC, ",$A$1)</f>
        <v>Table 14(c): EMISSIONS ALLOCATION TO Family Planning in MDC, ComLight_cluster</v>
      </c>
      <c r="AG191" s="608"/>
      <c r="AH191" s="516"/>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516"/>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516"/>
      <c r="AJ193" s="481" t="s">
        <v>227</v>
      </c>
      <c r="AK193" s="481" t="s">
        <v>228</v>
      </c>
    </row>
    <row r="194" spans="1:37" ht="15.6" x14ac:dyDescent="0.3">
      <c r="A194" s="152">
        <v>2014</v>
      </c>
      <c r="B194" s="178"/>
      <c r="C194" s="182"/>
      <c r="D194" s="183"/>
      <c r="E194" s="179">
        <f>IFERROR(IF($G$19="Y",$F$19,$AD80)*(SUMIF($H$5:$H$16,"Y",$F$5:$F$16)*(AL29-B29)),0)</f>
        <v>0</v>
      </c>
      <c r="F194" s="183" t="str">
        <f>IFERROR(E194-E193,"")</f>
        <v/>
      </c>
      <c r="G194" s="247">
        <f>E194/(AL29-B29)</f>
        <v>0</v>
      </c>
      <c r="H194" s="245" t="s">
        <v>264</v>
      </c>
      <c r="I194" s="416"/>
      <c r="J194" s="416"/>
      <c r="K194" s="167" t="s">
        <v>213</v>
      </c>
      <c r="L194" s="167" t="s">
        <v>213</v>
      </c>
      <c r="M194" s="167" t="s">
        <v>211</v>
      </c>
      <c r="N194" s="167" t="s">
        <v>211</v>
      </c>
      <c r="O194" s="495"/>
      <c r="P194" s="167" t="s">
        <v>213</v>
      </c>
      <c r="Q194" s="167" t="s">
        <v>213</v>
      </c>
      <c r="R194" s="167" t="s">
        <v>211</v>
      </c>
      <c r="S194" s="167" t="s">
        <v>211</v>
      </c>
      <c r="T194" s="496"/>
      <c r="U194" s="496"/>
      <c r="V194" s="496"/>
      <c r="Y194" s="478">
        <v>2014</v>
      </c>
      <c r="Z194" s="479">
        <f>U194</f>
        <v>0</v>
      </c>
      <c r="AA194" s="479">
        <f>V194</f>
        <v>0</v>
      </c>
      <c r="AB194" s="430"/>
      <c r="AC194" s="512"/>
      <c r="AD194" s="479"/>
      <c r="AE194" s="430"/>
      <c r="AF194" s="479">
        <f>Z194-AC194</f>
        <v>0</v>
      </c>
      <c r="AG194" s="479">
        <f t="shared" ref="AG194:AG240" si="50">AA194-AD194</f>
        <v>0</v>
      </c>
      <c r="AH194" s="516"/>
      <c r="AJ194" s="480" t="str">
        <f t="shared" ref="AJ194:AJ240" si="51">IFERROR(AC194/Z194,"")</f>
        <v/>
      </c>
      <c r="AK194" s="480" t="str">
        <f t="shared" ref="AK194:AK240" si="52">IFERROR(AG194/(AD194+AG194),"")</f>
        <v/>
      </c>
    </row>
    <row r="195" spans="1:37" ht="15.6" x14ac:dyDescent="0.3">
      <c r="A195" s="152">
        <v>2015</v>
      </c>
      <c r="B195" s="178"/>
      <c r="C195" s="182"/>
      <c r="D195" s="183"/>
      <c r="E195" s="179">
        <f t="shared" ref="E195:E240" si="53">IFERROR(IF($G$19="Y",$F$19,$AD81)*(SUMIF($H$5:$H$16,"Y",$F$5:$F$16)*(AL30-B30)),0)</f>
        <v>0</v>
      </c>
      <c r="F195" s="183">
        <f>IFERROR(E195-E194,"")</f>
        <v>0</v>
      </c>
      <c r="G195" s="247">
        <f t="shared" ref="G195:G240" si="54">E195/(AL30-B30)</f>
        <v>0</v>
      </c>
      <c r="H195" s="246"/>
      <c r="I195" s="417"/>
      <c r="J195" s="417"/>
      <c r="K195" s="439"/>
      <c r="L195" s="440"/>
      <c r="M195" s="439"/>
      <c r="N195" s="440"/>
      <c r="O195" s="495"/>
      <c r="P195" s="259">
        <f>IF(P$194="Y",E195*$F$21*'Emissions Factors'!$B12,"")</f>
        <v>0</v>
      </c>
      <c r="Q195" s="441"/>
      <c r="R195" s="441"/>
      <c r="S195" s="441"/>
      <c r="T195" s="496"/>
      <c r="U195" s="441">
        <f>SUM(P195:S195)</f>
        <v>0</v>
      </c>
      <c r="V195" s="441">
        <f t="shared" ref="V195:V240" si="55">SUM(K195:N195)</f>
        <v>0</v>
      </c>
      <c r="Y195" s="478">
        <v>2015</v>
      </c>
      <c r="Z195" s="479">
        <f t="shared" ref="Z195:AA240" si="56">U195</f>
        <v>0</v>
      </c>
      <c r="AA195" s="479">
        <f t="shared" si="56"/>
        <v>0</v>
      </c>
      <c r="AB195" s="430"/>
      <c r="AC195" s="479"/>
      <c r="AD195" s="479"/>
      <c r="AE195" s="430"/>
      <c r="AF195" s="479">
        <f t="shared" ref="AF195:AF240" si="57">Z195-AC195</f>
        <v>0</v>
      </c>
      <c r="AG195" s="479">
        <f t="shared" si="50"/>
        <v>0</v>
      </c>
      <c r="AH195" s="516"/>
      <c r="AJ195" s="480" t="str">
        <f t="shared" si="51"/>
        <v/>
      </c>
      <c r="AK195" s="480" t="str">
        <f t="shared" si="52"/>
        <v/>
      </c>
    </row>
    <row r="196" spans="1:37" ht="15.6" x14ac:dyDescent="0.3">
      <c r="A196" s="152">
        <v>2016</v>
      </c>
      <c r="B196" s="178"/>
      <c r="C196" s="182"/>
      <c r="D196" s="183"/>
      <c r="E196" s="179">
        <f t="shared" si="53"/>
        <v>0</v>
      </c>
      <c r="F196" s="183">
        <f t="shared" ref="F196" si="58">IFERROR(E196-E195,"")</f>
        <v>0</v>
      </c>
      <c r="G196" s="247">
        <f t="shared" si="54"/>
        <v>0</v>
      </c>
      <c r="H196" s="246"/>
      <c r="I196" s="417"/>
      <c r="J196" s="417"/>
      <c r="K196" s="439"/>
      <c r="L196" s="440"/>
      <c r="M196" s="439"/>
      <c r="N196" s="440"/>
      <c r="O196" s="495"/>
      <c r="P196" s="259">
        <f>IF(P$194="Y",E196*$F$21*'Emissions Factors'!$B13,"")</f>
        <v>0</v>
      </c>
      <c r="Q196" s="441"/>
      <c r="R196" s="441"/>
      <c r="S196" s="441"/>
      <c r="T196" s="496"/>
      <c r="U196" s="441">
        <f t="shared" ref="U196:U240" si="59">SUM(P196:S196)</f>
        <v>0</v>
      </c>
      <c r="V196" s="441">
        <f t="shared" si="55"/>
        <v>0</v>
      </c>
      <c r="Y196" s="478">
        <v>2016</v>
      </c>
      <c r="Z196" s="479">
        <f t="shared" si="56"/>
        <v>0</v>
      </c>
      <c r="AA196" s="479">
        <f t="shared" si="56"/>
        <v>0</v>
      </c>
      <c r="AB196" s="430"/>
      <c r="AC196" s="479"/>
      <c r="AD196" s="479"/>
      <c r="AE196" s="430"/>
      <c r="AF196" s="479">
        <f t="shared" si="57"/>
        <v>0</v>
      </c>
      <c r="AG196" s="479">
        <f t="shared" si="50"/>
        <v>0</v>
      </c>
      <c r="AH196" s="516"/>
      <c r="AJ196" s="480" t="str">
        <f t="shared" si="51"/>
        <v/>
      </c>
      <c r="AK196" s="480" t="str">
        <f t="shared" si="52"/>
        <v/>
      </c>
    </row>
    <row r="197" spans="1:37" ht="15.6" x14ac:dyDescent="0.3">
      <c r="A197" s="152">
        <v>2017</v>
      </c>
      <c r="B197" s="178"/>
      <c r="C197" s="182"/>
      <c r="D197" s="183"/>
      <c r="E197" s="179">
        <f t="shared" si="53"/>
        <v>0</v>
      </c>
      <c r="F197" s="183">
        <f>IFERROR(E197-E196,"")</f>
        <v>0</v>
      </c>
      <c r="G197" s="247">
        <f t="shared" si="54"/>
        <v>0</v>
      </c>
      <c r="H197" s="246"/>
      <c r="I197" s="417"/>
      <c r="J197" s="417"/>
      <c r="K197" s="439"/>
      <c r="L197" s="440"/>
      <c r="M197" s="439"/>
      <c r="N197" s="440"/>
      <c r="O197" s="495"/>
      <c r="P197" s="259">
        <f>IF(P$194="Y",E197*$F$21*'Emissions Factors'!$B14,"")</f>
        <v>0</v>
      </c>
      <c r="Q197" s="441"/>
      <c r="R197" s="441"/>
      <c r="S197" s="441"/>
      <c r="T197" s="496"/>
      <c r="U197" s="441">
        <f t="shared" si="59"/>
        <v>0</v>
      </c>
      <c r="V197" s="441">
        <f t="shared" si="55"/>
        <v>0</v>
      </c>
      <c r="Y197" s="478">
        <v>2017</v>
      </c>
      <c r="Z197" s="479">
        <f t="shared" si="56"/>
        <v>0</v>
      </c>
      <c r="AA197" s="479">
        <f t="shared" si="56"/>
        <v>0</v>
      </c>
      <c r="AB197" s="430"/>
      <c r="AC197" s="479"/>
      <c r="AD197" s="479"/>
      <c r="AE197" s="430"/>
      <c r="AF197" s="479">
        <f t="shared" si="57"/>
        <v>0</v>
      </c>
      <c r="AG197" s="479">
        <f t="shared" si="50"/>
        <v>0</v>
      </c>
      <c r="AH197" s="516"/>
      <c r="AJ197" s="480" t="str">
        <f t="shared" si="51"/>
        <v/>
      </c>
      <c r="AK197" s="480" t="str">
        <f t="shared" si="52"/>
        <v/>
      </c>
    </row>
    <row r="198" spans="1:37" ht="15.6" x14ac:dyDescent="0.3">
      <c r="A198" s="152">
        <v>2018</v>
      </c>
      <c r="B198" s="178"/>
      <c r="C198" s="182"/>
      <c r="D198" s="183"/>
      <c r="E198" s="179">
        <f t="shared" si="53"/>
        <v>0</v>
      </c>
      <c r="F198" s="183">
        <f t="shared" ref="F198:F240" si="60">IFERROR(E198-E197,"")</f>
        <v>0</v>
      </c>
      <c r="G198" s="247">
        <f t="shared" si="54"/>
        <v>0</v>
      </c>
      <c r="H198" s="246"/>
      <c r="I198" s="417"/>
      <c r="J198" s="417"/>
      <c r="K198" s="439"/>
      <c r="L198" s="440"/>
      <c r="M198" s="439"/>
      <c r="N198" s="440"/>
      <c r="O198" s="495"/>
      <c r="P198" s="259">
        <f>IF(P$194="Y",E198*$F$21*'Emissions Factors'!$B15,"")</f>
        <v>0</v>
      </c>
      <c r="Q198" s="441"/>
      <c r="R198" s="441"/>
      <c r="S198" s="441"/>
      <c r="T198" s="496"/>
      <c r="U198" s="441">
        <f t="shared" si="59"/>
        <v>0</v>
      </c>
      <c r="V198" s="441">
        <f t="shared" si="55"/>
        <v>0</v>
      </c>
      <c r="Y198" s="478">
        <v>2018</v>
      </c>
      <c r="Z198" s="479">
        <f t="shared" si="56"/>
        <v>0</v>
      </c>
      <c r="AA198" s="479">
        <f t="shared" si="56"/>
        <v>0</v>
      </c>
      <c r="AB198" s="430"/>
      <c r="AC198" s="479"/>
      <c r="AD198" s="479"/>
      <c r="AE198" s="430"/>
      <c r="AF198" s="479">
        <f t="shared" si="57"/>
        <v>0</v>
      </c>
      <c r="AG198" s="479">
        <f t="shared" si="50"/>
        <v>0</v>
      </c>
      <c r="AH198" s="516"/>
      <c r="AJ198" s="480" t="str">
        <f t="shared" si="51"/>
        <v/>
      </c>
      <c r="AK198" s="480" t="str">
        <f t="shared" si="52"/>
        <v/>
      </c>
    </row>
    <row r="199" spans="1:37" ht="15.6" x14ac:dyDescent="0.3">
      <c r="A199" s="152">
        <v>2019</v>
      </c>
      <c r="B199" s="178"/>
      <c r="C199" s="182"/>
      <c r="D199" s="183"/>
      <c r="E199" s="179">
        <f t="shared" si="53"/>
        <v>0</v>
      </c>
      <c r="F199" s="183">
        <f t="shared" si="60"/>
        <v>0</v>
      </c>
      <c r="G199" s="247">
        <f t="shared" si="54"/>
        <v>0</v>
      </c>
      <c r="H199" s="246"/>
      <c r="I199" s="417"/>
      <c r="J199" s="417"/>
      <c r="K199" s="439"/>
      <c r="L199" s="440"/>
      <c r="M199" s="439"/>
      <c r="N199" s="440"/>
      <c r="O199" s="495"/>
      <c r="P199" s="259">
        <f>IF(P$194="Y",E199*$F$21*'Emissions Factors'!$B16,"")</f>
        <v>0</v>
      </c>
      <c r="Q199" s="441"/>
      <c r="R199" s="441"/>
      <c r="S199" s="441"/>
      <c r="T199" s="496"/>
      <c r="U199" s="441">
        <f t="shared" si="59"/>
        <v>0</v>
      </c>
      <c r="V199" s="441">
        <f t="shared" si="55"/>
        <v>0</v>
      </c>
      <c r="Y199" s="478">
        <v>2019</v>
      </c>
      <c r="Z199" s="479">
        <f t="shared" si="56"/>
        <v>0</v>
      </c>
      <c r="AA199" s="479">
        <f t="shared" si="56"/>
        <v>0</v>
      </c>
      <c r="AB199" s="430"/>
      <c r="AC199" s="479"/>
      <c r="AD199" s="479"/>
      <c r="AE199" s="430"/>
      <c r="AF199" s="479">
        <f t="shared" si="57"/>
        <v>0</v>
      </c>
      <c r="AG199" s="479">
        <f t="shared" si="50"/>
        <v>0</v>
      </c>
      <c r="AH199" s="516"/>
      <c r="AJ199" s="480" t="str">
        <f t="shared" si="51"/>
        <v/>
      </c>
      <c r="AK199" s="480" t="str">
        <f t="shared" si="52"/>
        <v/>
      </c>
    </row>
    <row r="200" spans="1:37" ht="15.6" x14ac:dyDescent="0.3">
      <c r="A200" s="152">
        <v>2020</v>
      </c>
      <c r="B200" s="178"/>
      <c r="C200" s="182"/>
      <c r="D200" s="183"/>
      <c r="E200" s="179">
        <f t="shared" si="53"/>
        <v>0</v>
      </c>
      <c r="F200" s="183">
        <f t="shared" si="60"/>
        <v>0</v>
      </c>
      <c r="G200" s="247">
        <f t="shared" si="54"/>
        <v>0</v>
      </c>
      <c r="H200" s="246"/>
      <c r="I200" s="417"/>
      <c r="J200" s="417"/>
      <c r="K200" s="439"/>
      <c r="L200" s="440"/>
      <c r="M200" s="439"/>
      <c r="N200" s="440"/>
      <c r="O200" s="495"/>
      <c r="P200" s="259">
        <f>IF(P$194="Y",E200*$F$21*'Emissions Factors'!$B17,"")</f>
        <v>0</v>
      </c>
      <c r="Q200" s="441"/>
      <c r="R200" s="441"/>
      <c r="S200" s="441"/>
      <c r="T200" s="496"/>
      <c r="U200" s="441">
        <f t="shared" si="59"/>
        <v>0</v>
      </c>
      <c r="V200" s="441">
        <f t="shared" si="55"/>
        <v>0</v>
      </c>
      <c r="X200" s="430"/>
      <c r="Y200" s="478">
        <v>2020</v>
      </c>
      <c r="Z200" s="479">
        <f t="shared" si="56"/>
        <v>0</v>
      </c>
      <c r="AA200" s="479">
        <f t="shared" si="56"/>
        <v>0</v>
      </c>
      <c r="AB200" s="430"/>
      <c r="AC200" s="479"/>
      <c r="AD200" s="479"/>
      <c r="AE200" s="430"/>
      <c r="AF200" s="479">
        <f t="shared" si="57"/>
        <v>0</v>
      </c>
      <c r="AG200" s="479">
        <f t="shared" si="50"/>
        <v>0</v>
      </c>
      <c r="AH200" s="516"/>
      <c r="AJ200" s="480" t="str">
        <f t="shared" si="51"/>
        <v/>
      </c>
      <c r="AK200" s="480" t="str">
        <f t="shared" si="52"/>
        <v/>
      </c>
    </row>
    <row r="201" spans="1:37" ht="15.6" x14ac:dyDescent="0.3">
      <c r="A201" s="152">
        <v>2021</v>
      </c>
      <c r="B201" s="178"/>
      <c r="C201" s="182"/>
      <c r="D201" s="183"/>
      <c r="E201" s="179">
        <f t="shared" si="53"/>
        <v>6.0340582631296089E-2</v>
      </c>
      <c r="F201" s="183">
        <f t="shared" si="60"/>
        <v>6.0340582631296089E-2</v>
      </c>
      <c r="G201" s="247">
        <f t="shared" si="54"/>
        <v>0.66613563757712824</v>
      </c>
      <c r="H201" s="246"/>
      <c r="I201" s="417"/>
      <c r="J201" s="417"/>
      <c r="K201" s="439"/>
      <c r="L201" s="440"/>
      <c r="M201" s="439"/>
      <c r="N201" s="440"/>
      <c r="O201" s="495"/>
      <c r="P201" s="259">
        <f>IF(P$194="Y",E201*$F$21*'Emissions Factors'!$B18,"")</f>
        <v>0.70623469947860262</v>
      </c>
      <c r="Q201" s="441"/>
      <c r="R201" s="441"/>
      <c r="S201" s="441"/>
      <c r="T201" s="496"/>
      <c r="U201" s="441">
        <f t="shared" si="59"/>
        <v>0.70623469947860262</v>
      </c>
      <c r="V201" s="441">
        <f t="shared" si="55"/>
        <v>0</v>
      </c>
      <c r="X201" s="430"/>
      <c r="Y201" s="478">
        <v>2021</v>
      </c>
      <c r="Z201" s="479">
        <f t="shared" si="56"/>
        <v>0.70623469947860262</v>
      </c>
      <c r="AA201" s="479">
        <f t="shared" si="56"/>
        <v>0</v>
      </c>
      <c r="AB201" s="430"/>
      <c r="AC201" s="479"/>
      <c r="AD201" s="479"/>
      <c r="AE201" s="430"/>
      <c r="AF201" s="479">
        <f t="shared" si="57"/>
        <v>0.70623469947860262</v>
      </c>
      <c r="AG201" s="479">
        <f t="shared" si="50"/>
        <v>0</v>
      </c>
      <c r="AH201" s="516"/>
      <c r="AJ201" s="480">
        <f t="shared" si="51"/>
        <v>0</v>
      </c>
      <c r="AK201" s="480" t="str">
        <f t="shared" si="52"/>
        <v/>
      </c>
    </row>
    <row r="202" spans="1:37" ht="15.6" x14ac:dyDescent="0.3">
      <c r="A202" s="152">
        <v>2022</v>
      </c>
      <c r="B202" s="178"/>
      <c r="C202" s="182"/>
      <c r="D202" s="183"/>
      <c r="E202" s="179">
        <f t="shared" si="53"/>
        <v>0.1361407764111919</v>
      </c>
      <c r="F202" s="183">
        <f t="shared" si="60"/>
        <v>7.5800193779895816E-2</v>
      </c>
      <c r="G202" s="247">
        <f t="shared" si="54"/>
        <v>0.64330748184266451</v>
      </c>
      <c r="H202" s="246"/>
      <c r="I202" s="417"/>
      <c r="J202" s="417"/>
      <c r="K202" s="182"/>
      <c r="L202" s="178"/>
      <c r="M202" s="182"/>
      <c r="N202" s="178"/>
      <c r="O202" s="495"/>
      <c r="P202" s="259">
        <f>IF(P$194="Y",E202*$F$21*'Emissions Factors'!$B19,"")</f>
        <v>1.5839371750611535</v>
      </c>
      <c r="Q202" s="441"/>
      <c r="R202" s="180"/>
      <c r="S202" s="180"/>
      <c r="T202" s="496"/>
      <c r="U202" s="180">
        <f t="shared" si="59"/>
        <v>1.5839371750611535</v>
      </c>
      <c r="V202" s="180">
        <f t="shared" si="55"/>
        <v>0</v>
      </c>
      <c r="X202" s="430"/>
      <c r="Y202" s="478">
        <v>2022</v>
      </c>
      <c r="Z202" s="479">
        <f t="shared" si="56"/>
        <v>1.5839371750611535</v>
      </c>
      <c r="AA202" s="479">
        <f t="shared" si="56"/>
        <v>0</v>
      </c>
      <c r="AB202" s="430"/>
      <c r="AC202" s="479"/>
      <c r="AD202" s="479"/>
      <c r="AE202" s="430"/>
      <c r="AF202" s="479">
        <f t="shared" si="57"/>
        <v>1.5839371750611535</v>
      </c>
      <c r="AG202" s="479">
        <f t="shared" si="50"/>
        <v>0</v>
      </c>
      <c r="AH202" s="516"/>
      <c r="AJ202" s="480">
        <f t="shared" si="51"/>
        <v>0</v>
      </c>
      <c r="AK202" s="480" t="str">
        <f t="shared" si="52"/>
        <v/>
      </c>
    </row>
    <row r="203" spans="1:37" ht="15.6" x14ac:dyDescent="0.3">
      <c r="A203" s="152">
        <v>2023</v>
      </c>
      <c r="B203" s="178"/>
      <c r="C203" s="182"/>
      <c r="D203" s="183"/>
      <c r="E203" s="179">
        <f t="shared" si="53"/>
        <v>0.22669447216821623</v>
      </c>
      <c r="F203" s="183">
        <f t="shared" si="60"/>
        <v>9.0553695757024322E-2</v>
      </c>
      <c r="G203" s="247">
        <f t="shared" si="54"/>
        <v>0.62558667560345504</v>
      </c>
      <c r="H203" s="246"/>
      <c r="I203" s="417"/>
      <c r="J203" s="417"/>
      <c r="K203" s="182"/>
      <c r="L203" s="178"/>
      <c r="M203" s="182"/>
      <c r="N203" s="178"/>
      <c r="O203" s="495"/>
      <c r="P203" s="259">
        <f>IF(P$194="Y",E203*$F$21*'Emissions Factors'!$B20,"")</f>
        <v>2.6220933819624461</v>
      </c>
      <c r="Q203" s="441"/>
      <c r="R203" s="180"/>
      <c r="S203" s="180"/>
      <c r="T203" s="496"/>
      <c r="U203" s="180">
        <f t="shared" si="59"/>
        <v>2.6220933819624461</v>
      </c>
      <c r="V203" s="180">
        <f t="shared" si="55"/>
        <v>0</v>
      </c>
      <c r="X203" s="430"/>
      <c r="Y203" s="478">
        <v>2023</v>
      </c>
      <c r="Z203" s="479">
        <f t="shared" si="56"/>
        <v>2.6220933819624461</v>
      </c>
      <c r="AA203" s="479">
        <f t="shared" si="56"/>
        <v>0</v>
      </c>
      <c r="AB203" s="430"/>
      <c r="AC203" s="479"/>
      <c r="AD203" s="479"/>
      <c r="AE203" s="430"/>
      <c r="AF203" s="479">
        <f t="shared" si="57"/>
        <v>2.6220933819624461</v>
      </c>
      <c r="AG203" s="479">
        <f t="shared" si="50"/>
        <v>0</v>
      </c>
      <c r="AH203" s="516"/>
      <c r="AJ203" s="480">
        <f t="shared" si="51"/>
        <v>0</v>
      </c>
      <c r="AK203" s="480" t="str">
        <f t="shared" si="52"/>
        <v/>
      </c>
    </row>
    <row r="204" spans="1:37" ht="15.6" x14ac:dyDescent="0.3">
      <c r="A204" s="152">
        <v>2024</v>
      </c>
      <c r="B204" s="178"/>
      <c r="C204" s="182"/>
      <c r="D204" s="183"/>
      <c r="E204" s="179">
        <f t="shared" si="53"/>
        <v>0.33192384035604672</v>
      </c>
      <c r="F204" s="183">
        <f t="shared" si="60"/>
        <v>0.10522936818783049</v>
      </c>
      <c r="G204" s="247">
        <f t="shared" si="54"/>
        <v>0.6107035752145058</v>
      </c>
      <c r="H204" s="246"/>
      <c r="I204" s="417"/>
      <c r="J204" s="417"/>
      <c r="K204" s="182"/>
      <c r="L204" s="178"/>
      <c r="M204" s="182"/>
      <c r="N204" s="178"/>
      <c r="O204" s="495"/>
      <c r="P204" s="259">
        <f>IF(P$194="Y",E204*$F$21*'Emissions Factors'!$B21,"")</f>
        <v>3.8172058270082556</v>
      </c>
      <c r="Q204" s="441"/>
      <c r="R204" s="180"/>
      <c r="S204" s="180"/>
      <c r="T204" s="496"/>
      <c r="U204" s="180">
        <f t="shared" si="59"/>
        <v>3.8172058270082556</v>
      </c>
      <c r="V204" s="180">
        <f t="shared" si="55"/>
        <v>0</v>
      </c>
      <c r="X204" s="430"/>
      <c r="Y204" s="478">
        <v>2024</v>
      </c>
      <c r="Z204" s="479">
        <f t="shared" si="56"/>
        <v>3.8172058270082556</v>
      </c>
      <c r="AA204" s="479">
        <f t="shared" si="56"/>
        <v>0</v>
      </c>
      <c r="AB204" s="430"/>
      <c r="AC204" s="479"/>
      <c r="AD204" s="479"/>
      <c r="AE204" s="430"/>
      <c r="AF204" s="479">
        <f>Z204-AC204</f>
        <v>3.8172058270082556</v>
      </c>
      <c r="AG204" s="479">
        <f t="shared" si="50"/>
        <v>0</v>
      </c>
      <c r="AH204" s="516"/>
      <c r="AJ204" s="480">
        <f t="shared" si="51"/>
        <v>0</v>
      </c>
      <c r="AK204" s="480" t="str">
        <f t="shared" si="52"/>
        <v/>
      </c>
    </row>
    <row r="205" spans="1:37" ht="15.6" x14ac:dyDescent="0.3">
      <c r="A205" s="152">
        <v>2025</v>
      </c>
      <c r="B205" s="178"/>
      <c r="C205" s="182"/>
      <c r="D205" s="183"/>
      <c r="E205" s="179">
        <f t="shared" si="53"/>
        <v>0.4518501448772908</v>
      </c>
      <c r="F205" s="183">
        <f t="shared" si="60"/>
        <v>0.11992630452124409</v>
      </c>
      <c r="G205" s="247">
        <f t="shared" si="54"/>
        <v>0.59766772161217718</v>
      </c>
      <c r="H205" s="246"/>
      <c r="I205" s="417"/>
      <c r="J205" s="417"/>
      <c r="K205" s="182"/>
      <c r="L205" s="178"/>
      <c r="M205" s="182"/>
      <c r="N205" s="178"/>
      <c r="O205" s="495"/>
      <c r="P205" s="259">
        <f>IF(P$194="Y",E205*$F$21*'Emissions Factors'!$B22,"")</f>
        <v>5.1699558911832488</v>
      </c>
      <c r="Q205" s="441"/>
      <c r="R205" s="180"/>
      <c r="S205" s="180"/>
      <c r="T205" s="496"/>
      <c r="U205" s="180">
        <f t="shared" si="59"/>
        <v>5.1699558911832488</v>
      </c>
      <c r="V205" s="180">
        <f t="shared" si="55"/>
        <v>0</v>
      </c>
      <c r="X205" s="430"/>
      <c r="Y205" s="478">
        <v>2025</v>
      </c>
      <c r="Z205" s="479">
        <f t="shared" si="56"/>
        <v>5.1699558911832488</v>
      </c>
      <c r="AA205" s="479">
        <f t="shared" si="56"/>
        <v>0</v>
      </c>
      <c r="AB205" s="430"/>
      <c r="AC205" s="479"/>
      <c r="AD205" s="479"/>
      <c r="AE205" s="430"/>
      <c r="AF205" s="479">
        <f t="shared" si="57"/>
        <v>5.1699558911832488</v>
      </c>
      <c r="AG205" s="479">
        <f t="shared" si="50"/>
        <v>0</v>
      </c>
      <c r="AH205" s="516"/>
      <c r="AJ205" s="480">
        <f t="shared" si="51"/>
        <v>0</v>
      </c>
      <c r="AK205" s="480" t="str">
        <f t="shared" si="52"/>
        <v/>
      </c>
    </row>
    <row r="206" spans="1:37" ht="15.6" x14ac:dyDescent="0.3">
      <c r="A206" s="152">
        <v>2026</v>
      </c>
      <c r="B206" s="178"/>
      <c r="C206" s="182"/>
      <c r="D206" s="183"/>
      <c r="E206" s="179">
        <f t="shared" si="53"/>
        <v>0.58638452290806531</v>
      </c>
      <c r="F206" s="183">
        <f t="shared" si="60"/>
        <v>0.1345343780307745</v>
      </c>
      <c r="G206" s="247">
        <f t="shared" si="54"/>
        <v>0.58597112706529242</v>
      </c>
      <c r="H206" s="246"/>
      <c r="I206" s="417"/>
      <c r="J206" s="417"/>
      <c r="K206" s="182"/>
      <c r="L206" s="178"/>
      <c r="M206" s="182"/>
      <c r="N206" s="178"/>
      <c r="O206" s="495"/>
      <c r="P206" s="259">
        <f>IF(P$194="Y",E206*$F$21*'Emissions Factors'!$B23,"")</f>
        <v>6.6680404543260448</v>
      </c>
      <c r="Q206" s="441"/>
      <c r="R206" s="180"/>
      <c r="S206" s="180"/>
      <c r="T206" s="496"/>
      <c r="U206" s="180">
        <f t="shared" si="59"/>
        <v>6.6680404543260448</v>
      </c>
      <c r="V206" s="180">
        <f t="shared" si="55"/>
        <v>0</v>
      </c>
      <c r="X206" s="430"/>
      <c r="Y206" s="478">
        <v>2026</v>
      </c>
      <c r="Z206" s="479">
        <f t="shared" si="56"/>
        <v>6.6680404543260448</v>
      </c>
      <c r="AA206" s="479">
        <f t="shared" si="56"/>
        <v>0</v>
      </c>
      <c r="AB206" s="430"/>
      <c r="AC206" s="479"/>
      <c r="AD206" s="479"/>
      <c r="AE206" s="430"/>
      <c r="AF206" s="479">
        <f t="shared" si="57"/>
        <v>6.6680404543260448</v>
      </c>
      <c r="AG206" s="479">
        <f t="shared" si="50"/>
        <v>0</v>
      </c>
      <c r="AH206" s="516"/>
      <c r="AJ206" s="480">
        <f t="shared" si="51"/>
        <v>0</v>
      </c>
      <c r="AK206" s="480" t="str">
        <f t="shared" si="52"/>
        <v/>
      </c>
    </row>
    <row r="207" spans="1:37" ht="15.6" x14ac:dyDescent="0.3">
      <c r="A207" s="152">
        <v>2027</v>
      </c>
      <c r="B207" s="178"/>
      <c r="C207" s="182"/>
      <c r="D207" s="183"/>
      <c r="E207" s="179">
        <f>IFERROR(IF($G$19="Y",$F$19,$AD93)*(SUMIF($H$5:$H$16,"Y",$F$5:$F$16)*(AL42-B42)),0)</f>
        <v>0.73539250477970808</v>
      </c>
      <c r="F207" s="183">
        <f t="shared" si="60"/>
        <v>0.14900798187164277</v>
      </c>
      <c r="G207" s="247">
        <f t="shared" si="54"/>
        <v>0.57527686311102122</v>
      </c>
      <c r="H207" s="246"/>
      <c r="I207" s="417"/>
      <c r="J207" s="417"/>
      <c r="K207" s="182"/>
      <c r="L207" s="178"/>
      <c r="M207" s="182"/>
      <c r="N207" s="178"/>
      <c r="O207" s="495"/>
      <c r="P207" s="259">
        <f>IF(P$194="Y",E207*$F$21*'Emissions Factors'!$B24,"")</f>
        <v>8.3163912295575173</v>
      </c>
      <c r="Q207" s="441"/>
      <c r="R207" s="180"/>
      <c r="S207" s="180"/>
      <c r="T207" s="496"/>
      <c r="U207" s="180">
        <f t="shared" si="59"/>
        <v>8.3163912295575173</v>
      </c>
      <c r="V207" s="180">
        <f t="shared" si="55"/>
        <v>0</v>
      </c>
      <c r="X207" s="430"/>
      <c r="Y207" s="478">
        <v>2027</v>
      </c>
      <c r="Z207" s="479">
        <f t="shared" si="56"/>
        <v>8.3163912295575173</v>
      </c>
      <c r="AA207" s="479">
        <f t="shared" si="56"/>
        <v>0</v>
      </c>
      <c r="AB207" s="430"/>
      <c r="AC207" s="479"/>
      <c r="AD207" s="479"/>
      <c r="AE207" s="430"/>
      <c r="AF207" s="479">
        <f t="shared" si="57"/>
        <v>8.3163912295575173</v>
      </c>
      <c r="AG207" s="479">
        <f t="shared" si="50"/>
        <v>0</v>
      </c>
      <c r="AH207" s="516"/>
      <c r="AJ207" s="480">
        <f t="shared" si="51"/>
        <v>0</v>
      </c>
      <c r="AK207" s="480" t="str">
        <f t="shared" si="52"/>
        <v/>
      </c>
    </row>
    <row r="208" spans="1:37" ht="15.6" x14ac:dyDescent="0.3">
      <c r="A208" s="152">
        <v>2028</v>
      </c>
      <c r="B208" s="178"/>
      <c r="C208" s="182"/>
      <c r="D208" s="183"/>
      <c r="E208" s="179">
        <f>IFERROR(IF($G$19="Y",$F$19,$AD94)*(SUMIF($H$5:$H$16,"Y",$F$5:$F$16)*(AL43-B43)),0)</f>
        <v>0.89912048905337372</v>
      </c>
      <c r="F208" s="183">
        <f t="shared" si="60"/>
        <v>0.16372798427366564</v>
      </c>
      <c r="G208" s="247">
        <f t="shared" si="54"/>
        <v>0.5652871105645404</v>
      </c>
      <c r="H208" s="246"/>
      <c r="I208" s="417"/>
      <c r="J208" s="417"/>
      <c r="K208" s="182"/>
      <c r="L208" s="178"/>
      <c r="M208" s="182"/>
      <c r="N208" s="178"/>
      <c r="O208" s="495"/>
      <c r="P208" s="259">
        <f>IF(P$194="Y",E208*$F$21*'Emissions Factors'!$B25,"")</f>
        <v>10.112500617641665</v>
      </c>
      <c r="Q208" s="441"/>
      <c r="R208" s="180"/>
      <c r="S208" s="180"/>
      <c r="T208" s="496"/>
      <c r="U208" s="180">
        <f t="shared" si="59"/>
        <v>10.112500617641665</v>
      </c>
      <c r="V208" s="180">
        <f t="shared" si="55"/>
        <v>0</v>
      </c>
      <c r="X208" s="430"/>
      <c r="Y208" s="478">
        <v>2028</v>
      </c>
      <c r="Z208" s="479">
        <f t="shared" si="56"/>
        <v>10.112500617641665</v>
      </c>
      <c r="AA208" s="479">
        <f t="shared" si="56"/>
        <v>0</v>
      </c>
      <c r="AB208" s="430"/>
      <c r="AC208" s="479"/>
      <c r="AD208" s="479"/>
      <c r="AE208" s="430"/>
      <c r="AF208" s="479">
        <f t="shared" si="57"/>
        <v>10.112500617641665</v>
      </c>
      <c r="AG208" s="479">
        <f t="shared" si="50"/>
        <v>0</v>
      </c>
      <c r="AH208" s="516"/>
      <c r="AJ208" s="480">
        <f t="shared" si="51"/>
        <v>0</v>
      </c>
      <c r="AK208" s="480" t="str">
        <f t="shared" si="52"/>
        <v/>
      </c>
    </row>
    <row r="209" spans="1:37" ht="15.6" x14ac:dyDescent="0.3">
      <c r="A209" s="152">
        <v>2029</v>
      </c>
      <c r="B209" s="178"/>
      <c r="C209" s="182"/>
      <c r="D209" s="183"/>
      <c r="E209" s="179">
        <f t="shared" si="53"/>
        <v>1.0779010195167149</v>
      </c>
      <c r="F209" s="183">
        <f t="shared" si="60"/>
        <v>0.17878053046334119</v>
      </c>
      <c r="G209" s="247">
        <f t="shared" si="54"/>
        <v>0.55579588674285463</v>
      </c>
      <c r="H209" s="246"/>
      <c r="I209" s="417"/>
      <c r="J209" s="417"/>
      <c r="K209" s="182"/>
      <c r="L209" s="178"/>
      <c r="M209" s="182"/>
      <c r="N209" s="178"/>
      <c r="O209" s="495"/>
      <c r="P209" s="259">
        <f>IF(P$194="Y",E209*$F$21*'Emissions Factors'!$B26,"")</f>
        <v>12.057730219648423</v>
      </c>
      <c r="Q209" s="441"/>
      <c r="R209" s="180"/>
      <c r="S209" s="180"/>
      <c r="T209" s="496"/>
      <c r="U209" s="180">
        <f t="shared" si="59"/>
        <v>12.057730219648423</v>
      </c>
      <c r="V209" s="180">
        <f t="shared" si="55"/>
        <v>0</v>
      </c>
      <c r="X209" s="430"/>
      <c r="Y209" s="478">
        <v>2029</v>
      </c>
      <c r="Z209" s="479">
        <f t="shared" si="56"/>
        <v>12.057730219648423</v>
      </c>
      <c r="AA209" s="479">
        <f t="shared" si="56"/>
        <v>0</v>
      </c>
      <c r="AB209" s="430"/>
      <c r="AC209" s="479"/>
      <c r="AD209" s="479"/>
      <c r="AE209" s="430"/>
      <c r="AF209" s="479">
        <f t="shared" si="57"/>
        <v>12.057730219648423</v>
      </c>
      <c r="AG209" s="479">
        <f t="shared" si="50"/>
        <v>0</v>
      </c>
      <c r="AH209" s="516"/>
      <c r="AJ209" s="480">
        <f t="shared" si="51"/>
        <v>0</v>
      </c>
      <c r="AK209" s="480" t="str">
        <f t="shared" si="52"/>
        <v/>
      </c>
    </row>
    <row r="210" spans="1:37" ht="15.6" x14ac:dyDescent="0.3">
      <c r="A210" s="152">
        <v>2030</v>
      </c>
      <c r="B210" s="178"/>
      <c r="C210" s="182"/>
      <c r="D210" s="183"/>
      <c r="E210" s="179">
        <f t="shared" si="53"/>
        <v>1.2720818306925381</v>
      </c>
      <c r="F210" s="183">
        <f t="shared" si="60"/>
        <v>0.1941808111758232</v>
      </c>
      <c r="G210" s="247">
        <f t="shared" si="54"/>
        <v>0.54668227725015939</v>
      </c>
      <c r="H210" s="246"/>
      <c r="I210" s="417"/>
      <c r="J210" s="417"/>
      <c r="K210" s="182"/>
      <c r="L210" s="178"/>
      <c r="M210" s="182"/>
      <c r="N210" s="178"/>
      <c r="O210" s="495"/>
      <c r="P210" s="259">
        <f>IF(P$194="Y",E210*$F$21*'Emissions Factors'!$B27,"")</f>
        <v>14.156839616973633</v>
      </c>
      <c r="Q210" s="441"/>
      <c r="R210" s="180"/>
      <c r="S210" s="180"/>
      <c r="T210" s="496"/>
      <c r="U210" s="180">
        <f t="shared" si="59"/>
        <v>14.156839616973633</v>
      </c>
      <c r="V210" s="180">
        <f t="shared" si="55"/>
        <v>0</v>
      </c>
      <c r="X210" s="430"/>
      <c r="Y210" s="478">
        <v>2030</v>
      </c>
      <c r="Z210" s="479">
        <f t="shared" si="56"/>
        <v>14.156839616973633</v>
      </c>
      <c r="AA210" s="479">
        <f t="shared" si="56"/>
        <v>0</v>
      </c>
      <c r="AB210" s="430"/>
      <c r="AC210" s="479"/>
      <c r="AD210" s="479"/>
      <c r="AE210" s="430"/>
      <c r="AF210" s="479">
        <f t="shared" si="57"/>
        <v>14.156839616973633</v>
      </c>
      <c r="AG210" s="479">
        <f t="shared" si="50"/>
        <v>0</v>
      </c>
      <c r="AH210" s="516"/>
      <c r="AJ210" s="480">
        <f t="shared" si="51"/>
        <v>0</v>
      </c>
      <c r="AK210" s="480" t="str">
        <f t="shared" si="52"/>
        <v/>
      </c>
    </row>
    <row r="211" spans="1:37" ht="15.6" x14ac:dyDescent="0.3">
      <c r="A211" s="152">
        <v>2031</v>
      </c>
      <c r="B211" s="178"/>
      <c r="C211" s="182"/>
      <c r="D211" s="183"/>
      <c r="E211" s="179">
        <f t="shared" si="53"/>
        <v>1.4818470174498313</v>
      </c>
      <c r="F211" s="183">
        <f t="shared" si="60"/>
        <v>0.20976518675729316</v>
      </c>
      <c r="G211" s="247">
        <f t="shared" si="54"/>
        <v>0.5379155029676298</v>
      </c>
      <c r="H211" s="246"/>
      <c r="I211" s="417"/>
      <c r="J211" s="417"/>
      <c r="K211" s="182"/>
      <c r="L211" s="178"/>
      <c r="M211" s="182"/>
      <c r="N211" s="178"/>
      <c r="O211" s="495"/>
      <c r="P211" s="259">
        <f>IF(P$194="Y",E211*$F$21*'Emissions Factors'!$B28,"")</f>
        <v>16.399489908855116</v>
      </c>
      <c r="Q211" s="441"/>
      <c r="R211" s="180"/>
      <c r="S211" s="180"/>
      <c r="T211" s="496"/>
      <c r="U211" s="180">
        <f t="shared" si="59"/>
        <v>16.399489908855116</v>
      </c>
      <c r="V211" s="180">
        <f t="shared" si="55"/>
        <v>0</v>
      </c>
      <c r="X211" s="430"/>
      <c r="Y211" s="478">
        <v>2031</v>
      </c>
      <c r="Z211" s="479">
        <f t="shared" si="56"/>
        <v>16.399489908855116</v>
      </c>
      <c r="AA211" s="479">
        <f t="shared" si="56"/>
        <v>0</v>
      </c>
      <c r="AB211" s="430"/>
      <c r="AC211" s="479"/>
      <c r="AD211" s="479"/>
      <c r="AE211" s="430"/>
      <c r="AF211" s="479">
        <f t="shared" si="57"/>
        <v>16.399489908855116</v>
      </c>
      <c r="AG211" s="479">
        <f t="shared" si="50"/>
        <v>0</v>
      </c>
      <c r="AH211" s="516"/>
      <c r="AJ211" s="480">
        <f t="shared" si="51"/>
        <v>0</v>
      </c>
      <c r="AK211" s="480" t="str">
        <f t="shared" si="52"/>
        <v/>
      </c>
    </row>
    <row r="212" spans="1:37" ht="15.6" x14ac:dyDescent="0.3">
      <c r="A212" s="152">
        <v>2032</v>
      </c>
      <c r="B212" s="178"/>
      <c r="C212" s="182"/>
      <c r="D212" s="183"/>
      <c r="E212" s="179">
        <f t="shared" si="53"/>
        <v>1.7065404235899029</v>
      </c>
      <c r="F212" s="183">
        <f t="shared" si="60"/>
        <v>0.22469340614007161</v>
      </c>
      <c r="G212" s="247">
        <f t="shared" si="54"/>
        <v>0.52950031459419555</v>
      </c>
      <c r="H212" s="246"/>
      <c r="I212" s="417"/>
      <c r="J212" s="417"/>
      <c r="K212" s="182"/>
      <c r="L212" s="178"/>
      <c r="M212" s="182"/>
      <c r="N212" s="178"/>
      <c r="O212" s="495"/>
      <c r="P212" s="259">
        <f>IF(P$194="Y",E212*$F$21*'Emissions Factors'!$B29,"")</f>
        <v>18.785842978067709</v>
      </c>
      <c r="Q212" s="441"/>
      <c r="R212" s="180"/>
      <c r="S212" s="180"/>
      <c r="T212" s="496"/>
      <c r="U212" s="180">
        <f t="shared" si="59"/>
        <v>18.785842978067709</v>
      </c>
      <c r="V212" s="180">
        <f t="shared" si="55"/>
        <v>0</v>
      </c>
      <c r="X212" s="430"/>
      <c r="Y212" s="478">
        <v>2032</v>
      </c>
      <c r="Z212" s="479">
        <f t="shared" si="56"/>
        <v>18.785842978067709</v>
      </c>
      <c r="AA212" s="479">
        <f t="shared" si="56"/>
        <v>0</v>
      </c>
      <c r="AB212" s="430"/>
      <c r="AC212" s="479"/>
      <c r="AD212" s="479"/>
      <c r="AE212" s="430"/>
      <c r="AF212" s="479">
        <f t="shared" si="57"/>
        <v>18.785842978067709</v>
      </c>
      <c r="AG212" s="479">
        <f t="shared" si="50"/>
        <v>0</v>
      </c>
      <c r="AH212" s="516"/>
      <c r="AJ212" s="480">
        <f t="shared" si="51"/>
        <v>0</v>
      </c>
      <c r="AK212" s="480" t="str">
        <f t="shared" si="52"/>
        <v/>
      </c>
    </row>
    <row r="213" spans="1:37" ht="15.6" x14ac:dyDescent="0.3">
      <c r="A213" s="152">
        <v>2033</v>
      </c>
      <c r="B213" s="178"/>
      <c r="C213" s="182"/>
      <c r="D213" s="183"/>
      <c r="E213" s="179">
        <f t="shared" si="53"/>
        <v>1.9440374891909351</v>
      </c>
      <c r="F213" s="183">
        <f t="shared" si="60"/>
        <v>0.23749706560103223</v>
      </c>
      <c r="G213" s="247">
        <f t="shared" si="54"/>
        <v>0.52144965305651936</v>
      </c>
      <c r="H213" s="246"/>
      <c r="I213" s="417"/>
      <c r="J213" s="417"/>
      <c r="K213" s="182"/>
      <c r="L213" s="178"/>
      <c r="M213" s="182"/>
      <c r="N213" s="178"/>
      <c r="O213" s="495"/>
      <c r="P213" s="259">
        <f>IF(P$194="Y",E213*$F$21*'Emissions Factors'!$B30,"")</f>
        <v>21.2869107494496</v>
      </c>
      <c r="Q213" s="441"/>
      <c r="R213" s="180"/>
      <c r="S213" s="180"/>
      <c r="T213" s="496"/>
      <c r="U213" s="180">
        <f t="shared" si="59"/>
        <v>21.2869107494496</v>
      </c>
      <c r="V213" s="180">
        <f t="shared" si="55"/>
        <v>0</v>
      </c>
      <c r="X213" s="430"/>
      <c r="Y213" s="478">
        <v>2033</v>
      </c>
      <c r="Z213" s="479">
        <f t="shared" si="56"/>
        <v>21.2869107494496</v>
      </c>
      <c r="AA213" s="479">
        <f t="shared" si="56"/>
        <v>0</v>
      </c>
      <c r="AB213" s="430"/>
      <c r="AC213" s="479"/>
      <c r="AD213" s="479"/>
      <c r="AE213" s="430"/>
      <c r="AF213" s="479">
        <f t="shared" si="57"/>
        <v>21.2869107494496</v>
      </c>
      <c r="AG213" s="479">
        <f t="shared" si="50"/>
        <v>0</v>
      </c>
      <c r="AH213" s="516"/>
      <c r="AJ213" s="480">
        <f t="shared" si="51"/>
        <v>0</v>
      </c>
      <c r="AK213" s="480" t="str">
        <f t="shared" si="52"/>
        <v/>
      </c>
    </row>
    <row r="214" spans="1:37" ht="15.6" x14ac:dyDescent="0.3">
      <c r="A214" s="152">
        <v>2034</v>
      </c>
      <c r="B214" s="178"/>
      <c r="C214" s="182"/>
      <c r="D214" s="183"/>
      <c r="E214" s="179">
        <f t="shared" si="53"/>
        <v>2.1913239504078961</v>
      </c>
      <c r="F214" s="183">
        <f t="shared" si="60"/>
        <v>0.24728646121696096</v>
      </c>
      <c r="G214" s="247">
        <f t="shared" si="54"/>
        <v>0.51376146259822497</v>
      </c>
      <c r="H214" s="246"/>
      <c r="I214" s="417"/>
      <c r="J214" s="417"/>
      <c r="K214" s="182"/>
      <c r="L214" s="178"/>
      <c r="M214" s="182"/>
      <c r="N214" s="178"/>
      <c r="O214" s="495"/>
      <c r="P214" s="259">
        <f>IF(P$194="Y",E214*$F$21*'Emissions Factors'!$B31,"")</f>
        <v>23.867775018839232</v>
      </c>
      <c r="Q214" s="441"/>
      <c r="R214" s="180"/>
      <c r="S214" s="180"/>
      <c r="T214" s="496"/>
      <c r="U214" s="180">
        <f t="shared" si="59"/>
        <v>23.867775018839232</v>
      </c>
      <c r="V214" s="180">
        <f t="shared" si="55"/>
        <v>0</v>
      </c>
      <c r="X214" s="430"/>
      <c r="Y214" s="478">
        <v>2034</v>
      </c>
      <c r="Z214" s="479">
        <f t="shared" si="56"/>
        <v>23.867775018839232</v>
      </c>
      <c r="AA214" s="479">
        <f t="shared" si="56"/>
        <v>0</v>
      </c>
      <c r="AB214" s="430"/>
      <c r="AC214" s="479"/>
      <c r="AD214" s="479"/>
      <c r="AE214" s="430"/>
      <c r="AF214" s="479">
        <f t="shared" si="57"/>
        <v>23.867775018839232</v>
      </c>
      <c r="AG214" s="479">
        <f t="shared" si="50"/>
        <v>0</v>
      </c>
      <c r="AH214" s="516"/>
      <c r="AJ214" s="480">
        <f t="shared" si="51"/>
        <v>0</v>
      </c>
      <c r="AK214" s="480" t="str">
        <f t="shared" si="52"/>
        <v/>
      </c>
    </row>
    <row r="215" spans="1:37" ht="15.6" x14ac:dyDescent="0.3">
      <c r="A215" s="152">
        <v>2035</v>
      </c>
      <c r="B215" s="178"/>
      <c r="C215" s="182"/>
      <c r="D215" s="183"/>
      <c r="E215" s="179">
        <f t="shared" si="53"/>
        <v>2.4460016693874964</v>
      </c>
      <c r="F215" s="183">
        <f t="shared" si="60"/>
        <v>0.25467771897960034</v>
      </c>
      <c r="G215" s="247">
        <f t="shared" si="54"/>
        <v>0.5063914290609226</v>
      </c>
      <c r="H215" s="246"/>
      <c r="I215" s="417"/>
      <c r="J215" s="417"/>
      <c r="K215" s="182"/>
      <c r="L215" s="178"/>
      <c r="M215" s="182"/>
      <c r="N215" s="178"/>
      <c r="O215" s="495"/>
      <c r="P215" s="259">
        <f>IF(P$194="Y",E215*$F$21*'Emissions Factors'!$B32,"")</f>
        <v>26.496965042726572</v>
      </c>
      <c r="Q215" s="441"/>
      <c r="R215" s="180"/>
      <c r="S215" s="180"/>
      <c r="T215" s="496"/>
      <c r="U215" s="180">
        <f t="shared" si="59"/>
        <v>26.496965042726572</v>
      </c>
      <c r="V215" s="180">
        <f t="shared" si="55"/>
        <v>0</v>
      </c>
      <c r="X215" s="430"/>
      <c r="Y215" s="478">
        <v>2035</v>
      </c>
      <c r="Z215" s="479">
        <f t="shared" si="56"/>
        <v>26.496965042726572</v>
      </c>
      <c r="AA215" s="479">
        <f t="shared" si="56"/>
        <v>0</v>
      </c>
      <c r="AB215" s="430"/>
      <c r="AC215" s="479"/>
      <c r="AD215" s="479"/>
      <c r="AE215" s="430"/>
      <c r="AF215" s="479">
        <f t="shared" si="57"/>
        <v>26.496965042726572</v>
      </c>
      <c r="AG215" s="479">
        <f t="shared" si="50"/>
        <v>0</v>
      </c>
      <c r="AH215" s="516"/>
      <c r="AJ215" s="480">
        <f t="shared" si="51"/>
        <v>0</v>
      </c>
      <c r="AK215" s="480" t="str">
        <f t="shared" si="52"/>
        <v/>
      </c>
    </row>
    <row r="216" spans="1:37" ht="15.6" x14ac:dyDescent="0.3">
      <c r="A216" s="152">
        <v>2036</v>
      </c>
      <c r="B216" s="178"/>
      <c r="C216" s="182"/>
      <c r="D216" s="183"/>
      <c r="E216" s="179">
        <f t="shared" si="53"/>
        <v>2.7067999399432914</v>
      </c>
      <c r="F216" s="183">
        <f t="shared" si="60"/>
        <v>0.26079827055579496</v>
      </c>
      <c r="G216" s="247">
        <f t="shared" si="54"/>
        <v>0.49926581182526919</v>
      </c>
      <c r="H216" s="246"/>
      <c r="I216" s="417"/>
      <c r="J216" s="417"/>
      <c r="K216" s="182"/>
      <c r="L216" s="178"/>
      <c r="M216" s="182"/>
      <c r="N216" s="178"/>
      <c r="O216" s="495"/>
      <c r="P216" s="259">
        <f>IF(P$194="Y",E216*$F$21*'Emissions Factors'!$B33,"")</f>
        <v>29.170247120683875</v>
      </c>
      <c r="Q216" s="441"/>
      <c r="R216" s="180"/>
      <c r="S216" s="180"/>
      <c r="T216" s="496"/>
      <c r="U216" s="180">
        <f t="shared" si="59"/>
        <v>29.170247120683875</v>
      </c>
      <c r="V216" s="180">
        <f t="shared" si="55"/>
        <v>0</v>
      </c>
      <c r="X216" s="430"/>
      <c r="Y216" s="478">
        <v>2036</v>
      </c>
      <c r="Z216" s="479">
        <f t="shared" si="56"/>
        <v>29.170247120683875</v>
      </c>
      <c r="AA216" s="479">
        <f t="shared" si="56"/>
        <v>0</v>
      </c>
      <c r="AB216" s="430"/>
      <c r="AC216" s="479"/>
      <c r="AD216" s="479"/>
      <c r="AE216" s="430"/>
      <c r="AF216" s="479">
        <f t="shared" si="57"/>
        <v>29.170247120683875</v>
      </c>
      <c r="AG216" s="479">
        <f t="shared" si="50"/>
        <v>0</v>
      </c>
      <c r="AH216" s="516"/>
      <c r="AJ216" s="480">
        <f t="shared" si="51"/>
        <v>0</v>
      </c>
      <c r="AK216" s="480" t="str">
        <f t="shared" si="52"/>
        <v/>
      </c>
    </row>
    <row r="217" spans="1:37" ht="15.6" x14ac:dyDescent="0.3">
      <c r="A217" s="152">
        <v>2037</v>
      </c>
      <c r="B217" s="178"/>
      <c r="C217" s="182"/>
      <c r="D217" s="183"/>
      <c r="E217" s="179">
        <f t="shared" si="53"/>
        <v>2.9738814113235974</v>
      </c>
      <c r="F217" s="183">
        <f t="shared" si="60"/>
        <v>0.26708147138030602</v>
      </c>
      <c r="G217" s="247">
        <f t="shared" si="54"/>
        <v>0.49230959388194834</v>
      </c>
      <c r="H217" s="246"/>
      <c r="I217" s="417"/>
      <c r="J217" s="417"/>
      <c r="K217" s="182"/>
      <c r="L217" s="178"/>
      <c r="M217" s="182"/>
      <c r="N217" s="178"/>
      <c r="O217" s="495"/>
      <c r="P217" s="259">
        <f>IF(P$194="Y",E217*$F$21*'Emissions Factors'!$B34,"")</f>
        <v>31.87760690885473</v>
      </c>
      <c r="Q217" s="441"/>
      <c r="R217" s="180"/>
      <c r="S217" s="180"/>
      <c r="T217" s="496"/>
      <c r="U217" s="180">
        <f t="shared" si="59"/>
        <v>31.87760690885473</v>
      </c>
      <c r="V217" s="180">
        <f t="shared" si="55"/>
        <v>0</v>
      </c>
      <c r="X217" s="430"/>
      <c r="Y217" s="478">
        <v>2037</v>
      </c>
      <c r="Z217" s="479">
        <f t="shared" si="56"/>
        <v>31.87760690885473</v>
      </c>
      <c r="AA217" s="479">
        <f t="shared" si="56"/>
        <v>0</v>
      </c>
      <c r="AB217" s="430"/>
      <c r="AC217" s="479"/>
      <c r="AD217" s="479"/>
      <c r="AE217" s="430"/>
      <c r="AF217" s="479">
        <f t="shared" si="57"/>
        <v>31.87760690885473</v>
      </c>
      <c r="AG217" s="479">
        <f t="shared" si="50"/>
        <v>0</v>
      </c>
      <c r="AH217" s="516"/>
      <c r="AJ217" s="480">
        <f t="shared" si="51"/>
        <v>0</v>
      </c>
      <c r="AK217" s="480" t="str">
        <f t="shared" si="52"/>
        <v/>
      </c>
    </row>
    <row r="218" spans="1:37" ht="15.6" x14ac:dyDescent="0.3">
      <c r="A218" s="152">
        <v>2038</v>
      </c>
      <c r="B218" s="178"/>
      <c r="C218" s="182"/>
      <c r="D218" s="183"/>
      <c r="E218" s="179">
        <f t="shared" si="53"/>
        <v>3.2480583703364752</v>
      </c>
      <c r="F218" s="183">
        <f t="shared" si="60"/>
        <v>0.27417695901287775</v>
      </c>
      <c r="G218" s="247">
        <f t="shared" si="54"/>
        <v>0.48547286278179247</v>
      </c>
      <c r="H218" s="246"/>
      <c r="I218" s="417"/>
      <c r="J218" s="417"/>
      <c r="K218" s="182"/>
      <c r="L218" s="178"/>
      <c r="M218" s="182"/>
      <c r="N218" s="178"/>
      <c r="O218" s="495"/>
      <c r="P218" s="259">
        <f>IF(P$194="Y",E218*$F$21*'Emissions Factors'!$B35,"")</f>
        <v>34.630102805415767</v>
      </c>
      <c r="Q218" s="441"/>
      <c r="R218" s="180"/>
      <c r="S218" s="180"/>
      <c r="T218" s="496"/>
      <c r="U218" s="180">
        <f t="shared" si="59"/>
        <v>34.630102805415767</v>
      </c>
      <c r="V218" s="180">
        <f t="shared" si="55"/>
        <v>0</v>
      </c>
      <c r="X218" s="430"/>
      <c r="Y218" s="478">
        <v>2038</v>
      </c>
      <c r="Z218" s="479">
        <f t="shared" si="56"/>
        <v>34.630102805415767</v>
      </c>
      <c r="AA218" s="479">
        <f t="shared" si="56"/>
        <v>0</v>
      </c>
      <c r="AB218" s="430"/>
      <c r="AC218" s="479"/>
      <c r="AD218" s="479"/>
      <c r="AE218" s="430"/>
      <c r="AF218" s="479">
        <f t="shared" si="57"/>
        <v>34.630102805415767</v>
      </c>
      <c r="AG218" s="479">
        <f t="shared" si="50"/>
        <v>0</v>
      </c>
      <c r="AH218" s="516"/>
      <c r="AJ218" s="480">
        <f t="shared" si="51"/>
        <v>0</v>
      </c>
      <c r="AK218" s="480" t="str">
        <f t="shared" si="52"/>
        <v/>
      </c>
    </row>
    <row r="219" spans="1:37" ht="15.6" x14ac:dyDescent="0.3">
      <c r="A219" s="152">
        <v>2039</v>
      </c>
      <c r="B219" s="178"/>
      <c r="C219" s="182"/>
      <c r="D219" s="183"/>
      <c r="E219" s="179">
        <f t="shared" si="53"/>
        <v>3.5310055697533658</v>
      </c>
      <c r="F219" s="183">
        <f t="shared" si="60"/>
        <v>0.28294719941689062</v>
      </c>
      <c r="G219" s="247">
        <f t="shared" si="54"/>
        <v>0.47871699636170206</v>
      </c>
      <c r="H219" s="246"/>
      <c r="I219" s="417"/>
      <c r="J219" s="417"/>
      <c r="K219" s="182"/>
      <c r="L219" s="178"/>
      <c r="M219" s="182"/>
      <c r="N219" s="178"/>
      <c r="O219" s="495"/>
      <c r="P219" s="259">
        <f>IF(P$194="Y",E219*$F$21*'Emissions Factors'!$B36,"")</f>
        <v>37.443117636791996</v>
      </c>
      <c r="Q219" s="441"/>
      <c r="R219" s="180"/>
      <c r="S219" s="180"/>
      <c r="T219" s="496"/>
      <c r="U219" s="180">
        <f t="shared" si="59"/>
        <v>37.443117636791996</v>
      </c>
      <c r="V219" s="180">
        <f t="shared" si="55"/>
        <v>0</v>
      </c>
      <c r="X219" s="430"/>
      <c r="Y219" s="478">
        <v>2039</v>
      </c>
      <c r="Z219" s="479">
        <f t="shared" si="56"/>
        <v>37.443117636791996</v>
      </c>
      <c r="AA219" s="479">
        <f t="shared" si="56"/>
        <v>0</v>
      </c>
      <c r="AB219" s="430"/>
      <c r="AC219" s="479"/>
      <c r="AD219" s="479"/>
      <c r="AE219" s="430"/>
      <c r="AF219" s="479">
        <f t="shared" si="57"/>
        <v>37.443117636791996</v>
      </c>
      <c r="AG219" s="479">
        <f t="shared" si="50"/>
        <v>0</v>
      </c>
      <c r="AH219" s="516"/>
      <c r="AJ219" s="480">
        <f t="shared" si="51"/>
        <v>0</v>
      </c>
      <c r="AK219" s="480" t="str">
        <f t="shared" si="52"/>
        <v/>
      </c>
    </row>
    <row r="220" spans="1:37" ht="15.6" x14ac:dyDescent="0.3">
      <c r="A220" s="152">
        <v>2040</v>
      </c>
      <c r="B220" s="178"/>
      <c r="C220" s="182"/>
      <c r="D220" s="183"/>
      <c r="E220" s="179">
        <f t="shared" si="53"/>
        <v>3.8241387559075584</v>
      </c>
      <c r="F220" s="183">
        <f t="shared" si="60"/>
        <v>0.29313318615419259</v>
      </c>
      <c r="G220" s="247">
        <f t="shared" si="54"/>
        <v>0.47201514782419079</v>
      </c>
      <c r="H220" s="246"/>
      <c r="I220" s="417"/>
      <c r="J220" s="417"/>
      <c r="K220" s="182"/>
      <c r="L220" s="178"/>
      <c r="M220" s="182"/>
      <c r="N220" s="178"/>
      <c r="O220" s="495"/>
      <c r="P220" s="259">
        <f>IF(P$194="Y",E220*$F$21*'Emissions Factors'!$B37,"")</f>
        <v>40.314738221549085</v>
      </c>
      <c r="Q220" s="441"/>
      <c r="R220" s="180"/>
      <c r="S220" s="180"/>
      <c r="T220" s="496"/>
      <c r="U220" s="180">
        <f t="shared" si="59"/>
        <v>40.314738221549085</v>
      </c>
      <c r="V220" s="180">
        <f t="shared" si="55"/>
        <v>0</v>
      </c>
      <c r="X220" s="430"/>
      <c r="Y220" s="478">
        <v>2040</v>
      </c>
      <c r="Z220" s="479">
        <f t="shared" si="56"/>
        <v>40.314738221549085</v>
      </c>
      <c r="AA220" s="479">
        <f t="shared" si="56"/>
        <v>0</v>
      </c>
      <c r="AB220" s="430"/>
      <c r="AC220" s="479"/>
      <c r="AD220" s="479"/>
      <c r="AE220" s="430"/>
      <c r="AF220" s="479">
        <f t="shared" si="57"/>
        <v>40.314738221549085</v>
      </c>
      <c r="AG220" s="479">
        <f t="shared" si="50"/>
        <v>0</v>
      </c>
      <c r="AH220" s="516"/>
      <c r="AJ220" s="480">
        <f t="shared" si="51"/>
        <v>0</v>
      </c>
      <c r="AK220" s="480" t="str">
        <f t="shared" si="52"/>
        <v/>
      </c>
    </row>
    <row r="221" spans="1:37" ht="15.6" x14ac:dyDescent="0.3">
      <c r="A221" s="152">
        <v>2041</v>
      </c>
      <c r="B221" s="178"/>
      <c r="C221" s="182"/>
      <c r="D221" s="183"/>
      <c r="E221" s="179">
        <f t="shared" si="53"/>
        <v>4.1276821445478156</v>
      </c>
      <c r="F221" s="183">
        <f t="shared" si="60"/>
        <v>0.30354338864025721</v>
      </c>
      <c r="G221" s="247">
        <f t="shared" si="54"/>
        <v>0.46535707198998866</v>
      </c>
      <c r="H221" s="246"/>
      <c r="I221" s="417"/>
      <c r="J221" s="417"/>
      <c r="K221" s="182"/>
      <c r="L221" s="178"/>
      <c r="M221" s="182"/>
      <c r="N221" s="178"/>
      <c r="O221" s="495"/>
      <c r="P221" s="259">
        <f>IF(P$194="Y",E221*$F$21*'Emissions Factors'!$B38,"")</f>
        <v>43.293833460648379</v>
      </c>
      <c r="Q221" s="441"/>
      <c r="R221" s="180"/>
      <c r="S221" s="180"/>
      <c r="T221" s="496"/>
      <c r="U221" s="180">
        <f t="shared" si="59"/>
        <v>43.293833460648379</v>
      </c>
      <c r="V221" s="180">
        <f t="shared" si="55"/>
        <v>0</v>
      </c>
      <c r="X221" s="430"/>
      <c r="Y221" s="478">
        <v>2041</v>
      </c>
      <c r="Z221" s="479">
        <f t="shared" si="56"/>
        <v>43.293833460648379</v>
      </c>
      <c r="AA221" s="479">
        <f t="shared" si="56"/>
        <v>0</v>
      </c>
      <c r="AB221" s="430"/>
      <c r="AC221" s="479"/>
      <c r="AD221" s="479"/>
      <c r="AE221" s="430"/>
      <c r="AF221" s="479">
        <f t="shared" si="57"/>
        <v>43.293833460648379</v>
      </c>
      <c r="AG221" s="479">
        <f t="shared" si="50"/>
        <v>0</v>
      </c>
      <c r="AH221" s="516"/>
      <c r="AJ221" s="480">
        <f t="shared" si="51"/>
        <v>0</v>
      </c>
      <c r="AK221" s="480" t="str">
        <f t="shared" si="52"/>
        <v/>
      </c>
    </row>
    <row r="222" spans="1:37" ht="15.6" x14ac:dyDescent="0.3">
      <c r="A222" s="152">
        <v>2042</v>
      </c>
      <c r="B222" s="178"/>
      <c r="C222" s="182"/>
      <c r="D222" s="183"/>
      <c r="E222" s="179">
        <f t="shared" si="53"/>
        <v>4.4414258936809556</v>
      </c>
      <c r="F222" s="183">
        <f t="shared" si="60"/>
        <v>0.31374374913314007</v>
      </c>
      <c r="G222" s="247">
        <f t="shared" si="54"/>
        <v>0.45872624679522256</v>
      </c>
      <c r="H222" s="246"/>
      <c r="I222" s="417"/>
      <c r="J222" s="417"/>
      <c r="K222" s="182"/>
      <c r="L222" s="178"/>
      <c r="M222" s="182"/>
      <c r="N222" s="178"/>
      <c r="O222" s="495"/>
      <c r="P222" s="259">
        <f>IF(P$194="Y",E222*$F$21*'Emissions Factors'!$B39,"")</f>
        <v>46.32734820211077</v>
      </c>
      <c r="Q222" s="441"/>
      <c r="R222" s="180"/>
      <c r="S222" s="180"/>
      <c r="T222" s="496"/>
      <c r="U222" s="180">
        <f t="shared" si="59"/>
        <v>46.32734820211077</v>
      </c>
      <c r="V222" s="180">
        <f t="shared" si="55"/>
        <v>0</v>
      </c>
      <c r="X222" s="430"/>
      <c r="Y222" s="478">
        <v>2042</v>
      </c>
      <c r="Z222" s="479">
        <f t="shared" si="56"/>
        <v>46.32734820211077</v>
      </c>
      <c r="AA222" s="479">
        <f t="shared" si="56"/>
        <v>0</v>
      </c>
      <c r="AB222" s="430"/>
      <c r="AC222" s="479"/>
      <c r="AD222" s="479"/>
      <c r="AE222" s="430"/>
      <c r="AF222" s="479">
        <f t="shared" si="57"/>
        <v>46.32734820211077</v>
      </c>
      <c r="AG222" s="479">
        <f t="shared" si="50"/>
        <v>0</v>
      </c>
      <c r="AH222" s="516"/>
      <c r="AJ222" s="480">
        <f t="shared" si="51"/>
        <v>0</v>
      </c>
      <c r="AK222" s="480" t="str">
        <f t="shared" si="52"/>
        <v/>
      </c>
    </row>
    <row r="223" spans="1:37" ht="15.6" x14ac:dyDescent="0.3">
      <c r="A223" s="152">
        <v>2043</v>
      </c>
      <c r="B223" s="178"/>
      <c r="C223" s="182"/>
      <c r="D223" s="183"/>
      <c r="E223" s="179">
        <f t="shared" si="53"/>
        <v>4.7660548010000525</v>
      </c>
      <c r="F223" s="183">
        <f t="shared" si="60"/>
        <v>0.32462890731909688</v>
      </c>
      <c r="G223" s="247">
        <f t="shared" si="54"/>
        <v>0.45209649058480911</v>
      </c>
      <c r="H223" s="246"/>
      <c r="I223" s="417"/>
      <c r="J223" s="417"/>
      <c r="K223" s="182"/>
      <c r="L223" s="178"/>
      <c r="M223" s="182"/>
      <c r="N223" s="178"/>
      <c r="O223" s="495"/>
      <c r="P223" s="259">
        <f>IF(P$194="Y",E223*$F$21*'Emissions Factors'!$B40,"")</f>
        <v>49.43610238449822</v>
      </c>
      <c r="Q223" s="441"/>
      <c r="R223" s="180"/>
      <c r="S223" s="180"/>
      <c r="T223" s="496"/>
      <c r="U223" s="180">
        <f t="shared" si="59"/>
        <v>49.43610238449822</v>
      </c>
      <c r="V223" s="180">
        <f t="shared" si="55"/>
        <v>0</v>
      </c>
      <c r="X223" s="430"/>
      <c r="Y223" s="478">
        <v>2043</v>
      </c>
      <c r="Z223" s="479">
        <f t="shared" si="56"/>
        <v>49.43610238449822</v>
      </c>
      <c r="AA223" s="479">
        <f t="shared" si="56"/>
        <v>0</v>
      </c>
      <c r="AB223" s="430"/>
      <c r="AC223" s="479"/>
      <c r="AD223" s="479"/>
      <c r="AE223" s="430"/>
      <c r="AF223" s="479">
        <f t="shared" si="57"/>
        <v>49.43610238449822</v>
      </c>
      <c r="AG223" s="479">
        <f t="shared" si="50"/>
        <v>0</v>
      </c>
      <c r="AH223" s="516"/>
      <c r="AJ223" s="480">
        <f t="shared" si="51"/>
        <v>0</v>
      </c>
      <c r="AK223" s="480" t="str">
        <f t="shared" si="52"/>
        <v/>
      </c>
    </row>
    <row r="224" spans="1:37" ht="15.6" x14ac:dyDescent="0.3">
      <c r="A224" s="152">
        <v>2044</v>
      </c>
      <c r="B224" s="178"/>
      <c r="C224" s="182"/>
      <c r="D224" s="183"/>
      <c r="E224" s="179">
        <f t="shared" si="53"/>
        <v>5.1023688131532952</v>
      </c>
      <c r="F224" s="183">
        <f t="shared" si="60"/>
        <v>0.33631401215324264</v>
      </c>
      <c r="G224" s="247">
        <f t="shared" si="54"/>
        <v>0.44544350464039267</v>
      </c>
      <c r="H224" s="246"/>
      <c r="I224" s="417"/>
      <c r="J224" s="417"/>
      <c r="K224" s="182"/>
      <c r="L224" s="178"/>
      <c r="M224" s="182"/>
      <c r="N224" s="178"/>
      <c r="O224" s="495"/>
      <c r="P224" s="259">
        <f>IF(P$194="Y",E224*$F$21*'Emissions Factors'!$B41,"")</f>
        <v>52.625862285928122</v>
      </c>
      <c r="Q224" s="441"/>
      <c r="R224" s="180"/>
      <c r="S224" s="180"/>
      <c r="T224" s="496"/>
      <c r="U224" s="180">
        <f t="shared" si="59"/>
        <v>52.625862285928122</v>
      </c>
      <c r="V224" s="180">
        <f t="shared" si="55"/>
        <v>0</v>
      </c>
      <c r="X224" s="430"/>
      <c r="Y224" s="478">
        <v>2044</v>
      </c>
      <c r="Z224" s="479">
        <f t="shared" si="56"/>
        <v>52.625862285928122</v>
      </c>
      <c r="AA224" s="479">
        <f t="shared" si="56"/>
        <v>0</v>
      </c>
      <c r="AB224" s="430"/>
      <c r="AC224" s="479"/>
      <c r="AD224" s="479"/>
      <c r="AE224" s="430"/>
      <c r="AF224" s="479">
        <f t="shared" si="57"/>
        <v>52.625862285928122</v>
      </c>
      <c r="AG224" s="479">
        <f t="shared" si="50"/>
        <v>0</v>
      </c>
      <c r="AH224" s="516"/>
      <c r="AJ224" s="480">
        <f t="shared" si="51"/>
        <v>0</v>
      </c>
      <c r="AK224" s="480" t="str">
        <f t="shared" si="52"/>
        <v/>
      </c>
    </row>
    <row r="225" spans="1:37" ht="15.6" x14ac:dyDescent="0.3">
      <c r="A225" s="152">
        <v>2045</v>
      </c>
      <c r="B225" s="178"/>
      <c r="C225" s="182"/>
      <c r="D225" s="183"/>
      <c r="E225" s="179">
        <f t="shared" si="53"/>
        <v>5.4511117316308102</v>
      </c>
      <c r="F225" s="183">
        <f t="shared" si="60"/>
        <v>0.34874291847751504</v>
      </c>
      <c r="G225" s="247">
        <f t="shared" si="54"/>
        <v>0.4387574427364575</v>
      </c>
      <c r="H225" s="246"/>
      <c r="I225" s="417"/>
      <c r="J225" s="417"/>
      <c r="K225" s="182"/>
      <c r="L225" s="178"/>
      <c r="M225" s="182"/>
      <c r="N225" s="178"/>
      <c r="O225" s="495"/>
      <c r="P225" s="259">
        <f>IF(P$194="Y",E225*$F$21*'Emissions Factors'!$B42,"")</f>
        <v>55.890051282728599</v>
      </c>
      <c r="Q225" s="441"/>
      <c r="R225" s="180"/>
      <c r="S225" s="180"/>
      <c r="T225" s="496"/>
      <c r="U225" s="180">
        <f t="shared" si="59"/>
        <v>55.890051282728599</v>
      </c>
      <c r="V225" s="180">
        <f t="shared" si="55"/>
        <v>0</v>
      </c>
      <c r="X225" s="430"/>
      <c r="Y225" s="478">
        <v>2045</v>
      </c>
      <c r="Z225" s="479">
        <f t="shared" si="56"/>
        <v>55.890051282728599</v>
      </c>
      <c r="AA225" s="479">
        <f t="shared" si="56"/>
        <v>0</v>
      </c>
      <c r="AB225" s="430"/>
      <c r="AC225" s="479"/>
      <c r="AD225" s="479"/>
      <c r="AE225" s="430"/>
      <c r="AF225" s="479">
        <f t="shared" si="57"/>
        <v>55.890051282728599</v>
      </c>
      <c r="AG225" s="479">
        <f t="shared" si="50"/>
        <v>0</v>
      </c>
      <c r="AH225" s="516"/>
      <c r="AJ225" s="480">
        <f t="shared" si="51"/>
        <v>0</v>
      </c>
      <c r="AK225" s="480" t="str">
        <f t="shared" si="52"/>
        <v/>
      </c>
    </row>
    <row r="226" spans="1:37" ht="15.6" x14ac:dyDescent="0.3">
      <c r="A226" s="152">
        <v>2046</v>
      </c>
      <c r="B226" s="178"/>
      <c r="C226" s="182"/>
      <c r="D226" s="183"/>
      <c r="E226" s="179">
        <f t="shared" si="53"/>
        <v>5.8127735915163026</v>
      </c>
      <c r="F226" s="183">
        <f t="shared" si="60"/>
        <v>0.36166185988549238</v>
      </c>
      <c r="G226" s="247">
        <f t="shared" si="54"/>
        <v>0.43204923010894486</v>
      </c>
      <c r="H226" s="246"/>
      <c r="I226" s="417"/>
      <c r="J226" s="417"/>
      <c r="K226" s="182"/>
      <c r="L226" s="178"/>
      <c r="M226" s="182"/>
      <c r="N226" s="178"/>
      <c r="O226" s="495"/>
      <c r="P226" s="259">
        <f>IF(P$194="Y",E226*$F$21*'Emissions Factors'!$B43,"")</f>
        <v>59.265158452762023</v>
      </c>
      <c r="Q226" s="441"/>
      <c r="R226" s="180"/>
      <c r="S226" s="180"/>
      <c r="T226" s="496"/>
      <c r="U226" s="180">
        <f t="shared" si="59"/>
        <v>59.265158452762023</v>
      </c>
      <c r="V226" s="180">
        <f t="shared" si="55"/>
        <v>0</v>
      </c>
      <c r="X226" s="430"/>
      <c r="Y226" s="478">
        <v>2046</v>
      </c>
      <c r="Z226" s="479">
        <f t="shared" si="56"/>
        <v>59.265158452762023</v>
      </c>
      <c r="AA226" s="479">
        <f t="shared" si="56"/>
        <v>0</v>
      </c>
      <c r="AB226" s="430"/>
      <c r="AC226" s="479"/>
      <c r="AD226" s="479"/>
      <c r="AE226" s="430"/>
      <c r="AF226" s="479">
        <f t="shared" si="57"/>
        <v>59.265158452762023</v>
      </c>
      <c r="AG226" s="479">
        <f t="shared" si="50"/>
        <v>0</v>
      </c>
      <c r="AH226" s="516"/>
      <c r="AJ226" s="480">
        <f t="shared" si="51"/>
        <v>0</v>
      </c>
      <c r="AK226" s="480" t="str">
        <f t="shared" si="52"/>
        <v/>
      </c>
    </row>
    <row r="227" spans="1:37" ht="15.6" x14ac:dyDescent="0.3">
      <c r="A227" s="152">
        <v>2047</v>
      </c>
      <c r="B227" s="178"/>
      <c r="C227" s="182"/>
      <c r="D227" s="183"/>
      <c r="E227" s="179">
        <f t="shared" si="53"/>
        <v>6.1877489759554054</v>
      </c>
      <c r="F227" s="183">
        <f t="shared" si="60"/>
        <v>0.37497538443910283</v>
      </c>
      <c r="G227" s="247">
        <f t="shared" si="54"/>
        <v>0.42533012843320867</v>
      </c>
      <c r="H227" s="246"/>
      <c r="I227" s="417"/>
      <c r="J227" s="417"/>
      <c r="K227" s="182"/>
      <c r="L227" s="178"/>
      <c r="M227" s="182"/>
      <c r="N227" s="178"/>
      <c r="O227" s="495"/>
      <c r="P227" s="259">
        <f>IF(P$194="Y",E227*$F$21*'Emissions Factors'!$B44,"")</f>
        <v>62.717578626555365</v>
      </c>
      <c r="Q227" s="441"/>
      <c r="R227" s="180"/>
      <c r="S227" s="180"/>
      <c r="T227" s="496"/>
      <c r="U227" s="180">
        <f t="shared" si="59"/>
        <v>62.717578626555365</v>
      </c>
      <c r="V227" s="180">
        <f t="shared" si="55"/>
        <v>0</v>
      </c>
      <c r="X227" s="430"/>
      <c r="Y227" s="478">
        <v>2047</v>
      </c>
      <c r="Z227" s="479">
        <f t="shared" si="56"/>
        <v>62.717578626555365</v>
      </c>
      <c r="AA227" s="479">
        <f t="shared" si="56"/>
        <v>0</v>
      </c>
      <c r="AB227" s="430"/>
      <c r="AC227" s="479"/>
      <c r="AD227" s="479"/>
      <c r="AE227" s="430"/>
      <c r="AF227" s="479">
        <f t="shared" si="57"/>
        <v>62.717578626555365</v>
      </c>
      <c r="AG227" s="479">
        <f t="shared" si="50"/>
        <v>0</v>
      </c>
      <c r="AH227" s="516"/>
      <c r="AJ227" s="480">
        <f t="shared" si="51"/>
        <v>0</v>
      </c>
      <c r="AK227" s="480" t="str">
        <f t="shared" si="52"/>
        <v/>
      </c>
    </row>
    <row r="228" spans="1:37" ht="15.6" x14ac:dyDescent="0.3">
      <c r="A228" s="152">
        <v>2048</v>
      </c>
      <c r="B228" s="178"/>
      <c r="C228" s="182"/>
      <c r="D228" s="183"/>
      <c r="E228" s="179">
        <f t="shared" si="53"/>
        <v>6.5765716214553223</v>
      </c>
      <c r="F228" s="183">
        <f t="shared" si="60"/>
        <v>0.38882264549991685</v>
      </c>
      <c r="G228" s="247">
        <f t="shared" si="54"/>
        <v>0.41859816616556478</v>
      </c>
      <c r="H228" s="246"/>
      <c r="I228" s="417"/>
      <c r="J228" s="417"/>
      <c r="K228" s="182"/>
      <c r="L228" s="178"/>
      <c r="M228" s="182"/>
      <c r="N228" s="178"/>
      <c r="O228" s="495"/>
      <c r="P228" s="259">
        <f>IF(P$194="Y",E228*$F$21*'Emissions Factors'!$B45,"")</f>
        <v>66.260827191079073</v>
      </c>
      <c r="Q228" s="441"/>
      <c r="R228" s="180"/>
      <c r="S228" s="180"/>
      <c r="T228" s="496"/>
      <c r="U228" s="180">
        <f t="shared" si="59"/>
        <v>66.260827191079073</v>
      </c>
      <c r="V228" s="180">
        <f t="shared" si="55"/>
        <v>0</v>
      </c>
      <c r="X228" s="430"/>
      <c r="Y228" s="478">
        <v>2048</v>
      </c>
      <c r="Z228" s="479">
        <f t="shared" si="56"/>
        <v>66.260827191079073</v>
      </c>
      <c r="AA228" s="479">
        <f t="shared" si="56"/>
        <v>0</v>
      </c>
      <c r="AB228" s="430"/>
      <c r="AC228" s="479"/>
      <c r="AD228" s="479"/>
      <c r="AE228" s="430"/>
      <c r="AF228" s="479">
        <f t="shared" si="57"/>
        <v>66.260827191079073</v>
      </c>
      <c r="AG228" s="479">
        <f t="shared" si="50"/>
        <v>0</v>
      </c>
      <c r="AH228" s="516"/>
      <c r="AJ228" s="480">
        <f t="shared" si="51"/>
        <v>0</v>
      </c>
      <c r="AK228" s="480" t="str">
        <f t="shared" si="52"/>
        <v/>
      </c>
    </row>
    <row r="229" spans="1:37" ht="15.6" x14ac:dyDescent="0.3">
      <c r="A229" s="152">
        <v>2049</v>
      </c>
      <c r="B229" s="178"/>
      <c r="C229" s="182"/>
      <c r="D229" s="183"/>
      <c r="E229" s="179">
        <f t="shared" si="53"/>
        <v>6.9797714007761353</v>
      </c>
      <c r="F229" s="183">
        <f t="shared" si="60"/>
        <v>0.40319977932081308</v>
      </c>
      <c r="G229" s="247">
        <f t="shared" si="54"/>
        <v>0.41185222731113286</v>
      </c>
      <c r="H229" s="246"/>
      <c r="I229" s="417"/>
      <c r="J229" s="417"/>
      <c r="K229" s="182"/>
      <c r="L229" s="178"/>
      <c r="M229" s="182"/>
      <c r="N229" s="178"/>
      <c r="O229" s="495"/>
      <c r="P229" s="259">
        <f>IF(P$194="Y",E229*$F$21*'Emissions Factors'!$B46,"")</f>
        <v>69.960708776674934</v>
      </c>
      <c r="Q229" s="441"/>
      <c r="R229" s="180"/>
      <c r="S229" s="180"/>
      <c r="T229" s="496"/>
      <c r="U229" s="180">
        <f t="shared" si="59"/>
        <v>69.960708776674934</v>
      </c>
      <c r="V229" s="180">
        <f t="shared" si="55"/>
        <v>0</v>
      </c>
      <c r="X229" s="430"/>
      <c r="Y229" s="478">
        <v>2049</v>
      </c>
      <c r="Z229" s="479">
        <f t="shared" si="56"/>
        <v>69.960708776674934</v>
      </c>
      <c r="AA229" s="479">
        <f t="shared" si="56"/>
        <v>0</v>
      </c>
      <c r="AB229" s="430"/>
      <c r="AC229" s="479"/>
      <c r="AD229" s="479"/>
      <c r="AE229" s="430"/>
      <c r="AF229" s="479">
        <f t="shared" si="57"/>
        <v>69.960708776674934</v>
      </c>
      <c r="AG229" s="479">
        <f t="shared" si="50"/>
        <v>0</v>
      </c>
      <c r="AH229" s="516"/>
      <c r="AJ229" s="480">
        <f t="shared" si="51"/>
        <v>0</v>
      </c>
      <c r="AK229" s="480" t="str">
        <f t="shared" si="52"/>
        <v/>
      </c>
    </row>
    <row r="230" spans="1:37" ht="15.6" x14ac:dyDescent="0.3">
      <c r="A230" s="152">
        <v>2050</v>
      </c>
      <c r="B230" s="178"/>
      <c r="C230" s="182"/>
      <c r="D230" s="183"/>
      <c r="E230" s="179">
        <f t="shared" si="53"/>
        <v>7.397800486247446</v>
      </c>
      <c r="F230" s="183">
        <f t="shared" si="60"/>
        <v>0.41802908547131068</v>
      </c>
      <c r="G230" s="247">
        <f t="shared" si="54"/>
        <v>0.40509909512781717</v>
      </c>
      <c r="H230" s="246"/>
      <c r="I230" s="417"/>
      <c r="J230" s="417"/>
      <c r="K230" s="182"/>
      <c r="L230" s="178"/>
      <c r="M230" s="182"/>
      <c r="N230" s="178"/>
      <c r="O230" s="495"/>
      <c r="P230" s="259">
        <f>IF(P$194="Y",E230*$F$21*'Emissions Factors'!$B47,"")</f>
        <v>73.895762779647384</v>
      </c>
      <c r="Q230" s="441"/>
      <c r="R230" s="180"/>
      <c r="S230" s="180"/>
      <c r="T230" s="496"/>
      <c r="U230" s="180">
        <f t="shared" si="59"/>
        <v>73.895762779647384</v>
      </c>
      <c r="V230" s="180">
        <f t="shared" si="55"/>
        <v>0</v>
      </c>
      <c r="X230" s="430"/>
      <c r="Y230" s="478">
        <v>2050</v>
      </c>
      <c r="Z230" s="479">
        <f t="shared" si="56"/>
        <v>73.895762779647384</v>
      </c>
      <c r="AA230" s="479">
        <f t="shared" si="56"/>
        <v>0</v>
      </c>
      <c r="AB230" s="430"/>
      <c r="AC230" s="479"/>
      <c r="AD230" s="479"/>
      <c r="AE230" s="430"/>
      <c r="AF230" s="479">
        <f t="shared" si="57"/>
        <v>73.895762779647384</v>
      </c>
      <c r="AG230" s="479">
        <f t="shared" si="50"/>
        <v>0</v>
      </c>
      <c r="AH230" s="516"/>
      <c r="AJ230" s="480">
        <f t="shared" si="51"/>
        <v>0</v>
      </c>
      <c r="AK230" s="480" t="str">
        <f t="shared" si="52"/>
        <v/>
      </c>
    </row>
    <row r="231" spans="1:37" ht="15.6" x14ac:dyDescent="0.3">
      <c r="A231" s="152">
        <v>2051</v>
      </c>
      <c r="B231" s="178"/>
      <c r="C231" s="182"/>
      <c r="D231" s="183"/>
      <c r="E231" s="179">
        <f t="shared" si="53"/>
        <v>7.8309896927927536</v>
      </c>
      <c r="F231" s="183">
        <f t="shared" si="60"/>
        <v>0.43318920654530757</v>
      </c>
      <c r="G231" s="247">
        <f t="shared" si="54"/>
        <v>0.39835266351258813</v>
      </c>
      <c r="H231" s="246"/>
      <c r="I231" s="417"/>
      <c r="J231" s="417"/>
      <c r="K231" s="182"/>
      <c r="L231" s="178"/>
      <c r="M231" s="182"/>
      <c r="N231" s="178"/>
      <c r="O231" s="495"/>
      <c r="P231" s="259">
        <f>IF(P$194="Y",E231*$F$21*'Emissions Factors'!$B48,"")</f>
        <v>77.923866451042869</v>
      </c>
      <c r="Q231" s="441"/>
      <c r="R231" s="180"/>
      <c r="S231" s="180"/>
      <c r="T231" s="496"/>
      <c r="U231" s="180">
        <f t="shared" si="59"/>
        <v>77.923866451042869</v>
      </c>
      <c r="V231" s="180">
        <f t="shared" si="55"/>
        <v>0</v>
      </c>
      <c r="Y231" s="478">
        <v>2051</v>
      </c>
      <c r="Z231" s="479">
        <f t="shared" si="56"/>
        <v>77.923866451042869</v>
      </c>
      <c r="AA231" s="479">
        <f t="shared" si="56"/>
        <v>0</v>
      </c>
      <c r="AB231" s="430"/>
      <c r="AC231" s="479"/>
      <c r="AD231" s="479"/>
      <c r="AE231" s="430"/>
      <c r="AF231" s="479">
        <f t="shared" si="57"/>
        <v>77.923866451042869</v>
      </c>
      <c r="AG231" s="479">
        <f t="shared" si="50"/>
        <v>0</v>
      </c>
      <c r="AH231" s="516"/>
      <c r="AJ231" s="480">
        <f t="shared" si="51"/>
        <v>0</v>
      </c>
      <c r="AK231" s="480" t="str">
        <f t="shared" si="52"/>
        <v/>
      </c>
    </row>
    <row r="232" spans="1:37" ht="15.6" x14ac:dyDescent="0.3">
      <c r="A232" s="152">
        <v>2052</v>
      </c>
      <c r="B232" s="178"/>
      <c r="C232" s="182"/>
      <c r="D232" s="183"/>
      <c r="E232" s="179">
        <f t="shared" si="53"/>
        <v>8.2795621981454541</v>
      </c>
      <c r="F232" s="183">
        <f t="shared" si="60"/>
        <v>0.44857250535270055</v>
      </c>
      <c r="G232" s="247">
        <f t="shared" si="54"/>
        <v>0.39163287560529264</v>
      </c>
      <c r="H232" s="246"/>
      <c r="I232" s="417"/>
      <c r="J232" s="417"/>
      <c r="K232" s="182"/>
      <c r="L232" s="178"/>
      <c r="M232" s="182"/>
      <c r="N232" s="178"/>
      <c r="O232" s="495"/>
      <c r="P232" s="259">
        <f>IF(P$194="Y",E232*$F$21*'Emissions Factors'!$B49,"")</f>
        <v>82.083252964530104</v>
      </c>
      <c r="Q232" s="441"/>
      <c r="R232" s="180"/>
      <c r="S232" s="180"/>
      <c r="T232" s="496"/>
      <c r="U232" s="180">
        <f t="shared" si="59"/>
        <v>82.083252964530104</v>
      </c>
      <c r="V232" s="180">
        <f t="shared" si="55"/>
        <v>0</v>
      </c>
      <c r="Y232" s="478">
        <v>2052</v>
      </c>
      <c r="Z232" s="479">
        <f t="shared" si="56"/>
        <v>82.083252964530104</v>
      </c>
      <c r="AA232" s="479">
        <f t="shared" si="56"/>
        <v>0</v>
      </c>
      <c r="AB232" s="430"/>
      <c r="AC232" s="479"/>
      <c r="AD232" s="479"/>
      <c r="AE232" s="430"/>
      <c r="AF232" s="479">
        <f t="shared" si="57"/>
        <v>82.083252964530104</v>
      </c>
      <c r="AG232" s="479">
        <f t="shared" si="50"/>
        <v>0</v>
      </c>
      <c r="AH232" s="516"/>
      <c r="AJ232" s="480">
        <f t="shared" si="51"/>
        <v>0</v>
      </c>
      <c r="AK232" s="480" t="str">
        <f t="shared" si="52"/>
        <v/>
      </c>
    </row>
    <row r="233" spans="1:37" ht="15.6" x14ac:dyDescent="0.3">
      <c r="A233" s="152">
        <v>2053</v>
      </c>
      <c r="B233" s="178"/>
      <c r="C233" s="182"/>
      <c r="D233" s="183"/>
      <c r="E233" s="179">
        <f t="shared" si="53"/>
        <v>8.7437004266166483</v>
      </c>
      <c r="F233" s="183">
        <f t="shared" si="60"/>
        <v>0.46413822847119413</v>
      </c>
      <c r="G233" s="247">
        <f t="shared" si="54"/>
        <v>0.38496032378910572</v>
      </c>
      <c r="H233" s="246"/>
      <c r="I233" s="417"/>
      <c r="J233" s="417"/>
      <c r="K233" s="182"/>
      <c r="L233" s="178"/>
      <c r="M233" s="182"/>
      <c r="N233" s="178"/>
      <c r="O233" s="495"/>
      <c r="P233" s="259">
        <f>IF(P$194="Y",E233*$F$21*'Emissions Factors'!$B50,"")</f>
        <v>86.356688024755684</v>
      </c>
      <c r="Q233" s="441"/>
      <c r="R233" s="180"/>
      <c r="S233" s="180"/>
      <c r="T233" s="496"/>
      <c r="U233" s="180">
        <f t="shared" si="59"/>
        <v>86.356688024755684</v>
      </c>
      <c r="V233" s="180">
        <f t="shared" si="55"/>
        <v>0</v>
      </c>
      <c r="Y233" s="478">
        <v>2053</v>
      </c>
      <c r="Z233" s="479">
        <f t="shared" si="56"/>
        <v>86.356688024755684</v>
      </c>
      <c r="AA233" s="479">
        <f t="shared" si="56"/>
        <v>0</v>
      </c>
      <c r="AB233" s="430"/>
      <c r="AC233" s="479"/>
      <c r="AD233" s="479"/>
      <c r="AE233" s="430"/>
      <c r="AF233" s="479">
        <f t="shared" si="57"/>
        <v>86.356688024755684</v>
      </c>
      <c r="AG233" s="479">
        <f t="shared" si="50"/>
        <v>0</v>
      </c>
      <c r="AH233" s="516"/>
      <c r="AJ233" s="480">
        <f t="shared" si="51"/>
        <v>0</v>
      </c>
      <c r="AK233" s="480" t="str">
        <f t="shared" si="52"/>
        <v/>
      </c>
    </row>
    <row r="234" spans="1:37" ht="15.6" x14ac:dyDescent="0.3">
      <c r="A234" s="152">
        <v>2054</v>
      </c>
      <c r="B234" s="178"/>
      <c r="C234" s="182"/>
      <c r="D234" s="183"/>
      <c r="E234" s="179">
        <f t="shared" si="53"/>
        <v>9.2234763098295875</v>
      </c>
      <c r="F234" s="183">
        <f t="shared" si="60"/>
        <v>0.47977588321293929</v>
      </c>
      <c r="G234" s="247">
        <f t="shared" si="54"/>
        <v>0.37835466357419889</v>
      </c>
      <c r="H234" s="246"/>
      <c r="I234" s="417"/>
      <c r="J234" s="417"/>
      <c r="K234" s="182"/>
      <c r="L234" s="178"/>
      <c r="M234" s="182"/>
      <c r="N234" s="178"/>
      <c r="O234" s="495"/>
      <c r="P234" s="259">
        <f>IF(P$194="Y",E234*$F$21*'Emissions Factors'!$B51,"")</f>
        <v>90.741697937491679</v>
      </c>
      <c r="Q234" s="441"/>
      <c r="R234" s="180"/>
      <c r="S234" s="180"/>
      <c r="T234" s="496"/>
      <c r="U234" s="180">
        <f t="shared" si="59"/>
        <v>90.741697937491679</v>
      </c>
      <c r="V234" s="180">
        <f t="shared" si="55"/>
        <v>0</v>
      </c>
      <c r="Y234" s="478">
        <v>2054</v>
      </c>
      <c r="Z234" s="479">
        <f t="shared" si="56"/>
        <v>90.741697937491679</v>
      </c>
      <c r="AA234" s="479">
        <f t="shared" si="56"/>
        <v>0</v>
      </c>
      <c r="AB234" s="430"/>
      <c r="AC234" s="479"/>
      <c r="AD234" s="479"/>
      <c r="AE234" s="430"/>
      <c r="AF234" s="479">
        <f t="shared" si="57"/>
        <v>90.741697937491679</v>
      </c>
      <c r="AG234" s="479">
        <f t="shared" si="50"/>
        <v>0</v>
      </c>
      <c r="AH234" s="516"/>
      <c r="AJ234" s="480">
        <f t="shared" si="51"/>
        <v>0</v>
      </c>
      <c r="AK234" s="480" t="str">
        <f t="shared" si="52"/>
        <v/>
      </c>
    </row>
    <row r="235" spans="1:37" ht="15.6" x14ac:dyDescent="0.3">
      <c r="A235" s="152">
        <v>2055</v>
      </c>
      <c r="B235" s="178"/>
      <c r="C235" s="182"/>
      <c r="D235" s="183"/>
      <c r="E235" s="179">
        <f t="shared" si="53"/>
        <v>9.7188658526500884</v>
      </c>
      <c r="F235" s="183">
        <f t="shared" si="60"/>
        <v>0.49538954282050085</v>
      </c>
      <c r="G235" s="247">
        <f t="shared" si="54"/>
        <v>0.37182968638149788</v>
      </c>
      <c r="H235" s="246"/>
      <c r="I235" s="417"/>
      <c r="J235" s="417"/>
      <c r="K235" s="182"/>
      <c r="L235" s="178"/>
      <c r="M235" s="182"/>
      <c r="N235" s="178"/>
      <c r="O235" s="495"/>
      <c r="P235" s="259">
        <f>IF(P$194="Y",E235*$F$21*'Emissions Factors'!$B52,"")</f>
        <v>95.226800512411188</v>
      </c>
      <c r="Q235" s="441"/>
      <c r="R235" s="180"/>
      <c r="S235" s="180"/>
      <c r="T235" s="496"/>
      <c r="U235" s="180">
        <f t="shared" si="59"/>
        <v>95.226800512411188</v>
      </c>
      <c r="V235" s="180">
        <f t="shared" si="55"/>
        <v>0</v>
      </c>
      <c r="Y235" s="478">
        <v>2055</v>
      </c>
      <c r="Z235" s="479">
        <f t="shared" si="56"/>
        <v>95.226800512411188</v>
      </c>
      <c r="AA235" s="479">
        <f t="shared" si="56"/>
        <v>0</v>
      </c>
      <c r="AB235" s="430"/>
      <c r="AC235" s="479"/>
      <c r="AD235" s="479"/>
      <c r="AE235" s="430"/>
      <c r="AF235" s="479">
        <f t="shared" si="57"/>
        <v>95.226800512411188</v>
      </c>
      <c r="AG235" s="479">
        <f t="shared" si="50"/>
        <v>0</v>
      </c>
      <c r="AH235" s="516"/>
      <c r="AJ235" s="480">
        <f t="shared" si="51"/>
        <v>0</v>
      </c>
      <c r="AK235" s="480" t="str">
        <f t="shared" si="52"/>
        <v/>
      </c>
    </row>
    <row r="236" spans="1:37" ht="15.6" x14ac:dyDescent="0.3">
      <c r="A236" s="152">
        <v>2056</v>
      </c>
      <c r="B236" s="178"/>
      <c r="C236" s="182"/>
      <c r="D236" s="183"/>
      <c r="E236" s="179">
        <f t="shared" si="53"/>
        <v>10.229807092164501</v>
      </c>
      <c r="F236" s="183">
        <f t="shared" si="60"/>
        <v>0.51094123951441262</v>
      </c>
      <c r="G236" s="247">
        <f t="shared" si="54"/>
        <v>0.36538757738654987</v>
      </c>
      <c r="H236" s="246"/>
      <c r="I236" s="417"/>
      <c r="J236" s="417"/>
      <c r="K236" s="182"/>
      <c r="L236" s="178"/>
      <c r="M236" s="182"/>
      <c r="N236" s="178"/>
      <c r="O236" s="495"/>
      <c r="P236" s="259">
        <f>IF(P$194="Y",E236*$F$21*'Emissions Factors'!$B53,"")</f>
        <v>99.83173679148085</v>
      </c>
      <c r="Q236" s="441"/>
      <c r="R236" s="180"/>
      <c r="S236" s="180"/>
      <c r="T236" s="496"/>
      <c r="U236" s="180">
        <f t="shared" si="59"/>
        <v>99.83173679148085</v>
      </c>
      <c r="V236" s="180">
        <f t="shared" si="55"/>
        <v>0</v>
      </c>
      <c r="Y236" s="478">
        <v>2056</v>
      </c>
      <c r="Z236" s="479">
        <f t="shared" si="56"/>
        <v>99.83173679148085</v>
      </c>
      <c r="AA236" s="479">
        <f t="shared" si="56"/>
        <v>0</v>
      </c>
      <c r="AB236" s="430"/>
      <c r="AC236" s="479"/>
      <c r="AD236" s="479"/>
      <c r="AE236" s="430"/>
      <c r="AF236" s="479">
        <f t="shared" si="57"/>
        <v>99.83173679148085</v>
      </c>
      <c r="AG236" s="479">
        <f t="shared" si="50"/>
        <v>0</v>
      </c>
      <c r="AH236" s="516"/>
      <c r="AJ236" s="480">
        <f t="shared" si="51"/>
        <v>0</v>
      </c>
      <c r="AK236" s="480" t="str">
        <f t="shared" si="52"/>
        <v/>
      </c>
    </row>
    <row r="237" spans="1:37" ht="15.6" x14ac:dyDescent="0.3">
      <c r="A237" s="152">
        <v>2057</v>
      </c>
      <c r="B237" s="178"/>
      <c r="C237" s="182"/>
      <c r="D237" s="183"/>
      <c r="E237" s="179">
        <f t="shared" si="53"/>
        <v>10.756074519855424</v>
      </c>
      <c r="F237" s="183">
        <f t="shared" si="60"/>
        <v>0.52626742769092338</v>
      </c>
      <c r="G237" s="247">
        <f t="shared" si="54"/>
        <v>0.35903088773767311</v>
      </c>
      <c r="H237" s="246"/>
      <c r="I237" s="417"/>
      <c r="J237" s="417"/>
      <c r="K237" s="182"/>
      <c r="L237" s="178"/>
      <c r="M237" s="182"/>
      <c r="N237" s="178"/>
      <c r="O237" s="495"/>
      <c r="P237" s="259">
        <f>IF(P$194="Y",E237*$F$21*'Emissions Factors'!$B54,"")</f>
        <v>104.52696015238661</v>
      </c>
      <c r="Q237" s="441"/>
      <c r="R237" s="180"/>
      <c r="S237" s="180"/>
      <c r="T237" s="496"/>
      <c r="U237" s="180">
        <f t="shared" si="59"/>
        <v>104.52696015238661</v>
      </c>
      <c r="V237" s="180">
        <f t="shared" si="55"/>
        <v>0</v>
      </c>
      <c r="Y237" s="478">
        <v>2057</v>
      </c>
      <c r="Z237" s="479">
        <f t="shared" si="56"/>
        <v>104.52696015238661</v>
      </c>
      <c r="AA237" s="479">
        <f t="shared" si="56"/>
        <v>0</v>
      </c>
      <c r="AB237" s="430"/>
      <c r="AC237" s="479"/>
      <c r="AD237" s="479"/>
      <c r="AE237" s="430"/>
      <c r="AF237" s="479">
        <f t="shared" si="57"/>
        <v>104.52696015238661</v>
      </c>
      <c r="AG237" s="479">
        <f t="shared" si="50"/>
        <v>0</v>
      </c>
      <c r="AH237" s="516"/>
      <c r="AJ237" s="480">
        <f t="shared" si="51"/>
        <v>0</v>
      </c>
      <c r="AK237" s="480" t="str">
        <f t="shared" si="52"/>
        <v/>
      </c>
    </row>
    <row r="238" spans="1:37" ht="15.6" x14ac:dyDescent="0.3">
      <c r="A238" s="152">
        <v>2058</v>
      </c>
      <c r="B238" s="178"/>
      <c r="C238" s="182"/>
      <c r="D238" s="183"/>
      <c r="E238" s="179">
        <f t="shared" si="53"/>
        <v>11.297123432238974</v>
      </c>
      <c r="F238" s="183">
        <f t="shared" si="60"/>
        <v>0.54104891238355002</v>
      </c>
      <c r="G238" s="247">
        <f t="shared" si="54"/>
        <v>0.35276799593966268</v>
      </c>
      <c r="H238" s="246"/>
      <c r="I238" s="417"/>
      <c r="J238" s="417"/>
      <c r="K238" s="182"/>
      <c r="L238" s="178"/>
      <c r="M238" s="182"/>
      <c r="N238" s="178"/>
      <c r="O238" s="495"/>
      <c r="P238" s="259">
        <f>IF(P$194="Y",E238*$F$21*'Emissions Factors'!$B55,"")</f>
        <v>109.31146205271406</v>
      </c>
      <c r="Q238" s="441"/>
      <c r="R238" s="180"/>
      <c r="S238" s="180"/>
      <c r="T238" s="496"/>
      <c r="U238" s="180">
        <f t="shared" si="59"/>
        <v>109.31146205271406</v>
      </c>
      <c r="V238" s="180">
        <f t="shared" si="55"/>
        <v>0</v>
      </c>
      <c r="Y238" s="478">
        <v>2058</v>
      </c>
      <c r="Z238" s="479">
        <f t="shared" si="56"/>
        <v>109.31146205271406</v>
      </c>
      <c r="AA238" s="479">
        <f t="shared" si="56"/>
        <v>0</v>
      </c>
      <c r="AB238" s="430"/>
      <c r="AC238" s="479"/>
      <c r="AD238" s="479"/>
      <c r="AE238" s="430"/>
      <c r="AF238" s="479">
        <f t="shared" si="57"/>
        <v>109.31146205271406</v>
      </c>
      <c r="AG238" s="479">
        <f t="shared" si="50"/>
        <v>0</v>
      </c>
      <c r="AH238" s="516"/>
      <c r="AJ238" s="480">
        <f t="shared" si="51"/>
        <v>0</v>
      </c>
      <c r="AK238" s="480" t="str">
        <f t="shared" si="52"/>
        <v/>
      </c>
    </row>
    <row r="239" spans="1:37" ht="15.6" x14ac:dyDescent="0.3">
      <c r="A239" s="152">
        <v>2059</v>
      </c>
      <c r="B239" s="178"/>
      <c r="C239" s="182"/>
      <c r="D239" s="183"/>
      <c r="E239" s="179">
        <f t="shared" si="53"/>
        <v>11.852197041414017</v>
      </c>
      <c r="F239" s="183">
        <f t="shared" si="60"/>
        <v>0.555073609175043</v>
      </c>
      <c r="G239" s="247">
        <f t="shared" si="54"/>
        <v>0.34660603537023721</v>
      </c>
      <c r="H239" s="246"/>
      <c r="I239" s="417"/>
      <c r="J239" s="417"/>
      <c r="K239" s="182"/>
      <c r="L239" s="178"/>
      <c r="M239" s="182"/>
      <c r="N239" s="178"/>
      <c r="O239" s="495"/>
      <c r="P239" s="259">
        <f>IF(P$194="Y",E239*$F$21*'Emissions Factors'!$B56,"")</f>
        <v>114.17422538108865</v>
      </c>
      <c r="Q239" s="441"/>
      <c r="R239" s="180"/>
      <c r="S239" s="180"/>
      <c r="T239" s="496"/>
      <c r="U239" s="180">
        <f t="shared" si="59"/>
        <v>114.17422538108865</v>
      </c>
      <c r="V239" s="180">
        <f t="shared" si="55"/>
        <v>0</v>
      </c>
      <c r="Y239" s="478">
        <v>2059</v>
      </c>
      <c r="Z239" s="479">
        <f t="shared" si="56"/>
        <v>114.17422538108865</v>
      </c>
      <c r="AA239" s="479">
        <f t="shared" si="56"/>
        <v>0</v>
      </c>
      <c r="AB239" s="430"/>
      <c r="AC239" s="479"/>
      <c r="AD239" s="479"/>
      <c r="AE239" s="430"/>
      <c r="AF239" s="479">
        <f t="shared" si="57"/>
        <v>114.17422538108865</v>
      </c>
      <c r="AG239" s="479">
        <f t="shared" si="50"/>
        <v>0</v>
      </c>
      <c r="AH239" s="516"/>
      <c r="AJ239" s="480">
        <f t="shared" si="51"/>
        <v>0</v>
      </c>
      <c r="AK239" s="480" t="str">
        <f t="shared" si="52"/>
        <v/>
      </c>
    </row>
    <row r="240" spans="1:37" ht="15.6" x14ac:dyDescent="0.3">
      <c r="A240" s="152">
        <v>2060</v>
      </c>
      <c r="B240" s="178"/>
      <c r="C240" s="182"/>
      <c r="D240" s="183"/>
      <c r="E240" s="179">
        <f t="shared" si="53"/>
        <v>12.420472342978981</v>
      </c>
      <c r="F240" s="183">
        <f t="shared" si="60"/>
        <v>0.56827530156496309</v>
      </c>
      <c r="G240" s="247">
        <f t="shared" si="54"/>
        <v>0.34054563842250068</v>
      </c>
      <c r="H240" s="246"/>
      <c r="I240" s="417"/>
      <c r="J240" s="417"/>
      <c r="K240" s="182"/>
      <c r="L240" s="178"/>
      <c r="M240" s="182"/>
      <c r="N240" s="178"/>
      <c r="O240" s="495"/>
      <c r="P240" s="259">
        <f>IF(P$194="Y",E240*$F$21*'Emissions Factors'!$B57,"")</f>
        <v>119.14346796094031</v>
      </c>
      <c r="Q240" s="441"/>
      <c r="R240" s="180"/>
      <c r="S240" s="180"/>
      <c r="T240" s="496"/>
      <c r="U240" s="180">
        <f t="shared" si="59"/>
        <v>119.14346796094031</v>
      </c>
      <c r="V240" s="180">
        <f t="shared" si="55"/>
        <v>0</v>
      </c>
      <c r="Y240" s="478">
        <v>2060</v>
      </c>
      <c r="Z240" s="479">
        <f t="shared" si="56"/>
        <v>119.14346796094031</v>
      </c>
      <c r="AA240" s="479">
        <f t="shared" si="56"/>
        <v>0</v>
      </c>
      <c r="AB240" s="430"/>
      <c r="AC240" s="479"/>
      <c r="AD240" s="479"/>
      <c r="AE240" s="430"/>
      <c r="AF240" s="479">
        <f t="shared" si="57"/>
        <v>119.14346796094031</v>
      </c>
      <c r="AG240" s="479">
        <f t="shared" si="50"/>
        <v>0</v>
      </c>
      <c r="AH240" s="516"/>
      <c r="AJ240" s="480">
        <f t="shared" si="51"/>
        <v>0</v>
      </c>
      <c r="AK240" s="480" t="str">
        <f t="shared" si="52"/>
        <v/>
      </c>
    </row>
    <row r="241" spans="1:10" x14ac:dyDescent="0.25">
      <c r="A241" s="13"/>
      <c r="B241" s="13"/>
      <c r="C241" s="13"/>
      <c r="D241" s="13"/>
      <c r="E241" s="13"/>
      <c r="F241" s="13"/>
      <c r="G241" s="13"/>
      <c r="H241" s="13"/>
      <c r="I241" s="13"/>
      <c r="J241" s="13"/>
    </row>
    <row r="244" spans="1:10" ht="13.95" customHeight="1" x14ac:dyDescent="0.25"/>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x14ac:dyDescent="0.25">
      <c r="L280" s="170"/>
      <c r="M280" s="170"/>
      <c r="S280" s="170"/>
    </row>
    <row r="281" spans="12:19" x14ac:dyDescent="0.25">
      <c r="L281" s="170"/>
      <c r="M281" s="170"/>
      <c r="S281" s="170"/>
    </row>
    <row r="282" spans="12:19" ht="13.8" thickBot="1" x14ac:dyDescent="0.3">
      <c r="L282" s="209"/>
      <c r="M282" s="209"/>
      <c r="S282" s="209"/>
    </row>
    <row r="293" spans="1:13" x14ac:dyDescent="0.25">
      <c r="A293" s="13"/>
      <c r="B293" s="13"/>
      <c r="C293" s="13"/>
      <c r="D293" s="13"/>
      <c r="E293" s="13"/>
      <c r="F293" s="13"/>
      <c r="G293" s="13"/>
      <c r="H293" s="13"/>
      <c r="I293" s="13"/>
      <c r="J293" s="13"/>
      <c r="K293" s="13"/>
    </row>
    <row r="302" spans="1:13" ht="13.8" thickBot="1" x14ac:dyDescent="0.3"/>
    <row r="303" spans="1:13" x14ac:dyDescent="0.25">
      <c r="L303" s="202"/>
      <c r="M303" s="202"/>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row>
    <row r="311" spans="12:29" x14ac:dyDescent="0.25">
      <c r="L311" s="170"/>
      <c r="M311" s="170"/>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x14ac:dyDescent="0.25">
      <c r="L331" s="170"/>
      <c r="M331" s="170"/>
      <c r="AC331" s="251"/>
    </row>
    <row r="332" spans="12:29" x14ac:dyDescent="0.25">
      <c r="L332" s="170"/>
      <c r="M332" s="170"/>
      <c r="AC332" s="251"/>
    </row>
    <row r="333" spans="12:29" ht="13.8" thickBot="1" x14ac:dyDescent="0.3">
      <c r="L333" s="209"/>
      <c r="M333" s="209"/>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row r="342" spans="29:29" x14ac:dyDescent="0.25">
      <c r="AC342" s="251"/>
    </row>
    <row r="343" spans="29:29" x14ac:dyDescent="0.25">
      <c r="AC343" s="251"/>
    </row>
  </sheetData>
  <mergeCells count="66">
    <mergeCell ref="AC191:AD191"/>
    <mergeCell ref="AF191:AG191"/>
    <mergeCell ref="AJ191:AK191"/>
    <mergeCell ref="K192:N192"/>
    <mergeCell ref="P192:S192"/>
    <mergeCell ref="U192:V192"/>
    <mergeCell ref="Z192:AA192"/>
    <mergeCell ref="AC192:AD192"/>
    <mergeCell ref="AF192:AG192"/>
    <mergeCell ref="AJ192:AK192"/>
    <mergeCell ref="Y191:AA191"/>
    <mergeCell ref="B191:D191"/>
    <mergeCell ref="E191:H191"/>
    <mergeCell ref="K191:N191"/>
    <mergeCell ref="P191:S191"/>
    <mergeCell ref="U191:V191"/>
    <mergeCell ref="AU133:AV133"/>
    <mergeCell ref="AX133:AY133"/>
    <mergeCell ref="BA133:BB133"/>
    <mergeCell ref="BE133:BF133"/>
    <mergeCell ref="B190:H190"/>
    <mergeCell ref="K190:V190"/>
    <mergeCell ref="Y190:AG190"/>
    <mergeCell ref="R133:U133"/>
    <mergeCell ref="W133:Z133"/>
    <mergeCell ref="AB133:AC133"/>
    <mergeCell ref="AE133:AH133"/>
    <mergeCell ref="AJ133:AM133"/>
    <mergeCell ref="AO133:AP133"/>
    <mergeCell ref="BE132:BF132"/>
    <mergeCell ref="AE131:AP131"/>
    <mergeCell ref="AT131:BB131"/>
    <mergeCell ref="B132:D132"/>
    <mergeCell ref="E132:H132"/>
    <mergeCell ref="J132:L132"/>
    <mergeCell ref="M132:P132"/>
    <mergeCell ref="R132:U132"/>
    <mergeCell ref="W132:Z132"/>
    <mergeCell ref="AB132:AC132"/>
    <mergeCell ref="AE132:AH132"/>
    <mergeCell ref="AJ132:AM132"/>
    <mergeCell ref="AO132:AP132"/>
    <mergeCell ref="AT132:AV132"/>
    <mergeCell ref="AX132:AY132"/>
    <mergeCell ref="BA132:BB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dataValidations count="1">
    <dataValidation type="list" allowBlank="1" showInputMessage="1" showErrorMessage="1" sqref="C27:G27 G19 G5:H16 AE135:AH135 AJ135:AM135 R135:U135 W135:Z135 K194:N194 P194:S194">
      <formula1>"Y,N"</formula1>
    </dataValidation>
  </dataValidations>
  <pageMargins left="0.7" right="0.7" top="0.75" bottom="0.75" header="0.3" footer="0.3"/>
  <pageSetup paperSize="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6"/>
  </sheetPr>
  <dimension ref="A1:EG183"/>
  <sheetViews>
    <sheetView showGridLines="0" topLeftCell="B1" zoomScale="96" zoomScaleNormal="96" zoomScalePageLayoutView="80" workbookViewId="0">
      <selection activeCell="D3" sqref="D3:G14"/>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45.5" style="153" bestFit="1"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ComLight_cluster_lldc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309</v>
      </c>
      <c r="E3" s="249">
        <v>0.75</v>
      </c>
      <c r="F3" s="167" t="s">
        <v>211</v>
      </c>
      <c r="G3" s="167" t="s">
        <v>213</v>
      </c>
      <c r="I3" s="618"/>
      <c r="J3" s="618"/>
      <c r="K3" s="618"/>
      <c r="L3" s="618"/>
      <c r="M3" s="166"/>
      <c r="N3" s="164">
        <f ca="1">SUM(OFFSET(O27,B3-2015,0,B4-B3+1,4))/1000</f>
        <v>1.0359271298621548</v>
      </c>
      <c r="O3" s="165" t="s">
        <v>209</v>
      </c>
      <c r="Q3" s="165"/>
      <c r="S3" s="671" t="s">
        <v>210</v>
      </c>
      <c r="T3" s="671"/>
      <c r="U3" s="671"/>
      <c r="V3" s="671"/>
      <c r="W3" s="671"/>
    </row>
    <row r="4" spans="1:137" ht="13.8" x14ac:dyDescent="0.25">
      <c r="A4" s="153" t="s">
        <v>215</v>
      </c>
      <c r="B4" s="234">
        <v>2050</v>
      </c>
      <c r="D4" s="248" t="s">
        <v>310</v>
      </c>
      <c r="E4" s="249">
        <v>0.1</v>
      </c>
      <c r="F4" s="167" t="s">
        <v>211</v>
      </c>
      <c r="G4" s="167" t="s">
        <v>213</v>
      </c>
      <c r="I4" s="168"/>
      <c r="J4" s="168"/>
      <c r="K4" s="168"/>
      <c r="L4" s="168"/>
      <c r="M4" s="168"/>
      <c r="N4" s="168"/>
      <c r="S4" s="671"/>
      <c r="T4" s="671"/>
      <c r="U4" s="671"/>
      <c r="V4" s="671"/>
      <c r="W4" s="671"/>
    </row>
    <row r="5" spans="1:137" ht="12.75" customHeight="1" x14ac:dyDescent="0.25">
      <c r="D5" s="248" t="s">
        <v>311</v>
      </c>
      <c r="E5" s="249">
        <v>0.02</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312</v>
      </c>
      <c r="E6" s="249">
        <v>0.1</v>
      </c>
      <c r="F6" s="167" t="s">
        <v>211</v>
      </c>
      <c r="G6" s="167" t="s">
        <v>213</v>
      </c>
      <c r="I6" s="618"/>
      <c r="J6" s="618"/>
      <c r="K6" s="618"/>
      <c r="L6" s="618"/>
      <c r="M6" s="163"/>
      <c r="N6" s="164">
        <f>SUM(O27:R72)/1000</f>
        <v>2.6551957546865919</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319</v>
      </c>
      <c r="P15" s="260" t="s">
        <v>268</v>
      </c>
    </row>
    <row r="16" spans="1:137" ht="13.8" x14ac:dyDescent="0.25">
      <c r="F16" s="153" t="s">
        <v>217</v>
      </c>
      <c r="O16" s="261">
        <v>19.857916817007897</v>
      </c>
      <c r="P16" s="261">
        <v>16997.562599850444</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307</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211</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0</v>
      </c>
      <c r="F26" s="183" t="str">
        <f>IFERROR(E26-E25,"")</f>
        <v/>
      </c>
      <c r="G26" s="247">
        <f t="shared" ref="G26:G72" si="1">IFERROR(E26/(B85-B137),"")</f>
        <v>0</v>
      </c>
      <c r="H26" s="245" t="s">
        <v>264</v>
      </c>
      <c r="J26" s="182"/>
      <c r="K26" s="182"/>
      <c r="L26" s="182"/>
      <c r="M26" s="182"/>
      <c r="N26" s="163"/>
      <c r="O26" s="259">
        <f>IF(O$24="Y",E26*$O$16*'Emissions Factors'!B12,"")</f>
        <v>0</v>
      </c>
      <c r="P26" s="259" t="str">
        <f>IF(P$24="Y",E26*$E$5*'Emissions Factors'!$R$36*$P$16/10^6,"")</f>
        <v/>
      </c>
      <c r="Q26" s="259" t="str">
        <f>IF($Q$24="Y",IFERROR($E26*SUM($E$3,$E$4,$E$5)*('Emissions Factors'!$T$143*$P$16)/10^6,""),"")</f>
        <v/>
      </c>
      <c r="R26" s="245" t="s">
        <v>264</v>
      </c>
      <c r="T26" s="180" t="str">
        <f t="shared" ref="T26:T72" si="2">IF(AND(A26&gt;=$B$3,A26&lt;=$B$4),SUM(O26:R26),"")</f>
        <v/>
      </c>
      <c r="U26" s="180" t="str">
        <f t="shared" ref="U26:U72" si="3">IF(AND(A26&gt;=$B$3,A26&lt;=$B$4),SUM(J26:M26),"")</f>
        <v/>
      </c>
      <c r="V26" s="177"/>
      <c r="X26" s="180">
        <f t="shared" ref="X26:X72" si="4">SUM(O26:R26)</f>
        <v>0</v>
      </c>
      <c r="Y26" s="180">
        <f t="shared" ref="Y26:Y72" si="5">SUM(J26:M26)</f>
        <v>0</v>
      </c>
    </row>
    <row r="27" spans="1:26" ht="15.6" x14ac:dyDescent="0.3">
      <c r="A27" s="152">
        <v>2015</v>
      </c>
      <c r="B27" s="178">
        <f t="shared" si="0"/>
        <v>0</v>
      </c>
      <c r="C27" s="182">
        <f>IFERROR(B27-B26,"")</f>
        <v>0</v>
      </c>
      <c r="D27" s="183"/>
      <c r="E27" s="179">
        <f t="shared" ref="E27:E72" si="6">IFERROR(IF($F$17="Y",$E$17,$Y86)*(SUMIF($G$3:$G$14,"Y",$E$3:$E$14))*(B86-B138),0)</f>
        <v>0</v>
      </c>
      <c r="F27" s="183">
        <f>IFERROR(E27-E26,"")</f>
        <v>0</v>
      </c>
      <c r="G27" s="247">
        <f t="shared" si="1"/>
        <v>0</v>
      </c>
      <c r="H27" s="246"/>
      <c r="J27" s="182"/>
      <c r="K27" s="182"/>
      <c r="L27" s="182"/>
      <c r="M27" s="182"/>
      <c r="N27" s="163"/>
      <c r="O27" s="259">
        <f>IF(O$24="Y",E27*$O$16*'Emissions Factors'!B12,"")</f>
        <v>0</v>
      </c>
      <c r="P27" s="259" t="str">
        <f>IF(P$24="Y",E27*$E$5*'Emissions Factors'!$R$36*$P$16/10^6,"")</f>
        <v/>
      </c>
      <c r="Q27" s="259" t="str">
        <f>IF($Q$24="Y",IFERROR($E27*SUM($E$3,$E$4,$E$5)*('Emissions Factors'!$T$143*$P$16)/10^6,""),"")</f>
        <v/>
      </c>
      <c r="R27" s="258"/>
      <c r="T27" s="180" t="str">
        <f t="shared" si="2"/>
        <v/>
      </c>
      <c r="U27" s="180" t="str">
        <f t="shared" si="3"/>
        <v/>
      </c>
      <c r="V27" s="177"/>
      <c r="X27" s="180">
        <f t="shared" si="4"/>
        <v>0</v>
      </c>
      <c r="Y27" s="180">
        <f t="shared" si="5"/>
        <v>0</v>
      </c>
    </row>
    <row r="28" spans="1:26" ht="15.6" x14ac:dyDescent="0.3">
      <c r="A28" s="152">
        <v>2016</v>
      </c>
      <c r="B28" s="178">
        <f t="shared" si="0"/>
        <v>0</v>
      </c>
      <c r="C28" s="182">
        <f t="shared" ref="C28:C72" si="7">IFERROR(B28-B27,"")</f>
        <v>0</v>
      </c>
      <c r="D28" s="183"/>
      <c r="E28" s="179">
        <f t="shared" si="6"/>
        <v>-8.9752114438397253E-5</v>
      </c>
      <c r="F28" s="183">
        <f t="shared" ref="F28:F72" si="8">IFERROR(E28-E27,"")</f>
        <v>-8.9752114438397253E-5</v>
      </c>
      <c r="G28" s="247">
        <f>IFERROR(E28/(B87-B139),"")</f>
        <v>0.97</v>
      </c>
      <c r="H28" s="246"/>
      <c r="J28" s="182"/>
      <c r="K28" s="182"/>
      <c r="L28" s="182"/>
      <c r="M28" s="182"/>
      <c r="N28" s="163"/>
      <c r="O28" s="259">
        <f>IF(O$24="Y",E28*$O$16*'Emissions Factors'!B13,"")</f>
        <v>-1.0926395141106155E-3</v>
      </c>
      <c r="P28" s="259" t="str">
        <f>IF(P$24="Y",E28*$E$5*'Emissions Factors'!$R$36*$P$16/10^6,"")</f>
        <v/>
      </c>
      <c r="Q28" s="259" t="str">
        <f>IF($Q$24="Y",IFERROR($E28*SUM($E$3,$E$4,$E$5)*('Emissions Factors'!$T$143*$P$16)/10^6,""),"")</f>
        <v/>
      </c>
      <c r="R28" s="258"/>
      <c r="T28" s="180" t="str">
        <f t="shared" si="2"/>
        <v/>
      </c>
      <c r="U28" s="180" t="str">
        <f t="shared" si="3"/>
        <v/>
      </c>
      <c r="V28" s="177"/>
      <c r="X28" s="180">
        <f t="shared" si="4"/>
        <v>-1.0926395141106155E-3</v>
      </c>
      <c r="Y28" s="180">
        <f t="shared" si="5"/>
        <v>0</v>
      </c>
    </row>
    <row r="29" spans="1:26" ht="15.6" x14ac:dyDescent="0.3">
      <c r="A29" s="152">
        <v>2017</v>
      </c>
      <c r="B29" s="178">
        <f>IFERROR(IF($F$17="Y",$E$17,$Y88)*(IF($F$3="Y",$E$3,0)+IF($F$4="Y",$E$4,0)+IF($F$5="Y",$E$5,0)+IF($F$6="Y",$E$6,0)+IF($F$7="Y",$E$7,0)+IF($F$8="Y",$E$8,0)+IF($F$9="Y",$E$9,0)+IF($F$10="Y",$E$10,0)+IF($F$11="Y",$E$11,0)+IF($F$12="Y",$E$12,0)+IF($F$13="Y",$E$13,0)+IF($F$14="Y",$E$14,0))*(B88-B140),0)</f>
        <v>0</v>
      </c>
      <c r="C29" s="182">
        <f>IFERROR(B29-B28,"")</f>
        <v>0</v>
      </c>
      <c r="D29" s="183"/>
      <c r="E29" s="179">
        <f t="shared" si="6"/>
        <v>-9.1427508198620438E-5</v>
      </c>
      <c r="F29" s="183">
        <f>IFERROR(E29-E28,"")</f>
        <v>-1.675393760223185E-6</v>
      </c>
      <c r="G29" s="247">
        <f t="shared" si="1"/>
        <v>0.97</v>
      </c>
      <c r="H29" s="246"/>
      <c r="J29" s="182"/>
      <c r="K29" s="182"/>
      <c r="L29" s="182"/>
      <c r="M29" s="182"/>
      <c r="N29" s="163"/>
      <c r="O29" s="259">
        <f>IF(O$24="Y",E29*$O$16*'Emissions Factors'!B14,"")</f>
        <v>-1.0994286471106374E-3</v>
      </c>
      <c r="P29" s="259" t="str">
        <f>IF(P$24="Y",E29*$E$5*'Emissions Factors'!$R$36*$P$16/10^6,"")</f>
        <v/>
      </c>
      <c r="Q29" s="259" t="str">
        <f>IF($Q$24="Y",IFERROR($E29*SUM($E$3,$E$4,$E$5)*('Emissions Factors'!$T$143*$P$16)/10^6,""),"")</f>
        <v/>
      </c>
      <c r="R29" s="258"/>
      <c r="T29" s="180" t="str">
        <f t="shared" si="2"/>
        <v/>
      </c>
      <c r="U29" s="180" t="str">
        <f t="shared" si="3"/>
        <v/>
      </c>
      <c r="V29" s="177"/>
      <c r="X29" s="180">
        <f t="shared" si="4"/>
        <v>-1.0994286471106374E-3</v>
      </c>
      <c r="Y29" s="180">
        <f t="shared" si="5"/>
        <v>0</v>
      </c>
    </row>
    <row r="30" spans="1:26" ht="15.6" x14ac:dyDescent="0.3">
      <c r="A30" s="152">
        <v>2018</v>
      </c>
      <c r="B30" s="178">
        <f t="shared" si="0"/>
        <v>0</v>
      </c>
      <c r="C30" s="182">
        <f t="shared" si="7"/>
        <v>0</v>
      </c>
      <c r="D30" s="183"/>
      <c r="E30" s="179">
        <f t="shared" si="6"/>
        <v>-9.2773819533462646E-5</v>
      </c>
      <c r="F30" s="183">
        <f t="shared" si="8"/>
        <v>-1.3463113348422082E-6</v>
      </c>
      <c r="G30" s="247">
        <f t="shared" si="1"/>
        <v>0.97000000000000008</v>
      </c>
      <c r="H30" s="246"/>
      <c r="J30" s="182"/>
      <c r="K30" s="182"/>
      <c r="L30" s="182"/>
      <c r="M30" s="182"/>
      <c r="N30" s="163"/>
      <c r="O30" s="259">
        <f>IF(O$24="Y",E30*$O$16*'Emissions Factors'!B15,"")</f>
        <v>-1.1050521960592865E-3</v>
      </c>
      <c r="P30" s="259" t="str">
        <f>IF(P$24="Y",E30*$E$5*'Emissions Factors'!$R$36*$P$16/10^6,"")</f>
        <v/>
      </c>
      <c r="Q30" s="259" t="str">
        <f>IF($Q$24="Y",IFERROR($E30*SUM($E$3,$E$4,$E$5)*('Emissions Factors'!$T$143*$P$16)/10^6,""),"")</f>
        <v/>
      </c>
      <c r="R30" s="258"/>
      <c r="T30" s="180" t="str">
        <f t="shared" si="2"/>
        <v/>
      </c>
      <c r="U30" s="180" t="str">
        <f t="shared" si="3"/>
        <v/>
      </c>
      <c r="V30" s="177"/>
      <c r="X30" s="180">
        <f t="shared" si="4"/>
        <v>-1.1050521960592865E-3</v>
      </c>
      <c r="Y30" s="180">
        <f t="shared" si="5"/>
        <v>0</v>
      </c>
    </row>
    <row r="31" spans="1:26" ht="15.6" x14ac:dyDescent="0.3">
      <c r="A31" s="152">
        <v>2019</v>
      </c>
      <c r="B31" s="178">
        <f t="shared" si="0"/>
        <v>0</v>
      </c>
      <c r="C31" s="182">
        <f t="shared" si="7"/>
        <v>0</v>
      </c>
      <c r="D31" s="183"/>
      <c r="E31" s="179">
        <f t="shared" si="6"/>
        <v>-9.4259622748609211E-5</v>
      </c>
      <c r="F31" s="183">
        <f t="shared" si="8"/>
        <v>-1.4858032151465652E-6</v>
      </c>
      <c r="G31" s="247">
        <f t="shared" si="1"/>
        <v>0.97</v>
      </c>
      <c r="H31" s="246"/>
      <c r="J31" s="182"/>
      <c r="K31" s="182"/>
      <c r="L31" s="182"/>
      <c r="M31" s="182"/>
      <c r="N31" s="163"/>
      <c r="O31" s="259">
        <f>IF(O$24="Y",E31*$O$16*'Emissions Factors'!B16,"")</f>
        <v>-1.116888139366822E-3</v>
      </c>
      <c r="P31" s="259" t="str">
        <f>IF(P$24="Y",E31*$E$5*'Emissions Factors'!$R$36*$P$16/10^6,"")</f>
        <v/>
      </c>
      <c r="Q31" s="259" t="str">
        <f>IF($Q$24="Y",IFERROR($E31*SUM($E$3,$E$4,$E$5)*('Emissions Factors'!$T$143*$P$16)/10^6,""),"")</f>
        <v/>
      </c>
      <c r="R31" s="258"/>
      <c r="T31" s="180" t="str">
        <f t="shared" si="2"/>
        <v/>
      </c>
      <c r="U31" s="180" t="str">
        <f t="shared" si="3"/>
        <v/>
      </c>
      <c r="V31" s="177"/>
      <c r="X31" s="180">
        <f t="shared" si="4"/>
        <v>-1.116888139366822E-3</v>
      </c>
      <c r="Y31" s="180">
        <f t="shared" si="5"/>
        <v>0</v>
      </c>
    </row>
    <row r="32" spans="1:26" ht="15.6" x14ac:dyDescent="0.3">
      <c r="A32" s="152">
        <v>2020</v>
      </c>
      <c r="B32" s="178">
        <f t="shared" si="0"/>
        <v>0</v>
      </c>
      <c r="C32" s="182">
        <f t="shared" si="7"/>
        <v>0</v>
      </c>
      <c r="D32" s="183"/>
      <c r="E32" s="179">
        <f t="shared" si="6"/>
        <v>-9.5919417770318205E-5</v>
      </c>
      <c r="F32" s="183">
        <f t="shared" si="8"/>
        <v>-1.6597950217089939E-6</v>
      </c>
      <c r="G32" s="247">
        <f t="shared" si="1"/>
        <v>0.97</v>
      </c>
      <c r="H32" s="246"/>
      <c r="J32" s="182"/>
      <c r="K32" s="182"/>
      <c r="L32" s="182"/>
      <c r="M32" s="182"/>
      <c r="N32" s="163"/>
      <c r="O32" s="259">
        <f>IF(O$24="Y",E32*$O$16*'Emissions Factors'!B17,"")</f>
        <v>-1.1294396494102412E-3</v>
      </c>
      <c r="P32" s="259" t="str">
        <f>IF(P$24="Y",E32*$E$5*'Emissions Factors'!$R$36*$P$16/10^6,"")</f>
        <v/>
      </c>
      <c r="Q32" s="259" t="str">
        <f>IF($Q$24="Y",IFERROR($E32*SUM($E$3,$E$4,$E$5)*('Emissions Factors'!$T$143*$P$16)/10^6,""),"")</f>
        <v/>
      </c>
      <c r="R32" s="258"/>
      <c r="T32" s="180">
        <f t="shared" si="2"/>
        <v>-1.1294396494102412E-3</v>
      </c>
      <c r="U32" s="180">
        <f t="shared" si="3"/>
        <v>0</v>
      </c>
      <c r="V32" s="177"/>
      <c r="X32" s="180">
        <f t="shared" si="4"/>
        <v>-1.1294396494102412E-3</v>
      </c>
      <c r="Y32" s="180">
        <f t="shared" si="5"/>
        <v>0</v>
      </c>
    </row>
    <row r="33" spans="1:25" ht="15.6" x14ac:dyDescent="0.3">
      <c r="A33" s="152">
        <v>2021</v>
      </c>
      <c r="B33" s="178">
        <f t="shared" si="0"/>
        <v>0</v>
      </c>
      <c r="C33" s="182">
        <f t="shared" si="7"/>
        <v>0</v>
      </c>
      <c r="D33" s="183"/>
      <c r="E33" s="179">
        <f t="shared" si="6"/>
        <v>2.7524953830986819E-2</v>
      </c>
      <c r="F33" s="183">
        <f t="shared" si="8"/>
        <v>2.7620873248757137E-2</v>
      </c>
      <c r="G33" s="247">
        <f t="shared" si="1"/>
        <v>0.30386436242290538</v>
      </c>
      <c r="H33" s="246"/>
      <c r="J33" s="182"/>
      <c r="K33" s="182"/>
      <c r="L33" s="182"/>
      <c r="M33" s="182"/>
      <c r="N33" s="163"/>
      <c r="O33" s="259">
        <f>IF(O$24="Y",E33*$O$16*'Emissions Factors'!B18,"")</f>
        <v>0.32215594628526451</v>
      </c>
      <c r="P33" s="259" t="str">
        <f>IF(P$24="Y",E33*$E$5*'Emissions Factors'!$R$36*$P$16/10^6,"")</f>
        <v/>
      </c>
      <c r="Q33" s="259" t="str">
        <f>IF($Q$24="Y",IFERROR($E33*SUM($E$3,$E$4,$E$5)*('Emissions Factors'!$T$143*$P$16)/10^6,""),"")</f>
        <v/>
      </c>
      <c r="R33" s="258"/>
      <c r="T33" s="180">
        <f t="shared" si="2"/>
        <v>0.32215594628526451</v>
      </c>
      <c r="U33" s="180">
        <f t="shared" si="3"/>
        <v>0</v>
      </c>
      <c r="V33" s="177"/>
      <c r="X33" s="180">
        <f t="shared" si="4"/>
        <v>0.32215594628526451</v>
      </c>
      <c r="Y33" s="180">
        <f t="shared" si="5"/>
        <v>0</v>
      </c>
    </row>
    <row r="34" spans="1:25" ht="15.6" x14ac:dyDescent="0.3">
      <c r="A34" s="152">
        <v>2022</v>
      </c>
      <c r="B34" s="178">
        <f t="shared" si="0"/>
        <v>0</v>
      </c>
      <c r="C34" s="182">
        <f t="shared" si="7"/>
        <v>0</v>
      </c>
      <c r="D34" s="183"/>
      <c r="E34" s="179">
        <f t="shared" si="6"/>
        <v>6.9136725943664448E-2</v>
      </c>
      <c r="F34" s="183">
        <f t="shared" si="8"/>
        <v>4.1611772112677629E-2</v>
      </c>
      <c r="G34" s="247">
        <f t="shared" si="1"/>
        <v>0.32669251815732175</v>
      </c>
      <c r="H34" s="246"/>
      <c r="J34" s="182"/>
      <c r="K34" s="182"/>
      <c r="L34" s="182"/>
      <c r="M34" s="182"/>
      <c r="N34" s="163"/>
      <c r="O34" s="259">
        <f>IF(O$24="Y",E34*$O$16*'Emissions Factors'!B19,"")</f>
        <v>0.804374951215443</v>
      </c>
      <c r="P34" s="259" t="str">
        <f>IF(P$24="Y",E34*$E$5*'Emissions Factors'!$R$36*$P$16/10^6,"")</f>
        <v/>
      </c>
      <c r="Q34" s="259" t="str">
        <f>IF($Q$24="Y",IFERROR($E34*SUM($E$3,$E$4,$E$5)*('Emissions Factors'!$T$143*$P$16)/10^6,""),"")</f>
        <v/>
      </c>
      <c r="R34" s="258"/>
      <c r="T34" s="180">
        <f t="shared" si="2"/>
        <v>0.804374951215443</v>
      </c>
      <c r="U34" s="180">
        <f t="shared" si="3"/>
        <v>0</v>
      </c>
      <c r="V34" s="177"/>
      <c r="X34" s="180">
        <f t="shared" si="4"/>
        <v>0.804374951215443</v>
      </c>
      <c r="Y34" s="180">
        <f t="shared" si="5"/>
        <v>0</v>
      </c>
    </row>
    <row r="35" spans="1:25" ht="15.6" x14ac:dyDescent="0.3">
      <c r="A35" s="152">
        <v>2023</v>
      </c>
      <c r="B35" s="178">
        <f t="shared" si="0"/>
        <v>0</v>
      </c>
      <c r="C35" s="182">
        <f t="shared" si="7"/>
        <v>0</v>
      </c>
      <c r="D35" s="183"/>
      <c r="E35" s="179">
        <f t="shared" si="6"/>
        <v>0.12480540239521996</v>
      </c>
      <c r="F35" s="183">
        <f t="shared" si="8"/>
        <v>5.5668676451555515E-2</v>
      </c>
      <c r="G35" s="247">
        <f t="shared" si="1"/>
        <v>0.3444133243965527</v>
      </c>
      <c r="H35" s="246"/>
      <c r="J35" s="182"/>
      <c r="K35" s="182"/>
      <c r="L35" s="182"/>
      <c r="M35" s="182"/>
      <c r="N35" s="163"/>
      <c r="O35" s="259">
        <f>IF(O$24="Y",E35*$O$16*'Emissions Factors'!B20,"")</f>
        <v>1.4435791773997599</v>
      </c>
      <c r="P35" s="259" t="str">
        <f>IF(P$24="Y",E35*$E$5*'Emissions Factors'!$R$36*$P$16/10^6,"")</f>
        <v/>
      </c>
      <c r="Q35" s="259" t="str">
        <f>IF($Q$24="Y",IFERROR($E35*SUM($E$3,$E$4,$E$5)*('Emissions Factors'!$T$143*$P$16)/10^6,""),"")</f>
        <v/>
      </c>
      <c r="R35" s="258"/>
      <c r="T35" s="180">
        <f t="shared" si="2"/>
        <v>1.4435791773997599</v>
      </c>
      <c r="U35" s="180">
        <f t="shared" si="3"/>
        <v>0</v>
      </c>
      <c r="V35" s="177"/>
      <c r="X35" s="180">
        <f t="shared" si="4"/>
        <v>1.4435791773997599</v>
      </c>
      <c r="Y35" s="180">
        <f t="shared" si="5"/>
        <v>0</v>
      </c>
    </row>
    <row r="36" spans="1:25" ht="15.6" x14ac:dyDescent="0.3">
      <c r="A36" s="152">
        <v>2024</v>
      </c>
      <c r="B36" s="178">
        <f t="shared" si="0"/>
        <v>0</v>
      </c>
      <c r="C36" s="182">
        <f t="shared" si="7"/>
        <v>0</v>
      </c>
      <c r="D36" s="183"/>
      <c r="E36" s="179">
        <f t="shared" si="6"/>
        <v>0.19528139998051922</v>
      </c>
      <c r="F36" s="183">
        <f t="shared" si="8"/>
        <v>7.0475997585299252E-2</v>
      </c>
      <c r="G36" s="247">
        <f t="shared" si="1"/>
        <v>0.35929642478548907</v>
      </c>
      <c r="H36" s="246"/>
      <c r="J36" s="182"/>
      <c r="K36" s="182"/>
      <c r="L36" s="182"/>
      <c r="M36" s="182"/>
      <c r="N36" s="163"/>
      <c r="O36" s="259">
        <f>IF(O$24="Y",E36*$O$16*'Emissions Factors'!B21,"")</f>
        <v>2.2457841446771756</v>
      </c>
      <c r="P36" s="259" t="str">
        <f>IF(P$24="Y",E36*$E$5*'Emissions Factors'!$R$36*$P$16/10^6,"")</f>
        <v/>
      </c>
      <c r="Q36" s="259" t="str">
        <f>IF($Q$24="Y",IFERROR($E36*SUM($E$3,$E$4,$E$5)*('Emissions Factors'!$T$143*$P$16)/10^6,""),"")</f>
        <v/>
      </c>
      <c r="R36" s="258"/>
      <c r="T36" s="180">
        <f t="shared" si="2"/>
        <v>2.2457841446771756</v>
      </c>
      <c r="U36" s="180">
        <f t="shared" si="3"/>
        <v>0</v>
      </c>
      <c r="V36" s="177"/>
      <c r="X36" s="180">
        <f t="shared" si="4"/>
        <v>2.2457841446771756</v>
      </c>
      <c r="Y36" s="180">
        <f t="shared" si="5"/>
        <v>0</v>
      </c>
    </row>
    <row r="37" spans="1:25" ht="15.6" x14ac:dyDescent="0.3">
      <c r="A37" s="152">
        <v>2025</v>
      </c>
      <c r="B37" s="178">
        <f t="shared" si="0"/>
        <v>0</v>
      </c>
      <c r="C37" s="182">
        <f t="shared" si="7"/>
        <v>0</v>
      </c>
      <c r="D37" s="183"/>
      <c r="E37" s="179">
        <f t="shared" si="6"/>
        <v>0.28149151752450696</v>
      </c>
      <c r="F37" s="183">
        <f t="shared" si="8"/>
        <v>8.6210117543987747E-2</v>
      </c>
      <c r="G37" s="247">
        <f t="shared" si="1"/>
        <v>0.37233227838782273</v>
      </c>
      <c r="H37" s="246"/>
      <c r="J37" s="182"/>
      <c r="K37" s="182"/>
      <c r="L37" s="182"/>
      <c r="M37" s="182"/>
      <c r="N37" s="163"/>
      <c r="O37" s="259">
        <f>IF(O$24="Y",E37*$O$16*'Emissions Factors'!B22,"")</f>
        <v>3.2207552566773083</v>
      </c>
      <c r="P37" s="259" t="str">
        <f>IF(P$24="Y",E37*$E$5*'Emissions Factors'!$R$36*$P$16/10^6,"")</f>
        <v/>
      </c>
      <c r="Q37" s="259" t="str">
        <f>IF($Q$24="Y",IFERROR($E37*SUM($E$3,$E$4,$E$5)*('Emissions Factors'!$T$143*$P$16)/10^6,""),"")</f>
        <v/>
      </c>
      <c r="R37" s="258"/>
      <c r="T37" s="180">
        <f t="shared" si="2"/>
        <v>3.2207552566773083</v>
      </c>
      <c r="U37" s="180">
        <f t="shared" si="3"/>
        <v>0</v>
      </c>
      <c r="V37" s="177"/>
      <c r="X37" s="180">
        <f t="shared" si="4"/>
        <v>3.2207552566773083</v>
      </c>
      <c r="Y37" s="180">
        <f t="shared" si="5"/>
        <v>0</v>
      </c>
    </row>
    <row r="38" spans="1:25" ht="15.6" x14ac:dyDescent="0.3">
      <c r="A38" s="152">
        <v>2026</v>
      </c>
      <c r="B38" s="178">
        <f t="shared" si="0"/>
        <v>0</v>
      </c>
      <c r="C38" s="182">
        <f t="shared" si="7"/>
        <v>0</v>
      </c>
      <c r="D38" s="183"/>
      <c r="E38" s="179">
        <f t="shared" si="6"/>
        <v>0.38429980085630927</v>
      </c>
      <c r="F38" s="183">
        <f t="shared" si="8"/>
        <v>0.10280828333180231</v>
      </c>
      <c r="G38" s="247">
        <f t="shared" si="1"/>
        <v>0.38402887293470489</v>
      </c>
      <c r="H38" s="246"/>
      <c r="J38" s="182"/>
      <c r="K38" s="182"/>
      <c r="L38" s="182"/>
      <c r="M38" s="182"/>
      <c r="N38" s="163"/>
      <c r="O38" s="259">
        <f>IF(O$24="Y",E38*$O$16*'Emissions Factors'!B23,"")</f>
        <v>4.3700447719713633</v>
      </c>
      <c r="P38" s="259" t="str">
        <f>IF(P$24="Y",E38*$E$5*'Emissions Factors'!$R$36*$P$16/10^6,"")</f>
        <v/>
      </c>
      <c r="Q38" s="259" t="str">
        <f>IF($Q$24="Y",IFERROR($E38*SUM($E$3,$E$4,$E$5)*('Emissions Factors'!$T$143*$P$16)/10^6,""),"")</f>
        <v/>
      </c>
      <c r="R38" s="258"/>
      <c r="T38" s="180">
        <f t="shared" si="2"/>
        <v>4.3700447719713633</v>
      </c>
      <c r="U38" s="180">
        <f t="shared" si="3"/>
        <v>0</v>
      </c>
      <c r="V38" s="177"/>
      <c r="X38" s="180">
        <f t="shared" si="4"/>
        <v>4.3700447719713633</v>
      </c>
      <c r="Y38" s="180">
        <f t="shared" si="5"/>
        <v>0</v>
      </c>
    </row>
    <row r="39" spans="1:25" ht="15.6" x14ac:dyDescent="0.3">
      <c r="A39" s="152">
        <v>2027</v>
      </c>
      <c r="B39" s="178">
        <f t="shared" si="0"/>
        <v>0</v>
      </c>
      <c r="C39" s="182">
        <f t="shared" si="7"/>
        <v>0</v>
      </c>
      <c r="D39" s="183"/>
      <c r="E39" s="179">
        <f t="shared" si="6"/>
        <v>0.50458562640867055</v>
      </c>
      <c r="F39" s="183">
        <f t="shared" si="8"/>
        <v>0.12028582555236128</v>
      </c>
      <c r="G39" s="247">
        <f t="shared" si="1"/>
        <v>0.39472313688897875</v>
      </c>
      <c r="H39" s="246"/>
      <c r="J39" s="182"/>
      <c r="K39" s="182"/>
      <c r="L39" s="182"/>
      <c r="M39" s="182"/>
      <c r="N39" s="163"/>
      <c r="O39" s="259">
        <f>IF(O$24="Y",E39*$O$16*'Emissions Factors'!B24,"")</f>
        <v>5.7062472771365726</v>
      </c>
      <c r="P39" s="259" t="str">
        <f>IF(P$24="Y",E39*$E$5*'Emissions Factors'!$R$36*$P$16/10^6,"")</f>
        <v/>
      </c>
      <c r="Q39" s="259" t="str">
        <f>IF($Q$24="Y",IFERROR($E39*SUM($E$3,$E$4,$E$5)*('Emissions Factors'!$T$143*$P$16)/10^6,""),"")</f>
        <v/>
      </c>
      <c r="R39" s="258"/>
      <c r="T39" s="180">
        <f t="shared" si="2"/>
        <v>5.7062472771365726</v>
      </c>
      <c r="U39" s="180">
        <f t="shared" si="3"/>
        <v>0</v>
      </c>
      <c r="V39" s="177"/>
      <c r="X39" s="180">
        <f t="shared" si="4"/>
        <v>5.7062472771365726</v>
      </c>
      <c r="Y39" s="180">
        <f t="shared" si="5"/>
        <v>0</v>
      </c>
    </row>
    <row r="40" spans="1:25" ht="15.6" x14ac:dyDescent="0.3">
      <c r="A40" s="152">
        <v>2028</v>
      </c>
      <c r="B40" s="178">
        <f t="shared" si="0"/>
        <v>0</v>
      </c>
      <c r="C40" s="182">
        <f t="shared" si="7"/>
        <v>0</v>
      </c>
      <c r="D40" s="183"/>
      <c r="E40" s="179">
        <f t="shared" si="6"/>
        <v>0.64371828806075526</v>
      </c>
      <c r="F40" s="183">
        <f t="shared" si="8"/>
        <v>0.13913266165208471</v>
      </c>
      <c r="G40" s="247">
        <f t="shared" si="1"/>
        <v>0.40471288943546235</v>
      </c>
      <c r="H40" s="246"/>
      <c r="J40" s="182"/>
      <c r="K40" s="182"/>
      <c r="L40" s="182"/>
      <c r="M40" s="182"/>
      <c r="N40" s="163"/>
      <c r="O40" s="259">
        <f>IF(O$24="Y",E40*$O$16*'Emissions Factors'!B25,"")</f>
        <v>7.2399657941897928</v>
      </c>
      <c r="P40" s="259" t="str">
        <f>IF(P$24="Y",E40*$E$5*'Emissions Factors'!$R$36*$P$16/10^6,"")</f>
        <v/>
      </c>
      <c r="Q40" s="259" t="str">
        <f>IF($Q$24="Y",IFERROR($E40*SUM($E$3,$E$4,$E$5)*('Emissions Factors'!$T$143*$P$16)/10^6,""),"")</f>
        <v/>
      </c>
      <c r="R40" s="258"/>
      <c r="T40" s="180">
        <f t="shared" si="2"/>
        <v>7.2399657941897928</v>
      </c>
      <c r="U40" s="180">
        <f t="shared" si="3"/>
        <v>0</v>
      </c>
      <c r="V40" s="177"/>
      <c r="X40" s="180">
        <f t="shared" si="4"/>
        <v>7.2399657941897928</v>
      </c>
      <c r="Y40" s="180">
        <f t="shared" si="5"/>
        <v>0</v>
      </c>
    </row>
    <row r="41" spans="1:25" ht="15.6" x14ac:dyDescent="0.3">
      <c r="A41" s="152">
        <v>2029</v>
      </c>
      <c r="B41" s="178">
        <f t="shared" si="0"/>
        <v>0</v>
      </c>
      <c r="C41" s="182">
        <f t="shared" si="7"/>
        <v>0</v>
      </c>
      <c r="D41" s="183"/>
      <c r="E41" s="179">
        <f t="shared" si="6"/>
        <v>0.8033003601094636</v>
      </c>
      <c r="F41" s="183">
        <f t="shared" si="8"/>
        <v>0.15958207204870833</v>
      </c>
      <c r="G41" s="247">
        <f t="shared" si="1"/>
        <v>0.41420411325714535</v>
      </c>
      <c r="H41" s="246"/>
      <c r="J41" s="182"/>
      <c r="K41" s="182"/>
      <c r="L41" s="182"/>
      <c r="M41" s="182"/>
      <c r="N41" s="163"/>
      <c r="O41" s="259">
        <f>IF(O$24="Y",E41*$O$16*'Emissions Factors'!B26,"")</f>
        <v>8.985963323319913</v>
      </c>
      <c r="P41" s="259" t="str">
        <f>IF(P$24="Y",E41*$E$5*'Emissions Factors'!$R$36*$P$16/10^6,"")</f>
        <v/>
      </c>
      <c r="Q41" s="259" t="str">
        <f>IF($Q$24="Y",IFERROR($E41*SUM($E$3,$E$4,$E$5)*('Emissions Factors'!$T$143*$P$16)/10^6,""),"")</f>
        <v/>
      </c>
      <c r="R41" s="258"/>
      <c r="T41" s="180">
        <f t="shared" si="2"/>
        <v>8.985963323319913</v>
      </c>
      <c r="U41" s="180">
        <f t="shared" si="3"/>
        <v>0</v>
      </c>
      <c r="V41" s="177"/>
      <c r="X41" s="180">
        <f t="shared" si="4"/>
        <v>8.985963323319913</v>
      </c>
      <c r="Y41" s="180">
        <f t="shared" si="5"/>
        <v>0</v>
      </c>
    </row>
    <row r="42" spans="1:25" ht="15.6" x14ac:dyDescent="0.3">
      <c r="A42" s="152">
        <v>2030</v>
      </c>
      <c r="B42" s="178">
        <f t="shared" si="0"/>
        <v>0</v>
      </c>
      <c r="C42" s="182">
        <f t="shared" si="7"/>
        <v>0</v>
      </c>
      <c r="D42" s="183"/>
      <c r="E42" s="179">
        <f t="shared" si="6"/>
        <v>0.98502330536279603</v>
      </c>
      <c r="F42" s="183">
        <f t="shared" si="8"/>
        <v>0.18172294525333244</v>
      </c>
      <c r="G42" s="247">
        <f t="shared" si="1"/>
        <v>0.42331772274983981</v>
      </c>
      <c r="H42" s="246"/>
      <c r="J42" s="182"/>
      <c r="K42" s="182"/>
      <c r="L42" s="182"/>
      <c r="M42" s="182"/>
      <c r="N42" s="163"/>
      <c r="O42" s="259">
        <f>IF(O$24="Y",E42*$O$16*'Emissions Factors'!B27,"")</f>
        <v>10.962201185917895</v>
      </c>
      <c r="P42" s="259" t="str">
        <f>IF(P$24="Y",E42*$E$5*'Emissions Factors'!$R$36*$P$16/10^6,"")</f>
        <v/>
      </c>
      <c r="Q42" s="259" t="str">
        <f>IF($Q$24="Y",IFERROR($E42*SUM($E$3,$E$4,$E$5)*('Emissions Factors'!$T$143*$P$16)/10^6,""),"")</f>
        <v/>
      </c>
      <c r="R42" s="258"/>
      <c r="T42" s="180">
        <f t="shared" si="2"/>
        <v>10.962201185917895</v>
      </c>
      <c r="U42" s="180">
        <f t="shared" si="3"/>
        <v>0</v>
      </c>
      <c r="V42" s="177"/>
      <c r="X42" s="180">
        <f t="shared" si="4"/>
        <v>10.962201185917895</v>
      </c>
      <c r="Y42" s="180">
        <f t="shared" si="5"/>
        <v>0</v>
      </c>
    </row>
    <row r="43" spans="1:25" ht="15.6" x14ac:dyDescent="0.3">
      <c r="A43" s="152">
        <v>2031</v>
      </c>
      <c r="B43" s="178">
        <f t="shared" si="0"/>
        <v>0</v>
      </c>
      <c r="C43" s="182">
        <f t="shared" si="7"/>
        <v>0</v>
      </c>
      <c r="D43" s="183"/>
      <c r="E43" s="179">
        <f t="shared" si="6"/>
        <v>1.1903042758227695</v>
      </c>
      <c r="F43" s="183">
        <f t="shared" si="8"/>
        <v>0.20528097045997351</v>
      </c>
      <c r="G43" s="247">
        <f t="shared" si="1"/>
        <v>0.43208449703236834</v>
      </c>
      <c r="H43" s="246"/>
      <c r="J43" s="182"/>
      <c r="K43" s="182"/>
      <c r="L43" s="182"/>
      <c r="M43" s="182"/>
      <c r="N43" s="163"/>
      <c r="O43" s="259">
        <f>IF(O$24="Y",E43*$O$16*'Emissions Factors'!B28,"")</f>
        <v>13.173008232264085</v>
      </c>
      <c r="P43" s="259" t="str">
        <f>IF(P$24="Y",E43*$E$5*'Emissions Factors'!$R$36*$P$16/10^6,"")</f>
        <v/>
      </c>
      <c r="Q43" s="259" t="str">
        <f>IF($Q$24="Y",IFERROR($E43*SUM($E$3,$E$4,$E$5)*('Emissions Factors'!$T$143*$P$16)/10^6,""),"")</f>
        <v/>
      </c>
      <c r="R43" s="258"/>
      <c r="T43" s="180">
        <f t="shared" si="2"/>
        <v>13.173008232264085</v>
      </c>
      <c r="U43" s="180">
        <f t="shared" si="3"/>
        <v>0</v>
      </c>
      <c r="V43" s="177"/>
      <c r="X43" s="180">
        <f t="shared" si="4"/>
        <v>13.173008232264085</v>
      </c>
      <c r="Y43" s="180">
        <f t="shared" si="5"/>
        <v>0</v>
      </c>
    </row>
    <row r="44" spans="1:25" ht="15.6" x14ac:dyDescent="0.3">
      <c r="A44" s="152">
        <v>2032</v>
      </c>
      <c r="B44" s="178">
        <f t="shared" si="0"/>
        <v>0</v>
      </c>
      <c r="C44" s="182">
        <f t="shared" si="7"/>
        <v>0</v>
      </c>
      <c r="D44" s="183"/>
      <c r="E44" s="179">
        <f t="shared" si="6"/>
        <v>1.4196979661848932</v>
      </c>
      <c r="F44" s="183">
        <f t="shared" si="8"/>
        <v>0.22939369036212365</v>
      </c>
      <c r="G44" s="247">
        <f t="shared" si="1"/>
        <v>0.44049968540580442</v>
      </c>
      <c r="H44" s="246"/>
      <c r="J44" s="182"/>
      <c r="K44" s="182"/>
      <c r="L44" s="182"/>
      <c r="M44" s="182"/>
      <c r="N44" s="163"/>
      <c r="O44" s="259">
        <f>IF(O$24="Y",E44*$O$16*'Emissions Factors'!B29,"")</f>
        <v>15.628239859052162</v>
      </c>
      <c r="P44" s="259" t="str">
        <f>IF(P$24="Y",E44*$E$5*'Emissions Factors'!$R$36*$P$16/10^6,"")</f>
        <v/>
      </c>
      <c r="Q44" s="259" t="str">
        <f>IF($Q$24="Y",IFERROR($E44*SUM($E$3,$E$4,$E$5)*('Emissions Factors'!$T$143*$P$16)/10^6,""),"")</f>
        <v/>
      </c>
      <c r="R44" s="258"/>
      <c r="T44" s="180">
        <f t="shared" si="2"/>
        <v>15.628239859052162</v>
      </c>
      <c r="U44" s="180">
        <f t="shared" si="3"/>
        <v>0</v>
      </c>
      <c r="V44" s="177"/>
      <c r="X44" s="180">
        <f t="shared" si="4"/>
        <v>15.628239859052162</v>
      </c>
      <c r="Y44" s="180">
        <f t="shared" si="5"/>
        <v>0</v>
      </c>
    </row>
    <row r="45" spans="1:25" ht="15.6" x14ac:dyDescent="0.3">
      <c r="A45" s="152">
        <v>2033</v>
      </c>
      <c r="B45" s="178">
        <f t="shared" si="0"/>
        <v>0</v>
      </c>
      <c r="C45" s="182">
        <f t="shared" si="7"/>
        <v>0</v>
      </c>
      <c r="D45" s="183"/>
      <c r="E45" s="179">
        <f t="shared" si="6"/>
        <v>1.6722586449840984</v>
      </c>
      <c r="F45" s="183">
        <f t="shared" si="8"/>
        <v>0.25256067879920518</v>
      </c>
      <c r="G45" s="247">
        <f t="shared" si="1"/>
        <v>0.4485503469434805</v>
      </c>
      <c r="H45" s="246"/>
      <c r="J45" s="182"/>
      <c r="K45" s="182"/>
      <c r="L45" s="182"/>
      <c r="M45" s="182"/>
      <c r="N45" s="163"/>
      <c r="O45" s="259">
        <f>IF(O$24="Y",E45*$O$16*'Emissions Factors'!B30,"")</f>
        <v>18.310974311810622</v>
      </c>
      <c r="P45" s="259" t="str">
        <f>IF(P$24="Y",E45*$E$5*'Emissions Factors'!$R$36*$P$16/10^6,"")</f>
        <v/>
      </c>
      <c r="Q45" s="259" t="str">
        <f>IF($Q$24="Y",IFERROR($E45*SUM($E$3,$E$4,$E$5)*('Emissions Factors'!$T$143*$P$16)/10^6,""),"")</f>
        <v/>
      </c>
      <c r="R45" s="258"/>
      <c r="T45" s="180">
        <f t="shared" si="2"/>
        <v>18.310974311810622</v>
      </c>
      <c r="U45" s="180">
        <f t="shared" si="3"/>
        <v>0</v>
      </c>
      <c r="V45" s="177"/>
      <c r="X45" s="180">
        <f t="shared" si="4"/>
        <v>18.310974311810622</v>
      </c>
      <c r="Y45" s="180">
        <f t="shared" si="5"/>
        <v>0</v>
      </c>
    </row>
    <row r="46" spans="1:25" ht="15.6" x14ac:dyDescent="0.3">
      <c r="A46" s="152">
        <v>2034</v>
      </c>
      <c r="B46" s="178">
        <f t="shared" si="0"/>
        <v>0</v>
      </c>
      <c r="C46" s="182">
        <f t="shared" si="7"/>
        <v>0</v>
      </c>
      <c r="D46" s="183"/>
      <c r="E46" s="179">
        <f t="shared" si="6"/>
        <v>1.9459739721455487</v>
      </c>
      <c r="F46" s="183">
        <f t="shared" si="8"/>
        <v>0.27371532716145031</v>
      </c>
      <c r="G46" s="247">
        <f t="shared" si="1"/>
        <v>0.45623853740177339</v>
      </c>
      <c r="H46" s="246"/>
      <c r="J46" s="182"/>
      <c r="K46" s="182"/>
      <c r="L46" s="182"/>
      <c r="M46" s="182"/>
      <c r="N46" s="163"/>
      <c r="O46" s="259">
        <f>IF(O$24="Y",E46*$O$16*'Emissions Factors'!B31,"")</f>
        <v>21.195437101411386</v>
      </c>
      <c r="P46" s="259" t="str">
        <f>IF(P$24="Y",E46*$E$5*'Emissions Factors'!$R$36*$P$16/10^6,"")</f>
        <v/>
      </c>
      <c r="Q46" s="259" t="str">
        <f>IF($Q$24="Y",IFERROR($E46*SUM($E$3,$E$4,$E$5)*('Emissions Factors'!$T$143*$P$16)/10^6,""),"")</f>
        <v/>
      </c>
      <c r="R46" s="258"/>
      <c r="T46" s="180">
        <f t="shared" si="2"/>
        <v>21.195437101411386</v>
      </c>
      <c r="U46" s="180">
        <f t="shared" si="3"/>
        <v>0</v>
      </c>
      <c r="V46" s="177"/>
      <c r="X46" s="180">
        <f t="shared" si="4"/>
        <v>21.195437101411386</v>
      </c>
      <c r="Y46" s="180">
        <f t="shared" si="5"/>
        <v>0</v>
      </c>
    </row>
    <row r="47" spans="1:25" ht="15.6" x14ac:dyDescent="0.3">
      <c r="A47" s="152">
        <v>2035</v>
      </c>
      <c r="B47" s="178">
        <f t="shared" si="0"/>
        <v>0</v>
      </c>
      <c r="C47" s="182">
        <f t="shared" si="7"/>
        <v>0</v>
      </c>
      <c r="D47" s="183"/>
      <c r="E47" s="179">
        <f t="shared" si="6"/>
        <v>2.2393493913636258</v>
      </c>
      <c r="F47" s="183">
        <f t="shared" si="8"/>
        <v>0.29337541921807708</v>
      </c>
      <c r="G47" s="247">
        <f t="shared" si="1"/>
        <v>0.46360857093907698</v>
      </c>
      <c r="H47" s="246"/>
      <c r="J47" s="182"/>
      <c r="K47" s="182"/>
      <c r="L47" s="182"/>
      <c r="M47" s="182"/>
      <c r="N47" s="163"/>
      <c r="O47" s="259">
        <f>IF(O$24="Y",E47*$O$16*'Emissions Factors'!B32,"")</f>
        <v>24.258349159782604</v>
      </c>
      <c r="P47" s="259" t="str">
        <f>IF(P$24="Y",E47*$E$5*'Emissions Factors'!$R$36*$P$16/10^6,"")</f>
        <v/>
      </c>
      <c r="Q47" s="259" t="str">
        <f>IF($Q$24="Y",IFERROR($E47*SUM($E$3,$E$4,$E$5)*('Emissions Factors'!$T$143*$P$16)/10^6,""),"")</f>
        <v/>
      </c>
      <c r="R47" s="258"/>
      <c r="T47" s="180">
        <f t="shared" si="2"/>
        <v>24.258349159782604</v>
      </c>
      <c r="U47" s="180">
        <f t="shared" si="3"/>
        <v>0</v>
      </c>
      <c r="V47" s="177"/>
      <c r="X47" s="180">
        <f t="shared" si="4"/>
        <v>24.258349159782604</v>
      </c>
      <c r="Y47" s="180">
        <f t="shared" si="5"/>
        <v>0</v>
      </c>
    </row>
    <row r="48" spans="1:25" ht="15.6" x14ac:dyDescent="0.3">
      <c r="A48" s="152">
        <v>2036</v>
      </c>
      <c r="B48" s="178">
        <f t="shared" si="0"/>
        <v>0</v>
      </c>
      <c r="C48" s="182">
        <f t="shared" si="7"/>
        <v>0</v>
      </c>
      <c r="D48" s="183"/>
      <c r="E48" s="179">
        <f t="shared" si="6"/>
        <v>2.5521140084123148</v>
      </c>
      <c r="F48" s="183">
        <f t="shared" si="8"/>
        <v>0.31276461704868908</v>
      </c>
      <c r="G48" s="247">
        <f t="shared" si="1"/>
        <v>0.47073418817473117</v>
      </c>
      <c r="H48" s="246"/>
      <c r="J48" s="182"/>
      <c r="K48" s="182"/>
      <c r="L48" s="182"/>
      <c r="M48" s="182"/>
      <c r="N48" s="163"/>
      <c r="O48" s="259">
        <f>IF(O$24="Y",E48*$O$16*'Emissions Factors'!B33,"")</f>
        <v>27.503250316721225</v>
      </c>
      <c r="P48" s="259" t="str">
        <f>IF(P$24="Y",E48*$E$5*'Emissions Factors'!$R$36*$P$16/10^6,"")</f>
        <v/>
      </c>
      <c r="Q48" s="259" t="str">
        <f>IF($Q$24="Y",IFERROR($E48*SUM($E$3,$E$4,$E$5)*('Emissions Factors'!$T$143*$P$16)/10^6,""),"")</f>
        <v/>
      </c>
      <c r="R48" s="258"/>
      <c r="T48" s="180">
        <f t="shared" si="2"/>
        <v>27.503250316721225</v>
      </c>
      <c r="U48" s="180">
        <f t="shared" si="3"/>
        <v>0</v>
      </c>
      <c r="V48" s="177"/>
      <c r="X48" s="180">
        <f t="shared" si="4"/>
        <v>27.503250316721225</v>
      </c>
      <c r="Y48" s="180">
        <f t="shared" si="5"/>
        <v>0</v>
      </c>
    </row>
    <row r="49" spans="1:25" ht="15.6" x14ac:dyDescent="0.3">
      <c r="A49" s="152">
        <v>2037</v>
      </c>
      <c r="B49" s="178">
        <f t="shared" si="0"/>
        <v>0</v>
      </c>
      <c r="C49" s="182">
        <f t="shared" si="7"/>
        <v>0</v>
      </c>
      <c r="D49" s="183"/>
      <c r="E49" s="179">
        <f t="shared" si="6"/>
        <v>2.8855716743613629</v>
      </c>
      <c r="F49" s="183">
        <f t="shared" si="8"/>
        <v>0.33345766594904802</v>
      </c>
      <c r="G49" s="247">
        <f t="shared" si="1"/>
        <v>0.47769040611805241</v>
      </c>
      <c r="H49" s="246"/>
      <c r="J49" s="182"/>
      <c r="K49" s="182"/>
      <c r="L49" s="182"/>
      <c r="M49" s="182"/>
      <c r="N49" s="163"/>
      <c r="O49" s="259">
        <f>IF(O$24="Y",E49*$O$16*'Emissions Factors'!B34,"")</f>
        <v>30.930997850945612</v>
      </c>
      <c r="P49" s="259" t="str">
        <f>IF(P$24="Y",E49*$E$5*'Emissions Factors'!$R$36*$P$16/10^6,"")</f>
        <v/>
      </c>
      <c r="Q49" s="259" t="str">
        <f>IF($Q$24="Y",IFERROR($E49*SUM($E$3,$E$4,$E$5)*('Emissions Factors'!$T$143*$P$16)/10^6,""),"")</f>
        <v/>
      </c>
      <c r="R49" s="258"/>
      <c r="T49" s="180">
        <f t="shared" si="2"/>
        <v>30.930997850945612</v>
      </c>
      <c r="U49" s="180">
        <f t="shared" si="3"/>
        <v>0</v>
      </c>
      <c r="V49" s="177"/>
      <c r="X49" s="180">
        <f t="shared" si="4"/>
        <v>30.930997850945612</v>
      </c>
      <c r="Y49" s="180">
        <f t="shared" si="5"/>
        <v>0</v>
      </c>
    </row>
    <row r="50" spans="1:25" ht="15.6" x14ac:dyDescent="0.3">
      <c r="A50" s="152">
        <v>2038</v>
      </c>
      <c r="B50" s="178">
        <f t="shared" si="0"/>
        <v>0</v>
      </c>
      <c r="C50" s="182">
        <f t="shared" si="7"/>
        <v>0</v>
      </c>
      <c r="D50" s="183"/>
      <c r="E50" s="179">
        <f t="shared" si="6"/>
        <v>3.241730989202869</v>
      </c>
      <c r="F50" s="183">
        <f t="shared" si="8"/>
        <v>0.35615931484150609</v>
      </c>
      <c r="G50" s="247">
        <f t="shared" si="1"/>
        <v>0.4845271372182075</v>
      </c>
      <c r="H50" s="246"/>
      <c r="J50" s="182"/>
      <c r="K50" s="182"/>
      <c r="L50" s="182"/>
      <c r="M50" s="182"/>
      <c r="N50" s="163"/>
      <c r="O50" s="259">
        <f>IF(O$24="Y",E50*$O$16*'Emissions Factors'!B35,"")</f>
        <v>34.562641622714438</v>
      </c>
      <c r="P50" s="259" t="str">
        <f>IF(P$24="Y",E50*$E$5*'Emissions Factors'!$R$36*$P$16/10^6,"")</f>
        <v/>
      </c>
      <c r="Q50" s="259" t="str">
        <f>IF($Q$24="Y",IFERROR($E50*SUM($E$3,$E$4,$E$5)*('Emissions Factors'!$T$143*$P$16)/10^6,""),"")</f>
        <v/>
      </c>
      <c r="R50" s="258"/>
      <c r="T50" s="180">
        <f t="shared" si="2"/>
        <v>34.562641622714438</v>
      </c>
      <c r="U50" s="180">
        <f t="shared" si="3"/>
        <v>0</v>
      </c>
      <c r="V50" s="177"/>
      <c r="X50" s="180">
        <f t="shared" si="4"/>
        <v>34.562641622714438</v>
      </c>
      <c r="Y50" s="180">
        <f t="shared" si="5"/>
        <v>0</v>
      </c>
    </row>
    <row r="51" spans="1:25" ht="15.6" x14ac:dyDescent="0.3">
      <c r="A51" s="152">
        <v>2039</v>
      </c>
      <c r="B51" s="178">
        <f t="shared" si="0"/>
        <v>0</v>
      </c>
      <c r="C51" s="182">
        <f t="shared" si="7"/>
        <v>0</v>
      </c>
      <c r="D51" s="183"/>
      <c r="E51" s="179">
        <f t="shared" si="6"/>
        <v>3.6236921508032163</v>
      </c>
      <c r="F51" s="183">
        <f t="shared" si="8"/>
        <v>0.38196116160034732</v>
      </c>
      <c r="G51" s="247">
        <f t="shared" si="1"/>
        <v>0.49128300363829752</v>
      </c>
      <c r="H51" s="246"/>
      <c r="J51" s="182"/>
      <c r="K51" s="182"/>
      <c r="L51" s="182"/>
      <c r="M51" s="182"/>
      <c r="N51" s="163"/>
      <c r="O51" s="259">
        <f>IF(O$24="Y",E51*$O$16*'Emissions Factors'!B36,"")</f>
        <v>38.425974924622331</v>
      </c>
      <c r="P51" s="259" t="str">
        <f>IF(P$24="Y",E51*$E$5*'Emissions Factors'!$R$36*$P$16/10^6,"")</f>
        <v/>
      </c>
      <c r="Q51" s="259" t="str">
        <f>IF($Q$24="Y",IFERROR($E51*SUM($E$3,$E$4,$E$5)*('Emissions Factors'!$T$143*$P$16)/10^6,""),"")</f>
        <v/>
      </c>
      <c r="R51" s="258"/>
      <c r="T51" s="180">
        <f t="shared" si="2"/>
        <v>38.425974924622331</v>
      </c>
      <c r="U51" s="180">
        <f t="shared" si="3"/>
        <v>0</v>
      </c>
      <c r="V51" s="177"/>
      <c r="X51" s="180">
        <f t="shared" si="4"/>
        <v>38.425974924622331</v>
      </c>
      <c r="Y51" s="180">
        <f t="shared" si="5"/>
        <v>0</v>
      </c>
    </row>
    <row r="52" spans="1:25" ht="15.6" x14ac:dyDescent="0.3">
      <c r="A52" s="152">
        <v>2040</v>
      </c>
      <c r="B52" s="178">
        <f t="shared" si="0"/>
        <v>0</v>
      </c>
      <c r="C52" s="182">
        <f t="shared" si="7"/>
        <v>0</v>
      </c>
      <c r="D52" s="183"/>
      <c r="E52" s="179">
        <f t="shared" si="6"/>
        <v>4.0345382597122059</v>
      </c>
      <c r="F52" s="183">
        <f t="shared" si="8"/>
        <v>0.41084610890898965</v>
      </c>
      <c r="G52" s="247">
        <f t="shared" si="1"/>
        <v>0.49798485217580968</v>
      </c>
      <c r="H52" s="246"/>
      <c r="J52" s="182"/>
      <c r="K52" s="182"/>
      <c r="L52" s="182"/>
      <c r="M52" s="182"/>
      <c r="N52" s="163"/>
      <c r="O52" s="259">
        <f>IF(O$24="Y",E52*$O$16*'Emissions Factors'!B37,"")</f>
        <v>42.532806513324537</v>
      </c>
      <c r="P52" s="259" t="str">
        <f>IF(P$24="Y",E52*$E$5*'Emissions Factors'!$R$36*$P$16/10^6,"")</f>
        <v/>
      </c>
      <c r="Q52" s="259" t="str">
        <f>IF($Q$24="Y",IFERROR($E52*SUM($E$3,$E$4,$E$5)*('Emissions Factors'!$T$143*$P$16)/10^6,""),"")</f>
        <v/>
      </c>
      <c r="R52" s="258"/>
      <c r="T52" s="180">
        <f t="shared" si="2"/>
        <v>42.532806513324537</v>
      </c>
      <c r="U52" s="180">
        <f t="shared" si="3"/>
        <v>0</v>
      </c>
      <c r="V52" s="177"/>
      <c r="X52" s="180">
        <f t="shared" si="4"/>
        <v>42.532806513324537</v>
      </c>
      <c r="Y52" s="180">
        <f t="shared" si="5"/>
        <v>0</v>
      </c>
    </row>
    <row r="53" spans="1:25" ht="15.6" x14ac:dyDescent="0.3">
      <c r="A53" s="152">
        <v>2041</v>
      </c>
      <c r="B53" s="178">
        <f t="shared" si="0"/>
        <v>0</v>
      </c>
      <c r="C53" s="182">
        <f t="shared" si="7"/>
        <v>0</v>
      </c>
      <c r="D53" s="183"/>
      <c r="E53" s="179">
        <f t="shared" si="6"/>
        <v>4.4761447256227944</v>
      </c>
      <c r="F53" s="183">
        <f t="shared" si="8"/>
        <v>0.4416064659105885</v>
      </c>
      <c r="G53" s="247">
        <f t="shared" si="1"/>
        <v>0.50464292801001187</v>
      </c>
      <c r="H53" s="246"/>
      <c r="J53" s="182"/>
      <c r="K53" s="182"/>
      <c r="L53" s="182"/>
      <c r="M53" s="182"/>
      <c r="N53" s="163"/>
      <c r="O53" s="259">
        <f>IF(O$24="Y",E53*$O$16*'Emissions Factors'!B38,"")</f>
        <v>46.948737211474985</v>
      </c>
      <c r="P53" s="259" t="str">
        <f>IF(P$24="Y",E53*$E$5*'Emissions Factors'!$R$36*$P$16/10^6,"")</f>
        <v/>
      </c>
      <c r="Q53" s="259" t="str">
        <f>IF($Q$24="Y",IFERROR($E53*SUM($E$3,$E$4,$E$5)*('Emissions Factors'!$T$143*$P$16)/10^6,""),"")</f>
        <v/>
      </c>
      <c r="R53" s="258"/>
      <c r="T53" s="180">
        <f t="shared" si="2"/>
        <v>46.948737211474985</v>
      </c>
      <c r="U53" s="180">
        <f t="shared" si="3"/>
        <v>0</v>
      </c>
      <c r="V53" s="177"/>
      <c r="X53" s="180">
        <f t="shared" si="4"/>
        <v>46.948737211474985</v>
      </c>
      <c r="Y53" s="180">
        <f t="shared" si="5"/>
        <v>0</v>
      </c>
    </row>
    <row r="54" spans="1:25" ht="15.6" x14ac:dyDescent="0.3">
      <c r="A54" s="152">
        <v>2042</v>
      </c>
      <c r="B54" s="178">
        <f t="shared" si="0"/>
        <v>0</v>
      </c>
      <c r="C54" s="182">
        <f t="shared" si="7"/>
        <v>0</v>
      </c>
      <c r="D54" s="183"/>
      <c r="E54" s="179">
        <f t="shared" si="6"/>
        <v>4.9501952463095806</v>
      </c>
      <c r="F54" s="183">
        <f t="shared" si="8"/>
        <v>0.47405052068678621</v>
      </c>
      <c r="G54" s="247">
        <f t="shared" si="1"/>
        <v>0.51127375320477775</v>
      </c>
      <c r="H54" s="246"/>
      <c r="J54" s="182"/>
      <c r="K54" s="182"/>
      <c r="L54" s="182"/>
      <c r="M54" s="182"/>
      <c r="N54" s="163"/>
      <c r="O54" s="259">
        <f>IF(O$24="Y",E54*$O$16*'Emissions Factors'!B39,"")</f>
        <v>51.634187833798187</v>
      </c>
      <c r="P54" s="259" t="str">
        <f>IF(P$24="Y",E54*$E$5*'Emissions Factors'!$R$36*$P$16/10^6,"")</f>
        <v/>
      </c>
      <c r="Q54" s="259" t="str">
        <f>IF($Q$24="Y",IFERROR($E54*SUM($E$3,$E$4,$E$5)*('Emissions Factors'!$T$143*$P$16)/10^6,""),"")</f>
        <v/>
      </c>
      <c r="R54" s="258"/>
      <c r="T54" s="180">
        <f t="shared" si="2"/>
        <v>51.634187833798187</v>
      </c>
      <c r="U54" s="180">
        <f t="shared" si="3"/>
        <v>0</v>
      </c>
      <c r="V54" s="177"/>
      <c r="X54" s="180">
        <f t="shared" si="4"/>
        <v>51.634187833798187</v>
      </c>
      <c r="Y54" s="180">
        <f t="shared" si="5"/>
        <v>0</v>
      </c>
    </row>
    <row r="55" spans="1:25" ht="15.6" x14ac:dyDescent="0.3">
      <c r="A55" s="152">
        <v>2043</v>
      </c>
      <c r="B55" s="178">
        <f t="shared" si="0"/>
        <v>0</v>
      </c>
      <c r="C55" s="182">
        <f t="shared" si="7"/>
        <v>0</v>
      </c>
      <c r="D55" s="183"/>
      <c r="E55" s="179">
        <f t="shared" si="6"/>
        <v>5.4598001951090245</v>
      </c>
      <c r="F55" s="183">
        <f t="shared" si="8"/>
        <v>0.50960494879944385</v>
      </c>
      <c r="G55" s="247">
        <f t="shared" si="1"/>
        <v>0.51790350941519081</v>
      </c>
      <c r="H55" s="246"/>
      <c r="J55" s="182"/>
      <c r="K55" s="182"/>
      <c r="L55" s="182"/>
      <c r="M55" s="182"/>
      <c r="N55" s="163"/>
      <c r="O55" s="259">
        <f>IF(O$24="Y",E55*$O$16*'Emissions Factors'!B40,"")</f>
        <v>56.63200544561051</v>
      </c>
      <c r="P55" s="259" t="str">
        <f>IF(P$24="Y",E55*$E$5*'Emissions Factors'!$R$36*$P$16/10^6,"")</f>
        <v/>
      </c>
      <c r="Q55" s="259" t="str">
        <f>IF($Q$24="Y",IFERROR($E55*SUM($E$3,$E$4,$E$5)*('Emissions Factors'!$T$143*$P$16)/10^6,""),"")</f>
        <v/>
      </c>
      <c r="R55" s="258"/>
      <c r="T55" s="180">
        <f t="shared" si="2"/>
        <v>56.63200544561051</v>
      </c>
      <c r="U55" s="180">
        <f t="shared" si="3"/>
        <v>0</v>
      </c>
      <c r="V55" s="177"/>
      <c r="X55" s="180">
        <f t="shared" si="4"/>
        <v>56.63200544561051</v>
      </c>
      <c r="Y55" s="180">
        <f t="shared" si="5"/>
        <v>0</v>
      </c>
    </row>
    <row r="56" spans="1:25" ht="15.6" x14ac:dyDescent="0.3">
      <c r="A56" s="152">
        <v>2044</v>
      </c>
      <c r="B56" s="178">
        <f t="shared" si="0"/>
        <v>0</v>
      </c>
      <c r="C56" s="182">
        <f t="shared" si="7"/>
        <v>0</v>
      </c>
      <c r="D56" s="183"/>
      <c r="E56" s="179">
        <f t="shared" si="6"/>
        <v>6.0085749927380272</v>
      </c>
      <c r="F56" s="183">
        <f t="shared" si="8"/>
        <v>0.54877479762900272</v>
      </c>
      <c r="G56" s="247">
        <f t="shared" si="1"/>
        <v>0.5245564953596068</v>
      </c>
      <c r="H56" s="246"/>
      <c r="J56" s="182"/>
      <c r="K56" s="182"/>
      <c r="L56" s="182"/>
      <c r="M56" s="182"/>
      <c r="N56" s="163"/>
      <c r="O56" s="259">
        <f>IF(O$24="Y",E56*$O$16*'Emissions Factors'!B41,"")</f>
        <v>61.972478211955334</v>
      </c>
      <c r="P56" s="259" t="str">
        <f>IF(P$24="Y",E56*$E$5*'Emissions Factors'!$R$36*$P$16/10^6,"")</f>
        <v/>
      </c>
      <c r="Q56" s="259" t="str">
        <f>IF($Q$24="Y",IFERROR($E56*SUM($E$3,$E$4,$E$5)*('Emissions Factors'!$T$143*$P$16)/10^6,""),"")</f>
        <v/>
      </c>
      <c r="R56" s="258"/>
      <c r="T56" s="180">
        <f t="shared" si="2"/>
        <v>61.972478211955334</v>
      </c>
      <c r="U56" s="180">
        <f t="shared" si="3"/>
        <v>0</v>
      </c>
      <c r="V56" s="177"/>
      <c r="X56" s="180">
        <f t="shared" si="4"/>
        <v>61.972478211955334</v>
      </c>
      <c r="Y56" s="180">
        <f t="shared" si="5"/>
        <v>0</v>
      </c>
    </row>
    <row r="57" spans="1:25" ht="15.6" x14ac:dyDescent="0.3">
      <c r="A57" s="152">
        <v>2045</v>
      </c>
      <c r="B57" s="178">
        <f t="shared" si="0"/>
        <v>0</v>
      </c>
      <c r="C57" s="182">
        <f t="shared" si="7"/>
        <v>0</v>
      </c>
      <c r="D57" s="183"/>
      <c r="E57" s="179">
        <f t="shared" si="6"/>
        <v>6.6001445312923535</v>
      </c>
      <c r="F57" s="183">
        <f t="shared" si="8"/>
        <v>0.59156953855432626</v>
      </c>
      <c r="G57" s="247">
        <f t="shared" si="1"/>
        <v>0.5312425572635423</v>
      </c>
      <c r="H57" s="246"/>
      <c r="J57" s="182"/>
      <c r="K57" s="182"/>
      <c r="L57" s="182"/>
      <c r="M57" s="182"/>
      <c r="N57" s="163"/>
      <c r="O57" s="259">
        <f>IF(O$24="Y",E57*$O$16*'Emissions Factors'!B42,"")</f>
        <v>67.671042988691738</v>
      </c>
      <c r="P57" s="259" t="str">
        <f>IF(P$24="Y",E57*$E$5*'Emissions Factors'!$R$36*$P$16/10^6,"")</f>
        <v/>
      </c>
      <c r="Q57" s="259" t="str">
        <f>IF($Q$24="Y",IFERROR($E57*SUM($E$3,$E$4,$E$5)*('Emissions Factors'!$T$143*$P$16)/10^6,""),"")</f>
        <v/>
      </c>
      <c r="R57" s="258"/>
      <c r="T57" s="180">
        <f t="shared" si="2"/>
        <v>67.671042988691738</v>
      </c>
      <c r="U57" s="180">
        <f t="shared" si="3"/>
        <v>0</v>
      </c>
      <c r="V57" s="177"/>
      <c r="X57" s="180">
        <f t="shared" si="4"/>
        <v>67.671042988691738</v>
      </c>
      <c r="Y57" s="180">
        <f t="shared" si="5"/>
        <v>0</v>
      </c>
    </row>
    <row r="58" spans="1:25" ht="15.6" x14ac:dyDescent="0.3">
      <c r="A58" s="152">
        <v>2046</v>
      </c>
      <c r="B58" s="178">
        <f t="shared" si="0"/>
        <v>0</v>
      </c>
      <c r="C58" s="182">
        <f t="shared" si="7"/>
        <v>0</v>
      </c>
      <c r="D58" s="183"/>
      <c r="E58" s="179">
        <f t="shared" si="6"/>
        <v>7.2375688019860522</v>
      </c>
      <c r="F58" s="183">
        <f t="shared" si="8"/>
        <v>0.63742427069369878</v>
      </c>
      <c r="G58" s="247">
        <f t="shared" si="1"/>
        <v>0.53795076989105572</v>
      </c>
      <c r="H58" s="246"/>
      <c r="J58" s="182"/>
      <c r="K58" s="182"/>
      <c r="L58" s="182"/>
      <c r="M58" s="182"/>
      <c r="N58" s="163"/>
      <c r="O58" s="259">
        <f>IF(O$24="Y",E58*$O$16*'Emissions Factors'!B43,"")</f>
        <v>73.791909337136175</v>
      </c>
      <c r="P58" s="259" t="str">
        <f>IF(P$24="Y",E58*$E$5*'Emissions Factors'!$R$36*$P$16/10^6,"")</f>
        <v/>
      </c>
      <c r="Q58" s="259" t="str">
        <f>IF($Q$24="Y",IFERROR($E58*SUM($E$3,$E$4,$E$5)*('Emissions Factors'!$T$143*$P$16)/10^6,""),"")</f>
        <v/>
      </c>
      <c r="R58" s="258"/>
      <c r="T58" s="180">
        <f t="shared" si="2"/>
        <v>73.791909337136175</v>
      </c>
      <c r="U58" s="180">
        <f t="shared" si="3"/>
        <v>0</v>
      </c>
      <c r="V58" s="177"/>
      <c r="X58" s="180">
        <f t="shared" si="4"/>
        <v>73.791909337136175</v>
      </c>
      <c r="Y58" s="180">
        <f t="shared" si="5"/>
        <v>0</v>
      </c>
    </row>
    <row r="59" spans="1:25" ht="15.6" x14ac:dyDescent="0.3">
      <c r="A59" s="152">
        <v>2047</v>
      </c>
      <c r="B59" s="178">
        <f t="shared" si="0"/>
        <v>0</v>
      </c>
      <c r="C59" s="182">
        <f t="shared" si="7"/>
        <v>0</v>
      </c>
      <c r="D59" s="183"/>
      <c r="E59" s="179">
        <f t="shared" si="6"/>
        <v>7.9239165408674408</v>
      </c>
      <c r="F59" s="183">
        <f t="shared" si="8"/>
        <v>0.68634773888138856</v>
      </c>
      <c r="G59" s="247">
        <f t="shared" si="1"/>
        <v>0.54466987156679125</v>
      </c>
      <c r="H59" s="246"/>
      <c r="J59" s="182"/>
      <c r="K59" s="182"/>
      <c r="L59" s="182"/>
      <c r="M59" s="182"/>
      <c r="N59" s="163"/>
      <c r="O59" s="259">
        <f>IF(O$24="Y",E59*$O$16*'Emissions Factors'!B44,"")</f>
        <v>80.314967626071635</v>
      </c>
      <c r="P59" s="259" t="str">
        <f>IF(P$24="Y",E59*$E$5*'Emissions Factors'!$R$36*$P$16/10^6,"")</f>
        <v/>
      </c>
      <c r="Q59" s="259" t="str">
        <f>IF($Q$24="Y",IFERROR($E59*SUM($E$3,$E$4,$E$5)*('Emissions Factors'!$T$143*$P$16)/10^6,""),"")</f>
        <v/>
      </c>
      <c r="R59" s="258"/>
      <c r="T59" s="180">
        <f t="shared" si="2"/>
        <v>80.314967626071635</v>
      </c>
      <c r="U59" s="180">
        <f t="shared" si="3"/>
        <v>0</v>
      </c>
      <c r="V59" s="177"/>
      <c r="X59" s="180">
        <f t="shared" si="4"/>
        <v>80.314967626071635</v>
      </c>
      <c r="Y59" s="180">
        <f t="shared" si="5"/>
        <v>0</v>
      </c>
    </row>
    <row r="60" spans="1:25" ht="15.6" x14ac:dyDescent="0.3">
      <c r="A60" s="152">
        <v>2048</v>
      </c>
      <c r="B60" s="178">
        <f t="shared" si="0"/>
        <v>0</v>
      </c>
      <c r="C60" s="182">
        <f t="shared" si="7"/>
        <v>0</v>
      </c>
      <c r="D60" s="183"/>
      <c r="E60" s="179">
        <f t="shared" si="6"/>
        <v>8.6630423769694058</v>
      </c>
      <c r="F60" s="183">
        <f t="shared" si="8"/>
        <v>0.73912583610196503</v>
      </c>
      <c r="G60" s="247">
        <f t="shared" si="1"/>
        <v>0.55140183383443508</v>
      </c>
      <c r="H60" s="246"/>
      <c r="J60" s="182"/>
      <c r="K60" s="182"/>
      <c r="L60" s="182"/>
      <c r="M60" s="182"/>
      <c r="N60" s="163"/>
      <c r="O60" s="259">
        <f>IF(O$24="Y",E60*$O$16*'Emissions Factors'!B45,"")</f>
        <v>87.282612724339245</v>
      </c>
      <c r="P60" s="259" t="str">
        <f>IF(P$24="Y",E60*$E$5*'Emissions Factors'!$R$36*$P$16/10^6,"")</f>
        <v/>
      </c>
      <c r="Q60" s="259" t="str">
        <f>IF($Q$24="Y",IFERROR($E60*SUM($E$3,$E$4,$E$5)*('Emissions Factors'!$T$143*$P$16)/10^6,""),"")</f>
        <v/>
      </c>
      <c r="R60" s="258"/>
      <c r="T60" s="180">
        <f t="shared" si="2"/>
        <v>87.282612724339245</v>
      </c>
      <c r="U60" s="180">
        <f t="shared" si="3"/>
        <v>0</v>
      </c>
      <c r="V60" s="177"/>
      <c r="X60" s="180">
        <f t="shared" si="4"/>
        <v>87.282612724339245</v>
      </c>
      <c r="Y60" s="180">
        <f t="shared" si="5"/>
        <v>0</v>
      </c>
    </row>
    <row r="61" spans="1:25" ht="15.6" x14ac:dyDescent="0.3">
      <c r="A61" s="152">
        <v>2049</v>
      </c>
      <c r="B61" s="178">
        <f t="shared" si="0"/>
        <v>0</v>
      </c>
      <c r="C61" s="182">
        <f t="shared" si="7"/>
        <v>0</v>
      </c>
      <c r="D61" s="183"/>
      <c r="E61" s="179">
        <f t="shared" si="6"/>
        <v>9.4590816872713486</v>
      </c>
      <c r="F61" s="183">
        <f t="shared" si="8"/>
        <v>0.79603931030194275</v>
      </c>
      <c r="G61" s="247">
        <f t="shared" si="1"/>
        <v>0.55814777268886706</v>
      </c>
      <c r="H61" s="246"/>
      <c r="J61" s="182"/>
      <c r="K61" s="182"/>
      <c r="L61" s="182"/>
      <c r="M61" s="182"/>
      <c r="N61" s="163"/>
      <c r="O61" s="259">
        <f>IF(O$24="Y",E61*$O$16*'Emissions Factors'!B46,"")</f>
        <v>94.811709613352519</v>
      </c>
      <c r="P61" s="259" t="str">
        <f>IF(P$24="Y",E61*$E$5*'Emissions Factors'!$R$36*$P$16/10^6,"")</f>
        <v/>
      </c>
      <c r="Q61" s="259" t="str">
        <f>IF($Q$24="Y",IFERROR($E61*SUM($E$3,$E$4,$E$5)*('Emissions Factors'!$T$143*$P$16)/10^6,""),"")</f>
        <v/>
      </c>
      <c r="R61" s="258"/>
      <c r="T61" s="180">
        <f t="shared" si="2"/>
        <v>94.811709613352519</v>
      </c>
      <c r="U61" s="180">
        <f t="shared" si="3"/>
        <v>0</v>
      </c>
      <c r="V61" s="177"/>
      <c r="X61" s="180">
        <f t="shared" si="4"/>
        <v>94.811709613352519</v>
      </c>
      <c r="Y61" s="180">
        <f t="shared" si="5"/>
        <v>0</v>
      </c>
    </row>
    <row r="62" spans="1:25" ht="15.6" x14ac:dyDescent="0.3">
      <c r="A62" s="152">
        <v>2050</v>
      </c>
      <c r="B62" s="178">
        <f t="shared" si="0"/>
        <v>0</v>
      </c>
      <c r="C62" s="182">
        <f t="shared" si="7"/>
        <v>0</v>
      </c>
      <c r="D62" s="183"/>
      <c r="E62" s="179">
        <f t="shared" si="6"/>
        <v>10.316054118626184</v>
      </c>
      <c r="F62" s="183">
        <f t="shared" si="8"/>
        <v>0.85697243135483525</v>
      </c>
      <c r="G62" s="247">
        <f t="shared" si="1"/>
        <v>0.56490090487218314</v>
      </c>
      <c r="H62" s="246"/>
      <c r="J62" s="182"/>
      <c r="K62" s="182"/>
      <c r="L62" s="182"/>
      <c r="M62" s="182"/>
      <c r="N62" s="163"/>
      <c r="O62" s="259">
        <f>IF(O$24="Y",E62*$O$16*'Emissions Factors'!B47,"")</f>
        <v>103.04585658793428</v>
      </c>
      <c r="P62" s="259" t="str">
        <f>IF(P$24="Y",E62*$E$5*'Emissions Factors'!$R$36*$P$16/10^6,"")</f>
        <v/>
      </c>
      <c r="Q62" s="259" t="str">
        <f>IF($Q$24="Y",IFERROR($E62*SUM($E$3,$E$4,$E$5)*('Emissions Factors'!$T$143*$P$16)/10^6,""),"")</f>
        <v/>
      </c>
      <c r="R62" s="258"/>
      <c r="T62" s="180">
        <f t="shared" si="2"/>
        <v>103.04585658793428</v>
      </c>
      <c r="U62" s="180">
        <f t="shared" si="3"/>
        <v>0</v>
      </c>
      <c r="V62" s="177"/>
      <c r="X62" s="180">
        <f t="shared" si="4"/>
        <v>103.04585658793428</v>
      </c>
      <c r="Y62" s="180">
        <f t="shared" si="5"/>
        <v>0</v>
      </c>
    </row>
    <row r="63" spans="1:25" ht="15.6" x14ac:dyDescent="0.3">
      <c r="A63" s="152">
        <v>2051</v>
      </c>
      <c r="B63" s="178">
        <f t="shared" si="0"/>
        <v>0</v>
      </c>
      <c r="C63" s="182">
        <f t="shared" si="7"/>
        <v>0</v>
      </c>
      <c r="D63" s="183"/>
      <c r="E63" s="179">
        <f t="shared" si="6"/>
        <v>11.237691648580855</v>
      </c>
      <c r="F63" s="183">
        <f t="shared" si="8"/>
        <v>0.92163752995467085</v>
      </c>
      <c r="G63" s="247">
        <f t="shared" si="1"/>
        <v>0.57164733648741151</v>
      </c>
      <c r="H63" s="246"/>
      <c r="J63" s="182"/>
      <c r="K63" s="182"/>
      <c r="L63" s="182"/>
      <c r="M63" s="182"/>
      <c r="N63" s="163"/>
      <c r="O63" s="259">
        <f>IF(O$24="Y",E63*$O$16*'Emissions Factors'!B48,"")</f>
        <v>111.82295183557063</v>
      </c>
      <c r="P63" s="259" t="str">
        <f>IF(P$24="Y",E63*$E$5*'Emissions Factors'!$R$36*$P$16/10^6,"")</f>
        <v/>
      </c>
      <c r="Q63" s="259" t="str">
        <f>IF($Q$24="Y",IFERROR($E63*SUM($E$3,$E$4,$E$5)*('Emissions Factors'!$T$143*$P$16)/10^6,""),"")</f>
        <v/>
      </c>
      <c r="R63" s="258"/>
      <c r="T63" s="180" t="str">
        <f t="shared" si="2"/>
        <v/>
      </c>
      <c r="U63" s="180" t="str">
        <f t="shared" si="3"/>
        <v/>
      </c>
      <c r="V63" s="177"/>
      <c r="X63" s="180">
        <f t="shared" si="4"/>
        <v>111.82295183557063</v>
      </c>
      <c r="Y63" s="180">
        <f t="shared" si="5"/>
        <v>0</v>
      </c>
    </row>
    <row r="64" spans="1:25" ht="15.6" x14ac:dyDescent="0.3">
      <c r="A64" s="152">
        <v>2052</v>
      </c>
      <c r="B64" s="178">
        <f t="shared" si="0"/>
        <v>0</v>
      </c>
      <c r="C64" s="182">
        <f t="shared" si="7"/>
        <v>0</v>
      </c>
      <c r="D64" s="183"/>
      <c r="E64" s="179">
        <f t="shared" si="6"/>
        <v>12.227335543236487</v>
      </c>
      <c r="F64" s="183">
        <f t="shared" si="8"/>
        <v>0.98964389465563229</v>
      </c>
      <c r="G64" s="247">
        <f t="shared" si="1"/>
        <v>0.57836712439470739</v>
      </c>
      <c r="H64" s="246"/>
      <c r="J64" s="182"/>
      <c r="K64" s="182"/>
      <c r="L64" s="182"/>
      <c r="M64" s="182"/>
      <c r="N64" s="163"/>
      <c r="O64" s="259">
        <f>IF(O$24="Y",E64*$O$16*'Emissions Factors'!B49,"")</f>
        <v>121.22132214943456</v>
      </c>
      <c r="P64" s="259" t="str">
        <f>IF(P$24="Y",E64*$E$5*'Emissions Factors'!$R$36*$P$16/10^6,"")</f>
        <v/>
      </c>
      <c r="Q64" s="259" t="str">
        <f>IF($Q$24="Y",IFERROR($E64*SUM($E$3,$E$4,$E$5)*('Emissions Factors'!$T$143*$P$16)/10^6,""),"")</f>
        <v/>
      </c>
      <c r="R64" s="258"/>
      <c r="T64" s="180" t="str">
        <f t="shared" si="2"/>
        <v/>
      </c>
      <c r="U64" s="180" t="str">
        <f t="shared" si="3"/>
        <v/>
      </c>
      <c r="V64" s="177"/>
      <c r="X64" s="180">
        <f t="shared" si="4"/>
        <v>121.22132214943456</v>
      </c>
      <c r="Y64" s="180">
        <f t="shared" si="5"/>
        <v>0</v>
      </c>
    </row>
    <row r="65" spans="1:25" ht="15.6" x14ac:dyDescent="0.3">
      <c r="A65" s="152">
        <v>2053</v>
      </c>
      <c r="B65" s="178">
        <f t="shared" si="0"/>
        <v>0</v>
      </c>
      <c r="C65" s="182">
        <f t="shared" si="7"/>
        <v>0</v>
      </c>
      <c r="D65" s="183"/>
      <c r="E65" s="179">
        <f t="shared" si="6"/>
        <v>13.288152961122448</v>
      </c>
      <c r="F65" s="183">
        <f t="shared" si="8"/>
        <v>1.0608174178859606</v>
      </c>
      <c r="G65" s="247">
        <f t="shared" si="1"/>
        <v>0.58503967621089414</v>
      </c>
      <c r="H65" s="246"/>
      <c r="J65" s="182"/>
      <c r="K65" s="182"/>
      <c r="L65" s="182"/>
      <c r="M65" s="182"/>
      <c r="N65" s="163"/>
      <c r="O65" s="259">
        <f>IF(O$24="Y",E65*$O$16*'Emissions Factors'!B50,"")</f>
        <v>131.23972959957811</v>
      </c>
      <c r="P65" s="259" t="str">
        <f>IF(P$24="Y",E65*$E$5*'Emissions Factors'!$R$36*$P$16/10^6,"")</f>
        <v/>
      </c>
      <c r="Q65" s="259" t="str">
        <f>IF($Q$24="Y",IFERROR($E65*SUM($E$3,$E$4,$E$5)*('Emissions Factors'!$T$143*$P$16)/10^6,""),"")</f>
        <v/>
      </c>
      <c r="R65" s="258"/>
      <c r="T65" s="180" t="str">
        <f t="shared" si="2"/>
        <v/>
      </c>
      <c r="U65" s="180" t="str">
        <f t="shared" si="3"/>
        <v/>
      </c>
      <c r="V65" s="177"/>
      <c r="X65" s="180">
        <f t="shared" si="4"/>
        <v>131.23972959957811</v>
      </c>
      <c r="Y65" s="180">
        <f t="shared" si="5"/>
        <v>0</v>
      </c>
    </row>
    <row r="66" spans="1:25" ht="15.6" x14ac:dyDescent="0.3">
      <c r="A66" s="152">
        <v>2054</v>
      </c>
      <c r="B66" s="178">
        <f t="shared" si="0"/>
        <v>0</v>
      </c>
      <c r="C66" s="182">
        <f t="shared" si="7"/>
        <v>0</v>
      </c>
      <c r="D66" s="183"/>
      <c r="E66" s="179">
        <f t="shared" si="6"/>
        <v>14.423046072152772</v>
      </c>
      <c r="F66" s="183">
        <f t="shared" si="8"/>
        <v>1.1348931110303244</v>
      </c>
      <c r="G66" s="247">
        <f t="shared" si="1"/>
        <v>0.59164533642580108</v>
      </c>
      <c r="H66" s="246"/>
      <c r="J66" s="182"/>
      <c r="K66" s="182"/>
      <c r="L66" s="182"/>
      <c r="M66" s="182"/>
      <c r="N66" s="163"/>
      <c r="O66" s="259">
        <f>IF(O$24="Y",E66*$O$16*'Emissions Factors'!B51,"")</f>
        <v>141.895706787151</v>
      </c>
      <c r="P66" s="259" t="str">
        <f>IF(P$24="Y",E66*$E$5*'Emissions Factors'!$R$36*$P$16/10^6,"")</f>
        <v/>
      </c>
      <c r="Q66" s="259" t="str">
        <f>IF($Q$24="Y",IFERROR($E66*SUM($E$3,$E$4,$E$5)*('Emissions Factors'!$T$143*$P$16)/10^6,""),"")</f>
        <v/>
      </c>
      <c r="R66" s="258"/>
      <c r="T66" s="180" t="str">
        <f t="shared" si="2"/>
        <v/>
      </c>
      <c r="U66" s="180" t="str">
        <f t="shared" si="3"/>
        <v/>
      </c>
      <c r="V66" s="177"/>
      <c r="X66" s="180">
        <f t="shared" si="4"/>
        <v>141.895706787151</v>
      </c>
      <c r="Y66" s="180">
        <f t="shared" si="5"/>
        <v>0</v>
      </c>
    </row>
    <row r="67" spans="1:25" ht="15.6" x14ac:dyDescent="0.3">
      <c r="A67" s="152">
        <v>2055</v>
      </c>
      <c r="B67" s="178">
        <f t="shared" si="0"/>
        <v>0</v>
      </c>
      <c r="C67" s="182">
        <f t="shared" si="7"/>
        <v>0</v>
      </c>
      <c r="D67" s="183"/>
      <c r="E67" s="179">
        <f t="shared" si="6"/>
        <v>15.634945912121593</v>
      </c>
      <c r="F67" s="183">
        <f t="shared" si="8"/>
        <v>1.2118998399688206</v>
      </c>
      <c r="G67" s="247">
        <f t="shared" si="1"/>
        <v>0.59817031361850215</v>
      </c>
      <c r="H67" s="246"/>
      <c r="J67" s="182"/>
      <c r="K67" s="182"/>
      <c r="L67" s="182"/>
      <c r="M67" s="182"/>
      <c r="N67" s="163"/>
      <c r="O67" s="259">
        <f>IF(O$24="Y",E67*$O$16*'Emissions Factors'!B52,"")</f>
        <v>153.19337646686066</v>
      </c>
      <c r="P67" s="259" t="str">
        <f>IF(P$24="Y",E67*$E$5*'Emissions Factors'!$R$36*$P$16/10^6,"")</f>
        <v/>
      </c>
      <c r="Q67" s="259" t="str">
        <f>IF($Q$24="Y",IFERROR($E67*SUM($E$3,$E$4,$E$5)*('Emissions Factors'!$T$143*$P$16)/10^6,""),"")</f>
        <v/>
      </c>
      <c r="R67" s="258"/>
      <c r="T67" s="180" t="str">
        <f t="shared" si="2"/>
        <v/>
      </c>
      <c r="U67" s="180" t="str">
        <f t="shared" si="3"/>
        <v/>
      </c>
      <c r="V67" s="177"/>
      <c r="X67" s="180">
        <f t="shared" si="4"/>
        <v>153.19337646686066</v>
      </c>
      <c r="Y67" s="180">
        <f t="shared" si="5"/>
        <v>0</v>
      </c>
    </row>
    <row r="68" spans="1:25" ht="15.6" x14ac:dyDescent="0.3">
      <c r="A68" s="152">
        <v>2056</v>
      </c>
      <c r="B68" s="178">
        <f t="shared" si="0"/>
        <v>0</v>
      </c>
      <c r="C68" s="182">
        <f t="shared" si="7"/>
        <v>0</v>
      </c>
      <c r="D68" s="183"/>
      <c r="E68" s="179">
        <f t="shared" si="6"/>
        <v>16.927418532126353</v>
      </c>
      <c r="F68" s="183">
        <f t="shared" si="8"/>
        <v>1.2924726200047605</v>
      </c>
      <c r="G68" s="247">
        <f t="shared" si="1"/>
        <v>0.6046124226134505</v>
      </c>
      <c r="H68" s="246"/>
      <c r="J68" s="182"/>
      <c r="K68" s="182"/>
      <c r="L68" s="182"/>
      <c r="M68" s="182"/>
      <c r="N68" s="163"/>
      <c r="O68" s="259">
        <f>IF(O$24="Y",E68*$O$16*'Emissions Factors'!B53,"")</f>
        <v>165.19310444796594</v>
      </c>
      <c r="P68" s="259" t="str">
        <f>IF(P$24="Y",E68*$E$5*'Emissions Factors'!$R$36*$P$16/10^6,"")</f>
        <v/>
      </c>
      <c r="Q68" s="259" t="str">
        <f>IF($Q$24="Y",IFERROR($E68*SUM($E$3,$E$4,$E$5)*('Emissions Factors'!$T$143*$P$16)/10^6,""),"")</f>
        <v/>
      </c>
      <c r="R68" s="258"/>
      <c r="T68" s="180" t="str">
        <f t="shared" si="2"/>
        <v/>
      </c>
      <c r="U68" s="180" t="str">
        <f t="shared" si="3"/>
        <v/>
      </c>
      <c r="V68" s="177"/>
      <c r="X68" s="180">
        <f t="shared" si="4"/>
        <v>165.19310444796594</v>
      </c>
      <c r="Y68" s="180">
        <f t="shared" si="5"/>
        <v>0</v>
      </c>
    </row>
    <row r="69" spans="1:25" ht="15.6" x14ac:dyDescent="0.3">
      <c r="A69" s="152">
        <v>2057</v>
      </c>
      <c r="B69" s="178">
        <f t="shared" si="0"/>
        <v>0</v>
      </c>
      <c r="C69" s="182">
        <f t="shared" si="7"/>
        <v>0</v>
      </c>
      <c r="D69" s="183"/>
      <c r="E69" s="179">
        <f t="shared" si="6"/>
        <v>18.303799269841885</v>
      </c>
      <c r="F69" s="183">
        <f t="shared" si="8"/>
        <v>1.3763807377155324</v>
      </c>
      <c r="G69" s="247">
        <f t="shared" si="1"/>
        <v>0.61096911226232709</v>
      </c>
      <c r="H69" s="246"/>
      <c r="J69" s="182"/>
      <c r="K69" s="182"/>
      <c r="L69" s="182"/>
      <c r="M69" s="182"/>
      <c r="N69" s="163"/>
      <c r="O69" s="259">
        <f>IF(O$24="Y",E69*$O$16*'Emissions Factors'!B54,"")</f>
        <v>177.8753478682446</v>
      </c>
      <c r="P69" s="259" t="str">
        <f>IF(P$24="Y",E69*$E$5*'Emissions Factors'!$R$36*$P$16/10^6,"")</f>
        <v/>
      </c>
      <c r="Q69" s="259" t="str">
        <f>IF($Q$24="Y",IFERROR($E69*SUM($E$3,$E$4,$E$5)*('Emissions Factors'!$T$143*$P$16)/10^6,""),"")</f>
        <v/>
      </c>
      <c r="R69" s="258"/>
      <c r="T69" s="180" t="str">
        <f t="shared" si="2"/>
        <v/>
      </c>
      <c r="U69" s="180" t="str">
        <f t="shared" si="3"/>
        <v/>
      </c>
      <c r="V69" s="177"/>
      <c r="X69" s="180">
        <f t="shared" si="4"/>
        <v>177.8753478682446</v>
      </c>
      <c r="Y69" s="180">
        <f t="shared" si="5"/>
        <v>0</v>
      </c>
    </row>
    <row r="70" spans="1:25" ht="15.6" x14ac:dyDescent="0.3">
      <c r="A70" s="152">
        <v>2058</v>
      </c>
      <c r="B70" s="178">
        <f t="shared" si="0"/>
        <v>0</v>
      </c>
      <c r="C70" s="182">
        <f t="shared" si="7"/>
        <v>0</v>
      </c>
      <c r="D70" s="183"/>
      <c r="E70" s="179">
        <f t="shared" si="6"/>
        <v>19.766379650240463</v>
      </c>
      <c r="F70" s="183">
        <f t="shared" si="8"/>
        <v>1.4625803803985775</v>
      </c>
      <c r="G70" s="247">
        <f t="shared" si="1"/>
        <v>0.61723200406033729</v>
      </c>
      <c r="H70" s="246"/>
      <c r="J70" s="182"/>
      <c r="K70" s="182"/>
      <c r="L70" s="182"/>
      <c r="M70" s="182"/>
      <c r="N70" s="163"/>
      <c r="O70" s="259">
        <f>IF(O$24="Y",E70*$O$16*'Emissions Factors'!B55,"")</f>
        <v>191.26035685250301</v>
      </c>
      <c r="P70" s="259" t="str">
        <f>IF(P$24="Y",E70*$E$5*'Emissions Factors'!$R$36*$P$16/10^6,"")</f>
        <v/>
      </c>
      <c r="Q70" s="259" t="str">
        <f>IF($Q$24="Y",IFERROR($E70*SUM($E$3,$E$4,$E$5)*('Emissions Factors'!$T$143*$P$16)/10^6,""),"")</f>
        <v/>
      </c>
      <c r="R70" s="258"/>
      <c r="T70" s="180" t="str">
        <f t="shared" si="2"/>
        <v/>
      </c>
      <c r="U70" s="180" t="str">
        <f t="shared" si="3"/>
        <v/>
      </c>
      <c r="V70" s="177"/>
      <c r="X70" s="180">
        <f t="shared" si="4"/>
        <v>191.26035685250301</v>
      </c>
      <c r="Y70" s="180">
        <f t="shared" si="5"/>
        <v>0</v>
      </c>
    </row>
    <row r="71" spans="1:25" ht="15.6" x14ac:dyDescent="0.3">
      <c r="A71" s="152">
        <v>2059</v>
      </c>
      <c r="B71" s="178">
        <f t="shared" si="0"/>
        <v>0</v>
      </c>
      <c r="C71" s="182">
        <f t="shared" si="7"/>
        <v>0</v>
      </c>
      <c r="D71" s="183"/>
      <c r="E71" s="179">
        <f t="shared" si="6"/>
        <v>21.316963206736705</v>
      </c>
      <c r="F71" s="183">
        <f t="shared" si="8"/>
        <v>1.5505835564962425</v>
      </c>
      <c r="G71" s="247">
        <f t="shared" si="1"/>
        <v>0.62339396462976271</v>
      </c>
      <c r="H71" s="246"/>
      <c r="J71" s="182"/>
      <c r="K71" s="182"/>
      <c r="L71" s="182"/>
      <c r="M71" s="182"/>
      <c r="N71" s="163"/>
      <c r="O71" s="259">
        <f>IF(O$24="Y",E71*$O$16*'Emissions Factors'!B56,"")</f>
        <v>205.34992399316056</v>
      </c>
      <c r="P71" s="259" t="str">
        <f>IF(P$24="Y",E71*$E$5*'Emissions Factors'!$R$36*$P$16/10^6,"")</f>
        <v/>
      </c>
      <c r="Q71" s="259" t="str">
        <f>IF($Q$24="Y",IFERROR($E71*SUM($E$3,$E$4,$E$5)*('Emissions Factors'!$T$143*$P$16)/10^6,""),"")</f>
        <v/>
      </c>
      <c r="R71" s="258"/>
      <c r="T71" s="180" t="str">
        <f t="shared" si="2"/>
        <v/>
      </c>
      <c r="U71" s="180" t="str">
        <f t="shared" si="3"/>
        <v/>
      </c>
      <c r="V71" s="177"/>
      <c r="X71" s="180">
        <f t="shared" si="4"/>
        <v>205.34992399316056</v>
      </c>
      <c r="Y71" s="180">
        <f t="shared" si="5"/>
        <v>0</v>
      </c>
    </row>
    <row r="72" spans="1:25" ht="15.6" x14ac:dyDescent="0.3">
      <c r="A72" s="152">
        <v>2060</v>
      </c>
      <c r="B72" s="178">
        <f t="shared" si="0"/>
        <v>0</v>
      </c>
      <c r="C72" s="182">
        <f t="shared" si="7"/>
        <v>0</v>
      </c>
      <c r="D72" s="183"/>
      <c r="E72" s="179">
        <f t="shared" si="6"/>
        <v>22.957629189897908</v>
      </c>
      <c r="F72" s="183">
        <f t="shared" si="8"/>
        <v>1.6406659831612025</v>
      </c>
      <c r="G72" s="247">
        <f t="shared" si="1"/>
        <v>0.62945436157749923</v>
      </c>
      <c r="H72" s="246"/>
      <c r="J72" s="182"/>
      <c r="K72" s="182"/>
      <c r="L72" s="182"/>
      <c r="M72" s="182"/>
      <c r="N72" s="163"/>
      <c r="O72" s="259">
        <f>IF(O$24="Y",E72*$O$16*'Emissions Factors'!B57,"")</f>
        <v>220.2212188324647</v>
      </c>
      <c r="P72" s="259" t="str">
        <f>IF(P$24="Y",E72*$E$5*'Emissions Factors'!$R$36*$P$16/10^6,"")</f>
        <v/>
      </c>
      <c r="Q72" s="259" t="str">
        <f>IF($Q$24="Y",IFERROR($E72*SUM($E$3,$E$4,$E$5)*('Emissions Factors'!$T$143*$P$16)/10^6,""),"")</f>
        <v/>
      </c>
      <c r="R72" s="258"/>
      <c r="T72" s="180" t="str">
        <f t="shared" si="2"/>
        <v/>
      </c>
      <c r="U72" s="180" t="str">
        <f t="shared" si="3"/>
        <v/>
      </c>
      <c r="V72" s="177"/>
      <c r="X72" s="180">
        <f t="shared" si="4"/>
        <v>220.2212188324647</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51.454784899347537</v>
      </c>
      <c r="C85" s="253">
        <f>(C137/Population_Tables!P3)*Population_Tables!D3</f>
        <v>14.63890839967091</v>
      </c>
      <c r="D85" s="253">
        <f>(D137/Population_Tables!Q3)*Population_Tables!E3</f>
        <v>1.9920692037759276</v>
      </c>
      <c r="E85" s="253">
        <f>(E137/Population_Tables!R3)*Population_Tables!F3</f>
        <v>22.829401625430965</v>
      </c>
      <c r="F85" s="253">
        <f>(F137/Population_Tables!S3)*Population_Tables!G3</f>
        <v>3.9482310577903004</v>
      </c>
      <c r="G85" s="253">
        <f>(G137/Population_Tables!T3)*Population_Tables!H3</f>
        <v>1.2603858871628411</v>
      </c>
      <c r="H85" s="253">
        <f>(H137/Population_Tables!U3)*Population_Tables!I3</f>
        <v>17.439282369233027</v>
      </c>
      <c r="I85" s="253">
        <f>(I137/Population_Tables!V3)*Population_Tables!J3</f>
        <v>4.6948149288588139</v>
      </c>
      <c r="J85" s="253">
        <f>(J137/Population_Tables!W3)*Population_Tables!K3</f>
        <v>6.8462656993072342</v>
      </c>
      <c r="K85" s="253">
        <f>(K137/Population_Tables!X3)*Population_Tables!L3</f>
        <v>7.4924316730035754</v>
      </c>
      <c r="N85" s="195">
        <f t="shared" ref="N85:N131" si="9">SUMIF($C$83:$G$83,"Y",C85:G85)-H85</f>
        <v>9.3383503139882365</v>
      </c>
      <c r="O85" s="195">
        <f>H85</f>
        <v>17.439282369233027</v>
      </c>
      <c r="P85" s="195">
        <f t="shared" ref="P85:P131" si="10">SUMIF($C$83:$G$83,"N",C85:G85)-(IF($E$83="N",H85))</f>
        <v>17.891363490609677</v>
      </c>
      <c r="Q85" s="195">
        <f>N85+P85+O85</f>
        <v>44.668996173830941</v>
      </c>
      <c r="R85" s="196">
        <f>N85/Q85</f>
        <v>0.20905664138159102</v>
      </c>
      <c r="U85" s="197">
        <v>0</v>
      </c>
      <c r="V85" s="195">
        <f>O85-O137</f>
        <v>0</v>
      </c>
      <c r="W85" s="197">
        <v>0</v>
      </c>
      <c r="X85" s="195">
        <f>U85+V85+W85</f>
        <v>0</v>
      </c>
      <c r="Y85" s="196">
        <v>0</v>
      </c>
      <c r="AC85" s="251">
        <f>(B85-B137)/((SUM(C85:G85)-SUM(C137:G137)))</f>
        <v>1.2225137845340708</v>
      </c>
      <c r="AF85" s="250">
        <f>B85</f>
        <v>51.454784899347537</v>
      </c>
      <c r="AG85" s="250">
        <f>SUM(C85:G85)</f>
        <v>44.668996173830941</v>
      </c>
      <c r="AH85" s="250">
        <f>AG85-AF85</f>
        <v>-6.7857887255165963</v>
      </c>
      <c r="AI85" s="251">
        <f>AH85/AG85</f>
        <v>-0.15191272038237585</v>
      </c>
    </row>
    <row r="86" spans="1:35" ht="15.6" x14ac:dyDescent="0.3">
      <c r="A86" s="194">
        <v>2015</v>
      </c>
      <c r="B86" s="253">
        <f>(B138/Population_Tables!O4)*Population_Tables!C4</f>
        <v>54.446376908618006</v>
      </c>
      <c r="C86" s="253">
        <f>(C138/Population_Tables!P4)*Population_Tables!D4</f>
        <v>16.711538858527337</v>
      </c>
      <c r="D86" s="253">
        <f>(D138/Population_Tables!Q4)*Population_Tables!E4</f>
        <v>2.0699939491968133</v>
      </c>
      <c r="E86" s="253">
        <f>(E138/Population_Tables!R4)*Population_Tables!F4</f>
        <v>24.553197757087613</v>
      </c>
      <c r="F86" s="253">
        <f>(F138/Population_Tables!S4)*Population_Tables!G4</f>
        <v>4.0388326275602644</v>
      </c>
      <c r="G86" s="253">
        <f>(G138/Population_Tables!T4)*Population_Tables!H4</f>
        <v>1.2928975683685375</v>
      </c>
      <c r="H86" s="253">
        <f>(H138/Population_Tables!U4)*Population_Tables!I4</f>
        <v>19.194195388345928</v>
      </c>
      <c r="I86" s="253">
        <f>(I138/Population_Tables!V4)*Population_Tables!J4</f>
        <v>4.8414743414533277</v>
      </c>
      <c r="J86" s="253">
        <f>(J138/Population_Tables!W4)*Population_Tables!K4</f>
        <v>7.3085335268491471</v>
      </c>
      <c r="K86" s="253">
        <f>(K138/Population_Tables!X4)*Population_Tables!L4</f>
        <v>7.5939339513900279</v>
      </c>
      <c r="N86" s="195">
        <f t="shared" si="9"/>
        <v>9.397834996301949</v>
      </c>
      <c r="O86" s="195">
        <f t="shared" ref="O86:O131" si="11">H86</f>
        <v>19.194195388345928</v>
      </c>
      <c r="P86" s="195">
        <f t="shared" si="10"/>
        <v>20.074430376092689</v>
      </c>
      <c r="Q86" s="195">
        <f t="shared" ref="Q86:Q131" si="12">N86+P86+O86</f>
        <v>48.666460760740563</v>
      </c>
      <c r="R86" s="196">
        <f t="shared" ref="R86:R130" si="13">N86/Q86</f>
        <v>0.19310701557905813</v>
      </c>
      <c r="U86" s="197">
        <v>0</v>
      </c>
      <c r="V86" s="195">
        <f t="shared" ref="V86:W131" si="14">O86-O138</f>
        <v>0</v>
      </c>
      <c r="W86" s="197">
        <v>0</v>
      </c>
      <c r="X86" s="195">
        <f>U86+V86+W86</f>
        <v>0</v>
      </c>
      <c r="Y86" s="196">
        <v>0</v>
      </c>
      <c r="AC86" s="251">
        <f t="shared" ref="AC86:AC131" si="15">(B86-B138)/((SUM(C86:G86)-SUM(C138:G138)))</f>
        <v>1.2005896979974966</v>
      </c>
    </row>
    <row r="87" spans="1:35" ht="15.6" x14ac:dyDescent="0.3">
      <c r="A87" s="194">
        <v>2016</v>
      </c>
      <c r="B87" s="253">
        <f>(B139/Population_Tables!O5)*Population_Tables!C5</f>
        <v>57.081453359320918</v>
      </c>
      <c r="C87" s="253">
        <f>(C139/Population_Tables!P5)*Population_Tables!D5</f>
        <v>16.552972550290875</v>
      </c>
      <c r="D87" s="253">
        <f>(D139/Population_Tables!Q5)*Population_Tables!E5</f>
        <v>2.1508664952208356</v>
      </c>
      <c r="E87" s="253">
        <f>(E139/Population_Tables!R5)*Population_Tables!F5</f>
        <v>25.942807921896048</v>
      </c>
      <c r="F87" s="253">
        <f>(F139/Population_Tables!S5)*Population_Tables!G5</f>
        <v>4.2235222130056576</v>
      </c>
      <c r="G87" s="253">
        <f>(G139/Population_Tables!T5)*Population_Tables!H5</f>
        <v>1.3327402612158661</v>
      </c>
      <c r="H87" s="253">
        <f>(H139/Population_Tables!U5)*Population_Tables!I5</f>
        <v>20.035786418782706</v>
      </c>
      <c r="I87" s="253">
        <f>(I139/Population_Tables!V5)*Population_Tables!J5</f>
        <v>5.2988529476936597</v>
      </c>
      <c r="J87" s="253">
        <f>(J139/Population_Tables!W5)*Population_Tables!K5</f>
        <v>7.3446995972457803</v>
      </c>
      <c r="K87" s="253">
        <f>(K139/Population_Tables!X5)*Population_Tables!L5</f>
        <v>7.704709268917294</v>
      </c>
      <c r="N87" s="195">
        <f t="shared" si="9"/>
        <v>10.130543716119</v>
      </c>
      <c r="O87" s="195">
        <f t="shared" si="11"/>
        <v>20.035786418782706</v>
      </c>
      <c r="P87" s="195">
        <f t="shared" si="10"/>
        <v>20.036579306727575</v>
      </c>
      <c r="Q87" s="195">
        <f t="shared" si="12"/>
        <v>50.202909441629281</v>
      </c>
      <c r="R87" s="196">
        <f t="shared" si="13"/>
        <v>0.20179196442584155</v>
      </c>
      <c r="U87" s="195">
        <f>N87-N139</f>
        <v>-7.7816034803390721E-5</v>
      </c>
      <c r="V87" s="195">
        <f>O87-O139</f>
        <v>0</v>
      </c>
      <c r="W87" s="195">
        <f>P87-P139</f>
        <v>0</v>
      </c>
      <c r="X87" s="195">
        <f>U87+V87+W87</f>
        <v>-7.7816034803390721E-5</v>
      </c>
      <c r="Y87" s="196">
        <f t="shared" ref="Y87:Y131" si="16">U87/X87</f>
        <v>1</v>
      </c>
      <c r="AC87" s="251">
        <f>(B87-B139)/((SUM(C87:G87)-SUM(C139:G139)))</f>
        <v>1.1890602401298884</v>
      </c>
    </row>
    <row r="88" spans="1:35" ht="15.6" x14ac:dyDescent="0.3">
      <c r="A88" s="194">
        <v>2017</v>
      </c>
      <c r="B88" s="253">
        <f>(B140/Population_Tables!O6)*Population_Tables!C6</f>
        <v>59.808668612490486</v>
      </c>
      <c r="C88" s="253">
        <f>(C140/Population_Tables!P6)*Population_Tables!D6</f>
        <v>16.427300488451106</v>
      </c>
      <c r="D88" s="253">
        <f>(D140/Population_Tables!Q6)*Population_Tables!E6</f>
        <v>2.2329381235187435</v>
      </c>
      <c r="E88" s="253">
        <f>(E140/Population_Tables!R6)*Population_Tables!F6</f>
        <v>27.395726621016617</v>
      </c>
      <c r="F88" s="253">
        <f>(F140/Population_Tables!S6)*Population_Tables!G6</f>
        <v>4.41644110091696</v>
      </c>
      <c r="G88" s="253">
        <f>(G140/Population_Tables!T6)*Population_Tables!H6</f>
        <v>1.3749137581310149</v>
      </c>
      <c r="H88" s="253">
        <f>(H140/Population_Tables!U6)*Population_Tables!I6</f>
        <v>20.878555492508404</v>
      </c>
      <c r="I88" s="253">
        <f>(I140/Population_Tables!V6)*Population_Tables!J6</f>
        <v>5.8021201707966679</v>
      </c>
      <c r="J88" s="253">
        <f>(J140/Population_Tables!W6)*Population_Tables!K6</f>
        <v>7.3870718774110502</v>
      </c>
      <c r="K88" s="253">
        <f>(K140/Population_Tables!X6)*Population_Tables!L6</f>
        <v>7.8171875275112015</v>
      </c>
      <c r="N88" s="195">
        <f t="shared" si="9"/>
        <v>10.933612229425172</v>
      </c>
      <c r="O88" s="195">
        <f>H88</f>
        <v>20.878555492508404</v>
      </c>
      <c r="P88" s="195">
        <f t="shared" si="10"/>
        <v>20.035152370100864</v>
      </c>
      <c r="Q88" s="195">
        <f t="shared" si="12"/>
        <v>51.847320092034437</v>
      </c>
      <c r="R88" s="196">
        <f t="shared" si="13"/>
        <v>0.21088095218840361</v>
      </c>
      <c r="U88" s="195">
        <f>N88-N140</f>
        <v>-8.0043152401287898E-5</v>
      </c>
      <c r="V88" s="195">
        <f t="shared" si="14"/>
        <v>0</v>
      </c>
      <c r="W88" s="195">
        <f t="shared" si="14"/>
        <v>0</v>
      </c>
      <c r="X88" s="195">
        <f t="shared" ref="X88:X131" si="17">U88+V88+W88</f>
        <v>-8.0043152401287898E-5</v>
      </c>
      <c r="Y88" s="196">
        <f t="shared" si="16"/>
        <v>1</v>
      </c>
      <c r="AC88" s="251">
        <f t="shared" si="15"/>
        <v>1.1775543599135498</v>
      </c>
    </row>
    <row r="89" spans="1:35" ht="15.6" x14ac:dyDescent="0.3">
      <c r="A89" s="194">
        <v>2018</v>
      </c>
      <c r="B89" s="253">
        <f>(B141/Population_Tables!O7)*Population_Tables!C7</f>
        <v>62.627653833002547</v>
      </c>
      <c r="C89" s="253">
        <f>(C141/Population_Tables!P7)*Population_Tables!D7</f>
        <v>16.333029420875359</v>
      </c>
      <c r="D89" s="253">
        <f>(D141/Population_Tables!Q7)*Population_Tables!E7</f>
        <v>2.3162081559063363</v>
      </c>
      <c r="E89" s="253">
        <f>(E141/Population_Tables!R7)*Population_Tables!F7</f>
        <v>28.91095975967129</v>
      </c>
      <c r="F89" s="253">
        <f>(F141/Population_Tables!S7)*Population_Tables!G7</f>
        <v>4.618777107979005</v>
      </c>
      <c r="G89" s="253">
        <f>(G141/Population_Tables!T7)*Population_Tables!H7</f>
        <v>1.4193768156503166</v>
      </c>
      <c r="H89" s="253">
        <f>(H141/Population_Tables!U7)*Population_Tables!I7</f>
        <v>21.72201069127312</v>
      </c>
      <c r="I89" s="253">
        <f>(I141/Population_Tables!V7)*Population_Tables!J7</f>
        <v>6.3511530168064247</v>
      </c>
      <c r="J89" s="253">
        <f>(J141/Population_Tables!W7)*Population_Tables!K7</f>
        <v>7.43535486523841</v>
      </c>
      <c r="K89" s="253">
        <f>(K141/Population_Tables!X7)*Population_Tables!L7</f>
        <v>7.9313649249864007</v>
      </c>
      <c r="N89" s="195">
        <f t="shared" si="9"/>
        <v>11.807726176377173</v>
      </c>
      <c r="O89" s="195">
        <f t="shared" si="11"/>
        <v>21.72201069127312</v>
      </c>
      <c r="P89" s="195">
        <f t="shared" si="10"/>
        <v>20.068614392432011</v>
      </c>
      <c r="Q89" s="195">
        <f t="shared" si="12"/>
        <v>53.598351260082303</v>
      </c>
      <c r="R89" s="196">
        <f t="shared" si="13"/>
        <v>0.22030017526250006</v>
      </c>
      <c r="U89" s="195">
        <f t="shared" ref="U89:U131" si="18">N89-N141</f>
        <v>-8.2016511775862E-5</v>
      </c>
      <c r="V89" s="195">
        <f t="shared" si="14"/>
        <v>0</v>
      </c>
      <c r="W89" s="195">
        <f t="shared" si="14"/>
        <v>0</v>
      </c>
      <c r="X89" s="195">
        <f t="shared" si="17"/>
        <v>-8.2016511775862E-5</v>
      </c>
      <c r="Y89" s="196">
        <f t="shared" si="16"/>
        <v>1</v>
      </c>
      <c r="AC89" s="251">
        <f t="shared" si="15"/>
        <v>1.1661446074512263</v>
      </c>
    </row>
    <row r="90" spans="1:35" ht="16.2" thickBot="1" x14ac:dyDescent="0.35">
      <c r="A90" s="198">
        <v>2019</v>
      </c>
      <c r="B90" s="253">
        <f>(B142/Population_Tables!O8)*Population_Tables!C8</f>
        <v>65.538039690198943</v>
      </c>
      <c r="C90" s="253">
        <f>(C142/Population_Tables!P8)*Population_Tables!D8</f>
        <v>16.26866609543098</v>
      </c>
      <c r="D90" s="253">
        <f>(D142/Population_Tables!Q8)*Population_Tables!E8</f>
        <v>2.4006759141994158</v>
      </c>
      <c r="E90" s="253">
        <f>(E142/Population_Tables!R8)*Population_Tables!F8</f>
        <v>30.48751281339554</v>
      </c>
      <c r="F90" s="253">
        <f>(F142/Population_Tables!S8)*Population_Tables!G8</f>
        <v>4.8317180508766295</v>
      </c>
      <c r="G90" s="253">
        <f>(G142/Population_Tables!T8)*Population_Tables!H8</f>
        <v>1.4660881903101028</v>
      </c>
      <c r="H90" s="253">
        <f>(H142/Population_Tables!U8)*Population_Tables!I8</f>
        <v>22.565660096826957</v>
      </c>
      <c r="I90" s="253">
        <f>(I142/Population_Tables!V8)*Population_Tables!J8</f>
        <v>6.9458284917670037</v>
      </c>
      <c r="J90" s="253">
        <f>(J142/Population_Tables!W8)*Population_Tables!K8</f>
        <v>7.4892530586213129</v>
      </c>
      <c r="K90" s="253">
        <f>(K142/Population_Tables!X8)*Population_Tables!L8</f>
        <v>8.0472376591575454</v>
      </c>
      <c r="N90" s="195">
        <f t="shared" si="9"/>
        <v>12.753570767445215</v>
      </c>
      <c r="O90" s="195">
        <f t="shared" si="11"/>
        <v>22.565660096826957</v>
      </c>
      <c r="P90" s="195">
        <f t="shared" si="10"/>
        <v>20.135430199940497</v>
      </c>
      <c r="Q90" s="195">
        <f t="shared" si="12"/>
        <v>55.454661064212672</v>
      </c>
      <c r="R90" s="199">
        <f t="shared" si="13"/>
        <v>0.22998194421705076</v>
      </c>
      <c r="U90" s="200">
        <f t="shared" si="18"/>
        <v>-8.414303170667381E-5</v>
      </c>
      <c r="V90" s="195">
        <f t="shared" si="14"/>
        <v>0</v>
      </c>
      <c r="W90" s="200">
        <f t="shared" si="14"/>
        <v>0</v>
      </c>
      <c r="X90" s="195">
        <f t="shared" si="17"/>
        <v>-8.414303170667381E-5</v>
      </c>
      <c r="Y90" s="199">
        <f t="shared" si="16"/>
        <v>1</v>
      </c>
      <c r="AC90" s="251">
        <f t="shared" si="15"/>
        <v>1.1548771994780853</v>
      </c>
    </row>
    <row r="91" spans="1:35" ht="15.6" x14ac:dyDescent="0.3">
      <c r="A91" s="201">
        <v>2020</v>
      </c>
      <c r="B91" s="253">
        <f>(B143/Population_Tables!O9)*Population_Tables!C9</f>
        <v>68.539457300920873</v>
      </c>
      <c r="C91" s="253">
        <f>(C143/Population_Tables!P9)*Population_Tables!D9</f>
        <v>16.232717259985296</v>
      </c>
      <c r="D91" s="253">
        <f>(D143/Population_Tables!Q9)*Population_Tables!E9</f>
        <v>2.4863407202137813</v>
      </c>
      <c r="E91" s="253">
        <f>(E143/Population_Tables!R9)*Population_Tables!F9</f>
        <v>32.124391625701982</v>
      </c>
      <c r="F91" s="253">
        <f>(F143/Population_Tables!S9)*Population_Tables!G9</f>
        <v>5.0564517462946679</v>
      </c>
      <c r="G91" s="253">
        <f>(G143/Population_Tables!T9)*Population_Tables!H9</f>
        <v>1.5150066386467069</v>
      </c>
      <c r="H91" s="253">
        <f>(H143/Population_Tables!U9)*Population_Tables!I9</f>
        <v>23.409011790920012</v>
      </c>
      <c r="I91" s="253">
        <f>(I143/Population_Tables!V9)*Population_Tables!J9</f>
        <v>7.5860236017224789</v>
      </c>
      <c r="J91" s="253">
        <f>(J143/Population_Tables!W9)*Population_Tables!K9</f>
        <v>7.5484709554532063</v>
      </c>
      <c r="K91" s="253">
        <f>(K143/Population_Tables!X9)*Population_Tables!L9</f>
        <v>8.1648019278392887</v>
      </c>
      <c r="L91" s="202"/>
      <c r="M91" s="202"/>
      <c r="N91" s="195">
        <f t="shared" si="9"/>
        <v>13.77183158107664</v>
      </c>
      <c r="O91" s="195">
        <f t="shared" si="11"/>
        <v>23.409011790920012</v>
      </c>
      <c r="P91" s="195">
        <f t="shared" si="10"/>
        <v>20.234064618845785</v>
      </c>
      <c r="Q91" s="195">
        <f t="shared" si="12"/>
        <v>57.414907990842437</v>
      </c>
      <c r="R91" s="203">
        <f t="shared" si="13"/>
        <v>0.23986508143970586</v>
      </c>
      <c r="S91" s="202"/>
      <c r="T91" s="202"/>
      <c r="U91" s="204">
        <f>N91-N143</f>
        <v>-8.6461653857838883E-5</v>
      </c>
      <c r="V91" s="195">
        <f t="shared" si="14"/>
        <v>0</v>
      </c>
      <c r="W91" s="204">
        <f t="shared" si="14"/>
        <v>0</v>
      </c>
      <c r="X91" s="195">
        <f t="shared" si="17"/>
        <v>-8.6461653857838883E-5</v>
      </c>
      <c r="Y91" s="205">
        <f>U91/X91</f>
        <v>1</v>
      </c>
      <c r="AC91" s="251">
        <f t="shared" si="15"/>
        <v>1.143697735134952</v>
      </c>
    </row>
    <row r="92" spans="1:35" ht="15.6" x14ac:dyDescent="0.3">
      <c r="A92" s="206">
        <v>2021</v>
      </c>
      <c r="B92" s="253">
        <f>(B144/Population_Tables!O10)*Population_Tables!C10</f>
        <v>71.72222162135678</v>
      </c>
      <c r="C92" s="253">
        <f>(C144/Population_Tables!P10)*Population_Tables!D10</f>
        <v>16.240517343879642</v>
      </c>
      <c r="D92" s="253">
        <f>(D144/Population_Tables!Q10)*Population_Tables!E10</f>
        <v>2.5762546479279296</v>
      </c>
      <c r="E92" s="253">
        <f>(E144/Population_Tables!R10)*Population_Tables!F10</f>
        <v>33.861071590248677</v>
      </c>
      <c r="F92" s="253">
        <f>(F144/Population_Tables!S10)*Population_Tables!G10</f>
        <v>5.3012641041354307</v>
      </c>
      <c r="G92" s="253">
        <f>(G144/Population_Tables!T10)*Population_Tables!H10</f>
        <v>1.5690567533498156</v>
      </c>
      <c r="H92" s="253">
        <f>(H144/Population_Tables!U10)*Population_Tables!I10</f>
        <v>24.277022351821763</v>
      </c>
      <c r="I92" s="253">
        <f>(I144/Population_Tables!V10)*Population_Tables!J10</f>
        <v>8.2811314122855446</v>
      </c>
      <c r="J92" s="253">
        <f>(J144/Population_Tables!W10)*Population_Tables!K10</f>
        <v>7.6205890703710111</v>
      </c>
      <c r="K92" s="253">
        <f>(K144/Population_Tables!X10)*Population_Tables!L10</f>
        <v>8.2928058281582029</v>
      </c>
      <c r="L92" s="170"/>
      <c r="M92" s="170"/>
      <c r="N92" s="195">
        <f t="shared" si="9"/>
        <v>14.885313342562348</v>
      </c>
      <c r="O92" s="195">
        <f t="shared" si="11"/>
        <v>24.277022351821763</v>
      </c>
      <c r="P92" s="195">
        <f t="shared" si="10"/>
        <v>20.385828745157387</v>
      </c>
      <c r="Q92" s="195">
        <f t="shared" si="12"/>
        <v>59.548164439541502</v>
      </c>
      <c r="R92" s="196">
        <f t="shared" si="13"/>
        <v>0.24997098538066978</v>
      </c>
      <c r="S92" s="170"/>
      <c r="T92" s="170"/>
      <c r="U92" s="195">
        <f t="shared" si="18"/>
        <v>2.2030135523682048E-2</v>
      </c>
      <c r="V92" s="195">
        <f t="shared" si="14"/>
        <v>2.5448496519384634E-2</v>
      </c>
      <c r="W92" s="195">
        <f t="shared" si="14"/>
        <v>2.2846269790044005E-2</v>
      </c>
      <c r="X92" s="195">
        <f t="shared" si="17"/>
        <v>7.0324901833110687E-2</v>
      </c>
      <c r="Y92" s="207">
        <f t="shared" si="16"/>
        <v>0.31326222930196429</v>
      </c>
      <c r="AC92" s="251">
        <f t="shared" si="15"/>
        <v>1.2880647525916942</v>
      </c>
    </row>
    <row r="93" spans="1:35" ht="15.6" x14ac:dyDescent="0.3">
      <c r="A93" s="206">
        <v>2022</v>
      </c>
      <c r="B93" s="253">
        <f>(B145/Population_Tables!O11)*Population_Tables!C11</f>
        <v>75.025641530035884</v>
      </c>
      <c r="C93" s="253">
        <f>(C145/Population_Tables!P11)*Population_Tables!D11</f>
        <v>16.278433647713527</v>
      </c>
      <c r="D93" s="253">
        <f>(D145/Population_Tables!Q11)*Population_Tables!E11</f>
        <v>2.66811113254882</v>
      </c>
      <c r="E93" s="253">
        <f>(E145/Population_Tables!R11)*Population_Tables!F11</f>
        <v>35.673888453021078</v>
      </c>
      <c r="F93" s="253">
        <f>(F145/Population_Tables!S11)*Population_Tables!G11</f>
        <v>5.5620651961461949</v>
      </c>
      <c r="G93" s="253">
        <f>(G145/Population_Tables!T11)*Population_Tables!H11</f>
        <v>1.6255284906940679</v>
      </c>
      <c r="H93" s="253">
        <f>(H145/Population_Tables!U11)*Population_Tables!I11</f>
        <v>25.151579809095526</v>
      </c>
      <c r="I93" s="253">
        <f>(I145/Population_Tables!V11)*Population_Tables!J11</f>
        <v>9.0273671836512666</v>
      </c>
      <c r="J93" s="253">
        <f>(J145/Population_Tables!W11)*Population_Tables!K11</f>
        <v>7.6994516769407184</v>
      </c>
      <c r="K93" s="253">
        <f>(K145/Population_Tables!X11)*Population_Tables!L11</f>
        <v>8.4255415378102629</v>
      </c>
      <c r="L93" s="170"/>
      <c r="M93" s="170"/>
      <c r="N93" s="195">
        <f t="shared" si="9"/>
        <v>16.084373840071745</v>
      </c>
      <c r="O93" s="195">
        <f t="shared" si="11"/>
        <v>25.151579809095526</v>
      </c>
      <c r="P93" s="195">
        <f t="shared" si="10"/>
        <v>20.572073270956416</v>
      </c>
      <c r="Q93" s="195">
        <f t="shared" si="12"/>
        <v>61.80802692012368</v>
      </c>
      <c r="R93" s="196">
        <f t="shared" si="13"/>
        <v>0.2602311486315208</v>
      </c>
      <c r="S93" s="170"/>
      <c r="T93" s="170"/>
      <c r="U93" s="195">
        <f t="shared" si="18"/>
        <v>5.5937819281311363E-2</v>
      </c>
      <c r="V93" s="195">
        <f t="shared" si="14"/>
        <v>5.8725437371364819E-2</v>
      </c>
      <c r="W93" s="195">
        <f t="shared" si="14"/>
        <v>5.1424675231771744E-2</v>
      </c>
      <c r="X93" s="195">
        <f t="shared" si="17"/>
        <v>0.16608793188444793</v>
      </c>
      <c r="Y93" s="207">
        <f t="shared" si="16"/>
        <v>0.33679641047146575</v>
      </c>
      <c r="AC93" s="251">
        <f t="shared" si="15"/>
        <v>1.2741822279702248</v>
      </c>
    </row>
    <row r="94" spans="1:35" ht="15.6" x14ac:dyDescent="0.3">
      <c r="A94" s="206">
        <v>2023</v>
      </c>
      <c r="B94" s="253">
        <f>(B146/Population_Tables!O12)*Population_Tables!C12</f>
        <v>78.448688278648248</v>
      </c>
      <c r="C94" s="253">
        <f>(C146/Population_Tables!P12)*Population_Tables!D12</f>
        <v>16.34429054244108</v>
      </c>
      <c r="D94" s="253">
        <f>(D146/Population_Tables!Q12)*Population_Tables!E12</f>
        <v>2.7619068546551842</v>
      </c>
      <c r="E94" s="253">
        <f>(E146/Population_Tables!R12)*Population_Tables!F12</f>
        <v>37.561210269249322</v>
      </c>
      <c r="F94" s="253">
        <f>(F146/Population_Tables!S12)*Population_Tables!G12</f>
        <v>5.8401318262058188</v>
      </c>
      <c r="G94" s="253">
        <f>(G146/Population_Tables!T12)*Population_Tables!H12</f>
        <v>1.6844832303391291</v>
      </c>
      <c r="H94" s="253">
        <f>(H146/Population_Tables!U12)*Population_Tables!I12</f>
        <v>26.031705973842708</v>
      </c>
      <c r="I94" s="253">
        <f>(I146/Population_Tables!V12)*Population_Tables!J12</f>
        <v>9.8247358123884947</v>
      </c>
      <c r="J94" s="253">
        <f>(J146/Population_Tables!W12)*Population_Tables!K12</f>
        <v>7.7845292429764488</v>
      </c>
      <c r="K94" s="253">
        <f>(K146/Population_Tables!X12)*Population_Tables!L12</f>
        <v>8.5626280228682319</v>
      </c>
      <c r="L94" s="170"/>
      <c r="M94" s="170"/>
      <c r="N94" s="195">
        <f t="shared" si="9"/>
        <v>17.369636121612434</v>
      </c>
      <c r="O94" s="195">
        <f t="shared" si="11"/>
        <v>26.031705973842708</v>
      </c>
      <c r="P94" s="195">
        <f t="shared" si="10"/>
        <v>20.790680627435393</v>
      </c>
      <c r="Q94" s="195">
        <f t="shared" si="12"/>
        <v>64.192022722890528</v>
      </c>
      <c r="R94" s="196">
        <f t="shared" si="13"/>
        <v>0.27058870222231701</v>
      </c>
      <c r="S94" s="170"/>
      <c r="T94" s="170"/>
      <c r="U94" s="195">
        <f>N94-N146</f>
        <v>0.10157402023762785</v>
      </c>
      <c r="V94" s="195">
        <f t="shared" si="14"/>
        <v>9.9344551907250889E-2</v>
      </c>
      <c r="W94" s="195">
        <f t="shared" si="14"/>
        <v>8.5152821298240866E-2</v>
      </c>
      <c r="X94" s="195">
        <f t="shared" si="17"/>
        <v>0.2860713934431196</v>
      </c>
      <c r="Y94" s="207">
        <f t="shared" si="16"/>
        <v>0.35506528288304401</v>
      </c>
      <c r="AC94" s="251">
        <f t="shared" si="15"/>
        <v>1.266715278109855</v>
      </c>
    </row>
    <row r="95" spans="1:35" ht="15.6" x14ac:dyDescent="0.3">
      <c r="A95" s="206">
        <v>2024</v>
      </c>
      <c r="B95" s="253">
        <f>(B147/Population_Tables!O13)*Population_Tables!C13</f>
        <v>81.991686408518078</v>
      </c>
      <c r="C95" s="253">
        <f>(C147/Population_Tables!P13)*Population_Tables!D13</f>
        <v>16.436085752745015</v>
      </c>
      <c r="D95" s="253">
        <f>(D147/Population_Tables!Q13)*Population_Tables!E13</f>
        <v>2.8576280587901337</v>
      </c>
      <c r="E95" s="253">
        <f>(E147/Population_Tables!R13)*Population_Tables!F13</f>
        <v>39.521673213956866</v>
      </c>
      <c r="F95" s="253">
        <f>(F147/Population_Tables!S13)*Population_Tables!G13</f>
        <v>6.1369124622439646</v>
      </c>
      <c r="G95" s="253">
        <f>(G147/Population_Tables!T13)*Population_Tables!H13</f>
        <v>1.7461111687539084</v>
      </c>
      <c r="H95" s="253">
        <f>(H147/Population_Tables!U13)*Population_Tables!I13</f>
        <v>26.916508965348729</v>
      </c>
      <c r="I95" s="253">
        <f>(I147/Population_Tables!V13)*Population_Tables!J13</f>
        <v>10.673319462934307</v>
      </c>
      <c r="J95" s="253">
        <f>(J147/Population_Tables!W13)*Population_Tables!K13</f>
        <v>7.8753435006778361</v>
      </c>
      <c r="K95" s="253">
        <f>(K147/Population_Tables!X13)*Population_Tables!L13</f>
        <v>8.7037619358453604</v>
      </c>
      <c r="L95" s="170"/>
      <c r="M95" s="170"/>
      <c r="N95" s="195">
        <f t="shared" si="9"/>
        <v>18.7420767108521</v>
      </c>
      <c r="O95" s="195">
        <f t="shared" si="11"/>
        <v>26.916508965348729</v>
      </c>
      <c r="P95" s="195">
        <f t="shared" si="10"/>
        <v>21.039824980289058</v>
      </c>
      <c r="Q95" s="195">
        <f t="shared" si="12"/>
        <v>66.698410656489884</v>
      </c>
      <c r="R95" s="196">
        <f t="shared" si="13"/>
        <v>0.28099735100702072</v>
      </c>
      <c r="S95" s="170"/>
      <c r="T95" s="170"/>
      <c r="U95" s="195">
        <f t="shared" si="18"/>
        <v>0.15922964467133838</v>
      </c>
      <c r="V95" s="195">
        <f t="shared" si="14"/>
        <v>0.14690587766236618</v>
      </c>
      <c r="W95" s="195">
        <f t="shared" si="14"/>
        <v>0.12374004746471812</v>
      </c>
      <c r="X95" s="195">
        <f t="shared" si="17"/>
        <v>0.42987556979842267</v>
      </c>
      <c r="Y95" s="207">
        <f t="shared" si="16"/>
        <v>0.37040868534586502</v>
      </c>
      <c r="AC95" s="251">
        <f t="shared" si="15"/>
        <v>1.2643439060816308</v>
      </c>
    </row>
    <row r="96" spans="1:35" ht="15.6" x14ac:dyDescent="0.3">
      <c r="A96" s="206">
        <v>2025</v>
      </c>
      <c r="B96" s="253">
        <f>(B148/Population_Tables!O14)*Population_Tables!C14</f>
        <v>85.655244456308665</v>
      </c>
      <c r="C96" s="253">
        <f>(C148/Population_Tables!P14)*Population_Tables!D14</f>
        <v>16.551973983234411</v>
      </c>
      <c r="D96" s="253">
        <f>(D148/Population_Tables!Q14)*Population_Tables!E14</f>
        <v>2.9552744123290942</v>
      </c>
      <c r="E96" s="253">
        <f>(E148/Population_Tables!R14)*Population_Tables!F14</f>
        <v>41.554166480771528</v>
      </c>
      <c r="F96" s="253">
        <f>(F148/Population_Tables!S14)*Population_Tables!G14</f>
        <v>6.4538730294989861</v>
      </c>
      <c r="G96" s="253">
        <f>(G148/Population_Tables!T14)*Population_Tables!H14</f>
        <v>1.8105659318863798</v>
      </c>
      <c r="H96" s="253">
        <f>(H148/Population_Tables!U14)*Population_Tables!I14</f>
        <v>27.805212031791989</v>
      </c>
      <c r="I96" s="253">
        <f>(I148/Population_Tables!V14)*Population_Tables!J14</f>
        <v>11.573259832068759</v>
      </c>
      <c r="J96" s="253">
        <f>(J148/Population_Tables!W14)*Population_Tables!K14</f>
        <v>7.9714654234249398</v>
      </c>
      <c r="K96" s="253">
        <f>(K148/Population_Tables!X14)*Population_Tables!L14</f>
        <v>8.8487202852049425</v>
      </c>
      <c r="L96" s="170"/>
      <c r="M96" s="170"/>
      <c r="N96" s="195">
        <f t="shared" si="9"/>
        <v>20.202827478478525</v>
      </c>
      <c r="O96" s="195">
        <f t="shared" si="11"/>
        <v>27.805212031791989</v>
      </c>
      <c r="P96" s="195">
        <f t="shared" si="10"/>
        <v>21.317814327449884</v>
      </c>
      <c r="Q96" s="195">
        <f t="shared" si="12"/>
        <v>69.325853837720388</v>
      </c>
      <c r="R96" s="196">
        <f t="shared" si="13"/>
        <v>0.29141837222473721</v>
      </c>
      <c r="S96" s="170"/>
      <c r="T96" s="170"/>
      <c r="U96" s="195">
        <f t="shared" si="18"/>
        <v>0.22935094588119398</v>
      </c>
      <c r="V96" s="195">
        <f t="shared" si="14"/>
        <v>0.20112458106500952</v>
      </c>
      <c r="W96" s="195">
        <f t="shared" si="14"/>
        <v>0.16702952544421024</v>
      </c>
      <c r="X96" s="195">
        <f t="shared" si="17"/>
        <v>0.59750505239041374</v>
      </c>
      <c r="Y96" s="207">
        <f t="shared" si="16"/>
        <v>0.38384770967816784</v>
      </c>
      <c r="AC96" s="251">
        <f t="shared" si="15"/>
        <v>1.2652986436656977</v>
      </c>
    </row>
    <row r="97" spans="1:29" ht="15.6" x14ac:dyDescent="0.3">
      <c r="A97" s="206">
        <v>2026</v>
      </c>
      <c r="B97" s="253">
        <f>(B149/Population_Tables!O15)*Population_Tables!C15</f>
        <v>89.439792732165586</v>
      </c>
      <c r="C97" s="253">
        <f>(C149/Population_Tables!P15)*Population_Tables!D15</f>
        <v>16.69026787364886</v>
      </c>
      <c r="D97" s="253">
        <f>(D149/Population_Tables!Q15)*Population_Tables!E15</f>
        <v>3.0548955137295515</v>
      </c>
      <c r="E97" s="253">
        <f>(E149/Population_Tables!R15)*Population_Tables!F15</f>
        <v>43.657875100962741</v>
      </c>
      <c r="F97" s="253">
        <f>(F149/Population_Tables!S15)*Population_Tables!G15</f>
        <v>6.7924425189259248</v>
      </c>
      <c r="G97" s="253">
        <f>(G149/Population_Tables!T15)*Population_Tables!H15</f>
        <v>1.8778677570692324</v>
      </c>
      <c r="H97" s="253">
        <f>(H149/Population_Tables!U15)*Population_Tables!I15</f>
        <v>28.697193718604748</v>
      </c>
      <c r="I97" s="253">
        <f>(I149/Population_Tables!V15)*Population_Tables!J15</f>
        <v>12.524757390437786</v>
      </c>
      <c r="J97" s="253">
        <f>(J149/Population_Tables!W15)*Population_Tables!K15</f>
        <v>8.0725206740919031</v>
      </c>
      <c r="K97" s="253">
        <f>(K149/Population_Tables!X15)*Population_Tables!L15</f>
        <v>8.9973690987585915</v>
      </c>
      <c r="L97" s="170"/>
      <c r="M97" s="170"/>
      <c r="N97" s="195">
        <f t="shared" si="9"/>
        <v>21.753123901283917</v>
      </c>
      <c r="O97" s="195">
        <f t="shared" si="11"/>
        <v>28.697193718604748</v>
      </c>
      <c r="P97" s="195">
        <f t="shared" si="10"/>
        <v>21.623031144447644</v>
      </c>
      <c r="Q97" s="195">
        <f t="shared" si="12"/>
        <v>72.073348764336316</v>
      </c>
      <c r="R97" s="196">
        <f t="shared" si="13"/>
        <v>0.30181924767241985</v>
      </c>
      <c r="S97" s="170"/>
      <c r="T97" s="170"/>
      <c r="U97" s="195">
        <f>N97-N149</f>
        <v>0.31248778327042359</v>
      </c>
      <c r="V97" s="195">
        <f t="shared" si="14"/>
        <v>0.26187112579734517</v>
      </c>
      <c r="W97" s="195">
        <f t="shared" si="14"/>
        <v>0.21493890454701159</v>
      </c>
      <c r="X97" s="195">
        <f t="shared" si="17"/>
        <v>0.78929781361478035</v>
      </c>
      <c r="Y97" s="207">
        <f t="shared" si="16"/>
        <v>0.39590605457186073</v>
      </c>
      <c r="AC97" s="251">
        <f t="shared" si="15"/>
        <v>1.2678427219174633</v>
      </c>
    </row>
    <row r="98" spans="1:29" ht="15.6" x14ac:dyDescent="0.3">
      <c r="A98" s="206">
        <v>2027</v>
      </c>
      <c r="B98" s="253">
        <f>(B150/Population_Tables!O16)*Population_Tables!C16</f>
        <v>93.345730333614526</v>
      </c>
      <c r="C98" s="253">
        <f>(C150/Population_Tables!P16)*Population_Tables!D16</f>
        <v>16.849422817067499</v>
      </c>
      <c r="D98" s="253">
        <f>(D150/Population_Tables!Q16)*Population_Tables!E16</f>
        <v>3.1565546991578497</v>
      </c>
      <c r="E98" s="253">
        <f>(E150/Population_Tables!R16)*Population_Tables!F16</f>
        <v>45.832405593651288</v>
      </c>
      <c r="F98" s="253">
        <f>(F150/Population_Tables!S16)*Population_Tables!G16</f>
        <v>7.1539996349868442</v>
      </c>
      <c r="G98" s="253">
        <f>(G150/Population_Tables!T16)*Population_Tables!H16</f>
        <v>1.947937750748495</v>
      </c>
      <c r="H98" s="253">
        <f>(H150/Population_Tables!U16)*Population_Tables!I16</f>
        <v>29.592012837187117</v>
      </c>
      <c r="I98" s="253">
        <f>(I150/Population_Tables!V16)*Population_Tables!J16</f>
        <v>13.528164293180016</v>
      </c>
      <c r="J98" s="253">
        <f>(J150/Population_Tables!W16)*Population_Tables!K16</f>
        <v>8.1781876806969613</v>
      </c>
      <c r="K98" s="253">
        <f>(K150/Population_Tables!X16)*Population_Tables!L16</f>
        <v>9.1496629052984932</v>
      </c>
      <c r="L98" s="170"/>
      <c r="M98" s="170"/>
      <c r="N98" s="195">
        <f t="shared" si="9"/>
        <v>23.394392391451017</v>
      </c>
      <c r="O98" s="195">
        <f t="shared" si="11"/>
        <v>29.592012837187117</v>
      </c>
      <c r="P98" s="195">
        <f t="shared" si="10"/>
        <v>21.953915266973844</v>
      </c>
      <c r="Q98" s="195">
        <f t="shared" si="12"/>
        <v>74.940320495611971</v>
      </c>
      <c r="R98" s="196">
        <f t="shared" si="13"/>
        <v>0.3121736367917034</v>
      </c>
      <c r="S98" s="170"/>
      <c r="T98" s="170"/>
      <c r="U98" s="195">
        <f t="shared" si="18"/>
        <v>0.4093809516327731</v>
      </c>
      <c r="V98" s="195">
        <f t="shared" si="14"/>
        <v>0.32919624150938276</v>
      </c>
      <c r="W98" s="195">
        <f t="shared" si="14"/>
        <v>0.2674431942451676</v>
      </c>
      <c r="X98" s="195">
        <f t="shared" si="17"/>
        <v>1.0060203873873235</v>
      </c>
      <c r="Y98" s="207">
        <f t="shared" si="16"/>
        <v>0.40693106895771003</v>
      </c>
      <c r="AC98" s="251">
        <f t="shared" si="15"/>
        <v>1.2706779965137369</v>
      </c>
    </row>
    <row r="99" spans="1:29" ht="15.6" x14ac:dyDescent="0.3">
      <c r="A99" s="206">
        <v>2028</v>
      </c>
      <c r="B99" s="253">
        <f>(B151/Population_Tables!O17)*Population_Tables!C17</f>
        <v>97.374354075373262</v>
      </c>
      <c r="C99" s="253">
        <f>(C151/Population_Tables!P17)*Population_Tables!D17</f>
        <v>17.028022902393804</v>
      </c>
      <c r="D99" s="253">
        <f>(D151/Population_Tables!Q17)*Population_Tables!E17</f>
        <v>3.2602827151280951</v>
      </c>
      <c r="E99" s="253">
        <f>(E151/Population_Tables!R17)*Population_Tables!F17</f>
        <v>48.077916322887219</v>
      </c>
      <c r="F99" s="253">
        <f>(F151/Population_Tables!S17)*Population_Tables!G17</f>
        <v>7.5399740241931772</v>
      </c>
      <c r="G99" s="253">
        <f>(G151/Population_Tables!T17)*Population_Tables!H17</f>
        <v>2.0207430084816997</v>
      </c>
      <c r="H99" s="253">
        <f>(H151/Population_Tables!U17)*Population_Tables!I17</f>
        <v>30.489405383302589</v>
      </c>
      <c r="I99" s="253">
        <f>(I151/Population_Tables!V17)*Population_Tables!J17</f>
        <v>14.584114996404807</v>
      </c>
      <c r="J99" s="253">
        <f>(J151/Population_Tables!W17)*Population_Tables!K17</f>
        <v>8.2881979965411308</v>
      </c>
      <c r="K99" s="253">
        <f>(K151/Population_Tables!X17)*Population_Tables!L17</f>
        <v>9.3056341850781177</v>
      </c>
      <c r="L99" s="170"/>
      <c r="M99" s="170"/>
      <c r="N99" s="195">
        <f t="shared" si="9"/>
        <v>25.128484963777808</v>
      </c>
      <c r="O99" s="195">
        <f t="shared" si="11"/>
        <v>30.489405383302589</v>
      </c>
      <c r="P99" s="195">
        <f t="shared" si="10"/>
        <v>22.309048626003598</v>
      </c>
      <c r="Q99" s="195">
        <f t="shared" si="12"/>
        <v>77.926938973083992</v>
      </c>
      <c r="R99" s="196">
        <f t="shared" si="13"/>
        <v>0.32246210739083697</v>
      </c>
      <c r="S99" s="170"/>
      <c r="T99" s="170"/>
      <c r="U99" s="195">
        <f t="shared" si="18"/>
        <v>0.52119684837719404</v>
      </c>
      <c r="V99" s="195">
        <f t="shared" si="14"/>
        <v>0.403327842214523</v>
      </c>
      <c r="W99" s="195">
        <f t="shared" si="14"/>
        <v>0.32465949929432725</v>
      </c>
      <c r="X99" s="195">
        <f t="shared" si="17"/>
        <v>1.2491841898860443</v>
      </c>
      <c r="Y99" s="207">
        <f t="shared" si="16"/>
        <v>0.41722978292315704</v>
      </c>
      <c r="AC99" s="251">
        <f t="shared" si="15"/>
        <v>1.2732753529877334</v>
      </c>
    </row>
    <row r="100" spans="1:29" ht="15.6" x14ac:dyDescent="0.3">
      <c r="A100" s="206">
        <v>2029</v>
      </c>
      <c r="B100" s="253">
        <f>(B152/Population_Tables!O18)*Population_Tables!C18</f>
        <v>101.52729007694741</v>
      </c>
      <c r="C100" s="253">
        <f>(C152/Population_Tables!P18)*Population_Tables!D18</f>
        <v>17.224736674239633</v>
      </c>
      <c r="D100" s="253">
        <f>(D152/Population_Tables!Q18)*Population_Tables!E18</f>
        <v>3.3661010256117496</v>
      </c>
      <c r="E100" s="253">
        <f>(E152/Population_Tables!R18)*Population_Tables!F18</f>
        <v>50.39501766385002</v>
      </c>
      <c r="F100" s="253">
        <f>(F152/Population_Tables!S18)*Population_Tables!G18</f>
        <v>7.951792926756859</v>
      </c>
      <c r="G100" s="253">
        <f>(G152/Population_Tables!T18)*Population_Tables!H18</f>
        <v>2.096222256245631</v>
      </c>
      <c r="H100" s="253">
        <f>(H152/Population_Tables!U18)*Population_Tables!I18</f>
        <v>31.389256362725476</v>
      </c>
      <c r="I100" s="253">
        <f>(I152/Population_Tables!V18)*Population_Tables!J18</f>
        <v>15.693485371505309</v>
      </c>
      <c r="J100" s="253">
        <f>(J152/Population_Tables!W18)*Population_Tables!K18</f>
        <v>8.4023152016610148</v>
      </c>
      <c r="K100" s="253">
        <f>(K152/Population_Tables!X18)*Population_Tables!L18</f>
        <v>9.4653752933139224</v>
      </c>
      <c r="L100" s="170"/>
      <c r="M100" s="170"/>
      <c r="N100" s="195">
        <f t="shared" si="9"/>
        <v>26.957554227881403</v>
      </c>
      <c r="O100" s="195">
        <f t="shared" si="11"/>
        <v>31.389256362725476</v>
      </c>
      <c r="P100" s="195">
        <f t="shared" si="10"/>
        <v>22.687059956097016</v>
      </c>
      <c r="Q100" s="195">
        <f t="shared" si="12"/>
        <v>81.033870546703895</v>
      </c>
      <c r="R100" s="196">
        <f t="shared" si="13"/>
        <v>0.33267020378033663</v>
      </c>
      <c r="S100" s="170"/>
      <c r="T100" s="170"/>
      <c r="U100" s="195">
        <f t="shared" si="18"/>
        <v>0.64940246573183913</v>
      </c>
      <c r="V100" s="195">
        <f t="shared" si="14"/>
        <v>0.4846428519369681</v>
      </c>
      <c r="W100" s="195">
        <f t="shared" si="14"/>
        <v>0.38675172803512581</v>
      </c>
      <c r="X100" s="195">
        <f t="shared" si="17"/>
        <v>1.520797045703933</v>
      </c>
      <c r="Y100" s="207">
        <f t="shared" si="16"/>
        <v>0.42701454974963438</v>
      </c>
      <c r="AC100" s="251">
        <f t="shared" si="15"/>
        <v>1.275241079059513</v>
      </c>
    </row>
    <row r="101" spans="1:29" ht="15.6" x14ac:dyDescent="0.3">
      <c r="A101" s="206">
        <v>2030</v>
      </c>
      <c r="B101" s="253">
        <f>(B153/Population_Tables!O19)*Population_Tables!C19</f>
        <v>105.8062717560346</v>
      </c>
      <c r="C101" s="253">
        <f>(C153/Population_Tables!P19)*Population_Tables!D19</f>
        <v>17.438219477340013</v>
      </c>
      <c r="D101" s="253">
        <f>(D153/Population_Tables!Q19)*Population_Tables!E19</f>
        <v>3.474039311966254</v>
      </c>
      <c r="E101" s="253">
        <f>(E153/Population_Tables!R19)*Population_Tables!F19</f>
        <v>52.784347773999677</v>
      </c>
      <c r="F101" s="253">
        <f>(F153/Population_Tables!S19)*Population_Tables!G19</f>
        <v>8.3909223994662891</v>
      </c>
      <c r="G101" s="253">
        <f>(G153/Population_Tables!T19)*Population_Tables!H19</f>
        <v>2.1743237180113923</v>
      </c>
      <c r="H101" s="253">
        <f>(H153/Population_Tables!U19)*Population_Tables!I19</f>
        <v>32.291433807026891</v>
      </c>
      <c r="I101" s="253">
        <f>(I153/Population_Tables!V19)*Population_Tables!J19</f>
        <v>16.857211802087061</v>
      </c>
      <c r="J101" s="253">
        <f>(J153/Population_Tables!W19)*Population_Tables!K19</f>
        <v>8.5203032251181998</v>
      </c>
      <c r="K101" s="253">
        <f>(K153/Population_Tables!X19)*Population_Tables!L19</f>
        <v>9.6289665707620031</v>
      </c>
      <c r="L101" s="170"/>
      <c r="M101" s="170"/>
      <c r="N101" s="195">
        <f t="shared" si="9"/>
        <v>28.883836366439077</v>
      </c>
      <c r="O101" s="195">
        <f t="shared" si="11"/>
        <v>32.291433807026891</v>
      </c>
      <c r="P101" s="195">
        <f t="shared" si="10"/>
        <v>23.086582507317662</v>
      </c>
      <c r="Q101" s="195">
        <f t="shared" si="12"/>
        <v>84.261852680783633</v>
      </c>
      <c r="R101" s="196">
        <f t="shared" si="13"/>
        <v>0.34278662820128319</v>
      </c>
      <c r="S101" s="170"/>
      <c r="T101" s="170"/>
      <c r="U101" s="195">
        <f t="shared" si="18"/>
        <v>0.79554836898496717</v>
      </c>
      <c r="V101" s="195">
        <f t="shared" si="14"/>
        <v>0.57350122049773944</v>
      </c>
      <c r="W101" s="195">
        <f t="shared" si="14"/>
        <v>0.45388830431165417</v>
      </c>
      <c r="X101" s="195">
        <f t="shared" si="17"/>
        <v>1.8229378937943608</v>
      </c>
      <c r="Y101" s="207">
        <f t="shared" si="16"/>
        <v>0.4364100234534431</v>
      </c>
      <c r="AC101" s="251">
        <f t="shared" si="15"/>
        <v>1.2764628566439491</v>
      </c>
    </row>
    <row r="102" spans="1:29" ht="15.6" x14ac:dyDescent="0.3">
      <c r="A102" s="206">
        <v>2031</v>
      </c>
      <c r="B102" s="253">
        <f>(B154/Population_Tables!O20)*Population_Tables!C20</f>
        <v>110.2125810350131</v>
      </c>
      <c r="C102" s="253">
        <f>(C154/Population_Tables!P20)*Population_Tables!D20</f>
        <v>17.666987256069199</v>
      </c>
      <c r="D102" s="253">
        <f>(D154/Population_Tables!Q20)*Population_Tables!E20</f>
        <v>3.5841378265623711</v>
      </c>
      <c r="E102" s="253">
        <f>(E154/Population_Tables!R20)*Population_Tables!F20</f>
        <v>55.245922205421166</v>
      </c>
      <c r="F102" s="253">
        <f>(F154/Population_Tables!S20)*Population_Tables!G20</f>
        <v>8.8588872222927275</v>
      </c>
      <c r="G102" s="253">
        <f>(G154/Population_Tables!T20)*Population_Tables!H20</f>
        <v>2.2550393231429076</v>
      </c>
      <c r="H102" s="253">
        <f>(H154/Population_Tables!U20)*Population_Tables!I20</f>
        <v>33.195579459809096</v>
      </c>
      <c r="I102" s="253">
        <f>(I154/Population_Tables!V20)*Population_Tables!J20</f>
        <v>18.075920050344482</v>
      </c>
      <c r="J102" s="253">
        <f>(J154/Population_Tables!W20)*Population_Tables!K20</f>
        <v>8.6418694870475576</v>
      </c>
      <c r="K102" s="253">
        <f>(K154/Population_Tables!X20)*Population_Tables!L20</f>
        <v>9.7963958207913091</v>
      </c>
      <c r="L102" s="170"/>
      <c r="M102" s="170"/>
      <c r="N102" s="195">
        <f t="shared" si="9"/>
        <v>30.909229967904793</v>
      </c>
      <c r="O102" s="195">
        <f t="shared" si="11"/>
        <v>33.195579459809096</v>
      </c>
      <c r="P102" s="195">
        <f t="shared" si="10"/>
        <v>23.506164405774477</v>
      </c>
      <c r="Q102" s="195">
        <f t="shared" si="12"/>
        <v>87.610973833488373</v>
      </c>
      <c r="R102" s="196">
        <f t="shared" si="13"/>
        <v>0.35280089485879068</v>
      </c>
      <c r="S102" s="170"/>
      <c r="T102" s="170"/>
      <c r="U102" s="195">
        <f t="shared" si="18"/>
        <v>0.96084752920152994</v>
      </c>
      <c r="V102" s="195">
        <f t="shared" si="14"/>
        <v>0.6700366097490047</v>
      </c>
      <c r="W102" s="195">
        <f t="shared" si="14"/>
        <v>0.52615252801339096</v>
      </c>
      <c r="X102" s="195">
        <f t="shared" si="17"/>
        <v>2.1570366669639256</v>
      </c>
      <c r="Y102" s="207">
        <f t="shared" si="16"/>
        <v>0.44544793508491581</v>
      </c>
      <c r="AC102" s="251">
        <f t="shared" si="15"/>
        <v>1.277120222337778</v>
      </c>
    </row>
    <row r="103" spans="1:29" ht="15.6" x14ac:dyDescent="0.3">
      <c r="A103" s="206">
        <v>2032</v>
      </c>
      <c r="B103" s="253">
        <f>(B155/Population_Tables!O21)*Population_Tables!C21</f>
        <v>114.7457444668032</v>
      </c>
      <c r="C103" s="253">
        <f>(C155/Population_Tables!P21)*Population_Tables!D21</f>
        <v>17.909300508402954</v>
      </c>
      <c r="D103" s="253">
        <f>(D155/Population_Tables!Q21)*Population_Tables!E21</f>
        <v>3.6964084375245667</v>
      </c>
      <c r="E103" s="253">
        <f>(E155/Population_Tables!R21)*Population_Tables!F21</f>
        <v>57.778671842416649</v>
      </c>
      <c r="F103" s="253">
        <f>(F155/Population_Tables!S21)*Population_Tables!G21</f>
        <v>9.3571070715702245</v>
      </c>
      <c r="G103" s="253">
        <f>(G155/Population_Tables!T21)*Population_Tables!H21</f>
        <v>2.338349503652462</v>
      </c>
      <c r="H103" s="253">
        <f>(H155/Population_Tables!U21)*Population_Tables!I21</f>
        <v>34.100887558379867</v>
      </c>
      <c r="I103" s="253">
        <f>(I155/Population_Tables!V21)*Population_Tables!J21</f>
        <v>19.349760166322127</v>
      </c>
      <c r="J103" s="253">
        <f>(J155/Population_Tables!W21)*Population_Tables!K21</f>
        <v>8.766617331935521</v>
      </c>
      <c r="K103" s="253">
        <f>(K155/Population_Tables!X21)*Population_Tables!L21</f>
        <v>9.9674833346144869</v>
      </c>
      <c r="L103" s="170"/>
      <c r="M103" s="170"/>
      <c r="N103" s="195">
        <f t="shared" si="9"/>
        <v>33.034891355607002</v>
      </c>
      <c r="O103" s="195">
        <f t="shared" si="11"/>
        <v>34.100887558379867</v>
      </c>
      <c r="P103" s="195">
        <f t="shared" si="10"/>
        <v>23.944058449579984</v>
      </c>
      <c r="Q103" s="195">
        <f t="shared" si="12"/>
        <v>91.079837363566853</v>
      </c>
      <c r="R103" s="196">
        <f t="shared" si="13"/>
        <v>0.36270257294971192</v>
      </c>
      <c r="S103" s="170"/>
      <c r="T103" s="170"/>
      <c r="U103" s="195">
        <f t="shared" si="18"/>
        <v>1.1457706523209978</v>
      </c>
      <c r="V103" s="195">
        <f t="shared" si="14"/>
        <v>0.77393517524843247</v>
      </c>
      <c r="W103" s="195">
        <f t="shared" si="14"/>
        <v>0.60333237103338533</v>
      </c>
      <c r="X103" s="195">
        <f t="shared" si="17"/>
        <v>2.5230381986028156</v>
      </c>
      <c r="Y103" s="207">
        <f t="shared" si="16"/>
        <v>0.45412338701629329</v>
      </c>
      <c r="AC103" s="251">
        <f t="shared" si="15"/>
        <v>1.2773988823515641</v>
      </c>
    </row>
    <row r="104" spans="1:29" ht="15.6" x14ac:dyDescent="0.3">
      <c r="A104" s="206">
        <v>2033</v>
      </c>
      <c r="B104" s="253">
        <f>(B156/Population_Tables!O22)*Population_Tables!C22</f>
        <v>119.40222795496059</v>
      </c>
      <c r="C104" s="253">
        <f>(C156/Population_Tables!P22)*Population_Tables!D22</f>
        <v>18.163104732030728</v>
      </c>
      <c r="D104" s="253">
        <f>(D156/Population_Tables!Q22)*Population_Tables!E22</f>
        <v>3.8107824950411526</v>
      </c>
      <c r="E104" s="253">
        <f>(E156/Population_Tables!R22)*Population_Tables!F22</f>
        <v>60.380124040997131</v>
      </c>
      <c r="F104" s="253">
        <f>(F156/Population_Tables!S22)*Population_Tables!G22</f>
        <v>9.8866967543068931</v>
      </c>
      <c r="G104" s="253">
        <f>(G156/Population_Tables!T22)*Population_Tables!H22</f>
        <v>2.4241491621100439</v>
      </c>
      <c r="H104" s="253">
        <f>(H156/Population_Tables!U22)*Population_Tables!I22</f>
        <v>35.005959247258552</v>
      </c>
      <c r="I104" s="253">
        <f>(I156/Population_Tables!V22)*Population_Tables!J22</f>
        <v>20.678287596727834</v>
      </c>
      <c r="J104" s="253">
        <f>(J156/Population_Tables!W22)*Population_Tables!K22</f>
        <v>8.8940202951932008</v>
      </c>
      <c r="K104" s="253">
        <f>(K156/Population_Tables!X22)*Population_Tables!L22</f>
        <v>10.141840312017754</v>
      </c>
      <c r="L104" s="170"/>
      <c r="M104" s="170"/>
      <c r="N104" s="195">
        <f t="shared" si="9"/>
        <v>35.260861548045476</v>
      </c>
      <c r="O104" s="195">
        <f t="shared" si="11"/>
        <v>35.005959247258552</v>
      </c>
      <c r="P104" s="195">
        <f t="shared" si="10"/>
        <v>24.398036389181925</v>
      </c>
      <c r="Q104" s="195">
        <f t="shared" si="12"/>
        <v>94.664857184485953</v>
      </c>
      <c r="R104" s="196">
        <f t="shared" si="13"/>
        <v>0.37248100928656092</v>
      </c>
      <c r="S104" s="170"/>
      <c r="T104" s="170"/>
      <c r="U104" s="195">
        <f t="shared" si="18"/>
        <v>1.3496731394541328</v>
      </c>
      <c r="V104" s="195">
        <f t="shared" si="14"/>
        <v>0.88428997976527768</v>
      </c>
      <c r="W104" s="195">
        <f t="shared" si="14"/>
        <v>0.68473475759991587</v>
      </c>
      <c r="X104" s="195">
        <f t="shared" si="17"/>
        <v>2.9186978768193264</v>
      </c>
      <c r="Y104" s="207">
        <f t="shared" si="16"/>
        <v>0.46242303808606239</v>
      </c>
      <c r="AC104" s="251">
        <f t="shared" si="15"/>
        <v>1.2773299950363861</v>
      </c>
    </row>
    <row r="105" spans="1:29" ht="15.6" x14ac:dyDescent="0.3">
      <c r="A105" s="206">
        <v>2034</v>
      </c>
      <c r="B105" s="253">
        <f>(B157/Population_Tables!O23)*Population_Tables!C23</f>
        <v>124.17648058599667</v>
      </c>
      <c r="C105" s="253">
        <f>(C157/Population_Tables!P23)*Population_Tables!D23</f>
        <v>18.426130813203358</v>
      </c>
      <c r="D105" s="253">
        <f>(D157/Population_Tables!Q23)*Population_Tables!E23</f>
        <v>3.9271442317408103</v>
      </c>
      <c r="E105" s="253">
        <f>(E157/Population_Tables!R23)*Population_Tables!F23</f>
        <v>63.04668064631516</v>
      </c>
      <c r="F105" s="253">
        <f>(F157/Population_Tables!S23)*Population_Tables!G23</f>
        <v>10.448602133731029</v>
      </c>
      <c r="G105" s="253">
        <f>(G157/Population_Tables!T23)*Population_Tables!H23</f>
        <v>2.51229443498256</v>
      </c>
      <c r="H105" s="253">
        <f>(H157/Population_Tables!U23)*Population_Tables!I23</f>
        <v>35.908963075285584</v>
      </c>
      <c r="I105" s="253">
        <f>(I157/Population_Tables!V23)*Population_Tables!J23</f>
        <v>22.060503865647931</v>
      </c>
      <c r="J105" s="253">
        <f>(J157/Population_Tables!W23)*Population_Tables!K23</f>
        <v>9.0234569516309833</v>
      </c>
      <c r="K105" s="253">
        <f>(K157/Population_Tables!X23)*Population_Tables!L23</f>
        <v>10.318944414204045</v>
      </c>
      <c r="L105" s="170"/>
      <c r="M105" s="170"/>
      <c r="N105" s="195">
        <f t="shared" si="9"/>
        <v>37.586319704760598</v>
      </c>
      <c r="O105" s="195">
        <f t="shared" si="11"/>
        <v>35.908963075285584</v>
      </c>
      <c r="P105" s="195">
        <f t="shared" si="10"/>
        <v>24.86556947992673</v>
      </c>
      <c r="Q105" s="195">
        <f t="shared" si="12"/>
        <v>98.360852259972916</v>
      </c>
      <c r="R105" s="196">
        <f t="shared" si="13"/>
        <v>0.38212682018470084</v>
      </c>
      <c r="S105" s="170"/>
      <c r="T105" s="170"/>
      <c r="U105" s="195">
        <f t="shared" si="18"/>
        <v>1.5710485327523145</v>
      </c>
      <c r="V105" s="195">
        <f t="shared" si="14"/>
        <v>0.99976149038987216</v>
      </c>
      <c r="W105" s="195">
        <f t="shared" si="14"/>
        <v>0.76936611683993661</v>
      </c>
      <c r="X105" s="195">
        <f t="shared" si="17"/>
        <v>3.3401761399821233</v>
      </c>
      <c r="Y105" s="207">
        <f t="shared" si="16"/>
        <v>0.4703490076306942</v>
      </c>
      <c r="AC105" s="251">
        <f t="shared" si="15"/>
        <v>1.2769552896345528</v>
      </c>
    </row>
    <row r="106" spans="1:29" ht="15.6" x14ac:dyDescent="0.3">
      <c r="A106" s="206">
        <v>2035</v>
      </c>
      <c r="B106" s="253">
        <f>(B158/Population_Tables!O24)*Population_Tables!C24</f>
        <v>129.06412042555777</v>
      </c>
      <c r="C106" s="253">
        <f>(C158/Population_Tables!P24)*Population_Tables!D24</f>
        <v>18.696273330126573</v>
      </c>
      <c r="D106" s="253">
        <f>(D158/Population_Tables!Q24)*Population_Tables!E24</f>
        <v>4.0454029050320628</v>
      </c>
      <c r="E106" s="253">
        <f>(E158/Population_Tables!R24)*Population_Tables!F24</f>
        <v>65.775262170025158</v>
      </c>
      <c r="F106" s="253">
        <f>(F158/Population_Tables!S24)*Population_Tables!G24</f>
        <v>11.043886485080829</v>
      </c>
      <c r="G106" s="253">
        <f>(G158/Population_Tables!T24)*Population_Tables!H24</f>
        <v>2.602665150910993</v>
      </c>
      <c r="H106" s="253">
        <f>(H158/Population_Tables!U24)*Population_Tables!I24</f>
        <v>36.808312341253426</v>
      </c>
      <c r="I106" s="253">
        <f>(I158/Population_Tables!V24)*Population_Tables!J24</f>
        <v>23.495542173655469</v>
      </c>
      <c r="J106" s="253">
        <f>(J158/Population_Tables!W24)*Population_Tables!K24</f>
        <v>9.1543764538701176</v>
      </c>
      <c r="K106" s="253">
        <f>(K158/Population_Tables!X24)*Population_Tables!L24</f>
        <v>10.498393539608761</v>
      </c>
      <c r="L106" s="170"/>
      <c r="M106" s="170"/>
      <c r="N106" s="195">
        <f t="shared" si="9"/>
        <v>40.010836313852565</v>
      </c>
      <c r="O106" s="195">
        <f t="shared" si="11"/>
        <v>36.808312341253426</v>
      </c>
      <c r="P106" s="195">
        <f t="shared" si="10"/>
        <v>25.34434138606963</v>
      </c>
      <c r="Q106" s="195">
        <f t="shared" si="12"/>
        <v>102.16349004117562</v>
      </c>
      <c r="R106" s="196">
        <f t="shared" si="13"/>
        <v>0.39163537089156542</v>
      </c>
      <c r="S106" s="170"/>
      <c r="T106" s="170"/>
      <c r="U106" s="195">
        <f t="shared" si="18"/>
        <v>1.8087817029267441</v>
      </c>
      <c r="V106" s="195">
        <f t="shared" si="14"/>
        <v>1.1192549241645864</v>
      </c>
      <c r="W106" s="195">
        <f t="shared" si="14"/>
        <v>0.85644528678921361</v>
      </c>
      <c r="X106" s="195">
        <f t="shared" si="17"/>
        <v>3.7844819138805441</v>
      </c>
      <c r="Y106" s="207">
        <f t="shared" si="16"/>
        <v>0.47794698034956384</v>
      </c>
      <c r="AC106" s="251">
        <f t="shared" si="15"/>
        <v>1.2763329130469436</v>
      </c>
    </row>
    <row r="107" spans="1:29" ht="15.6" x14ac:dyDescent="0.3">
      <c r="A107" s="206">
        <v>2036</v>
      </c>
      <c r="B107" s="253">
        <f>(B159/Population_Tables!O25)*Population_Tables!C25</f>
        <v>134.06318934727634</v>
      </c>
      <c r="C107" s="253">
        <f>(C159/Population_Tables!P25)*Population_Tables!D25</f>
        <v>18.971709053745268</v>
      </c>
      <c r="D107" s="253">
        <f>(D159/Population_Tables!Q25)*Population_Tables!E25</f>
        <v>4.1655153352348098</v>
      </c>
      <c r="E107" s="253">
        <f>(E159/Population_Tables!R25)*Population_Tables!F25</f>
        <v>68.564017608402182</v>
      </c>
      <c r="F107" s="253">
        <f>(F159/Population_Tables!S25)*Population_Tables!G25</f>
        <v>11.673848578911588</v>
      </c>
      <c r="G107" s="253">
        <f>(G159/Population_Tables!T25)*Population_Tables!H25</f>
        <v>2.6951849539128521</v>
      </c>
      <c r="H107" s="253">
        <f>(H159/Population_Tables!U25)*Population_Tables!I25</f>
        <v>37.702922642441244</v>
      </c>
      <c r="I107" s="253">
        <f>(I159/Population_Tables!V25)*Population_Tables!J25</f>
        <v>24.983069411457361</v>
      </c>
      <c r="J107" s="253">
        <f>(J159/Population_Tables!W25)*Population_Tables!K25</f>
        <v>9.2863389164116601</v>
      </c>
      <c r="K107" s="253">
        <f>(K159/Population_Tables!X25)*Population_Tables!L25</f>
        <v>10.679996844935578</v>
      </c>
      <c r="L107" s="170"/>
      <c r="M107" s="170"/>
      <c r="N107" s="195">
        <f t="shared" si="9"/>
        <v>42.534943544872526</v>
      </c>
      <c r="O107" s="195">
        <f t="shared" si="11"/>
        <v>37.702922642441244</v>
      </c>
      <c r="P107" s="195">
        <f t="shared" si="10"/>
        <v>25.83240934289293</v>
      </c>
      <c r="Q107" s="195">
        <f t="shared" si="12"/>
        <v>106.07027553020671</v>
      </c>
      <c r="R107" s="196">
        <f t="shared" si="13"/>
        <v>0.40100719388401529</v>
      </c>
      <c r="S107" s="170"/>
      <c r="T107" s="170"/>
      <c r="U107" s="195">
        <f t="shared" si="18"/>
        <v>2.0627192021395828</v>
      </c>
      <c r="V107" s="195">
        <f t="shared" si="14"/>
        <v>1.2421777966184848</v>
      </c>
      <c r="W107" s="195">
        <f t="shared" si="14"/>
        <v>0.94556467651058185</v>
      </c>
      <c r="X107" s="195">
        <f t="shared" si="17"/>
        <v>4.2504616752686495</v>
      </c>
      <c r="Y107" s="207">
        <f t="shared" si="16"/>
        <v>0.48529297749972283</v>
      </c>
      <c r="AC107" s="251">
        <f t="shared" si="15"/>
        <v>1.2755227986282101</v>
      </c>
    </row>
    <row r="108" spans="1:29" ht="15.6" x14ac:dyDescent="0.3">
      <c r="A108" s="206">
        <v>2037</v>
      </c>
      <c r="B108" s="253">
        <f>(B160/Population_Tables!O26)*Population_Tables!C26</f>
        <v>139.17483035955848</v>
      </c>
      <c r="C108" s="253">
        <f>(C160/Population_Tables!P26)*Population_Tables!D26</f>
        <v>19.250952891561276</v>
      </c>
      <c r="D108" s="253">
        <f>(D160/Population_Tables!Q26)*Population_Tables!E26</f>
        <v>4.2875148676596861</v>
      </c>
      <c r="E108" s="253">
        <f>(E160/Population_Tables!R26)*Population_Tables!F26</f>
        <v>71.412701833949995</v>
      </c>
      <c r="F108" s="253">
        <f>(F160/Population_Tables!S26)*Population_Tables!G26</f>
        <v>12.340083006719164</v>
      </c>
      <c r="G108" s="253">
        <f>(G160/Population_Tables!T26)*Population_Tables!H26</f>
        <v>2.7898404204549259</v>
      </c>
      <c r="H108" s="253">
        <f>(H160/Population_Tables!U26)*Population_Tables!I26</f>
        <v>38.59236234165423</v>
      </c>
      <c r="I108" s="253">
        <f>(I160/Population_Tables!V26)*Population_Tables!J26</f>
        <v>26.523405985972847</v>
      </c>
      <c r="J108" s="253">
        <f>(J160/Population_Tables!W26)*Population_Tables!K26</f>
        <v>9.4190621767076017</v>
      </c>
      <c r="K108" s="253">
        <f>(K160/Population_Tables!X26)*Population_Tables!L26</f>
        <v>10.863791615093804</v>
      </c>
      <c r="L108" s="170"/>
      <c r="M108" s="170"/>
      <c r="N108" s="195">
        <f t="shared" si="9"/>
        <v>45.160422499014935</v>
      </c>
      <c r="O108" s="195">
        <f t="shared" si="11"/>
        <v>38.59236234165423</v>
      </c>
      <c r="P108" s="195">
        <f t="shared" si="10"/>
        <v>26.32830817967589</v>
      </c>
      <c r="Q108" s="195">
        <f t="shared" si="12"/>
        <v>110.08109302034507</v>
      </c>
      <c r="R108" s="196">
        <f t="shared" si="13"/>
        <v>0.41024685765673163</v>
      </c>
      <c r="S108" s="170"/>
      <c r="T108" s="170"/>
      <c r="U108" s="195">
        <f t="shared" si="18"/>
        <v>2.3339565141962666</v>
      </c>
      <c r="V108" s="195">
        <f t="shared" si="14"/>
        <v>1.3685903888066449</v>
      </c>
      <c r="W108" s="195">
        <f t="shared" si="14"/>
        <v>1.0367942890638346</v>
      </c>
      <c r="X108" s="195">
        <f t="shared" si="17"/>
        <v>4.7393411920667461</v>
      </c>
      <c r="Y108" s="207">
        <f t="shared" si="16"/>
        <v>0.49246433620417773</v>
      </c>
      <c r="AC108" s="251">
        <f t="shared" si="15"/>
        <v>1.2745807991884752</v>
      </c>
    </row>
    <row r="109" spans="1:29" ht="15.6" x14ac:dyDescent="0.3">
      <c r="A109" s="206">
        <v>2038</v>
      </c>
      <c r="B109" s="253">
        <f>(B161/Population_Tables!O27)*Population_Tables!C27</f>
        <v>144.4015827455342</v>
      </c>
      <c r="C109" s="253">
        <f>(C161/Population_Tables!P27)*Population_Tables!D27</f>
        <v>19.532649406765401</v>
      </c>
      <c r="D109" s="253">
        <f>(D161/Population_Tables!Q27)*Population_Tables!E27</f>
        <v>4.4114764056198403</v>
      </c>
      <c r="E109" s="253">
        <f>(E161/Population_Tables!R27)*Population_Tables!F27</f>
        <v>74.321775280376002</v>
      </c>
      <c r="F109" s="253">
        <f>(F161/Population_Tables!S27)*Population_Tables!G27</f>
        <v>13.044322652634232</v>
      </c>
      <c r="G109" s="253">
        <f>(G161/Population_Tables!T27)*Population_Tables!H27</f>
        <v>2.8866584605085102</v>
      </c>
      <c r="H109" s="253">
        <f>(H161/Population_Tables!U27)*Population_Tables!I27</f>
        <v>39.47649292894733</v>
      </c>
      <c r="I109" s="253">
        <f>(I161/Population_Tables!V27)*Population_Tables!J27</f>
        <v>28.117086183723593</v>
      </c>
      <c r="J109" s="253">
        <f>(J161/Population_Tables!W27)*Population_Tables!K27</f>
        <v>9.5523359857065469</v>
      </c>
      <c r="K109" s="253">
        <f>(K161/Population_Tables!X27)*Population_Tables!L27</f>
        <v>11.049890354690884</v>
      </c>
      <c r="L109" s="170"/>
      <c r="M109" s="170"/>
      <c r="N109" s="195">
        <f t="shared" si="9"/>
        <v>47.889605004062908</v>
      </c>
      <c r="O109" s="195">
        <f t="shared" si="11"/>
        <v>39.47649292894733</v>
      </c>
      <c r="P109" s="195">
        <f t="shared" si="10"/>
        <v>26.830784272893752</v>
      </c>
      <c r="Q109" s="195">
        <f t="shared" si="12"/>
        <v>114.19688220590399</v>
      </c>
      <c r="R109" s="196">
        <f t="shared" si="13"/>
        <v>0.41936000422248843</v>
      </c>
      <c r="S109" s="170"/>
      <c r="T109" s="170"/>
      <c r="U109" s="195">
        <f t="shared" si="18"/>
        <v>2.6241398494909234</v>
      </c>
      <c r="V109" s="195">
        <f t="shared" si="14"/>
        <v>1.4988461090339413</v>
      </c>
      <c r="W109" s="195">
        <f t="shared" si="14"/>
        <v>1.1304156747047394</v>
      </c>
      <c r="X109" s="195">
        <f t="shared" si="17"/>
        <v>5.2534016332296041</v>
      </c>
      <c r="Y109" s="207">
        <f t="shared" si="16"/>
        <v>0.4995125125960902</v>
      </c>
      <c r="AC109" s="251">
        <f t="shared" si="15"/>
        <v>1.2735566327254824</v>
      </c>
    </row>
    <row r="110" spans="1:29" ht="15.6" x14ac:dyDescent="0.3">
      <c r="A110" s="206">
        <v>2039</v>
      </c>
      <c r="B110" s="253">
        <f>(B162/Population_Tables!O28)*Population_Tables!C28</f>
        <v>149.74800028713514</v>
      </c>
      <c r="C110" s="253">
        <f>(C162/Population_Tables!P28)*Population_Tables!D28</f>
        <v>19.815627909588045</v>
      </c>
      <c r="D110" s="253">
        <f>(D162/Population_Tables!Q28)*Population_Tables!E28</f>
        <v>4.5375311571046497</v>
      </c>
      <c r="E110" s="253">
        <f>(E162/Population_Tables!R28)*Population_Tables!F28</f>
        <v>77.292800191876907</v>
      </c>
      <c r="F110" s="253">
        <f>(F162/Population_Tables!S28)*Population_Tables!G28</f>
        <v>13.788503516149234</v>
      </c>
      <c r="G110" s="253">
        <f>(G162/Population_Tables!T28)*Population_Tables!H28</f>
        <v>2.9857083642881634</v>
      </c>
      <c r="H110" s="253">
        <f>(H162/Population_Tables!U28)*Population_Tables!I28</f>
        <v>40.355594090019984</v>
      </c>
      <c r="I110" s="253">
        <f>(I162/Population_Tables!V28)*Population_Tables!J28</f>
        <v>29.765113919464547</v>
      </c>
      <c r="J110" s="253">
        <f>(J162/Population_Tables!W28)*Population_Tables!K28</f>
        <v>9.6860464351794189</v>
      </c>
      <c r="K110" s="253">
        <f>(K162/Population_Tables!X28)*Population_Tables!L28</f>
        <v>11.238528009967682</v>
      </c>
      <c r="L110" s="170"/>
      <c r="M110" s="170"/>
      <c r="N110" s="195">
        <f t="shared" si="9"/>
        <v>50.725709618006157</v>
      </c>
      <c r="O110" s="195">
        <f t="shared" si="11"/>
        <v>40.355594090019984</v>
      </c>
      <c r="P110" s="195">
        <f t="shared" si="10"/>
        <v>27.338867430980859</v>
      </c>
      <c r="Q110" s="195">
        <f t="shared" si="12"/>
        <v>118.42017113900701</v>
      </c>
      <c r="R110" s="196">
        <f t="shared" si="13"/>
        <v>0.42835362531660254</v>
      </c>
      <c r="S110" s="170"/>
      <c r="T110" s="170"/>
      <c r="U110" s="195">
        <f t="shared" si="18"/>
        <v>2.9358021486242478</v>
      </c>
      <c r="V110" s="195">
        <f t="shared" si="14"/>
        <v>1.6337165612496989</v>
      </c>
      <c r="W110" s="195">
        <f t="shared" si="14"/>
        <v>1.2269938156481714</v>
      </c>
      <c r="X110" s="195">
        <f t="shared" si="17"/>
        <v>5.7965125255221182</v>
      </c>
      <c r="Y110" s="207">
        <f t="shared" si="16"/>
        <v>0.50647732333845108</v>
      </c>
      <c r="AC110" s="251">
        <f t="shared" si="15"/>
        <v>1.2724853088861818</v>
      </c>
    </row>
    <row r="111" spans="1:29" ht="15.6" x14ac:dyDescent="0.3">
      <c r="A111" s="206">
        <v>2040</v>
      </c>
      <c r="B111" s="253">
        <f>(B163/Population_Tables!O29)*Population_Tables!C29</f>
        <v>155.21835212324686</v>
      </c>
      <c r="C111" s="253">
        <f>(C163/Population_Tables!P29)*Population_Tables!D29</f>
        <v>20.098633798415221</v>
      </c>
      <c r="D111" s="253">
        <f>(D163/Population_Tables!Q29)*Population_Tables!E29</f>
        <v>4.6657976746610457</v>
      </c>
      <c r="E111" s="253">
        <f>(E163/Population_Tables!R29)*Population_Tables!F29</f>
        <v>80.327255327503579</v>
      </c>
      <c r="F111" s="253">
        <f>(F163/Population_Tables!S29)*Population_Tables!G29</f>
        <v>14.574561004295754</v>
      </c>
      <c r="G111" s="253">
        <f>(G163/Population_Tables!T29)*Population_Tables!H29</f>
        <v>3.0870521499613481</v>
      </c>
      <c r="H111" s="253">
        <f>(H163/Population_Tables!U29)*Population_Tables!I29</f>
        <v>41.229856856186352</v>
      </c>
      <c r="I111" s="253">
        <f>(I163/Population_Tables!V29)*Population_Tables!J29</f>
        <v>31.468547493654487</v>
      </c>
      <c r="J111" s="253">
        <f>(J163/Population_Tables!W29)*Population_Tables!K29</f>
        <v>9.8200412296400295</v>
      </c>
      <c r="K111" s="253">
        <f>(K163/Population_Tables!X29)*Population_Tables!L29</f>
        <v>11.429904430095196</v>
      </c>
      <c r="L111" s="170"/>
      <c r="M111" s="170"/>
      <c r="N111" s="195">
        <f t="shared" si="9"/>
        <v>53.671959475612987</v>
      </c>
      <c r="O111" s="195">
        <f t="shared" si="11"/>
        <v>41.229856856186352</v>
      </c>
      <c r="P111" s="195">
        <f t="shared" si="10"/>
        <v>27.851483623037616</v>
      </c>
      <c r="Q111" s="195">
        <f t="shared" si="12"/>
        <v>122.75329995483696</v>
      </c>
      <c r="R111" s="196">
        <f>N111/Q111</f>
        <v>0.43723435129939331</v>
      </c>
      <c r="S111" s="170"/>
      <c r="T111" s="170"/>
      <c r="U111" s="195">
        <f t="shared" si="18"/>
        <v>3.2714809289755777</v>
      </c>
      <c r="V111" s="195">
        <f t="shared" si="14"/>
        <v>1.7738846950179834</v>
      </c>
      <c r="W111" s="195">
        <f t="shared" si="14"/>
        <v>1.3269898547750749</v>
      </c>
      <c r="X111" s="195">
        <f t="shared" si="17"/>
        <v>6.3723554787686361</v>
      </c>
      <c r="Y111" s="207">
        <f t="shared" si="16"/>
        <v>0.51338644554207191</v>
      </c>
      <c r="AC111" s="251">
        <f t="shared" si="15"/>
        <v>1.2713868378930679</v>
      </c>
    </row>
    <row r="112" spans="1:29" ht="15.6" x14ac:dyDescent="0.3">
      <c r="A112" s="206">
        <v>2041</v>
      </c>
      <c r="B112" s="253">
        <f>(B164/Population_Tables!O30)*Population_Tables!C30</f>
        <v>160.81443396858853</v>
      </c>
      <c r="C112" s="253">
        <f>(C164/Population_Tables!P30)*Population_Tables!D30</f>
        <v>20.380160114778604</v>
      </c>
      <c r="D112" s="253">
        <f>(D164/Population_Tables!Q30)*Population_Tables!E30</f>
        <v>4.7963284536274244</v>
      </c>
      <c r="E112" s="253">
        <f>(E164/Population_Tables!R30)*Population_Tables!F30</f>
        <v>83.425307340324906</v>
      </c>
      <c r="F112" s="253">
        <f>(F164/Population_Tables!S30)*Population_Tables!G30</f>
        <v>15.404225788228413</v>
      </c>
      <c r="G112" s="253">
        <f>(G164/Population_Tables!T30)*Population_Tables!H30</f>
        <v>3.1906943959552247</v>
      </c>
      <c r="H112" s="253">
        <f>(H164/Population_Tables!U30)*Population_Tables!I30</f>
        <v>42.098906272158736</v>
      </c>
      <c r="I112" s="253">
        <f>(I164/Population_Tables!V30)*Population_Tables!J30</f>
        <v>33.227959293228871</v>
      </c>
      <c r="J112" s="253">
        <f>(J164/Population_Tables!W30)*Population_Tables!K30</f>
        <v>9.9540499005280765</v>
      </c>
      <c r="K112" s="253">
        <f>(K164/Population_Tables!X30)*Population_Tables!L30</f>
        <v>11.62407153835187</v>
      </c>
      <c r="L112" s="170"/>
      <c r="M112" s="170"/>
      <c r="N112" s="195">
        <f t="shared" si="9"/>
        <v>56.730626856394586</v>
      </c>
      <c r="O112" s="195">
        <f t="shared" si="11"/>
        <v>42.098906272158736</v>
      </c>
      <c r="P112" s="195">
        <f t="shared" si="10"/>
        <v>28.367182964361255</v>
      </c>
      <c r="Q112" s="195">
        <f t="shared" si="12"/>
        <v>127.19671609291458</v>
      </c>
      <c r="R112" s="196">
        <f t="shared" si="13"/>
        <v>0.44600700866328996</v>
      </c>
      <c r="S112" s="170"/>
      <c r="T112" s="170"/>
      <c r="U112" s="195">
        <f t="shared" si="18"/>
        <v>3.6327628526670708</v>
      </c>
      <c r="V112" s="195">
        <f t="shared" si="14"/>
        <v>1.9194674733009975</v>
      </c>
      <c r="W112" s="195">
        <f t="shared" si="14"/>
        <v>1.4304890811632021</v>
      </c>
      <c r="X112" s="195">
        <f t="shared" si="17"/>
        <v>6.9827194071312704</v>
      </c>
      <c r="Y112" s="207">
        <f t="shared" si="16"/>
        <v>0.52025044124743491</v>
      </c>
      <c r="AC112" s="251">
        <f t="shared" si="15"/>
        <v>1.2702679416510274</v>
      </c>
    </row>
    <row r="113" spans="1:29" ht="15.6" x14ac:dyDescent="0.3">
      <c r="A113" s="206">
        <v>2042</v>
      </c>
      <c r="B113" s="253">
        <f>(B165/Population_Tables!O31)*Population_Tables!C31</f>
        <v>166.53739641451824</v>
      </c>
      <c r="C113" s="253">
        <f>(C165/Population_Tables!P31)*Population_Tables!D31</f>
        <v>20.658564685772394</v>
      </c>
      <c r="D113" s="253">
        <f>(D165/Population_Tables!Q31)*Population_Tables!E31</f>
        <v>4.9291478253320333</v>
      </c>
      <c r="E113" s="253">
        <f>(E165/Population_Tables!R31)*Population_Tables!F31</f>
        <v>86.58687292247437</v>
      </c>
      <c r="F113" s="253">
        <f>(F165/Population_Tables!S31)*Population_Tables!G31</f>
        <v>16.279186197781776</v>
      </c>
      <c r="G113" s="253">
        <f>(G165/Population_Tables!T31)*Population_Tables!H31</f>
        <v>3.2966185946833493</v>
      </c>
      <c r="H113" s="253">
        <f>(H165/Population_Tables!U31)*Population_Tables!I31</f>
        <v>42.962211981394582</v>
      </c>
      <c r="I113" s="253">
        <f>(I165/Population_Tables!V31)*Population_Tables!J31</f>
        <v>35.043949080656454</v>
      </c>
      <c r="J113" s="253">
        <f>(J165/Population_Tables!W31)*Population_Tables!K31</f>
        <v>10.087737086192378</v>
      </c>
      <c r="K113" s="253">
        <f>(K165/Population_Tables!X31)*Population_Tables!L31</f>
        <v>11.821022550742075</v>
      </c>
      <c r="L113" s="170"/>
      <c r="M113" s="170"/>
      <c r="N113" s="195">
        <f t="shared" si="9"/>
        <v>59.903847138861572</v>
      </c>
      <c r="O113" s="195">
        <f t="shared" si="11"/>
        <v>42.962211981394582</v>
      </c>
      <c r="P113" s="195">
        <f t="shared" si="10"/>
        <v>28.884331105787776</v>
      </c>
      <c r="Q113" s="195">
        <f t="shared" si="12"/>
        <v>131.75039022604392</v>
      </c>
      <c r="R113" s="196">
        <f t="shared" si="13"/>
        <v>0.4546768099592316</v>
      </c>
      <c r="S113" s="170"/>
      <c r="T113" s="170"/>
      <c r="U113" s="195">
        <f t="shared" si="18"/>
        <v>4.0210976808203682</v>
      </c>
      <c r="V113" s="195">
        <f t="shared" si="14"/>
        <v>2.0704264578060858</v>
      </c>
      <c r="W113" s="195">
        <f t="shared" si="14"/>
        <v>1.5373923194290882</v>
      </c>
      <c r="X113" s="195">
        <f t="shared" si="17"/>
        <v>7.6289164580555422</v>
      </c>
      <c r="Y113" s="207">
        <f t="shared" si="16"/>
        <v>0.52708634351008021</v>
      </c>
      <c r="AC113" s="251">
        <f t="shared" si="15"/>
        <v>1.2691295943149656</v>
      </c>
    </row>
    <row r="114" spans="1:29" ht="15.6" x14ac:dyDescent="0.3">
      <c r="A114" s="206">
        <v>2043</v>
      </c>
      <c r="B114" s="253">
        <f>(B166/Population_Tables!O32)*Population_Tables!C32</f>
        <v>172.39078316089726</v>
      </c>
      <c r="C114" s="253">
        <f>(C166/Population_Tables!P32)*Population_Tables!D32</f>
        <v>20.932352022387064</v>
      </c>
      <c r="D114" s="253">
        <f>(D166/Population_Tables!Q32)*Population_Tables!E32</f>
        <v>5.0643259905422626</v>
      </c>
      <c r="E114" s="253">
        <f>(E166/Population_Tables!R32)*Population_Tables!F32</f>
        <v>89.813312381478895</v>
      </c>
      <c r="F114" s="253">
        <f>(F166/Population_Tables!S32)*Population_Tables!G32</f>
        <v>17.201378286287468</v>
      </c>
      <c r="G114" s="253">
        <f>(G166/Population_Tables!T32)*Population_Tables!H32</f>
        <v>3.404850922997857</v>
      </c>
      <c r="H114" s="253">
        <f>(H166/Population_Tables!U32)*Population_Tables!I32</f>
        <v>43.819750786551182</v>
      </c>
      <c r="I114" s="253">
        <f>(I166/Population_Tables!V32)*Population_Tables!J32</f>
        <v>36.917913239435627</v>
      </c>
      <c r="J114" s="253">
        <f>(J166/Population_Tables!W32)*Population_Tables!K32</f>
        <v>10.220838815972524</v>
      </c>
      <c r="K114" s="253">
        <f>(K166/Population_Tables!X32)*Population_Tables!L32</f>
        <v>12.020857047504002</v>
      </c>
      <c r="L114" s="170"/>
      <c r="M114" s="170"/>
      <c r="N114" s="195">
        <f t="shared" si="9"/>
        <v>63.194939881215177</v>
      </c>
      <c r="O114" s="195">
        <f t="shared" si="11"/>
        <v>43.819750786551182</v>
      </c>
      <c r="P114" s="195">
        <f t="shared" si="10"/>
        <v>29.401528935927182</v>
      </c>
      <c r="Q114" s="195">
        <f t="shared" si="12"/>
        <v>136.41621960369355</v>
      </c>
      <c r="R114" s="196">
        <f t="shared" si="13"/>
        <v>0.46325092474197355</v>
      </c>
      <c r="S114" s="170"/>
      <c r="T114" s="170"/>
      <c r="U114" s="195">
        <f t="shared" si="18"/>
        <v>4.4391193542476657</v>
      </c>
      <c r="V114" s="195">
        <f t="shared" si="14"/>
        <v>2.2272303694404485</v>
      </c>
      <c r="W114" s="195">
        <f t="shared" si="14"/>
        <v>1.6478356319632645</v>
      </c>
      <c r="X114" s="195">
        <f t="shared" si="17"/>
        <v>8.3141853556513787</v>
      </c>
      <c r="Y114" s="207">
        <f t="shared" si="16"/>
        <v>0.53392114372700084</v>
      </c>
      <c r="AC114" s="251">
        <f t="shared" si="15"/>
        <v>1.2679677084086145</v>
      </c>
    </row>
    <row r="115" spans="1:29" ht="15.6" x14ac:dyDescent="0.3">
      <c r="A115" s="206">
        <v>2044</v>
      </c>
      <c r="B115" s="253">
        <f>(B167/Population_Tables!O33)*Population_Tables!C33</f>
        <v>178.37877728525234</v>
      </c>
      <c r="C115" s="253">
        <f>(C167/Population_Tables!P33)*Population_Tables!D33</f>
        <v>21.200015545866446</v>
      </c>
      <c r="D115" s="253">
        <f>(D167/Population_Tables!Q33)*Population_Tables!E33</f>
        <v>5.2019367634123652</v>
      </c>
      <c r="E115" s="253">
        <f>(E167/Population_Tables!R33)*Population_Tables!F33</f>
        <v>93.106480177247263</v>
      </c>
      <c r="F115" s="253">
        <f>(F167/Population_Tables!S33)*Population_Tables!G33</f>
        <v>18.172822615230857</v>
      </c>
      <c r="G115" s="253">
        <f>(G167/Population_Tables!T33)*Population_Tables!H33</f>
        <v>3.5154244411019784</v>
      </c>
      <c r="H115" s="253">
        <f>(H167/Population_Tables!U33)*Population_Tables!I33</f>
        <v>44.671622751145257</v>
      </c>
      <c r="I115" s="253">
        <f>(I167/Population_Tables!V33)*Population_Tables!J33</f>
        <v>38.851635013006558</v>
      </c>
      <c r="J115" s="253">
        <f>(J167/Population_Tables!W33)*Population_Tables!K33</f>
        <v>10.353087633998106</v>
      </c>
      <c r="K115" s="253">
        <f>(K167/Population_Tables!X33)*Population_Tables!L33</f>
        <v>12.223689162189615</v>
      </c>
      <c r="L115" s="170"/>
      <c r="M115" s="170"/>
      <c r="N115" s="195">
        <f t="shared" si="9"/>
        <v>66.607680041332856</v>
      </c>
      <c r="O115" s="195">
        <f t="shared" si="11"/>
        <v>44.671622751145257</v>
      </c>
      <c r="P115" s="195">
        <f t="shared" si="10"/>
        <v>29.917376750380789</v>
      </c>
      <c r="Q115" s="195">
        <f t="shared" si="12"/>
        <v>141.1966795428589</v>
      </c>
      <c r="R115" s="196">
        <f t="shared" si="13"/>
        <v>0.47173687268697229</v>
      </c>
      <c r="S115" s="170"/>
      <c r="T115" s="170"/>
      <c r="U115" s="195">
        <f t="shared" si="18"/>
        <v>4.8899172134374567</v>
      </c>
      <c r="V115" s="195">
        <f t="shared" si="14"/>
        <v>2.3904711899707038</v>
      </c>
      <c r="W115" s="195">
        <f t="shared" si="14"/>
        <v>1.7619544881475804</v>
      </c>
      <c r="X115" s="195">
        <f t="shared" si="17"/>
        <v>9.0423428915557409</v>
      </c>
      <c r="Y115" s="207">
        <f t="shared" si="16"/>
        <v>0.54077989212330602</v>
      </c>
      <c r="AC115" s="251">
        <f t="shared" si="15"/>
        <v>1.2667713866374046</v>
      </c>
    </row>
    <row r="116" spans="1:29" ht="15.6" x14ac:dyDescent="0.3">
      <c r="A116" s="206">
        <v>2045</v>
      </c>
      <c r="B116" s="253">
        <f>(B168/Population_Tables!O34)*Population_Tables!C34</f>
        <v>184.50551374781216</v>
      </c>
      <c r="C116" s="253">
        <f>(C168/Population_Tables!P34)*Population_Tables!D34</f>
        <v>21.460057623153787</v>
      </c>
      <c r="D116" s="253">
        <f>(D168/Population_Tables!Q34)*Population_Tables!E34</f>
        <v>5.3420582283737517</v>
      </c>
      <c r="E116" s="253">
        <f>(E168/Population_Tables!R34)*Population_Tables!F34</f>
        <v>96.468193742766729</v>
      </c>
      <c r="F116" s="253">
        <f>(F168/Population_Tables!S34)*Population_Tables!G34</f>
        <v>19.195566807277757</v>
      </c>
      <c r="G116" s="253">
        <f>(G168/Population_Tables!T34)*Population_Tables!H34</f>
        <v>3.6283730779744223</v>
      </c>
      <c r="H116" s="253">
        <f>(H168/Population_Tables!U34)*Population_Tables!I34</f>
        <v>45.51788029032064</v>
      </c>
      <c r="I116" s="253">
        <f>(I168/Population_Tables!V34)*Population_Tables!J34</f>
        <v>40.846941162147317</v>
      </c>
      <c r="J116" s="253">
        <f>(J168/Population_Tables!W34)*Population_Tables!K34</f>
        <v>10.484224061799807</v>
      </c>
      <c r="K116" s="253">
        <f>(K168/Population_Tables!X34)*Population_Tables!L34</f>
        <v>12.429645248056604</v>
      </c>
      <c r="L116" s="170"/>
      <c r="M116" s="170"/>
      <c r="N116" s="195">
        <f t="shared" si="9"/>
        <v>70.145880259723839</v>
      </c>
      <c r="O116" s="195">
        <f t="shared" si="11"/>
        <v>45.51788029032064</v>
      </c>
      <c r="P116" s="195">
        <f t="shared" si="10"/>
        <v>30.430488929501962</v>
      </c>
      <c r="Q116" s="195">
        <f t="shared" si="12"/>
        <v>146.09424947954645</v>
      </c>
      <c r="R116" s="196">
        <f t="shared" si="13"/>
        <v>0.48014128214912682</v>
      </c>
      <c r="S116" s="170"/>
      <c r="T116" s="170"/>
      <c r="U116" s="195">
        <f t="shared" si="18"/>
        <v>5.3766182815099484</v>
      </c>
      <c r="V116" s="195">
        <f t="shared" si="14"/>
        <v>2.5606932527905926</v>
      </c>
      <c r="W116" s="195">
        <f t="shared" si="14"/>
        <v>1.8798984421159375</v>
      </c>
      <c r="X116" s="195">
        <f t="shared" si="17"/>
        <v>9.8172099764164784</v>
      </c>
      <c r="Y116" s="207">
        <f t="shared" si="16"/>
        <v>0.54767273944695083</v>
      </c>
      <c r="AC116" s="251">
        <f t="shared" si="15"/>
        <v>1.2655301820611384</v>
      </c>
    </row>
    <row r="117" spans="1:29" ht="15.6" x14ac:dyDescent="0.3">
      <c r="A117" s="206">
        <v>2046</v>
      </c>
      <c r="B117" s="253">
        <f>(B169/Population_Tables!O35)*Population_Tables!C35</f>
        <v>190.77428352191035</v>
      </c>
      <c r="C117" s="253">
        <f>(C169/Population_Tables!P35)*Population_Tables!D35</f>
        <v>21.710934699820999</v>
      </c>
      <c r="D117" s="253">
        <f>(D169/Population_Tables!Q35)*Population_Tables!E35</f>
        <v>5.4847647299931213</v>
      </c>
      <c r="E117" s="253">
        <f>(E169/Population_Tables!R35)*Population_Tables!F35</f>
        <v>99.899669581067045</v>
      </c>
      <c r="F117" s="253">
        <f>(F169/Population_Tables!S35)*Population_Tables!G35</f>
        <v>20.271624749563252</v>
      </c>
      <c r="G117" s="253">
        <f>(G169/Population_Tables!T35)*Population_Tables!H35</f>
        <v>3.743720791786624</v>
      </c>
      <c r="H117" s="253">
        <f>(H169/Population_Tables!U35)*Population_Tables!I35</f>
        <v>46.358408867674122</v>
      </c>
      <c r="I117" s="253">
        <f>(I169/Population_Tables!V35)*Population_Tables!J35</f>
        <v>42.905243848055079</v>
      </c>
      <c r="J117" s="253">
        <f>(J169/Population_Tables!W35)*Population_Tables!K35</f>
        <v>10.613980258357271</v>
      </c>
      <c r="K117" s="253">
        <f>(K169/Population_Tables!X35)*Population_Tables!L35</f>
        <v>12.638819131990841</v>
      </c>
      <c r="L117" s="170"/>
      <c r="M117" s="170"/>
      <c r="N117" s="195">
        <f t="shared" si="9"/>
        <v>73.812885462956189</v>
      </c>
      <c r="O117" s="195">
        <f t="shared" si="11"/>
        <v>46.358408867674122</v>
      </c>
      <c r="P117" s="195">
        <f t="shared" si="10"/>
        <v>30.939420221600745</v>
      </c>
      <c r="Q117" s="195">
        <f t="shared" si="12"/>
        <v>151.11071455223106</v>
      </c>
      <c r="R117" s="196">
        <f t="shared" si="13"/>
        <v>0.48846890626966721</v>
      </c>
      <c r="S117" s="170"/>
      <c r="T117" s="170"/>
      <c r="U117" s="195">
        <f t="shared" si="18"/>
        <v>5.9018818676442208</v>
      </c>
      <c r="V117" s="195">
        <f t="shared" si="14"/>
        <v>2.7382739397467972</v>
      </c>
      <c r="W117" s="195">
        <f t="shared" si="14"/>
        <v>2.0017574159588989</v>
      </c>
      <c r="X117" s="195">
        <f t="shared" si="17"/>
        <v>10.641913223349917</v>
      </c>
      <c r="Y117" s="207">
        <f t="shared" si="16"/>
        <v>0.5545884225680987</v>
      </c>
      <c r="AC117" s="251">
        <f t="shared" si="15"/>
        <v>1.2642427116296029</v>
      </c>
    </row>
    <row r="118" spans="1:29" ht="15.6" x14ac:dyDescent="0.3">
      <c r="A118" s="206">
        <v>2047</v>
      </c>
      <c r="B118" s="253">
        <f>(B170/Population_Tables!O36)*Population_Tables!C36</f>
        <v>197.18828819211379</v>
      </c>
      <c r="C118" s="253">
        <f>(C170/Population_Tables!P36)*Population_Tables!D36</f>
        <v>21.951143960350329</v>
      </c>
      <c r="D118" s="253">
        <f>(D170/Population_Tables!Q36)*Population_Tables!E36</f>
        <v>5.6301331322237358</v>
      </c>
      <c r="E118" s="253">
        <f>(E170/Population_Tables!R36)*Population_Tables!F36</f>
        <v>103.40203828000462</v>
      </c>
      <c r="F118" s="253">
        <f>(F170/Population_Tables!S36)*Population_Tables!G36</f>
        <v>21.403019062748193</v>
      </c>
      <c r="G118" s="253">
        <f>(G170/Population_Tables!T36)*Population_Tables!H36</f>
        <v>3.861493805690638</v>
      </c>
      <c r="H118" s="253">
        <f>(H170/Population_Tables!U36)*Population_Tables!I36</f>
        <v>47.192981463932405</v>
      </c>
      <c r="I118" s="253">
        <f>(I170/Population_Tables!V36)*Population_Tables!J36</f>
        <v>45.027975453276397</v>
      </c>
      <c r="J118" s="253">
        <f>(J170/Population_Tables!W36)*Population_Tables!K36</f>
        <v>10.742105670430638</v>
      </c>
      <c r="K118" s="253">
        <f>(K170/Population_Tables!X36)*Population_Tables!L36</f>
        <v>12.851346556837843</v>
      </c>
      <c r="L118" s="170"/>
      <c r="M118" s="170"/>
      <c r="N118" s="195">
        <f t="shared" si="9"/>
        <v>77.612075878820406</v>
      </c>
      <c r="O118" s="195">
        <f t="shared" si="11"/>
        <v>47.192981463932405</v>
      </c>
      <c r="P118" s="195">
        <f t="shared" si="10"/>
        <v>31.442770898264705</v>
      </c>
      <c r="Q118" s="195">
        <f t="shared" si="12"/>
        <v>156.24782824101752</v>
      </c>
      <c r="R118" s="196">
        <f t="shared" si="13"/>
        <v>0.496724189721864</v>
      </c>
      <c r="S118" s="170"/>
      <c r="T118" s="170"/>
      <c r="U118" s="195">
        <f t="shared" si="18"/>
        <v>6.4684025822417937</v>
      </c>
      <c r="V118" s="195">
        <f t="shared" si="14"/>
        <v>2.9234781498159208</v>
      </c>
      <c r="W118" s="195">
        <f t="shared" si="14"/>
        <v>2.1276668550445663</v>
      </c>
      <c r="X118" s="195">
        <f t="shared" si="17"/>
        <v>11.519547587102281</v>
      </c>
      <c r="Y118" s="207">
        <f t="shared" si="16"/>
        <v>0.56151533151215594</v>
      </c>
      <c r="AC118" s="251">
        <f t="shared" si="15"/>
        <v>1.2629062617457623</v>
      </c>
    </row>
    <row r="119" spans="1:29" ht="15.6" x14ac:dyDescent="0.3">
      <c r="A119" s="206">
        <v>2048</v>
      </c>
      <c r="B119" s="253">
        <f>(B171/Population_Tables!O37)*Population_Tables!C37</f>
        <v>203.75168299901628</v>
      </c>
      <c r="C119" s="253">
        <f>(C171/Population_Tables!P37)*Population_Tables!D37</f>
        <v>22.179281021059968</v>
      </c>
      <c r="D119" s="253">
        <f>(D171/Population_Tables!Q37)*Population_Tables!E37</f>
        <v>5.7782452997215712</v>
      </c>
      <c r="E119" s="253">
        <f>(E171/Population_Tables!R37)*Population_Tables!F37</f>
        <v>106.97711755769363</v>
      </c>
      <c r="F119" s="253">
        <f>(F171/Population_Tables!S37)*Population_Tables!G37</f>
        <v>22.591862992243428</v>
      </c>
      <c r="G119" s="253">
        <f>(G171/Population_Tables!T37)*Population_Tables!H37</f>
        <v>3.9817304689751238</v>
      </c>
      <c r="H119" s="253">
        <f>(H171/Population_Tables!U37)*Population_Tables!I37</f>
        <v>48.021421463434159</v>
      </c>
      <c r="I119" s="253">
        <f>(I171/Population_Tables!V37)*Population_Tables!J37</f>
        <v>47.217199557270405</v>
      </c>
      <c r="J119" s="253">
        <f>(J171/Population_Tables!W37)*Population_Tables!K37</f>
        <v>10.868380887137993</v>
      </c>
      <c r="K119" s="253">
        <f>(K171/Population_Tables!X37)*Population_Tables!L37</f>
        <v>13.067456909424259</v>
      </c>
      <c r="L119" s="170"/>
      <c r="M119" s="170"/>
      <c r="N119" s="195">
        <f t="shared" si="9"/>
        <v>81.547559086502901</v>
      </c>
      <c r="O119" s="195">
        <f t="shared" si="11"/>
        <v>48.021421463434159</v>
      </c>
      <c r="P119" s="195">
        <f t="shared" si="10"/>
        <v>31.939256789756662</v>
      </c>
      <c r="Q119" s="195">
        <f t="shared" si="12"/>
        <v>161.50823733969372</v>
      </c>
      <c r="R119" s="196">
        <f t="shared" si="13"/>
        <v>0.50491269318348897</v>
      </c>
      <c r="S119" s="170"/>
      <c r="T119" s="170"/>
      <c r="U119" s="195">
        <f t="shared" si="18"/>
        <v>7.079602387099996</v>
      </c>
      <c r="V119" s="195">
        <f t="shared" si="14"/>
        <v>3.1166211855865456</v>
      </c>
      <c r="W119" s="195">
        <f t="shared" si="14"/>
        <v>2.2578777634162996</v>
      </c>
      <c r="X119" s="195">
        <f t="shared" si="17"/>
        <v>12.454101336102841</v>
      </c>
      <c r="Y119" s="207">
        <f t="shared" si="16"/>
        <v>0.56845549879838675</v>
      </c>
      <c r="AC119" s="251">
        <f t="shared" si="15"/>
        <v>1.2615075020204989</v>
      </c>
    </row>
    <row r="120" spans="1:29" ht="15.6" x14ac:dyDescent="0.3">
      <c r="A120" s="206">
        <v>2049</v>
      </c>
      <c r="B120" s="253">
        <f>(B172/Population_Tables!O38)*Population_Tables!C38</f>
        <v>210.46890863083985</v>
      </c>
      <c r="C120" s="253">
        <f>(C172/Population_Tables!P38)*Population_Tables!D38</f>
        <v>22.393983485732956</v>
      </c>
      <c r="D120" s="253">
        <f>(D172/Population_Tables!Q38)*Population_Tables!E38</f>
        <v>5.9291900265056912</v>
      </c>
      <c r="E120" s="253">
        <f>(E172/Population_Tables!R38)*Population_Tables!F38</f>
        <v>110.62692010455811</v>
      </c>
      <c r="F120" s="253">
        <f>(F172/Population_Tables!S38)*Population_Tables!G38</f>
        <v>23.840313110324061</v>
      </c>
      <c r="G120" s="253">
        <f>(G172/Population_Tables!T38)*Population_Tables!H38</f>
        <v>4.1044756240075655</v>
      </c>
      <c r="H120" s="253">
        <f>(H172/Population_Tables!U38)*Population_Tables!I38</f>
        <v>48.843510887152696</v>
      </c>
      <c r="I120" s="253">
        <f>(I172/Population_Tables!V38)*Population_Tables!J38</f>
        <v>49.475242536977426</v>
      </c>
      <c r="J120" s="253">
        <f>(J172/Population_Tables!W38)*Population_Tables!K38</f>
        <v>10.992607451630226</v>
      </c>
      <c r="K120" s="253">
        <f>(K172/Population_Tables!X38)*Population_Tables!L38</f>
        <v>13.287424363903863</v>
      </c>
      <c r="L120" s="170"/>
      <c r="M120" s="170"/>
      <c r="N120" s="195">
        <f t="shared" si="9"/>
        <v>85.623722327729496</v>
      </c>
      <c r="O120" s="195">
        <f t="shared" si="11"/>
        <v>48.843510887152696</v>
      </c>
      <c r="P120" s="195">
        <f t="shared" si="10"/>
        <v>32.42764913624621</v>
      </c>
      <c r="Q120" s="195">
        <f t="shared" si="12"/>
        <v>166.89488235112839</v>
      </c>
      <c r="R120" s="196">
        <f t="shared" si="13"/>
        <v>0.51303983154849919</v>
      </c>
      <c r="S120" s="170"/>
      <c r="T120" s="170"/>
      <c r="U120" s="195">
        <f t="shared" si="18"/>
        <v>7.7391829065557545</v>
      </c>
      <c r="V120" s="195">
        <f t="shared" si="14"/>
        <v>3.3179769862818702</v>
      </c>
      <c r="W120" s="195">
        <f t="shared" si="14"/>
        <v>2.3926965550242123</v>
      </c>
      <c r="X120" s="195">
        <f t="shared" si="17"/>
        <v>13.449856447861837</v>
      </c>
      <c r="Y120" s="207">
        <f t="shared" si="16"/>
        <v>0.57541007493697638</v>
      </c>
      <c r="AC120" s="251">
        <f t="shared" si="15"/>
        <v>1.2600336137777481</v>
      </c>
    </row>
    <row r="121" spans="1:29" ht="16.2" thickBot="1" x14ac:dyDescent="0.35">
      <c r="A121" s="208">
        <v>2050</v>
      </c>
      <c r="B121" s="253">
        <f>(B173/Population_Tables!O39)*Population_Tables!C39</f>
        <v>217.3442063628612</v>
      </c>
      <c r="C121" s="253">
        <f>(C173/Population_Tables!P39)*Population_Tables!D39</f>
        <v>22.593818811207914</v>
      </c>
      <c r="D121" s="253">
        <f>(D173/Population_Tables!Q39)*Population_Tables!E39</f>
        <v>6.0830552865321392</v>
      </c>
      <c r="E121" s="253">
        <f>(E173/Population_Tables!R39)*Population_Tables!F39</f>
        <v>114.35332301405832</v>
      </c>
      <c r="F121" s="253">
        <f>(F173/Population_Tables!S39)*Population_Tables!G39</f>
        <v>25.150557126290103</v>
      </c>
      <c r="G121" s="253">
        <f>(G173/Population_Tables!T39)*Population_Tables!H39</f>
        <v>4.2297718381847362</v>
      </c>
      <c r="H121" s="253">
        <f>(H173/Population_Tables!U39)*Population_Tables!I39</f>
        <v>49.659020220181745</v>
      </c>
      <c r="I121" s="253">
        <f>(I173/Population_Tables!V39)*Population_Tables!J39</f>
        <v>51.804348911996819</v>
      </c>
      <c r="J121" s="253">
        <f>(J173/Population_Tables!W39)*Population_Tables!K39</f>
        <v>11.114568252585592</v>
      </c>
      <c r="K121" s="253">
        <f>(K173/Population_Tables!X39)*Population_Tables!L39</f>
        <v>13.511494283818488</v>
      </c>
      <c r="L121" s="209"/>
      <c r="M121" s="209"/>
      <c r="N121" s="195">
        <f t="shared" si="9"/>
        <v>89.844859920166684</v>
      </c>
      <c r="O121" s="195">
        <f t="shared" si="11"/>
        <v>49.659020220181745</v>
      </c>
      <c r="P121" s="195">
        <f t="shared" si="10"/>
        <v>32.906645935924793</v>
      </c>
      <c r="Q121" s="195">
        <f t="shared" si="12"/>
        <v>172.41052607627324</v>
      </c>
      <c r="R121" s="210">
        <f t="shared" si="13"/>
        <v>0.52111006192522102</v>
      </c>
      <c r="S121" s="209"/>
      <c r="T121" s="209"/>
      <c r="U121" s="211">
        <f t="shared" si="18"/>
        <v>8.4507528408864658</v>
      </c>
      <c r="V121" s="195">
        <f t="shared" si="14"/>
        <v>3.5278079552455424</v>
      </c>
      <c r="W121" s="211">
        <f t="shared" si="14"/>
        <v>2.532356401840282</v>
      </c>
      <c r="X121" s="195">
        <f t="shared" si="17"/>
        <v>14.51091719797229</v>
      </c>
      <c r="Y121" s="212">
        <f t="shared" si="16"/>
        <v>0.58237206687853937</v>
      </c>
      <c r="AC121" s="251">
        <f t="shared" si="15"/>
        <v>1.2584804619222862</v>
      </c>
    </row>
    <row r="122" spans="1:29" ht="15.6" x14ac:dyDescent="0.3">
      <c r="A122" s="213">
        <v>2051</v>
      </c>
      <c r="B122" s="253">
        <f>(B174/Population_Tables!O40)*Population_Tables!C40</f>
        <v>224.38139579333435</v>
      </c>
      <c r="C122" s="253">
        <f>(C174/Population_Tables!P40)*Population_Tables!D40</f>
        <v>22.777194364589349</v>
      </c>
      <c r="D122" s="253">
        <f>(D174/Population_Tables!Q40)*Population_Tables!E40</f>
        <v>6.239929607427201</v>
      </c>
      <c r="E122" s="253">
        <f>(E174/Population_Tables!R40)*Population_Tables!F40</f>
        <v>118.15795934928708</v>
      </c>
      <c r="F122" s="253">
        <f>(F174/Population_Tables!S40)*Population_Tables!G40</f>
        <v>26.524807672412184</v>
      </c>
      <c r="G122" s="253">
        <f>(G174/Population_Tables!T40)*Population_Tables!H40</f>
        <v>4.3576525581019885</v>
      </c>
      <c r="H122" s="253">
        <f>(H174/Population_Tables!U40)*Population_Tables!I40</f>
        <v>50.467755703900501</v>
      </c>
      <c r="I122" s="253">
        <f>(I174/Population_Tables!V40)*Population_Tables!J40</f>
        <v>54.206529974153035</v>
      </c>
      <c r="J122" s="253">
        <f>(J174/Population_Tables!W40)*Population_Tables!K40</f>
        <v>11.234004718588029</v>
      </c>
      <c r="K122" s="253">
        <f>(K174/Population_Tables!X40)*Population_Tables!L40</f>
        <v>13.73981838799136</v>
      </c>
      <c r="N122" s="195">
        <f t="shared" si="9"/>
        <v>94.215011317798769</v>
      </c>
      <c r="O122" s="195">
        <f t="shared" si="11"/>
        <v>50.467755703900501</v>
      </c>
      <c r="P122" s="195">
        <f t="shared" si="10"/>
        <v>33.374776530118538</v>
      </c>
      <c r="Q122" s="195">
        <f t="shared" si="12"/>
        <v>178.05754355181782</v>
      </c>
      <c r="R122" s="214">
        <f t="shared" si="13"/>
        <v>0.52912676114944035</v>
      </c>
      <c r="U122" s="215">
        <f t="shared" si="18"/>
        <v>9.2176660266875245</v>
      </c>
      <c r="V122" s="195">
        <f t="shared" si="14"/>
        <v>3.7464122521066443</v>
      </c>
      <c r="W122" s="215">
        <f t="shared" si="14"/>
        <v>2.6769218189711665</v>
      </c>
      <c r="X122" s="195">
        <f t="shared" si="17"/>
        <v>15.641000097765335</v>
      </c>
      <c r="Y122" s="214">
        <f t="shared" si="16"/>
        <v>0.58932715101795008</v>
      </c>
      <c r="AC122" s="251">
        <f t="shared" si="15"/>
        <v>1.2568527747377698</v>
      </c>
    </row>
    <row r="123" spans="1:29" ht="15.6" x14ac:dyDescent="0.3">
      <c r="A123" s="194">
        <v>2052</v>
      </c>
      <c r="B123" s="253">
        <f>(B175/Population_Tables!O41)*Population_Tables!C41</f>
        <v>231.58378275903283</v>
      </c>
      <c r="C123" s="253">
        <f>(C175/Population_Tables!P41)*Population_Tables!D41</f>
        <v>22.942445823719815</v>
      </c>
      <c r="D123" s="253">
        <f>(D175/Population_Tables!Q41)*Population_Tables!E41</f>
        <v>6.3998979057890786</v>
      </c>
      <c r="E123" s="253">
        <f>(E175/Population_Tables!R41)*Population_Tables!F41</f>
        <v>122.04205274035358</v>
      </c>
      <c r="F123" s="253">
        <f>(F175/Population_Tables!S41)*Population_Tables!G41</f>
        <v>27.965288495671359</v>
      </c>
      <c r="G123" s="253">
        <f>(G175/Population_Tables!T41)*Population_Tables!H41</f>
        <v>4.4881453676875456</v>
      </c>
      <c r="H123" s="253">
        <f>(H175/Population_Tables!U41)*Population_Tables!I41</f>
        <v>51.269478489489529</v>
      </c>
      <c r="I123" s="253">
        <f>(I175/Population_Tables!V41)*Population_Tables!J41</f>
        <v>56.683451411667114</v>
      </c>
      <c r="J123" s="253">
        <f>(J175/Population_Tables!W41)*Population_Tables!K41</f>
        <v>11.35063330409859</v>
      </c>
      <c r="K123" s="253">
        <f>(K175/Population_Tables!X41)*Population_Tables!L41</f>
        <v>13.972511252779633</v>
      </c>
      <c r="N123" s="195">
        <f t="shared" si="9"/>
        <v>98.737862746535427</v>
      </c>
      <c r="O123" s="195">
        <f t="shared" si="11"/>
        <v>51.269478489489529</v>
      </c>
      <c r="P123" s="195">
        <f t="shared" si="10"/>
        <v>33.830489097196441</v>
      </c>
      <c r="Q123" s="195">
        <f t="shared" si="12"/>
        <v>183.8378303332214</v>
      </c>
      <c r="R123" s="196">
        <f t="shared" si="13"/>
        <v>0.53709218917327739</v>
      </c>
      <c r="U123" s="195">
        <f t="shared" si="18"/>
        <v>10.042923072479525</v>
      </c>
      <c r="V123" s="195">
        <f t="shared" si="14"/>
        <v>3.9740429462956541</v>
      </c>
      <c r="W123" s="195">
        <f t="shared" si="14"/>
        <v>2.8263761585664007</v>
      </c>
      <c r="X123" s="195">
        <f t="shared" si="17"/>
        <v>16.843342177341579</v>
      </c>
      <c r="Y123" s="196">
        <f t="shared" si="16"/>
        <v>0.59625476741722416</v>
      </c>
      <c r="AC123" s="251">
        <f t="shared" si="15"/>
        <v>1.2551625128524864</v>
      </c>
    </row>
    <row r="124" spans="1:29" ht="15.6" x14ac:dyDescent="0.3">
      <c r="A124" s="194">
        <v>2053</v>
      </c>
      <c r="B124" s="253">
        <f>(B176/Population_Tables!O42)*Population_Tables!C42</f>
        <v>238.95445159055089</v>
      </c>
      <c r="C124" s="253">
        <f>(C176/Population_Tables!P42)*Population_Tables!D42</f>
        <v>23.087979735929213</v>
      </c>
      <c r="D124" s="253">
        <f>(D176/Population_Tables!Q42)*Population_Tables!E42</f>
        <v>6.5630486543811575</v>
      </c>
      <c r="E124" s="253">
        <f>(E176/Population_Tables!R42)*Population_Tables!F42</f>
        <v>126.00654121143866</v>
      </c>
      <c r="F124" s="253">
        <f>(F176/Population_Tables!S42)*Population_Tables!G42</f>
        <v>29.474232092632359</v>
      </c>
      <c r="G124" s="253">
        <f>(G176/Population_Tables!T42)*Population_Tables!H42</f>
        <v>4.6212779337555832</v>
      </c>
      <c r="H124" s="253">
        <f>(H176/Population_Tables!U42)*Population_Tables!I42</f>
        <v>52.063825116957773</v>
      </c>
      <c r="I124" s="253">
        <f>(I176/Population_Tables!V42)*Population_Tables!J42</f>
        <v>59.236589713049923</v>
      </c>
      <c r="J124" s="253">
        <f>(J176/Population_Tables!W42)*Population_Tables!K42</f>
        <v>11.464212633808396</v>
      </c>
      <c r="K124" s="253">
        <f>(K176/Population_Tables!X42)*Population_Tables!L42</f>
        <v>14.209736499166324</v>
      </c>
      <c r="N124" s="195">
        <f t="shared" si="9"/>
        <v>103.41694818711325</v>
      </c>
      <c r="O124" s="195">
        <f t="shared" si="11"/>
        <v>52.063825116957773</v>
      </c>
      <c r="P124" s="195">
        <f t="shared" si="10"/>
        <v>34.272306324065958</v>
      </c>
      <c r="Q124" s="195">
        <f t="shared" si="12"/>
        <v>189.75307962813696</v>
      </c>
      <c r="R124" s="196">
        <f t="shared" si="13"/>
        <v>0.54500800930230797</v>
      </c>
      <c r="U124" s="195">
        <f t="shared" si="18"/>
        <v>10.929372341610147</v>
      </c>
      <c r="V124" s="195">
        <f t="shared" si="14"/>
        <v>4.2108284960714144</v>
      </c>
      <c r="W124" s="195">
        <f t="shared" si="14"/>
        <v>2.9807772813139657</v>
      </c>
      <c r="X124" s="195">
        <f t="shared" si="17"/>
        <v>18.120978118995527</v>
      </c>
      <c r="Y124" s="196">
        <f t="shared" si="16"/>
        <v>0.60313368681535484</v>
      </c>
      <c r="AC124" s="251">
        <f t="shared" si="15"/>
        <v>1.2534230087384508</v>
      </c>
    </row>
    <row r="125" spans="1:29" ht="15.6" x14ac:dyDescent="0.3">
      <c r="A125" s="194">
        <v>2054</v>
      </c>
      <c r="B125" s="253">
        <f>(B177/Population_Tables!O43)*Population_Tables!C43</f>
        <v>246.49609952435574</v>
      </c>
      <c r="C125" s="253">
        <f>(C177/Population_Tables!P43)*Population_Tables!D43</f>
        <v>23.212164466666074</v>
      </c>
      <c r="D125" s="253">
        <f>(D177/Population_Tables!Q43)*Population_Tables!E43</f>
        <v>6.7294714266148112</v>
      </c>
      <c r="E125" s="253">
        <f>(E177/Population_Tables!R43)*Population_Tables!F43</f>
        <v>130.05201853648191</v>
      </c>
      <c r="F125" s="253">
        <f>(F177/Population_Tables!S43)*Population_Tables!G43</f>
        <v>31.053881897804121</v>
      </c>
      <c r="G125" s="253">
        <f>(G177/Population_Tables!T43)*Population_Tables!H43</f>
        <v>4.7570711205314451</v>
      </c>
      <c r="H125" s="253">
        <f>(H177/Population_Tables!U43)*Population_Tables!I43</f>
        <v>52.85035369828006</v>
      </c>
      <c r="I125" s="253">
        <f>(I177/Population_Tables!V43)*Population_Tables!J43</f>
        <v>61.867146297901847</v>
      </c>
      <c r="J125" s="253">
        <f>(J177/Population_Tables!W43)*Population_Tables!K43</f>
        <v>11.57449365358595</v>
      </c>
      <c r="K125" s="253">
        <f>(K177/Population_Tables!X43)*Population_Tables!L43</f>
        <v>14.451650854921304</v>
      </c>
      <c r="N125" s="195">
        <f t="shared" si="9"/>
        <v>108.25554673600598</v>
      </c>
      <c r="O125" s="195">
        <f t="shared" si="11"/>
        <v>52.85035369828006</v>
      </c>
      <c r="P125" s="195">
        <f t="shared" si="10"/>
        <v>34.698707013812331</v>
      </c>
      <c r="Q125" s="195">
        <f t="shared" si="12"/>
        <v>195.80460744809838</v>
      </c>
      <c r="R125" s="196">
        <f t="shared" si="13"/>
        <v>0.55287537993558766</v>
      </c>
      <c r="U125" s="195">
        <f t="shared" si="18"/>
        <v>11.879607313164058</v>
      </c>
      <c r="V125" s="195">
        <f t="shared" si="14"/>
        <v>4.4568189316586384</v>
      </c>
      <c r="W125" s="195">
        <f t="shared" si="14"/>
        <v>3.1401391640796277</v>
      </c>
      <c r="X125" s="195">
        <f t="shared" si="17"/>
        <v>19.476565408902324</v>
      </c>
      <c r="Y125" s="196">
        <f t="shared" si="16"/>
        <v>0.60994364579979499</v>
      </c>
      <c r="AC125" s="251">
        <f t="shared" si="15"/>
        <v>1.2516507717840437</v>
      </c>
    </row>
    <row r="126" spans="1:29" ht="15.6" x14ac:dyDescent="0.3">
      <c r="A126" s="194">
        <v>2055</v>
      </c>
      <c r="B126" s="253">
        <f>(B178/Population_Tables!O44)*Population_Tables!C44</f>
        <v>254.21135466198947</v>
      </c>
      <c r="C126" s="253">
        <f>(C178/Population_Tables!P44)*Population_Tables!D44</f>
        <v>23.313289230921001</v>
      </c>
      <c r="D126" s="253">
        <f>(D178/Population_Tables!Q44)*Population_Tables!E44</f>
        <v>6.8992558896147473</v>
      </c>
      <c r="E126" s="253">
        <f>(E178/Population_Tables!R44)*Population_Tables!F44</f>
        <v>134.17903901806895</v>
      </c>
      <c r="F126" s="253">
        <f>(F178/Population_Tables!S44)*Population_Tables!G44</f>
        <v>32.706512430789104</v>
      </c>
      <c r="G126" s="253">
        <f>(G178/Population_Tables!T44)*Population_Tables!H44</f>
        <v>4.8955450224066999</v>
      </c>
      <c r="H126" s="253">
        <f>(H178/Population_Tables!U44)*Population_Tables!I44</f>
        <v>53.628608251516319</v>
      </c>
      <c r="I126" s="253">
        <f>(I178/Population_Tables!V44)*Population_Tables!J44</f>
        <v>64.576292337324418</v>
      </c>
      <c r="J126" s="253">
        <f>(J178/Population_Tables!W44)*Population_Tables!K44</f>
        <v>11.681208027859709</v>
      </c>
      <c r="K126" s="253">
        <f>(K178/Population_Tables!X44)*Population_Tables!L44</f>
        <v>14.698387969183562</v>
      </c>
      <c r="N126" s="195">
        <f t="shared" si="9"/>
        <v>113.25694319734174</v>
      </c>
      <c r="O126" s="195">
        <f t="shared" si="11"/>
        <v>53.628608251516319</v>
      </c>
      <c r="P126" s="195">
        <f t="shared" si="10"/>
        <v>35.108090142942444</v>
      </c>
      <c r="Q126" s="195">
        <f t="shared" si="12"/>
        <v>201.9936415918005</v>
      </c>
      <c r="R126" s="196">
        <f t="shared" si="13"/>
        <v>0.56069558578590017</v>
      </c>
      <c r="U126" s="195">
        <f t="shared" si="18"/>
        <v>12.896227173880391</v>
      </c>
      <c r="V126" s="195">
        <f t="shared" si="14"/>
        <v>4.7120501893671758</v>
      </c>
      <c r="W126" s="195">
        <f t="shared" si="14"/>
        <v>3.3043959571508097</v>
      </c>
      <c r="X126" s="195">
        <f t="shared" si="17"/>
        <v>20.912673320398376</v>
      </c>
      <c r="Y126" s="196">
        <f t="shared" si="16"/>
        <v>0.61667042641082692</v>
      </c>
      <c r="AC126" s="251">
        <f t="shared" si="15"/>
        <v>1.2498617404148591</v>
      </c>
    </row>
    <row r="127" spans="1:29" ht="15.6" x14ac:dyDescent="0.3">
      <c r="A127" s="194">
        <v>2056</v>
      </c>
      <c r="B127" s="253">
        <f>(B179/Population_Tables!O45)*Population_Tables!C45</f>
        <v>262.10346061790534</v>
      </c>
      <c r="C127" s="253">
        <f>(C179/Population_Tables!P45)*Population_Tables!D45</f>
        <v>23.389545692590193</v>
      </c>
      <c r="D127" s="253">
        <f>(D179/Population_Tables!Q45)*Population_Tables!E45</f>
        <v>7.0724944511646193</v>
      </c>
      <c r="E127" s="253">
        <f>(E179/Population_Tables!R45)*Population_Tables!F45</f>
        <v>138.38870102936642</v>
      </c>
      <c r="F127" s="253">
        <f>(F179/Population_Tables!S45)*Population_Tables!G45</f>
        <v>34.434488724504362</v>
      </c>
      <c r="G127" s="253">
        <f>(G179/Population_Tables!T45)*Population_Tables!H45</f>
        <v>5.0367272661740419</v>
      </c>
      <c r="H127" s="253">
        <f>(H179/Population_Tables!U45)*Population_Tables!I45</f>
        <v>54.398207918334741</v>
      </c>
      <c r="I127" s="253">
        <f>(I179/Population_Tables!V45)*Population_Tables!J45</f>
        <v>67.365673104655187</v>
      </c>
      <c r="J127" s="253">
        <f>(J179/Population_Tables!W45)*Population_Tables!K45</f>
        <v>11.784056021888063</v>
      </c>
      <c r="K127" s="253">
        <f>(K179/Population_Tables!X45)*Population_Tables!L45</f>
        <v>14.950069603589579</v>
      </c>
      <c r="N127" s="195">
        <f t="shared" si="9"/>
        <v>118.42498183553604</v>
      </c>
      <c r="O127" s="195">
        <f t="shared" si="11"/>
        <v>54.398207918334741</v>
      </c>
      <c r="P127" s="195">
        <f t="shared" si="10"/>
        <v>35.498767409928853</v>
      </c>
      <c r="Q127" s="195">
        <f t="shared" si="12"/>
        <v>208.32195716379965</v>
      </c>
      <c r="R127" s="196">
        <f t="shared" si="13"/>
        <v>0.56847095451595009</v>
      </c>
      <c r="U127" s="195">
        <f t="shared" si="18"/>
        <v>13.982390570785697</v>
      </c>
      <c r="V127" s="195">
        <f t="shared" si="14"/>
        <v>4.9766333291151099</v>
      </c>
      <c r="W127" s="195">
        <f t="shared" si="14"/>
        <v>3.4733945327805955</v>
      </c>
      <c r="X127" s="195">
        <f t="shared" si="17"/>
        <v>22.432418432681402</v>
      </c>
      <c r="Y127" s="196">
        <f t="shared" si="16"/>
        <v>0.62331177589015518</v>
      </c>
      <c r="AC127" s="251">
        <f t="shared" si="15"/>
        <v>1.248066047933023</v>
      </c>
    </row>
    <row r="128" spans="1:29" ht="15.6" x14ac:dyDescent="0.3">
      <c r="A128" s="194">
        <v>2057</v>
      </c>
      <c r="B128" s="253">
        <f>(B180/Population_Tables!O46)*Population_Tables!C46</f>
        <v>270.17525455395219</v>
      </c>
      <c r="C128" s="253">
        <f>(C180/Population_Tables!P46)*Population_Tables!D46</f>
        <v>23.439001988095974</v>
      </c>
      <c r="D128" s="253">
        <f>(D180/Population_Tables!Q46)*Population_Tables!E46</f>
        <v>7.2492788703109472</v>
      </c>
      <c r="E128" s="253">
        <f>(E180/Population_Tables!R46)*Population_Tables!F46</f>
        <v>142.68184213960237</v>
      </c>
      <c r="F128" s="253">
        <f>(F180/Population_Tables!S46)*Population_Tables!G46</f>
        <v>36.240186679672732</v>
      </c>
      <c r="G128" s="253">
        <f>(G180/Population_Tables!T46)*Population_Tables!H46</f>
        <v>5.1806381534325876</v>
      </c>
      <c r="H128" s="253">
        <f>(H180/Population_Tables!U46)*Population_Tables!I46</f>
        <v>55.158744105467889</v>
      </c>
      <c r="I128" s="253">
        <f>(I180/Population_Tables!V46)*Population_Tables!J46</f>
        <v>70.236743591090871</v>
      </c>
      <c r="J128" s="253">
        <f>(J180/Population_Tables!W46)*Population_Tables!K46</f>
        <v>11.882702846409183</v>
      </c>
      <c r="K128" s="253">
        <f>(K180/Population_Tables!X46)*Population_Tables!L46</f>
        <v>15.206765123245235</v>
      </c>
      <c r="N128" s="195">
        <f t="shared" si="9"/>
        <v>123.76328471380722</v>
      </c>
      <c r="O128" s="195">
        <f t="shared" si="11"/>
        <v>55.158744105467889</v>
      </c>
      <c r="P128" s="195">
        <f t="shared" si="10"/>
        <v>35.868919011839509</v>
      </c>
      <c r="Q128" s="195">
        <f t="shared" si="12"/>
        <v>214.79094783111461</v>
      </c>
      <c r="R128" s="196">
        <f t="shared" si="13"/>
        <v>0.57620344788049249</v>
      </c>
      <c r="U128" s="195">
        <f t="shared" si="18"/>
        <v>15.141033949709254</v>
      </c>
      <c r="V128" s="195">
        <f t="shared" si="14"/>
        <v>5.2506516758849102</v>
      </c>
      <c r="W128" s="195">
        <f t="shared" si="14"/>
        <v>3.6468502618174696</v>
      </c>
      <c r="X128" s="195">
        <f t="shared" si="17"/>
        <v>24.038535887411633</v>
      </c>
      <c r="Y128" s="196">
        <f t="shared" si="16"/>
        <v>0.62986506418796606</v>
      </c>
      <c r="AC128" s="251">
        <f t="shared" si="15"/>
        <v>1.2462752687268415</v>
      </c>
    </row>
    <row r="129" spans="1:29" ht="15.6" x14ac:dyDescent="0.3">
      <c r="A129" s="194">
        <v>2058</v>
      </c>
      <c r="B129" s="253">
        <f>(B181/Population_Tables!O47)*Population_Tables!C47</f>
        <v>278.42816846943339</v>
      </c>
      <c r="C129" s="253">
        <f>(C181/Population_Tables!P47)*Population_Tables!D47</f>
        <v>23.459593334886694</v>
      </c>
      <c r="D129" s="253">
        <f>(D181/Population_Tables!Q47)*Population_Tables!E47</f>
        <v>7.4296774434139969</v>
      </c>
      <c r="E129" s="253">
        <f>(E181/Population_Tables!R47)*Population_Tables!F47</f>
        <v>147.05822146581266</v>
      </c>
      <c r="F129" s="253">
        <f>(F181/Population_Tables!S47)*Population_Tables!G47</f>
        <v>38.125914156521127</v>
      </c>
      <c r="G129" s="253">
        <f>(G181/Population_Tables!T47)*Population_Tables!H47</f>
        <v>5.3272784568442564</v>
      </c>
      <c r="H129" s="253">
        <f>(H181/Population_Tables!U47)*Population_Tables!I47</f>
        <v>55.909647713167232</v>
      </c>
      <c r="I129" s="253">
        <f>(I181/Population_Tables!V47)*Population_Tables!J47</f>
        <v>73.190064357460329</v>
      </c>
      <c r="J129" s="253">
        <f>(J181/Population_Tables!W47)*Population_Tables!K47</f>
        <v>11.976761195890703</v>
      </c>
      <c r="K129" s="253">
        <f>(K181/Population_Tables!X47)*Population_Tables!L47</f>
        <v>15.468473636732014</v>
      </c>
      <c r="N129" s="195">
        <f t="shared" si="9"/>
        <v>129.27448790916657</v>
      </c>
      <c r="O129" s="195">
        <f t="shared" si="11"/>
        <v>55.909647713167232</v>
      </c>
      <c r="P129" s="195">
        <f t="shared" si="10"/>
        <v>36.216549235144946</v>
      </c>
      <c r="Q129" s="195">
        <f t="shared" si="12"/>
        <v>221.40068485747875</v>
      </c>
      <c r="R129" s="196">
        <f t="shared" si="13"/>
        <v>0.58389380318486295</v>
      </c>
      <c r="U129" s="195">
        <f t="shared" si="18"/>
        <v>16.374107770273397</v>
      </c>
      <c r="V129" s="195">
        <f t="shared" si="14"/>
        <v>5.5340280481779445</v>
      </c>
      <c r="W129" s="195">
        <f t="shared" si="14"/>
        <v>3.8243026045124964</v>
      </c>
      <c r="X129" s="195">
        <f t="shared" si="17"/>
        <v>25.732438422963838</v>
      </c>
      <c r="Y129" s="196">
        <f t="shared" si="16"/>
        <v>0.63632165367045079</v>
      </c>
      <c r="AC129" s="251">
        <f t="shared" si="15"/>
        <v>1.2445081750728637</v>
      </c>
    </row>
    <row r="130" spans="1:29" ht="15.6" x14ac:dyDescent="0.3">
      <c r="A130" s="194">
        <v>2059</v>
      </c>
      <c r="B130" s="253">
        <f>(B182/Population_Tables!O48)*Population_Tables!C48</f>
        <v>286.86291263584314</v>
      </c>
      <c r="C130" s="253">
        <f>(C182/Population_Tables!P48)*Population_Tables!D48</f>
        <v>23.449146043146218</v>
      </c>
      <c r="D130" s="253">
        <f>(D182/Population_Tables!Q48)*Population_Tables!E48</f>
        <v>7.6137512318752734</v>
      </c>
      <c r="E130" s="253">
        <f>(E182/Population_Tables!R48)*Population_Tables!F48</f>
        <v>151.51704189472298</v>
      </c>
      <c r="F130" s="253">
        <f>(F182/Population_Tables!S48)*Population_Tables!G48</f>
        <v>40.093957583181826</v>
      </c>
      <c r="G130" s="253">
        <f>(G182/Population_Tables!T48)*Population_Tables!H48</f>
        <v>5.4766385740078567</v>
      </c>
      <c r="H130" s="253">
        <f>(H182/Population_Tables!U48)*Population_Tables!I48</f>
        <v>56.650260423758397</v>
      </c>
      <c r="I130" s="253">
        <f>(I182/Population_Tables!V48)*Population_Tables!J48</f>
        <v>76.225731954614218</v>
      </c>
      <c r="J130" s="253">
        <f>(J182/Population_Tables!W48)*Population_Tables!K48</f>
        <v>12.065810630918902</v>
      </c>
      <c r="K130" s="253">
        <f>(K182/Population_Tables!X48)*Population_Tables!L48</f>
        <v>15.735144124556012</v>
      </c>
      <c r="N130" s="195">
        <f t="shared" si="9"/>
        <v>134.96073905414642</v>
      </c>
      <c r="O130" s="195">
        <f t="shared" si="11"/>
        <v>56.650260423758397</v>
      </c>
      <c r="P130" s="195">
        <f t="shared" si="10"/>
        <v>36.539535849029349</v>
      </c>
      <c r="Q130" s="195">
        <f t="shared" si="12"/>
        <v>228.15053532693415</v>
      </c>
      <c r="R130" s="196">
        <f t="shared" si="13"/>
        <v>0.59154250442915235</v>
      </c>
      <c r="U130" s="195">
        <f t="shared" si="18"/>
        <v>17.683074047621517</v>
      </c>
      <c r="V130" s="195">
        <f t="shared" si="14"/>
        <v>5.8265960465697333</v>
      </c>
      <c r="W130" s="195">
        <f t="shared" si="14"/>
        <v>4.005164503830386</v>
      </c>
      <c r="X130" s="195">
        <f t="shared" si="17"/>
        <v>27.514834598021636</v>
      </c>
      <c r="Y130" s="196">
        <f t="shared" si="16"/>
        <v>0.64267419033996154</v>
      </c>
      <c r="AC130" s="251">
        <f t="shared" si="15"/>
        <v>1.2427845220469713</v>
      </c>
    </row>
    <row r="131" spans="1:29" ht="15.6" x14ac:dyDescent="0.3">
      <c r="A131" s="194">
        <v>2060</v>
      </c>
      <c r="B131" s="253">
        <f>(B183/Population_Tables!O49)*Population_Tables!C49</f>
        <v>295.48041330472955</v>
      </c>
      <c r="C131" s="253">
        <f>(C183/Population_Tables!P49)*Population_Tables!D49</f>
        <v>23.405441122730689</v>
      </c>
      <c r="D131" s="253">
        <f>(D183/Population_Tables!Q49)*Population_Tables!E49</f>
        <v>7.8015627387599382</v>
      </c>
      <c r="E131" s="253">
        <f>(E183/Population_Tables!R49)*Population_Tables!F49</f>
        <v>156.05764814288642</v>
      </c>
      <c r="F131" s="253">
        <f>(F183/Population_Tables!S49)*Population_Tables!G49</f>
        <v>42.14665880119054</v>
      </c>
      <c r="G131" s="253">
        <f>(G183/Population_Tables!T49)*Population_Tables!H49</f>
        <v>5.6287112540770954</v>
      </c>
      <c r="H131" s="253">
        <f>(H183/Population_Tables!U49)*Population_Tables!I49</f>
        <v>57.37991138881754</v>
      </c>
      <c r="I131" s="253">
        <f>(I183/Population_Tables!V49)*Population_Tables!J49</f>
        <v>79.343965981595602</v>
      </c>
      <c r="J131" s="253">
        <f>(J183/Population_Tables!W49)*Population_Tables!K49</f>
        <v>12.149418159722883</v>
      </c>
      <c r="K131" s="253">
        <f>(K183/Population_Tables!X49)*Population_Tables!L49</f>
        <v>16.006729775379242</v>
      </c>
      <c r="N131" s="195">
        <f t="shared" si="9"/>
        <v>140.82439555525943</v>
      </c>
      <c r="O131" s="195">
        <f t="shared" si="11"/>
        <v>57.37991138881754</v>
      </c>
      <c r="P131" s="195">
        <f t="shared" si="10"/>
        <v>36.835715115567723</v>
      </c>
      <c r="Q131" s="195">
        <f t="shared" si="12"/>
        <v>235.04002205964468</v>
      </c>
      <c r="R131" s="196">
        <f>N131/Q131</f>
        <v>0.59915070770170054</v>
      </c>
      <c r="U131" s="195">
        <f t="shared" si="18"/>
        <v>19.069604570877146</v>
      </c>
      <c r="V131" s="195">
        <f t="shared" si="14"/>
        <v>6.128176740886353</v>
      </c>
      <c r="W131" s="195">
        <f t="shared" si="14"/>
        <v>4.1888073956266751</v>
      </c>
      <c r="X131" s="195">
        <f t="shared" si="17"/>
        <v>29.386588707390175</v>
      </c>
      <c r="Y131" s="196">
        <f t="shared" si="16"/>
        <v>0.64892202224484463</v>
      </c>
      <c r="AC131" s="251">
        <f t="shared" si="15"/>
        <v>1.2411195455412114</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51.454871928752119</v>
      </c>
      <c r="C137" s="229">
        <v>14.638908399670909</v>
      </c>
      <c r="D137" s="229">
        <v>1.9920692037759276</v>
      </c>
      <c r="E137" s="229">
        <v>22.829472814325261</v>
      </c>
      <c r="F137" s="229">
        <v>3.9482310577903004</v>
      </c>
      <c r="G137" s="229">
        <v>1.2603858871628411</v>
      </c>
      <c r="H137" s="229">
        <v>17.439282369233027</v>
      </c>
      <c r="I137" s="229">
        <v>4.6948149288588139</v>
      </c>
      <c r="J137" s="229">
        <v>6.8462656993072342</v>
      </c>
      <c r="K137" s="229">
        <v>7.4924316730035754</v>
      </c>
      <c r="N137" s="195">
        <f t="shared" ref="N137:N183" si="19">SUMIF($C$83:$G$83,"Y",C137:G137)-H137</f>
        <v>9.3384215028825324</v>
      </c>
      <c r="O137" s="195">
        <f>H137</f>
        <v>17.439282369233027</v>
      </c>
      <c r="P137" s="195">
        <f t="shared" ref="P137:P183" si="20">SUMIF($C$83:$G$83,"N",C137:G137)-(IF($E$83="N",H137))</f>
        <v>17.891363490609677</v>
      </c>
      <c r="Q137" s="195">
        <f>N137+P137+O137</f>
        <v>44.669067362725237</v>
      </c>
      <c r="R137" s="196">
        <f>N137/Q137</f>
        <v>0.20905790190450935</v>
      </c>
      <c r="AC137" s="251"/>
    </row>
    <row r="138" spans="1:29" ht="15.6" x14ac:dyDescent="0.3">
      <c r="A138" s="194">
        <v>2015</v>
      </c>
      <c r="B138" s="229">
        <v>54.446467382568436</v>
      </c>
      <c r="C138" s="229">
        <v>16.711538858527337</v>
      </c>
      <c r="D138" s="229">
        <v>2.0699939491968133</v>
      </c>
      <c r="E138" s="229">
        <v>24.553273115014292</v>
      </c>
      <c r="F138" s="229">
        <v>4.0388326275602644</v>
      </c>
      <c r="G138" s="229">
        <v>1.2928975683685373</v>
      </c>
      <c r="H138" s="229">
        <v>19.194195388345928</v>
      </c>
      <c r="I138" s="229">
        <v>4.8414743414533277</v>
      </c>
      <c r="J138" s="229">
        <v>7.3085335268491471</v>
      </c>
      <c r="K138" s="229">
        <v>7.5939339513900279</v>
      </c>
      <c r="N138" s="195">
        <f t="shared" si="19"/>
        <v>9.3979103542286282</v>
      </c>
      <c r="O138" s="195">
        <f t="shared" ref="O138:O183" si="21">H138</f>
        <v>19.194195388345928</v>
      </c>
      <c r="P138" s="195">
        <f t="shared" si="20"/>
        <v>20.074430376092689</v>
      </c>
      <c r="Q138" s="195">
        <f t="shared" ref="Q138:Q183" si="22">N138+P138+O138</f>
        <v>48.666536118667246</v>
      </c>
      <c r="R138" s="196">
        <f t="shared" ref="R138:R182" si="23">N138/Q138</f>
        <v>0.1931082650162938</v>
      </c>
      <c r="AC138" s="251"/>
    </row>
    <row r="139" spans="1:29" ht="15.6" x14ac:dyDescent="0.3">
      <c r="A139" s="194">
        <v>2016</v>
      </c>
      <c r="B139" s="229">
        <v>57.081545887273947</v>
      </c>
      <c r="C139" s="229">
        <v>16.552972550290875</v>
      </c>
      <c r="D139" s="229">
        <v>2.1508664952208356</v>
      </c>
      <c r="E139" s="229">
        <v>25.942885737930851</v>
      </c>
      <c r="F139" s="229">
        <v>4.2235222130056576</v>
      </c>
      <c r="G139" s="229">
        <v>1.3327402612158661</v>
      </c>
      <c r="H139" s="229">
        <v>20.035786418782706</v>
      </c>
      <c r="I139" s="229">
        <v>5.2988529476936606</v>
      </c>
      <c r="J139" s="229">
        <v>7.3446995972457803</v>
      </c>
      <c r="K139" s="229">
        <v>7.704709268917294</v>
      </c>
      <c r="N139" s="195">
        <f t="shared" si="19"/>
        <v>10.130621532153803</v>
      </c>
      <c r="O139" s="195">
        <f t="shared" si="21"/>
        <v>20.035786418782706</v>
      </c>
      <c r="P139" s="195">
        <f t="shared" si="20"/>
        <v>20.036579306727575</v>
      </c>
      <c r="Q139" s="195">
        <f t="shared" si="22"/>
        <v>50.202987257664084</v>
      </c>
      <c r="R139" s="196">
        <f t="shared" si="23"/>
        <v>0.20179320167062853</v>
      </c>
      <c r="AC139" s="251"/>
    </row>
    <row r="140" spans="1:29" ht="15.6" x14ac:dyDescent="0.3">
      <c r="A140" s="194">
        <v>2017</v>
      </c>
      <c r="B140" s="229">
        <v>59.808762867653577</v>
      </c>
      <c r="C140" s="229">
        <v>16.427300488451106</v>
      </c>
      <c r="D140" s="229">
        <v>2.2329381235187435</v>
      </c>
      <c r="E140" s="229">
        <v>27.395806664169019</v>
      </c>
      <c r="F140" s="229">
        <v>4.41644110091696</v>
      </c>
      <c r="G140" s="229">
        <v>1.3749137581310149</v>
      </c>
      <c r="H140" s="229">
        <v>20.878555492508404</v>
      </c>
      <c r="I140" s="229">
        <v>5.8021201707966679</v>
      </c>
      <c r="J140" s="229">
        <v>7.3870718774110502</v>
      </c>
      <c r="K140" s="229">
        <v>7.8171875275112006</v>
      </c>
      <c r="N140" s="195">
        <f t="shared" si="19"/>
        <v>10.933692272577574</v>
      </c>
      <c r="O140" s="195">
        <f t="shared" si="21"/>
        <v>20.878555492508404</v>
      </c>
      <c r="P140" s="195">
        <f t="shared" si="20"/>
        <v>20.035152370100864</v>
      </c>
      <c r="Q140" s="195">
        <f t="shared" si="22"/>
        <v>51.847400135186845</v>
      </c>
      <c r="R140" s="196">
        <f t="shared" si="23"/>
        <v>0.21088217044768065</v>
      </c>
      <c r="AC140" s="251"/>
    </row>
    <row r="141" spans="1:29" ht="15.6" x14ac:dyDescent="0.3">
      <c r="A141" s="194">
        <v>2018</v>
      </c>
      <c r="B141" s="229">
        <v>62.627749476115468</v>
      </c>
      <c r="C141" s="229">
        <v>16.333029420875359</v>
      </c>
      <c r="D141" s="229">
        <v>2.3162081559063363</v>
      </c>
      <c r="E141" s="229">
        <v>28.911041776183065</v>
      </c>
      <c r="F141" s="229">
        <v>4.618777107979005</v>
      </c>
      <c r="G141" s="229">
        <v>1.4193768156503164</v>
      </c>
      <c r="H141" s="229">
        <v>21.72201069127312</v>
      </c>
      <c r="I141" s="229">
        <v>6.3511530168064247</v>
      </c>
      <c r="J141" s="229">
        <v>7.43535486523841</v>
      </c>
      <c r="K141" s="229">
        <v>7.9313649249864007</v>
      </c>
      <c r="N141" s="195">
        <f t="shared" si="19"/>
        <v>11.807808192888949</v>
      </c>
      <c r="O141" s="195">
        <f t="shared" si="21"/>
        <v>21.72201069127312</v>
      </c>
      <c r="P141" s="195">
        <f t="shared" si="20"/>
        <v>20.068614392432011</v>
      </c>
      <c r="Q141" s="195">
        <f t="shared" si="22"/>
        <v>53.598433276594079</v>
      </c>
      <c r="R141" s="196">
        <f t="shared" si="23"/>
        <v>0.22030136836192385</v>
      </c>
      <c r="AC141" s="251"/>
    </row>
    <row r="142" spans="1:29" ht="16.2" thickBot="1" x14ac:dyDescent="0.35">
      <c r="A142" s="198">
        <v>2019</v>
      </c>
      <c r="B142" s="230">
        <v>65.538136865067756</v>
      </c>
      <c r="C142" s="230">
        <v>16.26866609543098</v>
      </c>
      <c r="D142" s="230">
        <v>2.4006759141994158</v>
      </c>
      <c r="E142" s="230">
        <v>30.48759695642725</v>
      </c>
      <c r="F142" s="230">
        <v>4.8317180508766295</v>
      </c>
      <c r="G142" s="230">
        <v>1.4660881903101031</v>
      </c>
      <c r="H142" s="230">
        <v>22.565660096826957</v>
      </c>
      <c r="I142" s="230">
        <v>6.9458284917670037</v>
      </c>
      <c r="J142" s="230">
        <v>7.489253058621312</v>
      </c>
      <c r="K142" s="230">
        <v>8.0472376591575454</v>
      </c>
      <c r="N142" s="195">
        <f t="shared" si="19"/>
        <v>12.753654910476921</v>
      </c>
      <c r="O142" s="195">
        <f t="shared" si="21"/>
        <v>22.565660096826957</v>
      </c>
      <c r="P142" s="195">
        <f t="shared" si="20"/>
        <v>20.135430199940497</v>
      </c>
      <c r="Q142" s="195">
        <f t="shared" si="22"/>
        <v>55.454745207244372</v>
      </c>
      <c r="R142" s="199">
        <f t="shared" si="23"/>
        <v>0.229983112586925</v>
      </c>
      <c r="AC142" s="251"/>
    </row>
    <row r="143" spans="1:29" ht="15.6" x14ac:dyDescent="0.3">
      <c r="A143" s="201">
        <v>2020</v>
      </c>
      <c r="B143" s="228">
        <v>68.539556186918574</v>
      </c>
      <c r="C143" s="228">
        <v>16.232717259985296</v>
      </c>
      <c r="D143" s="228">
        <v>2.4863407202137813</v>
      </c>
      <c r="E143" s="228">
        <v>32.12447808735584</v>
      </c>
      <c r="F143" s="228">
        <v>5.0564517462946679</v>
      </c>
      <c r="G143" s="228">
        <v>1.5150066386467071</v>
      </c>
      <c r="H143" s="228">
        <v>23.409011790920012</v>
      </c>
      <c r="I143" s="228">
        <v>7.5860236017224789</v>
      </c>
      <c r="J143" s="228">
        <v>7.5484709554532072</v>
      </c>
      <c r="K143" s="228">
        <v>8.1648019278392887</v>
      </c>
      <c r="L143" s="202"/>
      <c r="M143" s="202"/>
      <c r="N143" s="195">
        <f t="shared" si="19"/>
        <v>13.771918042730498</v>
      </c>
      <c r="O143" s="195">
        <f t="shared" si="21"/>
        <v>23.409011790920012</v>
      </c>
      <c r="P143" s="195">
        <f t="shared" si="20"/>
        <v>20.234064618845785</v>
      </c>
      <c r="Q143" s="195">
        <f t="shared" si="22"/>
        <v>57.414994452496295</v>
      </c>
      <c r="R143" s="220">
        <f t="shared" si="23"/>
        <v>0.23986622613235697</v>
      </c>
      <c r="AC143" s="251"/>
    </row>
    <row r="144" spans="1:29" ht="15.6" x14ac:dyDescent="0.3">
      <c r="A144" s="206">
        <v>2021</v>
      </c>
      <c r="B144" s="229">
        <v>71.63163859407608</v>
      </c>
      <c r="C144" s="229">
        <v>16.223689662405647</v>
      </c>
      <c r="D144" s="229">
        <v>2.5732018957652341</v>
      </c>
      <c r="E144" s="229">
        <v>33.82069105142309</v>
      </c>
      <c r="F144" s="229">
        <v>5.2941660109179542</v>
      </c>
      <c r="G144" s="229">
        <v>1.566090917196461</v>
      </c>
      <c r="H144" s="229">
        <v>24.251573855302379</v>
      </c>
      <c r="I144" s="229">
        <v>8.2716153527169247</v>
      </c>
      <c r="J144" s="229">
        <v>7.6127130536275507</v>
      </c>
      <c r="K144" s="229">
        <v>8.28405392884628</v>
      </c>
      <c r="L144" s="170"/>
      <c r="M144" s="170"/>
      <c r="N144" s="195">
        <f t="shared" si="19"/>
        <v>14.863283207038666</v>
      </c>
      <c r="O144" s="195">
        <f t="shared" si="21"/>
        <v>24.251573855302379</v>
      </c>
      <c r="P144" s="195">
        <f t="shared" si="20"/>
        <v>20.362982475367343</v>
      </c>
      <c r="Q144" s="195">
        <f t="shared" si="22"/>
        <v>59.477839537708391</v>
      </c>
      <c r="R144" s="221">
        <f t="shared" si="23"/>
        <v>0.24989615161820875</v>
      </c>
      <c r="AC144" s="251"/>
    </row>
    <row r="145" spans="1:29" ht="15.6" x14ac:dyDescent="0.3">
      <c r="A145" s="206">
        <v>2022</v>
      </c>
      <c r="B145" s="229">
        <v>74.8140152389484</v>
      </c>
      <c r="C145" s="229">
        <v>16.24009005055937</v>
      </c>
      <c r="D145" s="229">
        <v>2.6612587626695747</v>
      </c>
      <c r="E145" s="229">
        <v>35.575241731083267</v>
      </c>
      <c r="F145" s="229">
        <v>5.5460486614313247</v>
      </c>
      <c r="G145" s="229">
        <v>1.6192997824956974</v>
      </c>
      <c r="H145" s="229">
        <v>25.092854371724162</v>
      </c>
      <c r="I145" s="229">
        <v>9.0024807507944118</v>
      </c>
      <c r="J145" s="229">
        <v>7.6816838510377927</v>
      </c>
      <c r="K145" s="229">
        <v>8.4049898599931741</v>
      </c>
      <c r="L145" s="170"/>
      <c r="M145" s="170"/>
      <c r="N145" s="195">
        <f t="shared" si="19"/>
        <v>16.028436020790434</v>
      </c>
      <c r="O145" s="195">
        <f t="shared" si="21"/>
        <v>25.092854371724162</v>
      </c>
      <c r="P145" s="195">
        <f t="shared" si="20"/>
        <v>20.520648595724644</v>
      </c>
      <c r="Q145" s="195">
        <f t="shared" si="22"/>
        <v>61.641938988239232</v>
      </c>
      <c r="R145" s="221">
        <f t="shared" si="23"/>
        <v>0.2600248513248184</v>
      </c>
      <c r="AC145" s="251"/>
    </row>
    <row r="146" spans="1:29" ht="15.6" x14ac:dyDescent="0.3">
      <c r="A146" s="206">
        <v>2023</v>
      </c>
      <c r="B146" s="229">
        <v>78.086317273943678</v>
      </c>
      <c r="C146" s="229">
        <v>16.280425172313802</v>
      </c>
      <c r="D146" s="229">
        <v>2.7505106427426025</v>
      </c>
      <c r="E146" s="229">
        <v>37.387136008790648</v>
      </c>
      <c r="F146" s="229">
        <v>5.8132875145196143</v>
      </c>
      <c r="G146" s="229">
        <v>1.6745919910807485</v>
      </c>
      <c r="H146" s="229">
        <v>25.932361421935457</v>
      </c>
      <c r="I146" s="229">
        <v>9.7784968019990188</v>
      </c>
      <c r="J146" s="229">
        <v>7.7550878455773873</v>
      </c>
      <c r="K146" s="229">
        <v>8.5276059190946221</v>
      </c>
      <c r="L146" s="170"/>
      <c r="M146" s="170"/>
      <c r="N146" s="195">
        <f t="shared" si="19"/>
        <v>17.268062101374806</v>
      </c>
      <c r="O146" s="195">
        <f t="shared" si="21"/>
        <v>25.932361421935457</v>
      </c>
      <c r="P146" s="195">
        <f t="shared" si="20"/>
        <v>20.705527806137152</v>
      </c>
      <c r="Q146" s="195">
        <f>N146+P146+O146</f>
        <v>63.905951329447419</v>
      </c>
      <c r="R146" s="221">
        <f t="shared" si="23"/>
        <v>0.2702105475647274</v>
      </c>
      <c r="AC146" s="251"/>
    </row>
    <row r="147" spans="1:29" ht="15.6" x14ac:dyDescent="0.3">
      <c r="A147" s="206">
        <v>2024</v>
      </c>
      <c r="B147" s="229">
        <v>81.448175851470069</v>
      </c>
      <c r="C147" s="229">
        <v>16.343201775536276</v>
      </c>
      <c r="D147" s="229">
        <v>2.8409568578001196</v>
      </c>
      <c r="E147" s="229">
        <v>39.255379766999468</v>
      </c>
      <c r="F147" s="229">
        <v>6.0970703868676583</v>
      </c>
      <c r="G147" s="229">
        <v>1.7319262994879465</v>
      </c>
      <c r="H147" s="229">
        <v>26.769603087686363</v>
      </c>
      <c r="I147" s="229">
        <v>10.599540512374814</v>
      </c>
      <c r="J147" s="229">
        <v>7.8326295351397857</v>
      </c>
      <c r="K147" s="229">
        <v>8.651898303965277</v>
      </c>
      <c r="L147" s="170"/>
      <c r="M147" s="170"/>
      <c r="N147" s="195">
        <f t="shared" si="19"/>
        <v>18.582847066180761</v>
      </c>
      <c r="O147" s="195">
        <f t="shared" si="21"/>
        <v>26.769603087686363</v>
      </c>
      <c r="P147" s="195">
        <f t="shared" si="20"/>
        <v>20.91608493282434</v>
      </c>
      <c r="Q147" s="195">
        <f t="shared" si="22"/>
        <v>66.268535086691458</v>
      </c>
      <c r="R147" s="221">
        <f t="shared" si="23"/>
        <v>0.28041735103802995</v>
      </c>
      <c r="AC147" s="251"/>
    </row>
    <row r="148" spans="1:29" ht="15.6" x14ac:dyDescent="0.3">
      <c r="A148" s="206">
        <v>2025</v>
      </c>
      <c r="B148" s="229">
        <v>84.899222123935687</v>
      </c>
      <c r="C148" s="229">
        <v>16.426926608094128</v>
      </c>
      <c r="D148" s="229">
        <v>2.9325967296579254</v>
      </c>
      <c r="E148" s="229">
        <v>41.178978888164018</v>
      </c>
      <c r="F148" s="229">
        <v>6.3985850951602909</v>
      </c>
      <c r="G148" s="229">
        <v>1.791261464253624</v>
      </c>
      <c r="H148" s="229">
        <v>27.604087450726979</v>
      </c>
      <c r="I148" s="229">
        <v>11.465488887965874</v>
      </c>
      <c r="J148" s="229">
        <v>7.9140134176184418</v>
      </c>
      <c r="K148" s="229">
        <v>8.7778632124197902</v>
      </c>
      <c r="L148" s="170"/>
      <c r="M148" s="170"/>
      <c r="N148" s="195">
        <f t="shared" si="19"/>
        <v>19.973476532597331</v>
      </c>
      <c r="O148" s="195">
        <f t="shared" si="21"/>
        <v>27.604087450726979</v>
      </c>
      <c r="P148" s="195">
        <f t="shared" si="20"/>
        <v>21.150784802005674</v>
      </c>
      <c r="Q148" s="195">
        <f t="shared" si="22"/>
        <v>68.728348785329985</v>
      </c>
      <c r="R148" s="221">
        <f t="shared" si="23"/>
        <v>0.29061481740211187</v>
      </c>
      <c r="AC148" s="251"/>
    </row>
    <row r="149" spans="1:29" ht="15.6" x14ac:dyDescent="0.3">
      <c r="A149" s="206">
        <v>2026</v>
      </c>
      <c r="B149" s="229">
        <v>88.439087243748702</v>
      </c>
      <c r="C149" s="229">
        <v>16.530106417854697</v>
      </c>
      <c r="D149" s="229">
        <v>3.0254295801318203</v>
      </c>
      <c r="E149" s="229">
        <v>43.156939254738546</v>
      </c>
      <c r="F149" s="229">
        <v>6.7190194560823482</v>
      </c>
      <c r="G149" s="229">
        <v>1.8525562419141137</v>
      </c>
      <c r="H149" s="229">
        <v>28.435322592807402</v>
      </c>
      <c r="I149" s="229">
        <v>12.376218934816269</v>
      </c>
      <c r="J149" s="229">
        <v>7.9989439909068079</v>
      </c>
      <c r="K149" s="229">
        <v>8.9054968422728127</v>
      </c>
      <c r="L149" s="170"/>
      <c r="M149" s="170"/>
      <c r="N149" s="195">
        <f t="shared" si="19"/>
        <v>21.440636118013494</v>
      </c>
      <c r="O149" s="195">
        <f t="shared" si="21"/>
        <v>28.435322592807402</v>
      </c>
      <c r="P149" s="195">
        <f t="shared" si="20"/>
        <v>21.408092239900633</v>
      </c>
      <c r="Q149" s="195">
        <f t="shared" si="22"/>
        <v>71.284050950721536</v>
      </c>
      <c r="R149" s="221">
        <f t="shared" si="23"/>
        <v>0.30077746469312394</v>
      </c>
      <c r="AC149" s="251"/>
    </row>
    <row r="150" spans="1:29" ht="15.6" x14ac:dyDescent="0.3">
      <c r="A150" s="206">
        <v>2027</v>
      </c>
      <c r="B150" s="229">
        <v>92.067402363317228</v>
      </c>
      <c r="C150" s="229">
        <v>16.651247952685321</v>
      </c>
      <c r="D150" s="229">
        <v>3.1194547310376057</v>
      </c>
      <c r="E150" s="229">
        <v>45.188266749177316</v>
      </c>
      <c r="F150" s="229">
        <v>7.0595612863186643</v>
      </c>
      <c r="G150" s="229">
        <v>1.9157693890057477</v>
      </c>
      <c r="H150" s="229">
        <v>29.262816595677734</v>
      </c>
      <c r="I150" s="229">
        <v>13.331607658970078</v>
      </c>
      <c r="J150" s="229">
        <v>8.087125752898336</v>
      </c>
      <c r="K150" s="229">
        <v>9.0347953913389993</v>
      </c>
      <c r="L150" s="170"/>
      <c r="M150" s="170"/>
      <c r="N150" s="195">
        <f t="shared" si="19"/>
        <v>22.985011439818244</v>
      </c>
      <c r="O150" s="195">
        <f t="shared" si="21"/>
        <v>29.262816595677734</v>
      </c>
      <c r="P150" s="195">
        <f t="shared" si="20"/>
        <v>21.686472072728677</v>
      </c>
      <c r="Q150" s="195">
        <f t="shared" si="22"/>
        <v>73.934300108224647</v>
      </c>
      <c r="R150" s="221">
        <f t="shared" si="23"/>
        <v>0.31088427706995131</v>
      </c>
      <c r="AC150" s="251"/>
    </row>
    <row r="151" spans="1:29" ht="15.6" x14ac:dyDescent="0.3">
      <c r="A151" s="206">
        <v>2028</v>
      </c>
      <c r="B151" s="229">
        <v>95.783798635049422</v>
      </c>
      <c r="C151" s="229">
        <v>16.788857960453331</v>
      </c>
      <c r="D151" s="229">
        <v>3.2146715041910814</v>
      </c>
      <c r="E151" s="229">
        <v>47.271967253934605</v>
      </c>
      <c r="F151" s="229">
        <v>7.4213984025540753</v>
      </c>
      <c r="G151" s="229">
        <v>1.9808596620648586</v>
      </c>
      <c r="H151" s="229">
        <v>30.086077541088066</v>
      </c>
      <c r="I151" s="229">
        <v>14.331532066471372</v>
      </c>
      <c r="J151" s="229">
        <v>8.1782632014864785</v>
      </c>
      <c r="K151" s="229">
        <v>9.1657550574330013</v>
      </c>
      <c r="L151" s="170"/>
      <c r="M151" s="170"/>
      <c r="N151" s="195">
        <f t="shared" si="19"/>
        <v>24.607288115400614</v>
      </c>
      <c r="O151" s="195">
        <f t="shared" si="21"/>
        <v>30.086077541088066</v>
      </c>
      <c r="P151" s="195">
        <f t="shared" si="20"/>
        <v>21.984389126709271</v>
      </c>
      <c r="Q151" s="195">
        <f t="shared" si="22"/>
        <v>76.67775478319794</v>
      </c>
      <c r="R151" s="221">
        <f t="shared" si="23"/>
        <v>0.32091821395887693</v>
      </c>
      <c r="AC151" s="251"/>
    </row>
    <row r="152" spans="1:29" ht="15.6" x14ac:dyDescent="0.3">
      <c r="A152" s="206">
        <v>2029</v>
      </c>
      <c r="B152" s="229">
        <v>99.587907211353411</v>
      </c>
      <c r="C152" s="229">
        <v>16.941443189026064</v>
      </c>
      <c r="D152" s="229">
        <v>3.3110792214080478</v>
      </c>
      <c r="E152" s="229">
        <v>49.407046651464654</v>
      </c>
      <c r="F152" s="229">
        <v>7.8057186214734164</v>
      </c>
      <c r="G152" s="229">
        <v>2.0477858176277786</v>
      </c>
      <c r="H152" s="229">
        <v>30.904613510788508</v>
      </c>
      <c r="I152" s="229">
        <v>15.375869163364221</v>
      </c>
      <c r="J152" s="229">
        <v>8.2720608345646873</v>
      </c>
      <c r="K152" s="229">
        <v>9.2983720383694681</v>
      </c>
      <c r="L152" s="170"/>
      <c r="M152" s="170"/>
      <c r="N152" s="195">
        <f t="shared" si="19"/>
        <v>26.308151762149564</v>
      </c>
      <c r="O152" s="195">
        <f t="shared" si="21"/>
        <v>30.904613510788508</v>
      </c>
      <c r="P152" s="195">
        <f t="shared" si="20"/>
        <v>22.300308228061891</v>
      </c>
      <c r="Q152" s="195">
        <f t="shared" si="22"/>
        <v>79.513073500999965</v>
      </c>
      <c r="R152" s="221">
        <f t="shared" si="23"/>
        <v>0.33086573822125881</v>
      </c>
      <c r="AC152" s="251"/>
    </row>
    <row r="153" spans="1:29" ht="15.6" x14ac:dyDescent="0.3">
      <c r="A153" s="206">
        <v>2030</v>
      </c>
      <c r="B153" s="229">
        <v>103.47935924463735</v>
      </c>
      <c r="C153" s="229">
        <v>17.10751038627086</v>
      </c>
      <c r="D153" s="229">
        <v>3.4086772045043059</v>
      </c>
      <c r="E153" s="229">
        <v>51.592510824221741</v>
      </c>
      <c r="F153" s="229">
        <v>8.213709759761521</v>
      </c>
      <c r="G153" s="229">
        <v>2.11650661223084</v>
      </c>
      <c r="H153" s="229">
        <v>31.717932586529152</v>
      </c>
      <c r="I153" s="229">
        <v>16.464495955692705</v>
      </c>
      <c r="J153" s="229">
        <v>8.3682231500264166</v>
      </c>
      <c r="K153" s="229">
        <v>9.4326425319630562</v>
      </c>
      <c r="L153" s="170"/>
      <c r="M153" s="170"/>
      <c r="N153" s="195">
        <f t="shared" si="19"/>
        <v>28.08828799745411</v>
      </c>
      <c r="O153" s="195">
        <f t="shared" si="21"/>
        <v>31.717932586529152</v>
      </c>
      <c r="P153" s="195">
        <f t="shared" si="20"/>
        <v>22.632694203006007</v>
      </c>
      <c r="Q153" s="195">
        <f t="shared" si="22"/>
        <v>82.438914786989272</v>
      </c>
      <c r="R153" s="221">
        <f t="shared" si="23"/>
        <v>0.34071637248052516</v>
      </c>
      <c r="AC153" s="251"/>
    </row>
    <row r="154" spans="1:29" ht="15.6" x14ac:dyDescent="0.3">
      <c r="A154" s="206">
        <v>2031</v>
      </c>
      <c r="B154" s="229">
        <v>107.45778588730938</v>
      </c>
      <c r="C154" s="229">
        <v>17.285566300055056</v>
      </c>
      <c r="D154" s="229">
        <v>3.5074647752956558</v>
      </c>
      <c r="E154" s="229">
        <v>53.827365654660127</v>
      </c>
      <c r="F154" s="229">
        <v>8.6465596341032267</v>
      </c>
      <c r="G154" s="229">
        <v>2.1869808024103756</v>
      </c>
      <c r="H154" s="229">
        <v>32.525542850060091</v>
      </c>
      <c r="I154" s="229">
        <v>17.597289449500892</v>
      </c>
      <c r="J154" s="229">
        <v>8.4664546457651184</v>
      </c>
      <c r="K154" s="229">
        <v>9.5685627360284151</v>
      </c>
      <c r="L154" s="170"/>
      <c r="M154" s="170"/>
      <c r="N154" s="195">
        <f t="shared" si="19"/>
        <v>29.948382438703263</v>
      </c>
      <c r="O154" s="195">
        <f t="shared" si="21"/>
        <v>32.525542850060091</v>
      </c>
      <c r="P154" s="195">
        <f t="shared" si="20"/>
        <v>22.980011877761086</v>
      </c>
      <c r="Q154" s="195">
        <f t="shared" si="22"/>
        <v>85.45393716652444</v>
      </c>
      <c r="R154" s="221">
        <f t="shared" si="23"/>
        <v>0.35046228917858668</v>
      </c>
      <c r="AC154" s="251"/>
    </row>
    <row r="155" spans="1:29" ht="15.6" x14ac:dyDescent="0.3">
      <c r="A155" s="206">
        <v>2032</v>
      </c>
      <c r="B155" s="229">
        <v>111.52281829177764</v>
      </c>
      <c r="C155" s="229">
        <v>17.474117678245982</v>
      </c>
      <c r="D155" s="229">
        <v>3.6074412555978985</v>
      </c>
      <c r="E155" s="229">
        <v>56.11061702523407</v>
      </c>
      <c r="F155" s="229">
        <v>9.1054560611833679</v>
      </c>
      <c r="G155" s="229">
        <v>2.259167144702718</v>
      </c>
      <c r="H155" s="229">
        <v>33.326952383131434</v>
      </c>
      <c r="I155" s="229">
        <v>18.774126650832859</v>
      </c>
      <c r="J155" s="229">
        <v>8.566459819674245</v>
      </c>
      <c r="K155" s="229">
        <v>9.7061288483801995</v>
      </c>
      <c r="L155" s="170"/>
      <c r="M155" s="170"/>
      <c r="N155" s="195">
        <f t="shared" si="19"/>
        <v>31.889120703286004</v>
      </c>
      <c r="O155" s="195">
        <f t="shared" si="21"/>
        <v>33.326952383131434</v>
      </c>
      <c r="P155" s="195">
        <f t="shared" si="20"/>
        <v>23.340726078546599</v>
      </c>
      <c r="Q155" s="195">
        <f t="shared" si="22"/>
        <v>88.556799164964048</v>
      </c>
      <c r="R155" s="221">
        <f t="shared" si="23"/>
        <v>0.360097937188118</v>
      </c>
      <c r="AC155" s="251"/>
    </row>
    <row r="156" spans="1:29" ht="15.6" x14ac:dyDescent="0.3">
      <c r="A156" s="206">
        <v>2033</v>
      </c>
      <c r="B156" s="229">
        <v>115.67408761045026</v>
      </c>
      <c r="C156" s="229">
        <v>17.671671268710977</v>
      </c>
      <c r="D156" s="229">
        <v>3.7086059672268341</v>
      </c>
      <c r="E156" s="229">
        <v>58.44127081839784</v>
      </c>
      <c r="F156" s="229">
        <v>9.591586857686778</v>
      </c>
      <c r="G156" s="229">
        <v>2.3330243956441992</v>
      </c>
      <c r="H156" s="229">
        <v>34.121669267493274</v>
      </c>
      <c r="I156" s="229">
        <v>19.994884565732676</v>
      </c>
      <c r="J156" s="229">
        <v>8.6679431696472484</v>
      </c>
      <c r="K156" s="229">
        <v>9.8453370668330571</v>
      </c>
      <c r="L156" s="170"/>
      <c r="M156" s="170"/>
      <c r="N156" s="195">
        <f t="shared" si="19"/>
        <v>33.911188408591343</v>
      </c>
      <c r="O156" s="195">
        <f t="shared" si="21"/>
        <v>34.121669267493274</v>
      </c>
      <c r="P156" s="195">
        <f t="shared" si="20"/>
        <v>23.713301631582009</v>
      </c>
      <c r="Q156" s="195">
        <f t="shared" si="22"/>
        <v>91.74615930766663</v>
      </c>
      <c r="R156" s="221">
        <f t="shared" si="23"/>
        <v>0.36961970576742831</v>
      </c>
      <c r="AC156" s="251"/>
    </row>
    <row r="157" spans="1:29" ht="15.6" x14ac:dyDescent="0.3">
      <c r="A157" s="206">
        <v>2034</v>
      </c>
      <c r="B157" s="229">
        <v>119.91122499573538</v>
      </c>
      <c r="C157" s="229">
        <v>17.87673381931738</v>
      </c>
      <c r="D157" s="229">
        <v>3.8109582319982627</v>
      </c>
      <c r="E157" s="229">
        <v>60.818332916605698</v>
      </c>
      <c r="F157" s="229">
        <v>10.106139840298294</v>
      </c>
      <c r="G157" s="229">
        <v>2.408511311771151</v>
      </c>
      <c r="H157" s="229">
        <v>34.909201584895712</v>
      </c>
      <c r="I157" s="229">
        <v>21.25944020024442</v>
      </c>
      <c r="J157" s="229">
        <v>8.7706091935775827</v>
      </c>
      <c r="K157" s="229">
        <v>9.9861835892016444</v>
      </c>
      <c r="L157" s="170"/>
      <c r="M157" s="170"/>
      <c r="N157" s="195">
        <f t="shared" si="19"/>
        <v>36.015271172008283</v>
      </c>
      <c r="O157" s="195">
        <f t="shared" si="21"/>
        <v>34.909201584895712</v>
      </c>
      <c r="P157" s="195">
        <f t="shared" si="20"/>
        <v>24.096203363086794</v>
      </c>
      <c r="Q157" s="195">
        <f t="shared" si="22"/>
        <v>95.020676119990782</v>
      </c>
      <c r="R157" s="221">
        <f t="shared" si="23"/>
        <v>0.37902562518634053</v>
      </c>
      <c r="AC157" s="251"/>
    </row>
    <row r="158" spans="1:29" ht="15.6" x14ac:dyDescent="0.3">
      <c r="A158" s="206">
        <v>2035</v>
      </c>
      <c r="B158" s="229">
        <v>124.23386160004115</v>
      </c>
      <c r="C158" s="229">
        <v>18.087812077932522</v>
      </c>
      <c r="D158" s="229">
        <v>3.9144973717279856</v>
      </c>
      <c r="E158" s="229">
        <v>63.240809202311908</v>
      </c>
      <c r="F158" s="229">
        <v>10.650302825702749</v>
      </c>
      <c r="G158" s="229">
        <v>2.4855866496199068</v>
      </c>
      <c r="H158" s="229">
        <v>35.68905741708884</v>
      </c>
      <c r="I158" s="229">
        <v>22.567670560412164</v>
      </c>
      <c r="J158" s="229">
        <v>8.8741623893586983</v>
      </c>
      <c r="K158" s="229">
        <v>10.128664613300613</v>
      </c>
      <c r="L158" s="170"/>
      <c r="M158" s="170"/>
      <c r="N158" s="195">
        <f t="shared" si="19"/>
        <v>38.202054610925821</v>
      </c>
      <c r="O158" s="195">
        <f t="shared" si="21"/>
        <v>35.68905741708884</v>
      </c>
      <c r="P158" s="195">
        <f t="shared" si="20"/>
        <v>24.487896099280416</v>
      </c>
      <c r="Q158" s="195">
        <f t="shared" si="22"/>
        <v>98.379008127295066</v>
      </c>
      <c r="R158" s="221">
        <f t="shared" si="23"/>
        <v>0.38831510235898314</v>
      </c>
      <c r="AC158" s="251"/>
    </row>
    <row r="159" spans="1:29" ht="15.6" x14ac:dyDescent="0.3">
      <c r="A159" s="206">
        <v>2036</v>
      </c>
      <c r="B159" s="229">
        <v>128.64162857577571</v>
      </c>
      <c r="C159" s="229">
        <v>18.303412792423746</v>
      </c>
      <c r="D159" s="229">
        <v>4.0192227082318031</v>
      </c>
      <c r="E159" s="229">
        <v>65.707705557970726</v>
      </c>
      <c r="F159" s="229">
        <v>11.22526363058498</v>
      </c>
      <c r="G159" s="229">
        <v>2.5642091657267989</v>
      </c>
      <c r="H159" s="229">
        <v>36.460744845822759</v>
      </c>
      <c r="I159" s="229">
        <v>23.919452652279986</v>
      </c>
      <c r="J159" s="229">
        <v>8.978307254884049</v>
      </c>
      <c r="K159" s="229">
        <v>10.272776336944611</v>
      </c>
      <c r="L159" s="170"/>
      <c r="M159" s="170"/>
      <c r="N159" s="195">
        <f t="shared" si="19"/>
        <v>40.472224342732943</v>
      </c>
      <c r="O159" s="195">
        <f t="shared" si="21"/>
        <v>36.460744845822759</v>
      </c>
      <c r="P159" s="195">
        <f t="shared" si="20"/>
        <v>24.886844666382348</v>
      </c>
      <c r="Q159" s="195">
        <f t="shared" si="22"/>
        <v>101.81981385493805</v>
      </c>
      <c r="R159" s="221">
        <f t="shared" si="23"/>
        <v>0.39748868918964464</v>
      </c>
      <c r="AC159" s="251"/>
    </row>
    <row r="160" spans="1:29" ht="15.6" x14ac:dyDescent="0.3">
      <c r="A160" s="206">
        <v>2037</v>
      </c>
      <c r="B160" s="229">
        <v>133.13415707534719</v>
      </c>
      <c r="C160" s="229">
        <v>18.522042710658383</v>
      </c>
      <c r="D160" s="229">
        <v>4.1251335633255142</v>
      </c>
      <c r="E160" s="229">
        <v>68.218027866036437</v>
      </c>
      <c r="F160" s="229">
        <v>11.83221007162982</v>
      </c>
      <c r="G160" s="229">
        <v>2.6443376166281598</v>
      </c>
      <c r="H160" s="229">
        <v>37.223771952847585</v>
      </c>
      <c r="I160" s="229">
        <v>25.314663481891948</v>
      </c>
      <c r="J160" s="229">
        <v>9.0827482880470889</v>
      </c>
      <c r="K160" s="229">
        <v>10.418514957948297</v>
      </c>
      <c r="L160" s="170"/>
      <c r="M160" s="170"/>
      <c r="N160" s="195">
        <f t="shared" si="19"/>
        <v>42.826465984818668</v>
      </c>
      <c r="O160" s="195">
        <f t="shared" si="21"/>
        <v>37.223771952847585</v>
      </c>
      <c r="P160" s="195">
        <f t="shared" si="20"/>
        <v>25.291513890612055</v>
      </c>
      <c r="Q160" s="195">
        <f t="shared" si="22"/>
        <v>105.3417518282783</v>
      </c>
      <c r="R160" s="221">
        <f t="shared" si="23"/>
        <v>0.40654788098295308</v>
      </c>
      <c r="AC160" s="251"/>
    </row>
    <row r="161" spans="1:29" ht="15.6" x14ac:dyDescent="0.3">
      <c r="A161" s="206">
        <v>2038</v>
      </c>
      <c r="B161" s="229">
        <v>137.71107825116374</v>
      </c>
      <c r="C161" s="229">
        <v>18.742208580503767</v>
      </c>
      <c r="D161" s="229">
        <v>4.2322292588249217</v>
      </c>
      <c r="E161" s="229">
        <v>70.770782008963266</v>
      </c>
      <c r="F161" s="229">
        <v>12.472329965522107</v>
      </c>
      <c r="G161" s="229">
        <v>2.7259307588603212</v>
      </c>
      <c r="H161" s="229">
        <v>37.977646819913389</v>
      </c>
      <c r="I161" s="229">
        <v>26.75318005529213</v>
      </c>
      <c r="J161" s="229">
        <v>9.1871899867412665</v>
      </c>
      <c r="K161" s="229">
        <v>10.565876674126317</v>
      </c>
      <c r="L161" s="170"/>
      <c r="M161" s="170"/>
      <c r="N161" s="195">
        <f t="shared" si="19"/>
        <v>45.265465154571984</v>
      </c>
      <c r="O161" s="195">
        <f t="shared" si="21"/>
        <v>37.977646819913389</v>
      </c>
      <c r="P161" s="195">
        <f t="shared" si="20"/>
        <v>25.700368598189012</v>
      </c>
      <c r="Q161" s="195">
        <f t="shared" si="22"/>
        <v>108.94348057267439</v>
      </c>
      <c r="R161" s="221">
        <f t="shared" si="23"/>
        <v>0.41549494211703786</v>
      </c>
      <c r="AC161" s="251"/>
    </row>
    <row r="162" spans="1:29" ht="15.6" x14ac:dyDescent="0.3">
      <c r="A162" s="206">
        <v>2039</v>
      </c>
      <c r="B162" s="229">
        <v>142.37202325563351</v>
      </c>
      <c r="C162" s="229">
        <v>18.962417149827246</v>
      </c>
      <c r="D162" s="229">
        <v>4.3405091165458245</v>
      </c>
      <c r="E162" s="229">
        <v>73.364973869205514</v>
      </c>
      <c r="F162" s="229">
        <v>13.146811128946677</v>
      </c>
      <c r="G162" s="229">
        <v>2.8089473489596157</v>
      </c>
      <c r="H162" s="229">
        <v>38.721877528770285</v>
      </c>
      <c r="I162" s="229">
        <v>28.23487937852461</v>
      </c>
      <c r="J162" s="229">
        <v>9.2913368488600376</v>
      </c>
      <c r="K162" s="229">
        <v>10.714857683293328</v>
      </c>
      <c r="L162" s="170"/>
      <c r="M162" s="170"/>
      <c r="N162" s="195">
        <f t="shared" si="19"/>
        <v>47.789907469381909</v>
      </c>
      <c r="O162" s="195">
        <f t="shared" si="21"/>
        <v>38.721877528770285</v>
      </c>
      <c r="P162" s="195">
        <f t="shared" si="20"/>
        <v>26.111873615332687</v>
      </c>
      <c r="Q162" s="195">
        <f t="shared" si="22"/>
        <v>112.62365861348488</v>
      </c>
      <c r="R162" s="221">
        <f t="shared" si="23"/>
        <v>0.42433275616975769</v>
      </c>
      <c r="AC162" s="251"/>
    </row>
    <row r="163" spans="1:29" ht="15.6" x14ac:dyDescent="0.3">
      <c r="A163" s="206">
        <v>2040</v>
      </c>
      <c r="B163" s="229">
        <v>147.11662324116463</v>
      </c>
      <c r="C163" s="229">
        <v>19.181175166496139</v>
      </c>
      <c r="D163" s="229">
        <v>4.4499724583040248</v>
      </c>
      <c r="E163" s="229">
        <v>75.999609329217421</v>
      </c>
      <c r="F163" s="229">
        <v>13.85684137858836</v>
      </c>
      <c r="G163" s="229">
        <v>2.8933461434623764</v>
      </c>
      <c r="H163" s="229">
        <v>39.455972161168368</v>
      </c>
      <c r="I163" s="229">
        <v>29.759638457633454</v>
      </c>
      <c r="J163" s="229">
        <v>9.3948933722968526</v>
      </c>
      <c r="K163" s="229">
        <v>10.865454183263978</v>
      </c>
      <c r="L163" s="170"/>
      <c r="M163" s="170"/>
      <c r="N163" s="195">
        <f t="shared" si="19"/>
        <v>50.400478546637409</v>
      </c>
      <c r="O163" s="195">
        <f t="shared" si="21"/>
        <v>39.455972161168368</v>
      </c>
      <c r="P163" s="195">
        <f t="shared" si="20"/>
        <v>26.524493768262541</v>
      </c>
      <c r="Q163" s="195">
        <f t="shared" si="22"/>
        <v>116.38094447606832</v>
      </c>
      <c r="R163" s="221">
        <f t="shared" si="23"/>
        <v>0.43306469777791995</v>
      </c>
      <c r="AC163" s="251"/>
    </row>
    <row r="164" spans="1:29" ht="15.6" x14ac:dyDescent="0.3">
      <c r="A164" s="206">
        <v>2041</v>
      </c>
      <c r="B164" s="229">
        <v>151.94450936016523</v>
      </c>
      <c r="C164" s="229">
        <v>19.396989378377796</v>
      </c>
      <c r="D164" s="229">
        <v>4.5606186059153213</v>
      </c>
      <c r="E164" s="229">
        <v>78.673694271453257</v>
      </c>
      <c r="F164" s="229">
        <v>14.603608531131993</v>
      </c>
      <c r="G164" s="229">
        <v>2.9790858989049354</v>
      </c>
      <c r="H164" s="229">
        <v>40.179438798857738</v>
      </c>
      <c r="I164" s="229">
        <v>31.327334298662738</v>
      </c>
      <c r="J164" s="229">
        <v>9.4975640549451672</v>
      </c>
      <c r="K164" s="229">
        <v>11.017662371852923</v>
      </c>
      <c r="L164" s="170"/>
      <c r="M164" s="170"/>
      <c r="N164" s="195">
        <f t="shared" si="19"/>
        <v>53.097864003727516</v>
      </c>
      <c r="O164" s="195">
        <f t="shared" si="21"/>
        <v>40.179438798857738</v>
      </c>
      <c r="P164" s="195">
        <f t="shared" si="20"/>
        <v>26.936693883198053</v>
      </c>
      <c r="Q164" s="195">
        <f>N164+P164+O164</f>
        <v>120.21399668578331</v>
      </c>
      <c r="R164" s="221">
        <f>N164/Q164</f>
        <v>0.44169452366279199</v>
      </c>
      <c r="AC164" s="251"/>
    </row>
    <row r="165" spans="1:29" ht="15.6" x14ac:dyDescent="0.3">
      <c r="A165" s="206">
        <v>2042</v>
      </c>
      <c r="B165" s="229">
        <v>156.85531276504346</v>
      </c>
      <c r="C165" s="229">
        <v>19.608366533339549</v>
      </c>
      <c r="D165" s="229">
        <v>4.6724468811955155</v>
      </c>
      <c r="E165" s="229">
        <v>81.386234578367294</v>
      </c>
      <c r="F165" s="229">
        <v>15.388300403262413</v>
      </c>
      <c r="G165" s="229">
        <v>3.0661253718236248</v>
      </c>
      <c r="H165" s="229">
        <v>40.891785523588496</v>
      </c>
      <c r="I165" s="229">
        <v>32.937843907656543</v>
      </c>
      <c r="J165" s="229">
        <v>9.5990533946984318</v>
      </c>
      <c r="K165" s="229">
        <v>11.171478446874813</v>
      </c>
      <c r="L165" s="170"/>
      <c r="M165" s="170"/>
      <c r="N165" s="195">
        <f t="shared" si="19"/>
        <v>55.882749458041204</v>
      </c>
      <c r="O165" s="195">
        <f t="shared" si="21"/>
        <v>40.891785523588496</v>
      </c>
      <c r="P165" s="195">
        <f t="shared" si="20"/>
        <v>27.346938786358688</v>
      </c>
      <c r="Q165" s="195">
        <f t="shared" si="22"/>
        <v>124.12147376798839</v>
      </c>
      <c r="R165" s="221">
        <f t="shared" si="23"/>
        <v>0.45022628044603247</v>
      </c>
      <c r="AC165" s="251"/>
    </row>
    <row r="166" spans="1:29" ht="15.6" x14ac:dyDescent="0.3">
      <c r="A166" s="206">
        <v>2043</v>
      </c>
      <c r="B166" s="229">
        <v>161.84866460820749</v>
      </c>
      <c r="C166" s="229">
        <v>19.813813379248732</v>
      </c>
      <c r="D166" s="229">
        <v>4.7854566059604071</v>
      </c>
      <c r="E166" s="229">
        <v>84.136236132413785</v>
      </c>
      <c r="F166" s="229">
        <v>16.212104811664453</v>
      </c>
      <c r="G166" s="229">
        <v>3.1544233187547772</v>
      </c>
      <c r="H166" s="229">
        <v>41.592520417110734</v>
      </c>
      <c r="I166" s="229">
        <v>34.591044290658928</v>
      </c>
      <c r="J166" s="229">
        <v>9.6990658894500967</v>
      </c>
      <c r="K166" s="229">
        <v>11.326898606144301</v>
      </c>
      <c r="L166" s="170"/>
      <c r="M166" s="170"/>
      <c r="N166" s="195">
        <f t="shared" si="19"/>
        <v>58.755820526967511</v>
      </c>
      <c r="O166" s="195">
        <f t="shared" si="21"/>
        <v>41.592520417110734</v>
      </c>
      <c r="P166" s="195">
        <f t="shared" si="20"/>
        <v>27.753693303963917</v>
      </c>
      <c r="Q166" s="195">
        <f t="shared" si="22"/>
        <v>128.10203424804217</v>
      </c>
      <c r="R166" s="221">
        <f t="shared" si="23"/>
        <v>0.45866422708947335</v>
      </c>
      <c r="AC166" s="251"/>
    </row>
    <row r="167" spans="1:29" ht="15.6" x14ac:dyDescent="0.3">
      <c r="A167" s="206">
        <v>2044</v>
      </c>
      <c r="B167" s="229">
        <v>166.9241960420654</v>
      </c>
      <c r="C167" s="229">
        <v>20.011836663972684</v>
      </c>
      <c r="D167" s="229">
        <v>4.8996471020257975</v>
      </c>
      <c r="E167" s="229">
        <v>86.922704816047002</v>
      </c>
      <c r="F167" s="229">
        <v>17.07620957302295</v>
      </c>
      <c r="G167" s="229">
        <v>3.2439384962347253</v>
      </c>
      <c r="H167" s="229">
        <v>42.281151561174553</v>
      </c>
      <c r="I167" s="229">
        <v>36.286812453713978</v>
      </c>
      <c r="J167" s="229">
        <v>9.7973060370936196</v>
      </c>
      <c r="K167" s="229">
        <v>11.483919047476039</v>
      </c>
      <c r="L167" s="170"/>
      <c r="M167" s="170"/>
      <c r="N167" s="195">
        <f t="shared" si="19"/>
        <v>61.717762827895399</v>
      </c>
      <c r="O167" s="195">
        <f t="shared" si="21"/>
        <v>42.281151561174553</v>
      </c>
      <c r="P167" s="195">
        <f t="shared" si="20"/>
        <v>28.155422262233209</v>
      </c>
      <c r="Q167" s="195">
        <f t="shared" si="22"/>
        <v>132.15433665130314</v>
      </c>
      <c r="R167" s="221">
        <f t="shared" si="23"/>
        <v>0.46701277000649088</v>
      </c>
      <c r="AC167" s="251"/>
    </row>
    <row r="168" spans="1:29" ht="15.6" x14ac:dyDescent="0.3">
      <c r="A168" s="206">
        <v>2045</v>
      </c>
      <c r="B168" s="229">
        <v>172.08153821902539</v>
      </c>
      <c r="C168" s="229">
        <v>20.200943135378736</v>
      </c>
      <c r="D168" s="229">
        <v>5.0150176912074862</v>
      </c>
      <c r="E168" s="229">
        <v>89.7446465117212</v>
      </c>
      <c r="F168" s="229">
        <v>17.981802504022738</v>
      </c>
      <c r="G168" s="229">
        <v>3.3346296607998012</v>
      </c>
      <c r="H168" s="229">
        <v>42.957187037530048</v>
      </c>
      <c r="I168" s="229">
        <v>38.025025402865758</v>
      </c>
      <c r="J168" s="229">
        <v>9.8934783355224489</v>
      </c>
      <c r="K168" s="229">
        <v>11.64253596868468</v>
      </c>
      <c r="L168" s="170"/>
      <c r="M168" s="170"/>
      <c r="N168" s="195">
        <f t="shared" si="19"/>
        <v>64.769261978213891</v>
      </c>
      <c r="O168" s="195">
        <f t="shared" si="21"/>
        <v>42.957187037530048</v>
      </c>
      <c r="P168" s="195">
        <f t="shared" si="20"/>
        <v>28.550590487386025</v>
      </c>
      <c r="Q168" s="195">
        <f t="shared" si="22"/>
        <v>136.27703950312997</v>
      </c>
      <c r="R168" s="221">
        <f t="shared" si="23"/>
        <v>0.47527640910284297</v>
      </c>
      <c r="AC168" s="251"/>
    </row>
    <row r="169" spans="1:29" ht="15.6" x14ac:dyDescent="0.3">
      <c r="A169" s="206">
        <v>2046</v>
      </c>
      <c r="B169" s="229">
        <v>177.32032229149556</v>
      </c>
      <c r="C169" s="229">
        <v>20.379639541334235</v>
      </c>
      <c r="D169" s="229">
        <v>5.1315676953212748</v>
      </c>
      <c r="E169" s="229">
        <v>92.601067101890635</v>
      </c>
      <c r="F169" s="229">
        <v>18.930071421348657</v>
      </c>
      <c r="G169" s="229">
        <v>3.426455568986337</v>
      </c>
      <c r="H169" s="229">
        <v>43.620134927927324</v>
      </c>
      <c r="I169" s="229">
        <v>39.805560144158356</v>
      </c>
      <c r="J169" s="229">
        <v>9.9872872826300387</v>
      </c>
      <c r="K169" s="229">
        <v>11.802745567584875</v>
      </c>
      <c r="L169" s="170"/>
      <c r="M169" s="170"/>
      <c r="N169" s="195">
        <f t="shared" si="19"/>
        <v>67.911003595311968</v>
      </c>
      <c r="O169" s="195">
        <f t="shared" si="21"/>
        <v>43.620134927927324</v>
      </c>
      <c r="P169" s="195">
        <f t="shared" si="20"/>
        <v>28.937662805641846</v>
      </c>
      <c r="Q169" s="195">
        <f t="shared" si="22"/>
        <v>140.46880132888114</v>
      </c>
      <c r="R169" s="221">
        <f t="shared" si="23"/>
        <v>0.48345969320483623</v>
      </c>
      <c r="AC169" s="251"/>
    </row>
    <row r="170" spans="1:29" ht="15.6" x14ac:dyDescent="0.3">
      <c r="A170" s="206">
        <v>2047</v>
      </c>
      <c r="B170" s="229">
        <v>182.64017941188405</v>
      </c>
      <c r="C170" s="229">
        <v>20.546432629706509</v>
      </c>
      <c r="D170" s="229">
        <v>5.2492964361829628</v>
      </c>
      <c r="E170" s="229">
        <v>95.490972469009577</v>
      </c>
      <c r="F170" s="229">
        <v>19.922204141685533</v>
      </c>
      <c r="G170" s="229">
        <v>3.5193749773306653</v>
      </c>
      <c r="H170" s="229">
        <v>44.269503314116484</v>
      </c>
      <c r="I170" s="229">
        <v>41.628293683635832</v>
      </c>
      <c r="J170" s="229">
        <v>10.078437376309841</v>
      </c>
      <c r="K170" s="229">
        <v>11.964544041991275</v>
      </c>
      <c r="L170" s="170"/>
      <c r="M170" s="170"/>
      <c r="N170" s="195">
        <f t="shared" si="19"/>
        <v>71.143673296578612</v>
      </c>
      <c r="O170" s="195">
        <f t="shared" si="21"/>
        <v>44.269503314116484</v>
      </c>
      <c r="P170" s="195">
        <f t="shared" si="20"/>
        <v>29.315104043220138</v>
      </c>
      <c r="Q170" s="195">
        <f t="shared" si="22"/>
        <v>144.72828065391525</v>
      </c>
      <c r="R170" s="221">
        <f t="shared" si="23"/>
        <v>0.49156718351890411</v>
      </c>
      <c r="AC170" s="251"/>
    </row>
    <row r="171" spans="1:29" ht="15.6" x14ac:dyDescent="0.3">
      <c r="A171" s="206">
        <v>2048</v>
      </c>
      <c r="B171" s="229">
        <v>188.04074073259903</v>
      </c>
      <c r="C171" s="229">
        <v>20.699829148362895</v>
      </c>
      <c r="D171" s="229">
        <v>5.36820323560835</v>
      </c>
      <c r="E171" s="229">
        <v>98.41336849553231</v>
      </c>
      <c r="F171" s="229">
        <v>20.959388481718207</v>
      </c>
      <c r="G171" s="229">
        <v>3.6133466423691187</v>
      </c>
      <c r="H171" s="229">
        <v>44.904800277847613</v>
      </c>
      <c r="I171" s="229">
        <v>43.493103027342258</v>
      </c>
      <c r="J171" s="229">
        <v>10.166633114455308</v>
      </c>
      <c r="K171" s="229">
        <v>12.127927589718535</v>
      </c>
      <c r="L171" s="170"/>
      <c r="M171" s="170"/>
      <c r="N171" s="195">
        <f t="shared" si="19"/>
        <v>74.467956699402905</v>
      </c>
      <c r="O171" s="195">
        <f t="shared" si="21"/>
        <v>44.904800277847613</v>
      </c>
      <c r="P171" s="195">
        <f t="shared" si="20"/>
        <v>29.681379026340363</v>
      </c>
      <c r="Q171" s="195">
        <f t="shared" si="22"/>
        <v>149.05413600359088</v>
      </c>
      <c r="R171" s="221">
        <f t="shared" si="23"/>
        <v>0.49960342393725249</v>
      </c>
      <c r="AC171" s="251"/>
    </row>
    <row r="172" spans="1:29" ht="15.6" x14ac:dyDescent="0.3">
      <c r="A172" s="206">
        <v>2049</v>
      </c>
      <c r="B172" s="229">
        <v>193.52163740604863</v>
      </c>
      <c r="C172" s="229">
        <v>20.838335845170729</v>
      </c>
      <c r="D172" s="229">
        <v>5.4882874154132395</v>
      </c>
      <c r="E172" s="229">
        <v>101.36726106391306</v>
      </c>
      <c r="F172" s="229">
        <v>22.042812258131509</v>
      </c>
      <c r="G172" s="229">
        <v>3.7083293206380303</v>
      </c>
      <c r="H172" s="229">
        <v>45.525533900870826</v>
      </c>
      <c r="I172" s="229">
        <v>45.399865181321722</v>
      </c>
      <c r="J172" s="229">
        <v>10.251578994959894</v>
      </c>
      <c r="K172" s="229">
        <v>12.292892408581306</v>
      </c>
      <c r="L172" s="170"/>
      <c r="M172" s="170"/>
      <c r="N172" s="195">
        <f t="shared" si="19"/>
        <v>77.884539421173741</v>
      </c>
      <c r="O172" s="195">
        <f t="shared" si="21"/>
        <v>45.525533900870826</v>
      </c>
      <c r="P172" s="195">
        <f t="shared" si="20"/>
        <v>30.034952581221997</v>
      </c>
      <c r="Q172" s="195">
        <f t="shared" si="22"/>
        <v>153.44502590326658</v>
      </c>
      <c r="R172" s="221">
        <f t="shared" si="23"/>
        <v>0.50757291715844222</v>
      </c>
      <c r="AC172" s="251"/>
    </row>
    <row r="173" spans="1:29" ht="16.2" thickBot="1" x14ac:dyDescent="0.35">
      <c r="A173" s="208">
        <v>2050</v>
      </c>
      <c r="B173" s="231">
        <v>199.08250058464097</v>
      </c>
      <c r="C173" s="231">
        <v>20.960459467997349</v>
      </c>
      <c r="D173" s="231">
        <v>5.609548297413431</v>
      </c>
      <c r="E173" s="231">
        <v>104.35165605660613</v>
      </c>
      <c r="F173" s="231">
        <v>23.173663287610282</v>
      </c>
      <c r="G173" s="231">
        <v>3.8042817686737314</v>
      </c>
      <c r="H173" s="231">
        <v>46.131212264936202</v>
      </c>
      <c r="I173" s="231">
        <v>47.348457151618284</v>
      </c>
      <c r="J173" s="231">
        <v>10.332979515717051</v>
      </c>
      <c r="K173" s="231">
        <v>12.459434696394238</v>
      </c>
      <c r="L173" s="209"/>
      <c r="M173" s="209"/>
      <c r="N173" s="195">
        <f t="shared" si="19"/>
        <v>81.394107079280218</v>
      </c>
      <c r="O173" s="195">
        <f t="shared" si="21"/>
        <v>46.131212264936202</v>
      </c>
      <c r="P173" s="195">
        <f t="shared" si="20"/>
        <v>30.374289534084511</v>
      </c>
      <c r="Q173" s="195">
        <f t="shared" si="22"/>
        <v>157.89960887830094</v>
      </c>
      <c r="R173" s="222">
        <f t="shared" si="23"/>
        <v>0.51548010572979741</v>
      </c>
      <c r="AC173" s="251"/>
    </row>
    <row r="174" spans="1:29" ht="15.6" x14ac:dyDescent="0.3">
      <c r="A174" s="213">
        <v>2051</v>
      </c>
      <c r="B174" s="227">
        <v>204.72296142078423</v>
      </c>
      <c r="C174" s="227">
        <v>21.064706764710092</v>
      </c>
      <c r="D174" s="227">
        <v>5.7319852034247223</v>
      </c>
      <c r="E174" s="227">
        <v>107.36555935606575</v>
      </c>
      <c r="F174" s="227">
        <v>24.353129386839356</v>
      </c>
      <c r="G174" s="227">
        <v>3.9011627430125548</v>
      </c>
      <c r="H174" s="227">
        <v>46.721343451793857</v>
      </c>
      <c r="I174" s="227">
        <v>49.338755944276024</v>
      </c>
      <c r="J174" s="227">
        <v>10.410539174620229</v>
      </c>
      <c r="K174" s="227">
        <v>12.627550650971987</v>
      </c>
      <c r="N174" s="195">
        <f t="shared" si="19"/>
        <v>84.997345291111245</v>
      </c>
      <c r="O174" s="195">
        <f t="shared" si="21"/>
        <v>46.721343451793857</v>
      </c>
      <c r="P174" s="195">
        <f t="shared" si="20"/>
        <v>30.697854711147372</v>
      </c>
      <c r="Q174" s="195">
        <f t="shared" si="22"/>
        <v>162.41654345405249</v>
      </c>
      <c r="R174" s="214">
        <f t="shared" si="23"/>
        <v>0.52332935724098162</v>
      </c>
      <c r="AC174" s="251"/>
    </row>
    <row r="175" spans="1:29" ht="15.6" x14ac:dyDescent="0.3">
      <c r="A175" s="194">
        <v>2052</v>
      </c>
      <c r="B175" s="229">
        <v>210.4426510668865</v>
      </c>
      <c r="C175" s="229">
        <v>21.149584483176291</v>
      </c>
      <c r="D175" s="229">
        <v>5.8555974552629166</v>
      </c>
      <c r="E175" s="229">
        <v>110.4079768447462</v>
      </c>
      <c r="F175" s="229">
        <v>25.582398372503565</v>
      </c>
      <c r="G175" s="229">
        <v>3.9989310001908329</v>
      </c>
      <c r="H175" s="229">
        <v>47.295435543193875</v>
      </c>
      <c r="I175" s="229">
        <v>51.370638565339014</v>
      </c>
      <c r="J175" s="229">
        <v>10.483962469562885</v>
      </c>
      <c r="K175" s="229">
        <v>12.797236470129203</v>
      </c>
      <c r="N175" s="195">
        <f t="shared" si="19"/>
        <v>88.694939674055902</v>
      </c>
      <c r="O175" s="195">
        <f t="shared" si="21"/>
        <v>47.295435543193875</v>
      </c>
      <c r="P175" s="195">
        <f t="shared" si="20"/>
        <v>31.00411293863004</v>
      </c>
      <c r="Q175" s="195">
        <f t="shared" si="22"/>
        <v>166.99448815587982</v>
      </c>
      <c r="R175" s="196">
        <f t="shared" si="23"/>
        <v>0.53112495300601925</v>
      </c>
      <c r="AC175" s="251"/>
    </row>
    <row r="176" spans="1:29" ht="15.6" x14ac:dyDescent="0.3">
      <c r="A176" s="194">
        <v>2053</v>
      </c>
      <c r="B176" s="229">
        <v>216.24120067535594</v>
      </c>
      <c r="C176" s="229">
        <v>21.213599371263282</v>
      </c>
      <c r="D176" s="229">
        <v>5.9803843747438146</v>
      </c>
      <c r="E176" s="229">
        <v>113.47791440510173</v>
      </c>
      <c r="F176" s="229">
        <v>26.862658061287746</v>
      </c>
      <c r="G176" s="229">
        <v>4.0975452967448982</v>
      </c>
      <c r="H176" s="229">
        <v>47.852996620886358</v>
      </c>
      <c r="I176" s="229">
        <v>53.44398202085133</v>
      </c>
      <c r="J176" s="229">
        <v>10.552953898438467</v>
      </c>
      <c r="K176" s="229">
        <v>12.968488351680538</v>
      </c>
      <c r="N176" s="195">
        <f t="shared" si="19"/>
        <v>92.487575845503102</v>
      </c>
      <c r="O176" s="195">
        <f t="shared" si="21"/>
        <v>47.852996620886358</v>
      </c>
      <c r="P176" s="195">
        <f t="shared" si="20"/>
        <v>31.291529042751993</v>
      </c>
      <c r="Q176" s="195">
        <f t="shared" si="22"/>
        <v>171.63210150914145</v>
      </c>
      <c r="R176" s="196">
        <f t="shared" si="23"/>
        <v>0.53887107966557779</v>
      </c>
      <c r="AC176" s="251"/>
    </row>
    <row r="177" spans="1:29" ht="15.6" x14ac:dyDescent="0.3">
      <c r="A177" s="194">
        <v>2054</v>
      </c>
      <c r="B177" s="229">
        <v>222.11824139860073</v>
      </c>
      <c r="C177" s="229">
        <v>21.255258176838407</v>
      </c>
      <c r="D177" s="229">
        <v>6.1063452836832148</v>
      </c>
      <c r="E177" s="229">
        <v>116.57437791958661</v>
      </c>
      <c r="F177" s="229">
        <v>28.195096269876739</v>
      </c>
      <c r="G177" s="229">
        <v>4.1969643892110833</v>
      </c>
      <c r="H177" s="229">
        <v>48.393534766621421</v>
      </c>
      <c r="I177" s="229">
        <v>55.558663316857043</v>
      </c>
      <c r="J177" s="229">
        <v>10.617217959140429</v>
      </c>
      <c r="K177" s="229">
        <v>13.141302493440646</v>
      </c>
      <c r="N177" s="195">
        <f t="shared" si="19"/>
        <v>96.375939422841924</v>
      </c>
      <c r="O177" s="195">
        <f t="shared" si="21"/>
        <v>48.393534766621421</v>
      </c>
      <c r="P177" s="195">
        <f t="shared" si="20"/>
        <v>31.558567849732704</v>
      </c>
      <c r="Q177" s="195">
        <f t="shared" si="22"/>
        <v>176.32804203919605</v>
      </c>
      <c r="R177" s="196">
        <f t="shared" si="23"/>
        <v>0.54657182322377551</v>
      </c>
      <c r="AC177" s="251"/>
    </row>
    <row r="178" spans="1:29" ht="15.6" x14ac:dyDescent="0.3">
      <c r="A178" s="194">
        <v>2055</v>
      </c>
      <c r="B178" s="229">
        <v>228.07340438902898</v>
      </c>
      <c r="C178" s="229">
        <v>21.273067647768997</v>
      </c>
      <c r="D178" s="229">
        <v>6.2334795038969197</v>
      </c>
      <c r="E178" s="229">
        <v>119.69637327065512</v>
      </c>
      <c r="F178" s="229">
        <v>29.58090081495537</v>
      </c>
      <c r="G178" s="229">
        <v>4.2971470341257199</v>
      </c>
      <c r="H178" s="229">
        <v>48.916558062149143</v>
      </c>
      <c r="I178" s="229">
        <v>57.71455945940022</v>
      </c>
      <c r="J178" s="229">
        <v>10.676459149562227</v>
      </c>
      <c r="K178" s="229">
        <v>13.315675093224177</v>
      </c>
      <c r="N178" s="195">
        <f t="shared" si="19"/>
        <v>100.36071602346135</v>
      </c>
      <c r="O178" s="195">
        <f t="shared" si="21"/>
        <v>48.916558062149143</v>
      </c>
      <c r="P178" s="195">
        <f t="shared" si="20"/>
        <v>31.803694185791635</v>
      </c>
      <c r="Q178" s="195">
        <f t="shared" si="22"/>
        <v>181.08096827140213</v>
      </c>
      <c r="R178" s="196">
        <f t="shared" si="23"/>
        <v>0.55423116510533477</v>
      </c>
      <c r="AC178" s="251"/>
    </row>
    <row r="179" spans="1:29" ht="15.6" x14ac:dyDescent="0.3">
      <c r="A179" s="194">
        <v>2056</v>
      </c>
      <c r="B179" s="229">
        <v>234.1063207990488</v>
      </c>
      <c r="C179" s="229">
        <v>21.265534531922384</v>
      </c>
      <c r="D179" s="229">
        <v>6.361786357200728</v>
      </c>
      <c r="E179" s="229">
        <v>122.8429063407615</v>
      </c>
      <c r="F179" s="229">
        <v>31.021259513208481</v>
      </c>
      <c r="G179" s="229">
        <v>4.3980519880251414</v>
      </c>
      <c r="H179" s="229">
        <v>49.421574589219631</v>
      </c>
      <c r="I179" s="229">
        <v>59.911547454524943</v>
      </c>
      <c r="J179" s="229">
        <v>10.730381967597308</v>
      </c>
      <c r="K179" s="229">
        <v>13.491602348845785</v>
      </c>
      <c r="N179" s="195">
        <f t="shared" si="19"/>
        <v>104.44259126475035</v>
      </c>
      <c r="O179" s="195">
        <f t="shared" si="21"/>
        <v>49.421574589219631</v>
      </c>
      <c r="P179" s="195">
        <f t="shared" si="20"/>
        <v>32.025372877148257</v>
      </c>
      <c r="Q179" s="195">
        <f t="shared" si="22"/>
        <v>185.88953873111825</v>
      </c>
      <c r="R179" s="196">
        <f t="shared" si="23"/>
        <v>0.5618529798808225</v>
      </c>
      <c r="AC179" s="251"/>
    </row>
    <row r="180" spans="1:29" ht="15.6" x14ac:dyDescent="0.3">
      <c r="A180" s="194">
        <v>2057</v>
      </c>
      <c r="B180" s="229">
        <v>240.21662178106837</v>
      </c>
      <c r="C180" s="229">
        <v>21.231165577165918</v>
      </c>
      <c r="D180" s="229">
        <v>6.4912651654104412</v>
      </c>
      <c r="E180" s="229">
        <v>126.01298301236004</v>
      </c>
      <c r="F180" s="229">
        <v>32.517360181320903</v>
      </c>
      <c r="G180" s="229">
        <v>4.4996380074456805</v>
      </c>
      <c r="H180" s="229">
        <v>49.908092429582979</v>
      </c>
      <c r="I180" s="229">
        <v>62.149504308275283</v>
      </c>
      <c r="J180" s="229">
        <v>10.778690911139128</v>
      </c>
      <c r="K180" s="229">
        <v>13.669080458120121</v>
      </c>
      <c r="N180" s="195">
        <f t="shared" si="19"/>
        <v>108.62225076409797</v>
      </c>
      <c r="O180" s="195">
        <f t="shared" si="21"/>
        <v>49.908092429582979</v>
      </c>
      <c r="P180" s="195">
        <f t="shared" si="20"/>
        <v>32.222068750022039</v>
      </c>
      <c r="Q180" s="195">
        <f t="shared" si="22"/>
        <v>190.75241194370298</v>
      </c>
      <c r="R180" s="196">
        <f t="shared" si="23"/>
        <v>0.56944103436110571</v>
      </c>
      <c r="AC180" s="251"/>
    </row>
    <row r="181" spans="1:29" ht="15.6" x14ac:dyDescent="0.3">
      <c r="A181" s="194">
        <v>2058</v>
      </c>
      <c r="B181" s="229">
        <v>246.40393848749582</v>
      </c>
      <c r="C181" s="229">
        <v>21.168467531366922</v>
      </c>
      <c r="D181" s="229">
        <v>6.6219152503418606</v>
      </c>
      <c r="E181" s="229">
        <v>129.20560916790498</v>
      </c>
      <c r="F181" s="229">
        <v>34.070390635977475</v>
      </c>
      <c r="G181" s="229">
        <v>4.6018638489236672</v>
      </c>
      <c r="H181" s="229">
        <v>50.375619664989287</v>
      </c>
      <c r="I181" s="229">
        <v>64.428307026695322</v>
      </c>
      <c r="J181" s="229">
        <v>10.821090478081139</v>
      </c>
      <c r="K181" s="229">
        <v>13.848105618861837</v>
      </c>
      <c r="N181" s="195">
        <f t="shared" si="19"/>
        <v>112.90038013889317</v>
      </c>
      <c r="O181" s="195">
        <f t="shared" si="21"/>
        <v>50.375619664989287</v>
      </c>
      <c r="P181" s="195">
        <f t="shared" si="20"/>
        <v>32.392246630632449</v>
      </c>
      <c r="Q181" s="195">
        <f t="shared" si="22"/>
        <v>195.66824643451491</v>
      </c>
      <c r="R181" s="196">
        <f t="shared" si="23"/>
        <v>0.57699898780806014</v>
      </c>
      <c r="AC181" s="251"/>
    </row>
    <row r="182" spans="1:29" ht="15.6" x14ac:dyDescent="0.3">
      <c r="A182" s="194">
        <v>2059</v>
      </c>
      <c r="B182" s="229">
        <v>252.6679020707393</v>
      </c>
      <c r="C182" s="229">
        <v>21.075947142392739</v>
      </c>
      <c r="D182" s="229">
        <v>6.7537359338107841</v>
      </c>
      <c r="E182" s="229">
        <v>132.41979068985054</v>
      </c>
      <c r="F182" s="229">
        <v>35.681538693863025</v>
      </c>
      <c r="G182" s="229">
        <v>4.7046882689954366</v>
      </c>
      <c r="H182" s="229">
        <v>50.823664377188663</v>
      </c>
      <c r="I182" s="229">
        <v>66.747832615829111</v>
      </c>
      <c r="J182" s="229">
        <v>10.857285166316792</v>
      </c>
      <c r="K182" s="229">
        <v>14.028674028885586</v>
      </c>
      <c r="N182" s="195">
        <f t="shared" si="19"/>
        <v>117.2776650065249</v>
      </c>
      <c r="O182" s="195">
        <f t="shared" si="21"/>
        <v>50.823664377188663</v>
      </c>
      <c r="P182" s="195">
        <f t="shared" si="20"/>
        <v>32.534371345198963</v>
      </c>
      <c r="Q182" s="195">
        <f t="shared" si="22"/>
        <v>200.63570072891252</v>
      </c>
      <c r="R182" s="196">
        <f t="shared" si="23"/>
        <v>0.58453039304796395</v>
      </c>
      <c r="AC182" s="251"/>
    </row>
    <row r="183" spans="1:29" ht="15.6" x14ac:dyDescent="0.3">
      <c r="A183" s="194">
        <v>2060</v>
      </c>
      <c r="B183" s="229">
        <v>259.00814368320698</v>
      </c>
      <c r="C183" s="229">
        <v>20.952111158110711</v>
      </c>
      <c r="D183" s="229">
        <v>6.8867265376330149</v>
      </c>
      <c r="E183" s="229">
        <v>135.65453346065109</v>
      </c>
      <c r="F183" s="229">
        <v>37.351992171662388</v>
      </c>
      <c r="G183" s="229">
        <v>4.8080700241973195</v>
      </c>
      <c r="H183" s="229">
        <v>51.251734647931187</v>
      </c>
      <c r="I183" s="229">
        <v>69.107958081720767</v>
      </c>
      <c r="J183" s="229">
        <v>10.886979473739542</v>
      </c>
      <c r="K183" s="229">
        <v>14.210781886006021</v>
      </c>
      <c r="N183" s="195">
        <f t="shared" si="19"/>
        <v>121.75479098438228</v>
      </c>
      <c r="O183" s="195">
        <f t="shared" si="21"/>
        <v>51.251734647931187</v>
      </c>
      <c r="P183" s="195">
        <f t="shared" si="20"/>
        <v>32.646907719941048</v>
      </c>
      <c r="Q183" s="195">
        <f t="shared" si="22"/>
        <v>205.65343335225452</v>
      </c>
      <c r="R183" s="196">
        <f>N183/Q183</f>
        <v>0.59203869830772027</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6"/>
  </sheetPr>
  <dimension ref="A1:EG183"/>
  <sheetViews>
    <sheetView showGridLines="0" zoomScale="96" zoomScaleNormal="96" zoomScalePageLayoutView="80" workbookViewId="0">
      <selection activeCell="F159" sqref="F159"/>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45.5" style="153" bestFit="1"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ComLight_cluster_mdc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309</v>
      </c>
      <c r="E3" s="249">
        <v>0.75</v>
      </c>
      <c r="F3" s="167" t="s">
        <v>211</v>
      </c>
      <c r="G3" s="167" t="s">
        <v>213</v>
      </c>
      <c r="I3" s="618"/>
      <c r="J3" s="618"/>
      <c r="K3" s="618"/>
      <c r="L3" s="618"/>
      <c r="M3" s="166"/>
      <c r="N3" s="164">
        <f ca="1">SUM(OFFSET(O27,B3-2015,0,B4-B3+1,4))/1000</f>
        <v>0.92515695894670724</v>
      </c>
      <c r="O3" s="165" t="s">
        <v>209</v>
      </c>
      <c r="Q3" s="165"/>
      <c r="S3" s="671" t="s">
        <v>210</v>
      </c>
      <c r="T3" s="671"/>
      <c r="U3" s="671"/>
      <c r="V3" s="671"/>
      <c r="W3" s="671"/>
    </row>
    <row r="4" spans="1:137" ht="13.8" x14ac:dyDescent="0.25">
      <c r="A4" s="153" t="s">
        <v>215</v>
      </c>
      <c r="B4" s="234">
        <v>2050</v>
      </c>
      <c r="D4" s="248" t="s">
        <v>310</v>
      </c>
      <c r="E4" s="249">
        <v>0.1</v>
      </c>
      <c r="F4" s="167" t="s">
        <v>211</v>
      </c>
      <c r="G4" s="167" t="s">
        <v>213</v>
      </c>
      <c r="I4" s="168"/>
      <c r="J4" s="168"/>
      <c r="K4" s="168"/>
      <c r="L4" s="168"/>
      <c r="M4" s="168"/>
      <c r="N4" s="168"/>
      <c r="S4" s="671"/>
      <c r="T4" s="671"/>
      <c r="U4" s="671"/>
      <c r="V4" s="671"/>
      <c r="W4" s="671"/>
    </row>
    <row r="5" spans="1:137" ht="12.75" customHeight="1" x14ac:dyDescent="0.25">
      <c r="D5" s="248" t="s">
        <v>311</v>
      </c>
      <c r="E5" s="249">
        <v>0.02</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312</v>
      </c>
      <c r="E6" s="249">
        <v>0.1</v>
      </c>
      <c r="F6" s="167" t="s">
        <v>211</v>
      </c>
      <c r="G6" s="167" t="s">
        <v>213</v>
      </c>
      <c r="I6" s="618"/>
      <c r="J6" s="618"/>
      <c r="K6" s="618"/>
      <c r="L6" s="618"/>
      <c r="M6" s="163"/>
      <c r="N6" s="164">
        <f>SUM(O27:R72)/1000</f>
        <v>1.9044760412488706</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319</v>
      </c>
      <c r="P15" s="260" t="s">
        <v>268</v>
      </c>
    </row>
    <row r="16" spans="1:137" ht="13.8" x14ac:dyDescent="0.25">
      <c r="F16" s="153" t="s">
        <v>217</v>
      </c>
      <c r="O16" s="261">
        <v>19.857916817007897</v>
      </c>
      <c r="P16" s="261">
        <v>16997.562599850444</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307</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211</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IFERROR(IF($F$17="Y",$E$17,1-$Y85)*(SUMIF($G$3:$G$14,"Y",$E$3:$E$14))*(B85-B137),0)</f>
        <v>-8.4418522445020016E-5</v>
      </c>
      <c r="F26" s="183" t="str">
        <f>IFERROR(E26-E25,"")</f>
        <v/>
      </c>
      <c r="G26" s="247">
        <f t="shared" ref="G26:G72" si="1">IFERROR(E26/(B85-B137),"")</f>
        <v>0.97</v>
      </c>
      <c r="H26" s="245" t="s">
        <v>264</v>
      </c>
      <c r="J26" s="182"/>
      <c r="K26" s="182"/>
      <c r="L26" s="182"/>
      <c r="M26" s="182"/>
      <c r="N26" s="163"/>
      <c r="O26" s="259">
        <f>IF(O$24="Y",E26*$O$16*'Emissions Factors'!B12,"")</f>
        <v>-1.0349637410773267E-3</v>
      </c>
      <c r="P26" s="259" t="str">
        <f>IF(P$24="Y",E26*$E$5*'Emissions Factors'!$R$36*$P$16/10^6,"")</f>
        <v/>
      </c>
      <c r="Q26" s="259" t="str">
        <f>IF($Q$24="Y",IFERROR($E26*SUM($E$3,$E$4,$E$5)*('Emissions Factors'!$T$143*$P$16)/10^6,""),"")</f>
        <v/>
      </c>
      <c r="R26" s="245" t="s">
        <v>264</v>
      </c>
      <c r="T26" s="180" t="str">
        <f t="shared" ref="T26:T72" si="2">IF(AND(A26&gt;=$B$3,A26&lt;=$B$4),SUM(O26:R26),"")</f>
        <v/>
      </c>
      <c r="U26" s="180" t="str">
        <f t="shared" ref="U26:U72" si="3">IF(AND(A26&gt;=$B$3,A26&lt;=$B$4),SUM(J26:M26),"")</f>
        <v/>
      </c>
      <c r="V26" s="177"/>
      <c r="X26" s="180">
        <f t="shared" ref="X26:X72" si="4">SUM(O26:R26)</f>
        <v>-1.0349637410773267E-3</v>
      </c>
      <c r="Y26" s="180">
        <f t="shared" ref="Y26:Y72" si="5">SUM(J26:M26)</f>
        <v>0</v>
      </c>
    </row>
    <row r="27" spans="1:26" ht="15.6" x14ac:dyDescent="0.3">
      <c r="A27" s="152">
        <v>2015</v>
      </c>
      <c r="B27" s="178">
        <f t="shared" si="0"/>
        <v>0</v>
      </c>
      <c r="C27" s="182">
        <f>IFERROR(B27-B26,"")</f>
        <v>0</v>
      </c>
      <c r="D27" s="183"/>
      <c r="E27" s="179">
        <f t="shared" ref="E27:E72" si="6">IFERROR(IF($F$17="Y",$E$17,1-$Y86)*(SUMIF($G$3:$G$14,"Y",$E$3:$E$14))*(B86-B138),0)</f>
        <v>-8.7759731916392522E-5</v>
      </c>
      <c r="F27" s="183">
        <f>IFERROR(E27-E26,"")</f>
        <v>-3.3412094713725061E-6</v>
      </c>
      <c r="G27" s="247">
        <f t="shared" si="1"/>
        <v>0.97</v>
      </c>
      <c r="H27" s="246"/>
      <c r="J27" s="182"/>
      <c r="K27" s="182"/>
      <c r="L27" s="182"/>
      <c r="M27" s="182"/>
      <c r="N27" s="163"/>
      <c r="O27" s="259">
        <f>IF(O$24="Y",E27*$O$16*'Emissions Factors'!B12,"")</f>
        <v>-1.0759266785235115E-3</v>
      </c>
      <c r="P27" s="259" t="str">
        <f>IF(P$24="Y",E27*$E$5*'Emissions Factors'!$R$36*$P$16/10^6,"")</f>
        <v/>
      </c>
      <c r="Q27" s="259" t="str">
        <f>IF($Q$24="Y",IFERROR($E27*SUM($E$3,$E$4,$E$5)*('Emissions Factors'!$T$143*$P$16)/10^6,""),"")</f>
        <v/>
      </c>
      <c r="R27" s="258"/>
      <c r="T27" s="180" t="str">
        <f t="shared" si="2"/>
        <v/>
      </c>
      <c r="U27" s="180" t="str">
        <f t="shared" si="3"/>
        <v/>
      </c>
      <c r="V27" s="177"/>
      <c r="X27" s="180">
        <f t="shared" si="4"/>
        <v>-1.0759266785235115E-3</v>
      </c>
      <c r="Y27" s="180">
        <f t="shared" si="5"/>
        <v>0</v>
      </c>
    </row>
    <row r="28" spans="1:26" ht="15.6" x14ac:dyDescent="0.3">
      <c r="A28" s="152">
        <v>2016</v>
      </c>
      <c r="B28" s="178">
        <f t="shared" si="0"/>
        <v>0</v>
      </c>
      <c r="C28" s="182">
        <f t="shared" ref="C28:C72" si="7">IFERROR(B28-B27,"")</f>
        <v>0</v>
      </c>
      <c r="D28" s="183"/>
      <c r="E28" s="179">
        <f t="shared" si="6"/>
        <v>0</v>
      </c>
      <c r="F28" s="183">
        <f t="shared" ref="F28:F72" si="8">IFERROR(E28-E27,"")</f>
        <v>8.7759731916392522E-5</v>
      </c>
      <c r="G28" s="247">
        <f>IFERROR(E28/(B87-B139),"")</f>
        <v>0</v>
      </c>
      <c r="H28" s="246"/>
      <c r="J28" s="182"/>
      <c r="K28" s="182"/>
      <c r="L28" s="182"/>
      <c r="M28" s="182"/>
      <c r="N28" s="163"/>
      <c r="O28" s="259">
        <f>IF(O$24="Y",E28*$O$16*'Emissions Factors'!B13,"")</f>
        <v>0</v>
      </c>
      <c r="P28" s="259" t="str">
        <f>IF(P$24="Y",E28*$E$5*'Emissions Factors'!$R$36*$P$16/10^6,"")</f>
        <v/>
      </c>
      <c r="Q28" s="259" t="str">
        <f>IF($Q$24="Y",IFERROR($E28*SUM($E$3,$E$4,$E$5)*('Emissions Factors'!$T$143*$P$16)/10^6,""),"")</f>
        <v/>
      </c>
      <c r="R28" s="258"/>
      <c r="T28" s="180" t="str">
        <f t="shared" si="2"/>
        <v/>
      </c>
      <c r="U28" s="180" t="str">
        <f t="shared" si="3"/>
        <v/>
      </c>
      <c r="V28" s="177"/>
      <c r="X28" s="180">
        <f t="shared" si="4"/>
        <v>0</v>
      </c>
      <c r="Y28" s="180">
        <f t="shared" si="5"/>
        <v>0</v>
      </c>
    </row>
    <row r="29" spans="1:26" ht="15.6" x14ac:dyDescent="0.3">
      <c r="A29" s="152">
        <v>2017</v>
      </c>
      <c r="B29" s="178">
        <f>IFERROR(IF($F$17="Y",$E$17,$Y88)*(IF($F$3="Y",$E$3,0)+IF($F$4="Y",$E$4,0)+IF($F$5="Y",$E$5,0)+IF($F$6="Y",$E$6,0)+IF($F$7="Y",$E$7,0)+IF($F$8="Y",$E$8,0)+IF($F$9="Y",$E$9,0)+IF($F$10="Y",$E$10,0)+IF($F$11="Y",$E$11,0)+IF($F$12="Y",$E$12,0)+IF($F$13="Y",$E$13,0)+IF($F$14="Y",$E$14,0))*(B88-B140),0)</f>
        <v>0</v>
      </c>
      <c r="C29" s="182">
        <f>IFERROR(B29-B28,"")</f>
        <v>0</v>
      </c>
      <c r="D29" s="183"/>
      <c r="E29" s="179">
        <f t="shared" si="6"/>
        <v>0</v>
      </c>
      <c r="F29" s="183">
        <f>IFERROR(E29-E28,"")</f>
        <v>0</v>
      </c>
      <c r="G29" s="247">
        <f t="shared" si="1"/>
        <v>0</v>
      </c>
      <c r="H29" s="246"/>
      <c r="J29" s="182"/>
      <c r="K29" s="182"/>
      <c r="L29" s="182"/>
      <c r="M29" s="182"/>
      <c r="N29" s="163"/>
      <c r="O29" s="259">
        <f>IF(O$24="Y",E29*$O$16*'Emissions Factors'!B14,"")</f>
        <v>0</v>
      </c>
      <c r="P29" s="259" t="str">
        <f>IF(P$24="Y",E29*$E$5*'Emissions Factors'!$R$36*$P$16/10^6,"")</f>
        <v/>
      </c>
      <c r="Q29" s="259" t="str">
        <f>IF($Q$24="Y",IFERROR($E29*SUM($E$3,$E$4,$E$5)*('Emissions Factors'!$T$143*$P$16)/10^6,""),"")</f>
        <v/>
      </c>
      <c r="R29" s="258"/>
      <c r="T29" s="180" t="str">
        <f t="shared" si="2"/>
        <v/>
      </c>
      <c r="U29" s="180" t="str">
        <f t="shared" si="3"/>
        <v/>
      </c>
      <c r="V29" s="177"/>
      <c r="X29" s="180">
        <f t="shared" si="4"/>
        <v>0</v>
      </c>
      <c r="Y29" s="180">
        <f t="shared" si="5"/>
        <v>0</v>
      </c>
    </row>
    <row r="30" spans="1:26" ht="15.6" x14ac:dyDescent="0.3">
      <c r="A30" s="152">
        <v>2018</v>
      </c>
      <c r="B30" s="178">
        <f t="shared" si="0"/>
        <v>0</v>
      </c>
      <c r="C30" s="182">
        <f t="shared" si="7"/>
        <v>0</v>
      </c>
      <c r="D30" s="183"/>
      <c r="E30" s="179">
        <f t="shared" si="6"/>
        <v>0</v>
      </c>
      <c r="F30" s="183">
        <f t="shared" si="8"/>
        <v>0</v>
      </c>
      <c r="G30" s="247">
        <f t="shared" si="1"/>
        <v>0</v>
      </c>
      <c r="H30" s="246"/>
      <c r="J30" s="182"/>
      <c r="K30" s="182"/>
      <c r="L30" s="182"/>
      <c r="M30" s="182"/>
      <c r="N30" s="163"/>
      <c r="O30" s="259">
        <f>IF(O$24="Y",E30*$O$16*'Emissions Factors'!B15,"")</f>
        <v>0</v>
      </c>
      <c r="P30" s="259" t="str">
        <f>IF(P$24="Y",E30*$E$5*'Emissions Factors'!$R$36*$P$16/10^6,"")</f>
        <v/>
      </c>
      <c r="Q30" s="259" t="str">
        <f>IF($Q$24="Y",IFERROR($E30*SUM($E$3,$E$4,$E$5)*('Emissions Factors'!$T$143*$P$16)/10^6,""),"")</f>
        <v/>
      </c>
      <c r="R30" s="258"/>
      <c r="T30" s="180" t="str">
        <f t="shared" si="2"/>
        <v/>
      </c>
      <c r="U30" s="180" t="str">
        <f t="shared" si="3"/>
        <v/>
      </c>
      <c r="V30" s="177"/>
      <c r="X30" s="180">
        <f t="shared" si="4"/>
        <v>0</v>
      </c>
      <c r="Y30" s="180">
        <f t="shared" si="5"/>
        <v>0</v>
      </c>
    </row>
    <row r="31" spans="1:26" ht="15.6" x14ac:dyDescent="0.3">
      <c r="A31" s="152">
        <v>2019</v>
      </c>
      <c r="B31" s="178">
        <f t="shared" si="0"/>
        <v>0</v>
      </c>
      <c r="C31" s="182">
        <f t="shared" si="7"/>
        <v>0</v>
      </c>
      <c r="D31" s="183"/>
      <c r="E31" s="179">
        <f t="shared" si="6"/>
        <v>0</v>
      </c>
      <c r="F31" s="183">
        <f t="shared" si="8"/>
        <v>0</v>
      </c>
      <c r="G31" s="247">
        <f t="shared" si="1"/>
        <v>0</v>
      </c>
      <c r="H31" s="246"/>
      <c r="J31" s="182"/>
      <c r="K31" s="182"/>
      <c r="L31" s="182"/>
      <c r="M31" s="182"/>
      <c r="N31" s="163"/>
      <c r="O31" s="259">
        <f>IF(O$24="Y",E31*$O$16*'Emissions Factors'!B16,"")</f>
        <v>0</v>
      </c>
      <c r="P31" s="259" t="str">
        <f>IF(P$24="Y",E31*$E$5*'Emissions Factors'!$R$36*$P$16/10^6,"")</f>
        <v/>
      </c>
      <c r="Q31" s="259" t="str">
        <f>IF($Q$24="Y",IFERROR($E31*SUM($E$3,$E$4,$E$5)*('Emissions Factors'!$T$143*$P$16)/10^6,""),"")</f>
        <v/>
      </c>
      <c r="R31" s="258"/>
      <c r="T31" s="180" t="str">
        <f t="shared" si="2"/>
        <v/>
      </c>
      <c r="U31" s="180" t="str">
        <f t="shared" si="3"/>
        <v/>
      </c>
      <c r="V31" s="177"/>
      <c r="X31" s="180">
        <f t="shared" si="4"/>
        <v>0</v>
      </c>
      <c r="Y31" s="180">
        <f t="shared" si="5"/>
        <v>0</v>
      </c>
    </row>
    <row r="32" spans="1:26" ht="15.6" x14ac:dyDescent="0.3">
      <c r="A32" s="152">
        <v>2020</v>
      </c>
      <c r="B32" s="178">
        <f t="shared" si="0"/>
        <v>0</v>
      </c>
      <c r="C32" s="182">
        <f t="shared" si="7"/>
        <v>0</v>
      </c>
      <c r="D32" s="183"/>
      <c r="E32" s="179">
        <f t="shared" si="6"/>
        <v>0</v>
      </c>
      <c r="F32" s="183">
        <f t="shared" si="8"/>
        <v>0</v>
      </c>
      <c r="G32" s="247">
        <f t="shared" si="1"/>
        <v>0</v>
      </c>
      <c r="H32" s="246"/>
      <c r="J32" s="182"/>
      <c r="K32" s="182"/>
      <c r="L32" s="182"/>
      <c r="M32" s="182"/>
      <c r="N32" s="163"/>
      <c r="O32" s="259">
        <f>IF(O$24="Y",E32*$O$16*'Emissions Factors'!B17,"")</f>
        <v>0</v>
      </c>
      <c r="P32" s="259" t="str">
        <f>IF(P$24="Y",E32*$E$5*'Emissions Factors'!$R$36*$P$16/10^6,"")</f>
        <v/>
      </c>
      <c r="Q32" s="259" t="str">
        <f>IF($Q$24="Y",IFERROR($E32*SUM($E$3,$E$4,$E$5)*('Emissions Factors'!$T$143*$P$16)/10^6,""),"")</f>
        <v/>
      </c>
      <c r="R32" s="258"/>
      <c r="T32" s="180">
        <f t="shared" si="2"/>
        <v>0</v>
      </c>
      <c r="U32" s="180">
        <f t="shared" si="3"/>
        <v>0</v>
      </c>
      <c r="V32" s="177"/>
      <c r="X32" s="180">
        <f t="shared" si="4"/>
        <v>0</v>
      </c>
      <c r="Y32" s="180">
        <f t="shared" si="5"/>
        <v>0</v>
      </c>
    </row>
    <row r="33" spans="1:25" ht="15.6" x14ac:dyDescent="0.3">
      <c r="A33" s="152">
        <v>2021</v>
      </c>
      <c r="B33" s="178">
        <f t="shared" si="0"/>
        <v>0</v>
      </c>
      <c r="C33" s="182">
        <f t="shared" si="7"/>
        <v>0</v>
      </c>
      <c r="D33" s="183"/>
      <c r="E33" s="179">
        <f t="shared" si="6"/>
        <v>6.0340582631293049E-2</v>
      </c>
      <c r="F33" s="183">
        <f t="shared" si="8"/>
        <v>6.0340582631293049E-2</v>
      </c>
      <c r="G33" s="247">
        <f t="shared" si="1"/>
        <v>0.66613563757709471</v>
      </c>
      <c r="H33" s="246"/>
      <c r="J33" s="182"/>
      <c r="K33" s="182"/>
      <c r="L33" s="182"/>
      <c r="M33" s="182"/>
      <c r="N33" s="163"/>
      <c r="O33" s="259">
        <f>IF(O$24="Y",E33*$O$16*'Emissions Factors'!B18,"")</f>
        <v>0.70623469947856699</v>
      </c>
      <c r="P33" s="259" t="str">
        <f>IF(P$24="Y",E33*$E$5*'Emissions Factors'!$R$36*$P$16/10^6,"")</f>
        <v/>
      </c>
      <c r="Q33" s="259" t="str">
        <f>IF($Q$24="Y",IFERROR($E33*SUM($E$3,$E$4,$E$5)*('Emissions Factors'!$T$143*$P$16)/10^6,""),"")</f>
        <v/>
      </c>
      <c r="R33" s="258"/>
      <c r="T33" s="180">
        <f t="shared" si="2"/>
        <v>0.70623469947856699</v>
      </c>
      <c r="U33" s="180">
        <f t="shared" si="3"/>
        <v>0</v>
      </c>
      <c r="V33" s="177"/>
      <c r="X33" s="180">
        <f t="shared" si="4"/>
        <v>0.70623469947856699</v>
      </c>
      <c r="Y33" s="180">
        <f t="shared" si="5"/>
        <v>0</v>
      </c>
    </row>
    <row r="34" spans="1:25" ht="15.6" x14ac:dyDescent="0.3">
      <c r="A34" s="152">
        <v>2022</v>
      </c>
      <c r="B34" s="178">
        <f t="shared" si="0"/>
        <v>0</v>
      </c>
      <c r="C34" s="182">
        <f t="shared" si="7"/>
        <v>0</v>
      </c>
      <c r="D34" s="183"/>
      <c r="E34" s="179">
        <f t="shared" si="6"/>
        <v>0.13614077641119479</v>
      </c>
      <c r="F34" s="183">
        <f t="shared" si="8"/>
        <v>7.5800193779901742E-2</v>
      </c>
      <c r="G34" s="247">
        <f t="shared" si="1"/>
        <v>0.64330748184267816</v>
      </c>
      <c r="H34" s="246"/>
      <c r="J34" s="182"/>
      <c r="K34" s="182"/>
      <c r="L34" s="182"/>
      <c r="M34" s="182"/>
      <c r="N34" s="163"/>
      <c r="O34" s="259">
        <f>IF(O$24="Y",E34*$O$16*'Emissions Factors'!B19,"")</f>
        <v>1.583937175061187</v>
      </c>
      <c r="P34" s="259" t="str">
        <f>IF(P$24="Y",E34*$E$5*'Emissions Factors'!$R$36*$P$16/10^6,"")</f>
        <v/>
      </c>
      <c r="Q34" s="259" t="str">
        <f>IF($Q$24="Y",IFERROR($E34*SUM($E$3,$E$4,$E$5)*('Emissions Factors'!$T$143*$P$16)/10^6,""),"")</f>
        <v/>
      </c>
      <c r="R34" s="258"/>
      <c r="T34" s="180">
        <f t="shared" si="2"/>
        <v>1.583937175061187</v>
      </c>
      <c r="U34" s="180">
        <f t="shared" si="3"/>
        <v>0</v>
      </c>
      <c r="V34" s="177"/>
      <c r="X34" s="180">
        <f t="shared" si="4"/>
        <v>1.583937175061187</v>
      </c>
      <c r="Y34" s="180">
        <f t="shared" si="5"/>
        <v>0</v>
      </c>
    </row>
    <row r="35" spans="1:25" ht="15.6" x14ac:dyDescent="0.3">
      <c r="A35" s="152">
        <v>2023</v>
      </c>
      <c r="B35" s="178">
        <f t="shared" si="0"/>
        <v>0</v>
      </c>
      <c r="C35" s="182">
        <f t="shared" si="7"/>
        <v>0</v>
      </c>
      <c r="D35" s="183"/>
      <c r="E35" s="179">
        <f t="shared" si="6"/>
        <v>0.22669447216821342</v>
      </c>
      <c r="F35" s="183">
        <f t="shared" si="8"/>
        <v>9.0553695757018632E-2</v>
      </c>
      <c r="G35" s="247">
        <f t="shared" si="1"/>
        <v>0.62558667560344727</v>
      </c>
      <c r="H35" s="246"/>
      <c r="J35" s="182"/>
      <c r="K35" s="182"/>
      <c r="L35" s="182"/>
      <c r="M35" s="182"/>
      <c r="N35" s="163"/>
      <c r="O35" s="259">
        <f>IF(O$24="Y",E35*$O$16*'Emissions Factors'!B20,"")</f>
        <v>2.6220933819624141</v>
      </c>
      <c r="P35" s="259" t="str">
        <f>IF(P$24="Y",E35*$E$5*'Emissions Factors'!$R$36*$P$16/10^6,"")</f>
        <v/>
      </c>
      <c r="Q35" s="259" t="str">
        <f>IF($Q$24="Y",IFERROR($E35*SUM($E$3,$E$4,$E$5)*('Emissions Factors'!$T$143*$P$16)/10^6,""),"")</f>
        <v/>
      </c>
      <c r="R35" s="258"/>
      <c r="T35" s="180">
        <f t="shared" si="2"/>
        <v>2.6220933819624141</v>
      </c>
      <c r="U35" s="180">
        <f t="shared" si="3"/>
        <v>0</v>
      </c>
      <c r="V35" s="177"/>
      <c r="X35" s="180">
        <f t="shared" si="4"/>
        <v>2.6220933819624141</v>
      </c>
      <c r="Y35" s="180">
        <f t="shared" si="5"/>
        <v>0</v>
      </c>
    </row>
    <row r="36" spans="1:25" ht="15.6" x14ac:dyDescent="0.3">
      <c r="A36" s="152">
        <v>2024</v>
      </c>
      <c r="B36" s="178">
        <f t="shared" si="0"/>
        <v>0</v>
      </c>
      <c r="C36" s="182">
        <f t="shared" si="7"/>
        <v>0</v>
      </c>
      <c r="D36" s="183"/>
      <c r="E36" s="179">
        <f t="shared" si="6"/>
        <v>0.33192384035604949</v>
      </c>
      <c r="F36" s="183">
        <f t="shared" si="8"/>
        <v>0.10522936818783607</v>
      </c>
      <c r="G36" s="247">
        <f t="shared" si="1"/>
        <v>0.61070357521451091</v>
      </c>
      <c r="H36" s="246"/>
      <c r="J36" s="182"/>
      <c r="K36" s="182"/>
      <c r="L36" s="182"/>
      <c r="M36" s="182"/>
      <c r="N36" s="163"/>
      <c r="O36" s="259">
        <f>IF(O$24="Y",E36*$O$16*'Emissions Factors'!B21,"")</f>
        <v>3.8172058270082871</v>
      </c>
      <c r="P36" s="259" t="str">
        <f>IF(P$24="Y",E36*$E$5*'Emissions Factors'!$R$36*$P$16/10^6,"")</f>
        <v/>
      </c>
      <c r="Q36" s="259" t="str">
        <f>IF($Q$24="Y",IFERROR($E36*SUM($E$3,$E$4,$E$5)*('Emissions Factors'!$T$143*$P$16)/10^6,""),"")</f>
        <v/>
      </c>
      <c r="R36" s="258"/>
      <c r="T36" s="180">
        <f t="shared" si="2"/>
        <v>3.8172058270082871</v>
      </c>
      <c r="U36" s="180">
        <f t="shared" si="3"/>
        <v>0</v>
      </c>
      <c r="V36" s="177"/>
      <c r="X36" s="180">
        <f t="shared" si="4"/>
        <v>3.8172058270082871</v>
      </c>
      <c r="Y36" s="180">
        <f t="shared" si="5"/>
        <v>0</v>
      </c>
    </row>
    <row r="37" spans="1:25" ht="15.6" x14ac:dyDescent="0.3">
      <c r="A37" s="152">
        <v>2025</v>
      </c>
      <c r="B37" s="178">
        <f t="shared" si="0"/>
        <v>0</v>
      </c>
      <c r="C37" s="182">
        <f t="shared" si="7"/>
        <v>0</v>
      </c>
      <c r="D37" s="183"/>
      <c r="E37" s="179">
        <f t="shared" si="6"/>
        <v>0.45185014487728231</v>
      </c>
      <c r="F37" s="183">
        <f t="shared" si="8"/>
        <v>0.11992630452123282</v>
      </c>
      <c r="G37" s="247">
        <f t="shared" si="1"/>
        <v>0.59766772161217718</v>
      </c>
      <c r="H37" s="246"/>
      <c r="J37" s="182"/>
      <c r="K37" s="182"/>
      <c r="L37" s="182"/>
      <c r="M37" s="182"/>
      <c r="N37" s="163"/>
      <c r="O37" s="259">
        <f>IF(O$24="Y",E37*$O$16*'Emissions Factors'!B22,"")</f>
        <v>5.169955891183152</v>
      </c>
      <c r="P37" s="259" t="str">
        <f>IF(P$24="Y",E37*$E$5*'Emissions Factors'!$R$36*$P$16/10^6,"")</f>
        <v/>
      </c>
      <c r="Q37" s="259" t="str">
        <f>IF($Q$24="Y",IFERROR($E37*SUM($E$3,$E$4,$E$5)*('Emissions Factors'!$T$143*$P$16)/10^6,""),"")</f>
        <v/>
      </c>
      <c r="R37" s="258"/>
      <c r="T37" s="180">
        <f t="shared" si="2"/>
        <v>5.169955891183152</v>
      </c>
      <c r="U37" s="180">
        <f t="shared" si="3"/>
        <v>0</v>
      </c>
      <c r="V37" s="177"/>
      <c r="X37" s="180">
        <f t="shared" si="4"/>
        <v>5.169955891183152</v>
      </c>
      <c r="Y37" s="180">
        <f t="shared" si="5"/>
        <v>0</v>
      </c>
    </row>
    <row r="38" spans="1:25" ht="15.6" x14ac:dyDescent="0.3">
      <c r="A38" s="152">
        <v>2026</v>
      </c>
      <c r="B38" s="178">
        <f t="shared" si="0"/>
        <v>0</v>
      </c>
      <c r="C38" s="182">
        <f t="shared" si="7"/>
        <v>0</v>
      </c>
      <c r="D38" s="183"/>
      <c r="E38" s="179">
        <f t="shared" si="6"/>
        <v>0.58638452290806797</v>
      </c>
      <c r="F38" s="183">
        <f t="shared" si="8"/>
        <v>0.13453437803078566</v>
      </c>
      <c r="G38" s="247">
        <f t="shared" si="1"/>
        <v>0.58597112706529508</v>
      </c>
      <c r="H38" s="246"/>
      <c r="J38" s="182"/>
      <c r="K38" s="182"/>
      <c r="L38" s="182"/>
      <c r="M38" s="182"/>
      <c r="N38" s="163"/>
      <c r="O38" s="259">
        <f>IF(O$24="Y",E38*$O$16*'Emissions Factors'!B23,"")</f>
        <v>6.668040454326075</v>
      </c>
      <c r="P38" s="259" t="str">
        <f>IF(P$24="Y",E38*$E$5*'Emissions Factors'!$R$36*$P$16/10^6,"")</f>
        <v/>
      </c>
      <c r="Q38" s="259" t="str">
        <f>IF($Q$24="Y",IFERROR($E38*SUM($E$3,$E$4,$E$5)*('Emissions Factors'!$T$143*$P$16)/10^6,""),"")</f>
        <v/>
      </c>
      <c r="R38" s="258"/>
      <c r="T38" s="180">
        <f t="shared" si="2"/>
        <v>6.668040454326075</v>
      </c>
      <c r="U38" s="180">
        <f t="shared" si="3"/>
        <v>0</v>
      </c>
      <c r="V38" s="177"/>
      <c r="X38" s="180">
        <f t="shared" si="4"/>
        <v>6.668040454326075</v>
      </c>
      <c r="Y38" s="180">
        <f t="shared" si="5"/>
        <v>0</v>
      </c>
    </row>
    <row r="39" spans="1:25" ht="15.6" x14ac:dyDescent="0.3">
      <c r="A39" s="152">
        <v>2027</v>
      </c>
      <c r="B39" s="178">
        <f t="shared" si="0"/>
        <v>0</v>
      </c>
      <c r="C39" s="182">
        <f t="shared" si="7"/>
        <v>0</v>
      </c>
      <c r="D39" s="183"/>
      <c r="E39" s="179">
        <f t="shared" si="6"/>
        <v>0.73539250477970808</v>
      </c>
      <c r="F39" s="183">
        <f t="shared" si="8"/>
        <v>0.1490079818716401</v>
      </c>
      <c r="G39" s="247">
        <f t="shared" si="1"/>
        <v>0.57527686311102122</v>
      </c>
      <c r="H39" s="246"/>
      <c r="J39" s="182"/>
      <c r="K39" s="182"/>
      <c r="L39" s="182"/>
      <c r="M39" s="182"/>
      <c r="N39" s="163"/>
      <c r="O39" s="259">
        <f>IF(O$24="Y",E39*$O$16*'Emissions Factors'!B24,"")</f>
        <v>8.3163912295575173</v>
      </c>
      <c r="P39" s="259" t="str">
        <f>IF(P$24="Y",E39*$E$5*'Emissions Factors'!$R$36*$P$16/10^6,"")</f>
        <v/>
      </c>
      <c r="Q39" s="259" t="str">
        <f>IF($Q$24="Y",IFERROR($E39*SUM($E$3,$E$4,$E$5)*('Emissions Factors'!$T$143*$P$16)/10^6,""),"")</f>
        <v/>
      </c>
      <c r="R39" s="258"/>
      <c r="T39" s="180">
        <f t="shared" si="2"/>
        <v>8.3163912295575173</v>
      </c>
      <c r="U39" s="180">
        <f t="shared" si="3"/>
        <v>0</v>
      </c>
      <c r="V39" s="177"/>
      <c r="X39" s="180">
        <f t="shared" si="4"/>
        <v>8.3163912295575173</v>
      </c>
      <c r="Y39" s="180">
        <f t="shared" si="5"/>
        <v>0</v>
      </c>
    </row>
    <row r="40" spans="1:25" ht="15.6" x14ac:dyDescent="0.3">
      <c r="A40" s="152">
        <v>2028</v>
      </c>
      <c r="B40" s="178">
        <f t="shared" si="0"/>
        <v>0</v>
      </c>
      <c r="C40" s="182">
        <f t="shared" si="7"/>
        <v>0</v>
      </c>
      <c r="D40" s="183"/>
      <c r="E40" s="179">
        <f t="shared" si="6"/>
        <v>0.89912048905336928</v>
      </c>
      <c r="F40" s="183">
        <f t="shared" si="8"/>
        <v>0.1637279842736612</v>
      </c>
      <c r="G40" s="247">
        <f t="shared" si="1"/>
        <v>0.56528711056453762</v>
      </c>
      <c r="H40" s="246"/>
      <c r="J40" s="182"/>
      <c r="K40" s="182"/>
      <c r="L40" s="182"/>
      <c r="M40" s="182"/>
      <c r="N40" s="163"/>
      <c r="O40" s="259">
        <f>IF(O$24="Y",E40*$O$16*'Emissions Factors'!B25,"")</f>
        <v>10.112500617641615</v>
      </c>
      <c r="P40" s="259" t="str">
        <f>IF(P$24="Y",E40*$E$5*'Emissions Factors'!$R$36*$P$16/10^6,"")</f>
        <v/>
      </c>
      <c r="Q40" s="259" t="str">
        <f>IF($Q$24="Y",IFERROR($E40*SUM($E$3,$E$4,$E$5)*('Emissions Factors'!$T$143*$P$16)/10^6,""),"")</f>
        <v/>
      </c>
      <c r="R40" s="258"/>
      <c r="T40" s="180">
        <f t="shared" si="2"/>
        <v>10.112500617641615</v>
      </c>
      <c r="U40" s="180">
        <f t="shared" si="3"/>
        <v>0</v>
      </c>
      <c r="V40" s="177"/>
      <c r="X40" s="180">
        <f t="shared" si="4"/>
        <v>10.112500617641615</v>
      </c>
      <c r="Y40" s="180">
        <f t="shared" si="5"/>
        <v>0</v>
      </c>
    </row>
    <row r="41" spans="1:25" ht="15.6" x14ac:dyDescent="0.3">
      <c r="A41" s="152">
        <v>2029</v>
      </c>
      <c r="B41" s="178">
        <f t="shared" si="0"/>
        <v>0</v>
      </c>
      <c r="C41" s="182">
        <f t="shared" si="7"/>
        <v>0</v>
      </c>
      <c r="D41" s="183"/>
      <c r="E41" s="179">
        <f t="shared" si="6"/>
        <v>1.0779010195167149</v>
      </c>
      <c r="F41" s="183">
        <f t="shared" si="8"/>
        <v>0.17878053046334563</v>
      </c>
      <c r="G41" s="247">
        <f t="shared" si="1"/>
        <v>0.55579588674285463</v>
      </c>
      <c r="H41" s="246"/>
      <c r="J41" s="182"/>
      <c r="K41" s="182"/>
      <c r="L41" s="182"/>
      <c r="M41" s="182"/>
      <c r="N41" s="163"/>
      <c r="O41" s="259">
        <f>IF(O$24="Y",E41*$O$16*'Emissions Factors'!B26,"")</f>
        <v>12.057730219648423</v>
      </c>
      <c r="P41" s="259" t="str">
        <f>IF(P$24="Y",E41*$E$5*'Emissions Factors'!$R$36*$P$16/10^6,"")</f>
        <v/>
      </c>
      <c r="Q41" s="259" t="str">
        <f>IF($Q$24="Y",IFERROR($E41*SUM($E$3,$E$4,$E$5)*('Emissions Factors'!$T$143*$P$16)/10^6,""),"")</f>
        <v/>
      </c>
      <c r="R41" s="258"/>
      <c r="T41" s="180">
        <f t="shared" si="2"/>
        <v>12.057730219648423</v>
      </c>
      <c r="U41" s="180">
        <f t="shared" si="3"/>
        <v>0</v>
      </c>
      <c r="V41" s="177"/>
      <c r="X41" s="180">
        <f t="shared" si="4"/>
        <v>12.057730219648423</v>
      </c>
      <c r="Y41" s="180">
        <f t="shared" si="5"/>
        <v>0</v>
      </c>
    </row>
    <row r="42" spans="1:25" ht="15.6" x14ac:dyDescent="0.3">
      <c r="A42" s="152">
        <v>2030</v>
      </c>
      <c r="B42" s="178">
        <f t="shared" si="0"/>
        <v>0</v>
      </c>
      <c r="C42" s="182">
        <f t="shared" si="7"/>
        <v>0</v>
      </c>
      <c r="D42" s="183"/>
      <c r="E42" s="179">
        <f t="shared" si="6"/>
        <v>1.2720818306925399</v>
      </c>
      <c r="F42" s="183">
        <f t="shared" si="8"/>
        <v>0.19418081117582497</v>
      </c>
      <c r="G42" s="247">
        <f t="shared" si="1"/>
        <v>0.54668227725016016</v>
      </c>
      <c r="H42" s="246"/>
      <c r="J42" s="182"/>
      <c r="K42" s="182"/>
      <c r="L42" s="182"/>
      <c r="M42" s="182"/>
      <c r="N42" s="163"/>
      <c r="O42" s="259">
        <f>IF(O$24="Y",E42*$O$16*'Emissions Factors'!B27,"")</f>
        <v>14.156839616973652</v>
      </c>
      <c r="P42" s="259" t="str">
        <f>IF(P$24="Y",E42*$E$5*'Emissions Factors'!$R$36*$P$16/10^6,"")</f>
        <v/>
      </c>
      <c r="Q42" s="259" t="str">
        <f>IF($Q$24="Y",IFERROR($E42*SUM($E$3,$E$4,$E$5)*('Emissions Factors'!$T$143*$P$16)/10^6,""),"")</f>
        <v/>
      </c>
      <c r="R42" s="258"/>
      <c r="T42" s="180">
        <f t="shared" si="2"/>
        <v>14.156839616973652</v>
      </c>
      <c r="U42" s="180">
        <f t="shared" si="3"/>
        <v>0</v>
      </c>
      <c r="V42" s="177"/>
      <c r="X42" s="180">
        <f t="shared" si="4"/>
        <v>14.156839616973652</v>
      </c>
      <c r="Y42" s="180">
        <f t="shared" si="5"/>
        <v>0</v>
      </c>
    </row>
    <row r="43" spans="1:25" ht="15.6" x14ac:dyDescent="0.3">
      <c r="A43" s="152">
        <v>2031</v>
      </c>
      <c r="B43" s="178">
        <f t="shared" si="0"/>
        <v>0</v>
      </c>
      <c r="C43" s="182">
        <f t="shared" si="7"/>
        <v>0</v>
      </c>
      <c r="D43" s="183"/>
      <c r="E43" s="179">
        <f t="shared" si="6"/>
        <v>1.4818470174498359</v>
      </c>
      <c r="F43" s="183">
        <f t="shared" si="8"/>
        <v>0.20976518675729605</v>
      </c>
      <c r="G43" s="247">
        <f t="shared" si="1"/>
        <v>0.53791550296763158</v>
      </c>
      <c r="H43" s="246"/>
      <c r="J43" s="182"/>
      <c r="K43" s="182"/>
      <c r="L43" s="182"/>
      <c r="M43" s="182"/>
      <c r="N43" s="163"/>
      <c r="O43" s="259">
        <f>IF(O$24="Y",E43*$O$16*'Emissions Factors'!B28,"")</f>
        <v>16.39948990885517</v>
      </c>
      <c r="P43" s="259" t="str">
        <f>IF(P$24="Y",E43*$E$5*'Emissions Factors'!$R$36*$P$16/10^6,"")</f>
        <v/>
      </c>
      <c r="Q43" s="259" t="str">
        <f>IF($Q$24="Y",IFERROR($E43*SUM($E$3,$E$4,$E$5)*('Emissions Factors'!$T$143*$P$16)/10^6,""),"")</f>
        <v/>
      </c>
      <c r="R43" s="258"/>
      <c r="T43" s="180">
        <f t="shared" si="2"/>
        <v>16.39948990885517</v>
      </c>
      <c r="U43" s="180">
        <f t="shared" si="3"/>
        <v>0</v>
      </c>
      <c r="V43" s="177"/>
      <c r="X43" s="180">
        <f t="shared" si="4"/>
        <v>16.39948990885517</v>
      </c>
      <c r="Y43" s="180">
        <f t="shared" si="5"/>
        <v>0</v>
      </c>
    </row>
    <row r="44" spans="1:25" ht="15.6" x14ac:dyDescent="0.3">
      <c r="A44" s="152">
        <v>2032</v>
      </c>
      <c r="B44" s="178">
        <f t="shared" si="0"/>
        <v>0</v>
      </c>
      <c r="C44" s="182">
        <f t="shared" si="7"/>
        <v>0</v>
      </c>
      <c r="D44" s="183"/>
      <c r="E44" s="179">
        <f t="shared" si="6"/>
        <v>1.7065404235899027</v>
      </c>
      <c r="F44" s="183">
        <f t="shared" si="8"/>
        <v>0.22469340614006672</v>
      </c>
      <c r="G44" s="247">
        <f t="shared" si="1"/>
        <v>0.52950031459419544</v>
      </c>
      <c r="H44" s="246"/>
      <c r="J44" s="182"/>
      <c r="K44" s="182"/>
      <c r="L44" s="182"/>
      <c r="M44" s="182"/>
      <c r="N44" s="163"/>
      <c r="O44" s="259">
        <f>IF(O$24="Y",E44*$O$16*'Emissions Factors'!B29,"")</f>
        <v>18.785842978067706</v>
      </c>
      <c r="P44" s="259" t="str">
        <f>IF(P$24="Y",E44*$E$5*'Emissions Factors'!$R$36*$P$16/10^6,"")</f>
        <v/>
      </c>
      <c r="Q44" s="259" t="str">
        <f>IF($Q$24="Y",IFERROR($E44*SUM($E$3,$E$4,$E$5)*('Emissions Factors'!$T$143*$P$16)/10^6,""),"")</f>
        <v/>
      </c>
      <c r="R44" s="258"/>
      <c r="T44" s="180">
        <f t="shared" si="2"/>
        <v>18.785842978067706</v>
      </c>
      <c r="U44" s="180">
        <f t="shared" si="3"/>
        <v>0</v>
      </c>
      <c r="V44" s="177"/>
      <c r="X44" s="180">
        <f t="shared" si="4"/>
        <v>18.785842978067706</v>
      </c>
      <c r="Y44" s="180">
        <f t="shared" si="5"/>
        <v>0</v>
      </c>
    </row>
    <row r="45" spans="1:25" ht="15.6" x14ac:dyDescent="0.3">
      <c r="A45" s="152">
        <v>2033</v>
      </c>
      <c r="B45" s="178">
        <f t="shared" si="0"/>
        <v>0</v>
      </c>
      <c r="C45" s="182">
        <f t="shared" si="7"/>
        <v>0</v>
      </c>
      <c r="D45" s="183"/>
      <c r="E45" s="179">
        <f t="shared" si="6"/>
        <v>1.944037489190928</v>
      </c>
      <c r="F45" s="183">
        <f t="shared" si="8"/>
        <v>0.23749706560102535</v>
      </c>
      <c r="G45" s="247">
        <f t="shared" si="1"/>
        <v>0.52144965305651947</v>
      </c>
      <c r="H45" s="246"/>
      <c r="J45" s="182"/>
      <c r="K45" s="182"/>
      <c r="L45" s="182"/>
      <c r="M45" s="182"/>
      <c r="N45" s="163"/>
      <c r="O45" s="259">
        <f>IF(O$24="Y",E45*$O$16*'Emissions Factors'!B30,"")</f>
        <v>21.286910749449522</v>
      </c>
      <c r="P45" s="259" t="str">
        <f>IF(P$24="Y",E45*$E$5*'Emissions Factors'!$R$36*$P$16/10^6,"")</f>
        <v/>
      </c>
      <c r="Q45" s="259" t="str">
        <f>IF($Q$24="Y",IFERROR($E45*SUM($E$3,$E$4,$E$5)*('Emissions Factors'!$T$143*$P$16)/10^6,""),"")</f>
        <v/>
      </c>
      <c r="R45" s="258"/>
      <c r="T45" s="180">
        <f t="shared" si="2"/>
        <v>21.286910749449522</v>
      </c>
      <c r="U45" s="180">
        <f t="shared" si="3"/>
        <v>0</v>
      </c>
      <c r="V45" s="177"/>
      <c r="X45" s="180">
        <f t="shared" si="4"/>
        <v>21.286910749449522</v>
      </c>
      <c r="Y45" s="180">
        <f t="shared" si="5"/>
        <v>0</v>
      </c>
    </row>
    <row r="46" spans="1:25" ht="15.6" x14ac:dyDescent="0.3">
      <c r="A46" s="152">
        <v>2034</v>
      </c>
      <c r="B46" s="178">
        <f t="shared" si="0"/>
        <v>0</v>
      </c>
      <c r="C46" s="182">
        <f t="shared" si="7"/>
        <v>0</v>
      </c>
      <c r="D46" s="183"/>
      <c r="E46" s="179">
        <f t="shared" si="6"/>
        <v>2.1913239504079032</v>
      </c>
      <c r="F46" s="183">
        <f t="shared" si="8"/>
        <v>0.24728646121697517</v>
      </c>
      <c r="G46" s="247">
        <f t="shared" si="1"/>
        <v>0.51376146259822664</v>
      </c>
      <c r="H46" s="246"/>
      <c r="J46" s="182"/>
      <c r="K46" s="182"/>
      <c r="L46" s="182"/>
      <c r="M46" s="182"/>
      <c r="N46" s="163"/>
      <c r="O46" s="259">
        <f>IF(O$24="Y",E46*$O$16*'Emissions Factors'!B31,"")</f>
        <v>23.867775018839311</v>
      </c>
      <c r="P46" s="259" t="str">
        <f>IF(P$24="Y",E46*$E$5*'Emissions Factors'!$R$36*$P$16/10^6,"")</f>
        <v/>
      </c>
      <c r="Q46" s="259" t="str">
        <f>IF($Q$24="Y",IFERROR($E46*SUM($E$3,$E$4,$E$5)*('Emissions Factors'!$T$143*$P$16)/10^6,""),"")</f>
        <v/>
      </c>
      <c r="R46" s="258"/>
      <c r="T46" s="180">
        <f t="shared" si="2"/>
        <v>23.867775018839311</v>
      </c>
      <c r="U46" s="180">
        <f t="shared" si="3"/>
        <v>0</v>
      </c>
      <c r="V46" s="177"/>
      <c r="X46" s="180">
        <f t="shared" si="4"/>
        <v>23.867775018839311</v>
      </c>
      <c r="Y46" s="180">
        <f t="shared" si="5"/>
        <v>0</v>
      </c>
    </row>
    <row r="47" spans="1:25" ht="15.6" x14ac:dyDescent="0.3">
      <c r="A47" s="152">
        <v>2035</v>
      </c>
      <c r="B47" s="178">
        <f t="shared" si="0"/>
        <v>0</v>
      </c>
      <c r="C47" s="182">
        <f t="shared" si="7"/>
        <v>0</v>
      </c>
      <c r="D47" s="183"/>
      <c r="E47" s="179">
        <f t="shared" si="6"/>
        <v>2.4460016693874982</v>
      </c>
      <c r="F47" s="183">
        <f t="shared" si="8"/>
        <v>0.25467771897959501</v>
      </c>
      <c r="G47" s="247">
        <f t="shared" si="1"/>
        <v>0.50639142906092305</v>
      </c>
      <c r="H47" s="246"/>
      <c r="J47" s="182"/>
      <c r="K47" s="182"/>
      <c r="L47" s="182"/>
      <c r="M47" s="182"/>
      <c r="N47" s="163"/>
      <c r="O47" s="259">
        <f>IF(O$24="Y",E47*$O$16*'Emissions Factors'!B32,"")</f>
        <v>26.496965042726593</v>
      </c>
      <c r="P47" s="259" t="str">
        <f>IF(P$24="Y",E47*$E$5*'Emissions Factors'!$R$36*$P$16/10^6,"")</f>
        <v/>
      </c>
      <c r="Q47" s="259" t="str">
        <f>IF($Q$24="Y",IFERROR($E47*SUM($E$3,$E$4,$E$5)*('Emissions Factors'!$T$143*$P$16)/10^6,""),"")</f>
        <v/>
      </c>
      <c r="R47" s="258"/>
      <c r="T47" s="180">
        <f t="shared" si="2"/>
        <v>26.496965042726593</v>
      </c>
      <c r="U47" s="180">
        <f t="shared" si="3"/>
        <v>0</v>
      </c>
      <c r="V47" s="177"/>
      <c r="X47" s="180">
        <f t="shared" si="4"/>
        <v>26.496965042726593</v>
      </c>
      <c r="Y47" s="180">
        <f t="shared" si="5"/>
        <v>0</v>
      </c>
    </row>
    <row r="48" spans="1:25" ht="15.6" x14ac:dyDescent="0.3">
      <c r="A48" s="152">
        <v>2036</v>
      </c>
      <c r="B48" s="178">
        <f t="shared" si="0"/>
        <v>0</v>
      </c>
      <c r="C48" s="182">
        <f t="shared" si="7"/>
        <v>0</v>
      </c>
      <c r="D48" s="183"/>
      <c r="E48" s="179">
        <f t="shared" si="6"/>
        <v>2.7067999399432896</v>
      </c>
      <c r="F48" s="183">
        <f t="shared" si="8"/>
        <v>0.26079827055579141</v>
      </c>
      <c r="G48" s="247">
        <f t="shared" si="1"/>
        <v>0.49926581182526891</v>
      </c>
      <c r="H48" s="246"/>
      <c r="J48" s="182"/>
      <c r="K48" s="182"/>
      <c r="L48" s="182"/>
      <c r="M48" s="182"/>
      <c r="N48" s="163"/>
      <c r="O48" s="259">
        <f>IF(O$24="Y",E48*$O$16*'Emissions Factors'!B33,"")</f>
        <v>29.170247120683857</v>
      </c>
      <c r="P48" s="259" t="str">
        <f>IF(P$24="Y",E48*$E$5*'Emissions Factors'!$R$36*$P$16/10^6,"")</f>
        <v/>
      </c>
      <c r="Q48" s="259" t="str">
        <f>IF($Q$24="Y",IFERROR($E48*SUM($E$3,$E$4,$E$5)*('Emissions Factors'!$T$143*$P$16)/10^6,""),"")</f>
        <v/>
      </c>
      <c r="R48" s="258"/>
      <c r="T48" s="180">
        <f t="shared" si="2"/>
        <v>29.170247120683857</v>
      </c>
      <c r="U48" s="180">
        <f t="shared" si="3"/>
        <v>0</v>
      </c>
      <c r="V48" s="177"/>
      <c r="X48" s="180">
        <f t="shared" si="4"/>
        <v>29.170247120683857</v>
      </c>
      <c r="Y48" s="180">
        <f t="shared" si="5"/>
        <v>0</v>
      </c>
    </row>
    <row r="49" spans="1:25" ht="15.6" x14ac:dyDescent="0.3">
      <c r="A49" s="152">
        <v>2037</v>
      </c>
      <c r="B49" s="178">
        <f t="shared" si="0"/>
        <v>0</v>
      </c>
      <c r="C49" s="182">
        <f t="shared" si="7"/>
        <v>0</v>
      </c>
      <c r="D49" s="183"/>
      <c r="E49" s="179">
        <f t="shared" si="6"/>
        <v>2.973881411323593</v>
      </c>
      <c r="F49" s="183">
        <f t="shared" si="8"/>
        <v>0.26708147138030336</v>
      </c>
      <c r="G49" s="247">
        <f t="shared" si="1"/>
        <v>0.49230959388194762</v>
      </c>
      <c r="H49" s="246"/>
      <c r="J49" s="182"/>
      <c r="K49" s="182"/>
      <c r="L49" s="182"/>
      <c r="M49" s="182"/>
      <c r="N49" s="163"/>
      <c r="O49" s="259">
        <f>IF(O$24="Y",E49*$O$16*'Emissions Factors'!B34,"")</f>
        <v>31.877606908854684</v>
      </c>
      <c r="P49" s="259" t="str">
        <f>IF(P$24="Y",E49*$E$5*'Emissions Factors'!$R$36*$P$16/10^6,"")</f>
        <v/>
      </c>
      <c r="Q49" s="259" t="str">
        <f>IF($Q$24="Y",IFERROR($E49*SUM($E$3,$E$4,$E$5)*('Emissions Factors'!$T$143*$P$16)/10^6,""),"")</f>
        <v/>
      </c>
      <c r="R49" s="258"/>
      <c r="T49" s="180">
        <f t="shared" si="2"/>
        <v>31.877606908854684</v>
      </c>
      <c r="U49" s="180">
        <f t="shared" si="3"/>
        <v>0</v>
      </c>
      <c r="V49" s="177"/>
      <c r="X49" s="180">
        <f t="shared" si="4"/>
        <v>31.877606908854684</v>
      </c>
      <c r="Y49" s="180">
        <f t="shared" si="5"/>
        <v>0</v>
      </c>
    </row>
    <row r="50" spans="1:25" ht="15.6" x14ac:dyDescent="0.3">
      <c r="A50" s="152">
        <v>2038</v>
      </c>
      <c r="B50" s="178">
        <f t="shared" si="0"/>
        <v>0</v>
      </c>
      <c r="C50" s="182">
        <f t="shared" si="7"/>
        <v>0</v>
      </c>
      <c r="D50" s="183"/>
      <c r="E50" s="179">
        <f t="shared" si="6"/>
        <v>3.2480583703364752</v>
      </c>
      <c r="F50" s="183">
        <f t="shared" si="8"/>
        <v>0.27417695901288219</v>
      </c>
      <c r="G50" s="247">
        <f t="shared" si="1"/>
        <v>0.48547286278179247</v>
      </c>
      <c r="H50" s="246"/>
      <c r="J50" s="182"/>
      <c r="K50" s="182"/>
      <c r="L50" s="182"/>
      <c r="M50" s="182"/>
      <c r="N50" s="163"/>
      <c r="O50" s="259">
        <f>IF(O$24="Y",E50*$O$16*'Emissions Factors'!B35,"")</f>
        <v>34.630102805415767</v>
      </c>
      <c r="P50" s="259" t="str">
        <f>IF(P$24="Y",E50*$E$5*'Emissions Factors'!$R$36*$P$16/10^6,"")</f>
        <v/>
      </c>
      <c r="Q50" s="259" t="str">
        <f>IF($Q$24="Y",IFERROR($E50*SUM($E$3,$E$4,$E$5)*('Emissions Factors'!$T$143*$P$16)/10^6,""),"")</f>
        <v/>
      </c>
      <c r="R50" s="258"/>
      <c r="T50" s="180">
        <f t="shared" si="2"/>
        <v>34.630102805415767</v>
      </c>
      <c r="U50" s="180">
        <f t="shared" si="3"/>
        <v>0</v>
      </c>
      <c r="V50" s="177"/>
      <c r="X50" s="180">
        <f t="shared" si="4"/>
        <v>34.630102805415767</v>
      </c>
      <c r="Y50" s="180">
        <f t="shared" si="5"/>
        <v>0</v>
      </c>
    </row>
    <row r="51" spans="1:25" ht="15.6" x14ac:dyDescent="0.3">
      <c r="A51" s="152">
        <v>2039</v>
      </c>
      <c r="B51" s="178">
        <f t="shared" si="0"/>
        <v>0</v>
      </c>
      <c r="C51" s="182">
        <f t="shared" si="7"/>
        <v>0</v>
      </c>
      <c r="D51" s="183"/>
      <c r="E51" s="179">
        <f t="shared" si="6"/>
        <v>3.5310055697533684</v>
      </c>
      <c r="F51" s="183">
        <f t="shared" si="8"/>
        <v>0.28294719941689328</v>
      </c>
      <c r="G51" s="247">
        <f t="shared" si="1"/>
        <v>0.47871699636170245</v>
      </c>
      <c r="H51" s="246"/>
      <c r="J51" s="182"/>
      <c r="K51" s="182"/>
      <c r="L51" s="182"/>
      <c r="M51" s="182"/>
      <c r="N51" s="163"/>
      <c r="O51" s="259">
        <f>IF(O$24="Y",E51*$O$16*'Emissions Factors'!B36,"")</f>
        <v>37.443117636792024</v>
      </c>
      <c r="P51" s="259" t="str">
        <f>IF(P$24="Y",E51*$E$5*'Emissions Factors'!$R$36*$P$16/10^6,"")</f>
        <v/>
      </c>
      <c r="Q51" s="259" t="str">
        <f>IF($Q$24="Y",IFERROR($E51*SUM($E$3,$E$4,$E$5)*('Emissions Factors'!$T$143*$P$16)/10^6,""),"")</f>
        <v/>
      </c>
      <c r="R51" s="258"/>
      <c r="T51" s="180">
        <f t="shared" si="2"/>
        <v>37.443117636792024</v>
      </c>
      <c r="U51" s="180">
        <f t="shared" si="3"/>
        <v>0</v>
      </c>
      <c r="V51" s="177"/>
      <c r="X51" s="180">
        <f t="shared" si="4"/>
        <v>37.443117636792024</v>
      </c>
      <c r="Y51" s="180">
        <f t="shared" si="5"/>
        <v>0</v>
      </c>
    </row>
    <row r="52" spans="1:25" ht="15.6" x14ac:dyDescent="0.3">
      <c r="A52" s="152">
        <v>2040</v>
      </c>
      <c r="B52" s="178">
        <f t="shared" si="0"/>
        <v>0</v>
      </c>
      <c r="C52" s="182">
        <f t="shared" si="7"/>
        <v>0</v>
      </c>
      <c r="D52" s="183"/>
      <c r="E52" s="179">
        <f t="shared" si="6"/>
        <v>3.8241387559075539</v>
      </c>
      <c r="F52" s="183">
        <f t="shared" si="8"/>
        <v>0.29313318615418549</v>
      </c>
      <c r="G52" s="247">
        <f t="shared" si="1"/>
        <v>0.47201514782419024</v>
      </c>
      <c r="H52" s="246"/>
      <c r="J52" s="182"/>
      <c r="K52" s="182"/>
      <c r="L52" s="182"/>
      <c r="M52" s="182"/>
      <c r="N52" s="163"/>
      <c r="O52" s="259">
        <f>IF(O$24="Y",E52*$O$16*'Emissions Factors'!B37,"")</f>
        <v>40.314738221549042</v>
      </c>
      <c r="P52" s="259" t="str">
        <f>IF(P$24="Y",E52*$E$5*'Emissions Factors'!$R$36*$P$16/10^6,"")</f>
        <v/>
      </c>
      <c r="Q52" s="259" t="str">
        <f>IF($Q$24="Y",IFERROR($E52*SUM($E$3,$E$4,$E$5)*('Emissions Factors'!$T$143*$P$16)/10^6,""),"")</f>
        <v/>
      </c>
      <c r="R52" s="258"/>
      <c r="T52" s="180">
        <f t="shared" si="2"/>
        <v>40.314738221549042</v>
      </c>
      <c r="U52" s="180">
        <f t="shared" si="3"/>
        <v>0</v>
      </c>
      <c r="V52" s="177"/>
      <c r="X52" s="180">
        <f t="shared" si="4"/>
        <v>40.314738221549042</v>
      </c>
      <c r="Y52" s="180">
        <f t="shared" si="5"/>
        <v>0</v>
      </c>
    </row>
    <row r="53" spans="1:25" ht="15.6" x14ac:dyDescent="0.3">
      <c r="A53" s="152">
        <v>2041</v>
      </c>
      <c r="B53" s="178">
        <f t="shared" si="0"/>
        <v>0</v>
      </c>
      <c r="C53" s="182">
        <f t="shared" si="7"/>
        <v>0</v>
      </c>
      <c r="D53" s="183"/>
      <c r="E53" s="179">
        <f t="shared" si="6"/>
        <v>4.1276821445478102</v>
      </c>
      <c r="F53" s="183">
        <f t="shared" si="8"/>
        <v>0.30354338864025632</v>
      </c>
      <c r="G53" s="247">
        <f t="shared" si="1"/>
        <v>0.4653570719899881</v>
      </c>
      <c r="H53" s="246"/>
      <c r="J53" s="182"/>
      <c r="K53" s="182"/>
      <c r="L53" s="182"/>
      <c r="M53" s="182"/>
      <c r="N53" s="163"/>
      <c r="O53" s="259">
        <f>IF(O$24="Y",E53*$O$16*'Emissions Factors'!B38,"")</f>
        <v>43.293833460648315</v>
      </c>
      <c r="P53" s="259" t="str">
        <f>IF(P$24="Y",E53*$E$5*'Emissions Factors'!$R$36*$P$16/10^6,"")</f>
        <v/>
      </c>
      <c r="Q53" s="259" t="str">
        <f>IF($Q$24="Y",IFERROR($E53*SUM($E$3,$E$4,$E$5)*('Emissions Factors'!$T$143*$P$16)/10^6,""),"")</f>
        <v/>
      </c>
      <c r="R53" s="258"/>
      <c r="T53" s="180">
        <f t="shared" si="2"/>
        <v>43.293833460648315</v>
      </c>
      <c r="U53" s="180">
        <f t="shared" si="3"/>
        <v>0</v>
      </c>
      <c r="V53" s="177"/>
      <c r="X53" s="180">
        <f t="shared" si="4"/>
        <v>43.293833460648315</v>
      </c>
      <c r="Y53" s="180">
        <f t="shared" si="5"/>
        <v>0</v>
      </c>
    </row>
    <row r="54" spans="1:25" ht="15.6" x14ac:dyDescent="0.3">
      <c r="A54" s="152">
        <v>2042</v>
      </c>
      <c r="B54" s="178">
        <f t="shared" si="0"/>
        <v>0</v>
      </c>
      <c r="C54" s="182">
        <f t="shared" si="7"/>
        <v>0</v>
      </c>
      <c r="D54" s="183"/>
      <c r="E54" s="179">
        <f t="shared" si="6"/>
        <v>4.4414258936809521</v>
      </c>
      <c r="F54" s="183">
        <f t="shared" si="8"/>
        <v>0.31374374913314185</v>
      </c>
      <c r="G54" s="247">
        <f t="shared" si="1"/>
        <v>0.45872624679522223</v>
      </c>
      <c r="H54" s="246"/>
      <c r="J54" s="182"/>
      <c r="K54" s="182"/>
      <c r="L54" s="182"/>
      <c r="M54" s="182"/>
      <c r="N54" s="163"/>
      <c r="O54" s="259">
        <f>IF(O$24="Y",E54*$O$16*'Emissions Factors'!B39,"")</f>
        <v>46.327348202110734</v>
      </c>
      <c r="P54" s="259" t="str">
        <f>IF(P$24="Y",E54*$E$5*'Emissions Factors'!$R$36*$P$16/10^6,"")</f>
        <v/>
      </c>
      <c r="Q54" s="259" t="str">
        <f>IF($Q$24="Y",IFERROR($E54*SUM($E$3,$E$4,$E$5)*('Emissions Factors'!$T$143*$P$16)/10^6,""),"")</f>
        <v/>
      </c>
      <c r="R54" s="258"/>
      <c r="T54" s="180">
        <f t="shared" si="2"/>
        <v>46.327348202110734</v>
      </c>
      <c r="U54" s="180">
        <f t="shared" si="3"/>
        <v>0</v>
      </c>
      <c r="V54" s="177"/>
      <c r="X54" s="180">
        <f t="shared" si="4"/>
        <v>46.327348202110734</v>
      </c>
      <c r="Y54" s="180">
        <f t="shared" si="5"/>
        <v>0</v>
      </c>
    </row>
    <row r="55" spans="1:25" ht="15.6" x14ac:dyDescent="0.3">
      <c r="A55" s="152">
        <v>2043</v>
      </c>
      <c r="B55" s="178">
        <f t="shared" si="0"/>
        <v>0</v>
      </c>
      <c r="C55" s="182">
        <f t="shared" si="7"/>
        <v>0</v>
      </c>
      <c r="D55" s="183"/>
      <c r="E55" s="179">
        <f t="shared" si="6"/>
        <v>4.7660548010000534</v>
      </c>
      <c r="F55" s="183">
        <f t="shared" si="8"/>
        <v>0.32462890731910132</v>
      </c>
      <c r="G55" s="247">
        <f t="shared" si="1"/>
        <v>0.45209649058480916</v>
      </c>
      <c r="H55" s="246"/>
      <c r="J55" s="182"/>
      <c r="K55" s="182"/>
      <c r="L55" s="182"/>
      <c r="M55" s="182"/>
      <c r="N55" s="163"/>
      <c r="O55" s="259">
        <f>IF(O$24="Y",E55*$O$16*'Emissions Factors'!B40,"")</f>
        <v>49.436102384498234</v>
      </c>
      <c r="P55" s="259" t="str">
        <f>IF(P$24="Y",E55*$E$5*'Emissions Factors'!$R$36*$P$16/10^6,"")</f>
        <v/>
      </c>
      <c r="Q55" s="259" t="str">
        <f>IF($Q$24="Y",IFERROR($E55*SUM($E$3,$E$4,$E$5)*('Emissions Factors'!$T$143*$P$16)/10^6,""),"")</f>
        <v/>
      </c>
      <c r="R55" s="258"/>
      <c r="T55" s="180">
        <f t="shared" si="2"/>
        <v>49.436102384498234</v>
      </c>
      <c r="U55" s="180">
        <f t="shared" si="3"/>
        <v>0</v>
      </c>
      <c r="V55" s="177"/>
      <c r="X55" s="180">
        <f t="shared" si="4"/>
        <v>49.436102384498234</v>
      </c>
      <c r="Y55" s="180">
        <f t="shared" si="5"/>
        <v>0</v>
      </c>
    </row>
    <row r="56" spans="1:25" ht="15.6" x14ac:dyDescent="0.3">
      <c r="A56" s="152">
        <v>2044</v>
      </c>
      <c r="B56" s="178">
        <f t="shared" si="0"/>
        <v>0</v>
      </c>
      <c r="C56" s="182">
        <f t="shared" si="7"/>
        <v>0</v>
      </c>
      <c r="D56" s="183"/>
      <c r="E56" s="179">
        <f t="shared" si="6"/>
        <v>5.1023688131533005</v>
      </c>
      <c r="F56" s="183">
        <f t="shared" si="8"/>
        <v>0.33631401215324708</v>
      </c>
      <c r="G56" s="247">
        <f t="shared" si="1"/>
        <v>0.44544350464039317</v>
      </c>
      <c r="H56" s="246"/>
      <c r="J56" s="182"/>
      <c r="K56" s="182"/>
      <c r="L56" s="182"/>
      <c r="M56" s="182"/>
      <c r="N56" s="163"/>
      <c r="O56" s="259">
        <f>IF(O$24="Y",E56*$O$16*'Emissions Factors'!B41,"")</f>
        <v>52.625862285928172</v>
      </c>
      <c r="P56" s="259" t="str">
        <f>IF(P$24="Y",E56*$E$5*'Emissions Factors'!$R$36*$P$16/10^6,"")</f>
        <v/>
      </c>
      <c r="Q56" s="259" t="str">
        <f>IF($Q$24="Y",IFERROR($E56*SUM($E$3,$E$4,$E$5)*('Emissions Factors'!$T$143*$P$16)/10^6,""),"")</f>
        <v/>
      </c>
      <c r="R56" s="258"/>
      <c r="T56" s="180">
        <f t="shared" si="2"/>
        <v>52.625862285928172</v>
      </c>
      <c r="U56" s="180">
        <f t="shared" si="3"/>
        <v>0</v>
      </c>
      <c r="V56" s="177"/>
      <c r="X56" s="180">
        <f t="shared" si="4"/>
        <v>52.625862285928172</v>
      </c>
      <c r="Y56" s="180">
        <f t="shared" si="5"/>
        <v>0</v>
      </c>
    </row>
    <row r="57" spans="1:25" ht="15.6" x14ac:dyDescent="0.3">
      <c r="A57" s="152">
        <v>2045</v>
      </c>
      <c r="B57" s="178">
        <f t="shared" si="0"/>
        <v>0</v>
      </c>
      <c r="C57" s="182">
        <f t="shared" si="7"/>
        <v>0</v>
      </c>
      <c r="D57" s="183"/>
      <c r="E57" s="179">
        <f t="shared" si="6"/>
        <v>5.451111731630812</v>
      </c>
      <c r="F57" s="183">
        <f t="shared" si="8"/>
        <v>0.34874291847751149</v>
      </c>
      <c r="G57" s="247">
        <f t="shared" si="1"/>
        <v>0.43875744273645761</v>
      </c>
      <c r="H57" s="246"/>
      <c r="J57" s="182"/>
      <c r="K57" s="182"/>
      <c r="L57" s="182"/>
      <c r="M57" s="182"/>
      <c r="N57" s="163"/>
      <c r="O57" s="259">
        <f>IF(O$24="Y",E57*$O$16*'Emissions Factors'!B42,"")</f>
        <v>55.890051282728628</v>
      </c>
      <c r="P57" s="259" t="str">
        <f>IF(P$24="Y",E57*$E$5*'Emissions Factors'!$R$36*$P$16/10^6,"")</f>
        <v/>
      </c>
      <c r="Q57" s="259" t="str">
        <f>IF($Q$24="Y",IFERROR($E57*SUM($E$3,$E$4,$E$5)*('Emissions Factors'!$T$143*$P$16)/10^6,""),"")</f>
        <v/>
      </c>
      <c r="R57" s="258"/>
      <c r="T57" s="180">
        <f t="shared" si="2"/>
        <v>55.890051282728628</v>
      </c>
      <c r="U57" s="180">
        <f t="shared" si="3"/>
        <v>0</v>
      </c>
      <c r="V57" s="177"/>
      <c r="X57" s="180">
        <f t="shared" si="4"/>
        <v>55.890051282728628</v>
      </c>
      <c r="Y57" s="180">
        <f t="shared" si="5"/>
        <v>0</v>
      </c>
    </row>
    <row r="58" spans="1:25" ht="15.6" x14ac:dyDescent="0.3">
      <c r="A58" s="152">
        <v>2046</v>
      </c>
      <c r="B58" s="178">
        <f t="shared" si="0"/>
        <v>0</v>
      </c>
      <c r="C58" s="182">
        <f t="shared" si="7"/>
        <v>0</v>
      </c>
      <c r="D58" s="183"/>
      <c r="E58" s="179">
        <f t="shared" si="6"/>
        <v>5.8127735915162946</v>
      </c>
      <c r="F58" s="183">
        <f t="shared" si="8"/>
        <v>0.36166185988548261</v>
      </c>
      <c r="G58" s="247">
        <f t="shared" si="1"/>
        <v>0.43204923010894425</v>
      </c>
      <c r="H58" s="246"/>
      <c r="J58" s="182"/>
      <c r="K58" s="182"/>
      <c r="L58" s="182"/>
      <c r="M58" s="182"/>
      <c r="N58" s="163"/>
      <c r="O58" s="259">
        <f>IF(O$24="Y",E58*$O$16*'Emissions Factors'!B43,"")</f>
        <v>59.265158452761938</v>
      </c>
      <c r="P58" s="259" t="str">
        <f>IF(P$24="Y",E58*$E$5*'Emissions Factors'!$R$36*$P$16/10^6,"")</f>
        <v/>
      </c>
      <c r="Q58" s="259" t="str">
        <f>IF($Q$24="Y",IFERROR($E58*SUM($E$3,$E$4,$E$5)*('Emissions Factors'!$T$143*$P$16)/10^6,""),"")</f>
        <v/>
      </c>
      <c r="R58" s="258"/>
      <c r="T58" s="180">
        <f t="shared" si="2"/>
        <v>59.265158452761938</v>
      </c>
      <c r="U58" s="180">
        <f t="shared" si="3"/>
        <v>0</v>
      </c>
      <c r="V58" s="177"/>
      <c r="X58" s="180">
        <f t="shared" si="4"/>
        <v>59.265158452761938</v>
      </c>
      <c r="Y58" s="180">
        <f t="shared" si="5"/>
        <v>0</v>
      </c>
    </row>
    <row r="59" spans="1:25" ht="15.6" x14ac:dyDescent="0.3">
      <c r="A59" s="152">
        <v>2047</v>
      </c>
      <c r="B59" s="178">
        <f t="shared" si="0"/>
        <v>0</v>
      </c>
      <c r="C59" s="182">
        <f t="shared" si="7"/>
        <v>0</v>
      </c>
      <c r="D59" s="183"/>
      <c r="E59" s="179">
        <f t="shared" si="6"/>
        <v>6.1877489759554063</v>
      </c>
      <c r="F59" s="183">
        <f t="shared" si="8"/>
        <v>0.37497538443911171</v>
      </c>
      <c r="G59" s="247">
        <f t="shared" si="1"/>
        <v>0.42533012843320872</v>
      </c>
      <c r="H59" s="246"/>
      <c r="J59" s="182"/>
      <c r="K59" s="182"/>
      <c r="L59" s="182"/>
      <c r="M59" s="182"/>
      <c r="N59" s="163"/>
      <c r="O59" s="259">
        <f>IF(O$24="Y",E59*$O$16*'Emissions Factors'!B44,"")</f>
        <v>62.717578626555373</v>
      </c>
      <c r="P59" s="259" t="str">
        <f>IF(P$24="Y",E59*$E$5*'Emissions Factors'!$R$36*$P$16/10^6,"")</f>
        <v/>
      </c>
      <c r="Q59" s="259" t="str">
        <f>IF($Q$24="Y",IFERROR($E59*SUM($E$3,$E$4,$E$5)*('Emissions Factors'!$T$143*$P$16)/10^6,""),"")</f>
        <v/>
      </c>
      <c r="R59" s="258"/>
      <c r="T59" s="180">
        <f t="shared" si="2"/>
        <v>62.717578626555373</v>
      </c>
      <c r="U59" s="180">
        <f t="shared" si="3"/>
        <v>0</v>
      </c>
      <c r="V59" s="177"/>
      <c r="X59" s="180">
        <f t="shared" si="4"/>
        <v>62.717578626555373</v>
      </c>
      <c r="Y59" s="180">
        <f t="shared" si="5"/>
        <v>0</v>
      </c>
    </row>
    <row r="60" spans="1:25" ht="15.6" x14ac:dyDescent="0.3">
      <c r="A60" s="152">
        <v>2048</v>
      </c>
      <c r="B60" s="178">
        <f t="shared" si="0"/>
        <v>0</v>
      </c>
      <c r="C60" s="182">
        <f t="shared" si="7"/>
        <v>0</v>
      </c>
      <c r="D60" s="183"/>
      <c r="E60" s="179">
        <f t="shared" si="6"/>
        <v>6.5765716214553231</v>
      </c>
      <c r="F60" s="183">
        <f t="shared" si="8"/>
        <v>0.38882264549991685</v>
      </c>
      <c r="G60" s="247">
        <f t="shared" si="1"/>
        <v>0.41859816616556483</v>
      </c>
      <c r="H60" s="246"/>
      <c r="J60" s="182"/>
      <c r="K60" s="182"/>
      <c r="L60" s="182"/>
      <c r="M60" s="182"/>
      <c r="N60" s="163"/>
      <c r="O60" s="259">
        <f>IF(O$24="Y",E60*$O$16*'Emissions Factors'!B45,"")</f>
        <v>66.260827191079073</v>
      </c>
      <c r="P60" s="259" t="str">
        <f>IF(P$24="Y",E60*$E$5*'Emissions Factors'!$R$36*$P$16/10^6,"")</f>
        <v/>
      </c>
      <c r="Q60" s="259" t="str">
        <f>IF($Q$24="Y",IFERROR($E60*SUM($E$3,$E$4,$E$5)*('Emissions Factors'!$T$143*$P$16)/10^6,""),"")</f>
        <v/>
      </c>
      <c r="R60" s="258"/>
      <c r="T60" s="180">
        <f t="shared" si="2"/>
        <v>66.260827191079073</v>
      </c>
      <c r="U60" s="180">
        <f t="shared" si="3"/>
        <v>0</v>
      </c>
      <c r="V60" s="177"/>
      <c r="X60" s="180">
        <f t="shared" si="4"/>
        <v>66.260827191079073</v>
      </c>
      <c r="Y60" s="180">
        <f t="shared" si="5"/>
        <v>0</v>
      </c>
    </row>
    <row r="61" spans="1:25" ht="15.6" x14ac:dyDescent="0.3">
      <c r="A61" s="152">
        <v>2049</v>
      </c>
      <c r="B61" s="178">
        <f t="shared" si="0"/>
        <v>0</v>
      </c>
      <c r="C61" s="182">
        <f t="shared" si="7"/>
        <v>0</v>
      </c>
      <c r="D61" s="183"/>
      <c r="E61" s="179">
        <f t="shared" si="6"/>
        <v>6.9797714007761362</v>
      </c>
      <c r="F61" s="183">
        <f t="shared" si="8"/>
        <v>0.40319977932081308</v>
      </c>
      <c r="G61" s="247">
        <f t="shared" si="1"/>
        <v>0.41185222731113291</v>
      </c>
      <c r="H61" s="246"/>
      <c r="J61" s="182"/>
      <c r="K61" s="182"/>
      <c r="L61" s="182"/>
      <c r="M61" s="182"/>
      <c r="N61" s="163"/>
      <c r="O61" s="259">
        <f>IF(O$24="Y",E61*$O$16*'Emissions Factors'!B46,"")</f>
        <v>69.960708776674949</v>
      </c>
      <c r="P61" s="259" t="str">
        <f>IF(P$24="Y",E61*$E$5*'Emissions Factors'!$R$36*$P$16/10^6,"")</f>
        <v/>
      </c>
      <c r="Q61" s="259" t="str">
        <f>IF($Q$24="Y",IFERROR($E61*SUM($E$3,$E$4,$E$5)*('Emissions Factors'!$T$143*$P$16)/10^6,""),"")</f>
        <v/>
      </c>
      <c r="R61" s="258"/>
      <c r="T61" s="180">
        <f t="shared" si="2"/>
        <v>69.960708776674949</v>
      </c>
      <c r="U61" s="180">
        <f t="shared" si="3"/>
        <v>0</v>
      </c>
      <c r="V61" s="177"/>
      <c r="X61" s="180">
        <f t="shared" si="4"/>
        <v>69.960708776674949</v>
      </c>
      <c r="Y61" s="180">
        <f t="shared" si="5"/>
        <v>0</v>
      </c>
    </row>
    <row r="62" spans="1:25" ht="15.6" x14ac:dyDescent="0.3">
      <c r="A62" s="152">
        <v>2050</v>
      </c>
      <c r="B62" s="178">
        <f t="shared" si="0"/>
        <v>0</v>
      </c>
      <c r="C62" s="182">
        <f t="shared" si="7"/>
        <v>0</v>
      </c>
      <c r="D62" s="183"/>
      <c r="E62" s="179">
        <f t="shared" si="6"/>
        <v>7.3978004862474389</v>
      </c>
      <c r="F62" s="183">
        <f t="shared" si="8"/>
        <v>0.41802908547130269</v>
      </c>
      <c r="G62" s="247">
        <f t="shared" si="1"/>
        <v>0.40509909512781678</v>
      </c>
      <c r="H62" s="246"/>
      <c r="J62" s="182"/>
      <c r="K62" s="182"/>
      <c r="L62" s="182"/>
      <c r="M62" s="182"/>
      <c r="N62" s="163"/>
      <c r="O62" s="259">
        <f>IF(O$24="Y",E62*$O$16*'Emissions Factors'!B47,"")</f>
        <v>73.895762779647313</v>
      </c>
      <c r="P62" s="259" t="str">
        <f>IF(P$24="Y",E62*$E$5*'Emissions Factors'!$R$36*$P$16/10^6,"")</f>
        <v/>
      </c>
      <c r="Q62" s="259" t="str">
        <f>IF($Q$24="Y",IFERROR($E62*SUM($E$3,$E$4,$E$5)*('Emissions Factors'!$T$143*$P$16)/10^6,""),"")</f>
        <v/>
      </c>
      <c r="R62" s="258"/>
      <c r="T62" s="180">
        <f t="shared" si="2"/>
        <v>73.895762779647313</v>
      </c>
      <c r="U62" s="180">
        <f t="shared" si="3"/>
        <v>0</v>
      </c>
      <c r="V62" s="177"/>
      <c r="X62" s="180">
        <f t="shared" si="4"/>
        <v>73.895762779647313</v>
      </c>
      <c r="Y62" s="180">
        <f t="shared" si="5"/>
        <v>0</v>
      </c>
    </row>
    <row r="63" spans="1:25" ht="15.6" x14ac:dyDescent="0.3">
      <c r="A63" s="152">
        <v>2051</v>
      </c>
      <c r="B63" s="178">
        <f t="shared" si="0"/>
        <v>0</v>
      </c>
      <c r="C63" s="182">
        <f t="shared" si="7"/>
        <v>0</v>
      </c>
      <c r="D63" s="183"/>
      <c r="E63" s="179">
        <f t="shared" si="6"/>
        <v>7.8309896927927598</v>
      </c>
      <c r="F63" s="183">
        <f t="shared" si="8"/>
        <v>0.43318920654532089</v>
      </c>
      <c r="G63" s="247">
        <f t="shared" si="1"/>
        <v>0.39835266351258841</v>
      </c>
      <c r="H63" s="246"/>
      <c r="J63" s="182"/>
      <c r="K63" s="182"/>
      <c r="L63" s="182"/>
      <c r="M63" s="182"/>
      <c r="N63" s="163"/>
      <c r="O63" s="259">
        <f>IF(O$24="Y",E63*$O$16*'Emissions Factors'!B48,"")</f>
        <v>77.923866451042926</v>
      </c>
      <c r="P63" s="259" t="str">
        <f>IF(P$24="Y",E63*$E$5*'Emissions Factors'!$R$36*$P$16/10^6,"")</f>
        <v/>
      </c>
      <c r="Q63" s="259" t="str">
        <f>IF($Q$24="Y",IFERROR($E63*SUM($E$3,$E$4,$E$5)*('Emissions Factors'!$T$143*$P$16)/10^6,""),"")</f>
        <v/>
      </c>
      <c r="R63" s="258"/>
      <c r="T63" s="180" t="str">
        <f t="shared" si="2"/>
        <v/>
      </c>
      <c r="U63" s="180" t="str">
        <f t="shared" si="3"/>
        <v/>
      </c>
      <c r="V63" s="177"/>
      <c r="X63" s="180">
        <f t="shared" si="4"/>
        <v>77.923866451042926</v>
      </c>
      <c r="Y63" s="180">
        <f t="shared" si="5"/>
        <v>0</v>
      </c>
    </row>
    <row r="64" spans="1:25" ht="15.6" x14ac:dyDescent="0.3">
      <c r="A64" s="152">
        <v>2052</v>
      </c>
      <c r="B64" s="178">
        <f t="shared" si="0"/>
        <v>0</v>
      </c>
      <c r="C64" s="182">
        <f t="shared" si="7"/>
        <v>0</v>
      </c>
      <c r="D64" s="183"/>
      <c r="E64" s="179">
        <f t="shared" si="6"/>
        <v>8.2795621981454524</v>
      </c>
      <c r="F64" s="183">
        <f t="shared" si="8"/>
        <v>0.44857250535269255</v>
      </c>
      <c r="G64" s="247">
        <f t="shared" si="1"/>
        <v>0.39163287560529259</v>
      </c>
      <c r="H64" s="246"/>
      <c r="J64" s="182"/>
      <c r="K64" s="182"/>
      <c r="L64" s="182"/>
      <c r="M64" s="182"/>
      <c r="N64" s="163"/>
      <c r="O64" s="259">
        <f>IF(O$24="Y",E64*$O$16*'Emissions Factors'!B49,"")</f>
        <v>82.083252964530075</v>
      </c>
      <c r="P64" s="259" t="str">
        <f>IF(P$24="Y",E64*$E$5*'Emissions Factors'!$R$36*$P$16/10^6,"")</f>
        <v/>
      </c>
      <c r="Q64" s="259" t="str">
        <f>IF($Q$24="Y",IFERROR($E64*SUM($E$3,$E$4,$E$5)*('Emissions Factors'!$T$143*$P$16)/10^6,""),"")</f>
        <v/>
      </c>
      <c r="R64" s="258"/>
      <c r="T64" s="180" t="str">
        <f t="shared" si="2"/>
        <v/>
      </c>
      <c r="U64" s="180" t="str">
        <f t="shared" si="3"/>
        <v/>
      </c>
      <c r="V64" s="177"/>
      <c r="X64" s="180">
        <f t="shared" si="4"/>
        <v>82.083252964530075</v>
      </c>
      <c r="Y64" s="180">
        <f t="shared" si="5"/>
        <v>0</v>
      </c>
    </row>
    <row r="65" spans="1:25" ht="15.6" x14ac:dyDescent="0.3">
      <c r="A65" s="152">
        <v>2053</v>
      </c>
      <c r="B65" s="178">
        <f t="shared" si="0"/>
        <v>0</v>
      </c>
      <c r="C65" s="182">
        <f t="shared" si="7"/>
        <v>0</v>
      </c>
      <c r="D65" s="183"/>
      <c r="E65" s="179">
        <f t="shared" si="6"/>
        <v>8.74370042661665</v>
      </c>
      <c r="F65" s="183">
        <f t="shared" si="8"/>
        <v>0.46413822847119768</v>
      </c>
      <c r="G65" s="247">
        <f t="shared" si="1"/>
        <v>0.38496032378910577</v>
      </c>
      <c r="H65" s="246"/>
      <c r="J65" s="182"/>
      <c r="K65" s="182"/>
      <c r="L65" s="182"/>
      <c r="M65" s="182"/>
      <c r="N65" s="163"/>
      <c r="O65" s="259">
        <f>IF(O$24="Y",E65*$O$16*'Emissions Factors'!B50,"")</f>
        <v>86.356688024755698</v>
      </c>
      <c r="P65" s="259" t="str">
        <f>IF(P$24="Y",E65*$E$5*'Emissions Factors'!$R$36*$P$16/10^6,"")</f>
        <v/>
      </c>
      <c r="Q65" s="259" t="str">
        <f>IF($Q$24="Y",IFERROR($E65*SUM($E$3,$E$4,$E$5)*('Emissions Factors'!$T$143*$P$16)/10^6,""),"")</f>
        <v/>
      </c>
      <c r="R65" s="258"/>
      <c r="T65" s="180" t="str">
        <f t="shared" si="2"/>
        <v/>
      </c>
      <c r="U65" s="180" t="str">
        <f t="shared" si="3"/>
        <v/>
      </c>
      <c r="V65" s="177"/>
      <c r="X65" s="180">
        <f t="shared" si="4"/>
        <v>86.356688024755698</v>
      </c>
      <c r="Y65" s="180">
        <f t="shared" si="5"/>
        <v>0</v>
      </c>
    </row>
    <row r="66" spans="1:25" ht="15.6" x14ac:dyDescent="0.3">
      <c r="A66" s="152">
        <v>2054</v>
      </c>
      <c r="B66" s="178">
        <f t="shared" si="0"/>
        <v>0</v>
      </c>
      <c r="C66" s="182">
        <f t="shared" si="7"/>
        <v>0</v>
      </c>
      <c r="D66" s="183"/>
      <c r="E66" s="179">
        <f t="shared" si="6"/>
        <v>9.2234763098295875</v>
      </c>
      <c r="F66" s="183">
        <f t="shared" si="8"/>
        <v>0.47977588321293752</v>
      </c>
      <c r="G66" s="247">
        <f t="shared" si="1"/>
        <v>0.37835466357419889</v>
      </c>
      <c r="H66" s="246"/>
      <c r="J66" s="182"/>
      <c r="K66" s="182"/>
      <c r="L66" s="182"/>
      <c r="M66" s="182"/>
      <c r="N66" s="163"/>
      <c r="O66" s="259">
        <f>IF(O$24="Y",E66*$O$16*'Emissions Factors'!B51,"")</f>
        <v>90.741697937491679</v>
      </c>
      <c r="P66" s="259" t="str">
        <f>IF(P$24="Y",E66*$E$5*'Emissions Factors'!$R$36*$P$16/10^6,"")</f>
        <v/>
      </c>
      <c r="Q66" s="259" t="str">
        <f>IF($Q$24="Y",IFERROR($E66*SUM($E$3,$E$4,$E$5)*('Emissions Factors'!$T$143*$P$16)/10^6,""),"")</f>
        <v/>
      </c>
      <c r="R66" s="258"/>
      <c r="T66" s="180" t="str">
        <f t="shared" si="2"/>
        <v/>
      </c>
      <c r="U66" s="180" t="str">
        <f t="shared" si="3"/>
        <v/>
      </c>
      <c r="V66" s="177"/>
      <c r="X66" s="180">
        <f t="shared" si="4"/>
        <v>90.741697937491679</v>
      </c>
      <c r="Y66" s="180">
        <f t="shared" si="5"/>
        <v>0</v>
      </c>
    </row>
    <row r="67" spans="1:25" ht="15.6" x14ac:dyDescent="0.3">
      <c r="A67" s="152">
        <v>2055</v>
      </c>
      <c r="B67" s="178">
        <f t="shared" si="0"/>
        <v>0</v>
      </c>
      <c r="C67" s="182">
        <f t="shared" si="7"/>
        <v>0</v>
      </c>
      <c r="D67" s="183"/>
      <c r="E67" s="179">
        <f t="shared" si="6"/>
        <v>9.7188658526500884</v>
      </c>
      <c r="F67" s="183">
        <f t="shared" si="8"/>
        <v>0.49538954282050085</v>
      </c>
      <c r="G67" s="247">
        <f t="shared" si="1"/>
        <v>0.37182968638149788</v>
      </c>
      <c r="H67" s="246"/>
      <c r="J67" s="182"/>
      <c r="K67" s="182"/>
      <c r="L67" s="182"/>
      <c r="M67" s="182"/>
      <c r="N67" s="163"/>
      <c r="O67" s="259">
        <f>IF(O$24="Y",E67*$O$16*'Emissions Factors'!B52,"")</f>
        <v>95.226800512411188</v>
      </c>
      <c r="P67" s="259" t="str">
        <f>IF(P$24="Y",E67*$E$5*'Emissions Factors'!$R$36*$P$16/10^6,"")</f>
        <v/>
      </c>
      <c r="Q67" s="259" t="str">
        <f>IF($Q$24="Y",IFERROR($E67*SUM($E$3,$E$4,$E$5)*('Emissions Factors'!$T$143*$P$16)/10^6,""),"")</f>
        <v/>
      </c>
      <c r="R67" s="258"/>
      <c r="T67" s="180" t="str">
        <f t="shared" si="2"/>
        <v/>
      </c>
      <c r="U67" s="180" t="str">
        <f t="shared" si="3"/>
        <v/>
      </c>
      <c r="V67" s="177"/>
      <c r="X67" s="180">
        <f t="shared" si="4"/>
        <v>95.226800512411188</v>
      </c>
      <c r="Y67" s="180">
        <f t="shared" si="5"/>
        <v>0</v>
      </c>
    </row>
    <row r="68" spans="1:25" ht="15.6" x14ac:dyDescent="0.3">
      <c r="A68" s="152">
        <v>2056</v>
      </c>
      <c r="B68" s="178">
        <f t="shared" si="0"/>
        <v>0</v>
      </c>
      <c r="C68" s="182">
        <f t="shared" si="7"/>
        <v>0</v>
      </c>
      <c r="D68" s="183"/>
      <c r="E68" s="179">
        <f t="shared" si="6"/>
        <v>10.229807092164489</v>
      </c>
      <c r="F68" s="183">
        <f t="shared" si="8"/>
        <v>0.51094123951440018</v>
      </c>
      <c r="G68" s="247">
        <f t="shared" si="1"/>
        <v>0.36538757738654942</v>
      </c>
      <c r="H68" s="246"/>
      <c r="J68" s="182"/>
      <c r="K68" s="182"/>
      <c r="L68" s="182"/>
      <c r="M68" s="182"/>
      <c r="N68" s="163"/>
      <c r="O68" s="259">
        <f>IF(O$24="Y",E68*$O$16*'Emissions Factors'!B53,"")</f>
        <v>99.831736791480736</v>
      </c>
      <c r="P68" s="259" t="str">
        <f>IF(P$24="Y",E68*$E$5*'Emissions Factors'!$R$36*$P$16/10^6,"")</f>
        <v/>
      </c>
      <c r="Q68" s="259" t="str">
        <f>IF($Q$24="Y",IFERROR($E68*SUM($E$3,$E$4,$E$5)*('Emissions Factors'!$T$143*$P$16)/10^6,""),"")</f>
        <v/>
      </c>
      <c r="R68" s="258"/>
      <c r="T68" s="180" t="str">
        <f t="shared" si="2"/>
        <v/>
      </c>
      <c r="U68" s="180" t="str">
        <f t="shared" si="3"/>
        <v/>
      </c>
      <c r="V68" s="177"/>
      <c r="X68" s="180">
        <f t="shared" si="4"/>
        <v>99.831736791480736</v>
      </c>
      <c r="Y68" s="180">
        <f t="shared" si="5"/>
        <v>0</v>
      </c>
    </row>
    <row r="69" spans="1:25" ht="15.6" x14ac:dyDescent="0.3">
      <c r="A69" s="152">
        <v>2057</v>
      </c>
      <c r="B69" s="178">
        <f t="shared" si="0"/>
        <v>0</v>
      </c>
      <c r="C69" s="182">
        <f t="shared" si="7"/>
        <v>0</v>
      </c>
      <c r="D69" s="183"/>
      <c r="E69" s="179">
        <f t="shared" si="6"/>
        <v>10.756074519855417</v>
      </c>
      <c r="F69" s="183">
        <f t="shared" si="8"/>
        <v>0.52626742769092871</v>
      </c>
      <c r="G69" s="247">
        <f t="shared" si="1"/>
        <v>0.35903088773767289</v>
      </c>
      <c r="H69" s="246"/>
      <c r="J69" s="182"/>
      <c r="K69" s="182"/>
      <c r="L69" s="182"/>
      <c r="M69" s="182"/>
      <c r="N69" s="163"/>
      <c r="O69" s="259">
        <f>IF(O$24="Y",E69*$O$16*'Emissions Factors'!B54,"")</f>
        <v>104.52696015238654</v>
      </c>
      <c r="P69" s="259" t="str">
        <f>IF(P$24="Y",E69*$E$5*'Emissions Factors'!$R$36*$P$16/10^6,"")</f>
        <v/>
      </c>
      <c r="Q69" s="259" t="str">
        <f>IF($Q$24="Y",IFERROR($E69*SUM($E$3,$E$4,$E$5)*('Emissions Factors'!$T$143*$P$16)/10^6,""),"")</f>
        <v/>
      </c>
      <c r="R69" s="258"/>
      <c r="T69" s="180" t="str">
        <f t="shared" si="2"/>
        <v/>
      </c>
      <c r="U69" s="180" t="str">
        <f t="shared" si="3"/>
        <v/>
      </c>
      <c r="V69" s="177"/>
      <c r="X69" s="180">
        <f t="shared" si="4"/>
        <v>104.52696015238654</v>
      </c>
      <c r="Y69" s="180">
        <f t="shared" si="5"/>
        <v>0</v>
      </c>
    </row>
    <row r="70" spans="1:25" ht="15.6" x14ac:dyDescent="0.3">
      <c r="A70" s="152">
        <v>2058</v>
      </c>
      <c r="B70" s="178">
        <f t="shared" si="0"/>
        <v>0</v>
      </c>
      <c r="C70" s="182">
        <f t="shared" si="7"/>
        <v>0</v>
      </c>
      <c r="D70" s="183"/>
      <c r="E70" s="179">
        <f t="shared" si="6"/>
        <v>11.297123432238976</v>
      </c>
      <c r="F70" s="183">
        <f t="shared" si="8"/>
        <v>0.5410489123835589</v>
      </c>
      <c r="G70" s="247">
        <f t="shared" si="1"/>
        <v>0.35276799593966274</v>
      </c>
      <c r="H70" s="246"/>
      <c r="J70" s="182"/>
      <c r="K70" s="182"/>
      <c r="L70" s="182"/>
      <c r="M70" s="182"/>
      <c r="N70" s="163"/>
      <c r="O70" s="259">
        <f>IF(O$24="Y",E70*$O$16*'Emissions Factors'!B55,"")</f>
        <v>109.31146205271408</v>
      </c>
      <c r="P70" s="259" t="str">
        <f>IF(P$24="Y",E70*$E$5*'Emissions Factors'!$R$36*$P$16/10^6,"")</f>
        <v/>
      </c>
      <c r="Q70" s="259" t="str">
        <f>IF($Q$24="Y",IFERROR($E70*SUM($E$3,$E$4,$E$5)*('Emissions Factors'!$T$143*$P$16)/10^6,""),"")</f>
        <v/>
      </c>
      <c r="R70" s="258"/>
      <c r="T70" s="180" t="str">
        <f t="shared" si="2"/>
        <v/>
      </c>
      <c r="U70" s="180" t="str">
        <f t="shared" si="3"/>
        <v/>
      </c>
      <c r="V70" s="177"/>
      <c r="X70" s="180">
        <f t="shared" si="4"/>
        <v>109.31146205271408</v>
      </c>
      <c r="Y70" s="180">
        <f t="shared" si="5"/>
        <v>0</v>
      </c>
    </row>
    <row r="71" spans="1:25" ht="15.6" x14ac:dyDescent="0.3">
      <c r="A71" s="152">
        <v>2059</v>
      </c>
      <c r="B71" s="178">
        <f t="shared" si="0"/>
        <v>0</v>
      </c>
      <c r="C71" s="182">
        <f t="shared" si="7"/>
        <v>0</v>
      </c>
      <c r="D71" s="183"/>
      <c r="E71" s="179">
        <f t="shared" si="6"/>
        <v>11.852197041414021</v>
      </c>
      <c r="F71" s="183">
        <f t="shared" si="8"/>
        <v>0.55507360917504478</v>
      </c>
      <c r="G71" s="247">
        <f t="shared" si="1"/>
        <v>0.34660603537023732</v>
      </c>
      <c r="H71" s="246"/>
      <c r="J71" s="182"/>
      <c r="K71" s="182"/>
      <c r="L71" s="182"/>
      <c r="M71" s="182"/>
      <c r="N71" s="163"/>
      <c r="O71" s="259">
        <f>IF(O$24="Y",E71*$O$16*'Emissions Factors'!B56,"")</f>
        <v>114.17422538108868</v>
      </c>
      <c r="P71" s="259" t="str">
        <f>IF(P$24="Y",E71*$E$5*'Emissions Factors'!$R$36*$P$16/10^6,"")</f>
        <v/>
      </c>
      <c r="Q71" s="259" t="str">
        <f>IF($Q$24="Y",IFERROR($E71*SUM($E$3,$E$4,$E$5)*('Emissions Factors'!$T$143*$P$16)/10^6,""),"")</f>
        <v/>
      </c>
      <c r="R71" s="258"/>
      <c r="T71" s="180" t="str">
        <f t="shared" si="2"/>
        <v/>
      </c>
      <c r="U71" s="180" t="str">
        <f t="shared" si="3"/>
        <v/>
      </c>
      <c r="V71" s="177"/>
      <c r="X71" s="180">
        <f t="shared" si="4"/>
        <v>114.17422538108868</v>
      </c>
      <c r="Y71" s="180">
        <f t="shared" si="5"/>
        <v>0</v>
      </c>
    </row>
    <row r="72" spans="1:25" ht="15.6" x14ac:dyDescent="0.3">
      <c r="A72" s="152">
        <v>2060</v>
      </c>
      <c r="B72" s="178">
        <f t="shared" si="0"/>
        <v>0</v>
      </c>
      <c r="C72" s="182">
        <f t="shared" si="7"/>
        <v>0</v>
      </c>
      <c r="D72" s="183"/>
      <c r="E72" s="179">
        <f t="shared" si="6"/>
        <v>12.420472342978981</v>
      </c>
      <c r="F72" s="183">
        <f t="shared" si="8"/>
        <v>0.56827530156495953</v>
      </c>
      <c r="G72" s="247">
        <f t="shared" si="1"/>
        <v>0.34054563842250068</v>
      </c>
      <c r="H72" s="246"/>
      <c r="J72" s="182"/>
      <c r="K72" s="182"/>
      <c r="L72" s="182"/>
      <c r="M72" s="182"/>
      <c r="N72" s="163"/>
      <c r="O72" s="259">
        <f>IF(O$24="Y",E72*$O$16*'Emissions Factors'!B57,"")</f>
        <v>119.14346796094031</v>
      </c>
      <c r="P72" s="259" t="str">
        <f>IF(P$24="Y",E72*$E$5*'Emissions Factors'!$R$36*$P$16/10^6,"")</f>
        <v/>
      </c>
      <c r="Q72" s="259" t="str">
        <f>IF($Q$24="Y",IFERROR($E72*SUM($E$3,$E$4,$E$5)*('Emissions Factors'!$T$143*$P$16)/10^6,""),"")</f>
        <v/>
      </c>
      <c r="R72" s="258"/>
      <c r="T72" s="180" t="str">
        <f t="shared" si="2"/>
        <v/>
      </c>
      <c r="U72" s="180" t="str">
        <f t="shared" si="3"/>
        <v/>
      </c>
      <c r="V72" s="177"/>
      <c r="X72" s="180">
        <f t="shared" si="4"/>
        <v>119.14346796094031</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51.454784899347537</v>
      </c>
      <c r="C85" s="253">
        <f>(C137/Population_Tables!P3)*Population_Tables!D3</f>
        <v>14.63890839967091</v>
      </c>
      <c r="D85" s="253">
        <f>(D137/Population_Tables!Q3)*Population_Tables!E3</f>
        <v>1.9920692037759276</v>
      </c>
      <c r="E85" s="253">
        <f>(E137/Population_Tables!R3)*Population_Tables!F3</f>
        <v>22.829401625430965</v>
      </c>
      <c r="F85" s="253">
        <f>(F137/Population_Tables!S3)*Population_Tables!G3</f>
        <v>3.9482310577903004</v>
      </c>
      <c r="G85" s="253">
        <f>(G137/Population_Tables!T3)*Population_Tables!H3</f>
        <v>1.2603858871628411</v>
      </c>
      <c r="H85" s="253">
        <f>(H137/Population_Tables!U3)*Population_Tables!I3</f>
        <v>17.439282369233027</v>
      </c>
      <c r="I85" s="253">
        <f>(I137/Population_Tables!V3)*Population_Tables!J3</f>
        <v>4.6948149288588139</v>
      </c>
      <c r="J85" s="253">
        <f>(J137/Population_Tables!W3)*Population_Tables!K3</f>
        <v>6.8462656993072342</v>
      </c>
      <c r="K85" s="253">
        <f>(K137/Population_Tables!X3)*Population_Tables!L3</f>
        <v>7.4924316730035754</v>
      </c>
      <c r="N85" s="195">
        <f t="shared" ref="N85:N131" si="9">SUMIF($C$83:$G$83,"Y",C85:G85)-H85</f>
        <v>9.3383503139882365</v>
      </c>
      <c r="O85" s="195">
        <f>H85</f>
        <v>17.439282369233027</v>
      </c>
      <c r="P85" s="195">
        <f t="shared" ref="P85:P131" si="10">SUMIF($C$83:$G$83,"N",C85:G85)-(IF($E$83="N",H85))</f>
        <v>17.891363490609677</v>
      </c>
      <c r="Q85" s="195">
        <f>N85+P85+O85</f>
        <v>44.668996173830941</v>
      </c>
      <c r="R85" s="196">
        <f>N85/Q85</f>
        <v>0.20905664138159102</v>
      </c>
      <c r="U85" s="197">
        <v>0</v>
      </c>
      <c r="V85" s="195">
        <f>O85-O137</f>
        <v>0</v>
      </c>
      <c r="W85" s="197">
        <v>0</v>
      </c>
      <c r="X85" s="195">
        <f>U85+V85+W85</f>
        <v>0</v>
      </c>
      <c r="Y85" s="196">
        <v>0</v>
      </c>
      <c r="AC85" s="251">
        <f>(B85-B137)/((SUM(C85:G85)-SUM(C137:G137)))</f>
        <v>1.2225137845340708</v>
      </c>
      <c r="AF85" s="250">
        <f>B85</f>
        <v>51.454784899347537</v>
      </c>
      <c r="AG85" s="250">
        <f>SUM(C85:G85)</f>
        <v>44.668996173830941</v>
      </c>
      <c r="AH85" s="250">
        <f>AG85-AF85</f>
        <v>-6.7857887255165963</v>
      </c>
      <c r="AI85" s="251">
        <f>AH85/AG85</f>
        <v>-0.15191272038237585</v>
      </c>
    </row>
    <row r="86" spans="1:35" ht="15.6" x14ac:dyDescent="0.3">
      <c r="A86" s="194">
        <v>2015</v>
      </c>
      <c r="B86" s="253">
        <f>(B138/Population_Tables!O4)*Population_Tables!C4</f>
        <v>54.446376908618006</v>
      </c>
      <c r="C86" s="253">
        <f>(C138/Population_Tables!P4)*Population_Tables!D4</f>
        <v>16.711538858527337</v>
      </c>
      <c r="D86" s="253">
        <f>(D138/Population_Tables!Q4)*Population_Tables!E4</f>
        <v>2.0699939491968133</v>
      </c>
      <c r="E86" s="253">
        <f>(E138/Population_Tables!R4)*Population_Tables!F4</f>
        <v>24.553197757087613</v>
      </c>
      <c r="F86" s="253">
        <f>(F138/Population_Tables!S4)*Population_Tables!G4</f>
        <v>4.0388326275602644</v>
      </c>
      <c r="G86" s="253">
        <f>(G138/Population_Tables!T4)*Population_Tables!H4</f>
        <v>1.2928975683685375</v>
      </c>
      <c r="H86" s="253">
        <f>(H138/Population_Tables!U4)*Population_Tables!I4</f>
        <v>19.194195388345928</v>
      </c>
      <c r="I86" s="253">
        <f>(I138/Population_Tables!V4)*Population_Tables!J4</f>
        <v>4.8414743414533277</v>
      </c>
      <c r="J86" s="253">
        <f>(J138/Population_Tables!W4)*Population_Tables!K4</f>
        <v>7.3085335268491471</v>
      </c>
      <c r="K86" s="253">
        <f>(K138/Population_Tables!X4)*Population_Tables!L4</f>
        <v>7.5939339513900279</v>
      </c>
      <c r="N86" s="195">
        <f t="shared" si="9"/>
        <v>9.397834996301949</v>
      </c>
      <c r="O86" s="195">
        <f t="shared" ref="O86:O131" si="11">H86</f>
        <v>19.194195388345928</v>
      </c>
      <c r="P86" s="195">
        <f t="shared" si="10"/>
        <v>20.074430376092689</v>
      </c>
      <c r="Q86" s="195">
        <f t="shared" ref="Q86:Q131" si="12">N86+P86+O86</f>
        <v>48.666460760740563</v>
      </c>
      <c r="R86" s="196">
        <f t="shared" ref="R86:R130" si="13">N86/Q86</f>
        <v>0.19310701557905813</v>
      </c>
      <c r="U86" s="197">
        <v>0</v>
      </c>
      <c r="V86" s="195">
        <f t="shared" ref="V86:W131" si="14">O86-O138</f>
        <v>0</v>
      </c>
      <c r="W86" s="197">
        <v>0</v>
      </c>
      <c r="X86" s="195">
        <f>U86+V86+W86</f>
        <v>0</v>
      </c>
      <c r="Y86" s="196">
        <v>0</v>
      </c>
      <c r="AC86" s="251">
        <f t="shared" ref="AC86:AC131" si="15">(B86-B138)/((SUM(C86:G86)-SUM(C138:G138)))</f>
        <v>1.2005896979974966</v>
      </c>
    </row>
    <row r="87" spans="1:35" ht="15.6" x14ac:dyDescent="0.3">
      <c r="A87" s="194">
        <v>2016</v>
      </c>
      <c r="B87" s="253">
        <f>(B139/Population_Tables!O5)*Population_Tables!C5</f>
        <v>57.081453359320918</v>
      </c>
      <c r="C87" s="253">
        <f>(C139/Population_Tables!P5)*Population_Tables!D5</f>
        <v>16.552972550290875</v>
      </c>
      <c r="D87" s="253">
        <f>(D139/Population_Tables!Q5)*Population_Tables!E5</f>
        <v>2.1508664952208356</v>
      </c>
      <c r="E87" s="253">
        <f>(E139/Population_Tables!R5)*Population_Tables!F5</f>
        <v>25.942807921896048</v>
      </c>
      <c r="F87" s="253">
        <f>(F139/Population_Tables!S5)*Population_Tables!G5</f>
        <v>4.2235222130056576</v>
      </c>
      <c r="G87" s="253">
        <f>(G139/Population_Tables!T5)*Population_Tables!H5</f>
        <v>1.3327402612158661</v>
      </c>
      <c r="H87" s="253">
        <f>(H139/Population_Tables!U5)*Population_Tables!I5</f>
        <v>20.035786418782706</v>
      </c>
      <c r="I87" s="253">
        <f>(I139/Population_Tables!V5)*Population_Tables!J5</f>
        <v>5.2988529476936597</v>
      </c>
      <c r="J87" s="253">
        <f>(J139/Population_Tables!W5)*Population_Tables!K5</f>
        <v>7.3446995972457803</v>
      </c>
      <c r="K87" s="253">
        <f>(K139/Population_Tables!X5)*Population_Tables!L5</f>
        <v>7.704709268917294</v>
      </c>
      <c r="N87" s="195">
        <f t="shared" si="9"/>
        <v>10.130543716119</v>
      </c>
      <c r="O87" s="195">
        <f t="shared" si="11"/>
        <v>20.035786418782706</v>
      </c>
      <c r="P87" s="195">
        <f t="shared" si="10"/>
        <v>20.036579306727575</v>
      </c>
      <c r="Q87" s="195">
        <f t="shared" si="12"/>
        <v>50.202909441629281</v>
      </c>
      <c r="R87" s="196">
        <f t="shared" si="13"/>
        <v>0.20179196442584155</v>
      </c>
      <c r="U87" s="195">
        <f>N87-N139</f>
        <v>-7.7816034803390721E-5</v>
      </c>
      <c r="V87" s="195">
        <f>O87-O139</f>
        <v>0</v>
      </c>
      <c r="W87" s="195">
        <f>P87-P139</f>
        <v>0</v>
      </c>
      <c r="X87" s="195">
        <f>U87+V87+W87</f>
        <v>-7.7816034803390721E-5</v>
      </c>
      <c r="Y87" s="196">
        <f t="shared" ref="Y87:Y131" si="16">U87/X87</f>
        <v>1</v>
      </c>
      <c r="AC87" s="251">
        <f>(B87-B139)/((SUM(C87:G87)-SUM(C139:G139)))</f>
        <v>1.1890602401298884</v>
      </c>
    </row>
    <row r="88" spans="1:35" ht="15.6" x14ac:dyDescent="0.3">
      <c r="A88" s="194">
        <v>2017</v>
      </c>
      <c r="B88" s="253">
        <f>(B140/Population_Tables!O6)*Population_Tables!C6</f>
        <v>59.808668612490486</v>
      </c>
      <c r="C88" s="253">
        <f>(C140/Population_Tables!P6)*Population_Tables!D6</f>
        <v>16.427300488451106</v>
      </c>
      <c r="D88" s="253">
        <f>(D140/Population_Tables!Q6)*Population_Tables!E6</f>
        <v>2.2329381235187435</v>
      </c>
      <c r="E88" s="253">
        <f>(E140/Population_Tables!R6)*Population_Tables!F6</f>
        <v>27.395726621016617</v>
      </c>
      <c r="F88" s="253">
        <f>(F140/Population_Tables!S6)*Population_Tables!G6</f>
        <v>4.41644110091696</v>
      </c>
      <c r="G88" s="253">
        <f>(G140/Population_Tables!T6)*Population_Tables!H6</f>
        <v>1.3749137581310149</v>
      </c>
      <c r="H88" s="253">
        <f>(H140/Population_Tables!U6)*Population_Tables!I6</f>
        <v>20.878555492508404</v>
      </c>
      <c r="I88" s="253">
        <f>(I140/Population_Tables!V6)*Population_Tables!J6</f>
        <v>5.8021201707966679</v>
      </c>
      <c r="J88" s="253">
        <f>(J140/Population_Tables!W6)*Population_Tables!K6</f>
        <v>7.3870718774110502</v>
      </c>
      <c r="K88" s="253">
        <f>(K140/Population_Tables!X6)*Population_Tables!L6</f>
        <v>7.8171875275112015</v>
      </c>
      <c r="N88" s="195">
        <f t="shared" si="9"/>
        <v>10.933612229425172</v>
      </c>
      <c r="O88" s="195">
        <f>H88</f>
        <v>20.878555492508404</v>
      </c>
      <c r="P88" s="195">
        <f t="shared" si="10"/>
        <v>20.035152370100864</v>
      </c>
      <c r="Q88" s="195">
        <f t="shared" si="12"/>
        <v>51.847320092034437</v>
      </c>
      <c r="R88" s="196">
        <f t="shared" si="13"/>
        <v>0.21088095218840361</v>
      </c>
      <c r="U88" s="195">
        <f>N88-N140</f>
        <v>-8.0043152401287898E-5</v>
      </c>
      <c r="V88" s="195">
        <f t="shared" si="14"/>
        <v>0</v>
      </c>
      <c r="W88" s="195">
        <f t="shared" si="14"/>
        <v>0</v>
      </c>
      <c r="X88" s="195">
        <f t="shared" ref="X88:X131" si="17">U88+V88+W88</f>
        <v>-8.0043152401287898E-5</v>
      </c>
      <c r="Y88" s="196">
        <f t="shared" si="16"/>
        <v>1</v>
      </c>
      <c r="AC88" s="251">
        <f t="shared" si="15"/>
        <v>1.1775543599135498</v>
      </c>
    </row>
    <row r="89" spans="1:35" ht="15.6" x14ac:dyDescent="0.3">
      <c r="A89" s="194">
        <v>2018</v>
      </c>
      <c r="B89" s="253">
        <f>(B141/Population_Tables!O7)*Population_Tables!C7</f>
        <v>62.627653833002547</v>
      </c>
      <c r="C89" s="253">
        <f>(C141/Population_Tables!P7)*Population_Tables!D7</f>
        <v>16.333029420875359</v>
      </c>
      <c r="D89" s="253">
        <f>(D141/Population_Tables!Q7)*Population_Tables!E7</f>
        <v>2.3162081559063363</v>
      </c>
      <c r="E89" s="253">
        <f>(E141/Population_Tables!R7)*Population_Tables!F7</f>
        <v>28.91095975967129</v>
      </c>
      <c r="F89" s="253">
        <f>(F141/Population_Tables!S7)*Population_Tables!G7</f>
        <v>4.618777107979005</v>
      </c>
      <c r="G89" s="253">
        <f>(G141/Population_Tables!T7)*Population_Tables!H7</f>
        <v>1.4193768156503166</v>
      </c>
      <c r="H89" s="253">
        <f>(H141/Population_Tables!U7)*Population_Tables!I7</f>
        <v>21.72201069127312</v>
      </c>
      <c r="I89" s="253">
        <f>(I141/Population_Tables!V7)*Population_Tables!J7</f>
        <v>6.3511530168064247</v>
      </c>
      <c r="J89" s="253">
        <f>(J141/Population_Tables!W7)*Population_Tables!K7</f>
        <v>7.43535486523841</v>
      </c>
      <c r="K89" s="253">
        <f>(K141/Population_Tables!X7)*Population_Tables!L7</f>
        <v>7.9313649249864007</v>
      </c>
      <c r="N89" s="195">
        <f t="shared" si="9"/>
        <v>11.807726176377173</v>
      </c>
      <c r="O89" s="195">
        <f t="shared" si="11"/>
        <v>21.72201069127312</v>
      </c>
      <c r="P89" s="195">
        <f t="shared" si="10"/>
        <v>20.068614392432011</v>
      </c>
      <c r="Q89" s="195">
        <f t="shared" si="12"/>
        <v>53.598351260082303</v>
      </c>
      <c r="R89" s="196">
        <f t="shared" si="13"/>
        <v>0.22030017526250006</v>
      </c>
      <c r="U89" s="195">
        <f t="shared" ref="U89:U131" si="18">N89-N141</f>
        <v>-8.2016511775862E-5</v>
      </c>
      <c r="V89" s="195">
        <f t="shared" si="14"/>
        <v>0</v>
      </c>
      <c r="W89" s="195">
        <f t="shared" si="14"/>
        <v>0</v>
      </c>
      <c r="X89" s="195">
        <f t="shared" si="17"/>
        <v>-8.2016511775862E-5</v>
      </c>
      <c r="Y89" s="196">
        <f t="shared" si="16"/>
        <v>1</v>
      </c>
      <c r="AC89" s="251">
        <f t="shared" si="15"/>
        <v>1.1661446074512263</v>
      </c>
    </row>
    <row r="90" spans="1:35" ht="16.2" thickBot="1" x14ac:dyDescent="0.35">
      <c r="A90" s="198">
        <v>2019</v>
      </c>
      <c r="B90" s="253">
        <f>(B142/Population_Tables!O8)*Population_Tables!C8</f>
        <v>65.538039690198943</v>
      </c>
      <c r="C90" s="253">
        <f>(C142/Population_Tables!P8)*Population_Tables!D8</f>
        <v>16.26866609543098</v>
      </c>
      <c r="D90" s="253">
        <f>(D142/Population_Tables!Q8)*Population_Tables!E8</f>
        <v>2.4006759141994158</v>
      </c>
      <c r="E90" s="253">
        <f>(E142/Population_Tables!R8)*Population_Tables!F8</f>
        <v>30.48751281339554</v>
      </c>
      <c r="F90" s="253">
        <f>(F142/Population_Tables!S8)*Population_Tables!G8</f>
        <v>4.8317180508766295</v>
      </c>
      <c r="G90" s="253">
        <f>(G142/Population_Tables!T8)*Population_Tables!H8</f>
        <v>1.4660881903101028</v>
      </c>
      <c r="H90" s="253">
        <f>(H142/Population_Tables!U8)*Population_Tables!I8</f>
        <v>22.565660096826957</v>
      </c>
      <c r="I90" s="253">
        <f>(I142/Population_Tables!V8)*Population_Tables!J8</f>
        <v>6.9458284917670037</v>
      </c>
      <c r="J90" s="253">
        <f>(J142/Population_Tables!W8)*Population_Tables!K8</f>
        <v>7.4892530586213129</v>
      </c>
      <c r="K90" s="253">
        <f>(K142/Population_Tables!X8)*Population_Tables!L8</f>
        <v>8.0472376591575454</v>
      </c>
      <c r="N90" s="195">
        <f t="shared" si="9"/>
        <v>12.753570767445215</v>
      </c>
      <c r="O90" s="195">
        <f t="shared" si="11"/>
        <v>22.565660096826957</v>
      </c>
      <c r="P90" s="195">
        <f t="shared" si="10"/>
        <v>20.135430199940497</v>
      </c>
      <c r="Q90" s="195">
        <f t="shared" si="12"/>
        <v>55.454661064212672</v>
      </c>
      <c r="R90" s="199">
        <f t="shared" si="13"/>
        <v>0.22998194421705076</v>
      </c>
      <c r="U90" s="200">
        <f t="shared" si="18"/>
        <v>-8.414303170667381E-5</v>
      </c>
      <c r="V90" s="195">
        <f t="shared" si="14"/>
        <v>0</v>
      </c>
      <c r="W90" s="200">
        <f t="shared" si="14"/>
        <v>0</v>
      </c>
      <c r="X90" s="195">
        <f t="shared" si="17"/>
        <v>-8.414303170667381E-5</v>
      </c>
      <c r="Y90" s="199">
        <f t="shared" si="16"/>
        <v>1</v>
      </c>
      <c r="AC90" s="251">
        <f t="shared" si="15"/>
        <v>1.1548771994780853</v>
      </c>
    </row>
    <row r="91" spans="1:35" ht="15.6" x14ac:dyDescent="0.3">
      <c r="A91" s="201">
        <v>2020</v>
      </c>
      <c r="B91" s="253">
        <f>(B143/Population_Tables!O9)*Population_Tables!C9</f>
        <v>68.539457300920873</v>
      </c>
      <c r="C91" s="253">
        <f>(C143/Population_Tables!P9)*Population_Tables!D9</f>
        <v>16.232717259985296</v>
      </c>
      <c r="D91" s="253">
        <f>(D143/Population_Tables!Q9)*Population_Tables!E9</f>
        <v>2.4863407202137813</v>
      </c>
      <c r="E91" s="253">
        <f>(E143/Population_Tables!R9)*Population_Tables!F9</f>
        <v>32.124391625701982</v>
      </c>
      <c r="F91" s="253">
        <f>(F143/Population_Tables!S9)*Population_Tables!G9</f>
        <v>5.0564517462946679</v>
      </c>
      <c r="G91" s="253">
        <f>(G143/Population_Tables!T9)*Population_Tables!H9</f>
        <v>1.5150066386467069</v>
      </c>
      <c r="H91" s="253">
        <f>(H143/Population_Tables!U9)*Population_Tables!I9</f>
        <v>23.409011790920012</v>
      </c>
      <c r="I91" s="253">
        <f>(I143/Population_Tables!V9)*Population_Tables!J9</f>
        <v>7.5860236017224789</v>
      </c>
      <c r="J91" s="253">
        <f>(J143/Population_Tables!W9)*Population_Tables!K9</f>
        <v>7.5484709554532063</v>
      </c>
      <c r="K91" s="253">
        <f>(K143/Population_Tables!X9)*Population_Tables!L9</f>
        <v>8.1648019278392887</v>
      </c>
      <c r="L91" s="202"/>
      <c r="M91" s="202"/>
      <c r="N91" s="195">
        <f t="shared" si="9"/>
        <v>13.77183158107664</v>
      </c>
      <c r="O91" s="195">
        <f t="shared" si="11"/>
        <v>23.409011790920012</v>
      </c>
      <c r="P91" s="195">
        <f t="shared" si="10"/>
        <v>20.234064618845785</v>
      </c>
      <c r="Q91" s="195">
        <f t="shared" si="12"/>
        <v>57.414907990842437</v>
      </c>
      <c r="R91" s="203">
        <f t="shared" si="13"/>
        <v>0.23986508143970586</v>
      </c>
      <c r="S91" s="202"/>
      <c r="T91" s="202"/>
      <c r="U91" s="204">
        <f>N91-N143</f>
        <v>-8.6461653857838883E-5</v>
      </c>
      <c r="V91" s="195">
        <f t="shared" si="14"/>
        <v>0</v>
      </c>
      <c r="W91" s="204">
        <f t="shared" si="14"/>
        <v>0</v>
      </c>
      <c r="X91" s="195">
        <f t="shared" si="17"/>
        <v>-8.6461653857838883E-5</v>
      </c>
      <c r="Y91" s="205">
        <f>U91/X91</f>
        <v>1</v>
      </c>
      <c r="AC91" s="251">
        <f t="shared" si="15"/>
        <v>1.143697735134952</v>
      </c>
    </row>
    <row r="92" spans="1:35" ht="15.6" x14ac:dyDescent="0.3">
      <c r="A92" s="206">
        <v>2021</v>
      </c>
      <c r="B92" s="253">
        <f>(B144/Population_Tables!O10)*Population_Tables!C10</f>
        <v>71.72222162135678</v>
      </c>
      <c r="C92" s="253">
        <f>(C144/Population_Tables!P10)*Population_Tables!D10</f>
        <v>16.240517343879642</v>
      </c>
      <c r="D92" s="253">
        <f>(D144/Population_Tables!Q10)*Population_Tables!E10</f>
        <v>2.5762546479279296</v>
      </c>
      <c r="E92" s="253">
        <f>(E144/Population_Tables!R10)*Population_Tables!F10</f>
        <v>33.861071590248677</v>
      </c>
      <c r="F92" s="253">
        <f>(F144/Population_Tables!S10)*Population_Tables!G10</f>
        <v>5.3012641041354307</v>
      </c>
      <c r="G92" s="253">
        <f>(G144/Population_Tables!T10)*Population_Tables!H10</f>
        <v>1.5690567533498156</v>
      </c>
      <c r="H92" s="253">
        <f>(H144/Population_Tables!U10)*Population_Tables!I10</f>
        <v>24.277022351821763</v>
      </c>
      <c r="I92" s="253">
        <f>(I144/Population_Tables!V10)*Population_Tables!J10</f>
        <v>8.2811314122855446</v>
      </c>
      <c r="J92" s="253">
        <f>(J144/Population_Tables!W10)*Population_Tables!K10</f>
        <v>7.6205890703710111</v>
      </c>
      <c r="K92" s="253">
        <f>(K144/Population_Tables!X10)*Population_Tables!L10</f>
        <v>8.2928058281582029</v>
      </c>
      <c r="L92" s="170"/>
      <c r="M92" s="170"/>
      <c r="N92" s="195">
        <f t="shared" si="9"/>
        <v>14.885313342562348</v>
      </c>
      <c r="O92" s="195">
        <f t="shared" si="11"/>
        <v>24.277022351821763</v>
      </c>
      <c r="P92" s="195">
        <f t="shared" si="10"/>
        <v>20.385828745157387</v>
      </c>
      <c r="Q92" s="195">
        <f t="shared" si="12"/>
        <v>59.548164439541502</v>
      </c>
      <c r="R92" s="196">
        <f t="shared" si="13"/>
        <v>0.24997098538066978</v>
      </c>
      <c r="S92" s="170"/>
      <c r="T92" s="170"/>
      <c r="U92" s="195">
        <f t="shared" si="18"/>
        <v>2.2030135523682048E-2</v>
      </c>
      <c r="V92" s="195">
        <f t="shared" si="14"/>
        <v>2.5448496519384634E-2</v>
      </c>
      <c r="W92" s="195">
        <f t="shared" si="14"/>
        <v>2.2846269790044005E-2</v>
      </c>
      <c r="X92" s="195">
        <f t="shared" si="17"/>
        <v>7.0324901833110687E-2</v>
      </c>
      <c r="Y92" s="207">
        <f t="shared" si="16"/>
        <v>0.31326222930196429</v>
      </c>
      <c r="AC92" s="251">
        <f t="shared" si="15"/>
        <v>1.2880647525916942</v>
      </c>
    </row>
    <row r="93" spans="1:35" ht="15.6" x14ac:dyDescent="0.3">
      <c r="A93" s="206">
        <v>2022</v>
      </c>
      <c r="B93" s="253">
        <f>(B145/Population_Tables!O11)*Population_Tables!C11</f>
        <v>75.025641530035884</v>
      </c>
      <c r="C93" s="253">
        <f>(C145/Population_Tables!P11)*Population_Tables!D11</f>
        <v>16.278433647713527</v>
      </c>
      <c r="D93" s="253">
        <f>(D145/Population_Tables!Q11)*Population_Tables!E11</f>
        <v>2.66811113254882</v>
      </c>
      <c r="E93" s="253">
        <f>(E145/Population_Tables!R11)*Population_Tables!F11</f>
        <v>35.673888453021078</v>
      </c>
      <c r="F93" s="253">
        <f>(F145/Population_Tables!S11)*Population_Tables!G11</f>
        <v>5.5620651961461949</v>
      </c>
      <c r="G93" s="253">
        <f>(G145/Population_Tables!T11)*Population_Tables!H11</f>
        <v>1.6255284906940679</v>
      </c>
      <c r="H93" s="253">
        <f>(H145/Population_Tables!U11)*Population_Tables!I11</f>
        <v>25.151579809095526</v>
      </c>
      <c r="I93" s="253">
        <f>(I145/Population_Tables!V11)*Population_Tables!J11</f>
        <v>9.0273671836512666</v>
      </c>
      <c r="J93" s="253">
        <f>(J145/Population_Tables!W11)*Population_Tables!K11</f>
        <v>7.6994516769407184</v>
      </c>
      <c r="K93" s="253">
        <f>(K145/Population_Tables!X11)*Population_Tables!L11</f>
        <v>8.4255415378102629</v>
      </c>
      <c r="L93" s="170"/>
      <c r="M93" s="170"/>
      <c r="N93" s="195">
        <f t="shared" si="9"/>
        <v>16.084373840071745</v>
      </c>
      <c r="O93" s="195">
        <f t="shared" si="11"/>
        <v>25.151579809095526</v>
      </c>
      <c r="P93" s="195">
        <f t="shared" si="10"/>
        <v>20.572073270956416</v>
      </c>
      <c r="Q93" s="195">
        <f t="shared" si="12"/>
        <v>61.80802692012368</v>
      </c>
      <c r="R93" s="196">
        <f t="shared" si="13"/>
        <v>0.2602311486315208</v>
      </c>
      <c r="S93" s="170"/>
      <c r="T93" s="170"/>
      <c r="U93" s="195">
        <f t="shared" si="18"/>
        <v>5.5937819281311363E-2</v>
      </c>
      <c r="V93" s="195">
        <f t="shared" si="14"/>
        <v>5.8725437371364819E-2</v>
      </c>
      <c r="W93" s="195">
        <f t="shared" si="14"/>
        <v>5.1424675231771744E-2</v>
      </c>
      <c r="X93" s="195">
        <f t="shared" si="17"/>
        <v>0.16608793188444793</v>
      </c>
      <c r="Y93" s="207">
        <f t="shared" si="16"/>
        <v>0.33679641047146575</v>
      </c>
      <c r="AC93" s="251">
        <f t="shared" si="15"/>
        <v>1.2741822279702248</v>
      </c>
    </row>
    <row r="94" spans="1:35" ht="15.6" x14ac:dyDescent="0.3">
      <c r="A94" s="206">
        <v>2023</v>
      </c>
      <c r="B94" s="253">
        <f>(B146/Population_Tables!O12)*Population_Tables!C12</f>
        <v>78.448688278648248</v>
      </c>
      <c r="C94" s="253">
        <f>(C146/Population_Tables!P12)*Population_Tables!D12</f>
        <v>16.34429054244108</v>
      </c>
      <c r="D94" s="253">
        <f>(D146/Population_Tables!Q12)*Population_Tables!E12</f>
        <v>2.7619068546551842</v>
      </c>
      <c r="E94" s="253">
        <f>(E146/Population_Tables!R12)*Population_Tables!F12</f>
        <v>37.561210269249322</v>
      </c>
      <c r="F94" s="253">
        <f>(F146/Population_Tables!S12)*Population_Tables!G12</f>
        <v>5.8401318262058188</v>
      </c>
      <c r="G94" s="253">
        <f>(G146/Population_Tables!T12)*Population_Tables!H12</f>
        <v>1.6844832303391291</v>
      </c>
      <c r="H94" s="253">
        <f>(H146/Population_Tables!U12)*Population_Tables!I12</f>
        <v>26.031705973842708</v>
      </c>
      <c r="I94" s="253">
        <f>(I146/Population_Tables!V12)*Population_Tables!J12</f>
        <v>9.8247358123884947</v>
      </c>
      <c r="J94" s="253">
        <f>(J146/Population_Tables!W12)*Population_Tables!K12</f>
        <v>7.7845292429764488</v>
      </c>
      <c r="K94" s="253">
        <f>(K146/Population_Tables!X12)*Population_Tables!L12</f>
        <v>8.5626280228682319</v>
      </c>
      <c r="L94" s="170"/>
      <c r="M94" s="170"/>
      <c r="N94" s="195">
        <f t="shared" si="9"/>
        <v>17.369636121612434</v>
      </c>
      <c r="O94" s="195">
        <f t="shared" si="11"/>
        <v>26.031705973842708</v>
      </c>
      <c r="P94" s="195">
        <f t="shared" si="10"/>
        <v>20.790680627435393</v>
      </c>
      <c r="Q94" s="195">
        <f t="shared" si="12"/>
        <v>64.192022722890528</v>
      </c>
      <c r="R94" s="196">
        <f t="shared" si="13"/>
        <v>0.27058870222231701</v>
      </c>
      <c r="S94" s="170"/>
      <c r="T94" s="170"/>
      <c r="U94" s="195">
        <f>N94-N146</f>
        <v>0.10157402023762785</v>
      </c>
      <c r="V94" s="195">
        <f t="shared" si="14"/>
        <v>9.9344551907250889E-2</v>
      </c>
      <c r="W94" s="195">
        <f t="shared" si="14"/>
        <v>8.5152821298240866E-2</v>
      </c>
      <c r="X94" s="195">
        <f t="shared" si="17"/>
        <v>0.2860713934431196</v>
      </c>
      <c r="Y94" s="207">
        <f t="shared" si="16"/>
        <v>0.35506528288304401</v>
      </c>
      <c r="AC94" s="251">
        <f t="shared" si="15"/>
        <v>1.266715278109855</v>
      </c>
    </row>
    <row r="95" spans="1:35" ht="15.6" x14ac:dyDescent="0.3">
      <c r="A95" s="206">
        <v>2024</v>
      </c>
      <c r="B95" s="253">
        <f>(B147/Population_Tables!O13)*Population_Tables!C13</f>
        <v>81.991686408518078</v>
      </c>
      <c r="C95" s="253">
        <f>(C147/Population_Tables!P13)*Population_Tables!D13</f>
        <v>16.436085752745015</v>
      </c>
      <c r="D95" s="253">
        <f>(D147/Population_Tables!Q13)*Population_Tables!E13</f>
        <v>2.8576280587901337</v>
      </c>
      <c r="E95" s="253">
        <f>(E147/Population_Tables!R13)*Population_Tables!F13</f>
        <v>39.521673213956866</v>
      </c>
      <c r="F95" s="253">
        <f>(F147/Population_Tables!S13)*Population_Tables!G13</f>
        <v>6.1369124622439646</v>
      </c>
      <c r="G95" s="253">
        <f>(G147/Population_Tables!T13)*Population_Tables!H13</f>
        <v>1.7461111687539084</v>
      </c>
      <c r="H95" s="253">
        <f>(H147/Population_Tables!U13)*Population_Tables!I13</f>
        <v>26.916508965348729</v>
      </c>
      <c r="I95" s="253">
        <f>(I147/Population_Tables!V13)*Population_Tables!J13</f>
        <v>10.673319462934307</v>
      </c>
      <c r="J95" s="253">
        <f>(J147/Population_Tables!W13)*Population_Tables!K13</f>
        <v>7.8753435006778361</v>
      </c>
      <c r="K95" s="253">
        <f>(K147/Population_Tables!X13)*Population_Tables!L13</f>
        <v>8.7037619358453604</v>
      </c>
      <c r="L95" s="170"/>
      <c r="M95" s="170"/>
      <c r="N95" s="195">
        <f t="shared" si="9"/>
        <v>18.7420767108521</v>
      </c>
      <c r="O95" s="195">
        <f t="shared" si="11"/>
        <v>26.916508965348729</v>
      </c>
      <c r="P95" s="195">
        <f t="shared" si="10"/>
        <v>21.039824980289058</v>
      </c>
      <c r="Q95" s="195">
        <f t="shared" si="12"/>
        <v>66.698410656489884</v>
      </c>
      <c r="R95" s="196">
        <f t="shared" si="13"/>
        <v>0.28099735100702072</v>
      </c>
      <c r="S95" s="170"/>
      <c r="T95" s="170"/>
      <c r="U95" s="195">
        <f t="shared" si="18"/>
        <v>0.15922964467133838</v>
      </c>
      <c r="V95" s="195">
        <f t="shared" si="14"/>
        <v>0.14690587766236618</v>
      </c>
      <c r="W95" s="195">
        <f t="shared" si="14"/>
        <v>0.12374004746471812</v>
      </c>
      <c r="X95" s="195">
        <f t="shared" si="17"/>
        <v>0.42987556979842267</v>
      </c>
      <c r="Y95" s="207">
        <f t="shared" si="16"/>
        <v>0.37040868534586502</v>
      </c>
      <c r="AC95" s="251">
        <f t="shared" si="15"/>
        <v>1.2643439060816308</v>
      </c>
    </row>
    <row r="96" spans="1:35" ht="15.6" x14ac:dyDescent="0.3">
      <c r="A96" s="206">
        <v>2025</v>
      </c>
      <c r="B96" s="253">
        <f>(B148/Population_Tables!O14)*Population_Tables!C14</f>
        <v>85.655244456308665</v>
      </c>
      <c r="C96" s="253">
        <f>(C148/Population_Tables!P14)*Population_Tables!D14</f>
        <v>16.551973983234411</v>
      </c>
      <c r="D96" s="253">
        <f>(D148/Population_Tables!Q14)*Population_Tables!E14</f>
        <v>2.9552744123290942</v>
      </c>
      <c r="E96" s="253">
        <f>(E148/Population_Tables!R14)*Population_Tables!F14</f>
        <v>41.554166480771528</v>
      </c>
      <c r="F96" s="253">
        <f>(F148/Population_Tables!S14)*Population_Tables!G14</f>
        <v>6.4538730294989861</v>
      </c>
      <c r="G96" s="253">
        <f>(G148/Population_Tables!T14)*Population_Tables!H14</f>
        <v>1.8105659318863798</v>
      </c>
      <c r="H96" s="253">
        <f>(H148/Population_Tables!U14)*Population_Tables!I14</f>
        <v>27.805212031791989</v>
      </c>
      <c r="I96" s="253">
        <f>(I148/Population_Tables!V14)*Population_Tables!J14</f>
        <v>11.573259832068759</v>
      </c>
      <c r="J96" s="253">
        <f>(J148/Population_Tables!W14)*Population_Tables!K14</f>
        <v>7.9714654234249398</v>
      </c>
      <c r="K96" s="253">
        <f>(K148/Population_Tables!X14)*Population_Tables!L14</f>
        <v>8.8487202852049425</v>
      </c>
      <c r="L96" s="170"/>
      <c r="M96" s="170"/>
      <c r="N96" s="195">
        <f t="shared" si="9"/>
        <v>20.202827478478525</v>
      </c>
      <c r="O96" s="195">
        <f t="shared" si="11"/>
        <v>27.805212031791989</v>
      </c>
      <c r="P96" s="195">
        <f t="shared" si="10"/>
        <v>21.317814327449884</v>
      </c>
      <c r="Q96" s="195">
        <f t="shared" si="12"/>
        <v>69.325853837720388</v>
      </c>
      <c r="R96" s="196">
        <f t="shared" si="13"/>
        <v>0.29141837222473721</v>
      </c>
      <c r="S96" s="170"/>
      <c r="T96" s="170"/>
      <c r="U96" s="195">
        <f t="shared" si="18"/>
        <v>0.22935094588119398</v>
      </c>
      <c r="V96" s="195">
        <f t="shared" si="14"/>
        <v>0.20112458106500952</v>
      </c>
      <c r="W96" s="195">
        <f t="shared" si="14"/>
        <v>0.16702952544421024</v>
      </c>
      <c r="X96" s="195">
        <f t="shared" si="17"/>
        <v>0.59750505239041374</v>
      </c>
      <c r="Y96" s="207">
        <f t="shared" si="16"/>
        <v>0.38384770967816784</v>
      </c>
      <c r="AC96" s="251">
        <f t="shared" si="15"/>
        <v>1.2652986436656977</v>
      </c>
    </row>
    <row r="97" spans="1:29" ht="15.6" x14ac:dyDescent="0.3">
      <c r="A97" s="206">
        <v>2026</v>
      </c>
      <c r="B97" s="253">
        <f>(B149/Population_Tables!O15)*Population_Tables!C15</f>
        <v>89.439792732165586</v>
      </c>
      <c r="C97" s="253">
        <f>(C149/Population_Tables!P15)*Population_Tables!D15</f>
        <v>16.69026787364886</v>
      </c>
      <c r="D97" s="253">
        <f>(D149/Population_Tables!Q15)*Population_Tables!E15</f>
        <v>3.0548955137295515</v>
      </c>
      <c r="E97" s="253">
        <f>(E149/Population_Tables!R15)*Population_Tables!F15</f>
        <v>43.657875100962741</v>
      </c>
      <c r="F97" s="253">
        <f>(F149/Population_Tables!S15)*Population_Tables!G15</f>
        <v>6.7924425189259248</v>
      </c>
      <c r="G97" s="253">
        <f>(G149/Population_Tables!T15)*Population_Tables!H15</f>
        <v>1.8778677570692324</v>
      </c>
      <c r="H97" s="253">
        <f>(H149/Population_Tables!U15)*Population_Tables!I15</f>
        <v>28.697193718604748</v>
      </c>
      <c r="I97" s="253">
        <f>(I149/Population_Tables!V15)*Population_Tables!J15</f>
        <v>12.524757390437786</v>
      </c>
      <c r="J97" s="253">
        <f>(J149/Population_Tables!W15)*Population_Tables!K15</f>
        <v>8.0725206740919031</v>
      </c>
      <c r="K97" s="253">
        <f>(K149/Population_Tables!X15)*Population_Tables!L15</f>
        <v>8.9973690987585915</v>
      </c>
      <c r="L97" s="170"/>
      <c r="M97" s="170"/>
      <c r="N97" s="195">
        <f t="shared" si="9"/>
        <v>21.753123901283917</v>
      </c>
      <c r="O97" s="195">
        <f t="shared" si="11"/>
        <v>28.697193718604748</v>
      </c>
      <c r="P97" s="195">
        <f t="shared" si="10"/>
        <v>21.623031144447644</v>
      </c>
      <c r="Q97" s="195">
        <f t="shared" si="12"/>
        <v>72.073348764336316</v>
      </c>
      <c r="R97" s="196">
        <f t="shared" si="13"/>
        <v>0.30181924767241985</v>
      </c>
      <c r="S97" s="170"/>
      <c r="T97" s="170"/>
      <c r="U97" s="195">
        <f>N97-N149</f>
        <v>0.31248778327042359</v>
      </c>
      <c r="V97" s="195">
        <f t="shared" si="14"/>
        <v>0.26187112579734517</v>
      </c>
      <c r="W97" s="195">
        <f t="shared" si="14"/>
        <v>0.21493890454701159</v>
      </c>
      <c r="X97" s="195">
        <f t="shared" si="17"/>
        <v>0.78929781361478035</v>
      </c>
      <c r="Y97" s="207">
        <f t="shared" si="16"/>
        <v>0.39590605457186073</v>
      </c>
      <c r="AC97" s="251">
        <f t="shared" si="15"/>
        <v>1.2678427219174633</v>
      </c>
    </row>
    <row r="98" spans="1:29" ht="15.6" x14ac:dyDescent="0.3">
      <c r="A98" s="206">
        <v>2027</v>
      </c>
      <c r="B98" s="253">
        <f>(B150/Population_Tables!O16)*Population_Tables!C16</f>
        <v>93.345730333614526</v>
      </c>
      <c r="C98" s="253">
        <f>(C150/Population_Tables!P16)*Population_Tables!D16</f>
        <v>16.849422817067499</v>
      </c>
      <c r="D98" s="253">
        <f>(D150/Population_Tables!Q16)*Population_Tables!E16</f>
        <v>3.1565546991578497</v>
      </c>
      <c r="E98" s="253">
        <f>(E150/Population_Tables!R16)*Population_Tables!F16</f>
        <v>45.832405593651288</v>
      </c>
      <c r="F98" s="253">
        <f>(F150/Population_Tables!S16)*Population_Tables!G16</f>
        <v>7.1539996349868442</v>
      </c>
      <c r="G98" s="253">
        <f>(G150/Population_Tables!T16)*Population_Tables!H16</f>
        <v>1.947937750748495</v>
      </c>
      <c r="H98" s="253">
        <f>(H150/Population_Tables!U16)*Population_Tables!I16</f>
        <v>29.592012837187117</v>
      </c>
      <c r="I98" s="253">
        <f>(I150/Population_Tables!V16)*Population_Tables!J16</f>
        <v>13.528164293180016</v>
      </c>
      <c r="J98" s="253">
        <f>(J150/Population_Tables!W16)*Population_Tables!K16</f>
        <v>8.1781876806969613</v>
      </c>
      <c r="K98" s="253">
        <f>(K150/Population_Tables!X16)*Population_Tables!L16</f>
        <v>9.1496629052984932</v>
      </c>
      <c r="L98" s="170"/>
      <c r="M98" s="170"/>
      <c r="N98" s="195">
        <f t="shared" si="9"/>
        <v>23.394392391451017</v>
      </c>
      <c r="O98" s="195">
        <f t="shared" si="11"/>
        <v>29.592012837187117</v>
      </c>
      <c r="P98" s="195">
        <f t="shared" si="10"/>
        <v>21.953915266973844</v>
      </c>
      <c r="Q98" s="195">
        <f t="shared" si="12"/>
        <v>74.940320495611971</v>
      </c>
      <c r="R98" s="196">
        <f t="shared" si="13"/>
        <v>0.3121736367917034</v>
      </c>
      <c r="S98" s="170"/>
      <c r="T98" s="170"/>
      <c r="U98" s="195">
        <f t="shared" si="18"/>
        <v>0.4093809516327731</v>
      </c>
      <c r="V98" s="195">
        <f t="shared" si="14"/>
        <v>0.32919624150938276</v>
      </c>
      <c r="W98" s="195">
        <f t="shared" si="14"/>
        <v>0.2674431942451676</v>
      </c>
      <c r="X98" s="195">
        <f t="shared" si="17"/>
        <v>1.0060203873873235</v>
      </c>
      <c r="Y98" s="207">
        <f t="shared" si="16"/>
        <v>0.40693106895771003</v>
      </c>
      <c r="AC98" s="251">
        <f t="shared" si="15"/>
        <v>1.2706779965137369</v>
      </c>
    </row>
    <row r="99" spans="1:29" ht="15.6" x14ac:dyDescent="0.3">
      <c r="A99" s="206">
        <v>2028</v>
      </c>
      <c r="B99" s="253">
        <f>(B151/Population_Tables!O17)*Population_Tables!C17</f>
        <v>97.374354075373262</v>
      </c>
      <c r="C99" s="253">
        <f>(C151/Population_Tables!P17)*Population_Tables!D17</f>
        <v>17.028022902393804</v>
      </c>
      <c r="D99" s="253">
        <f>(D151/Population_Tables!Q17)*Population_Tables!E17</f>
        <v>3.2602827151280951</v>
      </c>
      <c r="E99" s="253">
        <f>(E151/Population_Tables!R17)*Population_Tables!F17</f>
        <v>48.077916322887219</v>
      </c>
      <c r="F99" s="253">
        <f>(F151/Population_Tables!S17)*Population_Tables!G17</f>
        <v>7.5399740241931772</v>
      </c>
      <c r="G99" s="253">
        <f>(G151/Population_Tables!T17)*Population_Tables!H17</f>
        <v>2.0207430084816997</v>
      </c>
      <c r="H99" s="253">
        <f>(H151/Population_Tables!U17)*Population_Tables!I17</f>
        <v>30.489405383302589</v>
      </c>
      <c r="I99" s="253">
        <f>(I151/Population_Tables!V17)*Population_Tables!J17</f>
        <v>14.584114996404807</v>
      </c>
      <c r="J99" s="253">
        <f>(J151/Population_Tables!W17)*Population_Tables!K17</f>
        <v>8.2881979965411308</v>
      </c>
      <c r="K99" s="253">
        <f>(K151/Population_Tables!X17)*Population_Tables!L17</f>
        <v>9.3056341850781177</v>
      </c>
      <c r="L99" s="170"/>
      <c r="M99" s="170"/>
      <c r="N99" s="195">
        <f t="shared" si="9"/>
        <v>25.128484963777808</v>
      </c>
      <c r="O99" s="195">
        <f t="shared" si="11"/>
        <v>30.489405383302589</v>
      </c>
      <c r="P99" s="195">
        <f t="shared" si="10"/>
        <v>22.309048626003598</v>
      </c>
      <c r="Q99" s="195">
        <f t="shared" si="12"/>
        <v>77.926938973083992</v>
      </c>
      <c r="R99" s="196">
        <f t="shared" si="13"/>
        <v>0.32246210739083697</v>
      </c>
      <c r="S99" s="170"/>
      <c r="T99" s="170"/>
      <c r="U99" s="195">
        <f t="shared" si="18"/>
        <v>0.52119684837719404</v>
      </c>
      <c r="V99" s="195">
        <f t="shared" si="14"/>
        <v>0.403327842214523</v>
      </c>
      <c r="W99" s="195">
        <f t="shared" si="14"/>
        <v>0.32465949929432725</v>
      </c>
      <c r="X99" s="195">
        <f t="shared" si="17"/>
        <v>1.2491841898860443</v>
      </c>
      <c r="Y99" s="207">
        <f t="shared" si="16"/>
        <v>0.41722978292315704</v>
      </c>
      <c r="AC99" s="251">
        <f t="shared" si="15"/>
        <v>1.2732753529877334</v>
      </c>
    </row>
    <row r="100" spans="1:29" ht="15.6" x14ac:dyDescent="0.3">
      <c r="A100" s="206">
        <v>2029</v>
      </c>
      <c r="B100" s="253">
        <f>(B152/Population_Tables!O18)*Population_Tables!C18</f>
        <v>101.52729007694741</v>
      </c>
      <c r="C100" s="253">
        <f>(C152/Population_Tables!P18)*Population_Tables!D18</f>
        <v>17.224736674239633</v>
      </c>
      <c r="D100" s="253">
        <f>(D152/Population_Tables!Q18)*Population_Tables!E18</f>
        <v>3.3661010256117496</v>
      </c>
      <c r="E100" s="253">
        <f>(E152/Population_Tables!R18)*Population_Tables!F18</f>
        <v>50.39501766385002</v>
      </c>
      <c r="F100" s="253">
        <f>(F152/Population_Tables!S18)*Population_Tables!G18</f>
        <v>7.951792926756859</v>
      </c>
      <c r="G100" s="253">
        <f>(G152/Population_Tables!T18)*Population_Tables!H18</f>
        <v>2.096222256245631</v>
      </c>
      <c r="H100" s="253">
        <f>(H152/Population_Tables!U18)*Population_Tables!I18</f>
        <v>31.389256362725476</v>
      </c>
      <c r="I100" s="253">
        <f>(I152/Population_Tables!V18)*Population_Tables!J18</f>
        <v>15.693485371505309</v>
      </c>
      <c r="J100" s="253">
        <f>(J152/Population_Tables!W18)*Population_Tables!K18</f>
        <v>8.4023152016610148</v>
      </c>
      <c r="K100" s="253">
        <f>(K152/Population_Tables!X18)*Population_Tables!L18</f>
        <v>9.4653752933139224</v>
      </c>
      <c r="L100" s="170"/>
      <c r="M100" s="170"/>
      <c r="N100" s="195">
        <f t="shared" si="9"/>
        <v>26.957554227881403</v>
      </c>
      <c r="O100" s="195">
        <f t="shared" si="11"/>
        <v>31.389256362725476</v>
      </c>
      <c r="P100" s="195">
        <f t="shared" si="10"/>
        <v>22.687059956097016</v>
      </c>
      <c r="Q100" s="195">
        <f t="shared" si="12"/>
        <v>81.033870546703895</v>
      </c>
      <c r="R100" s="196">
        <f t="shared" si="13"/>
        <v>0.33267020378033663</v>
      </c>
      <c r="S100" s="170"/>
      <c r="T100" s="170"/>
      <c r="U100" s="195">
        <f t="shared" si="18"/>
        <v>0.64940246573183913</v>
      </c>
      <c r="V100" s="195">
        <f t="shared" si="14"/>
        <v>0.4846428519369681</v>
      </c>
      <c r="W100" s="195">
        <f t="shared" si="14"/>
        <v>0.38675172803512581</v>
      </c>
      <c r="X100" s="195">
        <f t="shared" si="17"/>
        <v>1.520797045703933</v>
      </c>
      <c r="Y100" s="207">
        <f t="shared" si="16"/>
        <v>0.42701454974963438</v>
      </c>
      <c r="AC100" s="251">
        <f t="shared" si="15"/>
        <v>1.275241079059513</v>
      </c>
    </row>
    <row r="101" spans="1:29" ht="15.6" x14ac:dyDescent="0.3">
      <c r="A101" s="206">
        <v>2030</v>
      </c>
      <c r="B101" s="253">
        <f>(B153/Population_Tables!O19)*Population_Tables!C19</f>
        <v>105.8062717560346</v>
      </c>
      <c r="C101" s="253">
        <f>(C153/Population_Tables!P19)*Population_Tables!D19</f>
        <v>17.438219477340013</v>
      </c>
      <c r="D101" s="253">
        <f>(D153/Population_Tables!Q19)*Population_Tables!E19</f>
        <v>3.474039311966254</v>
      </c>
      <c r="E101" s="253">
        <f>(E153/Population_Tables!R19)*Population_Tables!F19</f>
        <v>52.784347773999677</v>
      </c>
      <c r="F101" s="253">
        <f>(F153/Population_Tables!S19)*Population_Tables!G19</f>
        <v>8.3909223994662891</v>
      </c>
      <c r="G101" s="253">
        <f>(G153/Population_Tables!T19)*Population_Tables!H19</f>
        <v>2.1743237180113923</v>
      </c>
      <c r="H101" s="253">
        <f>(H153/Population_Tables!U19)*Population_Tables!I19</f>
        <v>32.291433807026891</v>
      </c>
      <c r="I101" s="253">
        <f>(I153/Population_Tables!V19)*Population_Tables!J19</f>
        <v>16.857211802087061</v>
      </c>
      <c r="J101" s="253">
        <f>(J153/Population_Tables!W19)*Population_Tables!K19</f>
        <v>8.5203032251181998</v>
      </c>
      <c r="K101" s="253">
        <f>(K153/Population_Tables!X19)*Population_Tables!L19</f>
        <v>9.6289665707620031</v>
      </c>
      <c r="L101" s="170"/>
      <c r="M101" s="170"/>
      <c r="N101" s="195">
        <f t="shared" si="9"/>
        <v>28.883836366439077</v>
      </c>
      <c r="O101" s="195">
        <f t="shared" si="11"/>
        <v>32.291433807026891</v>
      </c>
      <c r="P101" s="195">
        <f t="shared" si="10"/>
        <v>23.086582507317662</v>
      </c>
      <c r="Q101" s="195">
        <f t="shared" si="12"/>
        <v>84.261852680783633</v>
      </c>
      <c r="R101" s="196">
        <f t="shared" si="13"/>
        <v>0.34278662820128319</v>
      </c>
      <c r="S101" s="170"/>
      <c r="T101" s="170"/>
      <c r="U101" s="195">
        <f t="shared" si="18"/>
        <v>0.79554836898496717</v>
      </c>
      <c r="V101" s="195">
        <f t="shared" si="14"/>
        <v>0.57350122049773944</v>
      </c>
      <c r="W101" s="195">
        <f t="shared" si="14"/>
        <v>0.45388830431165417</v>
      </c>
      <c r="X101" s="195">
        <f t="shared" si="17"/>
        <v>1.8229378937943608</v>
      </c>
      <c r="Y101" s="207">
        <f t="shared" si="16"/>
        <v>0.4364100234534431</v>
      </c>
      <c r="AC101" s="251">
        <f t="shared" si="15"/>
        <v>1.2764628566439491</v>
      </c>
    </row>
    <row r="102" spans="1:29" ht="15.6" x14ac:dyDescent="0.3">
      <c r="A102" s="206">
        <v>2031</v>
      </c>
      <c r="B102" s="253">
        <f>(B154/Population_Tables!O20)*Population_Tables!C20</f>
        <v>110.2125810350131</v>
      </c>
      <c r="C102" s="253">
        <f>(C154/Population_Tables!P20)*Population_Tables!D20</f>
        <v>17.666987256069199</v>
      </c>
      <c r="D102" s="253">
        <f>(D154/Population_Tables!Q20)*Population_Tables!E20</f>
        <v>3.5841378265623711</v>
      </c>
      <c r="E102" s="253">
        <f>(E154/Population_Tables!R20)*Population_Tables!F20</f>
        <v>55.245922205421166</v>
      </c>
      <c r="F102" s="253">
        <f>(F154/Population_Tables!S20)*Population_Tables!G20</f>
        <v>8.8588872222927275</v>
      </c>
      <c r="G102" s="253">
        <f>(G154/Population_Tables!T20)*Population_Tables!H20</f>
        <v>2.2550393231429076</v>
      </c>
      <c r="H102" s="253">
        <f>(H154/Population_Tables!U20)*Population_Tables!I20</f>
        <v>33.195579459809096</v>
      </c>
      <c r="I102" s="253">
        <f>(I154/Population_Tables!V20)*Population_Tables!J20</f>
        <v>18.075920050344482</v>
      </c>
      <c r="J102" s="253">
        <f>(J154/Population_Tables!W20)*Population_Tables!K20</f>
        <v>8.6418694870475576</v>
      </c>
      <c r="K102" s="253">
        <f>(K154/Population_Tables!X20)*Population_Tables!L20</f>
        <v>9.7963958207913091</v>
      </c>
      <c r="L102" s="170"/>
      <c r="M102" s="170"/>
      <c r="N102" s="195">
        <f t="shared" si="9"/>
        <v>30.909229967904793</v>
      </c>
      <c r="O102" s="195">
        <f t="shared" si="11"/>
        <v>33.195579459809096</v>
      </c>
      <c r="P102" s="195">
        <f t="shared" si="10"/>
        <v>23.506164405774477</v>
      </c>
      <c r="Q102" s="195">
        <f t="shared" si="12"/>
        <v>87.610973833488373</v>
      </c>
      <c r="R102" s="196">
        <f t="shared" si="13"/>
        <v>0.35280089485879068</v>
      </c>
      <c r="S102" s="170"/>
      <c r="T102" s="170"/>
      <c r="U102" s="195">
        <f t="shared" si="18"/>
        <v>0.96084752920152994</v>
      </c>
      <c r="V102" s="195">
        <f t="shared" si="14"/>
        <v>0.6700366097490047</v>
      </c>
      <c r="W102" s="195">
        <f t="shared" si="14"/>
        <v>0.52615252801339096</v>
      </c>
      <c r="X102" s="195">
        <f t="shared" si="17"/>
        <v>2.1570366669639256</v>
      </c>
      <c r="Y102" s="207">
        <f t="shared" si="16"/>
        <v>0.44544793508491581</v>
      </c>
      <c r="AC102" s="251">
        <f t="shared" si="15"/>
        <v>1.277120222337778</v>
      </c>
    </row>
    <row r="103" spans="1:29" ht="15.6" x14ac:dyDescent="0.3">
      <c r="A103" s="206">
        <v>2032</v>
      </c>
      <c r="B103" s="253">
        <f>(B155/Population_Tables!O21)*Population_Tables!C21</f>
        <v>114.7457444668032</v>
      </c>
      <c r="C103" s="253">
        <f>(C155/Population_Tables!P21)*Population_Tables!D21</f>
        <v>17.909300508402954</v>
      </c>
      <c r="D103" s="253">
        <f>(D155/Population_Tables!Q21)*Population_Tables!E21</f>
        <v>3.6964084375245667</v>
      </c>
      <c r="E103" s="253">
        <f>(E155/Population_Tables!R21)*Population_Tables!F21</f>
        <v>57.778671842416649</v>
      </c>
      <c r="F103" s="253">
        <f>(F155/Population_Tables!S21)*Population_Tables!G21</f>
        <v>9.3571070715702245</v>
      </c>
      <c r="G103" s="253">
        <f>(G155/Population_Tables!T21)*Population_Tables!H21</f>
        <v>2.338349503652462</v>
      </c>
      <c r="H103" s="253">
        <f>(H155/Population_Tables!U21)*Population_Tables!I21</f>
        <v>34.100887558379867</v>
      </c>
      <c r="I103" s="253">
        <f>(I155/Population_Tables!V21)*Population_Tables!J21</f>
        <v>19.349760166322127</v>
      </c>
      <c r="J103" s="253">
        <f>(J155/Population_Tables!W21)*Population_Tables!K21</f>
        <v>8.766617331935521</v>
      </c>
      <c r="K103" s="253">
        <f>(K155/Population_Tables!X21)*Population_Tables!L21</f>
        <v>9.9674833346144869</v>
      </c>
      <c r="L103" s="170"/>
      <c r="M103" s="170"/>
      <c r="N103" s="195">
        <f t="shared" si="9"/>
        <v>33.034891355607002</v>
      </c>
      <c r="O103" s="195">
        <f t="shared" si="11"/>
        <v>34.100887558379867</v>
      </c>
      <c r="P103" s="195">
        <f t="shared" si="10"/>
        <v>23.944058449579984</v>
      </c>
      <c r="Q103" s="195">
        <f t="shared" si="12"/>
        <v>91.079837363566853</v>
      </c>
      <c r="R103" s="196">
        <f t="shared" si="13"/>
        <v>0.36270257294971192</v>
      </c>
      <c r="S103" s="170"/>
      <c r="T103" s="170"/>
      <c r="U103" s="195">
        <f t="shared" si="18"/>
        <v>1.1457706523209978</v>
      </c>
      <c r="V103" s="195">
        <f t="shared" si="14"/>
        <v>0.77393517524843247</v>
      </c>
      <c r="W103" s="195">
        <f t="shared" si="14"/>
        <v>0.60333237103338533</v>
      </c>
      <c r="X103" s="195">
        <f t="shared" si="17"/>
        <v>2.5230381986028156</v>
      </c>
      <c r="Y103" s="207">
        <f t="shared" si="16"/>
        <v>0.45412338701629329</v>
      </c>
      <c r="AC103" s="251">
        <f t="shared" si="15"/>
        <v>1.2773988823515641</v>
      </c>
    </row>
    <row r="104" spans="1:29" ht="15.6" x14ac:dyDescent="0.3">
      <c r="A104" s="206">
        <v>2033</v>
      </c>
      <c r="B104" s="253">
        <f>(B156/Population_Tables!O22)*Population_Tables!C22</f>
        <v>119.40222795496059</v>
      </c>
      <c r="C104" s="253">
        <f>(C156/Population_Tables!P22)*Population_Tables!D22</f>
        <v>18.163104732030728</v>
      </c>
      <c r="D104" s="253">
        <f>(D156/Population_Tables!Q22)*Population_Tables!E22</f>
        <v>3.8107824950411526</v>
      </c>
      <c r="E104" s="253">
        <f>(E156/Population_Tables!R22)*Population_Tables!F22</f>
        <v>60.380124040997131</v>
      </c>
      <c r="F104" s="253">
        <f>(F156/Population_Tables!S22)*Population_Tables!G22</f>
        <v>9.8866967543068931</v>
      </c>
      <c r="G104" s="253">
        <f>(G156/Population_Tables!T22)*Population_Tables!H22</f>
        <v>2.4241491621100439</v>
      </c>
      <c r="H104" s="253">
        <f>(H156/Population_Tables!U22)*Population_Tables!I22</f>
        <v>35.005959247258552</v>
      </c>
      <c r="I104" s="253">
        <f>(I156/Population_Tables!V22)*Population_Tables!J22</f>
        <v>20.678287596727834</v>
      </c>
      <c r="J104" s="253">
        <f>(J156/Population_Tables!W22)*Population_Tables!K22</f>
        <v>8.8940202951932008</v>
      </c>
      <c r="K104" s="253">
        <f>(K156/Population_Tables!X22)*Population_Tables!L22</f>
        <v>10.141840312017754</v>
      </c>
      <c r="L104" s="170"/>
      <c r="M104" s="170"/>
      <c r="N104" s="195">
        <f t="shared" si="9"/>
        <v>35.260861548045476</v>
      </c>
      <c r="O104" s="195">
        <f t="shared" si="11"/>
        <v>35.005959247258552</v>
      </c>
      <c r="P104" s="195">
        <f t="shared" si="10"/>
        <v>24.398036389181925</v>
      </c>
      <c r="Q104" s="195">
        <f t="shared" si="12"/>
        <v>94.664857184485953</v>
      </c>
      <c r="R104" s="196">
        <f t="shared" si="13"/>
        <v>0.37248100928656092</v>
      </c>
      <c r="S104" s="170"/>
      <c r="T104" s="170"/>
      <c r="U104" s="195">
        <f t="shared" si="18"/>
        <v>1.3496731394541328</v>
      </c>
      <c r="V104" s="195">
        <f t="shared" si="14"/>
        <v>0.88428997976527768</v>
      </c>
      <c r="W104" s="195">
        <f t="shared" si="14"/>
        <v>0.68473475759991587</v>
      </c>
      <c r="X104" s="195">
        <f t="shared" si="17"/>
        <v>2.9186978768193264</v>
      </c>
      <c r="Y104" s="207">
        <f t="shared" si="16"/>
        <v>0.46242303808606239</v>
      </c>
      <c r="AC104" s="251">
        <f t="shared" si="15"/>
        <v>1.2773299950363861</v>
      </c>
    </row>
    <row r="105" spans="1:29" ht="15.6" x14ac:dyDescent="0.3">
      <c r="A105" s="206">
        <v>2034</v>
      </c>
      <c r="B105" s="253">
        <f>(B157/Population_Tables!O23)*Population_Tables!C23</f>
        <v>124.17648058599667</v>
      </c>
      <c r="C105" s="253">
        <f>(C157/Population_Tables!P23)*Population_Tables!D23</f>
        <v>18.426130813203358</v>
      </c>
      <c r="D105" s="253">
        <f>(D157/Population_Tables!Q23)*Population_Tables!E23</f>
        <v>3.9271442317408103</v>
      </c>
      <c r="E105" s="253">
        <f>(E157/Population_Tables!R23)*Population_Tables!F23</f>
        <v>63.04668064631516</v>
      </c>
      <c r="F105" s="253">
        <f>(F157/Population_Tables!S23)*Population_Tables!G23</f>
        <v>10.448602133731029</v>
      </c>
      <c r="G105" s="253">
        <f>(G157/Population_Tables!T23)*Population_Tables!H23</f>
        <v>2.51229443498256</v>
      </c>
      <c r="H105" s="253">
        <f>(H157/Population_Tables!U23)*Population_Tables!I23</f>
        <v>35.908963075285584</v>
      </c>
      <c r="I105" s="253">
        <f>(I157/Population_Tables!V23)*Population_Tables!J23</f>
        <v>22.060503865647931</v>
      </c>
      <c r="J105" s="253">
        <f>(J157/Population_Tables!W23)*Population_Tables!K23</f>
        <v>9.0234569516309833</v>
      </c>
      <c r="K105" s="253">
        <f>(K157/Population_Tables!X23)*Population_Tables!L23</f>
        <v>10.318944414204045</v>
      </c>
      <c r="L105" s="170"/>
      <c r="M105" s="170"/>
      <c r="N105" s="195">
        <f t="shared" si="9"/>
        <v>37.586319704760598</v>
      </c>
      <c r="O105" s="195">
        <f t="shared" si="11"/>
        <v>35.908963075285584</v>
      </c>
      <c r="P105" s="195">
        <f t="shared" si="10"/>
        <v>24.86556947992673</v>
      </c>
      <c r="Q105" s="195">
        <f t="shared" si="12"/>
        <v>98.360852259972916</v>
      </c>
      <c r="R105" s="196">
        <f t="shared" si="13"/>
        <v>0.38212682018470084</v>
      </c>
      <c r="S105" s="170"/>
      <c r="T105" s="170"/>
      <c r="U105" s="195">
        <f t="shared" si="18"/>
        <v>1.5710485327523145</v>
      </c>
      <c r="V105" s="195">
        <f t="shared" si="14"/>
        <v>0.99976149038987216</v>
      </c>
      <c r="W105" s="195">
        <f t="shared" si="14"/>
        <v>0.76936611683993661</v>
      </c>
      <c r="X105" s="195">
        <f t="shared" si="17"/>
        <v>3.3401761399821233</v>
      </c>
      <c r="Y105" s="207">
        <f t="shared" si="16"/>
        <v>0.4703490076306942</v>
      </c>
      <c r="AC105" s="251">
        <f t="shared" si="15"/>
        <v>1.2769552896345528</v>
      </c>
    </row>
    <row r="106" spans="1:29" ht="15.6" x14ac:dyDescent="0.3">
      <c r="A106" s="206">
        <v>2035</v>
      </c>
      <c r="B106" s="253">
        <f>(B158/Population_Tables!O24)*Population_Tables!C24</f>
        <v>129.06412042555777</v>
      </c>
      <c r="C106" s="253">
        <f>(C158/Population_Tables!P24)*Population_Tables!D24</f>
        <v>18.696273330126573</v>
      </c>
      <c r="D106" s="253">
        <f>(D158/Population_Tables!Q24)*Population_Tables!E24</f>
        <v>4.0454029050320628</v>
      </c>
      <c r="E106" s="253">
        <f>(E158/Population_Tables!R24)*Population_Tables!F24</f>
        <v>65.775262170025158</v>
      </c>
      <c r="F106" s="253">
        <f>(F158/Population_Tables!S24)*Population_Tables!G24</f>
        <v>11.043886485080829</v>
      </c>
      <c r="G106" s="253">
        <f>(G158/Population_Tables!T24)*Population_Tables!H24</f>
        <v>2.602665150910993</v>
      </c>
      <c r="H106" s="253">
        <f>(H158/Population_Tables!U24)*Population_Tables!I24</f>
        <v>36.808312341253426</v>
      </c>
      <c r="I106" s="253">
        <f>(I158/Population_Tables!V24)*Population_Tables!J24</f>
        <v>23.495542173655469</v>
      </c>
      <c r="J106" s="253">
        <f>(J158/Population_Tables!W24)*Population_Tables!K24</f>
        <v>9.1543764538701176</v>
      </c>
      <c r="K106" s="253">
        <f>(K158/Population_Tables!X24)*Population_Tables!L24</f>
        <v>10.498393539608761</v>
      </c>
      <c r="L106" s="170"/>
      <c r="M106" s="170"/>
      <c r="N106" s="195">
        <f t="shared" si="9"/>
        <v>40.010836313852565</v>
      </c>
      <c r="O106" s="195">
        <f t="shared" si="11"/>
        <v>36.808312341253426</v>
      </c>
      <c r="P106" s="195">
        <f t="shared" si="10"/>
        <v>25.34434138606963</v>
      </c>
      <c r="Q106" s="195">
        <f t="shared" si="12"/>
        <v>102.16349004117562</v>
      </c>
      <c r="R106" s="196">
        <f t="shared" si="13"/>
        <v>0.39163537089156542</v>
      </c>
      <c r="S106" s="170"/>
      <c r="T106" s="170"/>
      <c r="U106" s="195">
        <f t="shared" si="18"/>
        <v>1.8087817029267441</v>
      </c>
      <c r="V106" s="195">
        <f t="shared" si="14"/>
        <v>1.1192549241645864</v>
      </c>
      <c r="W106" s="195">
        <f t="shared" si="14"/>
        <v>0.85644528678921361</v>
      </c>
      <c r="X106" s="195">
        <f t="shared" si="17"/>
        <v>3.7844819138805441</v>
      </c>
      <c r="Y106" s="207">
        <f t="shared" si="16"/>
        <v>0.47794698034956384</v>
      </c>
      <c r="AC106" s="251">
        <f t="shared" si="15"/>
        <v>1.2763329130469436</v>
      </c>
    </row>
    <row r="107" spans="1:29" ht="15.6" x14ac:dyDescent="0.3">
      <c r="A107" s="206">
        <v>2036</v>
      </c>
      <c r="B107" s="253">
        <f>(B159/Population_Tables!O25)*Population_Tables!C25</f>
        <v>134.06318934727634</v>
      </c>
      <c r="C107" s="253">
        <f>(C159/Population_Tables!P25)*Population_Tables!D25</f>
        <v>18.971709053745268</v>
      </c>
      <c r="D107" s="253">
        <f>(D159/Population_Tables!Q25)*Population_Tables!E25</f>
        <v>4.1655153352348098</v>
      </c>
      <c r="E107" s="253">
        <f>(E159/Population_Tables!R25)*Population_Tables!F25</f>
        <v>68.564017608402182</v>
      </c>
      <c r="F107" s="253">
        <f>(F159/Population_Tables!S25)*Population_Tables!G25</f>
        <v>11.673848578911588</v>
      </c>
      <c r="G107" s="253">
        <f>(G159/Population_Tables!T25)*Population_Tables!H25</f>
        <v>2.6951849539128521</v>
      </c>
      <c r="H107" s="253">
        <f>(H159/Population_Tables!U25)*Population_Tables!I25</f>
        <v>37.702922642441244</v>
      </c>
      <c r="I107" s="253">
        <f>(I159/Population_Tables!V25)*Population_Tables!J25</f>
        <v>24.983069411457361</v>
      </c>
      <c r="J107" s="253">
        <f>(J159/Population_Tables!W25)*Population_Tables!K25</f>
        <v>9.2863389164116601</v>
      </c>
      <c r="K107" s="253">
        <f>(K159/Population_Tables!X25)*Population_Tables!L25</f>
        <v>10.679996844935578</v>
      </c>
      <c r="L107" s="170"/>
      <c r="M107" s="170"/>
      <c r="N107" s="195">
        <f t="shared" si="9"/>
        <v>42.534943544872526</v>
      </c>
      <c r="O107" s="195">
        <f t="shared" si="11"/>
        <v>37.702922642441244</v>
      </c>
      <c r="P107" s="195">
        <f t="shared" si="10"/>
        <v>25.83240934289293</v>
      </c>
      <c r="Q107" s="195">
        <f t="shared" si="12"/>
        <v>106.07027553020671</v>
      </c>
      <c r="R107" s="196">
        <f t="shared" si="13"/>
        <v>0.40100719388401529</v>
      </c>
      <c r="S107" s="170"/>
      <c r="T107" s="170"/>
      <c r="U107" s="195">
        <f t="shared" si="18"/>
        <v>2.0627192021395828</v>
      </c>
      <c r="V107" s="195">
        <f t="shared" si="14"/>
        <v>1.2421777966184848</v>
      </c>
      <c r="W107" s="195">
        <f t="shared" si="14"/>
        <v>0.94556467651058185</v>
      </c>
      <c r="X107" s="195">
        <f t="shared" si="17"/>
        <v>4.2504616752686495</v>
      </c>
      <c r="Y107" s="207">
        <f t="shared" si="16"/>
        <v>0.48529297749972283</v>
      </c>
      <c r="AC107" s="251">
        <f t="shared" si="15"/>
        <v>1.2755227986282101</v>
      </c>
    </row>
    <row r="108" spans="1:29" ht="15.6" x14ac:dyDescent="0.3">
      <c r="A108" s="206">
        <v>2037</v>
      </c>
      <c r="B108" s="253">
        <f>(B160/Population_Tables!O26)*Population_Tables!C26</f>
        <v>139.17483035955848</v>
      </c>
      <c r="C108" s="253">
        <f>(C160/Population_Tables!P26)*Population_Tables!D26</f>
        <v>19.250952891561276</v>
      </c>
      <c r="D108" s="253">
        <f>(D160/Population_Tables!Q26)*Population_Tables!E26</f>
        <v>4.2875148676596861</v>
      </c>
      <c r="E108" s="253">
        <f>(E160/Population_Tables!R26)*Population_Tables!F26</f>
        <v>71.412701833949995</v>
      </c>
      <c r="F108" s="253">
        <f>(F160/Population_Tables!S26)*Population_Tables!G26</f>
        <v>12.340083006719164</v>
      </c>
      <c r="G108" s="253">
        <f>(G160/Population_Tables!T26)*Population_Tables!H26</f>
        <v>2.7898404204549259</v>
      </c>
      <c r="H108" s="253">
        <f>(H160/Population_Tables!U26)*Population_Tables!I26</f>
        <v>38.59236234165423</v>
      </c>
      <c r="I108" s="253">
        <f>(I160/Population_Tables!V26)*Population_Tables!J26</f>
        <v>26.523405985972847</v>
      </c>
      <c r="J108" s="253">
        <f>(J160/Population_Tables!W26)*Population_Tables!K26</f>
        <v>9.4190621767076017</v>
      </c>
      <c r="K108" s="253">
        <f>(K160/Population_Tables!X26)*Population_Tables!L26</f>
        <v>10.863791615093804</v>
      </c>
      <c r="L108" s="170"/>
      <c r="M108" s="170"/>
      <c r="N108" s="195">
        <f t="shared" si="9"/>
        <v>45.160422499014935</v>
      </c>
      <c r="O108" s="195">
        <f t="shared" si="11"/>
        <v>38.59236234165423</v>
      </c>
      <c r="P108" s="195">
        <f t="shared" si="10"/>
        <v>26.32830817967589</v>
      </c>
      <c r="Q108" s="195">
        <f t="shared" si="12"/>
        <v>110.08109302034507</v>
      </c>
      <c r="R108" s="196">
        <f t="shared" si="13"/>
        <v>0.41024685765673163</v>
      </c>
      <c r="S108" s="170"/>
      <c r="T108" s="170"/>
      <c r="U108" s="195">
        <f t="shared" si="18"/>
        <v>2.3339565141962666</v>
      </c>
      <c r="V108" s="195">
        <f t="shared" si="14"/>
        <v>1.3685903888066449</v>
      </c>
      <c r="W108" s="195">
        <f t="shared" si="14"/>
        <v>1.0367942890638346</v>
      </c>
      <c r="X108" s="195">
        <f t="shared" si="17"/>
        <v>4.7393411920667461</v>
      </c>
      <c r="Y108" s="207">
        <f t="shared" si="16"/>
        <v>0.49246433620417773</v>
      </c>
      <c r="AC108" s="251">
        <f t="shared" si="15"/>
        <v>1.2745807991884752</v>
      </c>
    </row>
    <row r="109" spans="1:29" ht="15.6" x14ac:dyDescent="0.3">
      <c r="A109" s="206">
        <v>2038</v>
      </c>
      <c r="B109" s="253">
        <f>(B161/Population_Tables!O27)*Population_Tables!C27</f>
        <v>144.4015827455342</v>
      </c>
      <c r="C109" s="253">
        <f>(C161/Population_Tables!P27)*Population_Tables!D27</f>
        <v>19.532649406765401</v>
      </c>
      <c r="D109" s="253">
        <f>(D161/Population_Tables!Q27)*Population_Tables!E27</f>
        <v>4.4114764056198403</v>
      </c>
      <c r="E109" s="253">
        <f>(E161/Population_Tables!R27)*Population_Tables!F27</f>
        <v>74.321775280376002</v>
      </c>
      <c r="F109" s="253">
        <f>(F161/Population_Tables!S27)*Population_Tables!G27</f>
        <v>13.044322652634232</v>
      </c>
      <c r="G109" s="253">
        <f>(G161/Population_Tables!T27)*Population_Tables!H27</f>
        <v>2.8866584605085102</v>
      </c>
      <c r="H109" s="253">
        <f>(H161/Population_Tables!U27)*Population_Tables!I27</f>
        <v>39.47649292894733</v>
      </c>
      <c r="I109" s="253">
        <f>(I161/Population_Tables!V27)*Population_Tables!J27</f>
        <v>28.117086183723593</v>
      </c>
      <c r="J109" s="253">
        <f>(J161/Population_Tables!W27)*Population_Tables!K27</f>
        <v>9.5523359857065469</v>
      </c>
      <c r="K109" s="253">
        <f>(K161/Population_Tables!X27)*Population_Tables!L27</f>
        <v>11.049890354690884</v>
      </c>
      <c r="L109" s="170"/>
      <c r="M109" s="170"/>
      <c r="N109" s="195">
        <f t="shared" si="9"/>
        <v>47.889605004062908</v>
      </c>
      <c r="O109" s="195">
        <f t="shared" si="11"/>
        <v>39.47649292894733</v>
      </c>
      <c r="P109" s="195">
        <f t="shared" si="10"/>
        <v>26.830784272893752</v>
      </c>
      <c r="Q109" s="195">
        <f t="shared" si="12"/>
        <v>114.19688220590399</v>
      </c>
      <c r="R109" s="196">
        <f t="shared" si="13"/>
        <v>0.41936000422248843</v>
      </c>
      <c r="S109" s="170"/>
      <c r="T109" s="170"/>
      <c r="U109" s="195">
        <f t="shared" si="18"/>
        <v>2.6241398494909234</v>
      </c>
      <c r="V109" s="195">
        <f t="shared" si="14"/>
        <v>1.4988461090339413</v>
      </c>
      <c r="W109" s="195">
        <f t="shared" si="14"/>
        <v>1.1304156747047394</v>
      </c>
      <c r="X109" s="195">
        <f t="shared" si="17"/>
        <v>5.2534016332296041</v>
      </c>
      <c r="Y109" s="207">
        <f t="shared" si="16"/>
        <v>0.4995125125960902</v>
      </c>
      <c r="AC109" s="251">
        <f t="shared" si="15"/>
        <v>1.2735566327254824</v>
      </c>
    </row>
    <row r="110" spans="1:29" ht="15.6" x14ac:dyDescent="0.3">
      <c r="A110" s="206">
        <v>2039</v>
      </c>
      <c r="B110" s="253">
        <f>(B162/Population_Tables!O28)*Population_Tables!C28</f>
        <v>149.74800028713514</v>
      </c>
      <c r="C110" s="253">
        <f>(C162/Population_Tables!P28)*Population_Tables!D28</f>
        <v>19.815627909588045</v>
      </c>
      <c r="D110" s="253">
        <f>(D162/Population_Tables!Q28)*Population_Tables!E28</f>
        <v>4.5375311571046497</v>
      </c>
      <c r="E110" s="253">
        <f>(E162/Population_Tables!R28)*Population_Tables!F28</f>
        <v>77.292800191876907</v>
      </c>
      <c r="F110" s="253">
        <f>(F162/Population_Tables!S28)*Population_Tables!G28</f>
        <v>13.788503516149234</v>
      </c>
      <c r="G110" s="253">
        <f>(G162/Population_Tables!T28)*Population_Tables!H28</f>
        <v>2.9857083642881634</v>
      </c>
      <c r="H110" s="253">
        <f>(H162/Population_Tables!U28)*Population_Tables!I28</f>
        <v>40.355594090019984</v>
      </c>
      <c r="I110" s="253">
        <f>(I162/Population_Tables!V28)*Population_Tables!J28</f>
        <v>29.765113919464547</v>
      </c>
      <c r="J110" s="253">
        <f>(J162/Population_Tables!W28)*Population_Tables!K28</f>
        <v>9.6860464351794189</v>
      </c>
      <c r="K110" s="253">
        <f>(K162/Population_Tables!X28)*Population_Tables!L28</f>
        <v>11.238528009967682</v>
      </c>
      <c r="L110" s="170"/>
      <c r="M110" s="170"/>
      <c r="N110" s="195">
        <f t="shared" si="9"/>
        <v>50.725709618006157</v>
      </c>
      <c r="O110" s="195">
        <f t="shared" si="11"/>
        <v>40.355594090019984</v>
      </c>
      <c r="P110" s="195">
        <f t="shared" si="10"/>
        <v>27.338867430980859</v>
      </c>
      <c r="Q110" s="195">
        <f t="shared" si="12"/>
        <v>118.42017113900701</v>
      </c>
      <c r="R110" s="196">
        <f t="shared" si="13"/>
        <v>0.42835362531660254</v>
      </c>
      <c r="S110" s="170"/>
      <c r="T110" s="170"/>
      <c r="U110" s="195">
        <f t="shared" si="18"/>
        <v>2.9358021486242478</v>
      </c>
      <c r="V110" s="195">
        <f t="shared" si="14"/>
        <v>1.6337165612496989</v>
      </c>
      <c r="W110" s="195">
        <f t="shared" si="14"/>
        <v>1.2269938156481714</v>
      </c>
      <c r="X110" s="195">
        <f t="shared" si="17"/>
        <v>5.7965125255221182</v>
      </c>
      <c r="Y110" s="207">
        <f t="shared" si="16"/>
        <v>0.50647732333845108</v>
      </c>
      <c r="AC110" s="251">
        <f t="shared" si="15"/>
        <v>1.2724853088861818</v>
      </c>
    </row>
    <row r="111" spans="1:29" ht="15.6" x14ac:dyDescent="0.3">
      <c r="A111" s="206">
        <v>2040</v>
      </c>
      <c r="B111" s="253">
        <f>(B163/Population_Tables!O29)*Population_Tables!C29</f>
        <v>155.21835212324686</v>
      </c>
      <c r="C111" s="253">
        <f>(C163/Population_Tables!P29)*Population_Tables!D29</f>
        <v>20.098633798415221</v>
      </c>
      <c r="D111" s="253">
        <f>(D163/Population_Tables!Q29)*Population_Tables!E29</f>
        <v>4.6657976746610457</v>
      </c>
      <c r="E111" s="253">
        <f>(E163/Population_Tables!R29)*Population_Tables!F29</f>
        <v>80.327255327503579</v>
      </c>
      <c r="F111" s="253">
        <f>(F163/Population_Tables!S29)*Population_Tables!G29</f>
        <v>14.574561004295754</v>
      </c>
      <c r="G111" s="253">
        <f>(G163/Population_Tables!T29)*Population_Tables!H29</f>
        <v>3.0870521499613481</v>
      </c>
      <c r="H111" s="253">
        <f>(H163/Population_Tables!U29)*Population_Tables!I29</f>
        <v>41.229856856186352</v>
      </c>
      <c r="I111" s="253">
        <f>(I163/Population_Tables!V29)*Population_Tables!J29</f>
        <v>31.468547493654487</v>
      </c>
      <c r="J111" s="253">
        <f>(J163/Population_Tables!W29)*Population_Tables!K29</f>
        <v>9.8200412296400295</v>
      </c>
      <c r="K111" s="253">
        <f>(K163/Population_Tables!X29)*Population_Tables!L29</f>
        <v>11.429904430095196</v>
      </c>
      <c r="L111" s="170"/>
      <c r="M111" s="170"/>
      <c r="N111" s="195">
        <f t="shared" si="9"/>
        <v>53.671959475612987</v>
      </c>
      <c r="O111" s="195">
        <f t="shared" si="11"/>
        <v>41.229856856186352</v>
      </c>
      <c r="P111" s="195">
        <f t="shared" si="10"/>
        <v>27.851483623037616</v>
      </c>
      <c r="Q111" s="195">
        <f t="shared" si="12"/>
        <v>122.75329995483696</v>
      </c>
      <c r="R111" s="196">
        <f>N111/Q111</f>
        <v>0.43723435129939331</v>
      </c>
      <c r="S111" s="170"/>
      <c r="T111" s="170"/>
      <c r="U111" s="195">
        <f t="shared" si="18"/>
        <v>3.2714809289755777</v>
      </c>
      <c r="V111" s="195">
        <f t="shared" si="14"/>
        <v>1.7738846950179834</v>
      </c>
      <c r="W111" s="195">
        <f t="shared" si="14"/>
        <v>1.3269898547750749</v>
      </c>
      <c r="X111" s="195">
        <f t="shared" si="17"/>
        <v>6.3723554787686361</v>
      </c>
      <c r="Y111" s="207">
        <f t="shared" si="16"/>
        <v>0.51338644554207191</v>
      </c>
      <c r="AC111" s="251">
        <f t="shared" si="15"/>
        <v>1.2713868378930679</v>
      </c>
    </row>
    <row r="112" spans="1:29" ht="15.6" x14ac:dyDescent="0.3">
      <c r="A112" s="206">
        <v>2041</v>
      </c>
      <c r="B112" s="253">
        <f>(B164/Population_Tables!O30)*Population_Tables!C30</f>
        <v>160.81443396858853</v>
      </c>
      <c r="C112" s="253">
        <f>(C164/Population_Tables!P30)*Population_Tables!D30</f>
        <v>20.380160114778604</v>
      </c>
      <c r="D112" s="253">
        <f>(D164/Population_Tables!Q30)*Population_Tables!E30</f>
        <v>4.7963284536274244</v>
      </c>
      <c r="E112" s="253">
        <f>(E164/Population_Tables!R30)*Population_Tables!F30</f>
        <v>83.425307340324906</v>
      </c>
      <c r="F112" s="253">
        <f>(F164/Population_Tables!S30)*Population_Tables!G30</f>
        <v>15.404225788228413</v>
      </c>
      <c r="G112" s="253">
        <f>(G164/Population_Tables!T30)*Population_Tables!H30</f>
        <v>3.1906943959552247</v>
      </c>
      <c r="H112" s="253">
        <f>(H164/Population_Tables!U30)*Population_Tables!I30</f>
        <v>42.098906272158736</v>
      </c>
      <c r="I112" s="253">
        <f>(I164/Population_Tables!V30)*Population_Tables!J30</f>
        <v>33.227959293228871</v>
      </c>
      <c r="J112" s="253">
        <f>(J164/Population_Tables!W30)*Population_Tables!K30</f>
        <v>9.9540499005280765</v>
      </c>
      <c r="K112" s="253">
        <f>(K164/Population_Tables!X30)*Population_Tables!L30</f>
        <v>11.62407153835187</v>
      </c>
      <c r="L112" s="170"/>
      <c r="M112" s="170"/>
      <c r="N112" s="195">
        <f t="shared" si="9"/>
        <v>56.730626856394586</v>
      </c>
      <c r="O112" s="195">
        <f t="shared" si="11"/>
        <v>42.098906272158736</v>
      </c>
      <c r="P112" s="195">
        <f t="shared" si="10"/>
        <v>28.367182964361255</v>
      </c>
      <c r="Q112" s="195">
        <f t="shared" si="12"/>
        <v>127.19671609291458</v>
      </c>
      <c r="R112" s="196">
        <f t="shared" si="13"/>
        <v>0.44600700866328996</v>
      </c>
      <c r="S112" s="170"/>
      <c r="T112" s="170"/>
      <c r="U112" s="195">
        <f t="shared" si="18"/>
        <v>3.6327628526670708</v>
      </c>
      <c r="V112" s="195">
        <f t="shared" si="14"/>
        <v>1.9194674733009975</v>
      </c>
      <c r="W112" s="195">
        <f t="shared" si="14"/>
        <v>1.4304890811632021</v>
      </c>
      <c r="X112" s="195">
        <f t="shared" si="17"/>
        <v>6.9827194071312704</v>
      </c>
      <c r="Y112" s="207">
        <f t="shared" si="16"/>
        <v>0.52025044124743491</v>
      </c>
      <c r="AC112" s="251">
        <f t="shared" si="15"/>
        <v>1.2702679416510274</v>
      </c>
    </row>
    <row r="113" spans="1:29" ht="15.6" x14ac:dyDescent="0.3">
      <c r="A113" s="206">
        <v>2042</v>
      </c>
      <c r="B113" s="253">
        <f>(B165/Population_Tables!O31)*Population_Tables!C31</f>
        <v>166.53739641451824</v>
      </c>
      <c r="C113" s="253">
        <f>(C165/Population_Tables!P31)*Population_Tables!D31</f>
        <v>20.658564685772394</v>
      </c>
      <c r="D113" s="253">
        <f>(D165/Population_Tables!Q31)*Population_Tables!E31</f>
        <v>4.9291478253320333</v>
      </c>
      <c r="E113" s="253">
        <f>(E165/Population_Tables!R31)*Population_Tables!F31</f>
        <v>86.58687292247437</v>
      </c>
      <c r="F113" s="253">
        <f>(F165/Population_Tables!S31)*Population_Tables!G31</f>
        <v>16.279186197781776</v>
      </c>
      <c r="G113" s="253">
        <f>(G165/Population_Tables!T31)*Population_Tables!H31</f>
        <v>3.2966185946833493</v>
      </c>
      <c r="H113" s="253">
        <f>(H165/Population_Tables!U31)*Population_Tables!I31</f>
        <v>42.962211981394582</v>
      </c>
      <c r="I113" s="253">
        <f>(I165/Population_Tables!V31)*Population_Tables!J31</f>
        <v>35.043949080656454</v>
      </c>
      <c r="J113" s="253">
        <f>(J165/Population_Tables!W31)*Population_Tables!K31</f>
        <v>10.087737086192378</v>
      </c>
      <c r="K113" s="253">
        <f>(K165/Population_Tables!X31)*Population_Tables!L31</f>
        <v>11.821022550742075</v>
      </c>
      <c r="L113" s="170"/>
      <c r="M113" s="170"/>
      <c r="N113" s="195">
        <f t="shared" si="9"/>
        <v>59.903847138861572</v>
      </c>
      <c r="O113" s="195">
        <f t="shared" si="11"/>
        <v>42.962211981394582</v>
      </c>
      <c r="P113" s="195">
        <f t="shared" si="10"/>
        <v>28.884331105787776</v>
      </c>
      <c r="Q113" s="195">
        <f t="shared" si="12"/>
        <v>131.75039022604392</v>
      </c>
      <c r="R113" s="196">
        <f t="shared" si="13"/>
        <v>0.4546768099592316</v>
      </c>
      <c r="S113" s="170"/>
      <c r="T113" s="170"/>
      <c r="U113" s="195">
        <f t="shared" si="18"/>
        <v>4.0210976808203682</v>
      </c>
      <c r="V113" s="195">
        <f t="shared" si="14"/>
        <v>2.0704264578060858</v>
      </c>
      <c r="W113" s="195">
        <f t="shared" si="14"/>
        <v>1.5373923194290882</v>
      </c>
      <c r="X113" s="195">
        <f t="shared" si="17"/>
        <v>7.6289164580555422</v>
      </c>
      <c r="Y113" s="207">
        <f t="shared" si="16"/>
        <v>0.52708634351008021</v>
      </c>
      <c r="AC113" s="251">
        <f t="shared" si="15"/>
        <v>1.2691295943149656</v>
      </c>
    </row>
    <row r="114" spans="1:29" ht="15.6" x14ac:dyDescent="0.3">
      <c r="A114" s="206">
        <v>2043</v>
      </c>
      <c r="B114" s="253">
        <f>(B166/Population_Tables!O32)*Population_Tables!C32</f>
        <v>172.39078316089726</v>
      </c>
      <c r="C114" s="253">
        <f>(C166/Population_Tables!P32)*Population_Tables!D32</f>
        <v>20.932352022387064</v>
      </c>
      <c r="D114" s="253">
        <f>(D166/Population_Tables!Q32)*Population_Tables!E32</f>
        <v>5.0643259905422626</v>
      </c>
      <c r="E114" s="253">
        <f>(E166/Population_Tables!R32)*Population_Tables!F32</f>
        <v>89.813312381478895</v>
      </c>
      <c r="F114" s="253">
        <f>(F166/Population_Tables!S32)*Population_Tables!G32</f>
        <v>17.201378286287468</v>
      </c>
      <c r="G114" s="253">
        <f>(G166/Population_Tables!T32)*Population_Tables!H32</f>
        <v>3.404850922997857</v>
      </c>
      <c r="H114" s="253">
        <f>(H166/Population_Tables!U32)*Population_Tables!I32</f>
        <v>43.819750786551182</v>
      </c>
      <c r="I114" s="253">
        <f>(I166/Population_Tables!V32)*Population_Tables!J32</f>
        <v>36.917913239435627</v>
      </c>
      <c r="J114" s="253">
        <f>(J166/Population_Tables!W32)*Population_Tables!K32</f>
        <v>10.220838815972524</v>
      </c>
      <c r="K114" s="253">
        <f>(K166/Population_Tables!X32)*Population_Tables!L32</f>
        <v>12.020857047504002</v>
      </c>
      <c r="L114" s="170"/>
      <c r="M114" s="170"/>
      <c r="N114" s="195">
        <f t="shared" si="9"/>
        <v>63.194939881215177</v>
      </c>
      <c r="O114" s="195">
        <f t="shared" si="11"/>
        <v>43.819750786551182</v>
      </c>
      <c r="P114" s="195">
        <f t="shared" si="10"/>
        <v>29.401528935927182</v>
      </c>
      <c r="Q114" s="195">
        <f t="shared" si="12"/>
        <v>136.41621960369355</v>
      </c>
      <c r="R114" s="196">
        <f t="shared" si="13"/>
        <v>0.46325092474197355</v>
      </c>
      <c r="S114" s="170"/>
      <c r="T114" s="170"/>
      <c r="U114" s="195">
        <f t="shared" si="18"/>
        <v>4.4391193542476657</v>
      </c>
      <c r="V114" s="195">
        <f t="shared" si="14"/>
        <v>2.2272303694404485</v>
      </c>
      <c r="W114" s="195">
        <f t="shared" si="14"/>
        <v>1.6478356319632645</v>
      </c>
      <c r="X114" s="195">
        <f t="shared" si="17"/>
        <v>8.3141853556513787</v>
      </c>
      <c r="Y114" s="207">
        <f t="shared" si="16"/>
        <v>0.53392114372700084</v>
      </c>
      <c r="AC114" s="251">
        <f t="shared" si="15"/>
        <v>1.2679677084086145</v>
      </c>
    </row>
    <row r="115" spans="1:29" ht="15.6" x14ac:dyDescent="0.3">
      <c r="A115" s="206">
        <v>2044</v>
      </c>
      <c r="B115" s="253">
        <f>(B167/Population_Tables!O33)*Population_Tables!C33</f>
        <v>178.37877728525234</v>
      </c>
      <c r="C115" s="253">
        <f>(C167/Population_Tables!P33)*Population_Tables!D33</f>
        <v>21.200015545866446</v>
      </c>
      <c r="D115" s="253">
        <f>(D167/Population_Tables!Q33)*Population_Tables!E33</f>
        <v>5.2019367634123652</v>
      </c>
      <c r="E115" s="253">
        <f>(E167/Population_Tables!R33)*Population_Tables!F33</f>
        <v>93.106480177247263</v>
      </c>
      <c r="F115" s="253">
        <f>(F167/Population_Tables!S33)*Population_Tables!G33</f>
        <v>18.172822615230857</v>
      </c>
      <c r="G115" s="253">
        <f>(G167/Population_Tables!T33)*Population_Tables!H33</f>
        <v>3.5154244411019784</v>
      </c>
      <c r="H115" s="253">
        <f>(H167/Population_Tables!U33)*Population_Tables!I33</f>
        <v>44.671622751145257</v>
      </c>
      <c r="I115" s="253">
        <f>(I167/Population_Tables!V33)*Population_Tables!J33</f>
        <v>38.851635013006558</v>
      </c>
      <c r="J115" s="253">
        <f>(J167/Population_Tables!W33)*Population_Tables!K33</f>
        <v>10.353087633998106</v>
      </c>
      <c r="K115" s="253">
        <f>(K167/Population_Tables!X33)*Population_Tables!L33</f>
        <v>12.223689162189615</v>
      </c>
      <c r="L115" s="170"/>
      <c r="M115" s="170"/>
      <c r="N115" s="195">
        <f t="shared" si="9"/>
        <v>66.607680041332856</v>
      </c>
      <c r="O115" s="195">
        <f t="shared" si="11"/>
        <v>44.671622751145257</v>
      </c>
      <c r="P115" s="195">
        <f t="shared" si="10"/>
        <v>29.917376750380789</v>
      </c>
      <c r="Q115" s="195">
        <f t="shared" si="12"/>
        <v>141.1966795428589</v>
      </c>
      <c r="R115" s="196">
        <f t="shared" si="13"/>
        <v>0.47173687268697229</v>
      </c>
      <c r="S115" s="170"/>
      <c r="T115" s="170"/>
      <c r="U115" s="195">
        <f t="shared" si="18"/>
        <v>4.8899172134374567</v>
      </c>
      <c r="V115" s="195">
        <f t="shared" si="14"/>
        <v>2.3904711899707038</v>
      </c>
      <c r="W115" s="195">
        <f t="shared" si="14"/>
        <v>1.7619544881475804</v>
      </c>
      <c r="X115" s="195">
        <f t="shared" si="17"/>
        <v>9.0423428915557409</v>
      </c>
      <c r="Y115" s="207">
        <f t="shared" si="16"/>
        <v>0.54077989212330602</v>
      </c>
      <c r="AC115" s="251">
        <f t="shared" si="15"/>
        <v>1.2667713866374046</v>
      </c>
    </row>
    <row r="116" spans="1:29" ht="15.6" x14ac:dyDescent="0.3">
      <c r="A116" s="206">
        <v>2045</v>
      </c>
      <c r="B116" s="253">
        <f>(B168/Population_Tables!O34)*Population_Tables!C34</f>
        <v>184.50551374781216</v>
      </c>
      <c r="C116" s="253">
        <f>(C168/Population_Tables!P34)*Population_Tables!D34</f>
        <v>21.460057623153787</v>
      </c>
      <c r="D116" s="253">
        <f>(D168/Population_Tables!Q34)*Population_Tables!E34</f>
        <v>5.3420582283737517</v>
      </c>
      <c r="E116" s="253">
        <f>(E168/Population_Tables!R34)*Population_Tables!F34</f>
        <v>96.468193742766729</v>
      </c>
      <c r="F116" s="253">
        <f>(F168/Population_Tables!S34)*Population_Tables!G34</f>
        <v>19.195566807277757</v>
      </c>
      <c r="G116" s="253">
        <f>(G168/Population_Tables!T34)*Population_Tables!H34</f>
        <v>3.6283730779744223</v>
      </c>
      <c r="H116" s="253">
        <f>(H168/Population_Tables!U34)*Population_Tables!I34</f>
        <v>45.51788029032064</v>
      </c>
      <c r="I116" s="253">
        <f>(I168/Population_Tables!V34)*Population_Tables!J34</f>
        <v>40.846941162147317</v>
      </c>
      <c r="J116" s="253">
        <f>(J168/Population_Tables!W34)*Population_Tables!K34</f>
        <v>10.484224061799807</v>
      </c>
      <c r="K116" s="253">
        <f>(K168/Population_Tables!X34)*Population_Tables!L34</f>
        <v>12.429645248056604</v>
      </c>
      <c r="L116" s="170"/>
      <c r="M116" s="170"/>
      <c r="N116" s="195">
        <f t="shared" si="9"/>
        <v>70.145880259723839</v>
      </c>
      <c r="O116" s="195">
        <f t="shared" si="11"/>
        <v>45.51788029032064</v>
      </c>
      <c r="P116" s="195">
        <f t="shared" si="10"/>
        <v>30.430488929501962</v>
      </c>
      <c r="Q116" s="195">
        <f t="shared" si="12"/>
        <v>146.09424947954645</v>
      </c>
      <c r="R116" s="196">
        <f t="shared" si="13"/>
        <v>0.48014128214912682</v>
      </c>
      <c r="S116" s="170"/>
      <c r="T116" s="170"/>
      <c r="U116" s="195">
        <f t="shared" si="18"/>
        <v>5.3766182815099484</v>
      </c>
      <c r="V116" s="195">
        <f t="shared" si="14"/>
        <v>2.5606932527905926</v>
      </c>
      <c r="W116" s="195">
        <f t="shared" si="14"/>
        <v>1.8798984421159375</v>
      </c>
      <c r="X116" s="195">
        <f t="shared" si="17"/>
        <v>9.8172099764164784</v>
      </c>
      <c r="Y116" s="207">
        <f t="shared" si="16"/>
        <v>0.54767273944695083</v>
      </c>
      <c r="AC116" s="251">
        <f t="shared" si="15"/>
        <v>1.2655301820611384</v>
      </c>
    </row>
    <row r="117" spans="1:29" ht="15.6" x14ac:dyDescent="0.3">
      <c r="A117" s="206">
        <v>2046</v>
      </c>
      <c r="B117" s="253">
        <f>(B169/Population_Tables!O35)*Population_Tables!C35</f>
        <v>190.77428352191035</v>
      </c>
      <c r="C117" s="253">
        <f>(C169/Population_Tables!P35)*Population_Tables!D35</f>
        <v>21.710934699820999</v>
      </c>
      <c r="D117" s="253">
        <f>(D169/Population_Tables!Q35)*Population_Tables!E35</f>
        <v>5.4847647299931213</v>
      </c>
      <c r="E117" s="253">
        <f>(E169/Population_Tables!R35)*Population_Tables!F35</f>
        <v>99.899669581067045</v>
      </c>
      <c r="F117" s="253">
        <f>(F169/Population_Tables!S35)*Population_Tables!G35</f>
        <v>20.271624749563252</v>
      </c>
      <c r="G117" s="253">
        <f>(G169/Population_Tables!T35)*Population_Tables!H35</f>
        <v>3.743720791786624</v>
      </c>
      <c r="H117" s="253">
        <f>(H169/Population_Tables!U35)*Population_Tables!I35</f>
        <v>46.358408867674122</v>
      </c>
      <c r="I117" s="253">
        <f>(I169/Population_Tables!V35)*Population_Tables!J35</f>
        <v>42.905243848055079</v>
      </c>
      <c r="J117" s="253">
        <f>(J169/Population_Tables!W35)*Population_Tables!K35</f>
        <v>10.613980258357271</v>
      </c>
      <c r="K117" s="253">
        <f>(K169/Population_Tables!X35)*Population_Tables!L35</f>
        <v>12.638819131990841</v>
      </c>
      <c r="L117" s="170"/>
      <c r="M117" s="170"/>
      <c r="N117" s="195">
        <f t="shared" si="9"/>
        <v>73.812885462956189</v>
      </c>
      <c r="O117" s="195">
        <f t="shared" si="11"/>
        <v>46.358408867674122</v>
      </c>
      <c r="P117" s="195">
        <f t="shared" si="10"/>
        <v>30.939420221600745</v>
      </c>
      <c r="Q117" s="195">
        <f t="shared" si="12"/>
        <v>151.11071455223106</v>
      </c>
      <c r="R117" s="196">
        <f t="shared" si="13"/>
        <v>0.48846890626966721</v>
      </c>
      <c r="S117" s="170"/>
      <c r="T117" s="170"/>
      <c r="U117" s="195">
        <f t="shared" si="18"/>
        <v>5.9018818676442208</v>
      </c>
      <c r="V117" s="195">
        <f t="shared" si="14"/>
        <v>2.7382739397467972</v>
      </c>
      <c r="W117" s="195">
        <f t="shared" si="14"/>
        <v>2.0017574159588989</v>
      </c>
      <c r="X117" s="195">
        <f t="shared" si="17"/>
        <v>10.641913223349917</v>
      </c>
      <c r="Y117" s="207">
        <f t="shared" si="16"/>
        <v>0.5545884225680987</v>
      </c>
      <c r="AC117" s="251">
        <f t="shared" si="15"/>
        <v>1.2642427116296029</v>
      </c>
    </row>
    <row r="118" spans="1:29" ht="15.6" x14ac:dyDescent="0.3">
      <c r="A118" s="206">
        <v>2047</v>
      </c>
      <c r="B118" s="253">
        <f>(B170/Population_Tables!O36)*Population_Tables!C36</f>
        <v>197.18828819211379</v>
      </c>
      <c r="C118" s="253">
        <f>(C170/Population_Tables!P36)*Population_Tables!D36</f>
        <v>21.951143960350329</v>
      </c>
      <c r="D118" s="253">
        <f>(D170/Population_Tables!Q36)*Population_Tables!E36</f>
        <v>5.6301331322237358</v>
      </c>
      <c r="E118" s="253">
        <f>(E170/Population_Tables!R36)*Population_Tables!F36</f>
        <v>103.40203828000462</v>
      </c>
      <c r="F118" s="253">
        <f>(F170/Population_Tables!S36)*Population_Tables!G36</f>
        <v>21.403019062748193</v>
      </c>
      <c r="G118" s="253">
        <f>(G170/Population_Tables!T36)*Population_Tables!H36</f>
        <v>3.861493805690638</v>
      </c>
      <c r="H118" s="253">
        <f>(H170/Population_Tables!U36)*Population_Tables!I36</f>
        <v>47.192981463932405</v>
      </c>
      <c r="I118" s="253">
        <f>(I170/Population_Tables!V36)*Population_Tables!J36</f>
        <v>45.027975453276397</v>
      </c>
      <c r="J118" s="253">
        <f>(J170/Population_Tables!W36)*Population_Tables!K36</f>
        <v>10.742105670430638</v>
      </c>
      <c r="K118" s="253">
        <f>(K170/Population_Tables!X36)*Population_Tables!L36</f>
        <v>12.851346556837843</v>
      </c>
      <c r="L118" s="170"/>
      <c r="M118" s="170"/>
      <c r="N118" s="195">
        <f t="shared" si="9"/>
        <v>77.612075878820406</v>
      </c>
      <c r="O118" s="195">
        <f t="shared" si="11"/>
        <v>47.192981463932405</v>
      </c>
      <c r="P118" s="195">
        <f t="shared" si="10"/>
        <v>31.442770898264705</v>
      </c>
      <c r="Q118" s="195">
        <f t="shared" si="12"/>
        <v>156.24782824101752</v>
      </c>
      <c r="R118" s="196">
        <f t="shared" si="13"/>
        <v>0.496724189721864</v>
      </c>
      <c r="S118" s="170"/>
      <c r="T118" s="170"/>
      <c r="U118" s="195">
        <f t="shared" si="18"/>
        <v>6.4684025822417937</v>
      </c>
      <c r="V118" s="195">
        <f t="shared" si="14"/>
        <v>2.9234781498159208</v>
      </c>
      <c r="W118" s="195">
        <f t="shared" si="14"/>
        <v>2.1276668550445663</v>
      </c>
      <c r="X118" s="195">
        <f t="shared" si="17"/>
        <v>11.519547587102281</v>
      </c>
      <c r="Y118" s="207">
        <f t="shared" si="16"/>
        <v>0.56151533151215594</v>
      </c>
      <c r="AC118" s="251">
        <f t="shared" si="15"/>
        <v>1.2629062617457623</v>
      </c>
    </row>
    <row r="119" spans="1:29" ht="15.6" x14ac:dyDescent="0.3">
      <c r="A119" s="206">
        <v>2048</v>
      </c>
      <c r="B119" s="253">
        <f>(B171/Population_Tables!O37)*Population_Tables!C37</f>
        <v>203.75168299901628</v>
      </c>
      <c r="C119" s="253">
        <f>(C171/Population_Tables!P37)*Population_Tables!D37</f>
        <v>22.179281021059968</v>
      </c>
      <c r="D119" s="253">
        <f>(D171/Population_Tables!Q37)*Population_Tables!E37</f>
        <v>5.7782452997215712</v>
      </c>
      <c r="E119" s="253">
        <f>(E171/Population_Tables!R37)*Population_Tables!F37</f>
        <v>106.97711755769363</v>
      </c>
      <c r="F119" s="253">
        <f>(F171/Population_Tables!S37)*Population_Tables!G37</f>
        <v>22.591862992243428</v>
      </c>
      <c r="G119" s="253">
        <f>(G171/Population_Tables!T37)*Population_Tables!H37</f>
        <v>3.9817304689751238</v>
      </c>
      <c r="H119" s="253">
        <f>(H171/Population_Tables!U37)*Population_Tables!I37</f>
        <v>48.021421463434159</v>
      </c>
      <c r="I119" s="253">
        <f>(I171/Population_Tables!V37)*Population_Tables!J37</f>
        <v>47.217199557270405</v>
      </c>
      <c r="J119" s="253">
        <f>(J171/Population_Tables!W37)*Population_Tables!K37</f>
        <v>10.868380887137993</v>
      </c>
      <c r="K119" s="253">
        <f>(K171/Population_Tables!X37)*Population_Tables!L37</f>
        <v>13.067456909424259</v>
      </c>
      <c r="L119" s="170"/>
      <c r="M119" s="170"/>
      <c r="N119" s="195">
        <f t="shared" si="9"/>
        <v>81.547559086502901</v>
      </c>
      <c r="O119" s="195">
        <f t="shared" si="11"/>
        <v>48.021421463434159</v>
      </c>
      <c r="P119" s="195">
        <f t="shared" si="10"/>
        <v>31.939256789756662</v>
      </c>
      <c r="Q119" s="195">
        <f t="shared" si="12"/>
        <v>161.50823733969372</v>
      </c>
      <c r="R119" s="196">
        <f t="shared" si="13"/>
        <v>0.50491269318348897</v>
      </c>
      <c r="S119" s="170"/>
      <c r="T119" s="170"/>
      <c r="U119" s="195">
        <f t="shared" si="18"/>
        <v>7.079602387099996</v>
      </c>
      <c r="V119" s="195">
        <f t="shared" si="14"/>
        <v>3.1166211855865456</v>
      </c>
      <c r="W119" s="195">
        <f t="shared" si="14"/>
        <v>2.2578777634162996</v>
      </c>
      <c r="X119" s="195">
        <f t="shared" si="17"/>
        <v>12.454101336102841</v>
      </c>
      <c r="Y119" s="207">
        <f t="shared" si="16"/>
        <v>0.56845549879838675</v>
      </c>
      <c r="AC119" s="251">
        <f t="shared" si="15"/>
        <v>1.2615075020204989</v>
      </c>
    </row>
    <row r="120" spans="1:29" ht="15.6" x14ac:dyDescent="0.3">
      <c r="A120" s="206">
        <v>2049</v>
      </c>
      <c r="B120" s="253">
        <f>(B172/Population_Tables!O38)*Population_Tables!C38</f>
        <v>210.46890863083985</v>
      </c>
      <c r="C120" s="253">
        <f>(C172/Population_Tables!P38)*Population_Tables!D38</f>
        <v>22.393983485732956</v>
      </c>
      <c r="D120" s="253">
        <f>(D172/Population_Tables!Q38)*Population_Tables!E38</f>
        <v>5.9291900265056912</v>
      </c>
      <c r="E120" s="253">
        <f>(E172/Population_Tables!R38)*Population_Tables!F38</f>
        <v>110.62692010455811</v>
      </c>
      <c r="F120" s="253">
        <f>(F172/Population_Tables!S38)*Population_Tables!G38</f>
        <v>23.840313110324061</v>
      </c>
      <c r="G120" s="253">
        <f>(G172/Population_Tables!T38)*Population_Tables!H38</f>
        <v>4.1044756240075655</v>
      </c>
      <c r="H120" s="253">
        <f>(H172/Population_Tables!U38)*Population_Tables!I38</f>
        <v>48.843510887152696</v>
      </c>
      <c r="I120" s="253">
        <f>(I172/Population_Tables!V38)*Population_Tables!J38</f>
        <v>49.475242536977426</v>
      </c>
      <c r="J120" s="253">
        <f>(J172/Population_Tables!W38)*Population_Tables!K38</f>
        <v>10.992607451630226</v>
      </c>
      <c r="K120" s="253">
        <f>(K172/Population_Tables!X38)*Population_Tables!L38</f>
        <v>13.287424363903863</v>
      </c>
      <c r="L120" s="170"/>
      <c r="M120" s="170"/>
      <c r="N120" s="195">
        <f t="shared" si="9"/>
        <v>85.623722327729496</v>
      </c>
      <c r="O120" s="195">
        <f t="shared" si="11"/>
        <v>48.843510887152696</v>
      </c>
      <c r="P120" s="195">
        <f t="shared" si="10"/>
        <v>32.42764913624621</v>
      </c>
      <c r="Q120" s="195">
        <f t="shared" si="12"/>
        <v>166.89488235112839</v>
      </c>
      <c r="R120" s="196">
        <f t="shared" si="13"/>
        <v>0.51303983154849919</v>
      </c>
      <c r="S120" s="170"/>
      <c r="T120" s="170"/>
      <c r="U120" s="195">
        <f t="shared" si="18"/>
        <v>7.7391829065557545</v>
      </c>
      <c r="V120" s="195">
        <f t="shared" si="14"/>
        <v>3.3179769862818702</v>
      </c>
      <c r="W120" s="195">
        <f t="shared" si="14"/>
        <v>2.3926965550242123</v>
      </c>
      <c r="X120" s="195">
        <f t="shared" si="17"/>
        <v>13.449856447861837</v>
      </c>
      <c r="Y120" s="207">
        <f t="shared" si="16"/>
        <v>0.57541007493697638</v>
      </c>
      <c r="AC120" s="251">
        <f t="shared" si="15"/>
        <v>1.2600336137777481</v>
      </c>
    </row>
    <row r="121" spans="1:29" ht="16.2" thickBot="1" x14ac:dyDescent="0.35">
      <c r="A121" s="208">
        <v>2050</v>
      </c>
      <c r="B121" s="253">
        <f>(B173/Population_Tables!O39)*Population_Tables!C39</f>
        <v>217.3442063628612</v>
      </c>
      <c r="C121" s="253">
        <f>(C173/Population_Tables!P39)*Population_Tables!D39</f>
        <v>22.593818811207914</v>
      </c>
      <c r="D121" s="253">
        <f>(D173/Population_Tables!Q39)*Population_Tables!E39</f>
        <v>6.0830552865321392</v>
      </c>
      <c r="E121" s="253">
        <f>(E173/Population_Tables!R39)*Population_Tables!F39</f>
        <v>114.35332301405832</v>
      </c>
      <c r="F121" s="253">
        <f>(F173/Population_Tables!S39)*Population_Tables!G39</f>
        <v>25.150557126290103</v>
      </c>
      <c r="G121" s="253">
        <f>(G173/Population_Tables!T39)*Population_Tables!H39</f>
        <v>4.2297718381847362</v>
      </c>
      <c r="H121" s="253">
        <f>(H173/Population_Tables!U39)*Population_Tables!I39</f>
        <v>49.659020220181745</v>
      </c>
      <c r="I121" s="253">
        <f>(I173/Population_Tables!V39)*Population_Tables!J39</f>
        <v>51.804348911996819</v>
      </c>
      <c r="J121" s="253">
        <f>(J173/Population_Tables!W39)*Population_Tables!K39</f>
        <v>11.114568252585592</v>
      </c>
      <c r="K121" s="253">
        <f>(K173/Population_Tables!X39)*Population_Tables!L39</f>
        <v>13.511494283818488</v>
      </c>
      <c r="L121" s="209"/>
      <c r="M121" s="209"/>
      <c r="N121" s="195">
        <f t="shared" si="9"/>
        <v>89.844859920166684</v>
      </c>
      <c r="O121" s="195">
        <f t="shared" si="11"/>
        <v>49.659020220181745</v>
      </c>
      <c r="P121" s="195">
        <f t="shared" si="10"/>
        <v>32.906645935924793</v>
      </c>
      <c r="Q121" s="195">
        <f t="shared" si="12"/>
        <v>172.41052607627324</v>
      </c>
      <c r="R121" s="210">
        <f t="shared" si="13"/>
        <v>0.52111006192522102</v>
      </c>
      <c r="S121" s="209"/>
      <c r="T121" s="209"/>
      <c r="U121" s="211">
        <f t="shared" si="18"/>
        <v>8.4507528408864658</v>
      </c>
      <c r="V121" s="195">
        <f t="shared" si="14"/>
        <v>3.5278079552455424</v>
      </c>
      <c r="W121" s="211">
        <f t="shared" si="14"/>
        <v>2.532356401840282</v>
      </c>
      <c r="X121" s="195">
        <f t="shared" si="17"/>
        <v>14.51091719797229</v>
      </c>
      <c r="Y121" s="212">
        <f t="shared" si="16"/>
        <v>0.58237206687853937</v>
      </c>
      <c r="AC121" s="251">
        <f t="shared" si="15"/>
        <v>1.2584804619222862</v>
      </c>
    </row>
    <row r="122" spans="1:29" ht="15.6" x14ac:dyDescent="0.3">
      <c r="A122" s="213">
        <v>2051</v>
      </c>
      <c r="B122" s="253">
        <f>(B174/Population_Tables!O40)*Population_Tables!C40</f>
        <v>224.38139579333435</v>
      </c>
      <c r="C122" s="253">
        <f>(C174/Population_Tables!P40)*Population_Tables!D40</f>
        <v>22.777194364589349</v>
      </c>
      <c r="D122" s="253">
        <f>(D174/Population_Tables!Q40)*Population_Tables!E40</f>
        <v>6.239929607427201</v>
      </c>
      <c r="E122" s="253">
        <f>(E174/Population_Tables!R40)*Population_Tables!F40</f>
        <v>118.15795934928708</v>
      </c>
      <c r="F122" s="253">
        <f>(F174/Population_Tables!S40)*Population_Tables!G40</f>
        <v>26.524807672412184</v>
      </c>
      <c r="G122" s="253">
        <f>(G174/Population_Tables!T40)*Population_Tables!H40</f>
        <v>4.3576525581019885</v>
      </c>
      <c r="H122" s="253">
        <f>(H174/Population_Tables!U40)*Population_Tables!I40</f>
        <v>50.467755703900501</v>
      </c>
      <c r="I122" s="253">
        <f>(I174/Population_Tables!V40)*Population_Tables!J40</f>
        <v>54.206529974153035</v>
      </c>
      <c r="J122" s="253">
        <f>(J174/Population_Tables!W40)*Population_Tables!K40</f>
        <v>11.234004718588029</v>
      </c>
      <c r="K122" s="253">
        <f>(K174/Population_Tables!X40)*Population_Tables!L40</f>
        <v>13.73981838799136</v>
      </c>
      <c r="N122" s="195">
        <f t="shared" si="9"/>
        <v>94.215011317798769</v>
      </c>
      <c r="O122" s="195">
        <f t="shared" si="11"/>
        <v>50.467755703900501</v>
      </c>
      <c r="P122" s="195">
        <f t="shared" si="10"/>
        <v>33.374776530118538</v>
      </c>
      <c r="Q122" s="195">
        <f t="shared" si="12"/>
        <v>178.05754355181782</v>
      </c>
      <c r="R122" s="214">
        <f t="shared" si="13"/>
        <v>0.52912676114944035</v>
      </c>
      <c r="U122" s="215">
        <f t="shared" si="18"/>
        <v>9.2176660266875245</v>
      </c>
      <c r="V122" s="195">
        <f t="shared" si="14"/>
        <v>3.7464122521066443</v>
      </c>
      <c r="W122" s="215">
        <f t="shared" si="14"/>
        <v>2.6769218189711665</v>
      </c>
      <c r="X122" s="195">
        <f t="shared" si="17"/>
        <v>15.641000097765335</v>
      </c>
      <c r="Y122" s="214">
        <f t="shared" si="16"/>
        <v>0.58932715101795008</v>
      </c>
      <c r="AC122" s="251">
        <f t="shared" si="15"/>
        <v>1.2568527747377698</v>
      </c>
    </row>
    <row r="123" spans="1:29" ht="15.6" x14ac:dyDescent="0.3">
      <c r="A123" s="194">
        <v>2052</v>
      </c>
      <c r="B123" s="253">
        <f>(B175/Population_Tables!O41)*Population_Tables!C41</f>
        <v>231.58378275903283</v>
      </c>
      <c r="C123" s="253">
        <f>(C175/Population_Tables!P41)*Population_Tables!D41</f>
        <v>22.942445823719815</v>
      </c>
      <c r="D123" s="253">
        <f>(D175/Population_Tables!Q41)*Population_Tables!E41</f>
        <v>6.3998979057890786</v>
      </c>
      <c r="E123" s="253">
        <f>(E175/Population_Tables!R41)*Population_Tables!F41</f>
        <v>122.04205274035358</v>
      </c>
      <c r="F123" s="253">
        <f>(F175/Population_Tables!S41)*Population_Tables!G41</f>
        <v>27.965288495671359</v>
      </c>
      <c r="G123" s="253">
        <f>(G175/Population_Tables!T41)*Population_Tables!H41</f>
        <v>4.4881453676875456</v>
      </c>
      <c r="H123" s="253">
        <f>(H175/Population_Tables!U41)*Population_Tables!I41</f>
        <v>51.269478489489529</v>
      </c>
      <c r="I123" s="253">
        <f>(I175/Population_Tables!V41)*Population_Tables!J41</f>
        <v>56.683451411667114</v>
      </c>
      <c r="J123" s="253">
        <f>(J175/Population_Tables!W41)*Population_Tables!K41</f>
        <v>11.35063330409859</v>
      </c>
      <c r="K123" s="253">
        <f>(K175/Population_Tables!X41)*Population_Tables!L41</f>
        <v>13.972511252779633</v>
      </c>
      <c r="N123" s="195">
        <f t="shared" si="9"/>
        <v>98.737862746535427</v>
      </c>
      <c r="O123" s="195">
        <f t="shared" si="11"/>
        <v>51.269478489489529</v>
      </c>
      <c r="P123" s="195">
        <f t="shared" si="10"/>
        <v>33.830489097196441</v>
      </c>
      <c r="Q123" s="195">
        <f t="shared" si="12"/>
        <v>183.8378303332214</v>
      </c>
      <c r="R123" s="196">
        <f t="shared" si="13"/>
        <v>0.53709218917327739</v>
      </c>
      <c r="U123" s="195">
        <f t="shared" si="18"/>
        <v>10.042923072479525</v>
      </c>
      <c r="V123" s="195">
        <f t="shared" si="14"/>
        <v>3.9740429462956541</v>
      </c>
      <c r="W123" s="195">
        <f t="shared" si="14"/>
        <v>2.8263761585664007</v>
      </c>
      <c r="X123" s="195">
        <f t="shared" si="17"/>
        <v>16.843342177341579</v>
      </c>
      <c r="Y123" s="196">
        <f t="shared" si="16"/>
        <v>0.59625476741722416</v>
      </c>
      <c r="AC123" s="251">
        <f t="shared" si="15"/>
        <v>1.2551625128524864</v>
      </c>
    </row>
    <row r="124" spans="1:29" ht="15.6" x14ac:dyDescent="0.3">
      <c r="A124" s="194">
        <v>2053</v>
      </c>
      <c r="B124" s="253">
        <f>(B176/Population_Tables!O42)*Population_Tables!C42</f>
        <v>238.95445159055089</v>
      </c>
      <c r="C124" s="253">
        <f>(C176/Population_Tables!P42)*Population_Tables!D42</f>
        <v>23.087979735929213</v>
      </c>
      <c r="D124" s="253">
        <f>(D176/Population_Tables!Q42)*Population_Tables!E42</f>
        <v>6.5630486543811575</v>
      </c>
      <c r="E124" s="253">
        <f>(E176/Population_Tables!R42)*Population_Tables!F42</f>
        <v>126.00654121143866</v>
      </c>
      <c r="F124" s="253">
        <f>(F176/Population_Tables!S42)*Population_Tables!G42</f>
        <v>29.474232092632359</v>
      </c>
      <c r="G124" s="253">
        <f>(G176/Population_Tables!T42)*Population_Tables!H42</f>
        <v>4.6212779337555832</v>
      </c>
      <c r="H124" s="253">
        <f>(H176/Population_Tables!U42)*Population_Tables!I42</f>
        <v>52.063825116957773</v>
      </c>
      <c r="I124" s="253">
        <f>(I176/Population_Tables!V42)*Population_Tables!J42</f>
        <v>59.236589713049923</v>
      </c>
      <c r="J124" s="253">
        <f>(J176/Population_Tables!W42)*Population_Tables!K42</f>
        <v>11.464212633808396</v>
      </c>
      <c r="K124" s="253">
        <f>(K176/Population_Tables!X42)*Population_Tables!L42</f>
        <v>14.209736499166324</v>
      </c>
      <c r="N124" s="195">
        <f t="shared" si="9"/>
        <v>103.41694818711325</v>
      </c>
      <c r="O124" s="195">
        <f t="shared" si="11"/>
        <v>52.063825116957773</v>
      </c>
      <c r="P124" s="195">
        <f t="shared" si="10"/>
        <v>34.272306324065958</v>
      </c>
      <c r="Q124" s="195">
        <f t="shared" si="12"/>
        <v>189.75307962813696</v>
      </c>
      <c r="R124" s="196">
        <f t="shared" si="13"/>
        <v>0.54500800930230797</v>
      </c>
      <c r="U124" s="195">
        <f t="shared" si="18"/>
        <v>10.929372341610147</v>
      </c>
      <c r="V124" s="195">
        <f t="shared" si="14"/>
        <v>4.2108284960714144</v>
      </c>
      <c r="W124" s="195">
        <f t="shared" si="14"/>
        <v>2.9807772813139657</v>
      </c>
      <c r="X124" s="195">
        <f t="shared" si="17"/>
        <v>18.120978118995527</v>
      </c>
      <c r="Y124" s="196">
        <f t="shared" si="16"/>
        <v>0.60313368681535484</v>
      </c>
      <c r="AC124" s="251">
        <f t="shared" si="15"/>
        <v>1.2534230087384508</v>
      </c>
    </row>
    <row r="125" spans="1:29" ht="15.6" x14ac:dyDescent="0.3">
      <c r="A125" s="194">
        <v>2054</v>
      </c>
      <c r="B125" s="253">
        <f>(B177/Population_Tables!O43)*Population_Tables!C43</f>
        <v>246.49609952435574</v>
      </c>
      <c r="C125" s="253">
        <f>(C177/Population_Tables!P43)*Population_Tables!D43</f>
        <v>23.212164466666074</v>
      </c>
      <c r="D125" s="253">
        <f>(D177/Population_Tables!Q43)*Population_Tables!E43</f>
        <v>6.7294714266148112</v>
      </c>
      <c r="E125" s="253">
        <f>(E177/Population_Tables!R43)*Population_Tables!F43</f>
        <v>130.05201853648191</v>
      </c>
      <c r="F125" s="253">
        <f>(F177/Population_Tables!S43)*Population_Tables!G43</f>
        <v>31.053881897804121</v>
      </c>
      <c r="G125" s="253">
        <f>(G177/Population_Tables!T43)*Population_Tables!H43</f>
        <v>4.7570711205314451</v>
      </c>
      <c r="H125" s="253">
        <f>(H177/Population_Tables!U43)*Population_Tables!I43</f>
        <v>52.85035369828006</v>
      </c>
      <c r="I125" s="253">
        <f>(I177/Population_Tables!V43)*Population_Tables!J43</f>
        <v>61.867146297901847</v>
      </c>
      <c r="J125" s="253">
        <f>(J177/Population_Tables!W43)*Population_Tables!K43</f>
        <v>11.57449365358595</v>
      </c>
      <c r="K125" s="253">
        <f>(K177/Population_Tables!X43)*Population_Tables!L43</f>
        <v>14.451650854921304</v>
      </c>
      <c r="N125" s="195">
        <f t="shared" si="9"/>
        <v>108.25554673600598</v>
      </c>
      <c r="O125" s="195">
        <f t="shared" si="11"/>
        <v>52.85035369828006</v>
      </c>
      <c r="P125" s="195">
        <f t="shared" si="10"/>
        <v>34.698707013812331</v>
      </c>
      <c r="Q125" s="195">
        <f t="shared" si="12"/>
        <v>195.80460744809838</v>
      </c>
      <c r="R125" s="196">
        <f t="shared" si="13"/>
        <v>0.55287537993558766</v>
      </c>
      <c r="U125" s="195">
        <f t="shared" si="18"/>
        <v>11.879607313164058</v>
      </c>
      <c r="V125" s="195">
        <f t="shared" si="14"/>
        <v>4.4568189316586384</v>
      </c>
      <c r="W125" s="195">
        <f t="shared" si="14"/>
        <v>3.1401391640796277</v>
      </c>
      <c r="X125" s="195">
        <f t="shared" si="17"/>
        <v>19.476565408902324</v>
      </c>
      <c r="Y125" s="196">
        <f t="shared" si="16"/>
        <v>0.60994364579979499</v>
      </c>
      <c r="AC125" s="251">
        <f t="shared" si="15"/>
        <v>1.2516507717840437</v>
      </c>
    </row>
    <row r="126" spans="1:29" ht="15.6" x14ac:dyDescent="0.3">
      <c r="A126" s="194">
        <v>2055</v>
      </c>
      <c r="B126" s="253">
        <f>(B178/Population_Tables!O44)*Population_Tables!C44</f>
        <v>254.21135466198947</v>
      </c>
      <c r="C126" s="253">
        <f>(C178/Population_Tables!P44)*Population_Tables!D44</f>
        <v>23.313289230921001</v>
      </c>
      <c r="D126" s="253">
        <f>(D178/Population_Tables!Q44)*Population_Tables!E44</f>
        <v>6.8992558896147473</v>
      </c>
      <c r="E126" s="253">
        <f>(E178/Population_Tables!R44)*Population_Tables!F44</f>
        <v>134.17903901806895</v>
      </c>
      <c r="F126" s="253">
        <f>(F178/Population_Tables!S44)*Population_Tables!G44</f>
        <v>32.706512430789104</v>
      </c>
      <c r="G126" s="253">
        <f>(G178/Population_Tables!T44)*Population_Tables!H44</f>
        <v>4.8955450224066999</v>
      </c>
      <c r="H126" s="253">
        <f>(H178/Population_Tables!U44)*Population_Tables!I44</f>
        <v>53.628608251516319</v>
      </c>
      <c r="I126" s="253">
        <f>(I178/Population_Tables!V44)*Population_Tables!J44</f>
        <v>64.576292337324418</v>
      </c>
      <c r="J126" s="253">
        <f>(J178/Population_Tables!W44)*Population_Tables!K44</f>
        <v>11.681208027859709</v>
      </c>
      <c r="K126" s="253">
        <f>(K178/Population_Tables!X44)*Population_Tables!L44</f>
        <v>14.698387969183562</v>
      </c>
      <c r="N126" s="195">
        <f t="shared" si="9"/>
        <v>113.25694319734174</v>
      </c>
      <c r="O126" s="195">
        <f t="shared" si="11"/>
        <v>53.628608251516319</v>
      </c>
      <c r="P126" s="195">
        <f t="shared" si="10"/>
        <v>35.108090142942444</v>
      </c>
      <c r="Q126" s="195">
        <f t="shared" si="12"/>
        <v>201.9936415918005</v>
      </c>
      <c r="R126" s="196">
        <f t="shared" si="13"/>
        <v>0.56069558578590017</v>
      </c>
      <c r="U126" s="195">
        <f t="shared" si="18"/>
        <v>12.896227173880391</v>
      </c>
      <c r="V126" s="195">
        <f t="shared" si="14"/>
        <v>4.7120501893671758</v>
      </c>
      <c r="W126" s="195">
        <f t="shared" si="14"/>
        <v>3.3043959571508097</v>
      </c>
      <c r="X126" s="195">
        <f t="shared" si="17"/>
        <v>20.912673320398376</v>
      </c>
      <c r="Y126" s="196">
        <f t="shared" si="16"/>
        <v>0.61667042641082692</v>
      </c>
      <c r="AC126" s="251">
        <f t="shared" si="15"/>
        <v>1.2498617404148591</v>
      </c>
    </row>
    <row r="127" spans="1:29" ht="15.6" x14ac:dyDescent="0.3">
      <c r="A127" s="194">
        <v>2056</v>
      </c>
      <c r="B127" s="253">
        <f>(B179/Population_Tables!O45)*Population_Tables!C45</f>
        <v>262.10346061790534</v>
      </c>
      <c r="C127" s="253">
        <f>(C179/Population_Tables!P45)*Population_Tables!D45</f>
        <v>23.389545692590193</v>
      </c>
      <c r="D127" s="253">
        <f>(D179/Population_Tables!Q45)*Population_Tables!E45</f>
        <v>7.0724944511646193</v>
      </c>
      <c r="E127" s="253">
        <f>(E179/Population_Tables!R45)*Population_Tables!F45</f>
        <v>138.38870102936642</v>
      </c>
      <c r="F127" s="253">
        <f>(F179/Population_Tables!S45)*Population_Tables!G45</f>
        <v>34.434488724504362</v>
      </c>
      <c r="G127" s="253">
        <f>(G179/Population_Tables!T45)*Population_Tables!H45</f>
        <v>5.0367272661740419</v>
      </c>
      <c r="H127" s="253">
        <f>(H179/Population_Tables!U45)*Population_Tables!I45</f>
        <v>54.398207918334741</v>
      </c>
      <c r="I127" s="253">
        <f>(I179/Population_Tables!V45)*Population_Tables!J45</f>
        <v>67.365673104655187</v>
      </c>
      <c r="J127" s="253">
        <f>(J179/Population_Tables!W45)*Population_Tables!K45</f>
        <v>11.784056021888063</v>
      </c>
      <c r="K127" s="253">
        <f>(K179/Population_Tables!X45)*Population_Tables!L45</f>
        <v>14.950069603589579</v>
      </c>
      <c r="N127" s="195">
        <f t="shared" si="9"/>
        <v>118.42498183553604</v>
      </c>
      <c r="O127" s="195">
        <f t="shared" si="11"/>
        <v>54.398207918334741</v>
      </c>
      <c r="P127" s="195">
        <f t="shared" si="10"/>
        <v>35.498767409928853</v>
      </c>
      <c r="Q127" s="195">
        <f t="shared" si="12"/>
        <v>208.32195716379965</v>
      </c>
      <c r="R127" s="196">
        <f t="shared" si="13"/>
        <v>0.56847095451595009</v>
      </c>
      <c r="U127" s="195">
        <f t="shared" si="18"/>
        <v>13.982390570785697</v>
      </c>
      <c r="V127" s="195">
        <f t="shared" si="14"/>
        <v>4.9766333291151099</v>
      </c>
      <c r="W127" s="195">
        <f t="shared" si="14"/>
        <v>3.4733945327805955</v>
      </c>
      <c r="X127" s="195">
        <f t="shared" si="17"/>
        <v>22.432418432681402</v>
      </c>
      <c r="Y127" s="196">
        <f t="shared" si="16"/>
        <v>0.62331177589015518</v>
      </c>
      <c r="AC127" s="251">
        <f t="shared" si="15"/>
        <v>1.248066047933023</v>
      </c>
    </row>
    <row r="128" spans="1:29" ht="15.6" x14ac:dyDescent="0.3">
      <c r="A128" s="194">
        <v>2057</v>
      </c>
      <c r="B128" s="253">
        <f>(B180/Population_Tables!O46)*Population_Tables!C46</f>
        <v>270.17525455395219</v>
      </c>
      <c r="C128" s="253">
        <f>(C180/Population_Tables!P46)*Population_Tables!D46</f>
        <v>23.439001988095974</v>
      </c>
      <c r="D128" s="253">
        <f>(D180/Population_Tables!Q46)*Population_Tables!E46</f>
        <v>7.2492788703109472</v>
      </c>
      <c r="E128" s="253">
        <f>(E180/Population_Tables!R46)*Population_Tables!F46</f>
        <v>142.68184213960237</v>
      </c>
      <c r="F128" s="253">
        <f>(F180/Population_Tables!S46)*Population_Tables!G46</f>
        <v>36.240186679672732</v>
      </c>
      <c r="G128" s="253">
        <f>(G180/Population_Tables!T46)*Population_Tables!H46</f>
        <v>5.1806381534325876</v>
      </c>
      <c r="H128" s="253">
        <f>(H180/Population_Tables!U46)*Population_Tables!I46</f>
        <v>55.158744105467889</v>
      </c>
      <c r="I128" s="253">
        <f>(I180/Population_Tables!V46)*Population_Tables!J46</f>
        <v>70.236743591090871</v>
      </c>
      <c r="J128" s="253">
        <f>(J180/Population_Tables!W46)*Population_Tables!K46</f>
        <v>11.882702846409183</v>
      </c>
      <c r="K128" s="253">
        <f>(K180/Population_Tables!X46)*Population_Tables!L46</f>
        <v>15.206765123245235</v>
      </c>
      <c r="N128" s="195">
        <f t="shared" si="9"/>
        <v>123.76328471380722</v>
      </c>
      <c r="O128" s="195">
        <f t="shared" si="11"/>
        <v>55.158744105467889</v>
      </c>
      <c r="P128" s="195">
        <f t="shared" si="10"/>
        <v>35.868919011839509</v>
      </c>
      <c r="Q128" s="195">
        <f t="shared" si="12"/>
        <v>214.79094783111461</v>
      </c>
      <c r="R128" s="196">
        <f t="shared" si="13"/>
        <v>0.57620344788049249</v>
      </c>
      <c r="U128" s="195">
        <f t="shared" si="18"/>
        <v>15.141033949709254</v>
      </c>
      <c r="V128" s="195">
        <f t="shared" si="14"/>
        <v>5.2506516758849102</v>
      </c>
      <c r="W128" s="195">
        <f t="shared" si="14"/>
        <v>3.6468502618174696</v>
      </c>
      <c r="X128" s="195">
        <f t="shared" si="17"/>
        <v>24.038535887411633</v>
      </c>
      <c r="Y128" s="196">
        <f t="shared" si="16"/>
        <v>0.62986506418796606</v>
      </c>
      <c r="AC128" s="251">
        <f t="shared" si="15"/>
        <v>1.2462752687268415</v>
      </c>
    </row>
    <row r="129" spans="1:29" ht="15.6" x14ac:dyDescent="0.3">
      <c r="A129" s="194">
        <v>2058</v>
      </c>
      <c r="B129" s="253">
        <f>(B181/Population_Tables!O47)*Population_Tables!C47</f>
        <v>278.42816846943339</v>
      </c>
      <c r="C129" s="253">
        <f>(C181/Population_Tables!P47)*Population_Tables!D47</f>
        <v>23.459593334886694</v>
      </c>
      <c r="D129" s="253">
        <f>(D181/Population_Tables!Q47)*Population_Tables!E47</f>
        <v>7.4296774434139969</v>
      </c>
      <c r="E129" s="253">
        <f>(E181/Population_Tables!R47)*Population_Tables!F47</f>
        <v>147.05822146581266</v>
      </c>
      <c r="F129" s="253">
        <f>(F181/Population_Tables!S47)*Population_Tables!G47</f>
        <v>38.125914156521127</v>
      </c>
      <c r="G129" s="253">
        <f>(G181/Population_Tables!T47)*Population_Tables!H47</f>
        <v>5.3272784568442564</v>
      </c>
      <c r="H129" s="253">
        <f>(H181/Population_Tables!U47)*Population_Tables!I47</f>
        <v>55.909647713167232</v>
      </c>
      <c r="I129" s="253">
        <f>(I181/Population_Tables!V47)*Population_Tables!J47</f>
        <v>73.190064357460329</v>
      </c>
      <c r="J129" s="253">
        <f>(J181/Population_Tables!W47)*Population_Tables!K47</f>
        <v>11.976761195890703</v>
      </c>
      <c r="K129" s="253">
        <f>(K181/Population_Tables!X47)*Population_Tables!L47</f>
        <v>15.468473636732014</v>
      </c>
      <c r="N129" s="195">
        <f t="shared" si="9"/>
        <v>129.27448790916657</v>
      </c>
      <c r="O129" s="195">
        <f t="shared" si="11"/>
        <v>55.909647713167232</v>
      </c>
      <c r="P129" s="195">
        <f t="shared" si="10"/>
        <v>36.216549235144946</v>
      </c>
      <c r="Q129" s="195">
        <f t="shared" si="12"/>
        <v>221.40068485747875</v>
      </c>
      <c r="R129" s="196">
        <f t="shared" si="13"/>
        <v>0.58389380318486295</v>
      </c>
      <c r="U129" s="195">
        <f t="shared" si="18"/>
        <v>16.374107770273397</v>
      </c>
      <c r="V129" s="195">
        <f t="shared" si="14"/>
        <v>5.5340280481779445</v>
      </c>
      <c r="W129" s="195">
        <f t="shared" si="14"/>
        <v>3.8243026045124964</v>
      </c>
      <c r="X129" s="195">
        <f t="shared" si="17"/>
        <v>25.732438422963838</v>
      </c>
      <c r="Y129" s="196">
        <f t="shared" si="16"/>
        <v>0.63632165367045079</v>
      </c>
      <c r="AC129" s="251">
        <f t="shared" si="15"/>
        <v>1.2445081750728637</v>
      </c>
    </row>
    <row r="130" spans="1:29" ht="15.6" x14ac:dyDescent="0.3">
      <c r="A130" s="194">
        <v>2059</v>
      </c>
      <c r="B130" s="253">
        <f>(B182/Population_Tables!O48)*Population_Tables!C48</f>
        <v>286.86291263584314</v>
      </c>
      <c r="C130" s="253">
        <f>(C182/Population_Tables!P48)*Population_Tables!D48</f>
        <v>23.449146043146218</v>
      </c>
      <c r="D130" s="253">
        <f>(D182/Population_Tables!Q48)*Population_Tables!E48</f>
        <v>7.6137512318752734</v>
      </c>
      <c r="E130" s="253">
        <f>(E182/Population_Tables!R48)*Population_Tables!F48</f>
        <v>151.51704189472298</v>
      </c>
      <c r="F130" s="253">
        <f>(F182/Population_Tables!S48)*Population_Tables!G48</f>
        <v>40.093957583181826</v>
      </c>
      <c r="G130" s="253">
        <f>(G182/Population_Tables!T48)*Population_Tables!H48</f>
        <v>5.4766385740078567</v>
      </c>
      <c r="H130" s="253">
        <f>(H182/Population_Tables!U48)*Population_Tables!I48</f>
        <v>56.650260423758397</v>
      </c>
      <c r="I130" s="253">
        <f>(I182/Population_Tables!V48)*Population_Tables!J48</f>
        <v>76.225731954614218</v>
      </c>
      <c r="J130" s="253">
        <f>(J182/Population_Tables!W48)*Population_Tables!K48</f>
        <v>12.065810630918902</v>
      </c>
      <c r="K130" s="253">
        <f>(K182/Population_Tables!X48)*Population_Tables!L48</f>
        <v>15.735144124556012</v>
      </c>
      <c r="N130" s="195">
        <f t="shared" si="9"/>
        <v>134.96073905414642</v>
      </c>
      <c r="O130" s="195">
        <f t="shared" si="11"/>
        <v>56.650260423758397</v>
      </c>
      <c r="P130" s="195">
        <f t="shared" si="10"/>
        <v>36.539535849029349</v>
      </c>
      <c r="Q130" s="195">
        <f t="shared" si="12"/>
        <v>228.15053532693415</v>
      </c>
      <c r="R130" s="196">
        <f t="shared" si="13"/>
        <v>0.59154250442915235</v>
      </c>
      <c r="U130" s="195">
        <f t="shared" si="18"/>
        <v>17.683074047621517</v>
      </c>
      <c r="V130" s="195">
        <f t="shared" si="14"/>
        <v>5.8265960465697333</v>
      </c>
      <c r="W130" s="195">
        <f t="shared" si="14"/>
        <v>4.005164503830386</v>
      </c>
      <c r="X130" s="195">
        <f t="shared" si="17"/>
        <v>27.514834598021636</v>
      </c>
      <c r="Y130" s="196">
        <f t="shared" si="16"/>
        <v>0.64267419033996154</v>
      </c>
      <c r="AC130" s="251">
        <f t="shared" si="15"/>
        <v>1.2427845220469713</v>
      </c>
    </row>
    <row r="131" spans="1:29" ht="15.6" x14ac:dyDescent="0.3">
      <c r="A131" s="194">
        <v>2060</v>
      </c>
      <c r="B131" s="253">
        <f>(B183/Population_Tables!O49)*Population_Tables!C49</f>
        <v>295.48041330472955</v>
      </c>
      <c r="C131" s="253">
        <f>(C183/Population_Tables!P49)*Population_Tables!D49</f>
        <v>23.405441122730689</v>
      </c>
      <c r="D131" s="253">
        <f>(D183/Population_Tables!Q49)*Population_Tables!E49</f>
        <v>7.8015627387599382</v>
      </c>
      <c r="E131" s="253">
        <f>(E183/Population_Tables!R49)*Population_Tables!F49</f>
        <v>156.05764814288642</v>
      </c>
      <c r="F131" s="253">
        <f>(F183/Population_Tables!S49)*Population_Tables!G49</f>
        <v>42.14665880119054</v>
      </c>
      <c r="G131" s="253">
        <f>(G183/Population_Tables!T49)*Population_Tables!H49</f>
        <v>5.6287112540770954</v>
      </c>
      <c r="H131" s="253">
        <f>(H183/Population_Tables!U49)*Population_Tables!I49</f>
        <v>57.37991138881754</v>
      </c>
      <c r="I131" s="253">
        <f>(I183/Population_Tables!V49)*Population_Tables!J49</f>
        <v>79.343965981595602</v>
      </c>
      <c r="J131" s="253">
        <f>(J183/Population_Tables!W49)*Population_Tables!K49</f>
        <v>12.149418159722883</v>
      </c>
      <c r="K131" s="253">
        <f>(K183/Population_Tables!X49)*Population_Tables!L49</f>
        <v>16.006729775379242</v>
      </c>
      <c r="N131" s="195">
        <f t="shared" si="9"/>
        <v>140.82439555525943</v>
      </c>
      <c r="O131" s="195">
        <f t="shared" si="11"/>
        <v>57.37991138881754</v>
      </c>
      <c r="P131" s="195">
        <f t="shared" si="10"/>
        <v>36.835715115567723</v>
      </c>
      <c r="Q131" s="195">
        <f t="shared" si="12"/>
        <v>235.04002205964468</v>
      </c>
      <c r="R131" s="196">
        <f>N131/Q131</f>
        <v>0.59915070770170054</v>
      </c>
      <c r="U131" s="195">
        <f t="shared" si="18"/>
        <v>19.069604570877146</v>
      </c>
      <c r="V131" s="195">
        <f t="shared" si="14"/>
        <v>6.128176740886353</v>
      </c>
      <c r="W131" s="195">
        <f t="shared" si="14"/>
        <v>4.1888073956266751</v>
      </c>
      <c r="X131" s="195">
        <f t="shared" si="17"/>
        <v>29.386588707390175</v>
      </c>
      <c r="Y131" s="196">
        <f t="shared" si="16"/>
        <v>0.64892202224484463</v>
      </c>
      <c r="AC131" s="251">
        <f t="shared" si="15"/>
        <v>1.2411195455412114</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51.454871928752119</v>
      </c>
      <c r="C137" s="229">
        <v>14.638908399670909</v>
      </c>
      <c r="D137" s="229">
        <v>1.9920692037759276</v>
      </c>
      <c r="E137" s="229">
        <v>22.829472814325261</v>
      </c>
      <c r="F137" s="229">
        <v>3.9482310577903004</v>
      </c>
      <c r="G137" s="229">
        <v>1.2603858871628411</v>
      </c>
      <c r="H137" s="229">
        <v>17.439282369233027</v>
      </c>
      <c r="I137" s="229">
        <v>4.6948149288588139</v>
      </c>
      <c r="J137" s="229">
        <v>6.8462656993072342</v>
      </c>
      <c r="K137" s="229">
        <v>7.4924316730035754</v>
      </c>
      <c r="N137" s="195">
        <f t="shared" ref="N137:N183" si="19">SUMIF($C$83:$G$83,"Y",C137:G137)-H137</f>
        <v>9.3384215028825324</v>
      </c>
      <c r="O137" s="195">
        <f>H137</f>
        <v>17.439282369233027</v>
      </c>
      <c r="P137" s="195">
        <f t="shared" ref="P137:P183" si="20">SUMIF($C$83:$G$83,"N",C137:G137)-(IF($E$83="N",H137))</f>
        <v>17.891363490609677</v>
      </c>
      <c r="Q137" s="195">
        <f>N137+P137+O137</f>
        <v>44.669067362725237</v>
      </c>
      <c r="R137" s="196">
        <f>N137/Q137</f>
        <v>0.20905790190450935</v>
      </c>
      <c r="AC137" s="251"/>
    </row>
    <row r="138" spans="1:29" ht="15.6" x14ac:dyDescent="0.3">
      <c r="A138" s="194">
        <v>2015</v>
      </c>
      <c r="B138" s="229">
        <v>54.446467382568436</v>
      </c>
      <c r="C138" s="229">
        <v>16.711538858527337</v>
      </c>
      <c r="D138" s="229">
        <v>2.0699939491968133</v>
      </c>
      <c r="E138" s="229">
        <v>24.553273115014292</v>
      </c>
      <c r="F138" s="229">
        <v>4.0388326275602644</v>
      </c>
      <c r="G138" s="229">
        <v>1.2928975683685373</v>
      </c>
      <c r="H138" s="229">
        <v>19.194195388345928</v>
      </c>
      <c r="I138" s="229">
        <v>4.8414743414533277</v>
      </c>
      <c r="J138" s="229">
        <v>7.3085335268491471</v>
      </c>
      <c r="K138" s="229">
        <v>7.5939339513900279</v>
      </c>
      <c r="N138" s="195">
        <f t="shared" si="19"/>
        <v>9.3979103542286282</v>
      </c>
      <c r="O138" s="195">
        <f t="shared" ref="O138:O183" si="21">H138</f>
        <v>19.194195388345928</v>
      </c>
      <c r="P138" s="195">
        <f t="shared" si="20"/>
        <v>20.074430376092689</v>
      </c>
      <c r="Q138" s="195">
        <f t="shared" ref="Q138:Q183" si="22">N138+P138+O138</f>
        <v>48.666536118667246</v>
      </c>
      <c r="R138" s="196">
        <f t="shared" ref="R138:R182" si="23">N138/Q138</f>
        <v>0.1931082650162938</v>
      </c>
      <c r="AC138" s="251"/>
    </row>
    <row r="139" spans="1:29" ht="15.6" x14ac:dyDescent="0.3">
      <c r="A139" s="194">
        <v>2016</v>
      </c>
      <c r="B139" s="229">
        <v>57.081545887273947</v>
      </c>
      <c r="C139" s="229">
        <v>16.552972550290875</v>
      </c>
      <c r="D139" s="229">
        <v>2.1508664952208356</v>
      </c>
      <c r="E139" s="229">
        <v>25.942885737930851</v>
      </c>
      <c r="F139" s="229">
        <v>4.2235222130056576</v>
      </c>
      <c r="G139" s="229">
        <v>1.3327402612158661</v>
      </c>
      <c r="H139" s="229">
        <v>20.035786418782706</v>
      </c>
      <c r="I139" s="229">
        <v>5.2988529476936606</v>
      </c>
      <c r="J139" s="229">
        <v>7.3446995972457803</v>
      </c>
      <c r="K139" s="229">
        <v>7.704709268917294</v>
      </c>
      <c r="N139" s="195">
        <f t="shared" si="19"/>
        <v>10.130621532153803</v>
      </c>
      <c r="O139" s="195">
        <f t="shared" si="21"/>
        <v>20.035786418782706</v>
      </c>
      <c r="P139" s="195">
        <f t="shared" si="20"/>
        <v>20.036579306727575</v>
      </c>
      <c r="Q139" s="195">
        <f t="shared" si="22"/>
        <v>50.202987257664084</v>
      </c>
      <c r="R139" s="196">
        <f t="shared" si="23"/>
        <v>0.20179320167062853</v>
      </c>
      <c r="AC139" s="251"/>
    </row>
    <row r="140" spans="1:29" ht="15.6" x14ac:dyDescent="0.3">
      <c r="A140" s="194">
        <v>2017</v>
      </c>
      <c r="B140" s="229">
        <v>59.808762867653577</v>
      </c>
      <c r="C140" s="229">
        <v>16.427300488451106</v>
      </c>
      <c r="D140" s="229">
        <v>2.2329381235187435</v>
      </c>
      <c r="E140" s="229">
        <v>27.395806664169019</v>
      </c>
      <c r="F140" s="229">
        <v>4.41644110091696</v>
      </c>
      <c r="G140" s="229">
        <v>1.3749137581310149</v>
      </c>
      <c r="H140" s="229">
        <v>20.878555492508404</v>
      </c>
      <c r="I140" s="229">
        <v>5.8021201707966679</v>
      </c>
      <c r="J140" s="229">
        <v>7.3870718774110502</v>
      </c>
      <c r="K140" s="229">
        <v>7.8171875275112006</v>
      </c>
      <c r="N140" s="195">
        <f t="shared" si="19"/>
        <v>10.933692272577574</v>
      </c>
      <c r="O140" s="195">
        <f t="shared" si="21"/>
        <v>20.878555492508404</v>
      </c>
      <c r="P140" s="195">
        <f t="shared" si="20"/>
        <v>20.035152370100864</v>
      </c>
      <c r="Q140" s="195">
        <f t="shared" si="22"/>
        <v>51.847400135186845</v>
      </c>
      <c r="R140" s="196">
        <f t="shared" si="23"/>
        <v>0.21088217044768065</v>
      </c>
      <c r="AC140" s="251"/>
    </row>
    <row r="141" spans="1:29" ht="15.6" x14ac:dyDescent="0.3">
      <c r="A141" s="194">
        <v>2018</v>
      </c>
      <c r="B141" s="229">
        <v>62.627749476115468</v>
      </c>
      <c r="C141" s="229">
        <v>16.333029420875359</v>
      </c>
      <c r="D141" s="229">
        <v>2.3162081559063363</v>
      </c>
      <c r="E141" s="229">
        <v>28.911041776183065</v>
      </c>
      <c r="F141" s="229">
        <v>4.618777107979005</v>
      </c>
      <c r="G141" s="229">
        <v>1.4193768156503164</v>
      </c>
      <c r="H141" s="229">
        <v>21.72201069127312</v>
      </c>
      <c r="I141" s="229">
        <v>6.3511530168064247</v>
      </c>
      <c r="J141" s="229">
        <v>7.43535486523841</v>
      </c>
      <c r="K141" s="229">
        <v>7.9313649249864007</v>
      </c>
      <c r="N141" s="195">
        <f t="shared" si="19"/>
        <v>11.807808192888949</v>
      </c>
      <c r="O141" s="195">
        <f t="shared" si="21"/>
        <v>21.72201069127312</v>
      </c>
      <c r="P141" s="195">
        <f t="shared" si="20"/>
        <v>20.068614392432011</v>
      </c>
      <c r="Q141" s="195">
        <f t="shared" si="22"/>
        <v>53.598433276594079</v>
      </c>
      <c r="R141" s="196">
        <f t="shared" si="23"/>
        <v>0.22030136836192385</v>
      </c>
      <c r="AC141" s="251"/>
    </row>
    <row r="142" spans="1:29" ht="16.2" thickBot="1" x14ac:dyDescent="0.35">
      <c r="A142" s="198">
        <v>2019</v>
      </c>
      <c r="B142" s="230">
        <v>65.538136865067756</v>
      </c>
      <c r="C142" s="230">
        <v>16.26866609543098</v>
      </c>
      <c r="D142" s="230">
        <v>2.4006759141994158</v>
      </c>
      <c r="E142" s="230">
        <v>30.48759695642725</v>
      </c>
      <c r="F142" s="230">
        <v>4.8317180508766295</v>
      </c>
      <c r="G142" s="230">
        <v>1.4660881903101031</v>
      </c>
      <c r="H142" s="230">
        <v>22.565660096826957</v>
      </c>
      <c r="I142" s="230">
        <v>6.9458284917670037</v>
      </c>
      <c r="J142" s="230">
        <v>7.489253058621312</v>
      </c>
      <c r="K142" s="230">
        <v>8.0472376591575454</v>
      </c>
      <c r="N142" s="195">
        <f t="shared" si="19"/>
        <v>12.753654910476921</v>
      </c>
      <c r="O142" s="195">
        <f t="shared" si="21"/>
        <v>22.565660096826957</v>
      </c>
      <c r="P142" s="195">
        <f t="shared" si="20"/>
        <v>20.135430199940497</v>
      </c>
      <c r="Q142" s="195">
        <f t="shared" si="22"/>
        <v>55.454745207244372</v>
      </c>
      <c r="R142" s="199">
        <f t="shared" si="23"/>
        <v>0.229983112586925</v>
      </c>
      <c r="AC142" s="251"/>
    </row>
    <row r="143" spans="1:29" ht="15.6" x14ac:dyDescent="0.3">
      <c r="A143" s="201">
        <v>2020</v>
      </c>
      <c r="B143" s="228">
        <v>68.539556186918574</v>
      </c>
      <c r="C143" s="228">
        <v>16.232717259985296</v>
      </c>
      <c r="D143" s="228">
        <v>2.4863407202137813</v>
      </c>
      <c r="E143" s="228">
        <v>32.12447808735584</v>
      </c>
      <c r="F143" s="228">
        <v>5.0564517462946679</v>
      </c>
      <c r="G143" s="228">
        <v>1.5150066386467071</v>
      </c>
      <c r="H143" s="228">
        <v>23.409011790920012</v>
      </c>
      <c r="I143" s="228">
        <v>7.5860236017224789</v>
      </c>
      <c r="J143" s="228">
        <v>7.5484709554532072</v>
      </c>
      <c r="K143" s="228">
        <v>8.1648019278392887</v>
      </c>
      <c r="L143" s="202"/>
      <c r="M143" s="202"/>
      <c r="N143" s="195">
        <f t="shared" si="19"/>
        <v>13.771918042730498</v>
      </c>
      <c r="O143" s="195">
        <f t="shared" si="21"/>
        <v>23.409011790920012</v>
      </c>
      <c r="P143" s="195">
        <f t="shared" si="20"/>
        <v>20.234064618845785</v>
      </c>
      <c r="Q143" s="195">
        <f t="shared" si="22"/>
        <v>57.414994452496295</v>
      </c>
      <c r="R143" s="220">
        <f t="shared" si="23"/>
        <v>0.23986622613235697</v>
      </c>
      <c r="AC143" s="251"/>
    </row>
    <row r="144" spans="1:29" ht="15.6" x14ac:dyDescent="0.3">
      <c r="A144" s="206">
        <v>2021</v>
      </c>
      <c r="B144" s="229">
        <v>71.63163859407608</v>
      </c>
      <c r="C144" s="229">
        <v>16.223689662405647</v>
      </c>
      <c r="D144" s="229">
        <v>2.5732018957652341</v>
      </c>
      <c r="E144" s="229">
        <v>33.82069105142309</v>
      </c>
      <c r="F144" s="229">
        <v>5.2941660109179542</v>
      </c>
      <c r="G144" s="229">
        <v>1.566090917196461</v>
      </c>
      <c r="H144" s="229">
        <v>24.251573855302379</v>
      </c>
      <c r="I144" s="229">
        <v>8.2716153527169247</v>
      </c>
      <c r="J144" s="229">
        <v>7.6127130536275507</v>
      </c>
      <c r="K144" s="229">
        <v>8.28405392884628</v>
      </c>
      <c r="L144" s="170"/>
      <c r="M144" s="170"/>
      <c r="N144" s="195">
        <f t="shared" si="19"/>
        <v>14.863283207038666</v>
      </c>
      <c r="O144" s="195">
        <f t="shared" si="21"/>
        <v>24.251573855302379</v>
      </c>
      <c r="P144" s="195">
        <f t="shared" si="20"/>
        <v>20.362982475367343</v>
      </c>
      <c r="Q144" s="195">
        <f t="shared" si="22"/>
        <v>59.477839537708391</v>
      </c>
      <c r="R144" s="221">
        <f t="shared" si="23"/>
        <v>0.24989615161820875</v>
      </c>
      <c r="AC144" s="251"/>
    </row>
    <row r="145" spans="1:29" ht="15.6" x14ac:dyDescent="0.3">
      <c r="A145" s="206">
        <v>2022</v>
      </c>
      <c r="B145" s="229">
        <v>74.8140152389484</v>
      </c>
      <c r="C145" s="229">
        <v>16.24009005055937</v>
      </c>
      <c r="D145" s="229">
        <v>2.6612587626695747</v>
      </c>
      <c r="E145" s="229">
        <v>35.575241731083267</v>
      </c>
      <c r="F145" s="229">
        <v>5.5460486614313247</v>
      </c>
      <c r="G145" s="229">
        <v>1.6192997824956974</v>
      </c>
      <c r="H145" s="229">
        <v>25.092854371724162</v>
      </c>
      <c r="I145" s="229">
        <v>9.0024807507944118</v>
      </c>
      <c r="J145" s="229">
        <v>7.6816838510377927</v>
      </c>
      <c r="K145" s="229">
        <v>8.4049898599931741</v>
      </c>
      <c r="L145" s="170"/>
      <c r="M145" s="170"/>
      <c r="N145" s="195">
        <f t="shared" si="19"/>
        <v>16.028436020790434</v>
      </c>
      <c r="O145" s="195">
        <f t="shared" si="21"/>
        <v>25.092854371724162</v>
      </c>
      <c r="P145" s="195">
        <f t="shared" si="20"/>
        <v>20.520648595724644</v>
      </c>
      <c r="Q145" s="195">
        <f t="shared" si="22"/>
        <v>61.641938988239232</v>
      </c>
      <c r="R145" s="221">
        <f t="shared" si="23"/>
        <v>0.2600248513248184</v>
      </c>
      <c r="AC145" s="251"/>
    </row>
    <row r="146" spans="1:29" ht="15.6" x14ac:dyDescent="0.3">
      <c r="A146" s="206">
        <v>2023</v>
      </c>
      <c r="B146" s="229">
        <v>78.086317273943678</v>
      </c>
      <c r="C146" s="229">
        <v>16.280425172313802</v>
      </c>
      <c r="D146" s="229">
        <v>2.7505106427426025</v>
      </c>
      <c r="E146" s="229">
        <v>37.387136008790648</v>
      </c>
      <c r="F146" s="229">
        <v>5.8132875145196143</v>
      </c>
      <c r="G146" s="229">
        <v>1.6745919910807485</v>
      </c>
      <c r="H146" s="229">
        <v>25.932361421935457</v>
      </c>
      <c r="I146" s="229">
        <v>9.7784968019990188</v>
      </c>
      <c r="J146" s="229">
        <v>7.7550878455773873</v>
      </c>
      <c r="K146" s="229">
        <v>8.5276059190946221</v>
      </c>
      <c r="L146" s="170"/>
      <c r="M146" s="170"/>
      <c r="N146" s="195">
        <f t="shared" si="19"/>
        <v>17.268062101374806</v>
      </c>
      <c r="O146" s="195">
        <f t="shared" si="21"/>
        <v>25.932361421935457</v>
      </c>
      <c r="P146" s="195">
        <f t="shared" si="20"/>
        <v>20.705527806137152</v>
      </c>
      <c r="Q146" s="195">
        <f>N146+P146+O146</f>
        <v>63.905951329447419</v>
      </c>
      <c r="R146" s="221">
        <f t="shared" si="23"/>
        <v>0.2702105475647274</v>
      </c>
      <c r="AC146" s="251"/>
    </row>
    <row r="147" spans="1:29" ht="15.6" x14ac:dyDescent="0.3">
      <c r="A147" s="206">
        <v>2024</v>
      </c>
      <c r="B147" s="229">
        <v>81.448175851470069</v>
      </c>
      <c r="C147" s="229">
        <v>16.343201775536276</v>
      </c>
      <c r="D147" s="229">
        <v>2.8409568578001196</v>
      </c>
      <c r="E147" s="229">
        <v>39.255379766999468</v>
      </c>
      <c r="F147" s="229">
        <v>6.0970703868676583</v>
      </c>
      <c r="G147" s="229">
        <v>1.7319262994879465</v>
      </c>
      <c r="H147" s="229">
        <v>26.769603087686363</v>
      </c>
      <c r="I147" s="229">
        <v>10.599540512374814</v>
      </c>
      <c r="J147" s="229">
        <v>7.8326295351397857</v>
      </c>
      <c r="K147" s="229">
        <v>8.651898303965277</v>
      </c>
      <c r="L147" s="170"/>
      <c r="M147" s="170"/>
      <c r="N147" s="195">
        <f t="shared" si="19"/>
        <v>18.582847066180761</v>
      </c>
      <c r="O147" s="195">
        <f t="shared" si="21"/>
        <v>26.769603087686363</v>
      </c>
      <c r="P147" s="195">
        <f t="shared" si="20"/>
        <v>20.91608493282434</v>
      </c>
      <c r="Q147" s="195">
        <f t="shared" si="22"/>
        <v>66.268535086691458</v>
      </c>
      <c r="R147" s="221">
        <f t="shared" si="23"/>
        <v>0.28041735103802995</v>
      </c>
      <c r="AC147" s="251"/>
    </row>
    <row r="148" spans="1:29" ht="15.6" x14ac:dyDescent="0.3">
      <c r="A148" s="206">
        <v>2025</v>
      </c>
      <c r="B148" s="229">
        <v>84.899222123935687</v>
      </c>
      <c r="C148" s="229">
        <v>16.426926608094128</v>
      </c>
      <c r="D148" s="229">
        <v>2.9325967296579254</v>
      </c>
      <c r="E148" s="229">
        <v>41.178978888164018</v>
      </c>
      <c r="F148" s="229">
        <v>6.3985850951602909</v>
      </c>
      <c r="G148" s="229">
        <v>1.791261464253624</v>
      </c>
      <c r="H148" s="229">
        <v>27.604087450726979</v>
      </c>
      <c r="I148" s="229">
        <v>11.465488887965874</v>
      </c>
      <c r="J148" s="229">
        <v>7.9140134176184418</v>
      </c>
      <c r="K148" s="229">
        <v>8.7778632124197902</v>
      </c>
      <c r="L148" s="170"/>
      <c r="M148" s="170"/>
      <c r="N148" s="195">
        <f t="shared" si="19"/>
        <v>19.973476532597331</v>
      </c>
      <c r="O148" s="195">
        <f t="shared" si="21"/>
        <v>27.604087450726979</v>
      </c>
      <c r="P148" s="195">
        <f t="shared" si="20"/>
        <v>21.150784802005674</v>
      </c>
      <c r="Q148" s="195">
        <f t="shared" si="22"/>
        <v>68.728348785329985</v>
      </c>
      <c r="R148" s="221">
        <f t="shared" si="23"/>
        <v>0.29061481740211187</v>
      </c>
      <c r="AC148" s="251"/>
    </row>
    <row r="149" spans="1:29" ht="15.6" x14ac:dyDescent="0.3">
      <c r="A149" s="206">
        <v>2026</v>
      </c>
      <c r="B149" s="229">
        <v>88.439087243748702</v>
      </c>
      <c r="C149" s="229">
        <v>16.530106417854697</v>
      </c>
      <c r="D149" s="229">
        <v>3.0254295801318203</v>
      </c>
      <c r="E149" s="229">
        <v>43.156939254738546</v>
      </c>
      <c r="F149" s="229">
        <v>6.7190194560823482</v>
      </c>
      <c r="G149" s="229">
        <v>1.8525562419141137</v>
      </c>
      <c r="H149" s="229">
        <v>28.435322592807402</v>
      </c>
      <c r="I149" s="229">
        <v>12.376218934816269</v>
      </c>
      <c r="J149" s="229">
        <v>7.9989439909068079</v>
      </c>
      <c r="K149" s="229">
        <v>8.9054968422728127</v>
      </c>
      <c r="L149" s="170"/>
      <c r="M149" s="170"/>
      <c r="N149" s="195">
        <f t="shared" si="19"/>
        <v>21.440636118013494</v>
      </c>
      <c r="O149" s="195">
        <f t="shared" si="21"/>
        <v>28.435322592807402</v>
      </c>
      <c r="P149" s="195">
        <f t="shared" si="20"/>
        <v>21.408092239900633</v>
      </c>
      <c r="Q149" s="195">
        <f t="shared" si="22"/>
        <v>71.284050950721536</v>
      </c>
      <c r="R149" s="221">
        <f t="shared" si="23"/>
        <v>0.30077746469312394</v>
      </c>
      <c r="AC149" s="251"/>
    </row>
    <row r="150" spans="1:29" ht="15.6" x14ac:dyDescent="0.3">
      <c r="A150" s="206">
        <v>2027</v>
      </c>
      <c r="B150" s="229">
        <v>92.067402363317228</v>
      </c>
      <c r="C150" s="229">
        <v>16.651247952685321</v>
      </c>
      <c r="D150" s="229">
        <v>3.1194547310376057</v>
      </c>
      <c r="E150" s="229">
        <v>45.188266749177316</v>
      </c>
      <c r="F150" s="229">
        <v>7.0595612863186643</v>
      </c>
      <c r="G150" s="229">
        <v>1.9157693890057477</v>
      </c>
      <c r="H150" s="229">
        <v>29.262816595677734</v>
      </c>
      <c r="I150" s="229">
        <v>13.331607658970078</v>
      </c>
      <c r="J150" s="229">
        <v>8.087125752898336</v>
      </c>
      <c r="K150" s="229">
        <v>9.0347953913389993</v>
      </c>
      <c r="L150" s="170"/>
      <c r="M150" s="170"/>
      <c r="N150" s="195">
        <f t="shared" si="19"/>
        <v>22.985011439818244</v>
      </c>
      <c r="O150" s="195">
        <f t="shared" si="21"/>
        <v>29.262816595677734</v>
      </c>
      <c r="P150" s="195">
        <f t="shared" si="20"/>
        <v>21.686472072728677</v>
      </c>
      <c r="Q150" s="195">
        <f t="shared" si="22"/>
        <v>73.934300108224647</v>
      </c>
      <c r="R150" s="221">
        <f t="shared" si="23"/>
        <v>0.31088427706995131</v>
      </c>
      <c r="AC150" s="251"/>
    </row>
    <row r="151" spans="1:29" ht="15.6" x14ac:dyDescent="0.3">
      <c r="A151" s="206">
        <v>2028</v>
      </c>
      <c r="B151" s="229">
        <v>95.783798635049422</v>
      </c>
      <c r="C151" s="229">
        <v>16.788857960453331</v>
      </c>
      <c r="D151" s="229">
        <v>3.2146715041910814</v>
      </c>
      <c r="E151" s="229">
        <v>47.271967253934605</v>
      </c>
      <c r="F151" s="229">
        <v>7.4213984025540753</v>
      </c>
      <c r="G151" s="229">
        <v>1.9808596620648586</v>
      </c>
      <c r="H151" s="229">
        <v>30.086077541088066</v>
      </c>
      <c r="I151" s="229">
        <v>14.331532066471372</v>
      </c>
      <c r="J151" s="229">
        <v>8.1782632014864785</v>
      </c>
      <c r="K151" s="229">
        <v>9.1657550574330013</v>
      </c>
      <c r="L151" s="170"/>
      <c r="M151" s="170"/>
      <c r="N151" s="195">
        <f t="shared" si="19"/>
        <v>24.607288115400614</v>
      </c>
      <c r="O151" s="195">
        <f t="shared" si="21"/>
        <v>30.086077541088066</v>
      </c>
      <c r="P151" s="195">
        <f t="shared" si="20"/>
        <v>21.984389126709271</v>
      </c>
      <c r="Q151" s="195">
        <f t="shared" si="22"/>
        <v>76.67775478319794</v>
      </c>
      <c r="R151" s="221">
        <f t="shared" si="23"/>
        <v>0.32091821395887693</v>
      </c>
      <c r="AC151" s="251"/>
    </row>
    <row r="152" spans="1:29" ht="15.6" x14ac:dyDescent="0.3">
      <c r="A152" s="206">
        <v>2029</v>
      </c>
      <c r="B152" s="229">
        <v>99.587907211353411</v>
      </c>
      <c r="C152" s="229">
        <v>16.941443189026064</v>
      </c>
      <c r="D152" s="229">
        <v>3.3110792214080478</v>
      </c>
      <c r="E152" s="229">
        <v>49.407046651464654</v>
      </c>
      <c r="F152" s="229">
        <v>7.8057186214734164</v>
      </c>
      <c r="G152" s="229">
        <v>2.0477858176277786</v>
      </c>
      <c r="H152" s="229">
        <v>30.904613510788508</v>
      </c>
      <c r="I152" s="229">
        <v>15.375869163364221</v>
      </c>
      <c r="J152" s="229">
        <v>8.2720608345646873</v>
      </c>
      <c r="K152" s="229">
        <v>9.2983720383694681</v>
      </c>
      <c r="L152" s="170"/>
      <c r="M152" s="170"/>
      <c r="N152" s="195">
        <f t="shared" si="19"/>
        <v>26.308151762149564</v>
      </c>
      <c r="O152" s="195">
        <f t="shared" si="21"/>
        <v>30.904613510788508</v>
      </c>
      <c r="P152" s="195">
        <f t="shared" si="20"/>
        <v>22.300308228061891</v>
      </c>
      <c r="Q152" s="195">
        <f t="shared" si="22"/>
        <v>79.513073500999965</v>
      </c>
      <c r="R152" s="221">
        <f t="shared" si="23"/>
        <v>0.33086573822125881</v>
      </c>
      <c r="AC152" s="251"/>
    </row>
    <row r="153" spans="1:29" ht="15.6" x14ac:dyDescent="0.3">
      <c r="A153" s="206">
        <v>2030</v>
      </c>
      <c r="B153" s="229">
        <v>103.47935924463735</v>
      </c>
      <c r="C153" s="229">
        <v>17.10751038627086</v>
      </c>
      <c r="D153" s="229">
        <v>3.4086772045043059</v>
      </c>
      <c r="E153" s="229">
        <v>51.592510824221741</v>
      </c>
      <c r="F153" s="229">
        <v>8.213709759761521</v>
      </c>
      <c r="G153" s="229">
        <v>2.11650661223084</v>
      </c>
      <c r="H153" s="229">
        <v>31.717932586529152</v>
      </c>
      <c r="I153" s="229">
        <v>16.464495955692705</v>
      </c>
      <c r="J153" s="229">
        <v>8.3682231500264166</v>
      </c>
      <c r="K153" s="229">
        <v>9.4326425319630562</v>
      </c>
      <c r="L153" s="170"/>
      <c r="M153" s="170"/>
      <c r="N153" s="195">
        <f t="shared" si="19"/>
        <v>28.08828799745411</v>
      </c>
      <c r="O153" s="195">
        <f t="shared" si="21"/>
        <v>31.717932586529152</v>
      </c>
      <c r="P153" s="195">
        <f t="shared" si="20"/>
        <v>22.632694203006007</v>
      </c>
      <c r="Q153" s="195">
        <f t="shared" si="22"/>
        <v>82.438914786989272</v>
      </c>
      <c r="R153" s="221">
        <f t="shared" si="23"/>
        <v>0.34071637248052516</v>
      </c>
      <c r="AC153" s="251"/>
    </row>
    <row r="154" spans="1:29" ht="15.6" x14ac:dyDescent="0.3">
      <c r="A154" s="206">
        <v>2031</v>
      </c>
      <c r="B154" s="229">
        <v>107.45778588730938</v>
      </c>
      <c r="C154" s="229">
        <v>17.285566300055056</v>
      </c>
      <c r="D154" s="229">
        <v>3.5074647752956558</v>
      </c>
      <c r="E154" s="229">
        <v>53.827365654660127</v>
      </c>
      <c r="F154" s="229">
        <v>8.6465596341032267</v>
      </c>
      <c r="G154" s="229">
        <v>2.1869808024103756</v>
      </c>
      <c r="H154" s="229">
        <v>32.525542850060091</v>
      </c>
      <c r="I154" s="229">
        <v>17.597289449500892</v>
      </c>
      <c r="J154" s="229">
        <v>8.4664546457651184</v>
      </c>
      <c r="K154" s="229">
        <v>9.5685627360284151</v>
      </c>
      <c r="L154" s="170"/>
      <c r="M154" s="170"/>
      <c r="N154" s="195">
        <f t="shared" si="19"/>
        <v>29.948382438703263</v>
      </c>
      <c r="O154" s="195">
        <f t="shared" si="21"/>
        <v>32.525542850060091</v>
      </c>
      <c r="P154" s="195">
        <f t="shared" si="20"/>
        <v>22.980011877761086</v>
      </c>
      <c r="Q154" s="195">
        <f t="shared" si="22"/>
        <v>85.45393716652444</v>
      </c>
      <c r="R154" s="221">
        <f t="shared" si="23"/>
        <v>0.35046228917858668</v>
      </c>
      <c r="AC154" s="251"/>
    </row>
    <row r="155" spans="1:29" ht="15.6" x14ac:dyDescent="0.3">
      <c r="A155" s="206">
        <v>2032</v>
      </c>
      <c r="B155" s="229">
        <v>111.52281829177764</v>
      </c>
      <c r="C155" s="229">
        <v>17.474117678245982</v>
      </c>
      <c r="D155" s="229">
        <v>3.6074412555978985</v>
      </c>
      <c r="E155" s="229">
        <v>56.11061702523407</v>
      </c>
      <c r="F155" s="229">
        <v>9.1054560611833679</v>
      </c>
      <c r="G155" s="229">
        <v>2.259167144702718</v>
      </c>
      <c r="H155" s="229">
        <v>33.326952383131434</v>
      </c>
      <c r="I155" s="229">
        <v>18.774126650832859</v>
      </c>
      <c r="J155" s="229">
        <v>8.566459819674245</v>
      </c>
      <c r="K155" s="229">
        <v>9.7061288483801995</v>
      </c>
      <c r="L155" s="170"/>
      <c r="M155" s="170"/>
      <c r="N155" s="195">
        <f t="shared" si="19"/>
        <v>31.889120703286004</v>
      </c>
      <c r="O155" s="195">
        <f t="shared" si="21"/>
        <v>33.326952383131434</v>
      </c>
      <c r="P155" s="195">
        <f t="shared" si="20"/>
        <v>23.340726078546599</v>
      </c>
      <c r="Q155" s="195">
        <f t="shared" si="22"/>
        <v>88.556799164964048</v>
      </c>
      <c r="R155" s="221">
        <f t="shared" si="23"/>
        <v>0.360097937188118</v>
      </c>
      <c r="AC155" s="251"/>
    </row>
    <row r="156" spans="1:29" ht="15.6" x14ac:dyDescent="0.3">
      <c r="A156" s="206">
        <v>2033</v>
      </c>
      <c r="B156" s="229">
        <v>115.67408761045026</v>
      </c>
      <c r="C156" s="229">
        <v>17.671671268710977</v>
      </c>
      <c r="D156" s="229">
        <v>3.7086059672268341</v>
      </c>
      <c r="E156" s="229">
        <v>58.44127081839784</v>
      </c>
      <c r="F156" s="229">
        <v>9.591586857686778</v>
      </c>
      <c r="G156" s="229">
        <v>2.3330243956441992</v>
      </c>
      <c r="H156" s="229">
        <v>34.121669267493274</v>
      </c>
      <c r="I156" s="229">
        <v>19.994884565732676</v>
      </c>
      <c r="J156" s="229">
        <v>8.6679431696472484</v>
      </c>
      <c r="K156" s="229">
        <v>9.8453370668330571</v>
      </c>
      <c r="L156" s="170"/>
      <c r="M156" s="170"/>
      <c r="N156" s="195">
        <f t="shared" si="19"/>
        <v>33.911188408591343</v>
      </c>
      <c r="O156" s="195">
        <f t="shared" si="21"/>
        <v>34.121669267493274</v>
      </c>
      <c r="P156" s="195">
        <f t="shared" si="20"/>
        <v>23.713301631582009</v>
      </c>
      <c r="Q156" s="195">
        <f t="shared" si="22"/>
        <v>91.74615930766663</v>
      </c>
      <c r="R156" s="221">
        <f t="shared" si="23"/>
        <v>0.36961970576742831</v>
      </c>
      <c r="AC156" s="251"/>
    </row>
    <row r="157" spans="1:29" ht="15.6" x14ac:dyDescent="0.3">
      <c r="A157" s="206">
        <v>2034</v>
      </c>
      <c r="B157" s="229">
        <v>119.91122499573538</v>
      </c>
      <c r="C157" s="229">
        <v>17.87673381931738</v>
      </c>
      <c r="D157" s="229">
        <v>3.8109582319982627</v>
      </c>
      <c r="E157" s="229">
        <v>60.818332916605698</v>
      </c>
      <c r="F157" s="229">
        <v>10.106139840298294</v>
      </c>
      <c r="G157" s="229">
        <v>2.408511311771151</v>
      </c>
      <c r="H157" s="229">
        <v>34.909201584895712</v>
      </c>
      <c r="I157" s="229">
        <v>21.25944020024442</v>
      </c>
      <c r="J157" s="229">
        <v>8.7706091935775827</v>
      </c>
      <c r="K157" s="229">
        <v>9.9861835892016444</v>
      </c>
      <c r="L157" s="170"/>
      <c r="M157" s="170"/>
      <c r="N157" s="195">
        <f t="shared" si="19"/>
        <v>36.015271172008283</v>
      </c>
      <c r="O157" s="195">
        <f t="shared" si="21"/>
        <v>34.909201584895712</v>
      </c>
      <c r="P157" s="195">
        <f t="shared" si="20"/>
        <v>24.096203363086794</v>
      </c>
      <c r="Q157" s="195">
        <f t="shared" si="22"/>
        <v>95.020676119990782</v>
      </c>
      <c r="R157" s="221">
        <f t="shared" si="23"/>
        <v>0.37902562518634053</v>
      </c>
      <c r="AC157" s="251"/>
    </row>
    <row r="158" spans="1:29" ht="15.6" x14ac:dyDescent="0.3">
      <c r="A158" s="206">
        <v>2035</v>
      </c>
      <c r="B158" s="229">
        <v>124.23386160004115</v>
      </c>
      <c r="C158" s="229">
        <v>18.087812077932522</v>
      </c>
      <c r="D158" s="229">
        <v>3.9144973717279856</v>
      </c>
      <c r="E158" s="229">
        <v>63.240809202311908</v>
      </c>
      <c r="F158" s="229">
        <v>10.650302825702749</v>
      </c>
      <c r="G158" s="229">
        <v>2.4855866496199068</v>
      </c>
      <c r="H158" s="229">
        <v>35.68905741708884</v>
      </c>
      <c r="I158" s="229">
        <v>22.567670560412164</v>
      </c>
      <c r="J158" s="229">
        <v>8.8741623893586983</v>
      </c>
      <c r="K158" s="229">
        <v>10.128664613300613</v>
      </c>
      <c r="L158" s="170"/>
      <c r="M158" s="170"/>
      <c r="N158" s="195">
        <f t="shared" si="19"/>
        <v>38.202054610925821</v>
      </c>
      <c r="O158" s="195">
        <f t="shared" si="21"/>
        <v>35.68905741708884</v>
      </c>
      <c r="P158" s="195">
        <f t="shared" si="20"/>
        <v>24.487896099280416</v>
      </c>
      <c r="Q158" s="195">
        <f t="shared" si="22"/>
        <v>98.379008127295066</v>
      </c>
      <c r="R158" s="221">
        <f t="shared" si="23"/>
        <v>0.38831510235898314</v>
      </c>
      <c r="AC158" s="251"/>
    </row>
    <row r="159" spans="1:29" ht="15.6" x14ac:dyDescent="0.3">
      <c r="A159" s="206">
        <v>2036</v>
      </c>
      <c r="B159" s="229">
        <v>128.64162857577571</v>
      </c>
      <c r="C159" s="229">
        <v>18.303412792423746</v>
      </c>
      <c r="D159" s="229">
        <v>4.0192227082318031</v>
      </c>
      <c r="E159" s="229">
        <v>65.707705557970726</v>
      </c>
      <c r="F159" s="229">
        <v>11.22526363058498</v>
      </c>
      <c r="G159" s="229">
        <v>2.5642091657267989</v>
      </c>
      <c r="H159" s="229">
        <v>36.460744845822759</v>
      </c>
      <c r="I159" s="229">
        <v>23.919452652279986</v>
      </c>
      <c r="J159" s="229">
        <v>8.978307254884049</v>
      </c>
      <c r="K159" s="229">
        <v>10.272776336944611</v>
      </c>
      <c r="L159" s="170"/>
      <c r="M159" s="170"/>
      <c r="N159" s="195">
        <f t="shared" si="19"/>
        <v>40.472224342732943</v>
      </c>
      <c r="O159" s="195">
        <f t="shared" si="21"/>
        <v>36.460744845822759</v>
      </c>
      <c r="P159" s="195">
        <f t="shared" si="20"/>
        <v>24.886844666382348</v>
      </c>
      <c r="Q159" s="195">
        <f t="shared" si="22"/>
        <v>101.81981385493805</v>
      </c>
      <c r="R159" s="221">
        <f t="shared" si="23"/>
        <v>0.39748868918964464</v>
      </c>
      <c r="AC159" s="251"/>
    </row>
    <row r="160" spans="1:29" ht="15.6" x14ac:dyDescent="0.3">
      <c r="A160" s="206">
        <v>2037</v>
      </c>
      <c r="B160" s="229">
        <v>133.13415707534719</v>
      </c>
      <c r="C160" s="229">
        <v>18.522042710658383</v>
      </c>
      <c r="D160" s="229">
        <v>4.1251335633255142</v>
      </c>
      <c r="E160" s="229">
        <v>68.218027866036437</v>
      </c>
      <c r="F160" s="229">
        <v>11.83221007162982</v>
      </c>
      <c r="G160" s="229">
        <v>2.6443376166281598</v>
      </c>
      <c r="H160" s="229">
        <v>37.223771952847585</v>
      </c>
      <c r="I160" s="229">
        <v>25.314663481891948</v>
      </c>
      <c r="J160" s="229">
        <v>9.0827482880470889</v>
      </c>
      <c r="K160" s="229">
        <v>10.418514957948297</v>
      </c>
      <c r="L160" s="170"/>
      <c r="M160" s="170"/>
      <c r="N160" s="195">
        <f t="shared" si="19"/>
        <v>42.826465984818668</v>
      </c>
      <c r="O160" s="195">
        <f t="shared" si="21"/>
        <v>37.223771952847585</v>
      </c>
      <c r="P160" s="195">
        <f t="shared" si="20"/>
        <v>25.291513890612055</v>
      </c>
      <c r="Q160" s="195">
        <f t="shared" si="22"/>
        <v>105.3417518282783</v>
      </c>
      <c r="R160" s="221">
        <f t="shared" si="23"/>
        <v>0.40654788098295308</v>
      </c>
      <c r="AC160" s="251"/>
    </row>
    <row r="161" spans="1:29" ht="15.6" x14ac:dyDescent="0.3">
      <c r="A161" s="206">
        <v>2038</v>
      </c>
      <c r="B161" s="229">
        <v>137.71107825116374</v>
      </c>
      <c r="C161" s="229">
        <v>18.742208580503767</v>
      </c>
      <c r="D161" s="229">
        <v>4.2322292588249217</v>
      </c>
      <c r="E161" s="229">
        <v>70.770782008963266</v>
      </c>
      <c r="F161" s="229">
        <v>12.472329965522107</v>
      </c>
      <c r="G161" s="229">
        <v>2.7259307588603212</v>
      </c>
      <c r="H161" s="229">
        <v>37.977646819913389</v>
      </c>
      <c r="I161" s="229">
        <v>26.75318005529213</v>
      </c>
      <c r="J161" s="229">
        <v>9.1871899867412665</v>
      </c>
      <c r="K161" s="229">
        <v>10.565876674126317</v>
      </c>
      <c r="L161" s="170"/>
      <c r="M161" s="170"/>
      <c r="N161" s="195">
        <f t="shared" si="19"/>
        <v>45.265465154571984</v>
      </c>
      <c r="O161" s="195">
        <f t="shared" si="21"/>
        <v>37.977646819913389</v>
      </c>
      <c r="P161" s="195">
        <f t="shared" si="20"/>
        <v>25.700368598189012</v>
      </c>
      <c r="Q161" s="195">
        <f t="shared" si="22"/>
        <v>108.94348057267439</v>
      </c>
      <c r="R161" s="221">
        <f t="shared" si="23"/>
        <v>0.41549494211703786</v>
      </c>
      <c r="AC161" s="251"/>
    </row>
    <row r="162" spans="1:29" ht="15.6" x14ac:dyDescent="0.3">
      <c r="A162" s="206">
        <v>2039</v>
      </c>
      <c r="B162" s="229">
        <v>142.37202325563351</v>
      </c>
      <c r="C162" s="229">
        <v>18.962417149827246</v>
      </c>
      <c r="D162" s="229">
        <v>4.3405091165458245</v>
      </c>
      <c r="E162" s="229">
        <v>73.364973869205514</v>
      </c>
      <c r="F162" s="229">
        <v>13.146811128946677</v>
      </c>
      <c r="G162" s="229">
        <v>2.8089473489596157</v>
      </c>
      <c r="H162" s="229">
        <v>38.721877528770285</v>
      </c>
      <c r="I162" s="229">
        <v>28.23487937852461</v>
      </c>
      <c r="J162" s="229">
        <v>9.2913368488600376</v>
      </c>
      <c r="K162" s="229">
        <v>10.714857683293328</v>
      </c>
      <c r="L162" s="170"/>
      <c r="M162" s="170"/>
      <c r="N162" s="195">
        <f t="shared" si="19"/>
        <v>47.789907469381909</v>
      </c>
      <c r="O162" s="195">
        <f t="shared" si="21"/>
        <v>38.721877528770285</v>
      </c>
      <c r="P162" s="195">
        <f t="shared" si="20"/>
        <v>26.111873615332687</v>
      </c>
      <c r="Q162" s="195">
        <f t="shared" si="22"/>
        <v>112.62365861348488</v>
      </c>
      <c r="R162" s="221">
        <f t="shared" si="23"/>
        <v>0.42433275616975769</v>
      </c>
      <c r="AC162" s="251"/>
    </row>
    <row r="163" spans="1:29" ht="15.6" x14ac:dyDescent="0.3">
      <c r="A163" s="206">
        <v>2040</v>
      </c>
      <c r="B163" s="229">
        <v>147.11662324116463</v>
      </c>
      <c r="C163" s="229">
        <v>19.181175166496139</v>
      </c>
      <c r="D163" s="229">
        <v>4.4499724583040248</v>
      </c>
      <c r="E163" s="229">
        <v>75.999609329217421</v>
      </c>
      <c r="F163" s="229">
        <v>13.85684137858836</v>
      </c>
      <c r="G163" s="229">
        <v>2.8933461434623764</v>
      </c>
      <c r="H163" s="229">
        <v>39.455972161168368</v>
      </c>
      <c r="I163" s="229">
        <v>29.759638457633454</v>
      </c>
      <c r="J163" s="229">
        <v>9.3948933722968526</v>
      </c>
      <c r="K163" s="229">
        <v>10.865454183263978</v>
      </c>
      <c r="L163" s="170"/>
      <c r="M163" s="170"/>
      <c r="N163" s="195">
        <f t="shared" si="19"/>
        <v>50.400478546637409</v>
      </c>
      <c r="O163" s="195">
        <f t="shared" si="21"/>
        <v>39.455972161168368</v>
      </c>
      <c r="P163" s="195">
        <f t="shared" si="20"/>
        <v>26.524493768262541</v>
      </c>
      <c r="Q163" s="195">
        <f t="shared" si="22"/>
        <v>116.38094447606832</v>
      </c>
      <c r="R163" s="221">
        <f t="shared" si="23"/>
        <v>0.43306469777791995</v>
      </c>
      <c r="AC163" s="251"/>
    </row>
    <row r="164" spans="1:29" ht="15.6" x14ac:dyDescent="0.3">
      <c r="A164" s="206">
        <v>2041</v>
      </c>
      <c r="B164" s="229">
        <v>151.94450936016523</v>
      </c>
      <c r="C164" s="229">
        <v>19.396989378377796</v>
      </c>
      <c r="D164" s="229">
        <v>4.5606186059153213</v>
      </c>
      <c r="E164" s="229">
        <v>78.673694271453257</v>
      </c>
      <c r="F164" s="229">
        <v>14.603608531131993</v>
      </c>
      <c r="G164" s="229">
        <v>2.9790858989049354</v>
      </c>
      <c r="H164" s="229">
        <v>40.179438798857738</v>
      </c>
      <c r="I164" s="229">
        <v>31.327334298662738</v>
      </c>
      <c r="J164" s="229">
        <v>9.4975640549451672</v>
      </c>
      <c r="K164" s="229">
        <v>11.017662371852923</v>
      </c>
      <c r="L164" s="170"/>
      <c r="M164" s="170"/>
      <c r="N164" s="195">
        <f t="shared" si="19"/>
        <v>53.097864003727516</v>
      </c>
      <c r="O164" s="195">
        <f t="shared" si="21"/>
        <v>40.179438798857738</v>
      </c>
      <c r="P164" s="195">
        <f t="shared" si="20"/>
        <v>26.936693883198053</v>
      </c>
      <c r="Q164" s="195">
        <f>N164+P164+O164</f>
        <v>120.21399668578331</v>
      </c>
      <c r="R164" s="221">
        <f>N164/Q164</f>
        <v>0.44169452366279199</v>
      </c>
      <c r="AC164" s="251"/>
    </row>
    <row r="165" spans="1:29" ht="15.6" x14ac:dyDescent="0.3">
      <c r="A165" s="206">
        <v>2042</v>
      </c>
      <c r="B165" s="229">
        <v>156.85531276504346</v>
      </c>
      <c r="C165" s="229">
        <v>19.608366533339549</v>
      </c>
      <c r="D165" s="229">
        <v>4.6724468811955155</v>
      </c>
      <c r="E165" s="229">
        <v>81.386234578367294</v>
      </c>
      <c r="F165" s="229">
        <v>15.388300403262413</v>
      </c>
      <c r="G165" s="229">
        <v>3.0661253718236248</v>
      </c>
      <c r="H165" s="229">
        <v>40.891785523588496</v>
      </c>
      <c r="I165" s="229">
        <v>32.937843907656543</v>
      </c>
      <c r="J165" s="229">
        <v>9.5990533946984318</v>
      </c>
      <c r="K165" s="229">
        <v>11.171478446874813</v>
      </c>
      <c r="L165" s="170"/>
      <c r="M165" s="170"/>
      <c r="N165" s="195">
        <f t="shared" si="19"/>
        <v>55.882749458041204</v>
      </c>
      <c r="O165" s="195">
        <f t="shared" si="21"/>
        <v>40.891785523588496</v>
      </c>
      <c r="P165" s="195">
        <f t="shared" si="20"/>
        <v>27.346938786358688</v>
      </c>
      <c r="Q165" s="195">
        <f t="shared" si="22"/>
        <v>124.12147376798839</v>
      </c>
      <c r="R165" s="221">
        <f t="shared" si="23"/>
        <v>0.45022628044603247</v>
      </c>
      <c r="AC165" s="251"/>
    </row>
    <row r="166" spans="1:29" ht="15.6" x14ac:dyDescent="0.3">
      <c r="A166" s="206">
        <v>2043</v>
      </c>
      <c r="B166" s="229">
        <v>161.84866460820749</v>
      </c>
      <c r="C166" s="229">
        <v>19.813813379248732</v>
      </c>
      <c r="D166" s="229">
        <v>4.7854566059604071</v>
      </c>
      <c r="E166" s="229">
        <v>84.136236132413785</v>
      </c>
      <c r="F166" s="229">
        <v>16.212104811664453</v>
      </c>
      <c r="G166" s="229">
        <v>3.1544233187547772</v>
      </c>
      <c r="H166" s="229">
        <v>41.592520417110734</v>
      </c>
      <c r="I166" s="229">
        <v>34.591044290658928</v>
      </c>
      <c r="J166" s="229">
        <v>9.6990658894500967</v>
      </c>
      <c r="K166" s="229">
        <v>11.326898606144301</v>
      </c>
      <c r="L166" s="170"/>
      <c r="M166" s="170"/>
      <c r="N166" s="195">
        <f t="shared" si="19"/>
        <v>58.755820526967511</v>
      </c>
      <c r="O166" s="195">
        <f t="shared" si="21"/>
        <v>41.592520417110734</v>
      </c>
      <c r="P166" s="195">
        <f t="shared" si="20"/>
        <v>27.753693303963917</v>
      </c>
      <c r="Q166" s="195">
        <f t="shared" si="22"/>
        <v>128.10203424804217</v>
      </c>
      <c r="R166" s="221">
        <f t="shared" si="23"/>
        <v>0.45866422708947335</v>
      </c>
      <c r="AC166" s="251"/>
    </row>
    <row r="167" spans="1:29" ht="15.6" x14ac:dyDescent="0.3">
      <c r="A167" s="206">
        <v>2044</v>
      </c>
      <c r="B167" s="229">
        <v>166.9241960420654</v>
      </c>
      <c r="C167" s="229">
        <v>20.011836663972684</v>
      </c>
      <c r="D167" s="229">
        <v>4.8996471020257975</v>
      </c>
      <c r="E167" s="229">
        <v>86.922704816047002</v>
      </c>
      <c r="F167" s="229">
        <v>17.07620957302295</v>
      </c>
      <c r="G167" s="229">
        <v>3.2439384962347253</v>
      </c>
      <c r="H167" s="229">
        <v>42.281151561174553</v>
      </c>
      <c r="I167" s="229">
        <v>36.286812453713978</v>
      </c>
      <c r="J167" s="229">
        <v>9.7973060370936196</v>
      </c>
      <c r="K167" s="229">
        <v>11.483919047476039</v>
      </c>
      <c r="L167" s="170"/>
      <c r="M167" s="170"/>
      <c r="N167" s="195">
        <f t="shared" si="19"/>
        <v>61.717762827895399</v>
      </c>
      <c r="O167" s="195">
        <f t="shared" si="21"/>
        <v>42.281151561174553</v>
      </c>
      <c r="P167" s="195">
        <f t="shared" si="20"/>
        <v>28.155422262233209</v>
      </c>
      <c r="Q167" s="195">
        <f t="shared" si="22"/>
        <v>132.15433665130314</v>
      </c>
      <c r="R167" s="221">
        <f t="shared" si="23"/>
        <v>0.46701277000649088</v>
      </c>
      <c r="AC167" s="251"/>
    </row>
    <row r="168" spans="1:29" ht="15.6" x14ac:dyDescent="0.3">
      <c r="A168" s="206">
        <v>2045</v>
      </c>
      <c r="B168" s="229">
        <v>172.08153821902539</v>
      </c>
      <c r="C168" s="229">
        <v>20.200943135378736</v>
      </c>
      <c r="D168" s="229">
        <v>5.0150176912074862</v>
      </c>
      <c r="E168" s="229">
        <v>89.7446465117212</v>
      </c>
      <c r="F168" s="229">
        <v>17.981802504022738</v>
      </c>
      <c r="G168" s="229">
        <v>3.3346296607998012</v>
      </c>
      <c r="H168" s="229">
        <v>42.957187037530048</v>
      </c>
      <c r="I168" s="229">
        <v>38.025025402865758</v>
      </c>
      <c r="J168" s="229">
        <v>9.8934783355224489</v>
      </c>
      <c r="K168" s="229">
        <v>11.64253596868468</v>
      </c>
      <c r="L168" s="170"/>
      <c r="M168" s="170"/>
      <c r="N168" s="195">
        <f t="shared" si="19"/>
        <v>64.769261978213891</v>
      </c>
      <c r="O168" s="195">
        <f t="shared" si="21"/>
        <v>42.957187037530048</v>
      </c>
      <c r="P168" s="195">
        <f t="shared" si="20"/>
        <v>28.550590487386025</v>
      </c>
      <c r="Q168" s="195">
        <f t="shared" si="22"/>
        <v>136.27703950312997</v>
      </c>
      <c r="R168" s="221">
        <f t="shared" si="23"/>
        <v>0.47527640910284297</v>
      </c>
      <c r="AC168" s="251"/>
    </row>
    <row r="169" spans="1:29" ht="15.6" x14ac:dyDescent="0.3">
      <c r="A169" s="206">
        <v>2046</v>
      </c>
      <c r="B169" s="229">
        <v>177.32032229149556</v>
      </c>
      <c r="C169" s="229">
        <v>20.379639541334235</v>
      </c>
      <c r="D169" s="229">
        <v>5.1315676953212748</v>
      </c>
      <c r="E169" s="229">
        <v>92.601067101890635</v>
      </c>
      <c r="F169" s="229">
        <v>18.930071421348657</v>
      </c>
      <c r="G169" s="229">
        <v>3.426455568986337</v>
      </c>
      <c r="H169" s="229">
        <v>43.620134927927324</v>
      </c>
      <c r="I169" s="229">
        <v>39.805560144158356</v>
      </c>
      <c r="J169" s="229">
        <v>9.9872872826300387</v>
      </c>
      <c r="K169" s="229">
        <v>11.802745567584875</v>
      </c>
      <c r="L169" s="170"/>
      <c r="M169" s="170"/>
      <c r="N169" s="195">
        <f t="shared" si="19"/>
        <v>67.911003595311968</v>
      </c>
      <c r="O169" s="195">
        <f t="shared" si="21"/>
        <v>43.620134927927324</v>
      </c>
      <c r="P169" s="195">
        <f t="shared" si="20"/>
        <v>28.937662805641846</v>
      </c>
      <c r="Q169" s="195">
        <f t="shared" si="22"/>
        <v>140.46880132888114</v>
      </c>
      <c r="R169" s="221">
        <f t="shared" si="23"/>
        <v>0.48345969320483623</v>
      </c>
      <c r="AC169" s="251"/>
    </row>
    <row r="170" spans="1:29" ht="15.6" x14ac:dyDescent="0.3">
      <c r="A170" s="206">
        <v>2047</v>
      </c>
      <c r="B170" s="229">
        <v>182.64017941188405</v>
      </c>
      <c r="C170" s="229">
        <v>20.546432629706509</v>
      </c>
      <c r="D170" s="229">
        <v>5.2492964361829628</v>
      </c>
      <c r="E170" s="229">
        <v>95.490972469009577</v>
      </c>
      <c r="F170" s="229">
        <v>19.922204141685533</v>
      </c>
      <c r="G170" s="229">
        <v>3.5193749773306653</v>
      </c>
      <c r="H170" s="229">
        <v>44.269503314116484</v>
      </c>
      <c r="I170" s="229">
        <v>41.628293683635832</v>
      </c>
      <c r="J170" s="229">
        <v>10.078437376309841</v>
      </c>
      <c r="K170" s="229">
        <v>11.964544041991275</v>
      </c>
      <c r="L170" s="170"/>
      <c r="M170" s="170"/>
      <c r="N170" s="195">
        <f t="shared" si="19"/>
        <v>71.143673296578612</v>
      </c>
      <c r="O170" s="195">
        <f t="shared" si="21"/>
        <v>44.269503314116484</v>
      </c>
      <c r="P170" s="195">
        <f t="shared" si="20"/>
        <v>29.315104043220138</v>
      </c>
      <c r="Q170" s="195">
        <f t="shared" si="22"/>
        <v>144.72828065391525</v>
      </c>
      <c r="R170" s="221">
        <f t="shared" si="23"/>
        <v>0.49156718351890411</v>
      </c>
      <c r="AC170" s="251"/>
    </row>
    <row r="171" spans="1:29" ht="15.6" x14ac:dyDescent="0.3">
      <c r="A171" s="206">
        <v>2048</v>
      </c>
      <c r="B171" s="229">
        <v>188.04074073259903</v>
      </c>
      <c r="C171" s="229">
        <v>20.699829148362895</v>
      </c>
      <c r="D171" s="229">
        <v>5.36820323560835</v>
      </c>
      <c r="E171" s="229">
        <v>98.41336849553231</v>
      </c>
      <c r="F171" s="229">
        <v>20.959388481718207</v>
      </c>
      <c r="G171" s="229">
        <v>3.6133466423691187</v>
      </c>
      <c r="H171" s="229">
        <v>44.904800277847613</v>
      </c>
      <c r="I171" s="229">
        <v>43.493103027342258</v>
      </c>
      <c r="J171" s="229">
        <v>10.166633114455308</v>
      </c>
      <c r="K171" s="229">
        <v>12.127927589718535</v>
      </c>
      <c r="L171" s="170"/>
      <c r="M171" s="170"/>
      <c r="N171" s="195">
        <f t="shared" si="19"/>
        <v>74.467956699402905</v>
      </c>
      <c r="O171" s="195">
        <f t="shared" si="21"/>
        <v>44.904800277847613</v>
      </c>
      <c r="P171" s="195">
        <f t="shared" si="20"/>
        <v>29.681379026340363</v>
      </c>
      <c r="Q171" s="195">
        <f t="shared" si="22"/>
        <v>149.05413600359088</v>
      </c>
      <c r="R171" s="221">
        <f t="shared" si="23"/>
        <v>0.49960342393725249</v>
      </c>
      <c r="AC171" s="251"/>
    </row>
    <row r="172" spans="1:29" ht="15.6" x14ac:dyDescent="0.3">
      <c r="A172" s="206">
        <v>2049</v>
      </c>
      <c r="B172" s="229">
        <v>193.52163740604863</v>
      </c>
      <c r="C172" s="229">
        <v>20.838335845170729</v>
      </c>
      <c r="D172" s="229">
        <v>5.4882874154132395</v>
      </c>
      <c r="E172" s="229">
        <v>101.36726106391306</v>
      </c>
      <c r="F172" s="229">
        <v>22.042812258131509</v>
      </c>
      <c r="G172" s="229">
        <v>3.7083293206380303</v>
      </c>
      <c r="H172" s="229">
        <v>45.525533900870826</v>
      </c>
      <c r="I172" s="229">
        <v>45.399865181321722</v>
      </c>
      <c r="J172" s="229">
        <v>10.251578994959894</v>
      </c>
      <c r="K172" s="229">
        <v>12.292892408581306</v>
      </c>
      <c r="L172" s="170"/>
      <c r="M172" s="170"/>
      <c r="N172" s="195">
        <f t="shared" si="19"/>
        <v>77.884539421173741</v>
      </c>
      <c r="O172" s="195">
        <f t="shared" si="21"/>
        <v>45.525533900870826</v>
      </c>
      <c r="P172" s="195">
        <f t="shared" si="20"/>
        <v>30.034952581221997</v>
      </c>
      <c r="Q172" s="195">
        <f t="shared" si="22"/>
        <v>153.44502590326658</v>
      </c>
      <c r="R172" s="221">
        <f t="shared" si="23"/>
        <v>0.50757291715844222</v>
      </c>
      <c r="AC172" s="251"/>
    </row>
    <row r="173" spans="1:29" ht="16.2" thickBot="1" x14ac:dyDescent="0.35">
      <c r="A173" s="208">
        <v>2050</v>
      </c>
      <c r="B173" s="231">
        <v>199.08250058464097</v>
      </c>
      <c r="C173" s="231">
        <v>20.960459467997349</v>
      </c>
      <c r="D173" s="231">
        <v>5.609548297413431</v>
      </c>
      <c r="E173" s="231">
        <v>104.35165605660613</v>
      </c>
      <c r="F173" s="231">
        <v>23.173663287610282</v>
      </c>
      <c r="G173" s="231">
        <v>3.8042817686737314</v>
      </c>
      <c r="H173" s="231">
        <v>46.131212264936202</v>
      </c>
      <c r="I173" s="231">
        <v>47.348457151618284</v>
      </c>
      <c r="J173" s="231">
        <v>10.332979515717051</v>
      </c>
      <c r="K173" s="231">
        <v>12.459434696394238</v>
      </c>
      <c r="L173" s="209"/>
      <c r="M173" s="209"/>
      <c r="N173" s="195">
        <f t="shared" si="19"/>
        <v>81.394107079280218</v>
      </c>
      <c r="O173" s="195">
        <f t="shared" si="21"/>
        <v>46.131212264936202</v>
      </c>
      <c r="P173" s="195">
        <f t="shared" si="20"/>
        <v>30.374289534084511</v>
      </c>
      <c r="Q173" s="195">
        <f t="shared" si="22"/>
        <v>157.89960887830094</v>
      </c>
      <c r="R173" s="222">
        <f t="shared" si="23"/>
        <v>0.51548010572979741</v>
      </c>
      <c r="AC173" s="251"/>
    </row>
    <row r="174" spans="1:29" ht="15.6" x14ac:dyDescent="0.3">
      <c r="A174" s="213">
        <v>2051</v>
      </c>
      <c r="B174" s="227">
        <v>204.72296142078423</v>
      </c>
      <c r="C174" s="227">
        <v>21.064706764710092</v>
      </c>
      <c r="D174" s="227">
        <v>5.7319852034247223</v>
      </c>
      <c r="E174" s="227">
        <v>107.36555935606575</v>
      </c>
      <c r="F174" s="227">
        <v>24.353129386839356</v>
      </c>
      <c r="G174" s="227">
        <v>3.9011627430125548</v>
      </c>
      <c r="H174" s="227">
        <v>46.721343451793857</v>
      </c>
      <c r="I174" s="227">
        <v>49.338755944276024</v>
      </c>
      <c r="J174" s="227">
        <v>10.410539174620229</v>
      </c>
      <c r="K174" s="227">
        <v>12.627550650971987</v>
      </c>
      <c r="N174" s="195">
        <f t="shared" si="19"/>
        <v>84.997345291111245</v>
      </c>
      <c r="O174" s="195">
        <f t="shared" si="21"/>
        <v>46.721343451793857</v>
      </c>
      <c r="P174" s="195">
        <f t="shared" si="20"/>
        <v>30.697854711147372</v>
      </c>
      <c r="Q174" s="195">
        <f t="shared" si="22"/>
        <v>162.41654345405249</v>
      </c>
      <c r="R174" s="214">
        <f t="shared" si="23"/>
        <v>0.52332935724098162</v>
      </c>
      <c r="AC174" s="251"/>
    </row>
    <row r="175" spans="1:29" ht="15.6" x14ac:dyDescent="0.3">
      <c r="A175" s="194">
        <v>2052</v>
      </c>
      <c r="B175" s="229">
        <v>210.4426510668865</v>
      </c>
      <c r="C175" s="229">
        <v>21.149584483176291</v>
      </c>
      <c r="D175" s="229">
        <v>5.8555974552629166</v>
      </c>
      <c r="E175" s="229">
        <v>110.4079768447462</v>
      </c>
      <c r="F175" s="229">
        <v>25.582398372503565</v>
      </c>
      <c r="G175" s="229">
        <v>3.9989310001908329</v>
      </c>
      <c r="H175" s="229">
        <v>47.295435543193875</v>
      </c>
      <c r="I175" s="229">
        <v>51.370638565339014</v>
      </c>
      <c r="J175" s="229">
        <v>10.483962469562885</v>
      </c>
      <c r="K175" s="229">
        <v>12.797236470129203</v>
      </c>
      <c r="N175" s="195">
        <f t="shared" si="19"/>
        <v>88.694939674055902</v>
      </c>
      <c r="O175" s="195">
        <f t="shared" si="21"/>
        <v>47.295435543193875</v>
      </c>
      <c r="P175" s="195">
        <f t="shared" si="20"/>
        <v>31.00411293863004</v>
      </c>
      <c r="Q175" s="195">
        <f t="shared" si="22"/>
        <v>166.99448815587982</v>
      </c>
      <c r="R175" s="196">
        <f t="shared" si="23"/>
        <v>0.53112495300601925</v>
      </c>
      <c r="AC175" s="251"/>
    </row>
    <row r="176" spans="1:29" ht="15.6" x14ac:dyDescent="0.3">
      <c r="A176" s="194">
        <v>2053</v>
      </c>
      <c r="B176" s="229">
        <v>216.24120067535594</v>
      </c>
      <c r="C176" s="229">
        <v>21.213599371263282</v>
      </c>
      <c r="D176" s="229">
        <v>5.9803843747438146</v>
      </c>
      <c r="E176" s="229">
        <v>113.47791440510173</v>
      </c>
      <c r="F176" s="229">
        <v>26.862658061287746</v>
      </c>
      <c r="G176" s="229">
        <v>4.0975452967448982</v>
      </c>
      <c r="H176" s="229">
        <v>47.852996620886358</v>
      </c>
      <c r="I176" s="229">
        <v>53.44398202085133</v>
      </c>
      <c r="J176" s="229">
        <v>10.552953898438467</v>
      </c>
      <c r="K176" s="229">
        <v>12.968488351680538</v>
      </c>
      <c r="N176" s="195">
        <f t="shared" si="19"/>
        <v>92.487575845503102</v>
      </c>
      <c r="O176" s="195">
        <f t="shared" si="21"/>
        <v>47.852996620886358</v>
      </c>
      <c r="P176" s="195">
        <f t="shared" si="20"/>
        <v>31.291529042751993</v>
      </c>
      <c r="Q176" s="195">
        <f t="shared" si="22"/>
        <v>171.63210150914145</v>
      </c>
      <c r="R176" s="196">
        <f t="shared" si="23"/>
        <v>0.53887107966557779</v>
      </c>
      <c r="AC176" s="251"/>
    </row>
    <row r="177" spans="1:29" ht="15.6" x14ac:dyDescent="0.3">
      <c r="A177" s="194">
        <v>2054</v>
      </c>
      <c r="B177" s="229">
        <v>222.11824139860073</v>
      </c>
      <c r="C177" s="229">
        <v>21.255258176838407</v>
      </c>
      <c r="D177" s="229">
        <v>6.1063452836832148</v>
      </c>
      <c r="E177" s="229">
        <v>116.57437791958661</v>
      </c>
      <c r="F177" s="229">
        <v>28.195096269876739</v>
      </c>
      <c r="G177" s="229">
        <v>4.1969643892110833</v>
      </c>
      <c r="H177" s="229">
        <v>48.393534766621421</v>
      </c>
      <c r="I177" s="229">
        <v>55.558663316857043</v>
      </c>
      <c r="J177" s="229">
        <v>10.617217959140429</v>
      </c>
      <c r="K177" s="229">
        <v>13.141302493440646</v>
      </c>
      <c r="N177" s="195">
        <f t="shared" si="19"/>
        <v>96.375939422841924</v>
      </c>
      <c r="O177" s="195">
        <f t="shared" si="21"/>
        <v>48.393534766621421</v>
      </c>
      <c r="P177" s="195">
        <f t="shared" si="20"/>
        <v>31.558567849732704</v>
      </c>
      <c r="Q177" s="195">
        <f t="shared" si="22"/>
        <v>176.32804203919605</v>
      </c>
      <c r="R177" s="196">
        <f t="shared" si="23"/>
        <v>0.54657182322377551</v>
      </c>
      <c r="AC177" s="251"/>
    </row>
    <row r="178" spans="1:29" ht="15.6" x14ac:dyDescent="0.3">
      <c r="A178" s="194">
        <v>2055</v>
      </c>
      <c r="B178" s="229">
        <v>228.07340438902898</v>
      </c>
      <c r="C178" s="229">
        <v>21.273067647768997</v>
      </c>
      <c r="D178" s="229">
        <v>6.2334795038969197</v>
      </c>
      <c r="E178" s="229">
        <v>119.69637327065512</v>
      </c>
      <c r="F178" s="229">
        <v>29.58090081495537</v>
      </c>
      <c r="G178" s="229">
        <v>4.2971470341257199</v>
      </c>
      <c r="H178" s="229">
        <v>48.916558062149143</v>
      </c>
      <c r="I178" s="229">
        <v>57.71455945940022</v>
      </c>
      <c r="J178" s="229">
        <v>10.676459149562227</v>
      </c>
      <c r="K178" s="229">
        <v>13.315675093224177</v>
      </c>
      <c r="N178" s="195">
        <f t="shared" si="19"/>
        <v>100.36071602346135</v>
      </c>
      <c r="O178" s="195">
        <f t="shared" si="21"/>
        <v>48.916558062149143</v>
      </c>
      <c r="P178" s="195">
        <f t="shared" si="20"/>
        <v>31.803694185791635</v>
      </c>
      <c r="Q178" s="195">
        <f t="shared" si="22"/>
        <v>181.08096827140213</v>
      </c>
      <c r="R178" s="196">
        <f t="shared" si="23"/>
        <v>0.55423116510533477</v>
      </c>
      <c r="AC178" s="251"/>
    </row>
    <row r="179" spans="1:29" ht="15.6" x14ac:dyDescent="0.3">
      <c r="A179" s="194">
        <v>2056</v>
      </c>
      <c r="B179" s="229">
        <v>234.1063207990488</v>
      </c>
      <c r="C179" s="229">
        <v>21.265534531922384</v>
      </c>
      <c r="D179" s="229">
        <v>6.361786357200728</v>
      </c>
      <c r="E179" s="229">
        <v>122.8429063407615</v>
      </c>
      <c r="F179" s="229">
        <v>31.021259513208481</v>
      </c>
      <c r="G179" s="229">
        <v>4.3980519880251414</v>
      </c>
      <c r="H179" s="229">
        <v>49.421574589219631</v>
      </c>
      <c r="I179" s="229">
        <v>59.911547454524943</v>
      </c>
      <c r="J179" s="229">
        <v>10.730381967597308</v>
      </c>
      <c r="K179" s="229">
        <v>13.491602348845785</v>
      </c>
      <c r="N179" s="195">
        <f t="shared" si="19"/>
        <v>104.44259126475035</v>
      </c>
      <c r="O179" s="195">
        <f t="shared" si="21"/>
        <v>49.421574589219631</v>
      </c>
      <c r="P179" s="195">
        <f t="shared" si="20"/>
        <v>32.025372877148257</v>
      </c>
      <c r="Q179" s="195">
        <f t="shared" si="22"/>
        <v>185.88953873111825</v>
      </c>
      <c r="R179" s="196">
        <f t="shared" si="23"/>
        <v>0.5618529798808225</v>
      </c>
      <c r="AC179" s="251"/>
    </row>
    <row r="180" spans="1:29" ht="15.6" x14ac:dyDescent="0.3">
      <c r="A180" s="194">
        <v>2057</v>
      </c>
      <c r="B180" s="229">
        <v>240.21662178106837</v>
      </c>
      <c r="C180" s="229">
        <v>21.231165577165918</v>
      </c>
      <c r="D180" s="229">
        <v>6.4912651654104412</v>
      </c>
      <c r="E180" s="229">
        <v>126.01298301236004</v>
      </c>
      <c r="F180" s="229">
        <v>32.517360181320903</v>
      </c>
      <c r="G180" s="229">
        <v>4.4996380074456805</v>
      </c>
      <c r="H180" s="229">
        <v>49.908092429582979</v>
      </c>
      <c r="I180" s="229">
        <v>62.149504308275283</v>
      </c>
      <c r="J180" s="229">
        <v>10.778690911139128</v>
      </c>
      <c r="K180" s="229">
        <v>13.669080458120121</v>
      </c>
      <c r="N180" s="195">
        <f t="shared" si="19"/>
        <v>108.62225076409797</v>
      </c>
      <c r="O180" s="195">
        <f t="shared" si="21"/>
        <v>49.908092429582979</v>
      </c>
      <c r="P180" s="195">
        <f t="shared" si="20"/>
        <v>32.222068750022039</v>
      </c>
      <c r="Q180" s="195">
        <f t="shared" si="22"/>
        <v>190.75241194370298</v>
      </c>
      <c r="R180" s="196">
        <f t="shared" si="23"/>
        <v>0.56944103436110571</v>
      </c>
      <c r="AC180" s="251"/>
    </row>
    <row r="181" spans="1:29" ht="15.6" x14ac:dyDescent="0.3">
      <c r="A181" s="194">
        <v>2058</v>
      </c>
      <c r="B181" s="229">
        <v>246.40393848749582</v>
      </c>
      <c r="C181" s="229">
        <v>21.168467531366922</v>
      </c>
      <c r="D181" s="229">
        <v>6.6219152503418606</v>
      </c>
      <c r="E181" s="229">
        <v>129.20560916790498</v>
      </c>
      <c r="F181" s="229">
        <v>34.070390635977475</v>
      </c>
      <c r="G181" s="229">
        <v>4.6018638489236672</v>
      </c>
      <c r="H181" s="229">
        <v>50.375619664989287</v>
      </c>
      <c r="I181" s="229">
        <v>64.428307026695322</v>
      </c>
      <c r="J181" s="229">
        <v>10.821090478081139</v>
      </c>
      <c r="K181" s="229">
        <v>13.848105618861837</v>
      </c>
      <c r="N181" s="195">
        <f t="shared" si="19"/>
        <v>112.90038013889317</v>
      </c>
      <c r="O181" s="195">
        <f t="shared" si="21"/>
        <v>50.375619664989287</v>
      </c>
      <c r="P181" s="195">
        <f t="shared" si="20"/>
        <v>32.392246630632449</v>
      </c>
      <c r="Q181" s="195">
        <f t="shared" si="22"/>
        <v>195.66824643451491</v>
      </c>
      <c r="R181" s="196">
        <f t="shared" si="23"/>
        <v>0.57699898780806014</v>
      </c>
      <c r="AC181" s="251"/>
    </row>
    <row r="182" spans="1:29" ht="15.6" x14ac:dyDescent="0.3">
      <c r="A182" s="194">
        <v>2059</v>
      </c>
      <c r="B182" s="229">
        <v>252.6679020707393</v>
      </c>
      <c r="C182" s="229">
        <v>21.075947142392739</v>
      </c>
      <c r="D182" s="229">
        <v>6.7537359338107841</v>
      </c>
      <c r="E182" s="229">
        <v>132.41979068985054</v>
      </c>
      <c r="F182" s="229">
        <v>35.681538693863025</v>
      </c>
      <c r="G182" s="229">
        <v>4.7046882689954366</v>
      </c>
      <c r="H182" s="229">
        <v>50.823664377188663</v>
      </c>
      <c r="I182" s="229">
        <v>66.747832615829111</v>
      </c>
      <c r="J182" s="229">
        <v>10.857285166316792</v>
      </c>
      <c r="K182" s="229">
        <v>14.028674028885586</v>
      </c>
      <c r="N182" s="195">
        <f t="shared" si="19"/>
        <v>117.2776650065249</v>
      </c>
      <c r="O182" s="195">
        <f t="shared" si="21"/>
        <v>50.823664377188663</v>
      </c>
      <c r="P182" s="195">
        <f t="shared" si="20"/>
        <v>32.534371345198963</v>
      </c>
      <c r="Q182" s="195">
        <f t="shared" si="22"/>
        <v>200.63570072891252</v>
      </c>
      <c r="R182" s="196">
        <f t="shared" si="23"/>
        <v>0.58453039304796395</v>
      </c>
      <c r="AC182" s="251"/>
    </row>
    <row r="183" spans="1:29" ht="15.6" x14ac:dyDescent="0.3">
      <c r="A183" s="194">
        <v>2060</v>
      </c>
      <c r="B183" s="229">
        <v>259.00814368320698</v>
      </c>
      <c r="C183" s="229">
        <v>20.952111158110711</v>
      </c>
      <c r="D183" s="229">
        <v>6.8867265376330149</v>
      </c>
      <c r="E183" s="229">
        <v>135.65453346065109</v>
      </c>
      <c r="F183" s="229">
        <v>37.351992171662388</v>
      </c>
      <c r="G183" s="229">
        <v>4.8080700241973195</v>
      </c>
      <c r="H183" s="229">
        <v>51.251734647931187</v>
      </c>
      <c r="I183" s="229">
        <v>69.107958081720767</v>
      </c>
      <c r="J183" s="229">
        <v>10.886979473739542</v>
      </c>
      <c r="K183" s="229">
        <v>14.210781886006021</v>
      </c>
      <c r="N183" s="195">
        <f t="shared" si="19"/>
        <v>121.75479098438228</v>
      </c>
      <c r="O183" s="195">
        <f t="shared" si="21"/>
        <v>51.251734647931187</v>
      </c>
      <c r="P183" s="195">
        <f t="shared" si="20"/>
        <v>32.646907719941048</v>
      </c>
      <c r="Q183" s="195">
        <f t="shared" si="22"/>
        <v>205.65343335225452</v>
      </c>
      <c r="R183" s="196">
        <f>N183/Q183</f>
        <v>0.59203869830772027</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2" tint="-0.249977111117893"/>
  </sheetPr>
  <dimension ref="A1:EX343"/>
  <sheetViews>
    <sheetView showGridLines="0" topLeftCell="T217" zoomScaleNormal="100" zoomScalePageLayoutView="80" workbookViewId="0">
      <selection activeCell="AE131" sqref="AE131:AP131"/>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8.796875"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9.199218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ResLight_cluster</v>
      </c>
      <c r="B1" s="156"/>
      <c r="C1" s="157" t="s">
        <v>531</v>
      </c>
      <c r="D1" s="157" t="s">
        <v>532</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SUM(OFFSET(AV136,J2-2015,0,J3-J2+1,1))/1000</f>
        <v>0</v>
      </c>
      <c r="O4" s="164">
        <f>SUM(AV136:AV181)/1000</f>
        <v>0</v>
      </c>
    </row>
    <row r="5" spans="1:154" ht="12.75" customHeight="1" x14ac:dyDescent="0.25">
      <c r="E5" s="498" t="s">
        <v>315</v>
      </c>
      <c r="F5" s="499">
        <v>0.19116788321167885</v>
      </c>
      <c r="G5" s="167" t="s">
        <v>211</v>
      </c>
      <c r="H5" s="167" t="s">
        <v>213</v>
      </c>
      <c r="L5" s="617"/>
      <c r="M5" s="153" t="s">
        <v>375</v>
      </c>
      <c r="N5" s="164">
        <f ca="1">SUM(OFFSET(AU136,J2-2015,0,J3-J2+1,1))/1000</f>
        <v>0.4989269302836154</v>
      </c>
      <c r="O5" s="164">
        <f>SUM(AU136:AU181)/1000</f>
        <v>1.0057455334809267</v>
      </c>
    </row>
    <row r="6" spans="1:154" ht="13.8" x14ac:dyDescent="0.25">
      <c r="E6" s="498" t="s">
        <v>316</v>
      </c>
      <c r="F6" s="499">
        <v>0.31861313868613139</v>
      </c>
      <c r="G6" s="167" t="s">
        <v>211</v>
      </c>
      <c r="H6" s="167" t="s">
        <v>213</v>
      </c>
    </row>
    <row r="7" spans="1:154" ht="13.8" x14ac:dyDescent="0.25">
      <c r="A7" s="35" t="s">
        <v>491</v>
      </c>
      <c r="E7" s="498" t="s">
        <v>317</v>
      </c>
      <c r="F7" s="499">
        <v>0.14160583941605842</v>
      </c>
      <c r="G7" s="167" t="s">
        <v>211</v>
      </c>
      <c r="H7" s="167" t="s">
        <v>213</v>
      </c>
      <c r="I7" s="516"/>
      <c r="J7" s="516"/>
      <c r="K7" s="516"/>
      <c r="L7" s="618" t="s">
        <v>369</v>
      </c>
      <c r="M7" s="497" t="s">
        <v>377</v>
      </c>
      <c r="N7" s="164">
        <f ca="1">SUM(OFFSET(AA195,J2-2015,0,J3-J2+1,1))/1000</f>
        <v>0</v>
      </c>
      <c r="O7" s="164">
        <f>SUM(AA195:AA240)/1000</f>
        <v>0</v>
      </c>
      <c r="P7" s="165"/>
    </row>
    <row r="8" spans="1:154" ht="13.8" x14ac:dyDescent="0.25">
      <c r="A8" s="486" t="s">
        <v>368</v>
      </c>
      <c r="B8" s="487" t="s">
        <v>492</v>
      </c>
      <c r="C8" s="487"/>
      <c r="E8" s="498" t="s">
        <v>318</v>
      </c>
      <c r="F8" s="499">
        <v>0.31861313868613139</v>
      </c>
      <c r="G8" s="167" t="s">
        <v>211</v>
      </c>
      <c r="H8" s="167" t="s">
        <v>213</v>
      </c>
      <c r="L8" s="618"/>
      <c r="M8" s="153" t="s">
        <v>375</v>
      </c>
      <c r="N8" s="164">
        <f ca="1">SUM(OFFSET(Z195,J2-2015,0,J3-J2+1,1))/1000</f>
        <v>0.72285956125403972</v>
      </c>
      <c r="O8" s="164">
        <f>SUM(Z195:Z240)/1000</f>
        <v>1.3761610821014836</v>
      </c>
    </row>
    <row r="9" spans="1:154" ht="13.8" x14ac:dyDescent="0.25">
      <c r="A9" s="488" t="s">
        <v>369</v>
      </c>
      <c r="B9" s="489" t="s">
        <v>455</v>
      </c>
      <c r="C9" s="489"/>
      <c r="E9" s="498"/>
      <c r="F9" s="499"/>
      <c r="G9" s="167"/>
      <c r="H9" s="167"/>
    </row>
    <row r="10" spans="1:154" ht="39.6" x14ac:dyDescent="0.25">
      <c r="A10" s="527" t="s">
        <v>592</v>
      </c>
      <c r="B10" s="490" t="s">
        <v>509</v>
      </c>
      <c r="C10" s="493" t="s">
        <v>512</v>
      </c>
      <c r="E10" s="498"/>
      <c r="F10" s="499"/>
      <c r="G10" s="167"/>
      <c r="H10" s="167"/>
    </row>
    <row r="11" spans="1:154" ht="39.6" x14ac:dyDescent="0.25">
      <c r="A11" s="527" t="s">
        <v>593</v>
      </c>
      <c r="B11" s="490" t="s">
        <v>507</v>
      </c>
      <c r="C11" s="493" t="s">
        <v>512</v>
      </c>
      <c r="E11" s="498"/>
      <c r="F11" s="499"/>
      <c r="G11" s="167"/>
      <c r="H11" s="167"/>
      <c r="L11" s="617" t="s">
        <v>522</v>
      </c>
      <c r="M11" s="497" t="s">
        <v>377</v>
      </c>
      <c r="N11" s="164">
        <f ca="1">N4+N7</f>
        <v>0</v>
      </c>
      <c r="O11" s="164">
        <f>O4+O7</f>
        <v>0</v>
      </c>
    </row>
    <row r="12" spans="1:154" ht="13.8" x14ac:dyDescent="0.25">
      <c r="A12" s="488" t="s">
        <v>493</v>
      </c>
      <c r="B12" s="489" t="s">
        <v>506</v>
      </c>
      <c r="C12" s="489"/>
      <c r="E12" s="498"/>
      <c r="F12" s="499"/>
      <c r="G12" s="167"/>
      <c r="H12" s="167"/>
      <c r="L12" s="617"/>
      <c r="M12" s="153" t="s">
        <v>375</v>
      </c>
      <c r="N12" s="164">
        <f ca="1">N5+N8</f>
        <v>1.2217864915376551</v>
      </c>
      <c r="O12" s="164">
        <f>O5+O8</f>
        <v>2.3819066155824102</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ht="13.8" x14ac:dyDescent="0.25">
      <c r="E21" s="500" t="s">
        <v>326</v>
      </c>
      <c r="F21" s="501">
        <v>42.34</v>
      </c>
    </row>
    <row r="22" spans="1:68" ht="13.8" x14ac:dyDescent="0.25">
      <c r="E22" s="500" t="s">
        <v>268</v>
      </c>
      <c r="F22" s="518"/>
    </row>
    <row r="23" spans="1:68" x14ac:dyDescent="0.25">
      <c r="D23" s="443"/>
      <c r="E23" s="443" t="s">
        <v>527</v>
      </c>
      <c r="F23" s="420"/>
    </row>
    <row r="24" spans="1:68" ht="13.8" thickBot="1" x14ac:dyDescent="0.3">
      <c r="E24" s="443" t="s">
        <v>528</v>
      </c>
      <c r="F24" s="420"/>
    </row>
    <row r="25" spans="1:68" ht="15" customHeight="1" thickBot="1" x14ac:dyDescent="0.3">
      <c r="A25" s="646" t="str">
        <f>CONCATENATE("Table 2: REF2, ",C1," TAM ",D1)</f>
        <v>Table 2: REF2, Residential Lighting TAM Petalumen hours (Plmh)</v>
      </c>
      <c r="B25" s="647"/>
      <c r="C25" s="647"/>
      <c r="D25" s="647"/>
      <c r="E25" s="647"/>
      <c r="F25" s="699"/>
      <c r="G25" s="647"/>
      <c r="H25" s="647"/>
      <c r="I25" s="647"/>
      <c r="J25" s="647"/>
      <c r="K25" s="648"/>
      <c r="M25" s="638" t="str">
        <f>CONCATENATE("Table 3: REF1 ,",C1," TAM ",D1)</f>
        <v>Table 3: REF1 ,Residential Lighting TAM Petalumen hours (Plmh)</v>
      </c>
      <c r="N25" s="639"/>
      <c r="O25" s="639"/>
      <c r="P25" s="639"/>
      <c r="Q25" s="639"/>
      <c r="R25" s="639"/>
      <c r="S25" s="639"/>
      <c r="T25" s="639"/>
      <c r="U25" s="639"/>
      <c r="V25" s="639"/>
      <c r="W25" s="640"/>
      <c r="Y25" s="627" t="str">
        <f>CONCATENATE("Table 3: REF1 ",$C$1," TAM ",$D$1)</f>
        <v>Table 3: REF1 Residential Lighting TAM Petalumen hours (Plmh)</v>
      </c>
      <c r="Z25" s="627"/>
      <c r="AA25" s="627"/>
      <c r="AB25" s="627"/>
      <c r="AC25" s="627"/>
      <c r="AD25" s="627"/>
      <c r="AE25" s="627"/>
      <c r="AF25" s="627"/>
      <c r="AG25" s="627"/>
      <c r="AH25" s="627"/>
      <c r="AI25" s="627"/>
      <c r="AK25" s="628" t="str">
        <f>CONCATENATE("Table 3: REF1 ",$C$1," TAM ",$D$1)</f>
        <v>Table 3: REF1 Residential Lighting TAM Petalumen hours (Plmh)</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ResLight_cluster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528" t="s">
        <v>594</v>
      </c>
      <c r="C27" s="460" t="s">
        <v>211</v>
      </c>
      <c r="D27" s="460" t="s">
        <v>211</v>
      </c>
      <c r="E27" s="460" t="s">
        <v>213</v>
      </c>
      <c r="F27" s="460" t="s">
        <v>213</v>
      </c>
      <c r="G27" s="460" t="s">
        <v>211</v>
      </c>
      <c r="H27" s="435"/>
      <c r="I27" s="435"/>
      <c r="J27" s="435"/>
      <c r="K27" s="435"/>
      <c r="M27" s="455"/>
      <c r="N27" s="461" t="str">
        <f>B27</f>
        <v>Regions included as LLDC</v>
      </c>
      <c r="O27" s="462" t="str">
        <f>C27</f>
        <v>N</v>
      </c>
      <c r="P27" s="462" t="str">
        <f t="shared" ref="P27:S27" si="0">D27</f>
        <v>N</v>
      </c>
      <c r="Q27" s="462" t="str">
        <f t="shared" si="0"/>
        <v>Y</v>
      </c>
      <c r="R27" s="462" t="str">
        <f t="shared" si="0"/>
        <v>Y</v>
      </c>
      <c r="S27" s="462" t="str">
        <f t="shared" si="0"/>
        <v>N</v>
      </c>
      <c r="T27" s="435"/>
      <c r="U27" s="435"/>
      <c r="V27" s="435"/>
      <c r="W27" s="435"/>
      <c r="Y27" s="455"/>
      <c r="Z27" s="461" t="str">
        <f>B27</f>
        <v>Regions included as LLDC</v>
      </c>
      <c r="AA27" s="462" t="str">
        <f>O27</f>
        <v>N</v>
      </c>
      <c r="AB27" s="462" t="str">
        <f t="shared" ref="AB27:AE27" si="1">P27</f>
        <v>N</v>
      </c>
      <c r="AC27" s="462" t="str">
        <f t="shared" si="1"/>
        <v>Y</v>
      </c>
      <c r="AD27" s="462" t="str">
        <f t="shared" si="1"/>
        <v>Y</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40.200000000000003" thickBot="1" x14ac:dyDescent="0.3">
      <c r="A28" s="213"/>
      <c r="B28" s="474" t="s">
        <v>4</v>
      </c>
      <c r="C28" s="475" t="s">
        <v>5</v>
      </c>
      <c r="D28" s="475" t="s">
        <v>6</v>
      </c>
      <c r="E28" s="475" t="s">
        <v>7</v>
      </c>
      <c r="F28" s="475" t="s">
        <v>8</v>
      </c>
      <c r="G28" s="475" t="s">
        <v>9</v>
      </c>
      <c r="H28" s="475" t="s">
        <v>10</v>
      </c>
      <c r="I28" s="475" t="s">
        <v>11</v>
      </c>
      <c r="J28" s="475" t="s">
        <v>12</v>
      </c>
      <c r="K28" s="476" t="s">
        <v>13</v>
      </c>
      <c r="M28" s="189"/>
      <c r="N28" s="190" t="s">
        <v>4</v>
      </c>
      <c r="O28" s="191" t="s">
        <v>5</v>
      </c>
      <c r="P28" s="191" t="s">
        <v>6</v>
      </c>
      <c r="Q28" s="191" t="s">
        <v>460</v>
      </c>
      <c r="R28" s="191" t="s">
        <v>8</v>
      </c>
      <c r="S28" s="191" t="s">
        <v>9</v>
      </c>
      <c r="T28" s="191" t="s">
        <v>10</v>
      </c>
      <c r="U28" s="191" t="s">
        <v>11</v>
      </c>
      <c r="V28" s="191" t="s">
        <v>12</v>
      </c>
      <c r="W28" s="192" t="s">
        <v>13</v>
      </c>
      <c r="Y28" s="456"/>
      <c r="Z28" s="457" t="s">
        <v>4</v>
      </c>
      <c r="AA28" s="458" t="s">
        <v>5</v>
      </c>
      <c r="AB28" s="458" t="s">
        <v>6</v>
      </c>
      <c r="AC28" s="458" t="s">
        <v>7</v>
      </c>
      <c r="AD28" s="458" t="s">
        <v>8</v>
      </c>
      <c r="AE28" s="458" t="s">
        <v>9</v>
      </c>
      <c r="AF28" s="458" t="s">
        <v>10</v>
      </c>
      <c r="AG28" s="458" t="s">
        <v>11</v>
      </c>
      <c r="AH28" s="458" t="s">
        <v>12</v>
      </c>
      <c r="AI28" s="458" t="s">
        <v>13</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35.45472209566551</v>
      </c>
      <c r="C29" s="229">
        <v>9.7943735518175075</v>
      </c>
      <c r="D29" s="229">
        <v>1.9645185842965271</v>
      </c>
      <c r="E29" s="229">
        <v>13.192665353446126</v>
      </c>
      <c r="F29" s="229">
        <v>3.5816663142033107</v>
      </c>
      <c r="G29" s="229">
        <v>1.5610525101865356</v>
      </c>
      <c r="H29" s="229">
        <v>8.6417044213682868</v>
      </c>
      <c r="I29" s="229">
        <v>2.5300727439549324</v>
      </c>
      <c r="J29" s="229">
        <v>3.8710853310135809</v>
      </c>
      <c r="K29" s="229">
        <v>4.0309506620726951</v>
      </c>
      <c r="M29" s="194">
        <v>2014</v>
      </c>
      <c r="N29" s="419">
        <f t="shared" ref="N29:N75" si="2">SUM(O29:S29)</f>
        <v>4.774434496320362</v>
      </c>
      <c r="O29" s="418">
        <f>(C29/Population_Tables!P3)*Population_Tables!D62</f>
        <v>0</v>
      </c>
      <c r="P29" s="418">
        <f>(D29/Population_Tables!Q3)*Population_Tables!E62</f>
        <v>0</v>
      </c>
      <c r="Q29" s="418">
        <f>((E29-H29)/Population_Tables!R3)*Population_Tables!F62</f>
        <v>2.3105705224582787</v>
      </c>
      <c r="R29" s="418">
        <f>(F29/Population_Tables!S3)*Population_Tables!G62</f>
        <v>2.0497217716760825</v>
      </c>
      <c r="S29" s="418">
        <f>(G29/Population_Tables!T3)*Population_Tables!H62</f>
        <v>0.41414220218600084</v>
      </c>
      <c r="T29" s="418">
        <f>(H29/Population_Tables!U3)*Population_Tables!I62</f>
        <v>0</v>
      </c>
      <c r="U29" s="418">
        <f>(I29/Population_Tables!V3)*Population_Tables!J62</f>
        <v>0</v>
      </c>
      <c r="V29" s="418">
        <f>(J29/Population_Tables!W3)*Population_Tables!K62</f>
        <v>0</v>
      </c>
      <c r="W29" s="418">
        <f>(K29/Population_Tables!X3)*Population_Tables!L62</f>
        <v>0</v>
      </c>
      <c r="Y29" s="456">
        <v>2014</v>
      </c>
      <c r="Z29" s="459">
        <f>((B29/Population_Tables!O3)*Population_Tables!C3)-N29</f>
        <v>30.680227632169299</v>
      </c>
      <c r="AA29" s="459">
        <f>((C29/Population_Tables!P3)*Population_Tables!D3)-O29</f>
        <v>9.7943735518175075</v>
      </c>
      <c r="AB29" s="459">
        <f>((D29/Population_Tables!Q3)*Population_Tables!E3)-P29</f>
        <v>1.9645185842965271</v>
      </c>
      <c r="AC29" s="459">
        <f>((E29/Population_Tables!R3)*Population_Tables!F3)-Q29</f>
        <v>10.882053692444398</v>
      </c>
      <c r="AD29" s="459">
        <f>((F29/Population_Tables!S3)*Population_Tables!G3)-R29</f>
        <v>1.5319445425272278</v>
      </c>
      <c r="AE29" s="459">
        <f>((G29/Population_Tables!T3)*Population_Tables!H3)-S29</f>
        <v>1.1469103080005347</v>
      </c>
      <c r="AF29" s="459">
        <f>(H29/Population_Tables!U3)*Population_Tables!I3</f>
        <v>8.6417044213682868</v>
      </c>
      <c r="AG29" s="459">
        <f>(I29/Population_Tables!V3)*Population_Tables!J3</f>
        <v>2.5300727439549324</v>
      </c>
      <c r="AH29" s="459">
        <f>(J29/Population_Tables!W3)*Population_Tables!K3</f>
        <v>3.8710853310135813</v>
      </c>
      <c r="AI29" s="459">
        <f>(K29/Population_Tables!X3)*Population_Tables!L3</f>
        <v>4.0309506620726951</v>
      </c>
      <c r="AK29" s="456">
        <v>2014</v>
      </c>
      <c r="AL29" s="459">
        <f>Z29+N29</f>
        <v>35.454662128489659</v>
      </c>
      <c r="AM29" s="459">
        <f t="shared" ref="AM29:AU44" si="3">AA29+O29</f>
        <v>9.7943735518175075</v>
      </c>
      <c r="AN29" s="459">
        <f t="shared" si="3"/>
        <v>1.9645185842965271</v>
      </c>
      <c r="AO29" s="459">
        <f t="shared" si="3"/>
        <v>13.192624214902676</v>
      </c>
      <c r="AP29" s="459">
        <f t="shared" si="3"/>
        <v>3.5816663142033103</v>
      </c>
      <c r="AQ29" s="459">
        <f t="shared" si="3"/>
        <v>1.5610525101865356</v>
      </c>
      <c r="AR29" s="459">
        <f t="shared" si="3"/>
        <v>8.6417044213682868</v>
      </c>
      <c r="AS29" s="459">
        <f t="shared" si="3"/>
        <v>2.5300727439549324</v>
      </c>
      <c r="AT29" s="459">
        <f t="shared" si="3"/>
        <v>3.8710853310135813</v>
      </c>
      <c r="AU29" s="459">
        <f t="shared" si="3"/>
        <v>4.0309506620726951</v>
      </c>
      <c r="AW29" s="216">
        <f>(B29/Population_Tables!O3)*Population_Tables!C3</f>
        <v>35.454662128489659</v>
      </c>
      <c r="AX29" s="153" t="str">
        <f>IF(AW29-AL29=0,"OK")</f>
        <v>OK</v>
      </c>
      <c r="AY29" s="421">
        <f t="shared" ref="AY29:AY75" si="4">SUM(BB29:BF29)</f>
        <v>30.094235175406556</v>
      </c>
      <c r="AZ29" s="153" t="str">
        <f t="shared" ref="AZ29:AZ75" si="5">IF(AY29-(SUM(AM29:AQ29))=0,"OK")</f>
        <v>OK</v>
      </c>
      <c r="BB29" s="216">
        <f>(C29/Population_Tables!P3)*Population_Tables!D3</f>
        <v>9.7943735518175075</v>
      </c>
      <c r="BC29" s="216">
        <f>(D29/Population_Tables!Q3)*Population_Tables!E3</f>
        <v>1.9645185842965271</v>
      </c>
      <c r="BD29" s="216">
        <f>(E29/Population_Tables!R3)*Population_Tables!F3</f>
        <v>13.192624214902676</v>
      </c>
      <c r="BE29" s="216">
        <f>(F29/Population_Tables!S3)*Population_Tables!G3</f>
        <v>3.5816663142033103</v>
      </c>
      <c r="BF29" s="216">
        <f>(G29/Population_Tables!T3)*Population_Tables!H3</f>
        <v>1.5610525101865356</v>
      </c>
      <c r="BG29" s="216"/>
      <c r="BN29" s="216"/>
      <c r="BO29" s="216"/>
      <c r="BP29" s="216"/>
    </row>
    <row r="30" spans="1:68" ht="15.6" x14ac:dyDescent="0.3">
      <c r="A30" s="194">
        <v>2015</v>
      </c>
      <c r="B30" s="229">
        <v>35.136866265059048</v>
      </c>
      <c r="C30" s="229">
        <v>10.017663025633121</v>
      </c>
      <c r="D30" s="229">
        <v>1.9511542632618777</v>
      </c>
      <c r="E30" s="229">
        <v>13.851511428280253</v>
      </c>
      <c r="F30" s="229">
        <v>3.7471343978821472</v>
      </c>
      <c r="G30" s="229">
        <v>1.654489288055526</v>
      </c>
      <c r="H30" s="229">
        <v>8.9164784427673069</v>
      </c>
      <c r="I30" s="229">
        <v>2.6707501717703717</v>
      </c>
      <c r="J30" s="229">
        <v>3.8807299629414511</v>
      </c>
      <c r="K30" s="229">
        <v>4.1175655043358903</v>
      </c>
      <c r="M30" s="194">
        <v>2015</v>
      </c>
      <c r="N30" s="419">
        <f t="shared" si="2"/>
        <v>5.1048664129850172</v>
      </c>
      <c r="O30" s="418">
        <f>(C30/Population_Tables!P4)*Population_Tables!D63</f>
        <v>0</v>
      </c>
      <c r="P30" s="418">
        <f>(D30/Population_Tables!Q4)*Population_Tables!E63</f>
        <v>0</v>
      </c>
      <c r="Q30" s="418">
        <f>((E30-H30)/Population_Tables!R4)*Population_Tables!F63</f>
        <v>2.5128356376917838</v>
      </c>
      <c r="R30" s="418">
        <f>(F30/Population_Tables!S4)*Population_Tables!G63</f>
        <v>2.151849836096202</v>
      </c>
      <c r="S30" s="418">
        <f>(G30/Population_Tables!T4)*Population_Tables!H63</f>
        <v>0.44018093919703233</v>
      </c>
      <c r="T30" s="418">
        <f>(H30/Population_Tables!U4)*Population_Tables!I63</f>
        <v>0</v>
      </c>
      <c r="U30" s="418">
        <f>(I30/Population_Tables!V4)*Population_Tables!J63</f>
        <v>0</v>
      </c>
      <c r="V30" s="418">
        <f>(J30/Population_Tables!W4)*Population_Tables!K63</f>
        <v>0</v>
      </c>
      <c r="W30" s="418">
        <f>(K30/Population_Tables!X4)*Population_Tables!L63</f>
        <v>0</v>
      </c>
      <c r="Y30" s="456">
        <v>2015</v>
      </c>
      <c r="Z30" s="459">
        <f>((B30/Population_Tables!O4)*Population_Tables!C4)-N30</f>
        <v>30.031941464978424</v>
      </c>
      <c r="AA30" s="459">
        <f>((C30/Population_Tables!P4)*Population_Tables!D4)-O30</f>
        <v>10.017663025633121</v>
      </c>
      <c r="AB30" s="459">
        <f>((D30/Population_Tables!Q4)*Population_Tables!E4)-P30</f>
        <v>1.9511542632618775</v>
      </c>
      <c r="AC30" s="459">
        <f>((E30/Population_Tables!R4)*Population_Tables!F4)-Q30</f>
        <v>11.338633278081982</v>
      </c>
      <c r="AD30" s="459">
        <f>((F30/Population_Tables!S4)*Population_Tables!G4)-R30</f>
        <v>1.5952845617859452</v>
      </c>
      <c r="AE30" s="459">
        <f>((G30/Population_Tables!T4)*Population_Tables!H4)-S30</f>
        <v>1.2143083488584938</v>
      </c>
      <c r="AF30" s="459">
        <f>(H30/Population_Tables!U4)*Population_Tables!I4</f>
        <v>8.9164784427673069</v>
      </c>
      <c r="AG30" s="459">
        <f>(I30/Population_Tables!V4)*Population_Tables!J4</f>
        <v>2.6707501717703717</v>
      </c>
      <c r="AH30" s="459">
        <f>(J30/Population_Tables!W4)*Population_Tables!K4</f>
        <v>3.8807299629414507</v>
      </c>
      <c r="AI30" s="459">
        <f>(K30/Population_Tables!X4)*Population_Tables!L4</f>
        <v>4.1175655043358903</v>
      </c>
      <c r="AK30" s="456">
        <v>2015</v>
      </c>
      <c r="AL30" s="459">
        <f t="shared" ref="AL30:AU68" si="6">Z30+N30</f>
        <v>35.136807877963442</v>
      </c>
      <c r="AM30" s="459">
        <f t="shared" si="3"/>
        <v>10.017663025633121</v>
      </c>
      <c r="AN30" s="459">
        <f t="shared" si="3"/>
        <v>1.9511542632618775</v>
      </c>
      <c r="AO30" s="459">
        <f t="shared" si="3"/>
        <v>13.851468915773765</v>
      </c>
      <c r="AP30" s="459">
        <f t="shared" si="3"/>
        <v>3.7471343978821472</v>
      </c>
      <c r="AQ30" s="459">
        <f t="shared" si="3"/>
        <v>1.6544892880555262</v>
      </c>
      <c r="AR30" s="459">
        <f t="shared" si="3"/>
        <v>8.9164784427673069</v>
      </c>
      <c r="AS30" s="459">
        <f t="shared" si="3"/>
        <v>2.6707501717703717</v>
      </c>
      <c r="AT30" s="459">
        <f t="shared" si="3"/>
        <v>3.8807299629414507</v>
      </c>
      <c r="AU30" s="459">
        <f t="shared" si="3"/>
        <v>4.1175655043358903</v>
      </c>
      <c r="AW30" s="216">
        <f>(B30/Population_Tables!O4)*Population_Tables!C4</f>
        <v>35.136807877963442</v>
      </c>
      <c r="AX30" s="153" t="str">
        <f t="shared" ref="AX30:AX75" si="7">IF(AW30-AL30=0,"OK")</f>
        <v>OK</v>
      </c>
      <c r="AY30" s="421">
        <f t="shared" si="4"/>
        <v>31.221909890606433</v>
      </c>
      <c r="AZ30" s="153" t="str">
        <f t="shared" si="5"/>
        <v>OK</v>
      </c>
      <c r="BB30" s="216">
        <f>(C30/Population_Tables!P4)*Population_Tables!D4</f>
        <v>10.017663025633121</v>
      </c>
      <c r="BC30" s="216">
        <f>(D30/Population_Tables!Q4)*Population_Tables!E4</f>
        <v>1.9511542632618775</v>
      </c>
      <c r="BD30" s="216">
        <f>(E30/Population_Tables!R4)*Population_Tables!F4</f>
        <v>13.851468915773765</v>
      </c>
      <c r="BE30" s="216">
        <f>(F30/Population_Tables!S4)*Population_Tables!G4</f>
        <v>3.7471343978821472</v>
      </c>
      <c r="BF30" s="216">
        <f>(G30/Population_Tables!T4)*Population_Tables!H4</f>
        <v>1.6544892880555262</v>
      </c>
      <c r="BG30" s="216"/>
      <c r="BN30" s="216"/>
      <c r="BO30" s="216"/>
      <c r="BP30" s="216"/>
    </row>
    <row r="31" spans="1:68" ht="15.6" x14ac:dyDescent="0.3">
      <c r="A31" s="194">
        <v>2016</v>
      </c>
      <c r="B31" s="229">
        <v>35.590448788015138</v>
      </c>
      <c r="C31" s="229">
        <v>10.050682713905339</v>
      </c>
      <c r="D31" s="229">
        <v>1.9641034298876612</v>
      </c>
      <c r="E31" s="229">
        <v>13.926901044571524</v>
      </c>
      <c r="F31" s="229">
        <v>3.8355730994121444</v>
      </c>
      <c r="G31" s="229">
        <v>1.6677974676174945</v>
      </c>
      <c r="H31" s="229">
        <v>8.9456052168574072</v>
      </c>
      <c r="I31" s="229">
        <v>2.7069120597509144</v>
      </c>
      <c r="J31" s="229">
        <v>3.8918123622255814</v>
      </c>
      <c r="K31" s="229">
        <v>4.1404158000030398</v>
      </c>
      <c r="M31" s="194">
        <v>2016</v>
      </c>
      <c r="N31" s="419">
        <f t="shared" si="2"/>
        <v>5.1985872276874368</v>
      </c>
      <c r="O31" s="418">
        <f>(C31/Population_Tables!P5)*Population_Tables!D64</f>
        <v>0</v>
      </c>
      <c r="P31" s="418">
        <f>(D31/Population_Tables!Q5)*Population_Tables!E64</f>
        <v>0</v>
      </c>
      <c r="Q31" s="418">
        <f>((E31-H31)/Population_Tables!R5)*Population_Tables!F64</f>
        <v>2.5435059845944066</v>
      </c>
      <c r="R31" s="418">
        <f>(F31/Population_Tables!S5)*Population_Tables!G64</f>
        <v>2.210103143143507</v>
      </c>
      <c r="S31" s="418">
        <f>(G31/Population_Tables!T5)*Population_Tables!H64</f>
        <v>0.44497809994952342</v>
      </c>
      <c r="T31" s="418">
        <f>(H31/Population_Tables!U5)*Population_Tables!I64</f>
        <v>0</v>
      </c>
      <c r="U31" s="418">
        <f>(I31/Population_Tables!V5)*Population_Tables!J64</f>
        <v>0</v>
      </c>
      <c r="V31" s="418">
        <f>(J31/Population_Tables!W5)*Population_Tables!K64</f>
        <v>0</v>
      </c>
      <c r="W31" s="418">
        <f>(K31/Population_Tables!X5)*Population_Tables!L64</f>
        <v>0</v>
      </c>
      <c r="Y31" s="456">
        <v>2016</v>
      </c>
      <c r="Z31" s="459">
        <f>((B31/Population_Tables!O5)*Population_Tables!C5)-N31</f>
        <v>30.391803868978908</v>
      </c>
      <c r="AA31" s="459">
        <f>((C31/Population_Tables!P5)*Population_Tables!D5)-O31</f>
        <v>10.050682713905339</v>
      </c>
      <c r="AB31" s="459">
        <f>((D31/Population_Tables!Q5)*Population_Tables!E5)-P31</f>
        <v>1.9641034298876612</v>
      </c>
      <c r="AC31" s="459">
        <f>((E31/Population_Tables!R5)*Population_Tables!F5)-Q31</f>
        <v>11.383353286050063</v>
      </c>
      <c r="AD31" s="459">
        <f>((F31/Population_Tables!S5)*Population_Tables!G5)-R31</f>
        <v>1.6254699562686374</v>
      </c>
      <c r="AE31" s="459">
        <f>((G31/Population_Tables!T5)*Population_Tables!H5)-S31</f>
        <v>1.2228193676679711</v>
      </c>
      <c r="AF31" s="459">
        <f>(H31/Population_Tables!U5)*Population_Tables!I5</f>
        <v>8.9456052168574072</v>
      </c>
      <c r="AG31" s="459">
        <f>(I31/Population_Tables!V5)*Population_Tables!J5</f>
        <v>2.7069120597509149</v>
      </c>
      <c r="AH31" s="459">
        <f>(J31/Population_Tables!W5)*Population_Tables!K5</f>
        <v>3.8918123622255814</v>
      </c>
      <c r="AI31" s="459">
        <f>(K31/Population_Tables!X5)*Population_Tables!L5</f>
        <v>4.1404158000030398</v>
      </c>
      <c r="AK31" s="456">
        <v>2016</v>
      </c>
      <c r="AL31" s="459">
        <f t="shared" si="6"/>
        <v>35.590391096666345</v>
      </c>
      <c r="AM31" s="459">
        <f t="shared" si="3"/>
        <v>10.050682713905339</v>
      </c>
      <c r="AN31" s="459">
        <f t="shared" si="3"/>
        <v>1.9641034298876612</v>
      </c>
      <c r="AO31" s="459">
        <f t="shared" si="3"/>
        <v>13.926859270644471</v>
      </c>
      <c r="AP31" s="459">
        <f t="shared" si="3"/>
        <v>3.8355730994121444</v>
      </c>
      <c r="AQ31" s="459">
        <f t="shared" si="3"/>
        <v>1.6677974676174945</v>
      </c>
      <c r="AR31" s="459">
        <f t="shared" si="3"/>
        <v>8.9456052168574072</v>
      </c>
      <c r="AS31" s="459">
        <f t="shared" si="3"/>
        <v>2.7069120597509149</v>
      </c>
      <c r="AT31" s="459">
        <f t="shared" si="3"/>
        <v>3.8918123622255814</v>
      </c>
      <c r="AU31" s="459">
        <f t="shared" si="3"/>
        <v>4.1404158000030398</v>
      </c>
      <c r="AW31" s="216">
        <f>(B31/Population_Tables!O5)*Population_Tables!C5</f>
        <v>35.590391096666345</v>
      </c>
      <c r="AX31" s="153" t="str">
        <f t="shared" si="7"/>
        <v>OK</v>
      </c>
      <c r="AY31" s="421">
        <f t="shared" si="4"/>
        <v>31.445015981467108</v>
      </c>
      <c r="AZ31" s="153" t="str">
        <f t="shared" si="5"/>
        <v>OK</v>
      </c>
      <c r="BB31" s="216">
        <f>(C31/Population_Tables!P5)*Population_Tables!D5</f>
        <v>10.050682713905339</v>
      </c>
      <c r="BC31" s="216">
        <f>(D31/Population_Tables!Q5)*Population_Tables!E5</f>
        <v>1.9641034298876612</v>
      </c>
      <c r="BD31" s="216">
        <f>(E31/Population_Tables!R5)*Population_Tables!F5</f>
        <v>13.926859270644471</v>
      </c>
      <c r="BE31" s="216">
        <f>(F31/Population_Tables!S5)*Population_Tables!G5</f>
        <v>3.8355730994121444</v>
      </c>
      <c r="BF31" s="216">
        <f>(G31/Population_Tables!T5)*Population_Tables!H5</f>
        <v>1.6677974676174945</v>
      </c>
      <c r="BG31" s="216"/>
      <c r="BN31" s="216"/>
      <c r="BO31" s="216"/>
      <c r="BP31" s="216"/>
    </row>
    <row r="32" spans="1:68" ht="15.6" x14ac:dyDescent="0.3">
      <c r="A32" s="194">
        <v>2017</v>
      </c>
      <c r="B32" s="229">
        <v>36.038154830086064</v>
      </c>
      <c r="C32" s="229">
        <v>10.085595724596224</v>
      </c>
      <c r="D32" s="229">
        <v>1.976302368890678</v>
      </c>
      <c r="E32" s="229">
        <v>14.008647403500913</v>
      </c>
      <c r="F32" s="229">
        <v>3.9254811291747602</v>
      </c>
      <c r="G32" s="229">
        <v>1.6820355143686367</v>
      </c>
      <c r="H32" s="229">
        <v>8.9766402577029183</v>
      </c>
      <c r="I32" s="229">
        <v>2.744266292933347</v>
      </c>
      <c r="J32" s="229">
        <v>3.9025268581563557</v>
      </c>
      <c r="K32" s="229">
        <v>4.163828968424288</v>
      </c>
      <c r="M32" s="194">
        <v>2017</v>
      </c>
      <c r="N32" s="419">
        <f t="shared" si="2"/>
        <v>5.2958888049174382</v>
      </c>
      <c r="O32" s="418">
        <f>(C32/Population_Tables!P6)*Population_Tables!D65</f>
        <v>0</v>
      </c>
      <c r="P32" s="418">
        <f>(D32/Population_Tables!Q6)*Population_Tables!E65</f>
        <v>0</v>
      </c>
      <c r="Q32" s="418">
        <f>((E32-H32)/Population_Tables!R6)*Population_Tables!F65</f>
        <v>2.5764094845056849</v>
      </c>
      <c r="R32" s="418">
        <f>(F32/Population_Tables!S6)*Population_Tables!G65</f>
        <v>2.2694518250519549</v>
      </c>
      <c r="S32" s="418">
        <f>(G32/Population_Tables!T6)*Population_Tables!H65</f>
        <v>0.45002749535979852</v>
      </c>
      <c r="T32" s="418">
        <f>(H32/Population_Tables!U6)*Population_Tables!I65</f>
        <v>0</v>
      </c>
      <c r="U32" s="418">
        <f>(I32/Population_Tables!V6)*Population_Tables!J65</f>
        <v>0</v>
      </c>
      <c r="V32" s="418">
        <f>(J32/Population_Tables!W6)*Population_Tables!K65</f>
        <v>0</v>
      </c>
      <c r="W32" s="418">
        <f>(K32/Population_Tables!X6)*Population_Tables!L65</f>
        <v>0</v>
      </c>
      <c r="Y32" s="456">
        <v>2017</v>
      </c>
      <c r="Z32" s="459">
        <f>((B32/Population_Tables!O6)*Population_Tables!C6)-N32</f>
        <v>30.74220923111374</v>
      </c>
      <c r="AA32" s="459">
        <f>((C32/Population_Tables!P6)*Population_Tables!D6)-O32</f>
        <v>10.085595724596224</v>
      </c>
      <c r="AB32" s="459">
        <f>((D32/Population_Tables!Q6)*Population_Tables!E6)-P32</f>
        <v>1.976302368890678</v>
      </c>
      <c r="AC32" s="459">
        <f>((E32/Population_Tables!R6)*Population_Tables!F6)-Q32</f>
        <v>11.432196989508727</v>
      </c>
      <c r="AD32" s="459">
        <f>((F32/Population_Tables!S6)*Population_Tables!G6)-R32</f>
        <v>1.6560293041228058</v>
      </c>
      <c r="AE32" s="459">
        <f>((G32/Population_Tables!T6)*Population_Tables!H6)-S32</f>
        <v>1.2320080190088383</v>
      </c>
      <c r="AF32" s="459">
        <f>(H32/Population_Tables!U6)*Population_Tables!I6</f>
        <v>8.9766402577029183</v>
      </c>
      <c r="AG32" s="459">
        <f>(I32/Population_Tables!V6)*Population_Tables!J6</f>
        <v>2.744266292933347</v>
      </c>
      <c r="AH32" s="459">
        <f>(J32/Population_Tables!W6)*Population_Tables!K6</f>
        <v>3.9025268581563557</v>
      </c>
      <c r="AI32" s="459">
        <f>(K32/Population_Tables!X6)*Population_Tables!L6</f>
        <v>4.163828968424288</v>
      </c>
      <c r="AK32" s="456">
        <v>2017</v>
      </c>
      <c r="AL32" s="459">
        <f t="shared" si="6"/>
        <v>36.03809803603118</v>
      </c>
      <c r="AM32" s="459">
        <f t="shared" si="3"/>
        <v>10.085595724596224</v>
      </c>
      <c r="AN32" s="459">
        <f t="shared" si="3"/>
        <v>1.976302368890678</v>
      </c>
      <c r="AO32" s="459">
        <f t="shared" si="3"/>
        <v>14.008606474014412</v>
      </c>
      <c r="AP32" s="459">
        <f t="shared" si="3"/>
        <v>3.9254811291747607</v>
      </c>
      <c r="AQ32" s="459">
        <f t="shared" si="3"/>
        <v>1.6820355143686367</v>
      </c>
      <c r="AR32" s="459">
        <f t="shared" si="3"/>
        <v>8.9766402577029183</v>
      </c>
      <c r="AS32" s="459">
        <f t="shared" si="3"/>
        <v>2.744266292933347</v>
      </c>
      <c r="AT32" s="459">
        <f t="shared" si="3"/>
        <v>3.9025268581563557</v>
      </c>
      <c r="AU32" s="459">
        <f t="shared" si="3"/>
        <v>4.163828968424288</v>
      </c>
      <c r="AW32" s="216">
        <f>(B32/Population_Tables!O6)*Population_Tables!C6</f>
        <v>36.03809803603118</v>
      </c>
      <c r="AX32" s="153" t="str">
        <f t="shared" si="7"/>
        <v>OK</v>
      </c>
      <c r="AY32" s="421">
        <f t="shared" si="4"/>
        <v>31.678021211044712</v>
      </c>
      <c r="AZ32" s="153" t="str">
        <f t="shared" si="5"/>
        <v>OK</v>
      </c>
      <c r="BB32" s="216">
        <f>(C32/Population_Tables!P6)*Population_Tables!D6</f>
        <v>10.085595724596224</v>
      </c>
      <c r="BC32" s="216">
        <f>(D32/Population_Tables!Q6)*Population_Tables!E6</f>
        <v>1.976302368890678</v>
      </c>
      <c r="BD32" s="216">
        <f>(E32/Population_Tables!R6)*Population_Tables!F6</f>
        <v>14.008606474014412</v>
      </c>
      <c r="BE32" s="216">
        <f>(F32/Population_Tables!S6)*Population_Tables!G6</f>
        <v>3.9254811291747607</v>
      </c>
      <c r="BF32" s="216">
        <f>(G32/Population_Tables!T6)*Population_Tables!H6</f>
        <v>1.6820355143686367</v>
      </c>
      <c r="BG32" s="216"/>
      <c r="BN32" s="216"/>
      <c r="BO32" s="216"/>
      <c r="BP32" s="216"/>
    </row>
    <row r="33" spans="1:68" ht="15.6" x14ac:dyDescent="0.3">
      <c r="A33" s="194">
        <v>2018</v>
      </c>
      <c r="B33" s="229">
        <v>36.479984391271813</v>
      </c>
      <c r="C33" s="229">
        <v>10.122298304475681</v>
      </c>
      <c r="D33" s="229">
        <v>1.9877818469641781</v>
      </c>
      <c r="E33" s="229">
        <v>14.096422857829056</v>
      </c>
      <c r="F33" s="229">
        <v>4.0168003754743644</v>
      </c>
      <c r="G33" s="229">
        <v>1.6971566221554775</v>
      </c>
      <c r="H33" s="229">
        <v>9.0094577377045777</v>
      </c>
      <c r="I33" s="229">
        <v>2.7827515176899409</v>
      </c>
      <c r="J33" s="229">
        <v>3.912879003262979</v>
      </c>
      <c r="K33" s="229">
        <v>4.1877683530625349</v>
      </c>
      <c r="M33" s="194">
        <v>2018</v>
      </c>
      <c r="N33" s="419">
        <f t="shared" si="2"/>
        <v>5.3967075285875543</v>
      </c>
      <c r="O33" s="418">
        <f>(C33/Population_Tables!P7)*Population_Tables!D66</f>
        <v>0</v>
      </c>
      <c r="P33" s="418">
        <f>(D33/Population_Tables!Q7)*Population_Tables!E66</f>
        <v>0</v>
      </c>
      <c r="Q33" s="418">
        <f>((E33-H33)/Population_Tables!R7)*Population_Tables!F66</f>
        <v>2.6116025904271365</v>
      </c>
      <c r="R33" s="418">
        <f>(F33/Population_Tables!S7)*Population_Tables!G66</f>
        <v>2.3297958433163068</v>
      </c>
      <c r="S33" s="418">
        <f>(G33/Population_Tables!T7)*Population_Tables!H66</f>
        <v>0.45530909484411086</v>
      </c>
      <c r="T33" s="418">
        <f>(H33/Population_Tables!U7)*Population_Tables!I66</f>
        <v>0</v>
      </c>
      <c r="U33" s="418">
        <f>(I33/Population_Tables!V7)*Population_Tables!J66</f>
        <v>0</v>
      </c>
      <c r="V33" s="418">
        <f>(J33/Population_Tables!W7)*Population_Tables!K66</f>
        <v>0</v>
      </c>
      <c r="W33" s="418">
        <f>(K33/Population_Tables!X7)*Population_Tables!L66</f>
        <v>0</v>
      </c>
      <c r="Y33" s="456">
        <v>2018</v>
      </c>
      <c r="Z33" s="459">
        <f>((B33/Population_Tables!O7)*Population_Tables!C7)-N33</f>
        <v>31.08322115160896</v>
      </c>
      <c r="AA33" s="459">
        <f>((C33/Population_Tables!P7)*Population_Tables!D7)-O33</f>
        <v>10.122298304475681</v>
      </c>
      <c r="AB33" s="459">
        <f>((D33/Population_Tables!Q7)*Population_Tables!E7)-P33</f>
        <v>1.9877818469641781</v>
      </c>
      <c r="AC33" s="459">
        <f>((E33/Population_Tables!R7)*Population_Tables!F7)-Q33</f>
        <v>11.484780277856046</v>
      </c>
      <c r="AD33" s="459">
        <f>((F33/Population_Tables!S7)*Population_Tables!G7)-R33</f>
        <v>1.6870045321580576</v>
      </c>
      <c r="AE33" s="459">
        <f>((G33/Population_Tables!T7)*Population_Tables!H7)-S33</f>
        <v>1.2418475273113665</v>
      </c>
      <c r="AF33" s="459">
        <f>(H33/Population_Tables!U7)*Population_Tables!I7</f>
        <v>9.0094577377045777</v>
      </c>
      <c r="AG33" s="459">
        <f>(I33/Population_Tables!V7)*Population_Tables!J7</f>
        <v>2.7827515176899413</v>
      </c>
      <c r="AH33" s="459">
        <f>(J33/Population_Tables!W7)*Population_Tables!K7</f>
        <v>3.912879003262979</v>
      </c>
      <c r="AI33" s="459">
        <f>(K33/Population_Tables!X7)*Population_Tables!L7</f>
        <v>4.1877683530625349</v>
      </c>
      <c r="AK33" s="456">
        <v>2018</v>
      </c>
      <c r="AL33" s="459">
        <f t="shared" si="6"/>
        <v>36.479928680196515</v>
      </c>
      <c r="AM33" s="459">
        <f t="shared" si="3"/>
        <v>10.122298304475681</v>
      </c>
      <c r="AN33" s="459">
        <f t="shared" si="3"/>
        <v>1.9877818469641781</v>
      </c>
      <c r="AO33" s="459">
        <f t="shared" si="3"/>
        <v>14.096382868283182</v>
      </c>
      <c r="AP33" s="459">
        <f t="shared" si="3"/>
        <v>4.0168003754743644</v>
      </c>
      <c r="AQ33" s="459">
        <f t="shared" si="3"/>
        <v>1.6971566221554775</v>
      </c>
      <c r="AR33" s="459">
        <f t="shared" si="3"/>
        <v>9.0094577377045777</v>
      </c>
      <c r="AS33" s="459">
        <f t="shared" si="3"/>
        <v>2.7827515176899413</v>
      </c>
      <c r="AT33" s="459">
        <f t="shared" si="3"/>
        <v>3.912879003262979</v>
      </c>
      <c r="AU33" s="459">
        <f t="shared" si="3"/>
        <v>4.1877683530625349</v>
      </c>
      <c r="AW33" s="216">
        <f>(B33/Population_Tables!O7)*Population_Tables!C7</f>
        <v>36.479928680196515</v>
      </c>
      <c r="AX33" s="153" t="str">
        <f t="shared" si="7"/>
        <v>OK</v>
      </c>
      <c r="AY33" s="421">
        <f t="shared" si="4"/>
        <v>31.920420017352885</v>
      </c>
      <c r="AZ33" s="153" t="str">
        <f t="shared" si="5"/>
        <v>OK</v>
      </c>
      <c r="BB33" s="216">
        <f>(C33/Population_Tables!P7)*Population_Tables!D7</f>
        <v>10.122298304475681</v>
      </c>
      <c r="BC33" s="216">
        <f>(D33/Population_Tables!Q7)*Population_Tables!E7</f>
        <v>1.9877818469641781</v>
      </c>
      <c r="BD33" s="216">
        <f>(E33/Population_Tables!R7)*Population_Tables!F7</f>
        <v>14.096382868283182</v>
      </c>
      <c r="BE33" s="216">
        <f>(F33/Population_Tables!S7)*Population_Tables!G7</f>
        <v>4.0168003754743644</v>
      </c>
      <c r="BF33" s="216">
        <f>(G33/Population_Tables!T7)*Population_Tables!H7</f>
        <v>1.6971566221554775</v>
      </c>
      <c r="BG33" s="216"/>
      <c r="BN33" s="216"/>
      <c r="BO33" s="216"/>
      <c r="BP33" s="216"/>
    </row>
    <row r="34" spans="1:68" ht="16.2" thickBot="1" x14ac:dyDescent="0.35">
      <c r="A34" s="198">
        <v>2019</v>
      </c>
      <c r="B34" s="230">
        <v>36.915937471572398</v>
      </c>
      <c r="C34" s="230">
        <v>10.160686700313617</v>
      </c>
      <c r="D34" s="230">
        <v>1.9985726308014102</v>
      </c>
      <c r="E34" s="230">
        <v>14.189899760316601</v>
      </c>
      <c r="F34" s="230">
        <v>4.1094727266153281</v>
      </c>
      <c r="G34" s="230">
        <v>1.7131139848245418</v>
      </c>
      <c r="H34" s="230">
        <v>9.0439318292631263</v>
      </c>
      <c r="I34" s="230">
        <v>2.8223063803929667</v>
      </c>
      <c r="J34" s="230">
        <v>3.9228743500746557</v>
      </c>
      <c r="K34" s="230">
        <v>4.2121972973806798</v>
      </c>
      <c r="M34" s="198">
        <v>2019</v>
      </c>
      <c r="N34" s="419">
        <f t="shared" si="2"/>
        <v>5.501012355989416</v>
      </c>
      <c r="O34" s="418">
        <f>(C34/Population_Tables!P8)*Population_Tables!D67</f>
        <v>0</v>
      </c>
      <c r="P34" s="418">
        <f>(D34/Population_Tables!Q8)*Population_Tables!E67</f>
        <v>0</v>
      </c>
      <c r="Q34" s="418">
        <f>((E34-H34)/Population_Tables!R8)*Population_Tables!F67</f>
        <v>2.6491804542974871</v>
      </c>
      <c r="R34" s="418">
        <f>(F34/Population_Tables!S8)*Population_Tables!G67</f>
        <v>2.391032859675013</v>
      </c>
      <c r="S34" s="418">
        <f>(G34/Population_Tables!T8)*Population_Tables!H67</f>
        <v>0.46079904201691579</v>
      </c>
      <c r="T34" s="418">
        <f>(H34/Population_Tables!U8)*Population_Tables!I67</f>
        <v>0</v>
      </c>
      <c r="U34" s="418">
        <f>(I34/Population_Tables!V8)*Population_Tables!J67</f>
        <v>0</v>
      </c>
      <c r="V34" s="418">
        <f>(J34/Population_Tables!W8)*Population_Tables!K67</f>
        <v>0</v>
      </c>
      <c r="W34" s="418">
        <f>(K34/Population_Tables!X8)*Population_Tables!L67</f>
        <v>0</v>
      </c>
      <c r="Y34" s="456">
        <v>2019</v>
      </c>
      <c r="Z34" s="459">
        <f>((B34/Population_Tables!O8)*Population_Tables!C8)-N34</f>
        <v>31.414870379492626</v>
      </c>
      <c r="AA34" s="459">
        <f>((C34/Population_Tables!P8)*Population_Tables!D8)-O34</f>
        <v>10.160686700313617</v>
      </c>
      <c r="AB34" s="459">
        <f>((D34/Population_Tables!Q8)*Population_Tables!E8)-P34</f>
        <v>1.9985726308014102</v>
      </c>
      <c r="AC34" s="459">
        <f>((E34/Population_Tables!R8)*Population_Tables!F8)-Q34</f>
        <v>11.540680143169148</v>
      </c>
      <c r="AD34" s="459">
        <f>((F34/Population_Tables!S8)*Population_Tables!G8)-R34</f>
        <v>1.7184398669403151</v>
      </c>
      <c r="AE34" s="459">
        <f>((G34/Population_Tables!T8)*Population_Tables!H8)-S34</f>
        <v>1.2523149428076263</v>
      </c>
      <c r="AF34" s="459">
        <f>(H34/Population_Tables!U8)*Population_Tables!I8</f>
        <v>9.0439318292631263</v>
      </c>
      <c r="AG34" s="459">
        <f>(I34/Population_Tables!V8)*Population_Tables!J8</f>
        <v>2.8223063803929667</v>
      </c>
      <c r="AH34" s="459">
        <f>(J34/Population_Tables!W8)*Population_Tables!K8</f>
        <v>3.9228743500746557</v>
      </c>
      <c r="AI34" s="459">
        <f>(K34/Population_Tables!X8)*Population_Tables!L8</f>
        <v>4.2121972973806798</v>
      </c>
      <c r="AK34" s="456">
        <v>2019</v>
      </c>
      <c r="AL34" s="459">
        <f t="shared" si="6"/>
        <v>36.915882735482043</v>
      </c>
      <c r="AM34" s="459">
        <f t="shared" si="3"/>
        <v>10.160686700313617</v>
      </c>
      <c r="AN34" s="459">
        <f t="shared" si="3"/>
        <v>1.9985726308014102</v>
      </c>
      <c r="AO34" s="459">
        <f t="shared" si="3"/>
        <v>14.189860597466634</v>
      </c>
      <c r="AP34" s="459">
        <f t="shared" si="3"/>
        <v>4.1094727266153281</v>
      </c>
      <c r="AQ34" s="459">
        <f t="shared" si="3"/>
        <v>1.7131139848245422</v>
      </c>
      <c r="AR34" s="459">
        <f t="shared" si="3"/>
        <v>9.0439318292631263</v>
      </c>
      <c r="AS34" s="459">
        <f t="shared" si="3"/>
        <v>2.8223063803929667</v>
      </c>
      <c r="AT34" s="459">
        <f t="shared" si="3"/>
        <v>3.9228743500746557</v>
      </c>
      <c r="AU34" s="459">
        <f t="shared" si="3"/>
        <v>4.2121972973806798</v>
      </c>
      <c r="AW34" s="216">
        <f>(B34/Population_Tables!O8)*Population_Tables!C8</f>
        <v>36.915882735482043</v>
      </c>
      <c r="AX34" s="153" t="str">
        <f t="shared" si="7"/>
        <v>OK</v>
      </c>
      <c r="AY34" s="421">
        <f t="shared" si="4"/>
        <v>32.171706640021533</v>
      </c>
      <c r="AZ34" s="153" t="str">
        <f t="shared" si="5"/>
        <v>OK</v>
      </c>
      <c r="BB34" s="216">
        <f>(C34/Population_Tables!P8)*Population_Tables!D8</f>
        <v>10.160686700313617</v>
      </c>
      <c r="BC34" s="216">
        <f>(D34/Population_Tables!Q8)*Population_Tables!E8</f>
        <v>1.9985726308014102</v>
      </c>
      <c r="BD34" s="216">
        <f>(E34/Population_Tables!R8)*Population_Tables!F8</f>
        <v>14.189860597466634</v>
      </c>
      <c r="BE34" s="216">
        <f>(F34/Population_Tables!S8)*Population_Tables!G8</f>
        <v>4.1094727266153281</v>
      </c>
      <c r="BF34" s="216">
        <f>(G34/Population_Tables!T8)*Population_Tables!H8</f>
        <v>1.713113984824542</v>
      </c>
      <c r="BG34" s="216"/>
      <c r="BN34" s="216"/>
      <c r="BO34" s="216"/>
      <c r="BP34" s="216"/>
    </row>
    <row r="35" spans="1:68" ht="15.6" x14ac:dyDescent="0.3">
      <c r="A35" s="201">
        <v>2020</v>
      </c>
      <c r="B35" s="228">
        <v>37.346014070987813</v>
      </c>
      <c r="C35" s="228">
        <v>10.200657158879935</v>
      </c>
      <c r="D35" s="228">
        <v>2.0087054870956242</v>
      </c>
      <c r="E35" s="228">
        <v>14.288750463724192</v>
      </c>
      <c r="F35" s="228">
        <v>4.2034400709020217</v>
      </c>
      <c r="G35" s="228">
        <v>1.7298607962223549</v>
      </c>
      <c r="H35" s="228">
        <v>9.0799367047793034</v>
      </c>
      <c r="I35" s="228">
        <v>2.8628695274146962</v>
      </c>
      <c r="J35" s="228">
        <v>3.9325184511205902</v>
      </c>
      <c r="K35" s="228">
        <v>4.2370791448416254</v>
      </c>
      <c r="M35" s="201">
        <v>2020</v>
      </c>
      <c r="N35" s="419">
        <f t="shared" si="2"/>
        <v>5.6087565012502436</v>
      </c>
      <c r="O35" s="418">
        <f>(C35/Population_Tables!P9)*Population_Tables!D68</f>
        <v>0</v>
      </c>
      <c r="P35" s="418">
        <f>(D35/Population_Tables!Q9)*Population_Tables!E68</f>
        <v>0</v>
      </c>
      <c r="Q35" s="418">
        <f>((E35-H35)/Population_Tables!R9)*Population_Tables!F68</f>
        <v>2.6891896881840927</v>
      </c>
      <c r="R35" s="418">
        <f>(F35/Population_Tables!S9)*Population_Tables!G68</f>
        <v>2.4530893234731765</v>
      </c>
      <c r="S35" s="418">
        <f>(G35/Population_Tables!T9)*Population_Tables!H68</f>
        <v>0.46647748959297425</v>
      </c>
      <c r="T35" s="418">
        <f>(H35/Population_Tables!U9)*Population_Tables!I68</f>
        <v>0</v>
      </c>
      <c r="U35" s="418">
        <f>(I35/Population_Tables!V9)*Population_Tables!J68</f>
        <v>0</v>
      </c>
      <c r="V35" s="418">
        <f>(J35/Population_Tables!W9)*Population_Tables!K68</f>
        <v>0</v>
      </c>
      <c r="W35" s="418">
        <f>(K35/Population_Tables!X9)*Population_Tables!L68</f>
        <v>0</v>
      </c>
      <c r="Y35" s="456">
        <v>2020</v>
      </c>
      <c r="Z35" s="459">
        <f>((B35/Population_Tables!O9)*Population_Tables!C9)-N35</f>
        <v>31.737203688474448</v>
      </c>
      <c r="AA35" s="459">
        <f>((C35/Population_Tables!P9)*Population_Tables!D9)-O35</f>
        <v>10.200657158879935</v>
      </c>
      <c r="AB35" s="459">
        <f>((D35/Population_Tables!Q9)*Population_Tables!E9)-P35</f>
        <v>2.0087054870956242</v>
      </c>
      <c r="AC35" s="459">
        <f>((E35/Population_Tables!R9)*Population_Tables!F9)-Q35</f>
        <v>11.599522317981556</v>
      </c>
      <c r="AD35" s="459">
        <f>((F35/Population_Tables!S9)*Population_Tables!G9)-R35</f>
        <v>1.7503507474288451</v>
      </c>
      <c r="AE35" s="459">
        <f>((G35/Population_Tables!T9)*Population_Tables!H9)-S35</f>
        <v>1.2633833066293807</v>
      </c>
      <c r="AF35" s="459">
        <f>(H35/Population_Tables!U9)*Population_Tables!I9</f>
        <v>9.0799367047793034</v>
      </c>
      <c r="AG35" s="459">
        <f>(I35/Population_Tables!V9)*Population_Tables!J9</f>
        <v>2.8628695274146962</v>
      </c>
      <c r="AH35" s="459">
        <f>(J35/Population_Tables!W9)*Population_Tables!K9</f>
        <v>3.9325184511205902</v>
      </c>
      <c r="AI35" s="459">
        <f>(K35/Population_Tables!X9)*Population_Tables!L9</f>
        <v>4.2370791448416254</v>
      </c>
      <c r="AK35" s="456">
        <v>2020</v>
      </c>
      <c r="AL35" s="459">
        <f t="shared" si="6"/>
        <v>37.345960189724693</v>
      </c>
      <c r="AM35" s="459">
        <f t="shared" si="3"/>
        <v>10.200657158879935</v>
      </c>
      <c r="AN35" s="459">
        <f t="shared" si="3"/>
        <v>2.0087054870956242</v>
      </c>
      <c r="AO35" s="459">
        <f t="shared" si="3"/>
        <v>14.28871200616565</v>
      </c>
      <c r="AP35" s="459">
        <f t="shared" si="3"/>
        <v>4.2034400709020217</v>
      </c>
      <c r="AQ35" s="459">
        <f t="shared" si="3"/>
        <v>1.7298607962223549</v>
      </c>
      <c r="AR35" s="459">
        <f t="shared" si="3"/>
        <v>9.0799367047793034</v>
      </c>
      <c r="AS35" s="459">
        <f t="shared" si="3"/>
        <v>2.8628695274146962</v>
      </c>
      <c r="AT35" s="459">
        <f t="shared" si="3"/>
        <v>3.9325184511205902</v>
      </c>
      <c r="AU35" s="459">
        <f t="shared" si="3"/>
        <v>4.2370791448416254</v>
      </c>
      <c r="AW35" s="216">
        <f>(B35/Population_Tables!O9)*Population_Tables!C9</f>
        <v>37.345960189724693</v>
      </c>
      <c r="AX35" s="153" t="str">
        <f t="shared" si="7"/>
        <v>OK</v>
      </c>
      <c r="AY35" s="421">
        <f t="shared" si="4"/>
        <v>32.431375519265586</v>
      </c>
      <c r="AZ35" s="153" t="str">
        <f t="shared" si="5"/>
        <v>OK</v>
      </c>
      <c r="BB35" s="216">
        <f>(C35/Population_Tables!P9)*Population_Tables!D9</f>
        <v>10.200657158879935</v>
      </c>
      <c r="BC35" s="216">
        <f>(D35/Population_Tables!Q9)*Population_Tables!E9</f>
        <v>2.0087054870956242</v>
      </c>
      <c r="BD35" s="216">
        <f>(E35/Population_Tables!R9)*Population_Tables!F9</f>
        <v>14.28871200616565</v>
      </c>
      <c r="BE35" s="216">
        <f>(F35/Population_Tables!S9)*Population_Tables!G9</f>
        <v>4.2034400709020217</v>
      </c>
      <c r="BF35" s="216">
        <f>(G35/Population_Tables!T9)*Population_Tables!H9</f>
        <v>1.7298607962223549</v>
      </c>
      <c r="BG35" s="216"/>
      <c r="BN35" s="216"/>
      <c r="BO35" s="216"/>
      <c r="BP35" s="216"/>
    </row>
    <row r="36" spans="1:68" ht="15.6" x14ac:dyDescent="0.3">
      <c r="A36" s="206">
        <v>2021</v>
      </c>
      <c r="B36" s="229">
        <v>37.770214189518057</v>
      </c>
      <c r="C36" s="229">
        <v>10.242105926944539</v>
      </c>
      <c r="D36" s="229">
        <v>2.0182111825400693</v>
      </c>
      <c r="E36" s="229">
        <v>14.392647320812468</v>
      </c>
      <c r="F36" s="229">
        <v>4.2986442966388152</v>
      </c>
      <c r="G36" s="229">
        <v>1.7473502501954419</v>
      </c>
      <c r="H36" s="229">
        <v>9.1173465366538462</v>
      </c>
      <c r="I36" s="229">
        <v>2.9043796051274002</v>
      </c>
      <c r="J36" s="229">
        <v>3.9418168589299869</v>
      </c>
      <c r="K36" s="229">
        <v>4.2623772389082699</v>
      </c>
      <c r="M36" s="206">
        <v>2021</v>
      </c>
      <c r="N36" s="419">
        <f t="shared" si="2"/>
        <v>5.7282999466742996</v>
      </c>
      <c r="O36" s="418">
        <f>(C36/Population_Tables!P10)*Population_Tables!D69</f>
        <v>0</v>
      </c>
      <c r="P36" s="418">
        <f>(D36/Population_Tables!Q10)*Population_Tables!E69</f>
        <v>0</v>
      </c>
      <c r="Q36" s="418">
        <f>((E36-H36)/Population_Tables!R10)*Population_Tables!F69</f>
        <v>2.736409553216347</v>
      </c>
      <c r="R36" s="418">
        <f>(F36/Population_Tables!S10)*Population_Tables!G69</f>
        <v>2.5184917307378623</v>
      </c>
      <c r="S36" s="418">
        <f>(G36/Population_Tables!T10)*Population_Tables!H69</f>
        <v>0.47339866272008985</v>
      </c>
      <c r="T36" s="418">
        <f>(H36/Population_Tables!U10)*Population_Tables!I69</f>
        <v>0</v>
      </c>
      <c r="U36" s="418">
        <f>(I36/Population_Tables!V10)*Population_Tables!J69</f>
        <v>0</v>
      </c>
      <c r="V36" s="418">
        <f>(J36/Population_Tables!W10)*Population_Tables!K69</f>
        <v>0</v>
      </c>
      <c r="W36" s="418">
        <f>(K36/Population_Tables!X10)*Population_Tables!L69</f>
        <v>0</v>
      </c>
      <c r="Y36" s="456">
        <v>2021</v>
      </c>
      <c r="Z36" s="459">
        <f>((B36/Population_Tables!O10)*Population_Tables!C10)-N36</f>
        <v>32.089677220341947</v>
      </c>
      <c r="AA36" s="459">
        <f>((C36/Population_Tables!P10)*Population_Tables!D10)-O36</f>
        <v>10.252729336276692</v>
      </c>
      <c r="AB36" s="459">
        <f>((D36/Population_Tables!Q10)*Population_Tables!E10)-P36</f>
        <v>2.0206055141167769</v>
      </c>
      <c r="AC36" s="459">
        <f>((E36/Population_Tables!R10)*Population_Tables!F10)-Q36</f>
        <v>11.673422007062349</v>
      </c>
      <c r="AD36" s="459">
        <f>((F36/Population_Tables!S10)*Population_Tables!G10)-R36</f>
        <v>1.7859159246364724</v>
      </c>
      <c r="AE36" s="459">
        <f>((G36/Population_Tables!T10)*Population_Tables!H10)-S36</f>
        <v>1.2772606894487422</v>
      </c>
      <c r="AF36" s="459">
        <f>(H36/Population_Tables!U10)*Population_Tables!I10</f>
        <v>9.1269138646544317</v>
      </c>
      <c r="AG36" s="459">
        <f>(I36/Population_Tables!V10)*Population_Tables!J10</f>
        <v>2.9077209415113749</v>
      </c>
      <c r="AH36" s="459">
        <f>(J36/Population_Tables!W10)*Population_Tables!K10</f>
        <v>3.9458950128498689</v>
      </c>
      <c r="AI36" s="459">
        <f>(K36/Population_Tables!X10)*Population_Tables!L10</f>
        <v>4.2668803356704075</v>
      </c>
      <c r="AK36" s="456">
        <v>2021</v>
      </c>
      <c r="AL36" s="459">
        <f t="shared" si="6"/>
        <v>37.817977167016245</v>
      </c>
      <c r="AM36" s="459">
        <f t="shared" si="3"/>
        <v>10.252729336276692</v>
      </c>
      <c r="AN36" s="459">
        <f t="shared" si="3"/>
        <v>2.0206055141167769</v>
      </c>
      <c r="AO36" s="459">
        <f t="shared" si="3"/>
        <v>14.409831560278697</v>
      </c>
      <c r="AP36" s="459">
        <f t="shared" si="3"/>
        <v>4.3044076553743347</v>
      </c>
      <c r="AQ36" s="459">
        <f t="shared" si="3"/>
        <v>1.7506593521688321</v>
      </c>
      <c r="AR36" s="459">
        <f t="shared" si="3"/>
        <v>9.1269138646544317</v>
      </c>
      <c r="AS36" s="459">
        <f t="shared" si="3"/>
        <v>2.9077209415113749</v>
      </c>
      <c r="AT36" s="459">
        <f t="shared" si="3"/>
        <v>3.9458950128498689</v>
      </c>
      <c r="AU36" s="459">
        <f t="shared" si="3"/>
        <v>4.2668803356704075</v>
      </c>
      <c r="AW36" s="216">
        <f>(B36/Population_Tables!O10)*Population_Tables!C10</f>
        <v>37.817977167016245</v>
      </c>
      <c r="AX36" s="153" t="str">
        <f t="shared" si="7"/>
        <v>OK</v>
      </c>
      <c r="AY36" s="421">
        <f t="shared" si="4"/>
        <v>32.73823341821533</v>
      </c>
      <c r="AZ36" s="153" t="str">
        <f t="shared" si="5"/>
        <v>OK</v>
      </c>
      <c r="BB36" s="216">
        <f>(C36/Population_Tables!P10)*Population_Tables!D10</f>
        <v>10.252729336276692</v>
      </c>
      <c r="BC36" s="216">
        <f>(D36/Population_Tables!Q10)*Population_Tables!E10</f>
        <v>2.0206055141167769</v>
      </c>
      <c r="BD36" s="216">
        <f>(E36/Population_Tables!R10)*Population_Tables!F10</f>
        <v>14.409831560278697</v>
      </c>
      <c r="BE36" s="216">
        <f>(F36/Population_Tables!S10)*Population_Tables!G10</f>
        <v>4.3044076553743347</v>
      </c>
      <c r="BF36" s="216">
        <f>(G36/Population_Tables!T10)*Population_Tables!H10</f>
        <v>1.7506593521688321</v>
      </c>
      <c r="BG36" s="216"/>
      <c r="BN36" s="216"/>
      <c r="BO36" s="216"/>
      <c r="BP36" s="216"/>
    </row>
    <row r="37" spans="1:68" ht="15.6" x14ac:dyDescent="0.3">
      <c r="A37" s="206">
        <v>2022</v>
      </c>
      <c r="B37" s="229">
        <v>38.188537827163138</v>
      </c>
      <c r="C37" s="229">
        <v>10.284929251277338</v>
      </c>
      <c r="D37" s="229">
        <v>2.0271204838279946</v>
      </c>
      <c r="E37" s="229">
        <v>14.501262684342073</v>
      </c>
      <c r="F37" s="229">
        <v>4.3950272921300799</v>
      </c>
      <c r="G37" s="229">
        <v>1.7655355405903279</v>
      </c>
      <c r="H37" s="229">
        <v>9.1560354972874922</v>
      </c>
      <c r="I37" s="229">
        <v>2.9467752599033505</v>
      </c>
      <c r="J37" s="229">
        <v>3.9507751260320512</v>
      </c>
      <c r="K37" s="229">
        <v>4.2880549230435152</v>
      </c>
      <c r="M37" s="206">
        <v>2022</v>
      </c>
      <c r="N37" s="419">
        <f t="shared" si="2"/>
        <v>5.8540476636156571</v>
      </c>
      <c r="O37" s="418">
        <f>(C37/Population_Tables!P11)*Population_Tables!D70</f>
        <v>0</v>
      </c>
      <c r="P37" s="418">
        <f>(D37/Population_Tables!Q11)*Population_Tables!E70</f>
        <v>0</v>
      </c>
      <c r="Q37" s="418">
        <f>((E37-H37)/Population_Tables!R11)*Population_Tables!F70</f>
        <v>2.78746484093839</v>
      </c>
      <c r="R37" s="418">
        <f>(F37/Population_Tables!S11)*Population_Tables!G70</f>
        <v>2.5859462263781263</v>
      </c>
      <c r="S37" s="418">
        <f>(G37/Population_Tables!T11)*Population_Tables!H70</f>
        <v>0.48063659629914085</v>
      </c>
      <c r="T37" s="418">
        <f>(H37/Population_Tables!U11)*Population_Tables!I70</f>
        <v>0</v>
      </c>
      <c r="U37" s="418">
        <f>(I37/Population_Tables!V11)*Population_Tables!J70</f>
        <v>0</v>
      </c>
      <c r="V37" s="418">
        <f>(J37/Population_Tables!W11)*Population_Tables!K70</f>
        <v>0</v>
      </c>
      <c r="W37" s="418">
        <f>(K37/Population_Tables!X11)*Population_Tables!L70</f>
        <v>0</v>
      </c>
      <c r="Y37" s="456">
        <v>2022</v>
      </c>
      <c r="Z37" s="459">
        <f>((B37/Population_Tables!O11)*Population_Tables!C11)-N37</f>
        <v>32.442514022400722</v>
      </c>
      <c r="AA37" s="459">
        <f>((C37/Population_Tables!P11)*Population_Tables!D11)-O37</f>
        <v>10.309212440763497</v>
      </c>
      <c r="AB37" s="459">
        <f>((D37/Population_Tables!Q11)*Population_Tables!E11)-P37</f>
        <v>2.032340036146556</v>
      </c>
      <c r="AC37" s="459">
        <f>((E37/Population_Tables!R11)*Population_Tables!F11)-Q37</f>
        <v>11.754008449380244</v>
      </c>
      <c r="AD37" s="459">
        <f>((F37/Population_Tables!S11)*Population_Tables!G11)-R37</f>
        <v>1.8217735449374923</v>
      </c>
      <c r="AE37" s="459">
        <f>((G37/Population_Tables!T11)*Population_Tables!H11)-S37</f>
        <v>1.2916901547977682</v>
      </c>
      <c r="AF37" s="459">
        <f>(H37/Population_Tables!U11)*Population_Tables!I11</f>
        <v>9.1774635971441523</v>
      </c>
      <c r="AG37" s="459">
        <f>(I37/Population_Tables!V11)*Population_Tables!J11</f>
        <v>2.9549213172712991</v>
      </c>
      <c r="AH37" s="459">
        <f>(J37/Population_Tables!W11)*Population_Tables!K11</f>
        <v>3.9599133157808342</v>
      </c>
      <c r="AI37" s="459">
        <f>(K37/Population_Tables!X11)*Population_Tables!L11</f>
        <v>4.2985399711766306</v>
      </c>
      <c r="AK37" s="456">
        <v>2022</v>
      </c>
      <c r="AL37" s="459">
        <f t="shared" si="6"/>
        <v>38.296561686016382</v>
      </c>
      <c r="AM37" s="459">
        <f t="shared" si="3"/>
        <v>10.309212440763497</v>
      </c>
      <c r="AN37" s="459">
        <f t="shared" si="3"/>
        <v>2.032340036146556</v>
      </c>
      <c r="AO37" s="459">
        <f t="shared" si="3"/>
        <v>14.541473290318635</v>
      </c>
      <c r="AP37" s="459">
        <f t="shared" si="3"/>
        <v>4.4077197713156187</v>
      </c>
      <c r="AQ37" s="459">
        <f t="shared" si="3"/>
        <v>1.772326751096909</v>
      </c>
      <c r="AR37" s="459">
        <f t="shared" si="3"/>
        <v>9.1774635971441523</v>
      </c>
      <c r="AS37" s="459">
        <f t="shared" si="3"/>
        <v>2.9549213172712991</v>
      </c>
      <c r="AT37" s="459">
        <f t="shared" si="3"/>
        <v>3.9599133157808342</v>
      </c>
      <c r="AU37" s="459">
        <f t="shared" si="3"/>
        <v>4.2985399711766306</v>
      </c>
      <c r="AW37" s="216">
        <f>(B37/Population_Tables!O11)*Population_Tables!C11</f>
        <v>38.296561686016382</v>
      </c>
      <c r="AX37" s="153" t="str">
        <f t="shared" si="7"/>
        <v>OK</v>
      </c>
      <c r="AY37" s="421">
        <f t="shared" si="4"/>
        <v>33.063072289641219</v>
      </c>
      <c r="AZ37" s="153" t="str">
        <f t="shared" si="5"/>
        <v>OK</v>
      </c>
      <c r="BB37" s="216">
        <f>(C37/Population_Tables!P11)*Population_Tables!D11</f>
        <v>10.309212440763497</v>
      </c>
      <c r="BC37" s="216">
        <f>(D37/Population_Tables!Q11)*Population_Tables!E11</f>
        <v>2.032340036146556</v>
      </c>
      <c r="BD37" s="216">
        <f>(E37/Population_Tables!R11)*Population_Tables!F11</f>
        <v>14.541473290318635</v>
      </c>
      <c r="BE37" s="216">
        <f>(F37/Population_Tables!S11)*Population_Tables!G11</f>
        <v>4.4077197713156187</v>
      </c>
      <c r="BF37" s="216">
        <f>(G37/Population_Tables!T11)*Population_Tables!H11</f>
        <v>1.772326751096909</v>
      </c>
      <c r="BG37" s="216"/>
      <c r="BN37" s="216"/>
      <c r="BO37" s="216"/>
      <c r="BP37" s="216"/>
    </row>
    <row r="38" spans="1:68" ht="15.6" x14ac:dyDescent="0.3">
      <c r="A38" s="206">
        <v>2023</v>
      </c>
      <c r="B38" s="229">
        <v>38.600984983923048</v>
      </c>
      <c r="C38" s="229">
        <v>10.329023378648234</v>
      </c>
      <c r="D38" s="229">
        <v>2.0354641576526493</v>
      </c>
      <c r="E38" s="229">
        <v>14.614268907073653</v>
      </c>
      <c r="F38" s="229">
        <v>4.4925309456801861</v>
      </c>
      <c r="G38" s="229">
        <v>1.7843698612535377</v>
      </c>
      <c r="H38" s="229">
        <v>9.1958777590809824</v>
      </c>
      <c r="I38" s="229">
        <v>2.9899951381148178</v>
      </c>
      <c r="J38" s="229">
        <v>3.959398804955987</v>
      </c>
      <c r="K38" s="229">
        <v>4.3140755407102604</v>
      </c>
      <c r="M38" s="206">
        <v>2023</v>
      </c>
      <c r="N38" s="419">
        <f t="shared" si="2"/>
        <v>5.9855155234741089</v>
      </c>
      <c r="O38" s="418">
        <f>(C38/Population_Tables!P12)*Population_Tables!D71</f>
        <v>0</v>
      </c>
      <c r="P38" s="418">
        <f>(D38/Population_Tables!Q12)*Population_Tables!E71</f>
        <v>0</v>
      </c>
      <c r="Q38" s="418">
        <f>((E38-H38)/Population_Tables!R12)*Population_Tables!F71</f>
        <v>2.8420000211516023</v>
      </c>
      <c r="R38" s="418">
        <f>(F38/Population_Tables!S12)*Population_Tables!G71</f>
        <v>2.6553251348150972</v>
      </c>
      <c r="S38" s="418">
        <f>(G38/Population_Tables!T12)*Population_Tables!H71</f>
        <v>0.48819036750740957</v>
      </c>
      <c r="T38" s="418">
        <f>(H38/Population_Tables!U12)*Population_Tables!I71</f>
        <v>0</v>
      </c>
      <c r="U38" s="418">
        <f>(I38/Population_Tables!V12)*Population_Tables!J71</f>
        <v>0</v>
      </c>
      <c r="V38" s="418">
        <f>(J38/Population_Tables!W12)*Population_Tables!K71</f>
        <v>0</v>
      </c>
      <c r="W38" s="418">
        <f>(K38/Population_Tables!X12)*Population_Tables!L71</f>
        <v>0</v>
      </c>
      <c r="Y38" s="456">
        <v>2023</v>
      </c>
      <c r="Z38" s="459">
        <f>((B38/Population_Tables!O12)*Population_Tables!C12)-N38</f>
        <v>32.794602991130603</v>
      </c>
      <c r="AA38" s="459">
        <f>((C38/Population_Tables!P12)*Population_Tables!D12)-O38</f>
        <v>10.369542400365953</v>
      </c>
      <c r="AB38" s="459">
        <f>((D38/Population_Tables!Q12)*Population_Tables!E12)-P38</f>
        <v>2.0438977119609301</v>
      </c>
      <c r="AC38" s="459">
        <f>((E38/Population_Tables!R12)*Population_Tables!F12)-Q38</f>
        <v>11.840312826264123</v>
      </c>
      <c r="AD38" s="459">
        <f>((F38/Population_Tables!S12)*Population_Tables!G12)-R38</f>
        <v>1.857951198163506</v>
      </c>
      <c r="AE38" s="459">
        <f>((G38/Population_Tables!T12)*Population_Tables!H12)-S38</f>
        <v>1.3067191531480051</v>
      </c>
      <c r="AF38" s="459">
        <f>(H38/Population_Tables!U12)*Population_Tables!I12</f>
        <v>9.2311063424138133</v>
      </c>
      <c r="AG38" s="459">
        <f>(I38/Population_Tables!V12)*Population_Tables!J12</f>
        <v>3.0041337546174596</v>
      </c>
      <c r="AH38" s="459">
        <f>(J38/Population_Tables!W12)*Population_Tables!K12</f>
        <v>3.9744302573391548</v>
      </c>
      <c r="AI38" s="459">
        <f>(K38/Population_Tables!X12)*Population_Tables!L12</f>
        <v>4.3317930575265153</v>
      </c>
      <c r="AK38" s="456">
        <v>2023</v>
      </c>
      <c r="AL38" s="459">
        <f t="shared" si="6"/>
        <v>38.780118514604709</v>
      </c>
      <c r="AM38" s="459">
        <f t="shared" si="3"/>
        <v>10.369542400365953</v>
      </c>
      <c r="AN38" s="459">
        <f t="shared" si="3"/>
        <v>2.0438977119609301</v>
      </c>
      <c r="AO38" s="459">
        <f t="shared" si="3"/>
        <v>14.682312847415725</v>
      </c>
      <c r="AP38" s="459">
        <f t="shared" si="3"/>
        <v>4.5132763329786032</v>
      </c>
      <c r="AQ38" s="459">
        <f t="shared" si="3"/>
        <v>1.7949095206554146</v>
      </c>
      <c r="AR38" s="459">
        <f t="shared" si="3"/>
        <v>9.2311063424138133</v>
      </c>
      <c r="AS38" s="459">
        <f t="shared" si="3"/>
        <v>3.0041337546174596</v>
      </c>
      <c r="AT38" s="459">
        <f t="shared" si="3"/>
        <v>3.9744302573391548</v>
      </c>
      <c r="AU38" s="459">
        <f t="shared" si="3"/>
        <v>4.3317930575265153</v>
      </c>
      <c r="AW38" s="216">
        <f>(B38/Population_Tables!O12)*Population_Tables!C12</f>
        <v>38.780118514604709</v>
      </c>
      <c r="AX38" s="153" t="str">
        <f t="shared" si="7"/>
        <v>OK</v>
      </c>
      <c r="AY38" s="421">
        <f t="shared" si="4"/>
        <v>33.403938813376627</v>
      </c>
      <c r="AZ38" s="153" t="str">
        <f t="shared" si="5"/>
        <v>OK</v>
      </c>
      <c r="BB38" s="216">
        <f>(C38/Population_Tables!P12)*Population_Tables!D12</f>
        <v>10.369542400365953</v>
      </c>
      <c r="BC38" s="216">
        <f>(D38/Population_Tables!Q12)*Population_Tables!E12</f>
        <v>2.0438977119609301</v>
      </c>
      <c r="BD38" s="216">
        <f>(E38/Population_Tables!R12)*Population_Tables!F12</f>
        <v>14.682312847415725</v>
      </c>
      <c r="BE38" s="216">
        <f>(F38/Population_Tables!S12)*Population_Tables!G12</f>
        <v>4.5132763329786032</v>
      </c>
      <c r="BF38" s="216">
        <f>(G38/Population_Tables!T12)*Population_Tables!H12</f>
        <v>1.7949095206554146</v>
      </c>
      <c r="BG38" s="216"/>
      <c r="BN38" s="216"/>
      <c r="BO38" s="216"/>
      <c r="BP38" s="216"/>
    </row>
    <row r="39" spans="1:68" ht="15.6" x14ac:dyDescent="0.3">
      <c r="A39" s="206">
        <v>2024</v>
      </c>
      <c r="B39" s="229">
        <v>39.007555659797788</v>
      </c>
      <c r="C39" s="229">
        <v>10.374284555827133</v>
      </c>
      <c r="D39" s="229">
        <v>2.0432729707072834</v>
      </c>
      <c r="E39" s="229">
        <v>14.731338341767849</v>
      </c>
      <c r="F39" s="229">
        <v>4.5910971455935048</v>
      </c>
      <c r="G39" s="229">
        <v>1.8038064060315966</v>
      </c>
      <c r="H39" s="229">
        <v>9.2367474944350558</v>
      </c>
      <c r="I39" s="229">
        <v>3.0339778861340734</v>
      </c>
      <c r="J39" s="229">
        <v>3.9676934482309991</v>
      </c>
      <c r="K39" s="229">
        <v>4.3404024353714066</v>
      </c>
      <c r="M39" s="206">
        <v>2024</v>
      </c>
      <c r="N39" s="419">
        <f t="shared" si="2"/>
        <v>6.1224046528167397</v>
      </c>
      <c r="O39" s="418">
        <f>(C39/Population_Tables!P13)*Population_Tables!D72</f>
        <v>0</v>
      </c>
      <c r="P39" s="418">
        <f>(D39/Population_Tables!Q13)*Population_Tables!E72</f>
        <v>0</v>
      </c>
      <c r="Q39" s="418">
        <f>((E39-H39)/Population_Tables!R13)*Population_Tables!F72</f>
        <v>2.8997204481641856</v>
      </c>
      <c r="R39" s="418">
        <f>(F39/Population_Tables!S13)*Population_Tables!G72</f>
        <v>2.7265858311697166</v>
      </c>
      <c r="S39" s="418">
        <f>(G39/Population_Tables!T13)*Population_Tables!H72</f>
        <v>0.49609837348283731</v>
      </c>
      <c r="T39" s="418">
        <f>(H39/Population_Tables!U13)*Population_Tables!I72</f>
        <v>0</v>
      </c>
      <c r="U39" s="418">
        <f>(I39/Population_Tables!V13)*Population_Tables!J72</f>
        <v>0</v>
      </c>
      <c r="V39" s="418">
        <f>(J39/Population_Tables!W13)*Population_Tables!K72</f>
        <v>0</v>
      </c>
      <c r="W39" s="418">
        <f>(K39/Population_Tables!X13)*Population_Tables!L72</f>
        <v>0</v>
      </c>
      <c r="Y39" s="456">
        <v>2024</v>
      </c>
      <c r="Z39" s="459">
        <f>((B39/Population_Tables!O13)*Population_Tables!C13)-N39</f>
        <v>33.145451720706056</v>
      </c>
      <c r="AA39" s="459">
        <f>((C39/Population_Tables!P13)*Population_Tables!D13)-O39</f>
        <v>10.43324514528047</v>
      </c>
      <c r="AB39" s="459">
        <f>((D39/Population_Tables!Q13)*Population_Tables!E13)-P39</f>
        <v>2.0552632317626736</v>
      </c>
      <c r="AC39" s="459">
        <f>((E39/Population_Tables!R13)*Population_Tables!F13)-Q39</f>
        <v>11.931549645343406</v>
      </c>
      <c r="AD39" s="459">
        <f>((F39/Population_Tables!S13)*Population_Tables!G13)-R39</f>
        <v>1.8945124177288553</v>
      </c>
      <c r="AE39" s="459">
        <f>((G39/Population_Tables!T13)*Population_Tables!H13)-S39</f>
        <v>1.3224816161927213</v>
      </c>
      <c r="AF39" s="459">
        <f>(H39/Population_Tables!U13)*Population_Tables!I13</f>
        <v>9.2874367965128961</v>
      </c>
      <c r="AG39" s="459">
        <f>(I39/Population_Tables!V13)*Population_Tables!J13</f>
        <v>3.0550961321748664</v>
      </c>
      <c r="AH39" s="459">
        <f>(J39/Population_Tables!W13)*Population_Tables!K13</f>
        <v>3.9893306162411757</v>
      </c>
      <c r="AI39" s="459">
        <f>(K39/Population_Tables!X13)*Population_Tables!L13</f>
        <v>4.3664208912305504</v>
      </c>
      <c r="AK39" s="456">
        <v>2024</v>
      </c>
      <c r="AL39" s="459">
        <f t="shared" si="6"/>
        <v>39.267856373522797</v>
      </c>
      <c r="AM39" s="459">
        <f t="shared" si="3"/>
        <v>10.43324514528047</v>
      </c>
      <c r="AN39" s="459">
        <f t="shared" si="3"/>
        <v>2.0552632317626736</v>
      </c>
      <c r="AO39" s="459">
        <f t="shared" si="3"/>
        <v>14.831270093507591</v>
      </c>
      <c r="AP39" s="459">
        <f t="shared" si="3"/>
        <v>4.6210982488985719</v>
      </c>
      <c r="AQ39" s="459">
        <f t="shared" si="3"/>
        <v>1.8185799896755586</v>
      </c>
      <c r="AR39" s="459">
        <f t="shared" si="3"/>
        <v>9.2874367965128961</v>
      </c>
      <c r="AS39" s="459">
        <f t="shared" si="3"/>
        <v>3.0550961321748664</v>
      </c>
      <c r="AT39" s="459">
        <f t="shared" si="3"/>
        <v>3.9893306162411757</v>
      </c>
      <c r="AU39" s="459">
        <f t="shared" si="3"/>
        <v>4.3664208912305504</v>
      </c>
      <c r="AW39" s="216">
        <f>(B39/Population_Tables!O13)*Population_Tables!C13</f>
        <v>39.267856373522797</v>
      </c>
      <c r="AX39" s="153" t="str">
        <f t="shared" si="7"/>
        <v>OK</v>
      </c>
      <c r="AY39" s="421">
        <f t="shared" si="4"/>
        <v>33.759456709124862</v>
      </c>
      <c r="AZ39" s="153" t="str">
        <f t="shared" si="5"/>
        <v>OK</v>
      </c>
      <c r="BB39" s="216">
        <f>(C39/Population_Tables!P13)*Population_Tables!D13</f>
        <v>10.43324514528047</v>
      </c>
      <c r="BC39" s="216">
        <f>(D39/Population_Tables!Q13)*Population_Tables!E13</f>
        <v>2.0552632317626736</v>
      </c>
      <c r="BD39" s="216">
        <f>(E39/Population_Tables!R13)*Population_Tables!F13</f>
        <v>14.831270093507591</v>
      </c>
      <c r="BE39" s="216">
        <f>(F39/Population_Tables!S13)*Population_Tables!G13</f>
        <v>4.6210982488985719</v>
      </c>
      <c r="BF39" s="216">
        <f>(G39/Population_Tables!T13)*Population_Tables!H13</f>
        <v>1.8185799896755586</v>
      </c>
      <c r="BG39" s="216"/>
      <c r="BN39" s="216"/>
      <c r="BO39" s="216"/>
      <c r="BP39" s="216"/>
    </row>
    <row r="40" spans="1:68" ht="15.6" x14ac:dyDescent="0.3">
      <c r="A40" s="206">
        <v>2025</v>
      </c>
      <c r="B40" s="229">
        <v>39.408249854787357</v>
      </c>
      <c r="C40" s="229">
        <v>10.42060902958394</v>
      </c>
      <c r="D40" s="229">
        <v>2.050577689685146</v>
      </c>
      <c r="E40" s="229">
        <v>14.852143341185304</v>
      </c>
      <c r="F40" s="229">
        <v>4.6906677801744054</v>
      </c>
      <c r="G40" s="229">
        <v>1.8237983687710297</v>
      </c>
      <c r="H40" s="229">
        <v>9.27851887575045</v>
      </c>
      <c r="I40" s="229">
        <v>3.0786621503333889</v>
      </c>
      <c r="J40" s="229">
        <v>3.9756646083862921</v>
      </c>
      <c r="K40" s="229">
        <v>4.3669989504898545</v>
      </c>
      <c r="M40" s="206">
        <v>2025</v>
      </c>
      <c r="N40" s="419">
        <f t="shared" si="2"/>
        <v>6.2644680626132114</v>
      </c>
      <c r="O40" s="418">
        <f>(C40/Population_Tables!P14)*Population_Tables!D73</f>
        <v>0</v>
      </c>
      <c r="P40" s="418">
        <f>(D40/Population_Tables!Q14)*Population_Tables!E73</f>
        <v>0</v>
      </c>
      <c r="Q40" s="418">
        <f>((E40-H40)/Population_Tables!R14)*Population_Tables!F73</f>
        <v>2.9603839132890868</v>
      </c>
      <c r="R40" s="418">
        <f>(F40/Population_Tables!S14)*Population_Tables!G73</f>
        <v>2.799695275030269</v>
      </c>
      <c r="S40" s="418">
        <f>(G40/Population_Tables!T14)*Population_Tables!H73</f>
        <v>0.50438887429385515</v>
      </c>
      <c r="T40" s="418">
        <f>(H40/Population_Tables!U14)*Population_Tables!I73</f>
        <v>0</v>
      </c>
      <c r="U40" s="418">
        <f>(I40/Population_Tables!V14)*Population_Tables!J73</f>
        <v>0</v>
      </c>
      <c r="V40" s="418">
        <f>(J40/Population_Tables!W14)*Population_Tables!K73</f>
        <v>0</v>
      </c>
      <c r="W40" s="418">
        <f>(K40/Population_Tables!X14)*Population_Tables!L73</f>
        <v>0</v>
      </c>
      <c r="Y40" s="456">
        <v>2025</v>
      </c>
      <c r="Z40" s="459">
        <f>((B40/Population_Tables!O14)*Population_Tables!C14)-N40</f>
        <v>33.494709824547179</v>
      </c>
      <c r="AA40" s="459">
        <f>((C40/Population_Tables!P14)*Population_Tables!D14)-O40</f>
        <v>10.499934264157675</v>
      </c>
      <c r="AB40" s="459">
        <f>((D40/Population_Tables!Q14)*Population_Tables!E14)-P40</f>
        <v>2.0664347455390826</v>
      </c>
      <c r="AC40" s="459">
        <f>((E40/Population_Tables!R14)*Population_Tables!F14)-Q40</f>
        <v>12.027079439603517</v>
      </c>
      <c r="AD40" s="459">
        <f>((F40/Population_Tables!S14)*Population_Tables!G14)-R40</f>
        <v>1.9315029237254362</v>
      </c>
      <c r="AE40" s="459">
        <f>((G40/Population_Tables!T14)*Population_Tables!H14)-S40</f>
        <v>1.3390646131079342</v>
      </c>
      <c r="AF40" s="459">
        <f>(H40/Population_Tables!U14)*Population_Tables!I14</f>
        <v>9.3461225675993518</v>
      </c>
      <c r="AG40" s="459">
        <f>(I40/Population_Tables!V14)*Population_Tables!J14</f>
        <v>3.1076003255614415</v>
      </c>
      <c r="AH40" s="459">
        <f>(J40/Population_Tables!W14)*Population_Tables!K14</f>
        <v>4.0045260588429219</v>
      </c>
      <c r="AI40" s="459">
        <f>(K40/Population_Tables!X14)*Population_Tables!L14</f>
        <v>4.4022504410860774</v>
      </c>
      <c r="AK40" s="456">
        <v>2025</v>
      </c>
      <c r="AL40" s="459">
        <f t="shared" si="6"/>
        <v>39.759177887160391</v>
      </c>
      <c r="AM40" s="459">
        <f t="shared" si="3"/>
        <v>10.499934264157675</v>
      </c>
      <c r="AN40" s="459">
        <f t="shared" si="3"/>
        <v>2.0664347455390826</v>
      </c>
      <c r="AO40" s="459">
        <f t="shared" si="3"/>
        <v>14.987463352892604</v>
      </c>
      <c r="AP40" s="459">
        <f t="shared" si="3"/>
        <v>4.7311981987557052</v>
      </c>
      <c r="AQ40" s="459">
        <f t="shared" si="3"/>
        <v>1.8434534874017894</v>
      </c>
      <c r="AR40" s="459">
        <f t="shared" si="3"/>
        <v>9.3461225675993518</v>
      </c>
      <c r="AS40" s="459">
        <f t="shared" si="3"/>
        <v>3.1076003255614415</v>
      </c>
      <c r="AT40" s="459">
        <f t="shared" si="3"/>
        <v>4.0045260588429219</v>
      </c>
      <c r="AU40" s="459">
        <f t="shared" si="3"/>
        <v>4.4022504410860774</v>
      </c>
      <c r="AW40" s="216">
        <f>(B40/Population_Tables!O14)*Population_Tables!C14</f>
        <v>39.759177887160391</v>
      </c>
      <c r="AX40" s="153" t="str">
        <f t="shared" si="7"/>
        <v>OK</v>
      </c>
      <c r="AY40" s="421">
        <f t="shared" si="4"/>
        <v>34.128484048746856</v>
      </c>
      <c r="AZ40" s="153" t="str">
        <f t="shared" si="5"/>
        <v>OK</v>
      </c>
      <c r="BB40" s="216">
        <f>(C40/Population_Tables!P14)*Population_Tables!D14</f>
        <v>10.499934264157675</v>
      </c>
      <c r="BC40" s="216">
        <f>(D40/Population_Tables!Q14)*Population_Tables!E14</f>
        <v>2.0664347455390826</v>
      </c>
      <c r="BD40" s="216">
        <f>(E40/Population_Tables!R14)*Population_Tables!F14</f>
        <v>14.987463352892604</v>
      </c>
      <c r="BE40" s="216">
        <f>(F40/Population_Tables!S14)*Population_Tables!G14</f>
        <v>4.7311981987557052</v>
      </c>
      <c r="BF40" s="216">
        <f>(G40/Population_Tables!T14)*Population_Tables!H14</f>
        <v>1.8434534874017894</v>
      </c>
      <c r="BG40" s="216"/>
      <c r="BN40" s="216"/>
      <c r="BO40" s="216"/>
      <c r="BP40" s="216"/>
    </row>
    <row r="41" spans="1:68" ht="15.6" x14ac:dyDescent="0.3">
      <c r="A41" s="206">
        <v>2026</v>
      </c>
      <c r="B41" s="229">
        <v>39.803067568891755</v>
      </c>
      <c r="C41" s="229">
        <v>10.467893046688559</v>
      </c>
      <c r="D41" s="229">
        <v>2.0574090812794865</v>
      </c>
      <c r="E41" s="229">
        <v>14.976356258086662</v>
      </c>
      <c r="F41" s="229">
        <v>4.7911847377272601</v>
      </c>
      <c r="G41" s="229">
        <v>1.8442989433183621</v>
      </c>
      <c r="H41" s="229">
        <v>9.3210660754279022</v>
      </c>
      <c r="I41" s="229">
        <v>3.1239865770850352</v>
      </c>
      <c r="J41" s="229">
        <v>3.9833178379510703</v>
      </c>
      <c r="K41" s="229">
        <v>4.3938284295285035</v>
      </c>
      <c r="M41" s="206">
        <v>2026</v>
      </c>
      <c r="N41" s="419">
        <f t="shared" si="2"/>
        <v>6.4114601422788224</v>
      </c>
      <c r="O41" s="418">
        <f>(C41/Population_Tables!P15)*Population_Tables!D74</f>
        <v>0</v>
      </c>
      <c r="P41" s="418">
        <f>(D41/Population_Tables!Q15)*Population_Tables!E74</f>
        <v>0</v>
      </c>
      <c r="Q41" s="418">
        <f>((E41-H41)/Population_Tables!R15)*Population_Tables!F74</f>
        <v>3.0237989994558134</v>
      </c>
      <c r="R41" s="418">
        <f>(F41/Population_Tables!S15)*Population_Tables!G74</f>
        <v>2.8746063990479458</v>
      </c>
      <c r="S41" s="418">
        <f>(G41/Population_Tables!T15)*Population_Tables!H74</f>
        <v>0.51305474377506355</v>
      </c>
      <c r="T41" s="418">
        <f>(H41/Population_Tables!U15)*Population_Tables!I74</f>
        <v>0</v>
      </c>
      <c r="U41" s="418">
        <f>(I41/Population_Tables!V15)*Population_Tables!J74</f>
        <v>0</v>
      </c>
      <c r="V41" s="418">
        <f>(J41/Population_Tables!W15)*Population_Tables!K74</f>
        <v>0</v>
      </c>
      <c r="W41" s="418">
        <f>(K41/Population_Tables!X15)*Population_Tables!L74</f>
        <v>0</v>
      </c>
      <c r="Y41" s="456">
        <v>2026</v>
      </c>
      <c r="Z41" s="459">
        <f>((B41/Population_Tables!O15)*Population_Tables!C15)-N41</f>
        <v>33.841986884535636</v>
      </c>
      <c r="AA41" s="459">
        <f>((C41/Population_Tables!P15)*Population_Tables!D15)-O41</f>
        <v>10.569317256979446</v>
      </c>
      <c r="AB41" s="459">
        <f>((D41/Population_Tables!Q15)*Population_Tables!E15)-P41</f>
        <v>2.0774470553148001</v>
      </c>
      <c r="AC41" s="459">
        <f>((E41/Population_Tables!R15)*Population_Tables!F15)-Q41</f>
        <v>12.126392424540487</v>
      </c>
      <c r="AD41" s="459">
        <f>((F41/Population_Tables!S15)*Population_Tables!G15)-R41</f>
        <v>1.9689347071037098</v>
      </c>
      <c r="AE41" s="459">
        <f>((G41/Population_Tables!T15)*Population_Tables!H15)-S41</f>
        <v>1.3564428950528824</v>
      </c>
      <c r="AF41" s="459">
        <f>(H41/Population_Tables!U15)*Population_Tables!I15</f>
        <v>9.4069071295899231</v>
      </c>
      <c r="AG41" s="459">
        <f>(I41/Population_Tables!V15)*Population_Tables!J15</f>
        <v>3.1614804307398998</v>
      </c>
      <c r="AH41" s="459">
        <f>(J41/Population_Tables!W15)*Population_Tables!K15</f>
        <v>4.0199575887633818</v>
      </c>
      <c r="AI41" s="459">
        <f>(K41/Population_Tables!X15)*Population_Tables!L15</f>
        <v>4.4391567182901142</v>
      </c>
      <c r="AK41" s="456">
        <v>2026</v>
      </c>
      <c r="AL41" s="459">
        <f t="shared" si="6"/>
        <v>40.253447026814456</v>
      </c>
      <c r="AM41" s="459">
        <f t="shared" si="3"/>
        <v>10.569317256979446</v>
      </c>
      <c r="AN41" s="459">
        <f t="shared" si="3"/>
        <v>2.0774470553148001</v>
      </c>
      <c r="AO41" s="459">
        <f t="shared" si="3"/>
        <v>15.150191423996301</v>
      </c>
      <c r="AP41" s="459">
        <f t="shared" si="3"/>
        <v>4.8435411061516556</v>
      </c>
      <c r="AQ41" s="459">
        <f t="shared" si="3"/>
        <v>1.8694976388279461</v>
      </c>
      <c r="AR41" s="459">
        <f t="shared" si="3"/>
        <v>9.4069071295899231</v>
      </c>
      <c r="AS41" s="459">
        <f t="shared" si="3"/>
        <v>3.1614804307398998</v>
      </c>
      <c r="AT41" s="459">
        <f t="shared" si="3"/>
        <v>4.0199575887633818</v>
      </c>
      <c r="AU41" s="459">
        <f t="shared" si="3"/>
        <v>4.4391567182901142</v>
      </c>
      <c r="AW41" s="216">
        <f>(B41/Population_Tables!O15)*Population_Tables!C15</f>
        <v>40.253447026814456</v>
      </c>
      <c r="AX41" s="153" t="str">
        <f t="shared" si="7"/>
        <v>OK</v>
      </c>
      <c r="AY41" s="421">
        <f t="shared" si="4"/>
        <v>34.509994481270148</v>
      </c>
      <c r="AZ41" s="153" t="str">
        <f t="shared" si="5"/>
        <v>OK</v>
      </c>
      <c r="BB41" s="216">
        <f>(C41/Population_Tables!P15)*Population_Tables!D15</f>
        <v>10.569317256979446</v>
      </c>
      <c r="BC41" s="216">
        <f>(D41/Population_Tables!Q15)*Population_Tables!E15</f>
        <v>2.0774470553148001</v>
      </c>
      <c r="BD41" s="216">
        <f>(E41/Population_Tables!R15)*Population_Tables!F15</f>
        <v>15.150191423996301</v>
      </c>
      <c r="BE41" s="216">
        <f>(F41/Population_Tables!S15)*Population_Tables!G15</f>
        <v>4.8435411061516556</v>
      </c>
      <c r="BF41" s="216">
        <f>(G41/Population_Tables!T15)*Population_Tables!H15</f>
        <v>1.8694976388279458</v>
      </c>
      <c r="BG41" s="216"/>
      <c r="BN41" s="216"/>
      <c r="BO41" s="216"/>
      <c r="BP41" s="216"/>
    </row>
    <row r="42" spans="1:68" ht="15.6" x14ac:dyDescent="0.3">
      <c r="A42" s="206">
        <v>2027</v>
      </c>
      <c r="B42" s="229">
        <v>40.19200880211099</v>
      </c>
      <c r="C42" s="229">
        <v>10.516032853910897</v>
      </c>
      <c r="D42" s="229">
        <v>2.0637979121835541</v>
      </c>
      <c r="E42" s="229">
        <v>15.103649445232564</v>
      </c>
      <c r="F42" s="229">
        <v>4.8925899065564371</v>
      </c>
      <c r="G42" s="229">
        <v>1.8652613235201185</v>
      </c>
      <c r="H42" s="229">
        <v>9.3642632658681553</v>
      </c>
      <c r="I42" s="229">
        <v>3.1698898127612836</v>
      </c>
      <c r="J42" s="229">
        <v>3.9906586894545391</v>
      </c>
      <c r="K42" s="229">
        <v>4.4208542159502553</v>
      </c>
      <c r="M42" s="206">
        <v>2027</v>
      </c>
      <c r="N42" s="419">
        <f t="shared" si="2"/>
        <v>6.5631487233835077</v>
      </c>
      <c r="O42" s="418">
        <f>(C42/Population_Tables!P16)*Population_Tables!D75</f>
        <v>0</v>
      </c>
      <c r="P42" s="418">
        <f>(D42/Population_Tables!Q16)*Population_Tables!E75</f>
        <v>0</v>
      </c>
      <c r="Q42" s="418">
        <f>((E42-H42)/Population_Tables!R16)*Population_Tables!F75</f>
        <v>3.0898277333087929</v>
      </c>
      <c r="R42" s="418">
        <f>(F42/Population_Tables!S16)*Population_Tables!G75</f>
        <v>2.9512540579248876</v>
      </c>
      <c r="S42" s="418">
        <f>(G42/Population_Tables!T16)*Population_Tables!H75</f>
        <v>0.52206693214982758</v>
      </c>
      <c r="T42" s="418">
        <f>(H42/Population_Tables!U16)*Population_Tables!I75</f>
        <v>0</v>
      </c>
      <c r="U42" s="418">
        <f>(I42/Population_Tables!V16)*Population_Tables!J75</f>
        <v>0</v>
      </c>
      <c r="V42" s="418">
        <f>(J42/Population_Tables!W16)*Population_Tables!K75</f>
        <v>0</v>
      </c>
      <c r="W42" s="418">
        <f>(K42/Population_Tables!X16)*Population_Tables!L75</f>
        <v>0</v>
      </c>
      <c r="Y42" s="456">
        <v>2027</v>
      </c>
      <c r="Z42" s="459">
        <f>((B42/Population_Tables!O16)*Population_Tables!C16)-N42</f>
        <v>34.186913936176659</v>
      </c>
      <c r="AA42" s="459">
        <f>((C42/Population_Tables!P16)*Population_Tables!D16)-O42</f>
        <v>10.641189442208907</v>
      </c>
      <c r="AB42" s="459">
        <f>((D42/Population_Tables!Q16)*Population_Tables!E16)-P42</f>
        <v>2.0883428546014775</v>
      </c>
      <c r="AC42" s="459">
        <f>((E42/Population_Tables!R16)*Population_Tables!F16)-Q42</f>
        <v>12.229117584079994</v>
      </c>
      <c r="AD42" s="459">
        <f>((F42/Population_Tables!S16)*Population_Tables!G16)-R42</f>
        <v>2.0067858238844369</v>
      </c>
      <c r="AE42" s="459">
        <f>((G42/Population_Tables!T16)*Population_Tables!H16)-S42</f>
        <v>1.374514654312216</v>
      </c>
      <c r="AF42" s="459">
        <f>(H42/Population_Tables!U16)*Population_Tables!I16</f>
        <v>9.4696078850899248</v>
      </c>
      <c r="AG42" s="459">
        <f>(I42/Population_Tables!V16)*Population_Tables!J16</f>
        <v>3.2166255769955021</v>
      </c>
      <c r="AH42" s="459">
        <f>(J42/Population_Tables!W16)*Population_Tables!K16</f>
        <v>4.0355939463741963</v>
      </c>
      <c r="AI42" s="459">
        <f>(K42/Population_Tables!X16)*Population_Tables!L16</f>
        <v>4.4770605284750919</v>
      </c>
      <c r="AK42" s="456">
        <v>2027</v>
      </c>
      <c r="AL42" s="459">
        <f t="shared" si="6"/>
        <v>40.750062659560164</v>
      </c>
      <c r="AM42" s="459">
        <f t="shared" si="3"/>
        <v>10.641189442208907</v>
      </c>
      <c r="AN42" s="459">
        <f t="shared" si="3"/>
        <v>2.0883428546014775</v>
      </c>
      <c r="AO42" s="459">
        <f t="shared" si="3"/>
        <v>15.318945317388787</v>
      </c>
      <c r="AP42" s="459">
        <f t="shared" si="3"/>
        <v>4.9580398818093245</v>
      </c>
      <c r="AQ42" s="459">
        <f t="shared" si="3"/>
        <v>1.8965815864620437</v>
      </c>
      <c r="AR42" s="459">
        <f t="shared" si="3"/>
        <v>9.4696078850899248</v>
      </c>
      <c r="AS42" s="459">
        <f t="shared" si="3"/>
        <v>3.2166255769955021</v>
      </c>
      <c r="AT42" s="459">
        <f t="shared" si="3"/>
        <v>4.0355939463741963</v>
      </c>
      <c r="AU42" s="459">
        <f t="shared" si="3"/>
        <v>4.4770605284750919</v>
      </c>
      <c r="AW42" s="216">
        <f>(B42/Population_Tables!O16)*Population_Tables!C16</f>
        <v>40.750062659560164</v>
      </c>
      <c r="AX42" s="153" t="str">
        <f t="shared" si="7"/>
        <v>OK</v>
      </c>
      <c r="AY42" s="421">
        <f t="shared" si="4"/>
        <v>34.90309908247054</v>
      </c>
      <c r="AZ42" s="153" t="str">
        <f t="shared" si="5"/>
        <v>OK</v>
      </c>
      <c r="BB42" s="216">
        <f>(C42/Population_Tables!P16)*Population_Tables!D16</f>
        <v>10.641189442208907</v>
      </c>
      <c r="BC42" s="216">
        <f>(D42/Population_Tables!Q16)*Population_Tables!E16</f>
        <v>2.0883428546014775</v>
      </c>
      <c r="BD42" s="216">
        <f>(E42/Population_Tables!R16)*Population_Tables!F16</f>
        <v>15.318945317388787</v>
      </c>
      <c r="BE42" s="216">
        <f>(F42/Population_Tables!S16)*Population_Tables!G16</f>
        <v>4.9580398818093245</v>
      </c>
      <c r="BF42" s="216">
        <f>(G42/Population_Tables!T16)*Population_Tables!H16</f>
        <v>1.8965815864620434</v>
      </c>
      <c r="BG42" s="216"/>
      <c r="BN42" s="216"/>
      <c r="BO42" s="216"/>
      <c r="BP42" s="216"/>
    </row>
    <row r="43" spans="1:68" ht="15.6" x14ac:dyDescent="0.3">
      <c r="A43" s="206">
        <v>2028</v>
      </c>
      <c r="B43" s="229">
        <v>40.575073554445048</v>
      </c>
      <c r="C43" s="229">
        <v>10.564924698020857</v>
      </c>
      <c r="D43" s="229">
        <v>2.0697749490905979</v>
      </c>
      <c r="E43" s="229">
        <v>15.233695255383656</v>
      </c>
      <c r="F43" s="229">
        <v>4.9948251749663086</v>
      </c>
      <c r="G43" s="229">
        <v>1.8866387032228245</v>
      </c>
      <c r="H43" s="229">
        <v>9.4079846194719448</v>
      </c>
      <c r="I43" s="229">
        <v>3.2163105037344053</v>
      </c>
      <c r="J43" s="229">
        <v>3.9976927154259023</v>
      </c>
      <c r="K43" s="229">
        <v>4.4480396532180091</v>
      </c>
      <c r="M43" s="206">
        <v>2028</v>
      </c>
      <c r="N43" s="419">
        <f t="shared" si="2"/>
        <v>6.7193966966285537</v>
      </c>
      <c r="O43" s="418">
        <f>(C43/Population_Tables!P17)*Population_Tables!D76</f>
        <v>0</v>
      </c>
      <c r="P43" s="418">
        <f>(D43/Population_Tables!Q17)*Population_Tables!E76</f>
        <v>0</v>
      </c>
      <c r="Q43" s="418">
        <f>((E43-H43)/Population_Tables!R17)*Population_Tables!F76</f>
        <v>3.1583867830503611</v>
      </c>
      <c r="R43" s="418">
        <f>(F43/Population_Tables!S17)*Population_Tables!G76</f>
        <v>3.0295963290530072</v>
      </c>
      <c r="S43" s="418">
        <f>(G43/Population_Tables!T17)*Population_Tables!H76</f>
        <v>0.53141358452518506</v>
      </c>
      <c r="T43" s="418">
        <f>(H43/Population_Tables!U17)*Population_Tables!I76</f>
        <v>0</v>
      </c>
      <c r="U43" s="418">
        <f>(I43/Population_Tables!V17)*Population_Tables!J76</f>
        <v>0</v>
      </c>
      <c r="V43" s="418">
        <f>(J43/Population_Tables!W17)*Population_Tables!K76</f>
        <v>0</v>
      </c>
      <c r="W43" s="418">
        <f>(K43/Population_Tables!X17)*Population_Tables!L76</f>
        <v>0</v>
      </c>
      <c r="Y43" s="456">
        <v>2028</v>
      </c>
      <c r="Z43" s="459">
        <f>((B43/Population_Tables!O17)*Population_Tables!C17)-N43</f>
        <v>34.529453685455778</v>
      </c>
      <c r="AA43" s="459">
        <f>((C43/Population_Tables!P17)*Population_Tables!D17)-O43</f>
        <v>10.71542687082853</v>
      </c>
      <c r="AB43" s="459">
        <f>((D43/Population_Tables!Q17)*Population_Tables!E17)-P43</f>
        <v>2.0991418507077739</v>
      </c>
      <c r="AC43" s="459">
        <f>((E43/Population_Tables!R17)*Population_Tables!F17)-Q43</f>
        <v>12.33503073948228</v>
      </c>
      <c r="AD43" s="459">
        <f>((F43/Population_Tables!S17)*Population_Tables!G17)-R43</f>
        <v>2.0450338190429531</v>
      </c>
      <c r="AE43" s="459">
        <f>((G43/Population_Tables!T17)*Population_Tables!H17)-S43</f>
        <v>1.3932113861779005</v>
      </c>
      <c r="AF43" s="459">
        <f>(H43/Population_Tables!U17)*Population_Tables!I17</f>
        <v>9.5341061496374166</v>
      </c>
      <c r="AG43" s="459">
        <f>(I43/Population_Tables!V17)*Population_Tables!J17</f>
        <v>3.2729956597136112</v>
      </c>
      <c r="AH43" s="459">
        <f>(J43/Population_Tables!W17)*Population_Tables!K17</f>
        <v>4.0514309625982294</v>
      </c>
      <c r="AI43" s="459">
        <f>(K43/Population_Tables!X17)*Population_Tables!L17</f>
        <v>4.5159214482828309</v>
      </c>
      <c r="AK43" s="456">
        <v>2028</v>
      </c>
      <c r="AL43" s="459">
        <f t="shared" si="6"/>
        <v>41.248850382084328</v>
      </c>
      <c r="AM43" s="459">
        <f t="shared" si="3"/>
        <v>10.71542687082853</v>
      </c>
      <c r="AN43" s="459">
        <f t="shared" si="3"/>
        <v>2.0991418507077739</v>
      </c>
      <c r="AO43" s="459">
        <f t="shared" si="3"/>
        <v>15.49341752253264</v>
      </c>
      <c r="AP43" s="459">
        <f t="shared" si="3"/>
        <v>5.0746301480959604</v>
      </c>
      <c r="AQ43" s="459">
        <f t="shared" si="3"/>
        <v>1.9246249707030856</v>
      </c>
      <c r="AR43" s="459">
        <f t="shared" si="3"/>
        <v>9.5341061496374166</v>
      </c>
      <c r="AS43" s="459">
        <f t="shared" si="3"/>
        <v>3.2729956597136112</v>
      </c>
      <c r="AT43" s="459">
        <f t="shared" si="3"/>
        <v>4.0514309625982294</v>
      </c>
      <c r="AU43" s="459">
        <f t="shared" si="3"/>
        <v>4.5159214482828309</v>
      </c>
      <c r="AW43" s="216">
        <f>(B43/Population_Tables!O17)*Population_Tables!C17</f>
        <v>41.248850382084328</v>
      </c>
      <c r="AX43" s="153" t="str">
        <f t="shared" si="7"/>
        <v>OK</v>
      </c>
      <c r="AY43" s="421">
        <f t="shared" si="4"/>
        <v>35.307241362867991</v>
      </c>
      <c r="AZ43" s="153" t="str">
        <f t="shared" si="5"/>
        <v>OK</v>
      </c>
      <c r="BB43" s="216">
        <f>(C43/Population_Tables!P17)*Population_Tables!D17</f>
        <v>10.71542687082853</v>
      </c>
      <c r="BC43" s="216">
        <f>(D43/Population_Tables!Q17)*Population_Tables!E17</f>
        <v>2.0991418507077739</v>
      </c>
      <c r="BD43" s="216">
        <f>(E43/Population_Tables!R17)*Population_Tables!F17</f>
        <v>15.49341752253264</v>
      </c>
      <c r="BE43" s="216">
        <f>(F43/Population_Tables!S17)*Population_Tables!G17</f>
        <v>5.0746301480959604</v>
      </c>
      <c r="BF43" s="216">
        <f>(G43/Population_Tables!T17)*Population_Tables!H17</f>
        <v>1.9246249707030856</v>
      </c>
      <c r="BG43" s="216"/>
      <c r="BN43" s="216"/>
      <c r="BO43" s="216"/>
      <c r="BP43" s="216"/>
    </row>
    <row r="44" spans="1:68" ht="15.6" x14ac:dyDescent="0.3">
      <c r="A44" s="206">
        <v>2029</v>
      </c>
      <c r="B44" s="229">
        <v>40.952261825893942</v>
      </c>
      <c r="C44" s="229">
        <v>10.614464825788344</v>
      </c>
      <c r="D44" s="229">
        <v>2.0753709586938678</v>
      </c>
      <c r="E44" s="229">
        <v>15.366166041300581</v>
      </c>
      <c r="F44" s="229">
        <v>5.0978324312612457</v>
      </c>
      <c r="G44" s="229">
        <v>1.9083842762730048</v>
      </c>
      <c r="H44" s="229">
        <v>9.4521043086400098</v>
      </c>
      <c r="I44" s="229">
        <v>3.263187296376671</v>
      </c>
      <c r="J44" s="229">
        <v>4.0044254683943645</v>
      </c>
      <c r="K44" s="229">
        <v>4.4753480847946649</v>
      </c>
      <c r="M44" s="206">
        <v>2029</v>
      </c>
      <c r="N44" s="419">
        <f t="shared" si="2"/>
        <v>6.8800994290441144</v>
      </c>
      <c r="O44" s="418">
        <f>(C44/Population_Tables!P18)*Population_Tables!D77</f>
        <v>0</v>
      </c>
      <c r="P44" s="418">
        <f>(D44/Population_Tables!Q18)*Population_Tables!E77</f>
        <v>0</v>
      </c>
      <c r="Q44" s="418">
        <f>((E44-H44)/Population_Tables!R18)*Population_Tables!F77</f>
        <v>3.2294312464550297</v>
      </c>
      <c r="R44" s="418">
        <f>(F44/Population_Tables!S18)*Population_Tables!G77</f>
        <v>3.109589064332579</v>
      </c>
      <c r="S44" s="418">
        <f>(G44/Population_Tables!T18)*Population_Tables!H77</f>
        <v>0.54107911825650556</v>
      </c>
      <c r="T44" s="418">
        <f>(H44/Population_Tables!U18)*Population_Tables!I77</f>
        <v>0</v>
      </c>
      <c r="U44" s="418">
        <f>(I44/Population_Tables!V18)*Population_Tables!J77</f>
        <v>0</v>
      </c>
      <c r="V44" s="418">
        <f>(J44/Population_Tables!W18)*Population_Tables!K77</f>
        <v>0</v>
      </c>
      <c r="W44" s="418">
        <f>(K44/Population_Tables!X18)*Population_Tables!L77</f>
        <v>0</v>
      </c>
      <c r="Y44" s="456">
        <v>2029</v>
      </c>
      <c r="Z44" s="459">
        <f>((B44/Population_Tables!O18)*Population_Tables!C18)-N44</f>
        <v>34.869670017166641</v>
      </c>
      <c r="AA44" s="459">
        <f>((C44/Population_Tables!P18)*Population_Tables!D18)-O44</f>
        <v>10.791959074691663</v>
      </c>
      <c r="AB44" s="459">
        <f>((D44/Population_Tables!Q18)*Population_Tables!E18)-P44</f>
        <v>2.109858401277843</v>
      </c>
      <c r="AC44" s="459">
        <f>((E44/Population_Tables!R18)*Population_Tables!F18)-Q44</f>
        <v>12.444005268375371</v>
      </c>
      <c r="AD44" s="459">
        <f>((F44/Population_Tables!S18)*Population_Tables!G18)-R44</f>
        <v>2.0836429536879608</v>
      </c>
      <c r="AE44" s="459">
        <f>((G44/Population_Tables!T18)*Population_Tables!H18)-S44</f>
        <v>1.4124443210389546</v>
      </c>
      <c r="AF44" s="459">
        <f>(H44/Population_Tables!U18)*Population_Tables!I18</f>
        <v>9.6003311999857264</v>
      </c>
      <c r="AG44" s="459">
        <f>(I44/Population_Tables!V18)*Population_Tables!J18</f>
        <v>3.3305942939595354</v>
      </c>
      <c r="AH44" s="459">
        <f>(J44/Population_Tables!W18)*Population_Tables!K18</f>
        <v>4.0674803606880294</v>
      </c>
      <c r="AI44" s="459">
        <f>(K44/Population_Tables!X18)*Population_Tables!L18</f>
        <v>4.5557274989637282</v>
      </c>
      <c r="AK44" s="456">
        <v>2029</v>
      </c>
      <c r="AL44" s="459">
        <f t="shared" si="6"/>
        <v>41.749769446210756</v>
      </c>
      <c r="AM44" s="459">
        <f t="shared" si="3"/>
        <v>10.791959074691663</v>
      </c>
      <c r="AN44" s="459">
        <f t="shared" si="3"/>
        <v>2.109858401277843</v>
      </c>
      <c r="AO44" s="459">
        <f t="shared" si="3"/>
        <v>15.673436514830399</v>
      </c>
      <c r="AP44" s="459">
        <f t="shared" si="3"/>
        <v>5.1932320180205398</v>
      </c>
      <c r="AQ44" s="459">
        <f t="shared" si="3"/>
        <v>1.9535234392954601</v>
      </c>
      <c r="AR44" s="459">
        <f t="shared" si="3"/>
        <v>9.6003311999857264</v>
      </c>
      <c r="AS44" s="459">
        <f t="shared" si="3"/>
        <v>3.3305942939595354</v>
      </c>
      <c r="AT44" s="459">
        <f t="shared" si="3"/>
        <v>4.0674803606880294</v>
      </c>
      <c r="AU44" s="459">
        <f t="shared" si="3"/>
        <v>4.5557274989637282</v>
      </c>
      <c r="AW44" s="216">
        <f>(B44/Population_Tables!O18)*Population_Tables!C18</f>
        <v>41.749769446210756</v>
      </c>
      <c r="AX44" s="153" t="str">
        <f t="shared" si="7"/>
        <v>OK</v>
      </c>
      <c r="AY44" s="421">
        <f t="shared" si="4"/>
        <v>35.722009448115905</v>
      </c>
      <c r="AZ44" s="153" t="str">
        <f t="shared" si="5"/>
        <v>OK</v>
      </c>
      <c r="BB44" s="216">
        <f>(C44/Population_Tables!P18)*Population_Tables!D18</f>
        <v>10.791959074691663</v>
      </c>
      <c r="BC44" s="216">
        <f>(D44/Population_Tables!Q18)*Population_Tables!E18</f>
        <v>2.109858401277843</v>
      </c>
      <c r="BD44" s="216">
        <f>(E44/Population_Tables!R18)*Population_Tables!F18</f>
        <v>15.673436514830399</v>
      </c>
      <c r="BE44" s="216">
        <f>(F44/Population_Tables!S18)*Population_Tables!G18</f>
        <v>5.1932320180205398</v>
      </c>
      <c r="BF44" s="216">
        <f>(G44/Population_Tables!T18)*Population_Tables!H18</f>
        <v>1.9535234392954601</v>
      </c>
      <c r="BG44" s="216"/>
      <c r="BN44" s="216"/>
      <c r="BO44" s="216"/>
      <c r="BP44" s="216"/>
    </row>
    <row r="45" spans="1:68" ht="15.6" x14ac:dyDescent="0.3">
      <c r="A45" s="206">
        <v>2030</v>
      </c>
      <c r="B45" s="229">
        <v>41.323573616457665</v>
      </c>
      <c r="C45" s="229">
        <v>10.664549483983265</v>
      </c>
      <c r="D45" s="229">
        <v>2.0806167076866129</v>
      </c>
      <c r="E45" s="229">
        <v>15.500734155743979</v>
      </c>
      <c r="F45" s="229">
        <v>5.2015535637456178</v>
      </c>
      <c r="G45" s="229">
        <v>1.9304512365171846</v>
      </c>
      <c r="H45" s="229">
        <v>9.4964965057730915</v>
      </c>
      <c r="I45" s="229">
        <v>3.3104588370603532</v>
      </c>
      <c r="J45" s="229">
        <v>4.0108625008891305</v>
      </c>
      <c r="K45" s="229">
        <v>4.5027428541431256</v>
      </c>
      <c r="M45" s="206">
        <v>2030</v>
      </c>
      <c r="N45" s="419">
        <f t="shared" si="2"/>
        <v>7.0451540090065032</v>
      </c>
      <c r="O45" s="418">
        <f>(C45/Population_Tables!P19)*Population_Tables!D78</f>
        <v>0</v>
      </c>
      <c r="P45" s="418">
        <f>(D45/Population_Tables!Q19)*Population_Tables!E78</f>
        <v>0</v>
      </c>
      <c r="Q45" s="418">
        <f>((E45-H45)/Population_Tables!R19)*Population_Tables!F78</f>
        <v>3.3029119614411582</v>
      </c>
      <c r="R45" s="418">
        <f>(F45/Population_Tables!S19)*Population_Tables!G78</f>
        <v>3.1911922767168126</v>
      </c>
      <c r="S45" s="418">
        <f>(G45/Population_Tables!T19)*Population_Tables!H78</f>
        <v>0.55104977084853235</v>
      </c>
      <c r="T45" s="418">
        <f>(H45/Population_Tables!U19)*Population_Tables!I78</f>
        <v>0</v>
      </c>
      <c r="U45" s="418">
        <f>(I45/Population_Tables!V19)*Population_Tables!J78</f>
        <v>0</v>
      </c>
      <c r="V45" s="418">
        <f>(J45/Population_Tables!W19)*Population_Tables!K78</f>
        <v>0</v>
      </c>
      <c r="W45" s="418">
        <f>(K45/Population_Tables!X19)*Population_Tables!L78</f>
        <v>0</v>
      </c>
      <c r="Y45" s="456">
        <v>2030</v>
      </c>
      <c r="Z45" s="459">
        <f>((B45/Population_Tables!O19)*Population_Tables!C19)-N45</f>
        <v>35.207651689730064</v>
      </c>
      <c r="AA45" s="459">
        <f>((C45/Population_Tables!P19)*Population_Tables!D19)-O45</f>
        <v>10.870708263775121</v>
      </c>
      <c r="AB45" s="459">
        <f>((D45/Population_Tables!Q19)*Population_Tables!E19)-P45</f>
        <v>2.1205129737968891</v>
      </c>
      <c r="AC45" s="459">
        <f>((E45/Population_Tables!R19)*Population_Tables!F19)-Q45</f>
        <v>12.555904160471197</v>
      </c>
      <c r="AD45" s="459">
        <f>((F45/Population_Tables!S19)*Population_Tables!G19)-R45</f>
        <v>2.1225859777663394</v>
      </c>
      <c r="AE45" s="459">
        <f>((G45/Population_Tables!T19)*Population_Tables!H19)-S45</f>
        <v>1.4321360532673508</v>
      </c>
      <c r="AF45" s="459">
        <f>(H45/Population_Tables!U19)*Population_Tables!I19</f>
        <v>9.6682054379885045</v>
      </c>
      <c r="AG45" s="459">
        <f>(I45/Population_Tables!V19)*Population_Tables!J19</f>
        <v>3.3894208440144946</v>
      </c>
      <c r="AH45" s="459">
        <f>(J45/Population_Tables!W19)*Population_Tables!K19</f>
        <v>4.0837539928322091</v>
      </c>
      <c r="AI45" s="459">
        <f>(K45/Population_Tables!X19)*Population_Tables!L19</f>
        <v>4.5964596105878863</v>
      </c>
      <c r="AK45" s="456">
        <v>2030</v>
      </c>
      <c r="AL45" s="459">
        <f t="shared" si="6"/>
        <v>42.252805698736566</v>
      </c>
      <c r="AM45" s="459">
        <f t="shared" si="6"/>
        <v>10.870708263775121</v>
      </c>
      <c r="AN45" s="459">
        <f t="shared" si="6"/>
        <v>2.1205129737968891</v>
      </c>
      <c r="AO45" s="459">
        <f t="shared" si="6"/>
        <v>15.858816121912355</v>
      </c>
      <c r="AP45" s="459">
        <f t="shared" si="6"/>
        <v>5.313778254483152</v>
      </c>
      <c r="AQ45" s="459">
        <f t="shared" si="6"/>
        <v>1.9831858241158833</v>
      </c>
      <c r="AR45" s="459">
        <f t="shared" si="6"/>
        <v>9.6682054379885045</v>
      </c>
      <c r="AS45" s="459">
        <f t="shared" si="6"/>
        <v>3.3894208440144946</v>
      </c>
      <c r="AT45" s="459">
        <f t="shared" si="6"/>
        <v>4.0837539928322091</v>
      </c>
      <c r="AU45" s="459">
        <f t="shared" si="6"/>
        <v>4.5964596105878863</v>
      </c>
      <c r="AW45" s="216">
        <f>(B45/Population_Tables!O19)*Population_Tables!C19</f>
        <v>42.252805698736566</v>
      </c>
      <c r="AX45" s="153" t="str">
        <f t="shared" si="7"/>
        <v>OK</v>
      </c>
      <c r="AY45" s="421">
        <f t="shared" si="4"/>
        <v>36.1470014380834</v>
      </c>
      <c r="AZ45" s="153" t="str">
        <f t="shared" si="5"/>
        <v>OK</v>
      </c>
      <c r="BB45" s="216">
        <f>(C45/Population_Tables!P19)*Population_Tables!D19</f>
        <v>10.870708263775121</v>
      </c>
      <c r="BC45" s="216">
        <f>(D45/Population_Tables!Q19)*Population_Tables!E19</f>
        <v>2.1205129737968891</v>
      </c>
      <c r="BD45" s="216">
        <f>(E45/Population_Tables!R19)*Population_Tables!F19</f>
        <v>15.858816121912355</v>
      </c>
      <c r="BE45" s="216">
        <f>(F45/Population_Tables!S19)*Population_Tables!G19</f>
        <v>5.313778254483152</v>
      </c>
      <c r="BF45" s="216">
        <f>(G45/Population_Tables!T19)*Population_Tables!H19</f>
        <v>1.9831858241158831</v>
      </c>
      <c r="BG45" s="216"/>
      <c r="BN45" s="216"/>
      <c r="BO45" s="216"/>
      <c r="BP45" s="216"/>
    </row>
    <row r="46" spans="1:68" ht="15.6" x14ac:dyDescent="0.3">
      <c r="A46" s="206">
        <v>2031</v>
      </c>
      <c r="B46" s="229">
        <v>41.689008926136225</v>
      </c>
      <c r="C46" s="229">
        <v>10.715074919375525</v>
      </c>
      <c r="D46" s="229">
        <v>2.0855429627620823</v>
      </c>
      <c r="E46" s="229">
        <v>15.637071951474496</v>
      </c>
      <c r="F46" s="229">
        <v>5.3059304607237952</v>
      </c>
      <c r="G46" s="229">
        <v>1.9527927778018892</v>
      </c>
      <c r="H46" s="229">
        <v>9.5410353832719252</v>
      </c>
      <c r="I46" s="229">
        <v>3.3580637721577222</v>
      </c>
      <c r="J46" s="229">
        <v>4.0170093654394057</v>
      </c>
      <c r="K46" s="229">
        <v>4.5301873047262884</v>
      </c>
      <c r="M46" s="206">
        <v>2031</v>
      </c>
      <c r="N46" s="419">
        <f t="shared" si="2"/>
        <v>7.2144057434857096</v>
      </c>
      <c r="O46" s="418">
        <f>(C46/Population_Tables!P20)*Population_Tables!D79</f>
        <v>0</v>
      </c>
      <c r="P46" s="418">
        <f>(D46/Population_Tables!Q20)*Population_Tables!E79</f>
        <v>0</v>
      </c>
      <c r="Q46" s="418">
        <f>((E46-H46)/Population_Tables!R20)*Population_Tables!F79</f>
        <v>3.3787214412535347</v>
      </c>
      <c r="R46" s="418">
        <f>(F46/Population_Tables!S20)*Population_Tables!G79</f>
        <v>3.2743668013348675</v>
      </c>
      <c r="S46" s="418">
        <f>(G46/Population_Tables!T20)*Population_Tables!H79</f>
        <v>0.56131750089730725</v>
      </c>
      <c r="T46" s="418">
        <f>(H46/Population_Tables!U20)*Population_Tables!I79</f>
        <v>0</v>
      </c>
      <c r="U46" s="418">
        <f>(I46/Population_Tables!V20)*Population_Tables!J79</f>
        <v>0</v>
      </c>
      <c r="V46" s="418">
        <f>(J46/Population_Tables!W20)*Population_Tables!K79</f>
        <v>0</v>
      </c>
      <c r="W46" s="418">
        <f>(K46/Population_Tables!X20)*Population_Tables!L79</f>
        <v>0</v>
      </c>
      <c r="Y46" s="456">
        <v>2031</v>
      </c>
      <c r="Z46" s="459">
        <f>((B46/Population_Tables!O20)*Population_Tables!C20)-N46</f>
        <v>35.54334546645984</v>
      </c>
      <c r="AA46" s="459">
        <f>((C46/Population_Tables!P20)*Population_Tables!D20)-O46</f>
        <v>10.951512305838145</v>
      </c>
      <c r="AB46" s="459">
        <f>((D46/Population_Tables!Q20)*Population_Tables!E20)-P46</f>
        <v>2.1311328553902458</v>
      </c>
      <c r="AC46" s="459">
        <f>((E46/Population_Tables!R20)*Population_Tables!F20)-Q46</f>
        <v>12.670447044794088</v>
      </c>
      <c r="AD46" s="459">
        <f>((F46/Population_Tables!S20)*Population_Tables!G20)-R46</f>
        <v>2.1618577261045768</v>
      </c>
      <c r="AE46" s="459">
        <f>((G46/Population_Tables!T20)*Population_Tables!H20)-S46</f>
        <v>1.4522459007746631</v>
      </c>
      <c r="AF46" s="459">
        <f>(H46/Population_Tables!U20)*Population_Tables!I20</f>
        <v>9.7375837708322255</v>
      </c>
      <c r="AG46" s="459">
        <f>(I46/Population_Tables!V20)*Population_Tables!J20</f>
        <v>3.4494001160617849</v>
      </c>
      <c r="AH46" s="459">
        <f>(J46/Population_Tables!W20)*Population_Tables!K20</f>
        <v>4.100237007912054</v>
      </c>
      <c r="AI46" s="459">
        <f>(K46/Population_Tables!X20)*Population_Tables!L20</f>
        <v>4.6380537185925252</v>
      </c>
      <c r="AK46" s="456">
        <v>2031</v>
      </c>
      <c r="AL46" s="459">
        <f t="shared" si="6"/>
        <v>42.757751209945553</v>
      </c>
      <c r="AM46" s="459">
        <f t="shared" si="6"/>
        <v>10.951512305838145</v>
      </c>
      <c r="AN46" s="459">
        <f t="shared" si="6"/>
        <v>2.1311328553902458</v>
      </c>
      <c r="AO46" s="459">
        <f t="shared" si="6"/>
        <v>16.049168486047623</v>
      </c>
      <c r="AP46" s="459">
        <f t="shared" si="6"/>
        <v>5.4362245274394443</v>
      </c>
      <c r="AQ46" s="459">
        <f t="shared" si="6"/>
        <v>2.0135634016719703</v>
      </c>
      <c r="AR46" s="459">
        <f t="shared" si="6"/>
        <v>9.7375837708322255</v>
      </c>
      <c r="AS46" s="459">
        <f t="shared" si="6"/>
        <v>3.4494001160617849</v>
      </c>
      <c r="AT46" s="459">
        <f t="shared" si="6"/>
        <v>4.100237007912054</v>
      </c>
      <c r="AU46" s="459">
        <f t="shared" si="6"/>
        <v>4.6380537185925252</v>
      </c>
      <c r="AW46" s="216">
        <f>(B46/Population_Tables!O20)*Population_Tables!C20</f>
        <v>42.757751209945553</v>
      </c>
      <c r="AX46" s="153" t="str">
        <f t="shared" si="7"/>
        <v>OK</v>
      </c>
      <c r="AY46" s="421">
        <f t="shared" si="4"/>
        <v>36.581601576387435</v>
      </c>
      <c r="AZ46" s="153" t="str">
        <f t="shared" si="5"/>
        <v>OK</v>
      </c>
      <c r="BB46" s="216">
        <f>(C46/Population_Tables!P20)*Population_Tables!D20</f>
        <v>10.951512305838145</v>
      </c>
      <c r="BC46" s="216">
        <f>(D46/Population_Tables!Q20)*Population_Tables!E20</f>
        <v>2.1311328553902458</v>
      </c>
      <c r="BD46" s="216">
        <f>(E46/Population_Tables!R20)*Population_Tables!F20</f>
        <v>16.049168486047623</v>
      </c>
      <c r="BE46" s="216">
        <f>(F46/Population_Tables!S20)*Population_Tables!G20</f>
        <v>5.4362245274394443</v>
      </c>
      <c r="BF46" s="216">
        <f>(G46/Population_Tables!T20)*Population_Tables!H20</f>
        <v>2.0135634016719703</v>
      </c>
      <c r="BG46" s="216"/>
      <c r="BN46" s="216"/>
      <c r="BO46" s="216"/>
      <c r="BP46" s="216"/>
    </row>
    <row r="47" spans="1:68" ht="15.6" x14ac:dyDescent="0.3">
      <c r="A47" s="206">
        <v>2032</v>
      </c>
      <c r="B47" s="229">
        <v>42.048567754929614</v>
      </c>
      <c r="C47" s="229">
        <v>10.765937378735027</v>
      </c>
      <c r="D47" s="229">
        <v>2.090180490613526</v>
      </c>
      <c r="E47" s="229">
        <v>15.774851781252773</v>
      </c>
      <c r="F47" s="229">
        <v>5.4109050105001488</v>
      </c>
      <c r="G47" s="229">
        <v>1.9753620939736434</v>
      </c>
      <c r="H47" s="229">
        <v>9.5855951135372504</v>
      </c>
      <c r="I47" s="229">
        <v>3.4059407480410493</v>
      </c>
      <c r="J47" s="229">
        <v>4.0228716145743935</v>
      </c>
      <c r="K47" s="229">
        <v>4.5576447800070561</v>
      </c>
      <c r="M47" s="206">
        <v>2032</v>
      </c>
      <c r="N47" s="419">
        <f t="shared" si="2"/>
        <v>7.3875247525828591</v>
      </c>
      <c r="O47" s="418">
        <f>(C47/Population_Tables!P21)*Population_Tables!D80</f>
        <v>0</v>
      </c>
      <c r="P47" s="418">
        <f>(D47/Population_Tables!Q21)*Population_Tables!E80</f>
        <v>0</v>
      </c>
      <c r="Q47" s="418">
        <f>((E47-H47)/Population_Tables!R21)*Population_Tables!F80</f>
        <v>3.4566579291473949</v>
      </c>
      <c r="R47" s="418">
        <f>(F47/Population_Tables!S21)*Population_Tables!G80</f>
        <v>3.3590053943357243</v>
      </c>
      <c r="S47" s="418">
        <f>(G47/Population_Tables!T21)*Population_Tables!H80</f>
        <v>0.57186142909973958</v>
      </c>
      <c r="T47" s="418">
        <f>(H47/Population_Tables!U21)*Population_Tables!I80</f>
        <v>0</v>
      </c>
      <c r="U47" s="418">
        <f>(I47/Population_Tables!V21)*Population_Tables!J80</f>
        <v>0</v>
      </c>
      <c r="V47" s="418">
        <f>(J47/Population_Tables!W21)*Population_Tables!K80</f>
        <v>0</v>
      </c>
      <c r="W47" s="418">
        <f>(K47/Population_Tables!X21)*Population_Tables!L80</f>
        <v>0</v>
      </c>
      <c r="Y47" s="456">
        <v>2032</v>
      </c>
      <c r="Z47" s="459">
        <f>((B47/Population_Tables!O21)*Population_Tables!C21)-N47</f>
        <v>35.87621521298027</v>
      </c>
      <c r="AA47" s="459">
        <f>((C47/Population_Tables!P21)*Population_Tables!D21)-O47</f>
        <v>11.034056844566672</v>
      </c>
      <c r="AB47" s="459">
        <f>((D47/Population_Tables!Q21)*Population_Tables!E21)-P47</f>
        <v>2.1417287916924206</v>
      </c>
      <c r="AC47" s="459">
        <f>((E47/Population_Tables!R21)*Population_Tables!F21)-Q47</f>
        <v>12.787148194422199</v>
      </c>
      <c r="AD47" s="459">
        <f>((F47/Population_Tables!S21)*Population_Tables!G21)-R47</f>
        <v>2.2014428904222005</v>
      </c>
      <c r="AE47" s="459">
        <f>((G47/Population_Tables!T21)*Population_Tables!H21)-S47</f>
        <v>1.4727358388837142</v>
      </c>
      <c r="AF47" s="459">
        <f>(H47/Population_Tables!U21)*Population_Tables!I21</f>
        <v>9.8081966028294705</v>
      </c>
      <c r="AG47" s="459">
        <f>(I47/Population_Tables!V21)*Population_Tables!J21</f>
        <v>3.510370300627244</v>
      </c>
      <c r="AH47" s="459">
        <f>(J47/Population_Tables!W21)*Population_Tables!K21</f>
        <v>4.1168670329233388</v>
      </c>
      <c r="AI47" s="459">
        <f>(K47/Population_Tables!X21)*Population_Tables!L21</f>
        <v>4.6803673327903841</v>
      </c>
      <c r="AK47" s="456">
        <v>2032</v>
      </c>
      <c r="AL47" s="459">
        <f t="shared" si="6"/>
        <v>43.263739965563133</v>
      </c>
      <c r="AM47" s="459">
        <f t="shared" si="6"/>
        <v>11.034056844566672</v>
      </c>
      <c r="AN47" s="459">
        <f t="shared" si="6"/>
        <v>2.1417287916924206</v>
      </c>
      <c r="AO47" s="459">
        <f t="shared" si="6"/>
        <v>16.243806123569595</v>
      </c>
      <c r="AP47" s="459">
        <f t="shared" si="6"/>
        <v>5.5604482847579249</v>
      </c>
      <c r="AQ47" s="459">
        <f t="shared" si="6"/>
        <v>2.0445972679834536</v>
      </c>
      <c r="AR47" s="459">
        <f t="shared" si="6"/>
        <v>9.8081966028294705</v>
      </c>
      <c r="AS47" s="459">
        <f t="shared" si="6"/>
        <v>3.510370300627244</v>
      </c>
      <c r="AT47" s="459">
        <f t="shared" si="6"/>
        <v>4.1168670329233388</v>
      </c>
      <c r="AU47" s="459">
        <f t="shared" si="6"/>
        <v>4.6803673327903841</v>
      </c>
      <c r="AW47" s="216">
        <f>(B47/Population_Tables!O21)*Population_Tables!C21</f>
        <v>43.263739965563133</v>
      </c>
      <c r="AX47" s="153" t="str">
        <f t="shared" si="7"/>
        <v>OK</v>
      </c>
      <c r="AY47" s="421">
        <f t="shared" si="4"/>
        <v>37.024637312570071</v>
      </c>
      <c r="AZ47" s="153" t="str">
        <f t="shared" si="5"/>
        <v>OK</v>
      </c>
      <c r="BB47" s="216">
        <f>(C47/Population_Tables!P21)*Population_Tables!D21</f>
        <v>11.034056844566672</v>
      </c>
      <c r="BC47" s="216">
        <f>(D47/Population_Tables!Q21)*Population_Tables!E21</f>
        <v>2.1417287916924206</v>
      </c>
      <c r="BD47" s="216">
        <f>(E47/Population_Tables!R21)*Population_Tables!F21</f>
        <v>16.243806123569595</v>
      </c>
      <c r="BE47" s="216">
        <f>(F47/Population_Tables!S21)*Population_Tables!G21</f>
        <v>5.5604482847579249</v>
      </c>
      <c r="BF47" s="216">
        <f>(G47/Population_Tables!T21)*Population_Tables!H21</f>
        <v>2.0445972679834536</v>
      </c>
      <c r="BG47" s="216"/>
      <c r="BN47" s="216"/>
      <c r="BO47" s="216"/>
      <c r="BP47" s="216"/>
    </row>
    <row r="48" spans="1:68" ht="15.6" x14ac:dyDescent="0.3">
      <c r="A48" s="206">
        <v>2033</v>
      </c>
      <c r="B48" s="229">
        <v>42.402250102837826</v>
      </c>
      <c r="C48" s="229">
        <v>10.817033108831676</v>
      </c>
      <c r="D48" s="229">
        <v>2.0945600579341925</v>
      </c>
      <c r="E48" s="229">
        <v>15.913745997839454</v>
      </c>
      <c r="F48" s="229">
        <v>5.51641910137905</v>
      </c>
      <c r="G48" s="229">
        <v>1.9981123788789721</v>
      </c>
      <c r="H48" s="229">
        <v>9.6300498689698095</v>
      </c>
      <c r="I48" s="229">
        <v>3.4540284110826058</v>
      </c>
      <c r="J48" s="229">
        <v>4.0284548008232983</v>
      </c>
      <c r="K48" s="229">
        <v>4.5850786234483278</v>
      </c>
      <c r="M48" s="206">
        <v>2033</v>
      </c>
      <c r="N48" s="419">
        <f t="shared" si="2"/>
        <v>7.5639023184800251</v>
      </c>
      <c r="O48" s="418">
        <f>(C48/Population_Tables!P22)*Population_Tables!D81</f>
        <v>0</v>
      </c>
      <c r="P48" s="418">
        <f>(D48/Population_Tables!Q22)*Population_Tables!E81</f>
        <v>0</v>
      </c>
      <c r="Q48" s="418">
        <f>((E48-H48)/Population_Tables!R22)*Population_Tables!F81</f>
        <v>3.5364073559998968</v>
      </c>
      <c r="R48" s="418">
        <f>(F48/Population_Tables!S22)*Population_Tables!G81</f>
        <v>3.4448668696326963</v>
      </c>
      <c r="S48" s="418">
        <f>(G48/Population_Tables!T22)*Population_Tables!H81</f>
        <v>0.58262809284743222</v>
      </c>
      <c r="T48" s="418">
        <f>(H48/Population_Tables!U22)*Population_Tables!I81</f>
        <v>0</v>
      </c>
      <c r="U48" s="418">
        <f>(I48/Population_Tables!V22)*Population_Tables!J81</f>
        <v>0</v>
      </c>
      <c r="V48" s="418">
        <f>(J48/Population_Tables!W22)*Population_Tables!K81</f>
        <v>0</v>
      </c>
      <c r="W48" s="418">
        <f>(K48/Population_Tables!X22)*Population_Tables!L81</f>
        <v>0</v>
      </c>
      <c r="Y48" s="456">
        <v>2033</v>
      </c>
      <c r="Z48" s="459">
        <f>((B48/Population_Tables!O22)*Population_Tables!C22)-N48</f>
        <v>36.204959292362688</v>
      </c>
      <c r="AA48" s="459">
        <f>((C48/Population_Tables!P22)*Population_Tables!D22)-O48</f>
        <v>11.117845180462369</v>
      </c>
      <c r="AB48" s="459">
        <f>((D48/Population_Tables!Q22)*Population_Tables!E22)-P48</f>
        <v>2.1522676914518906</v>
      </c>
      <c r="AC48" s="459">
        <f>((E48/Population_Tables!R22)*Population_Tables!F22)-Q48</f>
        <v>12.905294609932989</v>
      </c>
      <c r="AD48" s="459">
        <f>((F48/Population_Tables!S22)*Population_Tables!G22)-R48</f>
        <v>2.2412790866323671</v>
      </c>
      <c r="AE48" s="459">
        <f>((G48/Population_Tables!T22)*Population_Tables!H22)-S48</f>
        <v>1.4935278436719157</v>
      </c>
      <c r="AF48" s="459">
        <f>(H48/Population_Tables!U22)*Population_Tables!I22</f>
        <v>9.8796202090669336</v>
      </c>
      <c r="AG48" s="459">
        <f>(I48/Population_Tables!V22)*Population_Tables!J22</f>
        <v>3.5720832804426754</v>
      </c>
      <c r="AH48" s="459">
        <f>(J48/Population_Tables!W22)*Population_Tables!K22</f>
        <v>4.1335248807646492</v>
      </c>
      <c r="AI48" s="459">
        <f>(K48/Population_Tables!X22)*Population_Tables!L22</f>
        <v>4.7231633514826026</v>
      </c>
      <c r="AK48" s="456">
        <v>2033</v>
      </c>
      <c r="AL48" s="459">
        <f t="shared" si="6"/>
        <v>43.768861610842713</v>
      </c>
      <c r="AM48" s="459">
        <f t="shared" si="6"/>
        <v>11.117845180462369</v>
      </c>
      <c r="AN48" s="459">
        <f t="shared" si="6"/>
        <v>2.1522676914518906</v>
      </c>
      <c r="AO48" s="459">
        <f t="shared" si="6"/>
        <v>16.441701965932886</v>
      </c>
      <c r="AP48" s="459">
        <f t="shared" si="6"/>
        <v>5.6861459562650634</v>
      </c>
      <c r="AQ48" s="459">
        <f t="shared" si="6"/>
        <v>2.0761559365193478</v>
      </c>
      <c r="AR48" s="459">
        <f t="shared" si="6"/>
        <v>9.8796202090669336</v>
      </c>
      <c r="AS48" s="459">
        <f t="shared" si="6"/>
        <v>3.5720832804426754</v>
      </c>
      <c r="AT48" s="459">
        <f t="shared" si="6"/>
        <v>4.1335248807646492</v>
      </c>
      <c r="AU48" s="459">
        <f t="shared" si="6"/>
        <v>4.7231633514826026</v>
      </c>
      <c r="AW48" s="216">
        <f>(B48/Population_Tables!O22)*Population_Tables!C22</f>
        <v>43.768861610842713</v>
      </c>
      <c r="AX48" s="153" t="str">
        <f t="shared" si="7"/>
        <v>OK</v>
      </c>
      <c r="AY48" s="421">
        <f t="shared" si="4"/>
        <v>37.474116730631557</v>
      </c>
      <c r="AZ48" s="153" t="str">
        <f t="shared" si="5"/>
        <v>OK</v>
      </c>
      <c r="BB48" s="216">
        <f>(C48/Population_Tables!P22)*Population_Tables!D22</f>
        <v>11.117845180462369</v>
      </c>
      <c r="BC48" s="216">
        <f>(D48/Population_Tables!Q22)*Population_Tables!E22</f>
        <v>2.1522676914518906</v>
      </c>
      <c r="BD48" s="216">
        <f>(E48/Population_Tables!R22)*Population_Tables!F22</f>
        <v>16.441701965932886</v>
      </c>
      <c r="BE48" s="216">
        <f>(F48/Population_Tables!S22)*Population_Tables!G22</f>
        <v>5.6861459562650634</v>
      </c>
      <c r="BF48" s="216">
        <f>(G48/Population_Tables!T22)*Population_Tables!H22</f>
        <v>2.0761559365193478</v>
      </c>
      <c r="BG48" s="216"/>
      <c r="BN48" s="216"/>
      <c r="BO48" s="216"/>
      <c r="BP48" s="216"/>
    </row>
    <row r="49" spans="1:68" ht="15.6" x14ac:dyDescent="0.3">
      <c r="A49" s="206">
        <v>2034</v>
      </c>
      <c r="B49" s="229">
        <v>42.750055969860881</v>
      </c>
      <c r="C49" s="229">
        <v>10.86825835643538</v>
      </c>
      <c r="D49" s="229">
        <v>2.098712431417332</v>
      </c>
      <c r="E49" s="229">
        <v>16.053426953995185</v>
      </c>
      <c r="F49" s="229">
        <v>5.6224146216648681</v>
      </c>
      <c r="G49" s="229">
        <v>2.0209968263644011</v>
      </c>
      <c r="H49" s="229">
        <v>9.6742738219703366</v>
      </c>
      <c r="I49" s="229">
        <v>3.5022654076546633</v>
      </c>
      <c r="J49" s="229">
        <v>4.0337644767153265</v>
      </c>
      <c r="K49" s="229">
        <v>4.6124521785130046</v>
      </c>
      <c r="M49" s="206">
        <v>2034</v>
      </c>
      <c r="N49" s="419">
        <f t="shared" si="2"/>
        <v>7.7427808588617131</v>
      </c>
      <c r="O49" s="418">
        <f>(C49/Population_Tables!P23)*Population_Tables!D82</f>
        <v>0</v>
      </c>
      <c r="P49" s="418">
        <f>(D49/Population_Tables!Q23)*Population_Tables!E82</f>
        <v>0</v>
      </c>
      <c r="Q49" s="418">
        <f>((E49-H49)/Population_Tables!R23)*Population_Tables!F82</f>
        <v>3.617581197882068</v>
      </c>
      <c r="R49" s="418">
        <f>(F49/Population_Tables!S23)*Population_Tables!G82</f>
        <v>3.5316508811532574</v>
      </c>
      <c r="S49" s="418">
        <f>(G49/Population_Tables!T23)*Population_Tables!H82</f>
        <v>0.59354877982638743</v>
      </c>
      <c r="T49" s="418">
        <f>(H49/Population_Tables!U23)*Population_Tables!I82</f>
        <v>0</v>
      </c>
      <c r="U49" s="418">
        <f>(I49/Population_Tables!V23)*Population_Tables!J82</f>
        <v>0</v>
      </c>
      <c r="V49" s="418">
        <f>(J49/Population_Tables!W23)*Population_Tables!K82</f>
        <v>0</v>
      </c>
      <c r="W49" s="418">
        <f>(K49/Population_Tables!X23)*Population_Tables!L82</f>
        <v>0</v>
      </c>
      <c r="Y49" s="456">
        <v>2034</v>
      </c>
      <c r="Z49" s="459">
        <f>((B49/Population_Tables!O23)*Population_Tables!C23)-N49</f>
        <v>36.527899349604994</v>
      </c>
      <c r="AA49" s="459">
        <f>((C49/Population_Tables!P23)*Population_Tables!D23)-O49</f>
        <v>11.202267271606987</v>
      </c>
      <c r="AB49" s="459">
        <f>((D49/Population_Tables!Q23)*Population_Tables!E23)-P49</f>
        <v>2.1626966021093526</v>
      </c>
      <c r="AC49" s="459">
        <f>((E49/Population_Tables!R23)*Population_Tables!F23)-Q49</f>
        <v>13.024033820327954</v>
      </c>
      <c r="AD49" s="459">
        <f>((F49/Population_Tables!S23)*Population_Tables!G23)-R49</f>
        <v>2.2812880194541303</v>
      </c>
      <c r="AE49" s="459">
        <f>((G49/Population_Tables!T23)*Population_Tables!H23)-S49</f>
        <v>1.5145331109158942</v>
      </c>
      <c r="AF49" s="459">
        <f>(H49/Population_Tables!U23)*Population_Tables!I23</f>
        <v>9.951334481497927</v>
      </c>
      <c r="AG49" s="459">
        <f>(I49/Population_Tables!V23)*Population_Tables!J23</f>
        <v>3.63423207931893</v>
      </c>
      <c r="AH49" s="459">
        <f>(J49/Population_Tables!W23)*Population_Tables!K23</f>
        <v>4.1500538110069254</v>
      </c>
      <c r="AI49" s="459">
        <f>(K49/Population_Tables!X23)*Population_Tables!L23</f>
        <v>4.7661488713983413</v>
      </c>
      <c r="AK49" s="456">
        <v>2034</v>
      </c>
      <c r="AL49" s="459">
        <f t="shared" si="6"/>
        <v>44.270680208466707</v>
      </c>
      <c r="AM49" s="459">
        <f t="shared" si="6"/>
        <v>11.202267271606987</v>
      </c>
      <c r="AN49" s="459">
        <f t="shared" si="6"/>
        <v>2.1626966021093526</v>
      </c>
      <c r="AO49" s="459">
        <f t="shared" si="6"/>
        <v>16.641615018210022</v>
      </c>
      <c r="AP49" s="459">
        <f t="shared" si="6"/>
        <v>5.8129389006073877</v>
      </c>
      <c r="AQ49" s="459">
        <f t="shared" si="6"/>
        <v>2.1080818907422816</v>
      </c>
      <c r="AR49" s="459">
        <f t="shared" si="6"/>
        <v>9.951334481497927</v>
      </c>
      <c r="AS49" s="459">
        <f t="shared" si="6"/>
        <v>3.63423207931893</v>
      </c>
      <c r="AT49" s="459">
        <f t="shared" si="6"/>
        <v>4.1500538110069254</v>
      </c>
      <c r="AU49" s="459">
        <f t="shared" si="6"/>
        <v>4.7661488713983413</v>
      </c>
      <c r="AW49" s="216">
        <f>(B49/Population_Tables!O23)*Population_Tables!C23</f>
        <v>44.270680208466707</v>
      </c>
      <c r="AX49" s="153" t="str">
        <f t="shared" si="7"/>
        <v>OK</v>
      </c>
      <c r="AY49" s="421">
        <f t="shared" si="4"/>
        <v>37.927599683276028</v>
      </c>
      <c r="AZ49" s="153" t="str">
        <f t="shared" si="5"/>
        <v>OK</v>
      </c>
      <c r="BB49" s="216">
        <f>(C49/Population_Tables!P23)*Population_Tables!D23</f>
        <v>11.202267271606987</v>
      </c>
      <c r="BC49" s="216">
        <f>(D49/Population_Tables!Q23)*Population_Tables!E23</f>
        <v>2.1626966021093526</v>
      </c>
      <c r="BD49" s="216">
        <f>(E49/Population_Tables!R23)*Population_Tables!F23</f>
        <v>16.641615018210022</v>
      </c>
      <c r="BE49" s="216">
        <f>(F49/Population_Tables!S23)*Population_Tables!G23</f>
        <v>5.8129389006073877</v>
      </c>
      <c r="BF49" s="216">
        <f>(G49/Population_Tables!T23)*Population_Tables!H23</f>
        <v>2.1080818907422816</v>
      </c>
      <c r="BG49" s="216"/>
      <c r="BN49" s="216"/>
      <c r="BO49" s="216"/>
      <c r="BP49" s="216"/>
    </row>
    <row r="50" spans="1:68" ht="15.6" x14ac:dyDescent="0.3">
      <c r="A50" s="206">
        <v>2035</v>
      </c>
      <c r="B50" s="229">
        <v>43.091985355998759</v>
      </c>
      <c r="C50" s="229">
        <v>10.919509368316042</v>
      </c>
      <c r="D50" s="229">
        <v>2.1026683777561934</v>
      </c>
      <c r="E50" s="229">
        <v>16.193567002480602</v>
      </c>
      <c r="F50" s="229">
        <v>5.7288334596619741</v>
      </c>
      <c r="G50" s="229">
        <v>2.0439686302764546</v>
      </c>
      <c r="H50" s="229">
        <v>9.7181411449395725</v>
      </c>
      <c r="I50" s="229">
        <v>3.5505903841294923</v>
      </c>
      <c r="J50" s="229">
        <v>4.0388061947796805</v>
      </c>
      <c r="K50" s="229">
        <v>4.6397287886639855</v>
      </c>
      <c r="M50" s="206">
        <v>2035</v>
      </c>
      <c r="N50" s="419">
        <f t="shared" si="2"/>
        <v>7.9235565424273879</v>
      </c>
      <c r="O50" s="418">
        <f>(C50/Population_Tables!P24)*Population_Tables!D83</f>
        <v>0</v>
      </c>
      <c r="P50" s="418">
        <f>(D50/Population_Tables!Q24)*Population_Tables!E83</f>
        <v>0</v>
      </c>
      <c r="Q50" s="418">
        <f>((E50-H50)/Population_Tables!R24)*Population_Tables!F83</f>
        <v>3.6998580305313604</v>
      </c>
      <c r="R50" s="418">
        <f>(F50/Population_Tables!S24)*Population_Tables!G83</f>
        <v>3.6191299898529339</v>
      </c>
      <c r="S50" s="418">
        <f>(G50/Population_Tables!T24)*Population_Tables!H83</f>
        <v>0.60456852204309375</v>
      </c>
      <c r="T50" s="418">
        <f>(H50/Population_Tables!U24)*Population_Tables!I83</f>
        <v>0</v>
      </c>
      <c r="U50" s="418">
        <f>(I50/Population_Tables!V24)*Population_Tables!J83</f>
        <v>0</v>
      </c>
      <c r="V50" s="418">
        <f>(J50/Population_Tables!W24)*Population_Tables!K83</f>
        <v>0</v>
      </c>
      <c r="W50" s="418">
        <f>(K50/Population_Tables!X24)*Population_Tables!L83</f>
        <v>0</v>
      </c>
      <c r="Y50" s="456">
        <v>2035</v>
      </c>
      <c r="Z50" s="459">
        <f>((B50/Population_Tables!O24)*Population_Tables!C24)-N50</f>
        <v>36.843861259235425</v>
      </c>
      <c r="AA50" s="459">
        <f>((C50/Population_Tables!P24)*Population_Tables!D24)-O50</f>
        <v>11.286833968713466</v>
      </c>
      <c r="AB50" s="459">
        <f>((D50/Population_Tables!Q24)*Population_Tables!E24)-P50</f>
        <v>2.1729841550357394</v>
      </c>
      <c r="AC50" s="459">
        <f>((E50/Population_Tables!R24)*Population_Tables!F24)-Q50</f>
        <v>13.14268602434597</v>
      </c>
      <c r="AD50" s="459">
        <f>((F50/Population_Tables!S24)*Population_Tables!G24)-R50</f>
        <v>2.3214134346731212</v>
      </c>
      <c r="AE50" s="459">
        <f>((G50/Population_Tables!T24)*Population_Tables!H24)-S50</f>
        <v>1.5356770913573876</v>
      </c>
      <c r="AF50" s="459">
        <f>(H50/Population_Tables!U24)*Population_Tables!I24</f>
        <v>10.022914599813499</v>
      </c>
      <c r="AG50" s="459">
        <f>(I50/Population_Tables!V24)*Population_Tables!J24</f>
        <v>3.6965731969709532</v>
      </c>
      <c r="AH50" s="459">
        <f>(J50/Population_Tables!W24)*Population_Tables!K24</f>
        <v>4.1663371379783545</v>
      </c>
      <c r="AI50" s="459">
        <f>(K50/Population_Tables!X24)*Population_Tables!L24</f>
        <v>4.8090938539403183</v>
      </c>
      <c r="AK50" s="456">
        <v>2035</v>
      </c>
      <c r="AL50" s="459">
        <f t="shared" si="6"/>
        <v>44.767417801662816</v>
      </c>
      <c r="AM50" s="459">
        <f t="shared" si="6"/>
        <v>11.286833968713466</v>
      </c>
      <c r="AN50" s="459">
        <f t="shared" si="6"/>
        <v>2.1729841550357394</v>
      </c>
      <c r="AO50" s="459">
        <f t="shared" si="6"/>
        <v>16.84254405487733</v>
      </c>
      <c r="AP50" s="459">
        <f t="shared" si="6"/>
        <v>5.9405434245260551</v>
      </c>
      <c r="AQ50" s="459">
        <f t="shared" si="6"/>
        <v>2.1402456134004813</v>
      </c>
      <c r="AR50" s="459">
        <f t="shared" si="6"/>
        <v>10.022914599813499</v>
      </c>
      <c r="AS50" s="459">
        <f t="shared" si="6"/>
        <v>3.6965731969709532</v>
      </c>
      <c r="AT50" s="459">
        <f t="shared" si="6"/>
        <v>4.1663371379783545</v>
      </c>
      <c r="AU50" s="459">
        <f t="shared" si="6"/>
        <v>4.8090938539403183</v>
      </c>
      <c r="AW50" s="216">
        <f>(B50/Population_Tables!O24)*Population_Tables!C24</f>
        <v>44.767417801662809</v>
      </c>
      <c r="AX50" s="153" t="b">
        <f t="shared" si="7"/>
        <v>0</v>
      </c>
      <c r="AY50" s="421">
        <f t="shared" si="4"/>
        <v>38.383151216553074</v>
      </c>
      <c r="AZ50" s="153" t="str">
        <f t="shared" si="5"/>
        <v>OK</v>
      </c>
      <c r="BB50" s="216">
        <f>(C50/Population_Tables!P24)*Population_Tables!D24</f>
        <v>11.286833968713466</v>
      </c>
      <c r="BC50" s="216">
        <f>(D50/Population_Tables!Q24)*Population_Tables!E24</f>
        <v>2.1729841550357394</v>
      </c>
      <c r="BD50" s="216">
        <f>(E50/Population_Tables!R24)*Population_Tables!F24</f>
        <v>16.84254405487733</v>
      </c>
      <c r="BE50" s="216">
        <f>(F50/Population_Tables!S24)*Population_Tables!G24</f>
        <v>5.9405434245260551</v>
      </c>
      <c r="BF50" s="216">
        <f>(G50/Population_Tables!T24)*Population_Tables!H24</f>
        <v>2.1402456134004813</v>
      </c>
      <c r="BG50" s="216"/>
      <c r="BN50" s="216"/>
      <c r="BO50" s="216"/>
      <c r="BP50" s="216"/>
    </row>
    <row r="51" spans="1:68" ht="15.6" x14ac:dyDescent="0.3">
      <c r="A51" s="206">
        <v>2036</v>
      </c>
      <c r="B51" s="229">
        <v>43.428038261251473</v>
      </c>
      <c r="C51" s="229">
        <v>10.970682391243566</v>
      </c>
      <c r="D51" s="229">
        <v>2.1064586636440263</v>
      </c>
      <c r="E51" s="229">
        <v>16.333838496056355</v>
      </c>
      <c r="F51" s="229">
        <v>5.8356175036747393</v>
      </c>
      <c r="G51" s="229">
        <v>2.066980984461658</v>
      </c>
      <c r="H51" s="229">
        <v>9.7615260102782564</v>
      </c>
      <c r="I51" s="229">
        <v>3.5989419868793644</v>
      </c>
      <c r="J51" s="229">
        <v>4.0435855075455667</v>
      </c>
      <c r="K51" s="229">
        <v>4.6668717973641733</v>
      </c>
      <c r="M51" s="206">
        <v>2036</v>
      </c>
      <c r="N51" s="419">
        <f t="shared" si="2"/>
        <v>8.1058834722455906</v>
      </c>
      <c r="O51" s="418">
        <f>(C51/Population_Tables!P25)*Population_Tables!D84</f>
        <v>0</v>
      </c>
      <c r="P51" s="418">
        <f>(D51/Population_Tables!Q25)*Population_Tables!E84</f>
        <v>0</v>
      </c>
      <c r="Q51" s="418">
        <f>((E51-H51)/Population_Tables!R25)*Population_Tables!F84</f>
        <v>3.7830346725137081</v>
      </c>
      <c r="R51" s="418">
        <f>(F51/Population_Tables!S25)*Population_Tables!G84</f>
        <v>3.7071926354033367</v>
      </c>
      <c r="S51" s="418">
        <f>(G51/Population_Tables!T25)*Population_Tables!H84</f>
        <v>0.6156561643285452</v>
      </c>
      <c r="T51" s="418">
        <f>(H51/Population_Tables!U25)*Population_Tables!I84</f>
        <v>0</v>
      </c>
      <c r="U51" s="418">
        <f>(I51/Population_Tables!V25)*Population_Tables!J84</f>
        <v>0</v>
      </c>
      <c r="V51" s="418">
        <f>(J51/Population_Tables!W25)*Population_Tables!K84</f>
        <v>0</v>
      </c>
      <c r="W51" s="418">
        <f>(K51/Population_Tables!X25)*Population_Tables!L84</f>
        <v>0</v>
      </c>
      <c r="Y51" s="456">
        <v>2036</v>
      </c>
      <c r="Z51" s="459">
        <f>((B51/Population_Tables!O25)*Population_Tables!C25)-N51</f>
        <v>37.152415733516079</v>
      </c>
      <c r="AA51" s="459">
        <f>((C51/Population_Tables!P25)*Population_Tables!D25)-O51</f>
        <v>11.371245177504315</v>
      </c>
      <c r="AB51" s="459">
        <f>((D51/Population_Tables!Q25)*Population_Tables!E25)-P51</f>
        <v>2.1831300486226652</v>
      </c>
      <c r="AC51" s="459">
        <f>((E51/Population_Tables!R25)*Population_Tables!F25)-Q51</f>
        <v>13.260835308128968</v>
      </c>
      <c r="AD51" s="459">
        <f>((F51/Population_Tables!S25)*Population_Tables!G25)-R51</f>
        <v>2.3616283156458837</v>
      </c>
      <c r="AE51" s="459">
        <f>((G51/Population_Tables!T25)*Population_Tables!H25)-S51</f>
        <v>1.5569029715662921</v>
      </c>
      <c r="AF51" s="459">
        <f>(H51/Population_Tables!U25)*Population_Tables!I25</f>
        <v>10.094090551193572</v>
      </c>
      <c r="AG51" s="459">
        <f>(I51/Population_Tables!V25)*Population_Tables!J25</f>
        <v>3.7589747045254827</v>
      </c>
      <c r="AH51" s="459">
        <f>(J51/Population_Tables!W25)*Population_Tables!K25</f>
        <v>4.1823145938931816</v>
      </c>
      <c r="AI51" s="459">
        <f>(K51/Population_Tables!X25)*Population_Tables!L25</f>
        <v>4.851870072583762</v>
      </c>
      <c r="AK51" s="456">
        <v>2036</v>
      </c>
      <c r="AL51" s="459">
        <f t="shared" si="6"/>
        <v>45.258299205761674</v>
      </c>
      <c r="AM51" s="459">
        <f t="shared" si="6"/>
        <v>11.371245177504315</v>
      </c>
      <c r="AN51" s="459">
        <f t="shared" si="6"/>
        <v>2.1831300486226652</v>
      </c>
      <c r="AO51" s="459">
        <f t="shared" si="6"/>
        <v>17.043869980642675</v>
      </c>
      <c r="AP51" s="459">
        <f t="shared" si="6"/>
        <v>6.0688209510492204</v>
      </c>
      <c r="AQ51" s="459">
        <f t="shared" si="6"/>
        <v>2.1725591358948373</v>
      </c>
      <c r="AR51" s="459">
        <f t="shared" si="6"/>
        <v>10.094090551193572</v>
      </c>
      <c r="AS51" s="459">
        <f t="shared" si="6"/>
        <v>3.7589747045254827</v>
      </c>
      <c r="AT51" s="459">
        <f t="shared" si="6"/>
        <v>4.1823145938931816</v>
      </c>
      <c r="AU51" s="459">
        <f t="shared" si="6"/>
        <v>4.851870072583762</v>
      </c>
      <c r="AW51" s="216">
        <f>(B51/Population_Tables!O25)*Population_Tables!C25</f>
        <v>45.258299205761674</v>
      </c>
      <c r="AX51" s="153" t="str">
        <f t="shared" si="7"/>
        <v>OK</v>
      </c>
      <c r="AY51" s="421">
        <f t="shared" si="4"/>
        <v>38.839625293713709</v>
      </c>
      <c r="AZ51" s="153" t="str">
        <f t="shared" si="5"/>
        <v>OK</v>
      </c>
      <c r="BB51" s="216">
        <f>(C51/Population_Tables!P25)*Population_Tables!D25</f>
        <v>11.371245177504315</v>
      </c>
      <c r="BC51" s="216">
        <f>(D51/Population_Tables!Q25)*Population_Tables!E25</f>
        <v>2.1831300486226652</v>
      </c>
      <c r="BD51" s="216">
        <f>(E51/Population_Tables!R25)*Population_Tables!F25</f>
        <v>17.043869980642675</v>
      </c>
      <c r="BE51" s="216">
        <f>(F51/Population_Tables!S25)*Population_Tables!G25</f>
        <v>6.0688209510492204</v>
      </c>
      <c r="BF51" s="216">
        <f>(G51/Population_Tables!T25)*Population_Tables!H25</f>
        <v>2.1725591358948373</v>
      </c>
      <c r="BG51" s="216"/>
      <c r="BN51" s="216"/>
      <c r="BO51" s="216"/>
      <c r="BP51" s="216"/>
    </row>
    <row r="52" spans="1:68" ht="15.6" x14ac:dyDescent="0.3">
      <c r="A52" s="206">
        <v>2037</v>
      </c>
      <c r="B52" s="229">
        <v>43.758214685619009</v>
      </c>
      <c r="C52" s="229">
        <v>11.021673671987859</v>
      </c>
      <c r="D52" s="229">
        <v>2.1101140557740798</v>
      </c>
      <c r="E52" s="229">
        <v>16.473913787483085</v>
      </c>
      <c r="F52" s="229">
        <v>5.942708642007533</v>
      </c>
      <c r="G52" s="229">
        <v>2.0899870827665366</v>
      </c>
      <c r="H52" s="229">
        <v>9.8043025903871257</v>
      </c>
      <c r="I52" s="229">
        <v>3.6472588622765509</v>
      </c>
      <c r="J52" s="229">
        <v>4.0481079675421885</v>
      </c>
      <c r="K52" s="229">
        <v>4.6938445480764663</v>
      </c>
      <c r="M52" s="206">
        <v>2037</v>
      </c>
      <c r="N52" s="419">
        <f t="shared" si="2"/>
        <v>8.2896899084022557</v>
      </c>
      <c r="O52" s="418">
        <f>(C52/Population_Tables!P26)*Population_Tables!D85</f>
        <v>0</v>
      </c>
      <c r="P52" s="418">
        <f>(D52/Population_Tables!Q26)*Population_Tables!E85</f>
        <v>0</v>
      </c>
      <c r="Q52" s="418">
        <f>((E52-H52)/Population_Tables!R26)*Population_Tables!F85</f>
        <v>3.8670374655496667</v>
      </c>
      <c r="R52" s="418">
        <f>(F52/Population_Tables!S26)*Population_Tables!G85</f>
        <v>3.7958464649394701</v>
      </c>
      <c r="S52" s="418">
        <f>(G52/Population_Tables!T26)*Population_Tables!H85</f>
        <v>0.62680597791311876</v>
      </c>
      <c r="T52" s="418">
        <f>(H52/Population_Tables!U26)*Population_Tables!I85</f>
        <v>0</v>
      </c>
      <c r="U52" s="418">
        <f>(I52/Population_Tables!V26)*Population_Tables!J85</f>
        <v>0</v>
      </c>
      <c r="V52" s="418">
        <f>(J52/Population_Tables!W26)*Population_Tables!K85</f>
        <v>0</v>
      </c>
      <c r="W52" s="418">
        <f>(K52/Population_Tables!X26)*Population_Tables!L85</f>
        <v>0</v>
      </c>
      <c r="Y52" s="456">
        <v>2037</v>
      </c>
      <c r="Z52" s="459">
        <f>((B52/Population_Tables!O26)*Population_Tables!C26)-N52</f>
        <v>37.453958750157327</v>
      </c>
      <c r="AA52" s="459">
        <f>((C52/Population_Tables!P26)*Population_Tables!D26)-O52</f>
        <v>11.455416875996256</v>
      </c>
      <c r="AB52" s="459">
        <f>((D52/Population_Tables!Q26)*Population_Tables!E26)-P52</f>
        <v>2.1931763536149864</v>
      </c>
      <c r="AC52" s="459">
        <f>((E52/Population_Tables!R26)*Population_Tables!F26)-Q52</f>
        <v>13.378355433435653</v>
      </c>
      <c r="AD52" s="459">
        <f>((F52/Population_Tables!S26)*Population_Tables!G26)-R52</f>
        <v>2.4019405489128793</v>
      </c>
      <c r="AE52" s="459">
        <f>((G52/Population_Tables!T26)*Population_Tables!H26)-S52</f>
        <v>1.5781811633149447</v>
      </c>
      <c r="AF52" s="459">
        <f>(H52/Population_Tables!U26)*Population_Tables!I26</f>
        <v>10.16477316040762</v>
      </c>
      <c r="AG52" s="459">
        <f>(I52/Population_Tables!V26)*Population_Tables!J26</f>
        <v>3.8214107649227378</v>
      </c>
      <c r="AH52" s="459">
        <f>(J52/Population_Tables!W26)*Population_Tables!K26</f>
        <v>4.1980003667484249</v>
      </c>
      <c r="AI52" s="459">
        <f>(K52/Population_Tables!X26)*Population_Tables!L26</f>
        <v>4.8944546559434849</v>
      </c>
      <c r="AK52" s="456">
        <v>2037</v>
      </c>
      <c r="AL52" s="459">
        <f t="shared" si="6"/>
        <v>45.743648658559579</v>
      </c>
      <c r="AM52" s="459">
        <f t="shared" si="6"/>
        <v>11.455416875996256</v>
      </c>
      <c r="AN52" s="459">
        <f t="shared" si="6"/>
        <v>2.1931763536149864</v>
      </c>
      <c r="AO52" s="459">
        <f t="shared" si="6"/>
        <v>17.245392898985319</v>
      </c>
      <c r="AP52" s="459">
        <f t="shared" si="6"/>
        <v>6.1977870138523494</v>
      </c>
      <c r="AQ52" s="459">
        <f t="shared" si="6"/>
        <v>2.2049871412280635</v>
      </c>
      <c r="AR52" s="459">
        <f t="shared" si="6"/>
        <v>10.16477316040762</v>
      </c>
      <c r="AS52" s="459">
        <f t="shared" si="6"/>
        <v>3.8214107649227378</v>
      </c>
      <c r="AT52" s="459">
        <f t="shared" si="6"/>
        <v>4.1980003667484249</v>
      </c>
      <c r="AU52" s="459">
        <f t="shared" si="6"/>
        <v>4.8944546559434849</v>
      </c>
      <c r="AW52" s="216">
        <f>(B52/Population_Tables!O26)*Population_Tables!C26</f>
        <v>45.743648658559579</v>
      </c>
      <c r="AX52" s="153" t="str">
        <f t="shared" si="7"/>
        <v>OK</v>
      </c>
      <c r="AY52" s="421">
        <f t="shared" si="4"/>
        <v>39.296760283676981</v>
      </c>
      <c r="AZ52" s="153" t="str">
        <f t="shared" si="5"/>
        <v>OK</v>
      </c>
      <c r="BB52" s="216">
        <f>(C52/Population_Tables!P26)*Population_Tables!D26</f>
        <v>11.455416875996256</v>
      </c>
      <c r="BC52" s="216">
        <f>(D52/Population_Tables!Q26)*Population_Tables!E26</f>
        <v>2.1931763536149864</v>
      </c>
      <c r="BD52" s="216">
        <f>(E52/Population_Tables!R26)*Population_Tables!F26</f>
        <v>17.245392898985319</v>
      </c>
      <c r="BE52" s="216">
        <f>(F52/Population_Tables!S26)*Population_Tables!G26</f>
        <v>6.1977870138523494</v>
      </c>
      <c r="BF52" s="216">
        <f>(G52/Population_Tables!T26)*Population_Tables!H26</f>
        <v>2.2049871412280635</v>
      </c>
      <c r="BG52" s="216"/>
      <c r="BN52" s="216"/>
      <c r="BO52" s="216"/>
      <c r="BP52" s="216"/>
    </row>
    <row r="53" spans="1:68" ht="15.6" x14ac:dyDescent="0.3">
      <c r="A53" s="206">
        <v>2038</v>
      </c>
      <c r="B53" s="229">
        <v>44.082514629101382</v>
      </c>
      <c r="C53" s="229">
        <v>11.072379457318824</v>
      </c>
      <c r="D53" s="229">
        <v>2.113665320839603</v>
      </c>
      <c r="E53" s="229">
        <v>16.613465229521434</v>
      </c>
      <c r="F53" s="229">
        <v>6.0500487629647264</v>
      </c>
      <c r="G53" s="229">
        <v>2.1129401190376154</v>
      </c>
      <c r="H53" s="229">
        <v>9.8463450576669214</v>
      </c>
      <c r="I53" s="229">
        <v>3.695479656693323</v>
      </c>
      <c r="J53" s="229">
        <v>4.0523791272987504</v>
      </c>
      <c r="K53" s="229">
        <v>4.7206103842637654</v>
      </c>
      <c r="M53" s="206">
        <v>2038</v>
      </c>
      <c r="N53" s="419">
        <f t="shared" si="2"/>
        <v>8.4749956123090442</v>
      </c>
      <c r="O53" s="418">
        <f>(C53/Population_Tables!P27)*Population_Tables!D86</f>
        <v>0</v>
      </c>
      <c r="P53" s="418">
        <f>(D53/Population_Tables!Q27)*Population_Tables!E86</f>
        <v>0</v>
      </c>
      <c r="Q53" s="418">
        <f>((E53-H53)/Population_Tables!R27)*Population_Tables!F86</f>
        <v>3.9518365669605942</v>
      </c>
      <c r="R53" s="418">
        <f>(F53/Population_Tables!S27)*Population_Tables!G86</f>
        <v>3.8851371214437442</v>
      </c>
      <c r="S53" s="418">
        <f>(G53/Population_Tables!T27)*Population_Tables!H86</f>
        <v>0.63802192390470491</v>
      </c>
      <c r="T53" s="418">
        <f>(H53/Population_Tables!U27)*Population_Tables!I86</f>
        <v>0</v>
      </c>
      <c r="U53" s="418">
        <f>(I53/Population_Tables!V27)*Population_Tables!J86</f>
        <v>0</v>
      </c>
      <c r="V53" s="418">
        <f>(J53/Population_Tables!W27)*Population_Tables!K86</f>
        <v>0</v>
      </c>
      <c r="W53" s="418">
        <f>(K53/Population_Tables!X27)*Population_Tables!L86</f>
        <v>0</v>
      </c>
      <c r="Y53" s="456">
        <v>2038</v>
      </c>
      <c r="Z53" s="459">
        <f>((B53/Population_Tables!O27)*Population_Tables!C27)-N53</f>
        <v>37.74920773199679</v>
      </c>
      <c r="AA53" s="459">
        <f>((C53/Population_Tables!P27)*Population_Tables!D27)-O53</f>
        <v>11.539350077634596</v>
      </c>
      <c r="AB53" s="459">
        <f>((D53/Population_Tables!Q27)*Population_Tables!E27)-P53</f>
        <v>2.2031851589367148</v>
      </c>
      <c r="AC53" s="459">
        <f>((E53/Population_Tables!R27)*Population_Tables!F27)-Q53</f>
        <v>13.495225544921251</v>
      </c>
      <c r="AD53" s="459">
        <f>((F53/Population_Tables!S27)*Population_Tables!G27)-R53</f>
        <v>2.4423725216174716</v>
      </c>
      <c r="AE53" s="459">
        <f>((G53/Population_Tables!T27)*Population_Tables!H27)-S53</f>
        <v>1.5995024340939734</v>
      </c>
      <c r="AF53" s="459">
        <f>(H53/Population_Tables!U27)*Population_Tables!I27</f>
        <v>10.234946174736431</v>
      </c>
      <c r="AG53" s="459">
        <f>(I53/Population_Tables!V27)*Population_Tables!J27</f>
        <v>3.8838792167022937</v>
      </c>
      <c r="AH53" s="459">
        <f>(J53/Population_Tables!W27)*Population_Tables!K27</f>
        <v>4.2134414354429204</v>
      </c>
      <c r="AI53" s="459">
        <f>(K53/Population_Tables!X27)*Population_Tables!L27</f>
        <v>4.9368574669307375</v>
      </c>
      <c r="AK53" s="456">
        <v>2038</v>
      </c>
      <c r="AL53" s="459">
        <f t="shared" si="6"/>
        <v>46.224203344305835</v>
      </c>
      <c r="AM53" s="459">
        <f t="shared" si="6"/>
        <v>11.539350077634596</v>
      </c>
      <c r="AN53" s="459">
        <f t="shared" si="6"/>
        <v>2.2031851589367148</v>
      </c>
      <c r="AO53" s="459">
        <f t="shared" si="6"/>
        <v>17.447062111881845</v>
      </c>
      <c r="AP53" s="459">
        <f t="shared" si="6"/>
        <v>6.3275096430612159</v>
      </c>
      <c r="AQ53" s="459">
        <f t="shared" si="6"/>
        <v>2.2375243579986783</v>
      </c>
      <c r="AR53" s="459">
        <f t="shared" si="6"/>
        <v>10.234946174736431</v>
      </c>
      <c r="AS53" s="459">
        <f t="shared" si="6"/>
        <v>3.8838792167022937</v>
      </c>
      <c r="AT53" s="459">
        <f t="shared" si="6"/>
        <v>4.2134414354429204</v>
      </c>
      <c r="AU53" s="459">
        <f t="shared" si="6"/>
        <v>4.9368574669307375</v>
      </c>
      <c r="AW53" s="216">
        <f>(B53/Population_Tables!O27)*Population_Tables!C27</f>
        <v>46.224203344305835</v>
      </c>
      <c r="AX53" s="153" t="str">
        <f t="shared" si="7"/>
        <v>OK</v>
      </c>
      <c r="AY53" s="421">
        <f t="shared" si="4"/>
        <v>39.754631349513048</v>
      </c>
      <c r="AZ53" s="153" t="str">
        <f t="shared" si="5"/>
        <v>OK</v>
      </c>
      <c r="BB53" s="216">
        <f>(C53/Population_Tables!P27)*Population_Tables!D27</f>
        <v>11.539350077634596</v>
      </c>
      <c r="BC53" s="216">
        <f>(D53/Population_Tables!Q27)*Population_Tables!E27</f>
        <v>2.2031851589367148</v>
      </c>
      <c r="BD53" s="216">
        <f>(E53/Population_Tables!R27)*Population_Tables!F27</f>
        <v>17.447062111881845</v>
      </c>
      <c r="BE53" s="216">
        <f>(F53/Population_Tables!S27)*Population_Tables!G27</f>
        <v>6.3275096430612159</v>
      </c>
      <c r="BF53" s="216">
        <f>(G53/Population_Tables!T27)*Population_Tables!H27</f>
        <v>2.2375243579986783</v>
      </c>
      <c r="BG53" s="216"/>
      <c r="BN53" s="216"/>
      <c r="BO53" s="216"/>
      <c r="BP53" s="216"/>
    </row>
    <row r="54" spans="1:68" ht="15.6" x14ac:dyDescent="0.3">
      <c r="A54" s="206">
        <v>2039</v>
      </c>
      <c r="B54" s="229">
        <v>44.400938091698585</v>
      </c>
      <c r="C54" s="229">
        <v>11.122695994006367</v>
      </c>
      <c r="D54" s="229">
        <v>2.1171432255338463</v>
      </c>
      <c r="E54" s="229">
        <v>16.752165174932045</v>
      </c>
      <c r="F54" s="229">
        <v>6.1575797548506896</v>
      </c>
      <c r="G54" s="229">
        <v>2.1357932871214191</v>
      </c>
      <c r="H54" s="229">
        <v>9.887527584518379</v>
      </c>
      <c r="I54" s="229">
        <v>3.7435430165019516</v>
      </c>
      <c r="J54" s="229">
        <v>4.0564045393444577</v>
      </c>
      <c r="K54" s="229">
        <v>4.7471326493889707</v>
      </c>
      <c r="M54" s="206">
        <v>2039</v>
      </c>
      <c r="N54" s="419">
        <f t="shared" si="2"/>
        <v>8.6619610496627999</v>
      </c>
      <c r="O54" s="418">
        <f>(C54/Population_Tables!P28)*Population_Tables!D87</f>
        <v>0</v>
      </c>
      <c r="P54" s="418">
        <f>(D54/Population_Tables!Q28)*Population_Tables!E87</f>
        <v>0</v>
      </c>
      <c r="Q54" s="418">
        <f>((E54-H54)/Population_Tables!R28)*Population_Tables!F87</f>
        <v>4.0374730415250593</v>
      </c>
      <c r="R54" s="418">
        <f>(F54/Population_Tables!S28)*Population_Tables!G87</f>
        <v>3.9751672488899201</v>
      </c>
      <c r="S54" s="418">
        <f>(G54/Population_Tables!T28)*Population_Tables!H87</f>
        <v>0.64932075924782151</v>
      </c>
      <c r="T54" s="418">
        <f>(H54/Population_Tables!U28)*Population_Tables!I87</f>
        <v>0</v>
      </c>
      <c r="U54" s="418">
        <f>(I54/Population_Tables!V28)*Population_Tables!J87</f>
        <v>0</v>
      </c>
      <c r="V54" s="418">
        <f>(J54/Population_Tables!W28)*Population_Tables!K87</f>
        <v>0</v>
      </c>
      <c r="W54" s="418">
        <f>(K54/Population_Tables!X28)*Population_Tables!L87</f>
        <v>0</v>
      </c>
      <c r="Y54" s="456">
        <v>2039</v>
      </c>
      <c r="Z54" s="459">
        <f>((B54/Population_Tables!O28)*Population_Tables!C28)-N54</f>
        <v>38.03929062930186</v>
      </c>
      <c r="AA54" s="459">
        <f>((C54/Population_Tables!P28)*Population_Tables!D28)-O54</f>
        <v>11.6231598233089</v>
      </c>
      <c r="AB54" s="459">
        <f>((D54/Population_Tables!Q28)*Population_Tables!E28)-P54</f>
        <v>2.2132434449435725</v>
      </c>
      <c r="AC54" s="459">
        <f>((E54/Population_Tables!R28)*Population_Tables!F28)-Q54</f>
        <v>13.611572372922156</v>
      </c>
      <c r="AD54" s="459">
        <f>((F54/Population_Tables!S28)*Population_Tables!G28)-R54</f>
        <v>2.4829623513586663</v>
      </c>
      <c r="AE54" s="459">
        <f>((G54/Population_Tables!T28)*Population_Tables!H28)-S54</f>
        <v>1.6208734058762797</v>
      </c>
      <c r="AF54" s="459">
        <f>(H54/Population_Tables!U28)*Population_Tables!I28</f>
        <v>10.304692727211654</v>
      </c>
      <c r="AG54" s="459">
        <f>(I54/Population_Tables!V28)*Population_Tables!J28</f>
        <v>3.9464303301875505</v>
      </c>
      <c r="AH54" s="459">
        <f>(J54/Population_Tables!W28)*Population_Tables!K28</f>
        <v>4.2287265403345682</v>
      </c>
      <c r="AI54" s="459">
        <f>(K54/Population_Tables!X28)*Population_Tables!L28</f>
        <v>4.9791406310860209</v>
      </c>
      <c r="AK54" s="456">
        <v>2039</v>
      </c>
      <c r="AL54" s="459">
        <f t="shared" si="6"/>
        <v>46.70125167896466</v>
      </c>
      <c r="AM54" s="459">
        <f t="shared" si="6"/>
        <v>11.6231598233089</v>
      </c>
      <c r="AN54" s="459">
        <f t="shared" si="6"/>
        <v>2.2132434449435725</v>
      </c>
      <c r="AO54" s="459">
        <f t="shared" si="6"/>
        <v>17.649045414447215</v>
      </c>
      <c r="AP54" s="459">
        <f t="shared" si="6"/>
        <v>6.4581296002485864</v>
      </c>
      <c r="AQ54" s="459">
        <f t="shared" si="6"/>
        <v>2.2701941651241011</v>
      </c>
      <c r="AR54" s="459">
        <f t="shared" si="6"/>
        <v>10.304692727211654</v>
      </c>
      <c r="AS54" s="459">
        <f t="shared" si="6"/>
        <v>3.9464303301875505</v>
      </c>
      <c r="AT54" s="459">
        <f t="shared" si="6"/>
        <v>4.2287265403345682</v>
      </c>
      <c r="AU54" s="459">
        <f t="shared" si="6"/>
        <v>4.9791406310860209</v>
      </c>
      <c r="AW54" s="216">
        <f>(B54/Population_Tables!O28)*Population_Tables!C28</f>
        <v>46.70125167896466</v>
      </c>
      <c r="AX54" s="153" t="str">
        <f t="shared" si="7"/>
        <v>OK</v>
      </c>
      <c r="AY54" s="421">
        <f t="shared" si="4"/>
        <v>40.213772448072376</v>
      </c>
      <c r="AZ54" s="153" t="str">
        <f t="shared" si="5"/>
        <v>OK</v>
      </c>
      <c r="BB54" s="216">
        <f>(C54/Population_Tables!P28)*Population_Tables!D28</f>
        <v>11.6231598233089</v>
      </c>
      <c r="BC54" s="216">
        <f>(D54/Population_Tables!Q28)*Population_Tables!E28</f>
        <v>2.2132434449435725</v>
      </c>
      <c r="BD54" s="216">
        <f>(E54/Population_Tables!R28)*Population_Tables!F28</f>
        <v>17.649045414447215</v>
      </c>
      <c r="BE54" s="216">
        <f>(F54/Population_Tables!S28)*Population_Tables!G28</f>
        <v>6.4581296002485864</v>
      </c>
      <c r="BF54" s="216">
        <f>(G54/Population_Tables!T28)*Population_Tables!H28</f>
        <v>2.2701941651241011</v>
      </c>
      <c r="BG54" s="216"/>
      <c r="BN54" s="216"/>
      <c r="BO54" s="216"/>
      <c r="BP54" s="216"/>
    </row>
    <row r="55" spans="1:68" ht="15.6" x14ac:dyDescent="0.3">
      <c r="A55" s="206">
        <v>2040</v>
      </c>
      <c r="B55" s="229">
        <v>44.713485073410624</v>
      </c>
      <c r="C55" s="229">
        <v>11.172519528820395</v>
      </c>
      <c r="D55" s="229">
        <v>2.1205785365500578</v>
      </c>
      <c r="E55" s="229">
        <v>16.889685976475565</v>
      </c>
      <c r="F55" s="229">
        <v>6.265243505969794</v>
      </c>
      <c r="G55" s="229">
        <v>2.1584997808644735</v>
      </c>
      <c r="H55" s="229">
        <v>9.9277243433422395</v>
      </c>
      <c r="I55" s="229">
        <v>3.7913875880747088</v>
      </c>
      <c r="J55" s="229">
        <v>4.0601897562085156</v>
      </c>
      <c r="K55" s="229">
        <v>4.773374686914984</v>
      </c>
      <c r="M55" s="206">
        <v>2040</v>
      </c>
      <c r="N55" s="419">
        <f t="shared" si="2"/>
        <v>8.8506981183524545</v>
      </c>
      <c r="O55" s="418">
        <f>(C55/Population_Tables!P29)*Population_Tables!D88</f>
        <v>0</v>
      </c>
      <c r="P55" s="418">
        <f>(D55/Population_Tables!Q29)*Population_Tables!E88</f>
        <v>0</v>
      </c>
      <c r="Q55" s="418">
        <f>((E55-H55)/Population_Tables!R29)*Population_Tables!F88</f>
        <v>4.1239701884700883</v>
      </c>
      <c r="R55" s="418">
        <f>(F55/Population_Tables!S29)*Population_Tables!G88</f>
        <v>4.0660138015199481</v>
      </c>
      <c r="S55" s="418">
        <f>(G55/Population_Tables!T29)*Population_Tables!H88</f>
        <v>0.66071412836241794</v>
      </c>
      <c r="T55" s="418">
        <f>(H55/Population_Tables!U29)*Population_Tables!I88</f>
        <v>0</v>
      </c>
      <c r="U55" s="418">
        <f>(I55/Population_Tables!V29)*Population_Tables!J88</f>
        <v>0</v>
      </c>
      <c r="V55" s="418">
        <f>(J55/Population_Tables!W29)*Population_Tables!K88</f>
        <v>0</v>
      </c>
      <c r="W55" s="418">
        <f>(K55/Population_Tables!X29)*Population_Tables!L88</f>
        <v>0</v>
      </c>
      <c r="Y55" s="456">
        <v>2040</v>
      </c>
      <c r="Z55" s="459">
        <f>((B55/Population_Tables!O29)*Population_Tables!C29)-N55</f>
        <v>38.325163574755081</v>
      </c>
      <c r="AA55" s="459">
        <f>((C55/Population_Tables!P29)*Population_Tables!D29)-O55</f>
        <v>11.706914548574193</v>
      </c>
      <c r="AB55" s="459">
        <f>((D55/Population_Tables!Q29)*Population_Tables!E29)-P55</f>
        <v>2.2234273352204657</v>
      </c>
      <c r="AC55" s="459">
        <f>((E55/Population_Tables!R29)*Population_Tables!F29)-Q55</f>
        <v>13.727465230845105</v>
      </c>
      <c r="AD55" s="459">
        <f>((F55/Population_Tables!S29)*Population_Tables!G29)-R55</f>
        <v>2.5237400384584765</v>
      </c>
      <c r="AE55" s="459">
        <f>((G55/Population_Tables!T29)*Population_Tables!H29)-S55</f>
        <v>1.642294588470504</v>
      </c>
      <c r="AF55" s="459">
        <f>(H55/Population_Tables!U29)*Population_Tables!I29</f>
        <v>10.374060786329297</v>
      </c>
      <c r="AG55" s="459">
        <f>(I55/Population_Tables!V29)*Population_Tables!J29</f>
        <v>4.0091031533206616</v>
      </c>
      <c r="AH55" s="459">
        <f>(J55/Population_Tables!W29)*Population_Tables!K29</f>
        <v>4.2439258463219849</v>
      </c>
      <c r="AI55" s="459">
        <f>(K55/Population_Tables!X29)*Population_Tables!L29</f>
        <v>5.0213470656855943</v>
      </c>
      <c r="AK55" s="456">
        <v>2040</v>
      </c>
      <c r="AL55" s="459">
        <f t="shared" si="6"/>
        <v>47.175861693107535</v>
      </c>
      <c r="AM55" s="459">
        <f t="shared" si="6"/>
        <v>11.706914548574193</v>
      </c>
      <c r="AN55" s="459">
        <f t="shared" si="6"/>
        <v>2.2234273352204657</v>
      </c>
      <c r="AO55" s="459">
        <f t="shared" si="6"/>
        <v>17.851435419315195</v>
      </c>
      <c r="AP55" s="459">
        <f t="shared" si="6"/>
        <v>6.5897538399784246</v>
      </c>
      <c r="AQ55" s="459">
        <f t="shared" si="6"/>
        <v>2.3030087168329221</v>
      </c>
      <c r="AR55" s="459">
        <f t="shared" si="6"/>
        <v>10.374060786329297</v>
      </c>
      <c r="AS55" s="459">
        <f t="shared" si="6"/>
        <v>4.0091031533206616</v>
      </c>
      <c r="AT55" s="459">
        <f t="shared" si="6"/>
        <v>4.2439258463219849</v>
      </c>
      <c r="AU55" s="459">
        <f t="shared" si="6"/>
        <v>5.0213470656855943</v>
      </c>
      <c r="AW55" s="216">
        <f>(B55/Population_Tables!O29)*Population_Tables!C29</f>
        <v>47.175861693107535</v>
      </c>
      <c r="AX55" s="153" t="str">
        <f t="shared" si="7"/>
        <v>OK</v>
      </c>
      <c r="AY55" s="421">
        <f t="shared" si="4"/>
        <v>40.674539859921197</v>
      </c>
      <c r="AZ55" s="153" t="str">
        <f t="shared" si="5"/>
        <v>OK</v>
      </c>
      <c r="BB55" s="216">
        <f>(C55/Population_Tables!P29)*Population_Tables!D29</f>
        <v>11.706914548574193</v>
      </c>
      <c r="BC55" s="216">
        <f>(D55/Population_Tables!Q29)*Population_Tables!E29</f>
        <v>2.2234273352204657</v>
      </c>
      <c r="BD55" s="216">
        <f>(E55/Population_Tables!R29)*Population_Tables!F29</f>
        <v>17.851435419315195</v>
      </c>
      <c r="BE55" s="216">
        <f>(F55/Population_Tables!S29)*Population_Tables!G29</f>
        <v>6.5897538399784246</v>
      </c>
      <c r="BF55" s="216">
        <f>(G55/Population_Tables!T29)*Population_Tables!H29</f>
        <v>2.3030087168329221</v>
      </c>
      <c r="BG55" s="216"/>
      <c r="BN55" s="216"/>
      <c r="BO55" s="216"/>
      <c r="BP55" s="216"/>
    </row>
    <row r="56" spans="1:68" ht="15.6" x14ac:dyDescent="0.3">
      <c r="A56" s="206">
        <v>2041</v>
      </c>
      <c r="B56" s="229">
        <v>45.020155574237485</v>
      </c>
      <c r="C56" s="229">
        <v>11.221746308530811</v>
      </c>
      <c r="D56" s="229">
        <v>2.1240020205814876</v>
      </c>
      <c r="E56" s="229">
        <v>17.025699986912631</v>
      </c>
      <c r="F56" s="229">
        <v>6.3729819046264096</v>
      </c>
      <c r="G56" s="229">
        <v>2.1810127941133031</v>
      </c>
      <c r="H56" s="229">
        <v>9.9668095065392421</v>
      </c>
      <c r="I56" s="229">
        <v>3.838952017783865</v>
      </c>
      <c r="J56" s="229">
        <v>4.0637403304201269</v>
      </c>
      <c r="K56" s="229">
        <v>4.7992998403047045</v>
      </c>
      <c r="M56" s="206">
        <v>2041</v>
      </c>
      <c r="N56" s="419">
        <f t="shared" si="2"/>
        <v>9.0410987582383058</v>
      </c>
      <c r="O56" s="418">
        <f>(C56/Population_Tables!P30)*Population_Tables!D89</f>
        <v>0</v>
      </c>
      <c r="P56" s="418">
        <f>(D56/Population_Tables!Q30)*Population_Tables!E89</f>
        <v>0</v>
      </c>
      <c r="Q56" s="418">
        <f>((E56-H56)/Population_Tables!R30)*Population_Tables!F89</f>
        <v>4.2112437069286059</v>
      </c>
      <c r="R56" s="418">
        <f>(F56/Population_Tables!S30)*Population_Tables!G89</f>
        <v>4.1576623750534285</v>
      </c>
      <c r="S56" s="418">
        <f>(G56/Population_Tables!T30)*Population_Tables!H89</f>
        <v>0.67219267625627066</v>
      </c>
      <c r="T56" s="418">
        <f>(H56/Population_Tables!U30)*Population_Tables!I89</f>
        <v>0</v>
      </c>
      <c r="U56" s="418">
        <f>(I56/Population_Tables!V30)*Population_Tables!J89</f>
        <v>0</v>
      </c>
      <c r="V56" s="418">
        <f>(J56/Population_Tables!W30)*Population_Tables!K89</f>
        <v>0</v>
      </c>
      <c r="W56" s="418">
        <f>(K56/Population_Tables!X30)*Population_Tables!L89</f>
        <v>0</v>
      </c>
      <c r="Y56" s="456">
        <v>2041</v>
      </c>
      <c r="Z56" s="459">
        <f>((B56/Population_Tables!O30)*Population_Tables!C30)-N56</f>
        <v>38.607156952585385</v>
      </c>
      <c r="AA56" s="459">
        <f>((C56/Population_Tables!P30)*Population_Tables!D30)-O56</f>
        <v>11.79054038098413</v>
      </c>
      <c r="AB56" s="459">
        <f>((D56/Population_Tables!Q30)*Population_Tables!E30)-P56</f>
        <v>2.2337783987601187</v>
      </c>
      <c r="AC56" s="459">
        <f>((E56/Population_Tables!R30)*Population_Tables!F30)-Q56</f>
        <v>13.842748383382254</v>
      </c>
      <c r="AD56" s="459">
        <f>((F56/Population_Tables!S30)*Population_Tables!G30)-R56</f>
        <v>2.5647070991678511</v>
      </c>
      <c r="AE56" s="459">
        <f>((G56/Population_Tables!T30)*Population_Tables!H30)-S56</f>
        <v>1.6637404038344916</v>
      </c>
      <c r="AF56" s="459">
        <f>(H56/Population_Tables!U30)*Population_Tables!I30</f>
        <v>10.442947731270571</v>
      </c>
      <c r="AG56" s="459">
        <f>(I56/Population_Tables!V30)*Population_Tables!J30</f>
        <v>4.0718607002902978</v>
      </c>
      <c r="AH56" s="459">
        <f>(J56/Population_Tables!W30)*Population_Tables!K30</f>
        <v>4.2590577750016481</v>
      </c>
      <c r="AI56" s="459">
        <f>(K56/Population_Tables!X30)*Population_Tables!L30</f>
        <v>5.0634520095863502</v>
      </c>
      <c r="AK56" s="456">
        <v>2041</v>
      </c>
      <c r="AL56" s="459">
        <f t="shared" si="6"/>
        <v>47.64825571082369</v>
      </c>
      <c r="AM56" s="459">
        <f t="shared" si="6"/>
        <v>11.79054038098413</v>
      </c>
      <c r="AN56" s="459">
        <f t="shared" si="6"/>
        <v>2.2337783987601187</v>
      </c>
      <c r="AO56" s="459">
        <f t="shared" si="6"/>
        <v>18.05399209031086</v>
      </c>
      <c r="AP56" s="459">
        <f t="shared" si="6"/>
        <v>6.7223694742212796</v>
      </c>
      <c r="AQ56" s="459">
        <f t="shared" si="6"/>
        <v>2.3359330800907623</v>
      </c>
      <c r="AR56" s="459">
        <f t="shared" si="6"/>
        <v>10.442947731270571</v>
      </c>
      <c r="AS56" s="459">
        <f t="shared" si="6"/>
        <v>4.0718607002902978</v>
      </c>
      <c r="AT56" s="459">
        <f t="shared" si="6"/>
        <v>4.2590577750016481</v>
      </c>
      <c r="AU56" s="459">
        <f t="shared" si="6"/>
        <v>5.0634520095863502</v>
      </c>
      <c r="AW56" s="216">
        <f>(B56/Population_Tables!O30)*Population_Tables!C30</f>
        <v>47.64825571082369</v>
      </c>
      <c r="AX56" s="153" t="str">
        <f t="shared" si="7"/>
        <v>OK</v>
      </c>
      <c r="AY56" s="421">
        <f t="shared" si="4"/>
        <v>41.136613424367148</v>
      </c>
      <c r="AZ56" s="153" t="str">
        <f t="shared" si="5"/>
        <v>OK</v>
      </c>
      <c r="BB56" s="216">
        <f>(C56/Population_Tables!P30)*Population_Tables!D30</f>
        <v>11.79054038098413</v>
      </c>
      <c r="BC56" s="216">
        <f>(D56/Population_Tables!Q30)*Population_Tables!E30</f>
        <v>2.2337783987601187</v>
      </c>
      <c r="BD56" s="216">
        <f>(E56/Population_Tables!R30)*Population_Tables!F30</f>
        <v>18.05399209031086</v>
      </c>
      <c r="BE56" s="216">
        <f>(F56/Population_Tables!S30)*Population_Tables!G30</f>
        <v>6.7223694742212796</v>
      </c>
      <c r="BF56" s="216">
        <f>(G56/Population_Tables!T30)*Population_Tables!H30</f>
        <v>2.3359330800907623</v>
      </c>
      <c r="BG56" s="216"/>
      <c r="BN56" s="216"/>
      <c r="BO56" s="216"/>
      <c r="BP56" s="216"/>
    </row>
    <row r="57" spans="1:68" ht="15.6" x14ac:dyDescent="0.3">
      <c r="A57" s="206">
        <v>2042</v>
      </c>
      <c r="B57" s="229">
        <v>45.320949594179183</v>
      </c>
      <c r="C57" s="229">
        <v>11.27027257990752</v>
      </c>
      <c r="D57" s="229">
        <v>2.1274444443213847</v>
      </c>
      <c r="E57" s="229">
        <v>17.15987955900389</v>
      </c>
      <c r="F57" s="229">
        <v>6.4807368391249067</v>
      </c>
      <c r="G57" s="229">
        <v>2.2032855207144326</v>
      </c>
      <c r="H57" s="229">
        <v>10.004657246510124</v>
      </c>
      <c r="I57" s="229">
        <v>3.8861749520016913</v>
      </c>
      <c r="J57" s="229">
        <v>4.0670618145084978</v>
      </c>
      <c r="K57" s="229">
        <v>4.8248714530210322</v>
      </c>
      <c r="M57" s="206">
        <v>2042</v>
      </c>
      <c r="N57" s="419">
        <f t="shared" si="2"/>
        <v>9.2330120181345503</v>
      </c>
      <c r="O57" s="418">
        <f>(C57/Population_Tables!P31)*Population_Tables!D90</f>
        <v>0</v>
      </c>
      <c r="P57" s="418">
        <f>(D57/Population_Tables!Q31)*Population_Tables!E90</f>
        <v>0</v>
      </c>
      <c r="Q57" s="418">
        <f>((E57-H57)/Population_Tables!R31)*Population_Tables!F90</f>
        <v>4.2991967291373969</v>
      </c>
      <c r="R57" s="418">
        <f>(F57/Population_Tables!S31)*Population_Tables!G90</f>
        <v>4.2500749992482296</v>
      </c>
      <c r="S57" s="418">
        <f>(G57/Population_Tables!T31)*Population_Tables!H90</f>
        <v>0.68374028974892342</v>
      </c>
      <c r="T57" s="418">
        <f>(H57/Population_Tables!U31)*Population_Tables!I90</f>
        <v>0</v>
      </c>
      <c r="U57" s="418">
        <f>(I57/Population_Tables!V31)*Population_Tables!J90</f>
        <v>0</v>
      </c>
      <c r="V57" s="418">
        <f>(J57/Population_Tables!W31)*Population_Tables!K90</f>
        <v>0</v>
      </c>
      <c r="W57" s="418">
        <f>(K57/Population_Tables!X31)*Population_Tables!L90</f>
        <v>0</v>
      </c>
      <c r="Y57" s="456">
        <v>2042</v>
      </c>
      <c r="Z57" s="459">
        <f>((B57/Population_Tables!O31)*Population_Tables!C31)-N57</f>
        <v>38.885427933937457</v>
      </c>
      <c r="AA57" s="459">
        <f>((C57/Population_Tables!P31)*Population_Tables!D31)-O57</f>
        <v>11.87389345881699</v>
      </c>
      <c r="AB57" s="459">
        <f>((D57/Population_Tables!Q31)*Population_Tables!E31)-P57</f>
        <v>2.2443247452303501</v>
      </c>
      <c r="AC57" s="459">
        <f>((E57/Population_Tables!R31)*Population_Tables!F31)-Q57</f>
        <v>13.957211353113053</v>
      </c>
      <c r="AD57" s="459">
        <f>((F57/Population_Tables!S31)*Population_Tables!G31)-R57</f>
        <v>2.6058557363235293</v>
      </c>
      <c r="AE57" s="459">
        <f>((G57/Population_Tables!T31)*Population_Tables!H31)-S57</f>
        <v>1.685175242450522</v>
      </c>
      <c r="AF57" s="459">
        <f>(H57/Population_Tables!U31)*Population_Tables!I31</f>
        <v>10.511211479817131</v>
      </c>
      <c r="AG57" s="459">
        <f>(I57/Population_Tables!V31)*Population_Tables!J31</f>
        <v>4.1346639907056151</v>
      </c>
      <c r="AH57" s="459">
        <f>(J57/Population_Tables!W31)*Population_Tables!K31</f>
        <v>4.2741141872086841</v>
      </c>
      <c r="AI57" s="459">
        <f>(K57/Population_Tables!X31)*Population_Tables!L31</f>
        <v>5.1054043134772948</v>
      </c>
      <c r="AK57" s="456">
        <v>2042</v>
      </c>
      <c r="AL57" s="459">
        <f t="shared" si="6"/>
        <v>48.118439952072009</v>
      </c>
      <c r="AM57" s="459">
        <f t="shared" si="6"/>
        <v>11.87389345881699</v>
      </c>
      <c r="AN57" s="459">
        <f t="shared" si="6"/>
        <v>2.2443247452303501</v>
      </c>
      <c r="AO57" s="459">
        <f t="shared" si="6"/>
        <v>18.256408082250449</v>
      </c>
      <c r="AP57" s="459">
        <f t="shared" si="6"/>
        <v>6.8559307355717589</v>
      </c>
      <c r="AQ57" s="459">
        <f t="shared" si="6"/>
        <v>2.3689155321994453</v>
      </c>
      <c r="AR57" s="459">
        <f t="shared" si="6"/>
        <v>10.511211479817131</v>
      </c>
      <c r="AS57" s="459">
        <f t="shared" si="6"/>
        <v>4.1346639907056151</v>
      </c>
      <c r="AT57" s="459">
        <f t="shared" si="6"/>
        <v>4.2741141872086841</v>
      </c>
      <c r="AU57" s="459">
        <f t="shared" si="6"/>
        <v>5.1054043134772948</v>
      </c>
      <c r="AW57" s="216">
        <f>(B57/Population_Tables!O31)*Population_Tables!C31</f>
        <v>48.118439952072009</v>
      </c>
      <c r="AX57" s="153" t="str">
        <f t="shared" si="7"/>
        <v>OK</v>
      </c>
      <c r="AY57" s="421">
        <f t="shared" si="4"/>
        <v>41.599472554068996</v>
      </c>
      <c r="AZ57" s="153" t="str">
        <f t="shared" si="5"/>
        <v>OK</v>
      </c>
      <c r="BB57" s="216">
        <f>(C57/Population_Tables!P31)*Population_Tables!D31</f>
        <v>11.87389345881699</v>
      </c>
      <c r="BC57" s="216">
        <f>(D57/Population_Tables!Q31)*Population_Tables!E31</f>
        <v>2.2443247452303501</v>
      </c>
      <c r="BD57" s="216">
        <f>(E57/Population_Tables!R31)*Population_Tables!F31</f>
        <v>18.256408082250449</v>
      </c>
      <c r="BE57" s="216">
        <f>(F57/Population_Tables!S31)*Population_Tables!G31</f>
        <v>6.8559307355717589</v>
      </c>
      <c r="BF57" s="216">
        <f>(G57/Population_Tables!T31)*Population_Tables!H31</f>
        <v>2.3689155321994453</v>
      </c>
      <c r="BG57" s="216"/>
      <c r="BN57" s="216"/>
      <c r="BO57" s="216"/>
      <c r="BP57" s="216"/>
    </row>
    <row r="58" spans="1:68" ht="15.6" x14ac:dyDescent="0.3">
      <c r="A58" s="206">
        <v>2043</v>
      </c>
      <c r="B58" s="229">
        <v>45.61586713323571</v>
      </c>
      <c r="C58" s="229">
        <v>11.317994589720426</v>
      </c>
      <c r="D58" s="229">
        <v>2.1309365744629991</v>
      </c>
      <c r="E58" s="229">
        <v>17.291897045509984</v>
      </c>
      <c r="F58" s="229">
        <v>6.5884501977696557</v>
      </c>
      <c r="G58" s="229">
        <v>2.2252711545143882</v>
      </c>
      <c r="H58" s="229">
        <v>10.041141735655625</v>
      </c>
      <c r="I58" s="229">
        <v>3.9329950371004596</v>
      </c>
      <c r="J58" s="229">
        <v>4.0701597610028317</v>
      </c>
      <c r="K58" s="229">
        <v>4.8500528685268689</v>
      </c>
      <c r="M58" s="206">
        <v>2043</v>
      </c>
      <c r="N58" s="419">
        <f t="shared" si="2"/>
        <v>9.4264807996466473</v>
      </c>
      <c r="O58" s="418">
        <f>(C58/Population_Tables!P32)*Population_Tables!D91</f>
        <v>0</v>
      </c>
      <c r="P58" s="418">
        <f>(D58/Population_Tables!Q32)*Population_Tables!E91</f>
        <v>0</v>
      </c>
      <c r="Q58" s="418">
        <f>((E58-H58)/Population_Tables!R32)*Population_Tables!F91</f>
        <v>4.3878410446191198</v>
      </c>
      <c r="R58" s="418">
        <f>(F58/Population_Tables!S32)*Population_Tables!G91</f>
        <v>4.3432850837385892</v>
      </c>
      <c r="S58" s="418">
        <f>(G58/Population_Tables!T32)*Population_Tables!H91</f>
        <v>0.69535467128893869</v>
      </c>
      <c r="T58" s="418">
        <f>(H58/Population_Tables!U32)*Population_Tables!I91</f>
        <v>0</v>
      </c>
      <c r="U58" s="418">
        <f>(I58/Population_Tables!V32)*Population_Tables!J91</f>
        <v>0</v>
      </c>
      <c r="V58" s="418">
        <f>(J58/Population_Tables!W32)*Population_Tables!K91</f>
        <v>0</v>
      </c>
      <c r="W58" s="418">
        <f>(K58/Population_Tables!X32)*Population_Tables!L91</f>
        <v>0</v>
      </c>
      <c r="Y58" s="456">
        <v>2043</v>
      </c>
      <c r="Z58" s="459">
        <f>((B58/Population_Tables!O32)*Population_Tables!C32)-N58</f>
        <v>39.160605653602715</v>
      </c>
      <c r="AA58" s="459">
        <f>((C58/Population_Tables!P32)*Population_Tables!D32)-O58</f>
        <v>11.956923304204608</v>
      </c>
      <c r="AB58" s="459">
        <f>((D58/Population_Tables!Q32)*Population_Tables!E32)-P58</f>
        <v>2.2551155233146734</v>
      </c>
      <c r="AC58" s="459">
        <f>((E58/Population_Tables!R32)*Population_Tables!F32)-Q58</f>
        <v>14.070823407313085</v>
      </c>
      <c r="AD58" s="459">
        <f>((F58/Population_Tables!S32)*Population_Tables!G32)-R58</f>
        <v>2.6471967499750191</v>
      </c>
      <c r="AE58" s="459">
        <f>((G58/Population_Tables!T32)*Population_Tables!H32)-S58</f>
        <v>1.7065793048267857</v>
      </c>
      <c r="AF58" s="459">
        <f>(H58/Population_Tables!U32)*Population_Tables!I32</f>
        <v>10.578833022291573</v>
      </c>
      <c r="AG58" s="459">
        <f>(I58/Population_Tables!V32)*Population_Tables!J32</f>
        <v>4.1975595859653012</v>
      </c>
      <c r="AH58" s="459">
        <f>(J58/Population_Tables!W32)*Population_Tables!K32</f>
        <v>4.2891189055347052</v>
      </c>
      <c r="AI58" s="459">
        <f>(K58/Population_Tables!X32)*Population_Tables!L32</f>
        <v>5.1471982077929335</v>
      </c>
      <c r="AK58" s="456">
        <v>2043</v>
      </c>
      <c r="AL58" s="459">
        <f t="shared" si="6"/>
        <v>48.587086453249363</v>
      </c>
      <c r="AM58" s="459">
        <f t="shared" si="6"/>
        <v>11.956923304204608</v>
      </c>
      <c r="AN58" s="459">
        <f t="shared" si="6"/>
        <v>2.2551155233146734</v>
      </c>
      <c r="AO58" s="459">
        <f t="shared" si="6"/>
        <v>18.458664451932204</v>
      </c>
      <c r="AP58" s="459">
        <f t="shared" si="6"/>
        <v>6.9904818337136083</v>
      </c>
      <c r="AQ58" s="459">
        <f t="shared" si="6"/>
        <v>2.4019339761157243</v>
      </c>
      <c r="AR58" s="459">
        <f t="shared" si="6"/>
        <v>10.578833022291573</v>
      </c>
      <c r="AS58" s="459">
        <f t="shared" si="6"/>
        <v>4.1975595859653012</v>
      </c>
      <c r="AT58" s="459">
        <f t="shared" si="6"/>
        <v>4.2891189055347052</v>
      </c>
      <c r="AU58" s="459">
        <f t="shared" si="6"/>
        <v>5.1471982077929335</v>
      </c>
      <c r="AW58" s="216">
        <f>(B58/Population_Tables!O32)*Population_Tables!C32</f>
        <v>48.587086453249363</v>
      </c>
      <c r="AX58" s="153" t="str">
        <f t="shared" si="7"/>
        <v>OK</v>
      </c>
      <c r="AY58" s="421">
        <f t="shared" si="4"/>
        <v>42.063119089280818</v>
      </c>
      <c r="AZ58" s="153" t="str">
        <f t="shared" si="5"/>
        <v>OK</v>
      </c>
      <c r="BB58" s="216">
        <f>(C58/Population_Tables!P32)*Population_Tables!D32</f>
        <v>11.956923304204608</v>
      </c>
      <c r="BC58" s="216">
        <f>(D58/Population_Tables!Q32)*Population_Tables!E32</f>
        <v>2.2551155233146734</v>
      </c>
      <c r="BD58" s="216">
        <f>(E58/Population_Tables!R32)*Population_Tables!F32</f>
        <v>18.458664451932204</v>
      </c>
      <c r="BE58" s="216">
        <f>(F58/Population_Tables!S32)*Population_Tables!G32</f>
        <v>6.9904818337136083</v>
      </c>
      <c r="BF58" s="216">
        <f>(G58/Population_Tables!T32)*Population_Tables!H32</f>
        <v>2.4019339761157243</v>
      </c>
      <c r="BG58" s="216"/>
      <c r="BN58" s="216"/>
      <c r="BO58" s="216"/>
      <c r="BP58" s="216"/>
    </row>
    <row r="59" spans="1:68" ht="15.6" x14ac:dyDescent="0.3">
      <c r="A59" s="206">
        <v>2044</v>
      </c>
      <c r="B59" s="229">
        <v>45.904908191407067</v>
      </c>
      <c r="C59" s="229">
        <v>11.364808584739437</v>
      </c>
      <c r="D59" s="229">
        <v>2.1345091776995795</v>
      </c>
      <c r="E59" s="229">
        <v>17.421424799191556</v>
      </c>
      <c r="F59" s="229">
        <v>6.6960638688650285</v>
      </c>
      <c r="G59" s="229">
        <v>2.246922889359694</v>
      </c>
      <c r="H59" s="229">
        <v>10.076137146376483</v>
      </c>
      <c r="I59" s="229">
        <v>3.9793509194524406</v>
      </c>
      <c r="J59" s="229">
        <v>4.073039722432334</v>
      </c>
      <c r="K59" s="229">
        <v>4.8748074302851139</v>
      </c>
      <c r="M59" s="206">
        <v>2044</v>
      </c>
      <c r="N59" s="419">
        <f t="shared" si="2"/>
        <v>9.621587988934305</v>
      </c>
      <c r="O59" s="418">
        <f>(C59/Population_Tables!P33)*Population_Tables!D92</f>
        <v>0</v>
      </c>
      <c r="P59" s="418">
        <f>(D59/Population_Tables!Q33)*Population_Tables!E92</f>
        <v>0</v>
      </c>
      <c r="Q59" s="418">
        <f>((E59-H59)/Population_Tables!R33)*Population_Tables!F92</f>
        <v>4.4772182031417076</v>
      </c>
      <c r="R59" s="418">
        <f>(F59/Population_Tables!S33)*Population_Tables!G92</f>
        <v>4.4373349817656775</v>
      </c>
      <c r="S59" s="418">
        <f>(G59/Population_Tables!T33)*Population_Tables!H92</f>
        <v>0.70703480402691921</v>
      </c>
      <c r="T59" s="418">
        <f>(H59/Population_Tables!U33)*Population_Tables!I92</f>
        <v>0</v>
      </c>
      <c r="U59" s="418">
        <f>(I59/Population_Tables!V33)*Population_Tables!J92</f>
        <v>0</v>
      </c>
      <c r="V59" s="418">
        <f>(J59/Population_Tables!W33)*Population_Tables!K92</f>
        <v>0</v>
      </c>
      <c r="W59" s="418">
        <f>(K59/Population_Tables!X33)*Population_Tables!L92</f>
        <v>0</v>
      </c>
      <c r="Y59" s="456">
        <v>2044</v>
      </c>
      <c r="Z59" s="459">
        <f>((B59/Population_Tables!O33)*Population_Tables!C33)-N59</f>
        <v>39.433381804129368</v>
      </c>
      <c r="AA59" s="459">
        <f>((C59/Population_Tables!P33)*Population_Tables!D33)-O59</f>
        <v>12.039580510170079</v>
      </c>
      <c r="AB59" s="459">
        <f>((D59/Population_Tables!Q33)*Population_Tables!E33)-P59</f>
        <v>2.2662003062885234</v>
      </c>
      <c r="AC59" s="459">
        <f>((E59/Population_Tables!R33)*Population_Tables!F33)-Q59</f>
        <v>14.183585624328266</v>
      </c>
      <c r="AD59" s="459">
        <f>((F59/Population_Tables!S33)*Population_Tables!G33)-R59</f>
        <v>2.6887418205114013</v>
      </c>
      <c r="AE59" s="459">
        <f>((G59/Population_Tables!T33)*Population_Tables!H33)-S59</f>
        <v>1.7279335690463895</v>
      </c>
      <c r="AF59" s="459">
        <f>(H59/Population_Tables!U33)*Population_Tables!I33</f>
        <v>10.645816889364482</v>
      </c>
      <c r="AG59" s="459">
        <f>(I59/Population_Tables!V33)*Population_Tables!J33</f>
        <v>4.2606191907444444</v>
      </c>
      <c r="AH59" s="459">
        <f>(J59/Population_Tables!W33)*Population_Tables!K33</f>
        <v>4.3040951281344899</v>
      </c>
      <c r="AI59" s="459">
        <f>(K59/Population_Tables!X33)*Population_Tables!L33</f>
        <v>5.1888323582735421</v>
      </c>
      <c r="AK59" s="456">
        <v>2044</v>
      </c>
      <c r="AL59" s="459">
        <f t="shared" si="6"/>
        <v>49.054969793063677</v>
      </c>
      <c r="AM59" s="459">
        <f t="shared" si="6"/>
        <v>12.039580510170079</v>
      </c>
      <c r="AN59" s="459">
        <f t="shared" si="6"/>
        <v>2.2662003062885234</v>
      </c>
      <c r="AO59" s="459">
        <f t="shared" si="6"/>
        <v>18.660803827469973</v>
      </c>
      <c r="AP59" s="459">
        <f t="shared" si="6"/>
        <v>7.1260768022770788</v>
      </c>
      <c r="AQ59" s="459">
        <f t="shared" si="6"/>
        <v>2.4349683730733087</v>
      </c>
      <c r="AR59" s="459">
        <f t="shared" si="6"/>
        <v>10.645816889364482</v>
      </c>
      <c r="AS59" s="459">
        <f t="shared" si="6"/>
        <v>4.2606191907444444</v>
      </c>
      <c r="AT59" s="459">
        <f t="shared" si="6"/>
        <v>4.3040951281344899</v>
      </c>
      <c r="AU59" s="459">
        <f t="shared" si="6"/>
        <v>5.1888323582735421</v>
      </c>
      <c r="AW59" s="216">
        <f>(B59/Population_Tables!O33)*Population_Tables!C33</f>
        <v>49.05496979306367</v>
      </c>
      <c r="AX59" s="153" t="b">
        <f t="shared" si="7"/>
        <v>0</v>
      </c>
      <c r="AY59" s="421">
        <f t="shared" si="4"/>
        <v>42.527629819278964</v>
      </c>
      <c r="AZ59" s="153" t="str">
        <f t="shared" si="5"/>
        <v>OK</v>
      </c>
      <c r="BB59" s="216">
        <f>(C59/Population_Tables!P33)*Population_Tables!D33</f>
        <v>12.039580510170079</v>
      </c>
      <c r="BC59" s="216">
        <f>(D59/Population_Tables!Q33)*Population_Tables!E33</f>
        <v>2.2662003062885234</v>
      </c>
      <c r="BD59" s="216">
        <f>(E59/Population_Tables!R33)*Population_Tables!F33</f>
        <v>18.660803827469973</v>
      </c>
      <c r="BE59" s="216">
        <f>(F59/Population_Tables!S33)*Population_Tables!G33</f>
        <v>7.1260768022770788</v>
      </c>
      <c r="BF59" s="216">
        <f>(G59/Population_Tables!T33)*Population_Tables!H33</f>
        <v>2.4349683730733087</v>
      </c>
      <c r="BG59" s="216"/>
      <c r="BN59" s="216"/>
      <c r="BO59" s="216"/>
      <c r="BP59" s="216"/>
    </row>
    <row r="60" spans="1:68" ht="15.6" x14ac:dyDescent="0.3">
      <c r="A60" s="206">
        <v>2045</v>
      </c>
      <c r="B60" s="229">
        <v>46.188072768693253</v>
      </c>
      <c r="C60" s="229">
        <v>11.410610811734456</v>
      </c>
      <c r="D60" s="229">
        <v>2.1381930207243753</v>
      </c>
      <c r="E60" s="229">
        <v>17.54813517280925</v>
      </c>
      <c r="F60" s="229">
        <v>6.8035197407153936</v>
      </c>
      <c r="G60" s="229">
        <v>2.2681939190968756</v>
      </c>
      <c r="H60" s="229">
        <v>10.109517651073439</v>
      </c>
      <c r="I60" s="229">
        <v>4.0251812454299056</v>
      </c>
      <c r="J60" s="229">
        <v>4.0757072513262091</v>
      </c>
      <c r="K60" s="229">
        <v>4.8990984817586671</v>
      </c>
      <c r="M60" s="206">
        <v>2045</v>
      </c>
      <c r="N60" s="419">
        <f t="shared" si="2"/>
        <v>9.8183829743678857</v>
      </c>
      <c r="O60" s="418">
        <f>(C60/Population_Tables!P34)*Population_Tables!D93</f>
        <v>0</v>
      </c>
      <c r="P60" s="418">
        <f>(D60/Population_Tables!Q34)*Population_Tables!E93</f>
        <v>0</v>
      </c>
      <c r="Q60" s="418">
        <f>((E60-H60)/Population_Tables!R34)*Population_Tables!F93</f>
        <v>4.567349694829467</v>
      </c>
      <c r="R60" s="418">
        <f>(F60/Population_Tables!S34)*Population_Tables!G93</f>
        <v>4.5322551655221543</v>
      </c>
      <c r="S60" s="418">
        <f>(G60/Population_Tables!T34)*Population_Tables!H93</f>
        <v>0.71877811401626412</v>
      </c>
      <c r="T60" s="418">
        <f>(H60/Population_Tables!U34)*Population_Tables!I93</f>
        <v>0</v>
      </c>
      <c r="U60" s="418">
        <f>(I60/Population_Tables!V34)*Population_Tables!J93</f>
        <v>0</v>
      </c>
      <c r="V60" s="418">
        <f>(J60/Population_Tables!W34)*Population_Tables!K93</f>
        <v>0</v>
      </c>
      <c r="W60" s="418">
        <f>(K60/Population_Tables!X34)*Population_Tables!L93</f>
        <v>0</v>
      </c>
      <c r="Y60" s="456">
        <v>2045</v>
      </c>
      <c r="Z60" s="459">
        <f>((B60/Population_Tables!O34)*Population_Tables!C34)-N60</f>
        <v>39.704385030892148</v>
      </c>
      <c r="AA60" s="459">
        <f>((C60/Population_Tables!P34)*Population_Tables!D34)-O60</f>
        <v>12.121828366832441</v>
      </c>
      <c r="AB60" s="459">
        <f>((D60/Population_Tables!Q34)*Population_Tables!E34)-P60</f>
        <v>2.2776293771082932</v>
      </c>
      <c r="AC60" s="459">
        <f>((E60/Population_Tables!R34)*Population_Tables!F34)-Q60</f>
        <v>14.295467971444666</v>
      </c>
      <c r="AD60" s="459">
        <f>((F60/Population_Tables!S34)*Population_Tables!G34)-R60</f>
        <v>2.7304993708108531</v>
      </c>
      <c r="AE60" s="459">
        <f>((G60/Population_Tables!T34)*Population_Tables!H34)-S60</f>
        <v>1.7492182120592654</v>
      </c>
      <c r="AF60" s="459">
        <f>(H60/Population_Tables!U34)*Population_Tables!I34</f>
        <v>10.712149606826371</v>
      </c>
      <c r="AG60" s="459">
        <f>(I60/Population_Tables!V34)*Population_Tables!J34</f>
        <v>4.3238982684982759</v>
      </c>
      <c r="AH60" s="459">
        <f>(J60/Population_Tables!W34)*Population_Tables!K34</f>
        <v>4.3190702586149348</v>
      </c>
      <c r="AI60" s="459">
        <f>(K60/Population_Tables!X34)*Population_Tables!L34</f>
        <v>5.2303086138055939</v>
      </c>
      <c r="AK60" s="456">
        <v>2045</v>
      </c>
      <c r="AL60" s="459">
        <f t="shared" si="6"/>
        <v>49.522768005260033</v>
      </c>
      <c r="AM60" s="459">
        <f t="shared" si="6"/>
        <v>12.121828366832441</v>
      </c>
      <c r="AN60" s="459">
        <f t="shared" si="6"/>
        <v>2.2776293771082932</v>
      </c>
      <c r="AO60" s="459">
        <f t="shared" si="6"/>
        <v>18.862817666274132</v>
      </c>
      <c r="AP60" s="459">
        <f t="shared" si="6"/>
        <v>7.2627545363330075</v>
      </c>
      <c r="AQ60" s="459">
        <f t="shared" si="6"/>
        <v>2.4679963260755295</v>
      </c>
      <c r="AR60" s="459">
        <f t="shared" si="6"/>
        <v>10.712149606826371</v>
      </c>
      <c r="AS60" s="459">
        <f t="shared" si="6"/>
        <v>4.3238982684982759</v>
      </c>
      <c r="AT60" s="459">
        <f t="shared" si="6"/>
        <v>4.3190702586149348</v>
      </c>
      <c r="AU60" s="459">
        <f t="shared" si="6"/>
        <v>5.2303086138055939</v>
      </c>
      <c r="AW60" s="216">
        <f>(B60/Population_Tables!O34)*Population_Tables!C34</f>
        <v>49.522768005260033</v>
      </c>
      <c r="AX60" s="153" t="str">
        <f t="shared" si="7"/>
        <v>OK</v>
      </c>
      <c r="AY60" s="421">
        <f t="shared" si="4"/>
        <v>42.993026272623403</v>
      </c>
      <c r="AZ60" s="153" t="str">
        <f t="shared" si="5"/>
        <v>OK</v>
      </c>
      <c r="BB60" s="216">
        <f>(C60/Population_Tables!P34)*Population_Tables!D34</f>
        <v>12.121828366832441</v>
      </c>
      <c r="BC60" s="216">
        <f>(D60/Population_Tables!Q34)*Population_Tables!E34</f>
        <v>2.2776293771082932</v>
      </c>
      <c r="BD60" s="216">
        <f>(E60/Population_Tables!R34)*Population_Tables!F34</f>
        <v>18.862817666274132</v>
      </c>
      <c r="BE60" s="216">
        <f>(F60/Population_Tables!S34)*Population_Tables!G34</f>
        <v>7.2627545363330075</v>
      </c>
      <c r="BF60" s="216">
        <f>(G60/Population_Tables!T34)*Population_Tables!H34</f>
        <v>2.4679963260755295</v>
      </c>
      <c r="BG60" s="216"/>
      <c r="BN60" s="216"/>
      <c r="BO60" s="216"/>
      <c r="BP60" s="216"/>
    </row>
    <row r="61" spans="1:68" ht="15.6" x14ac:dyDescent="0.3">
      <c r="A61" s="206">
        <v>2046</v>
      </c>
      <c r="B61" s="229">
        <v>46.465360865094276</v>
      </c>
      <c r="C61" s="229">
        <v>11.455297517475387</v>
      </c>
      <c r="D61" s="229">
        <v>2.1420188702306358</v>
      </c>
      <c r="E61" s="229">
        <v>17.671700519123711</v>
      </c>
      <c r="F61" s="229">
        <v>6.910759701625123</v>
      </c>
      <c r="G61" s="229">
        <v>2.2890374375724578</v>
      </c>
      <c r="H61" s="229">
        <v>10.141157422147229</v>
      </c>
      <c r="I61" s="229">
        <v>4.0704246614051263</v>
      </c>
      <c r="J61" s="229">
        <v>4.0781679002136615</v>
      </c>
      <c r="K61" s="229">
        <v>4.9228893664104305</v>
      </c>
      <c r="M61" s="206">
        <v>2046</v>
      </c>
      <c r="N61" s="419">
        <f t="shared" si="2"/>
        <v>10.016811729233064</v>
      </c>
      <c r="O61" s="418">
        <f>(C61/Population_Tables!P35)*Population_Tables!D94</f>
        <v>0</v>
      </c>
      <c r="P61" s="418">
        <f>(D61/Population_Tables!Q35)*Population_Tables!E94</f>
        <v>0</v>
      </c>
      <c r="Q61" s="418">
        <f>((E61-H61)/Population_Tables!R35)*Population_Tables!F94</f>
        <v>4.658185544318906</v>
      </c>
      <c r="R61" s="418">
        <f>(F61/Population_Tables!S35)*Population_Tables!G94</f>
        <v>4.6280489648885457</v>
      </c>
      <c r="S61" s="418">
        <f>(G61/Population_Tables!T35)*Population_Tables!H94</f>
        <v>0.73057722002561287</v>
      </c>
      <c r="T61" s="418">
        <f>(H61/Population_Tables!U35)*Population_Tables!I94</f>
        <v>0</v>
      </c>
      <c r="U61" s="418">
        <f>(I61/Population_Tables!V35)*Population_Tables!J94</f>
        <v>0</v>
      </c>
      <c r="V61" s="418">
        <f>(J61/Population_Tables!W35)*Population_Tables!K94</f>
        <v>0</v>
      </c>
      <c r="W61" s="418">
        <f>(K61/Population_Tables!X35)*Population_Tables!L94</f>
        <v>0</v>
      </c>
      <c r="Y61" s="456">
        <v>2046</v>
      </c>
      <c r="Z61" s="459">
        <f>((B61/Population_Tables!O35)*Population_Tables!C35)-N61</f>
        <v>39.974051207803896</v>
      </c>
      <c r="AA61" s="459">
        <f>((C61/Population_Tables!P35)*Population_Tables!D35)-O61</f>
        <v>12.203612132810433</v>
      </c>
      <c r="AB61" s="459">
        <f>((D61/Population_Tables!Q35)*Population_Tables!E35)-P61</f>
        <v>2.289450368380098</v>
      </c>
      <c r="AC61" s="459">
        <f>((E61/Population_Tables!R35)*Population_Tables!F35)-Q61</f>
        <v>14.40635764127453</v>
      </c>
      <c r="AD61" s="459">
        <f>((F61/Population_Tables!S35)*Population_Tables!G35)-R61</f>
        <v>2.7724686711810715</v>
      </c>
      <c r="AE61" s="459">
        <f>((G61/Population_Tables!T35)*Population_Tables!H35)-S61</f>
        <v>1.770408675073311</v>
      </c>
      <c r="AF61" s="459">
        <f>(H61/Population_Tables!U35)*Population_Tables!I35</f>
        <v>10.777773222025385</v>
      </c>
      <c r="AG61" s="459">
        <f>(I61/Population_Tables!V35)*Population_Tables!J35</f>
        <v>4.3873911591809005</v>
      </c>
      <c r="AH61" s="459">
        <f>(J61/Population_Tables!W35)*Population_Tables!K35</f>
        <v>4.3340691379146312</v>
      </c>
      <c r="AI61" s="459">
        <f>(K61/Population_Tables!X35)*Population_Tables!L35</f>
        <v>5.2716131134557722</v>
      </c>
      <c r="AK61" s="456">
        <v>2046</v>
      </c>
      <c r="AL61" s="459">
        <f t="shared" si="6"/>
        <v>49.990862937036958</v>
      </c>
      <c r="AM61" s="459">
        <f t="shared" si="6"/>
        <v>12.203612132810433</v>
      </c>
      <c r="AN61" s="459">
        <f t="shared" si="6"/>
        <v>2.289450368380098</v>
      </c>
      <c r="AO61" s="459">
        <f t="shared" si="6"/>
        <v>19.064543185593436</v>
      </c>
      <c r="AP61" s="459">
        <f t="shared" si="6"/>
        <v>7.4005176360696172</v>
      </c>
      <c r="AQ61" s="459">
        <f t="shared" si="6"/>
        <v>2.5009858950989239</v>
      </c>
      <c r="AR61" s="459">
        <f t="shared" si="6"/>
        <v>10.777773222025385</v>
      </c>
      <c r="AS61" s="459">
        <f t="shared" si="6"/>
        <v>4.3873911591809005</v>
      </c>
      <c r="AT61" s="459">
        <f t="shared" si="6"/>
        <v>4.3340691379146312</v>
      </c>
      <c r="AU61" s="459">
        <f t="shared" si="6"/>
        <v>5.2716131134557722</v>
      </c>
      <c r="AW61" s="216">
        <f>(B61/Population_Tables!O35)*Population_Tables!C35</f>
        <v>49.990862937036958</v>
      </c>
      <c r="AX61" s="153" t="str">
        <f t="shared" si="7"/>
        <v>OK</v>
      </c>
      <c r="AY61" s="421">
        <f t="shared" si="4"/>
        <v>43.459109217952502</v>
      </c>
      <c r="AZ61" s="153" t="str">
        <f t="shared" si="5"/>
        <v>OK</v>
      </c>
      <c r="BB61" s="216">
        <f>(C61/Population_Tables!P35)*Population_Tables!D35</f>
        <v>12.203612132810433</v>
      </c>
      <c r="BC61" s="216">
        <f>(D61/Population_Tables!Q35)*Population_Tables!E35</f>
        <v>2.289450368380098</v>
      </c>
      <c r="BD61" s="216">
        <f>(E61/Population_Tables!R35)*Population_Tables!F35</f>
        <v>19.064543185593436</v>
      </c>
      <c r="BE61" s="216">
        <f>(F61/Population_Tables!S35)*Population_Tables!G35</f>
        <v>7.4005176360696172</v>
      </c>
      <c r="BF61" s="216">
        <f>(G61/Population_Tables!T35)*Population_Tables!H35</f>
        <v>2.5009858950989239</v>
      </c>
      <c r="BG61" s="216"/>
      <c r="BN61" s="216"/>
      <c r="BO61" s="216"/>
      <c r="BP61" s="216"/>
    </row>
    <row r="62" spans="1:68" ht="15.6" x14ac:dyDescent="0.3">
      <c r="A62" s="206">
        <v>2047</v>
      </c>
      <c r="B62" s="229">
        <v>46.736772480610128</v>
      </c>
      <c r="C62" s="229">
        <v>11.498764948732138</v>
      </c>
      <c r="D62" s="229">
        <v>2.1460174929116107</v>
      </c>
      <c r="E62" s="229">
        <v>17.791793190895575</v>
      </c>
      <c r="F62" s="229">
        <v>7.017725639898587</v>
      </c>
      <c r="G62" s="229">
        <v>2.3094066386329661</v>
      </c>
      <c r="H62" s="229">
        <v>10.170930631998592</v>
      </c>
      <c r="I62" s="229">
        <v>4.1150198137503731</v>
      </c>
      <c r="J62" s="229">
        <v>4.0804272216238955</v>
      </c>
      <c r="K62" s="229">
        <v>4.9461434277033032</v>
      </c>
      <c r="M62" s="206">
        <v>2047</v>
      </c>
      <c r="N62" s="419">
        <f t="shared" si="2"/>
        <v>10.21678591259688</v>
      </c>
      <c r="O62" s="418">
        <f>(C62/Population_Tables!P36)*Population_Tables!D95</f>
        <v>0</v>
      </c>
      <c r="P62" s="418">
        <f>(D62/Population_Tables!Q36)*Population_Tables!E95</f>
        <v>0</v>
      </c>
      <c r="Q62" s="418">
        <f>((E62-H62)/Population_Tables!R36)*Population_Tables!F95</f>
        <v>4.7496582610663527</v>
      </c>
      <c r="R62" s="418">
        <f>(F62/Population_Tables!S36)*Population_Tables!G95</f>
        <v>4.7247045608278295</v>
      </c>
      <c r="S62" s="418">
        <f>(G62/Population_Tables!T36)*Population_Tables!H95</f>
        <v>0.7424230907026983</v>
      </c>
      <c r="T62" s="418">
        <f>(H62/Population_Tables!U36)*Population_Tables!I95</f>
        <v>0</v>
      </c>
      <c r="U62" s="418">
        <f>(I62/Population_Tables!V36)*Population_Tables!J95</f>
        <v>0</v>
      </c>
      <c r="V62" s="418">
        <f>(J62/Population_Tables!W36)*Population_Tables!K95</f>
        <v>0</v>
      </c>
      <c r="W62" s="418">
        <f>(K62/Population_Tables!X36)*Population_Tables!L95</f>
        <v>0</v>
      </c>
      <c r="Y62" s="456">
        <v>2047</v>
      </c>
      <c r="Z62" s="459">
        <f>((B62/Population_Tables!O36)*Population_Tables!C36)-N62</f>
        <v>40.242779943896906</v>
      </c>
      <c r="AA62" s="459">
        <f>((C62/Population_Tables!P36)*Population_Tables!D36)-O62</f>
        <v>12.284908495059517</v>
      </c>
      <c r="AB62" s="459">
        <f>((D62/Population_Tables!Q36)*Population_Tables!E36)-P62</f>
        <v>2.3017111599738671</v>
      </c>
      <c r="AC62" s="459">
        <f>((E62/Population_Tables!R36)*Population_Tables!F36)-Q62</f>
        <v>14.516117686413542</v>
      </c>
      <c r="AD62" s="459">
        <f>((F62/Population_Tables!S36)*Population_Tables!G36)-R62</f>
        <v>2.8146477407382555</v>
      </c>
      <c r="AE62" s="459">
        <f>((G62/Population_Tables!T36)*Population_Tables!H36)-S62</f>
        <v>1.7914812210981075</v>
      </c>
      <c r="AF62" s="459">
        <f>(H62/Population_Tables!U36)*Population_Tables!I36</f>
        <v>10.84260054559484</v>
      </c>
      <c r="AG62" s="459">
        <f>(I62/Population_Tables!V36)*Population_Tables!J36</f>
        <v>4.4510835003582212</v>
      </c>
      <c r="AH62" s="459">
        <f>(J62/Population_Tables!W36)*Population_Tables!K36</f>
        <v>4.3491246468641087</v>
      </c>
      <c r="AI62" s="459">
        <f>(K62/Population_Tables!X36)*Population_Tables!L36</f>
        <v>5.3127476555856976</v>
      </c>
      <c r="AK62" s="456">
        <v>2047</v>
      </c>
      <c r="AL62" s="459">
        <f t="shared" si="6"/>
        <v>50.459565856493782</v>
      </c>
      <c r="AM62" s="459">
        <f t="shared" si="6"/>
        <v>12.284908495059517</v>
      </c>
      <c r="AN62" s="459">
        <f t="shared" si="6"/>
        <v>2.3017111599738671</v>
      </c>
      <c r="AO62" s="459">
        <f t="shared" si="6"/>
        <v>19.265775947479895</v>
      </c>
      <c r="AP62" s="459">
        <f t="shared" si="6"/>
        <v>7.539352301566085</v>
      </c>
      <c r="AQ62" s="459">
        <f t="shared" si="6"/>
        <v>2.5339043118008058</v>
      </c>
      <c r="AR62" s="459">
        <f t="shared" si="6"/>
        <v>10.84260054559484</v>
      </c>
      <c r="AS62" s="459">
        <f t="shared" si="6"/>
        <v>4.4510835003582212</v>
      </c>
      <c r="AT62" s="459">
        <f t="shared" si="6"/>
        <v>4.3491246468641087</v>
      </c>
      <c r="AU62" s="459">
        <f t="shared" si="6"/>
        <v>5.3127476555856976</v>
      </c>
      <c r="AW62" s="216">
        <f>(B62/Population_Tables!O36)*Population_Tables!C36</f>
        <v>50.459565856493789</v>
      </c>
      <c r="AX62" s="153" t="b">
        <f t="shared" si="7"/>
        <v>0</v>
      </c>
      <c r="AY62" s="421">
        <f t="shared" si="4"/>
        <v>43.92565221588017</v>
      </c>
      <c r="AZ62" s="153" t="str">
        <f t="shared" si="5"/>
        <v>OK</v>
      </c>
      <c r="BB62" s="216">
        <f>(C62/Population_Tables!P36)*Population_Tables!D36</f>
        <v>12.284908495059517</v>
      </c>
      <c r="BC62" s="216">
        <f>(D62/Population_Tables!Q36)*Population_Tables!E36</f>
        <v>2.3017111599738671</v>
      </c>
      <c r="BD62" s="216">
        <f>(E62/Population_Tables!R36)*Population_Tables!F36</f>
        <v>19.265775947479895</v>
      </c>
      <c r="BE62" s="216">
        <f>(F62/Population_Tables!S36)*Population_Tables!G36</f>
        <v>7.539352301566085</v>
      </c>
      <c r="BF62" s="216">
        <f>(G62/Population_Tables!T36)*Population_Tables!H36</f>
        <v>2.5339043118008058</v>
      </c>
      <c r="BG62" s="216"/>
      <c r="BN62" s="216"/>
      <c r="BO62" s="216"/>
      <c r="BP62" s="216"/>
    </row>
    <row r="63" spans="1:68" ht="15.6" x14ac:dyDescent="0.3">
      <c r="A63" s="206">
        <v>2048</v>
      </c>
      <c r="B63" s="229">
        <v>47.002307615240809</v>
      </c>
      <c r="C63" s="229">
        <v>11.54090935227461</v>
      </c>
      <c r="D63" s="229">
        <v>2.1502196554605493</v>
      </c>
      <c r="E63" s="229">
        <v>17.908085540885491</v>
      </c>
      <c r="F63" s="229">
        <v>7.1243594438401558</v>
      </c>
      <c r="G63" s="229">
        <v>2.3292547161249253</v>
      </c>
      <c r="H63" s="229">
        <v>10.198711453028269</v>
      </c>
      <c r="I63" s="229">
        <v>4.1589053488379184</v>
      </c>
      <c r="J63" s="229">
        <v>4.0824907680861164</v>
      </c>
      <c r="K63" s="229">
        <v>4.9688240091001861</v>
      </c>
      <c r="M63" s="206">
        <v>2048</v>
      </c>
      <c r="N63" s="419">
        <f t="shared" si="2"/>
        <v>10.418275806039274</v>
      </c>
      <c r="O63" s="418">
        <f>(C63/Population_Tables!P37)*Population_Tables!D96</f>
        <v>0</v>
      </c>
      <c r="P63" s="418">
        <f>(D63/Population_Tables!Q37)*Population_Tables!E96</f>
        <v>0</v>
      </c>
      <c r="Q63" s="418">
        <f>((E63-H63)/Population_Tables!R37)*Population_Tables!F96</f>
        <v>4.8417516981079087</v>
      </c>
      <c r="R63" s="418">
        <f>(F63/Population_Tables!S37)*Population_Tables!G96</f>
        <v>4.8222162135160733</v>
      </c>
      <c r="S63" s="418">
        <f>(G63/Population_Tables!T37)*Population_Tables!H96</f>
        <v>0.75430789441529278</v>
      </c>
      <c r="T63" s="418">
        <f>(H63/Population_Tables!U37)*Population_Tables!I96</f>
        <v>0</v>
      </c>
      <c r="U63" s="418">
        <f>(I63/Population_Tables!V37)*Population_Tables!J96</f>
        <v>0</v>
      </c>
      <c r="V63" s="418">
        <f>(J63/Population_Tables!W37)*Population_Tables!K96</f>
        <v>0</v>
      </c>
      <c r="W63" s="418">
        <f>(K63/Population_Tables!X37)*Population_Tables!L96</f>
        <v>0</v>
      </c>
      <c r="Y63" s="456">
        <v>2048</v>
      </c>
      <c r="Z63" s="459">
        <f>((B63/Population_Tables!O37)*Population_Tables!C37)-N63</f>
        <v>40.511109199209997</v>
      </c>
      <c r="AA63" s="459">
        <f>((C63/Population_Tables!P37)*Population_Tables!D37)-O63</f>
        <v>12.365757703991573</v>
      </c>
      <c r="AB63" s="459">
        <f>((D63/Population_Tables!Q37)*Population_Tables!E37)-P63</f>
        <v>2.3144609233718501</v>
      </c>
      <c r="AC63" s="459">
        <f>((E63/Population_Tables!R37)*Population_Tables!F37)-Q63</f>
        <v>14.624662280268517</v>
      </c>
      <c r="AD63" s="459">
        <f>((F63/Population_Tables!S37)*Population_Tables!G37)-R63</f>
        <v>2.8570418241467603</v>
      </c>
      <c r="AE63" s="459">
        <f>((G63/Population_Tables!T37)*Population_Tables!H37)-S63</f>
        <v>1.8124163618320241</v>
      </c>
      <c r="AF63" s="459">
        <f>(H63/Population_Tables!U37)*Population_Tables!I37</f>
        <v>10.906553821405808</v>
      </c>
      <c r="AG63" s="459">
        <f>(I63/Population_Tables!V37)*Population_Tables!J37</f>
        <v>4.515011579477985</v>
      </c>
      <c r="AH63" s="459">
        <f>(J63/Population_Tables!W37)*Population_Tables!K37</f>
        <v>4.3642830557834724</v>
      </c>
      <c r="AI63" s="459">
        <f>(K63/Population_Tables!X37)*Population_Tables!L37</f>
        <v>5.3537501068586337</v>
      </c>
      <c r="AK63" s="456">
        <v>2048</v>
      </c>
      <c r="AL63" s="459">
        <f t="shared" si="6"/>
        <v>50.929385005249273</v>
      </c>
      <c r="AM63" s="459">
        <f t="shared" si="6"/>
        <v>12.365757703991573</v>
      </c>
      <c r="AN63" s="459">
        <f t="shared" si="6"/>
        <v>2.3144609233718501</v>
      </c>
      <c r="AO63" s="459">
        <f t="shared" si="6"/>
        <v>19.466413978376426</v>
      </c>
      <c r="AP63" s="459">
        <f t="shared" si="6"/>
        <v>7.6792580376628337</v>
      </c>
      <c r="AQ63" s="459">
        <f t="shared" si="6"/>
        <v>2.5667242562473169</v>
      </c>
      <c r="AR63" s="459">
        <f t="shared" si="6"/>
        <v>10.906553821405808</v>
      </c>
      <c r="AS63" s="459">
        <f t="shared" si="6"/>
        <v>4.515011579477985</v>
      </c>
      <c r="AT63" s="459">
        <f t="shared" si="6"/>
        <v>4.3642830557834724</v>
      </c>
      <c r="AU63" s="459">
        <f t="shared" si="6"/>
        <v>5.3537501068586337</v>
      </c>
      <c r="AW63" s="216">
        <f>(B63/Population_Tables!O37)*Population_Tables!C37</f>
        <v>50.929385005249273</v>
      </c>
      <c r="AX63" s="153" t="str">
        <f t="shared" si="7"/>
        <v>OK</v>
      </c>
      <c r="AY63" s="421">
        <f t="shared" si="4"/>
        <v>44.392614899650006</v>
      </c>
      <c r="AZ63" s="153" t="str">
        <f t="shared" si="5"/>
        <v>OK</v>
      </c>
      <c r="BB63" s="216">
        <f>(C63/Population_Tables!P37)*Population_Tables!D37</f>
        <v>12.365757703991573</v>
      </c>
      <c r="BC63" s="216">
        <f>(D63/Population_Tables!Q37)*Population_Tables!E37</f>
        <v>2.3144609233718501</v>
      </c>
      <c r="BD63" s="216">
        <f>(E63/Population_Tables!R37)*Population_Tables!F37</f>
        <v>19.466413978376426</v>
      </c>
      <c r="BE63" s="216">
        <f>(F63/Population_Tables!S37)*Population_Tables!G37</f>
        <v>7.6792580376628337</v>
      </c>
      <c r="BF63" s="216">
        <f>(G63/Population_Tables!T37)*Population_Tables!H37</f>
        <v>2.5667242562473169</v>
      </c>
      <c r="BG63" s="216"/>
      <c r="BN63" s="216"/>
      <c r="BO63" s="216"/>
      <c r="BP63" s="216"/>
    </row>
    <row r="64" spans="1:68" ht="15.6" x14ac:dyDescent="0.3">
      <c r="A64" s="206">
        <v>2049</v>
      </c>
      <c r="B64" s="229">
        <v>47.26196626898632</v>
      </c>
      <c r="C64" s="229">
        <v>11.581626974872714</v>
      </c>
      <c r="D64" s="229">
        <v>2.154656124570701</v>
      </c>
      <c r="E64" s="229">
        <v>18.020249921854102</v>
      </c>
      <c r="F64" s="229">
        <v>7.2306030017542007</v>
      </c>
      <c r="G64" s="229">
        <v>2.34853486389486</v>
      </c>
      <c r="H64" s="229">
        <v>10.224374057636997</v>
      </c>
      <c r="I64" s="229">
        <v>4.202019913040032</v>
      </c>
      <c r="J64" s="229">
        <v>4.0843640921295288</v>
      </c>
      <c r="K64" s="229">
        <v>4.9908944540639801</v>
      </c>
      <c r="M64" s="206">
        <v>2049</v>
      </c>
      <c r="N64" s="419">
        <f t="shared" si="2"/>
        <v>10.62124831187189</v>
      </c>
      <c r="O64" s="418">
        <f>(C64/Population_Tables!P38)*Population_Tables!D97</f>
        <v>0</v>
      </c>
      <c r="P64" s="418">
        <f>(D64/Population_Tables!Q38)*Population_Tables!E97</f>
        <v>0</v>
      </c>
      <c r="Q64" s="418">
        <f>((E64-H64)/Population_Tables!R38)*Population_Tables!F97</f>
        <v>4.9344530733572247</v>
      </c>
      <c r="R64" s="418">
        <f>(F64/Population_Tables!S38)*Population_Tables!G97</f>
        <v>4.9205724720311164</v>
      </c>
      <c r="S64" s="418">
        <f>(G64/Population_Tables!T38)*Population_Tables!H97</f>
        <v>0.76622276648354937</v>
      </c>
      <c r="T64" s="418">
        <f>(H64/Population_Tables!U38)*Population_Tables!I97</f>
        <v>0</v>
      </c>
      <c r="U64" s="418">
        <f>(I64/Population_Tables!V38)*Population_Tables!J97</f>
        <v>0</v>
      </c>
      <c r="V64" s="418">
        <f>(J64/Population_Tables!W38)*Population_Tables!K97</f>
        <v>0</v>
      </c>
      <c r="W64" s="418">
        <f>(K64/Population_Tables!X38)*Population_Tables!L97</f>
        <v>0</v>
      </c>
      <c r="Y64" s="456">
        <v>2049</v>
      </c>
      <c r="Z64" s="459">
        <f>((B64/Population_Tables!O38)*Population_Tables!C38)-N64</f>
        <v>40.779590342205204</v>
      </c>
      <c r="AA64" s="459">
        <f>((C64/Population_Tables!P38)*Population_Tables!D38)-O64</f>
        <v>12.446232037925673</v>
      </c>
      <c r="AB64" s="459">
        <f>((D64/Population_Tables!Q38)*Population_Tables!E38)-P64</f>
        <v>2.3277508332518853</v>
      </c>
      <c r="AC64" s="459">
        <f>((E64/Population_Tables!R38)*Population_Tables!F38)-Q64</f>
        <v>14.731903967819864</v>
      </c>
      <c r="AD64" s="459">
        <f>((F64/Population_Tables!S38)*Population_Tables!G38)-R64</f>
        <v>2.8996565223286623</v>
      </c>
      <c r="AE64" s="459">
        <f>((G64/Population_Tables!T38)*Population_Tables!H38)-S64</f>
        <v>1.833196882505411</v>
      </c>
      <c r="AF64" s="459">
        <f>(H64/Population_Tables!U38)*Population_Tables!I38</f>
        <v>10.969543524429959</v>
      </c>
      <c r="AG64" s="459">
        <f>(I64/Population_Tables!V38)*Population_Tables!J38</f>
        <v>4.579219641127839</v>
      </c>
      <c r="AH64" s="459">
        <f>(J64/Population_Tables!W38)*Population_Tables!K38</f>
        <v>4.3795995891352568</v>
      </c>
      <c r="AI64" s="459">
        <f>(K64/Population_Tables!X38)*Population_Tables!L38</f>
        <v>5.3946728208821764</v>
      </c>
      <c r="AK64" s="456">
        <v>2049</v>
      </c>
      <c r="AL64" s="459">
        <f t="shared" si="6"/>
        <v>51.400838654077091</v>
      </c>
      <c r="AM64" s="459">
        <f t="shared" si="6"/>
        <v>12.446232037925673</v>
      </c>
      <c r="AN64" s="459">
        <f t="shared" si="6"/>
        <v>2.3277508332518853</v>
      </c>
      <c r="AO64" s="459">
        <f t="shared" si="6"/>
        <v>19.66635704117709</v>
      </c>
      <c r="AP64" s="459">
        <f t="shared" si="6"/>
        <v>7.8202289943597787</v>
      </c>
      <c r="AQ64" s="459">
        <f t="shared" si="6"/>
        <v>2.5994196489889605</v>
      </c>
      <c r="AR64" s="459">
        <f t="shared" si="6"/>
        <v>10.969543524429959</v>
      </c>
      <c r="AS64" s="459">
        <f t="shared" si="6"/>
        <v>4.579219641127839</v>
      </c>
      <c r="AT64" s="459">
        <f t="shared" si="6"/>
        <v>4.3795995891352568</v>
      </c>
      <c r="AU64" s="459">
        <f t="shared" si="6"/>
        <v>5.3946728208821764</v>
      </c>
      <c r="AW64" s="216">
        <f>(B64/Population_Tables!O38)*Population_Tables!C38</f>
        <v>51.400838654077091</v>
      </c>
      <c r="AX64" s="153" t="str">
        <f t="shared" si="7"/>
        <v>OK</v>
      </c>
      <c r="AY64" s="421">
        <f t="shared" si="4"/>
        <v>44.859988555703389</v>
      </c>
      <c r="AZ64" s="153" t="str">
        <f t="shared" si="5"/>
        <v>OK</v>
      </c>
      <c r="BB64" s="216">
        <f>(C64/Population_Tables!P38)*Population_Tables!D38</f>
        <v>12.446232037925673</v>
      </c>
      <c r="BC64" s="216">
        <f>(D64/Population_Tables!Q38)*Population_Tables!E38</f>
        <v>2.3277508332518853</v>
      </c>
      <c r="BD64" s="216">
        <f>(E64/Population_Tables!R38)*Population_Tables!F38</f>
        <v>19.66635704117709</v>
      </c>
      <c r="BE64" s="216">
        <f>(F64/Population_Tables!S38)*Population_Tables!G38</f>
        <v>7.8202289943597787</v>
      </c>
      <c r="BF64" s="216">
        <f>(G64/Population_Tables!T38)*Population_Tables!H38</f>
        <v>2.5994196489889605</v>
      </c>
      <c r="BG64" s="216"/>
      <c r="BN64" s="216"/>
      <c r="BO64" s="216"/>
      <c r="BP64" s="216"/>
    </row>
    <row r="65" spans="1:68" ht="16.2" thickBot="1" x14ac:dyDescent="0.35">
      <c r="A65" s="208">
        <v>2050</v>
      </c>
      <c r="B65" s="231">
        <v>47.515748441846668</v>
      </c>
      <c r="C65" s="231">
        <v>11.620814063296351</v>
      </c>
      <c r="D65" s="231">
        <v>2.1593576669353149</v>
      </c>
      <c r="E65" s="231">
        <v>18.127958686562049</v>
      </c>
      <c r="F65" s="231">
        <v>7.3363982019450908</v>
      </c>
      <c r="G65" s="231">
        <v>2.3672002757892958</v>
      </c>
      <c r="H65" s="231">
        <v>10.247792618225514</v>
      </c>
      <c r="I65" s="231">
        <v>4.2443021527289861</v>
      </c>
      <c r="J65" s="231">
        <v>4.086052746283336</v>
      </c>
      <c r="K65" s="231">
        <v>5.0123181060575837</v>
      </c>
      <c r="M65" s="208">
        <v>2050</v>
      </c>
      <c r="N65" s="419">
        <f t="shared" si="2"/>
        <v>10.82563833649637</v>
      </c>
      <c r="O65" s="418">
        <f>(C65/Population_Tables!P39)*Population_Tables!D98</f>
        <v>0</v>
      </c>
      <c r="P65" s="418">
        <f>(D65/Population_Tables!Q39)*Population_Tables!E98</f>
        <v>0</v>
      </c>
      <c r="Q65" s="418">
        <f>((E65-H65)/Population_Tables!R39)*Population_Tables!F98</f>
        <v>5.0277218151876957</v>
      </c>
      <c r="R65" s="418">
        <f>(F65/Population_Tables!S39)*Population_Tables!G98</f>
        <v>5.0197583623435937</v>
      </c>
      <c r="S65" s="418">
        <f>(G65/Population_Tables!T39)*Population_Tables!H98</f>
        <v>0.778158158965081</v>
      </c>
      <c r="T65" s="418">
        <f>(H65/Population_Tables!U39)*Population_Tables!I98</f>
        <v>0</v>
      </c>
      <c r="U65" s="418">
        <f>(I65/Population_Tables!V39)*Population_Tables!J98</f>
        <v>0</v>
      </c>
      <c r="V65" s="418">
        <f>(J65/Population_Tables!W39)*Population_Tables!K98</f>
        <v>0</v>
      </c>
      <c r="W65" s="418">
        <f>(K65/Population_Tables!X39)*Population_Tables!L98</f>
        <v>0</v>
      </c>
      <c r="Y65" s="456">
        <v>2050</v>
      </c>
      <c r="Z65" s="459">
        <f>((B65/Population_Tables!O39)*Population_Tables!C39)-N65</f>
        <v>41.048698204900589</v>
      </c>
      <c r="AA65" s="459">
        <f>((C65/Population_Tables!P39)*Population_Tables!D39)-O65</f>
        <v>12.526374614341435</v>
      </c>
      <c r="AB65" s="459">
        <f>((D65/Population_Tables!Q39)*Population_Tables!E39)-P65</f>
        <v>2.34163097899012</v>
      </c>
      <c r="AC65" s="459">
        <f>((E65/Population_Tables!R39)*Population_Tables!F39)-Q65</f>
        <v>14.837725400575017</v>
      </c>
      <c r="AD65" s="459">
        <f>((F65/Population_Tables!S39)*Population_Tables!G39)-R65</f>
        <v>2.9424917052959945</v>
      </c>
      <c r="AE65" s="459">
        <f>((G65/Population_Tables!T39)*Population_Tables!H39)-S65</f>
        <v>1.8538017406212712</v>
      </c>
      <c r="AF65" s="459">
        <f>(H65/Population_Tables!U39)*Population_Tables!I39</f>
        <v>11.031475564050924</v>
      </c>
      <c r="AG65" s="459">
        <f>(I65/Population_Tables!V39)*Population_Tables!J39</f>
        <v>4.6437270153035337</v>
      </c>
      <c r="AH65" s="459">
        <f>(J65/Population_Tables!W39)*Population_Tables!K39</f>
        <v>4.3951226326494268</v>
      </c>
      <c r="AI65" s="459">
        <f>(K65/Population_Tables!X39)*Population_Tables!L39</f>
        <v>5.435552181053307</v>
      </c>
      <c r="AK65" s="456">
        <v>2050</v>
      </c>
      <c r="AL65" s="459">
        <f t="shared" si="6"/>
        <v>51.874336541396957</v>
      </c>
      <c r="AM65" s="459">
        <f t="shared" si="6"/>
        <v>12.526374614341435</v>
      </c>
      <c r="AN65" s="459">
        <f t="shared" si="6"/>
        <v>2.34163097899012</v>
      </c>
      <c r="AO65" s="459">
        <f t="shared" si="6"/>
        <v>19.865447215762714</v>
      </c>
      <c r="AP65" s="459">
        <f t="shared" si="6"/>
        <v>7.9622500676395882</v>
      </c>
      <c r="AQ65" s="459">
        <f t="shared" si="6"/>
        <v>2.6319598995863522</v>
      </c>
      <c r="AR65" s="459">
        <f t="shared" si="6"/>
        <v>11.031475564050924</v>
      </c>
      <c r="AS65" s="459">
        <f t="shared" si="6"/>
        <v>4.6437270153035337</v>
      </c>
      <c r="AT65" s="459">
        <f t="shared" si="6"/>
        <v>4.3951226326494268</v>
      </c>
      <c r="AU65" s="459">
        <f t="shared" si="6"/>
        <v>5.435552181053307</v>
      </c>
      <c r="AW65" s="216">
        <f>(B65/Population_Tables!O39)*Population_Tables!C39</f>
        <v>51.874336541396957</v>
      </c>
      <c r="AX65" s="153" t="str">
        <f t="shared" si="7"/>
        <v>OK</v>
      </c>
      <c r="AY65" s="421">
        <f t="shared" si="4"/>
        <v>45.32766277632021</v>
      </c>
      <c r="AZ65" s="153" t="str">
        <f t="shared" si="5"/>
        <v>OK</v>
      </c>
      <c r="BB65" s="216">
        <f>(C65/Population_Tables!P39)*Population_Tables!D39</f>
        <v>12.526374614341435</v>
      </c>
      <c r="BC65" s="216">
        <f>(D65/Population_Tables!Q39)*Population_Tables!E39</f>
        <v>2.34163097899012</v>
      </c>
      <c r="BD65" s="216">
        <f>(E65/Population_Tables!R39)*Population_Tables!F39</f>
        <v>19.865447215762714</v>
      </c>
      <c r="BE65" s="216">
        <f>(F65/Population_Tables!S39)*Population_Tables!G39</f>
        <v>7.9622500676395882</v>
      </c>
      <c r="BF65" s="216">
        <f>(G65/Population_Tables!T39)*Population_Tables!H39</f>
        <v>2.6319598995863522</v>
      </c>
      <c r="BG65" s="216"/>
      <c r="BN65" s="216"/>
      <c r="BO65" s="216"/>
      <c r="BP65" s="216"/>
    </row>
    <row r="66" spans="1:68" ht="15.6" x14ac:dyDescent="0.3">
      <c r="A66" s="213">
        <v>2051</v>
      </c>
      <c r="B66" s="227">
        <v>47.763654133821838</v>
      </c>
      <c r="C66" s="227">
        <v>11.658366864315424</v>
      </c>
      <c r="D66" s="227">
        <v>2.1643550492476407</v>
      </c>
      <c r="E66" s="227">
        <v>18.230884187769977</v>
      </c>
      <c r="F66" s="227">
        <v>7.4416869327171984</v>
      </c>
      <c r="G66" s="227">
        <v>2.3852041456547584</v>
      </c>
      <c r="H66" s="227">
        <v>10.26884130719456</v>
      </c>
      <c r="I66" s="227">
        <v>4.2856907142770524</v>
      </c>
      <c r="J66" s="227">
        <v>4.0875622830767444</v>
      </c>
      <c r="K66" s="227">
        <v>5.0330583085438994</v>
      </c>
      <c r="M66" s="213">
        <v>2051</v>
      </c>
      <c r="N66" s="419">
        <f t="shared" si="2"/>
        <v>11.031338094192552</v>
      </c>
      <c r="O66" s="418">
        <f>(C66/Population_Tables!P40)*Population_Tables!D99</f>
        <v>0</v>
      </c>
      <c r="P66" s="418">
        <f>(D66/Population_Tables!Q40)*Population_Tables!E99</f>
        <v>0</v>
      </c>
      <c r="Q66" s="418">
        <f>((E66-H66)/Population_Tables!R40)*Population_Tables!F99</f>
        <v>5.1214827934218281</v>
      </c>
      <c r="R66" s="418">
        <f>(F66/Population_Tables!S40)*Population_Tables!G99</f>
        <v>5.1197530625065211</v>
      </c>
      <c r="S66" s="418">
        <f>(G66/Population_Tables!T40)*Population_Tables!H99</f>
        <v>0.79010223826420456</v>
      </c>
      <c r="T66" s="418">
        <f>(H66/Population_Tables!U40)*Population_Tables!I99</f>
        <v>0</v>
      </c>
      <c r="U66" s="418">
        <f>(I66/Population_Tables!V40)*Population_Tables!J99</f>
        <v>0</v>
      </c>
      <c r="V66" s="418">
        <f>(J66/Population_Tables!W40)*Population_Tables!K99</f>
        <v>0</v>
      </c>
      <c r="W66" s="418">
        <f>(K66/Population_Tables!X40)*Population_Tables!L99</f>
        <v>0</v>
      </c>
      <c r="Y66" s="456">
        <v>2051</v>
      </c>
      <c r="Z66" s="459">
        <f>((B66/Population_Tables!O40)*Population_Tables!C40)-N66</f>
        <v>41.318800397155741</v>
      </c>
      <c r="AA66" s="459">
        <f>((C66/Population_Tables!P40)*Population_Tables!D40)-O66</f>
        <v>12.606151654912681</v>
      </c>
      <c r="AB66" s="459">
        <f>((D66/Population_Tables!Q40)*Population_Tables!E40)-P66</f>
        <v>2.35615108439494</v>
      </c>
      <c r="AC66" s="459">
        <f>((E66/Population_Tables!R40)*Population_Tables!F40)-Q66</f>
        <v>14.941972244484473</v>
      </c>
      <c r="AD66" s="459">
        <f>((F66/Population_Tables!S40)*Population_Tables!G40)-R66</f>
        <v>2.9855426271430217</v>
      </c>
      <c r="AE66" s="459">
        <f>((G66/Population_Tables!T40)*Population_Tables!H40)-S66</f>
        <v>1.8742036704099765</v>
      </c>
      <c r="AF66" s="459">
        <f>(H66/Population_Tables!U40)*Population_Tables!I40</f>
        <v>11.092261826510457</v>
      </c>
      <c r="AG66" s="459">
        <f>(I66/Population_Tables!V40)*Population_Tables!J40</f>
        <v>4.7085180344998099</v>
      </c>
      <c r="AH66" s="459">
        <f>(J66/Population_Tables!W40)*Population_Tables!K40</f>
        <v>4.4108852774459422</v>
      </c>
      <c r="AI66" s="459">
        <f>(K66/Population_Tables!X40)*Population_Tables!L40</f>
        <v>5.4763832675849278</v>
      </c>
      <c r="AK66" s="456">
        <v>2051</v>
      </c>
      <c r="AL66" s="459">
        <f t="shared" si="6"/>
        <v>52.350138491348289</v>
      </c>
      <c r="AM66" s="459">
        <f t="shared" si="6"/>
        <v>12.606151654912681</v>
      </c>
      <c r="AN66" s="459">
        <f t="shared" si="6"/>
        <v>2.35615108439494</v>
      </c>
      <c r="AO66" s="459">
        <f t="shared" si="6"/>
        <v>20.063455037906301</v>
      </c>
      <c r="AP66" s="459">
        <f t="shared" si="6"/>
        <v>8.1052956896495427</v>
      </c>
      <c r="AQ66" s="459">
        <f t="shared" si="6"/>
        <v>2.6643059086741809</v>
      </c>
      <c r="AR66" s="459">
        <f t="shared" si="6"/>
        <v>11.092261826510457</v>
      </c>
      <c r="AS66" s="459">
        <f t="shared" si="6"/>
        <v>4.7085180344998099</v>
      </c>
      <c r="AT66" s="459">
        <f t="shared" si="6"/>
        <v>4.4108852774459422</v>
      </c>
      <c r="AU66" s="459">
        <f t="shared" si="6"/>
        <v>5.4763832675849278</v>
      </c>
      <c r="AW66" s="216">
        <f>(B66/Population_Tables!O40)*Population_Tables!C40</f>
        <v>52.350138491348289</v>
      </c>
      <c r="AX66" s="153" t="str">
        <f t="shared" si="7"/>
        <v>OK</v>
      </c>
      <c r="AY66" s="421">
        <f t="shared" si="4"/>
        <v>45.79535937553765</v>
      </c>
      <c r="AZ66" s="153" t="str">
        <f t="shared" si="5"/>
        <v>OK</v>
      </c>
      <c r="BB66" s="216">
        <f>(C66/Population_Tables!P40)*Population_Tables!D40</f>
        <v>12.606151654912681</v>
      </c>
      <c r="BC66" s="216">
        <f>(D66/Population_Tables!Q40)*Population_Tables!E40</f>
        <v>2.35615108439494</v>
      </c>
      <c r="BD66" s="216">
        <f>(E66/Population_Tables!R40)*Population_Tables!F40</f>
        <v>20.063455037906301</v>
      </c>
      <c r="BE66" s="216">
        <f>(F66/Population_Tables!S40)*Population_Tables!G40</f>
        <v>8.1052956896495427</v>
      </c>
      <c r="BF66" s="216">
        <f>(G66/Population_Tables!T40)*Population_Tables!H40</f>
        <v>2.6643059086741809</v>
      </c>
      <c r="BG66" s="216"/>
      <c r="BN66" s="216"/>
      <c r="BO66" s="216"/>
      <c r="BP66" s="216"/>
    </row>
    <row r="67" spans="1:68" ht="15.6" x14ac:dyDescent="0.3">
      <c r="A67" s="194">
        <v>2052</v>
      </c>
      <c r="B67" s="229">
        <v>48.005683344911844</v>
      </c>
      <c r="C67" s="229">
        <v>11.694181624699841</v>
      </c>
      <c r="D67" s="229">
        <v>2.1696790382009272</v>
      </c>
      <c r="E67" s="229">
        <v>18.328698778238525</v>
      </c>
      <c r="F67" s="229">
        <v>7.5464110823748918</v>
      </c>
      <c r="G67" s="229">
        <v>2.4024996673377714</v>
      </c>
      <c r="H67" s="229">
        <v>10.287394296944875</v>
      </c>
      <c r="I67" s="229">
        <v>4.3261242440565004</v>
      </c>
      <c r="J67" s="229">
        <v>4.0888982550389565</v>
      </c>
      <c r="K67" s="229">
        <v>5.0530784049858264</v>
      </c>
      <c r="M67" s="194">
        <v>2052</v>
      </c>
      <c r="N67" s="419">
        <f t="shared" si="2"/>
        <v>11.238187393834806</v>
      </c>
      <c r="O67" s="418">
        <f>(C67/Population_Tables!P41)*Population_Tables!D100</f>
        <v>0</v>
      </c>
      <c r="P67" s="418">
        <f>(D67/Population_Tables!Q41)*Population_Tables!E100</f>
        <v>0</v>
      </c>
      <c r="Q67" s="418">
        <f>((E67-H67)/Population_Tables!R41)*Population_Tables!F100</f>
        <v>5.2156125324254914</v>
      </c>
      <c r="R67" s="418">
        <f>(F67/Population_Tables!S41)*Population_Tables!G100</f>
        <v>5.2205330989718943</v>
      </c>
      <c r="S67" s="418">
        <f>(G67/Population_Tables!T41)*Population_Tables!H100</f>
        <v>0.80204176243742009</v>
      </c>
      <c r="T67" s="418">
        <f>(H67/Population_Tables!U41)*Population_Tables!I100</f>
        <v>0</v>
      </c>
      <c r="U67" s="418">
        <f>(I67/Population_Tables!V41)*Population_Tables!J100</f>
        <v>0</v>
      </c>
      <c r="V67" s="418">
        <f>(J67/Population_Tables!W41)*Population_Tables!K100</f>
        <v>0</v>
      </c>
      <c r="W67" s="418">
        <f>(K67/Population_Tables!X41)*Population_Tables!L100</f>
        <v>0</v>
      </c>
      <c r="Y67" s="456">
        <v>2052</v>
      </c>
      <c r="Z67" s="459">
        <f>((B67/Population_Tables!O41)*Population_Tables!C41)-N67</f>
        <v>41.59016126355538</v>
      </c>
      <c r="AA67" s="459">
        <f>((C67/Population_Tables!P41)*Population_Tables!D41)-O67</f>
        <v>12.685503518560051</v>
      </c>
      <c r="AB67" s="459">
        <f>((D67/Population_Tables!Q41)*Population_Tables!E41)-P67</f>
        <v>2.3713591036447204</v>
      </c>
      <c r="AC67" s="459">
        <f>((E67/Population_Tables!R41)*Population_Tables!F41)-Q67</f>
        <v>15.044445543824661</v>
      </c>
      <c r="AD67" s="459">
        <f>((F67/Population_Tables!S41)*Population_Tables!G41)-R67</f>
        <v>3.0287936432921354</v>
      </c>
      <c r="AE67" s="459">
        <f>((G67/Population_Tables!T41)*Population_Tables!H41)-S67</f>
        <v>1.8943707918973069</v>
      </c>
      <c r="AF67" s="459">
        <f>(H67/Population_Tables!U41)*Population_Tables!I41</f>
        <v>11.151802167852393</v>
      </c>
      <c r="AG67" s="459">
        <f>(I67/Population_Tables!V41)*Population_Tables!J41</f>
        <v>4.7735371846101069</v>
      </c>
      <c r="AH67" s="459">
        <f>(J67/Population_Tables!W41)*Population_Tables!K41</f>
        <v>4.4269125195228654</v>
      </c>
      <c r="AI67" s="459">
        <f>(K67/Population_Tables!X41)*Population_Tables!L41</f>
        <v>5.5171438802153654</v>
      </c>
      <c r="AK67" s="456">
        <v>2052</v>
      </c>
      <c r="AL67" s="459">
        <f t="shared" si="6"/>
        <v>52.828348657390187</v>
      </c>
      <c r="AM67" s="459">
        <f t="shared" si="6"/>
        <v>12.685503518560051</v>
      </c>
      <c r="AN67" s="459">
        <f t="shared" si="6"/>
        <v>2.3713591036447204</v>
      </c>
      <c r="AO67" s="459">
        <f t="shared" si="6"/>
        <v>20.260058076250154</v>
      </c>
      <c r="AP67" s="459">
        <f t="shared" si="6"/>
        <v>8.2493267422640297</v>
      </c>
      <c r="AQ67" s="459">
        <f t="shared" si="6"/>
        <v>2.696412554334727</v>
      </c>
      <c r="AR67" s="459">
        <f t="shared" si="6"/>
        <v>11.151802167852393</v>
      </c>
      <c r="AS67" s="459">
        <f t="shared" si="6"/>
        <v>4.7735371846101069</v>
      </c>
      <c r="AT67" s="459">
        <f t="shared" si="6"/>
        <v>4.4269125195228654</v>
      </c>
      <c r="AU67" s="459">
        <f t="shared" si="6"/>
        <v>5.5171438802153654</v>
      </c>
      <c r="AW67" s="216">
        <f>(B67/Population_Tables!O41)*Population_Tables!C41</f>
        <v>52.828348657390187</v>
      </c>
      <c r="AX67" s="153" t="str">
        <f t="shared" si="7"/>
        <v>OK</v>
      </c>
      <c r="AY67" s="421">
        <f t="shared" si="4"/>
        <v>46.262659995053681</v>
      </c>
      <c r="AZ67" s="153" t="str">
        <f t="shared" si="5"/>
        <v>OK</v>
      </c>
      <c r="BB67" s="216">
        <f>(C67/Population_Tables!P41)*Population_Tables!D41</f>
        <v>12.685503518560051</v>
      </c>
      <c r="BC67" s="216">
        <f>(D67/Population_Tables!Q41)*Population_Tables!E41</f>
        <v>2.3713591036447204</v>
      </c>
      <c r="BD67" s="216">
        <f>(E67/Population_Tables!R41)*Population_Tables!F41</f>
        <v>20.260058076250154</v>
      </c>
      <c r="BE67" s="216">
        <f>(F67/Population_Tables!S41)*Population_Tables!G41</f>
        <v>8.2493267422640297</v>
      </c>
      <c r="BF67" s="216">
        <f>(G67/Population_Tables!T41)*Population_Tables!H41</f>
        <v>2.696412554334727</v>
      </c>
      <c r="BG67" s="216"/>
      <c r="BN67" s="216"/>
      <c r="BO67" s="216"/>
      <c r="BP67" s="216"/>
    </row>
    <row r="68" spans="1:68" ht="15.6" x14ac:dyDescent="0.3">
      <c r="A68" s="194">
        <v>2053</v>
      </c>
      <c r="B68" s="229">
        <v>48.24183607511668</v>
      </c>
      <c r="C68" s="229">
        <v>11.728154591219509</v>
      </c>
      <c r="D68" s="229">
        <v>2.1753604004884237</v>
      </c>
      <c r="E68" s="229">
        <v>18.421074810728342</v>
      </c>
      <c r="F68" s="229">
        <v>7.6505125392225448</v>
      </c>
      <c r="G68" s="229">
        <v>2.4190400346848606</v>
      </c>
      <c r="H68" s="229">
        <v>10.303325759877195</v>
      </c>
      <c r="I68" s="229">
        <v>4.3655413884396026</v>
      </c>
      <c r="J68" s="229">
        <v>4.0900662146991786</v>
      </c>
      <c r="K68" s="229">
        <v>5.0723417388462657</v>
      </c>
      <c r="M68" s="194">
        <v>2053</v>
      </c>
      <c r="N68" s="419">
        <f t="shared" si="2"/>
        <v>11.445983628794203</v>
      </c>
      <c r="O68" s="418">
        <f>(C68/Population_Tables!P42)*Population_Tables!D101</f>
        <v>0</v>
      </c>
      <c r="P68" s="418">
        <f>(D68/Population_Tables!Q42)*Population_Tables!E101</f>
        <v>0</v>
      </c>
      <c r="Q68" s="418">
        <f>((E68-H68)/Population_Tables!R42)*Population_Tables!F101</f>
        <v>5.3099512693124566</v>
      </c>
      <c r="R68" s="418">
        <f>(F68/Population_Tables!S42)*Population_Tables!G101</f>
        <v>5.3220709216349569</v>
      </c>
      <c r="S68" s="418">
        <f>(G68/Population_Tables!T42)*Population_Tables!H101</f>
        <v>0.81396143784678832</v>
      </c>
      <c r="T68" s="418">
        <f>(H68/Population_Tables!U42)*Population_Tables!I101</f>
        <v>0</v>
      </c>
      <c r="U68" s="418">
        <f>(I68/Population_Tables!V42)*Population_Tables!J101</f>
        <v>0</v>
      </c>
      <c r="V68" s="418">
        <f>(J68/Population_Tables!W42)*Population_Tables!K101</f>
        <v>0</v>
      </c>
      <c r="W68" s="418">
        <f>(K68/Population_Tables!X42)*Population_Tables!L101</f>
        <v>0</v>
      </c>
      <c r="Y68" s="456">
        <v>2053</v>
      </c>
      <c r="Z68" s="459">
        <f>((B68/Population_Tables!O42)*Population_Tables!C42)-N68</f>
        <v>41.863013209219147</v>
      </c>
      <c r="AA68" s="459">
        <f>((C68/Population_Tables!P42)*Population_Tables!D42)-O68</f>
        <v>12.764424876842392</v>
      </c>
      <c r="AB68" s="459">
        <f>((D68/Population_Tables!Q42)*Population_Tables!E42)-P68</f>
        <v>2.387304101976087</v>
      </c>
      <c r="AC68" s="459">
        <f>((E68/Population_Tables!R42)*Population_Tables!F42)-Q68</f>
        <v>15.144918160264229</v>
      </c>
      <c r="AD68" s="459">
        <f>((F68/Population_Tables!S42)*Population_Tables!G42)-R68</f>
        <v>3.0722205775224314</v>
      </c>
      <c r="AE68" s="459">
        <f>((G68/Population_Tables!T42)*Population_Tables!H42)-S68</f>
        <v>1.9142710827408818</v>
      </c>
      <c r="AF68" s="459">
        <f>(H68/Population_Tables!U42)*Population_Tables!I42</f>
        <v>11.20996778394348</v>
      </c>
      <c r="AG68" s="459">
        <f>(I68/Population_Tables!V42)*Population_Tables!J42</f>
        <v>4.8387072655147891</v>
      </c>
      <c r="AH68" s="459">
        <f>(J68/Population_Tables!W42)*Population_Tables!K42</f>
        <v>4.4432477600992346</v>
      </c>
      <c r="AI68" s="459">
        <f>(K68/Population_Tables!X42)*Population_Tables!L42</f>
        <v>5.5578289148394395</v>
      </c>
      <c r="AK68" s="456">
        <v>2053</v>
      </c>
      <c r="AL68" s="459">
        <f t="shared" si="6"/>
        <v>53.30899683801335</v>
      </c>
      <c r="AM68" s="459">
        <f t="shared" si="6"/>
        <v>12.764424876842392</v>
      </c>
      <c r="AN68" s="459">
        <f t="shared" si="6"/>
        <v>2.387304101976087</v>
      </c>
      <c r="AO68" s="459">
        <f t="shared" si="6"/>
        <v>20.454869429576686</v>
      </c>
      <c r="AP68" s="459">
        <f t="shared" si="6"/>
        <v>8.3942914991573883</v>
      </c>
      <c r="AQ68" s="459">
        <f t="shared" si="6"/>
        <v>2.7282325205876701</v>
      </c>
      <c r="AR68" s="459">
        <f t="shared" si="6"/>
        <v>11.20996778394348</v>
      </c>
      <c r="AS68" s="459">
        <f t="shared" si="6"/>
        <v>4.8387072655147891</v>
      </c>
      <c r="AT68" s="459">
        <f t="shared" si="6"/>
        <v>4.4432477600992346</v>
      </c>
      <c r="AU68" s="459">
        <f t="shared" si="6"/>
        <v>5.5578289148394395</v>
      </c>
      <c r="AW68" s="216">
        <f>(B68/Population_Tables!O42)*Population_Tables!C42</f>
        <v>53.30899683801335</v>
      </c>
      <c r="AX68" s="153" t="str">
        <f t="shared" si="7"/>
        <v>OK</v>
      </c>
      <c r="AY68" s="421">
        <f t="shared" si="4"/>
        <v>46.729122428140222</v>
      </c>
      <c r="AZ68" s="153" t="str">
        <f t="shared" si="5"/>
        <v>OK</v>
      </c>
      <c r="BB68" s="216">
        <f>(C68/Population_Tables!P42)*Population_Tables!D42</f>
        <v>12.764424876842392</v>
      </c>
      <c r="BC68" s="216">
        <f>(D68/Population_Tables!Q42)*Population_Tables!E42</f>
        <v>2.387304101976087</v>
      </c>
      <c r="BD68" s="216">
        <f>(E68/Population_Tables!R42)*Population_Tables!F42</f>
        <v>20.454869429576686</v>
      </c>
      <c r="BE68" s="216">
        <f>(F68/Population_Tables!S42)*Population_Tables!G42</f>
        <v>8.3942914991573883</v>
      </c>
      <c r="BF68" s="216">
        <f>(G68/Population_Tables!T42)*Population_Tables!H42</f>
        <v>2.7282325205876701</v>
      </c>
      <c r="BG68" s="216"/>
      <c r="BN68" s="216"/>
      <c r="BO68" s="216"/>
      <c r="BP68" s="216"/>
    </row>
    <row r="69" spans="1:68" ht="15.6" x14ac:dyDescent="0.3">
      <c r="A69" s="194">
        <v>2054</v>
      </c>
      <c r="B69" s="229">
        <v>48.472112324436353</v>
      </c>
      <c r="C69" s="229">
        <v>11.760182010644328</v>
      </c>
      <c r="D69" s="229">
        <v>2.1814299028033806</v>
      </c>
      <c r="E69" s="229">
        <v>18.507684638000072</v>
      </c>
      <c r="F69" s="229">
        <v>7.7539331915645242</v>
      </c>
      <c r="G69" s="229">
        <v>2.4347784415425515</v>
      </c>
      <c r="H69" s="229">
        <v>10.316509868392259</v>
      </c>
      <c r="I69" s="229">
        <v>4.4038807937986295</v>
      </c>
      <c r="J69" s="229">
        <v>4.0910717145866151</v>
      </c>
      <c r="K69" s="229">
        <v>5.0908116535881174</v>
      </c>
      <c r="M69" s="194">
        <v>2054</v>
      </c>
      <c r="N69" s="419">
        <f t="shared" si="2"/>
        <v>11.654481996202719</v>
      </c>
      <c r="O69" s="418">
        <f>(C69/Population_Tables!P43)*Population_Tables!D102</f>
        <v>0</v>
      </c>
      <c r="P69" s="418">
        <f>(D69/Population_Tables!Q43)*Population_Tables!E102</f>
        <v>0</v>
      </c>
      <c r="Q69" s="418">
        <f>((E69-H69)/Population_Tables!R43)*Population_Tables!F102</f>
        <v>5.4043023788198505</v>
      </c>
      <c r="R69" s="418">
        <f>(F69/Population_Tables!S43)*Population_Tables!G102</f>
        <v>5.4243358147268959</v>
      </c>
      <c r="S69" s="418">
        <f>(G69/Population_Tables!T43)*Population_Tables!H102</f>
        <v>0.82584380265597179</v>
      </c>
      <c r="T69" s="418">
        <f>(H69/Population_Tables!U43)*Population_Tables!I102</f>
        <v>0</v>
      </c>
      <c r="U69" s="418">
        <f>(I69/Population_Tables!V43)*Population_Tables!J102</f>
        <v>0</v>
      </c>
      <c r="V69" s="418">
        <f>(J69/Population_Tables!W43)*Population_Tables!K102</f>
        <v>0</v>
      </c>
      <c r="W69" s="418">
        <f>(K69/Population_Tables!X43)*Population_Tables!L102</f>
        <v>0</v>
      </c>
      <c r="Y69" s="456">
        <v>2054</v>
      </c>
      <c r="Z69" s="459">
        <f>((B69/Population_Tables!O43)*Population_Tables!C43)-N69</f>
        <v>42.137527829043819</v>
      </c>
      <c r="AA69" s="459">
        <f>((C69/Population_Tables!P43)*Population_Tables!D43)-O69</f>
        <v>12.842905822073995</v>
      </c>
      <c r="AB69" s="459">
        <f>((D69/Population_Tables!Q43)*Population_Tables!E43)-P69</f>
        <v>2.4040353956571376</v>
      </c>
      <c r="AC69" s="459">
        <f>((E69/Population_Tables!R43)*Population_Tables!F43)-Q69</f>
        <v>15.243131376039017</v>
      </c>
      <c r="AD69" s="459">
        <f>((F69/Population_Tables!S43)*Population_Tables!G43)-R69</f>
        <v>3.1157919886870831</v>
      </c>
      <c r="AE69" s="459">
        <f>((G69/Population_Tables!T43)*Population_Tables!H43)-S69</f>
        <v>1.9338684881914174</v>
      </c>
      <c r="AF69" s="459">
        <f>(H69/Population_Tables!U43)*Population_Tables!I43</f>
        <v>11.266612329636875</v>
      </c>
      <c r="AG69" s="459">
        <f>(I69/Population_Tables!V43)*Population_Tables!J43</f>
        <v>4.9039253481426766</v>
      </c>
      <c r="AH69" s="459">
        <f>(J69/Population_Tables!W43)*Population_Tables!K43</f>
        <v>4.4599332686847655</v>
      </c>
      <c r="AI69" s="459">
        <f>(K69/Population_Tables!X43)*Population_Tables!L43</f>
        <v>5.5984277526936257</v>
      </c>
      <c r="AK69" s="456">
        <v>2054</v>
      </c>
      <c r="AL69" s="459">
        <f t="shared" ref="AL69:AU75" si="8">Z69+N69</f>
        <v>53.792009825246538</v>
      </c>
      <c r="AM69" s="459">
        <f t="shared" si="8"/>
        <v>12.842905822073995</v>
      </c>
      <c r="AN69" s="459">
        <f t="shared" si="8"/>
        <v>2.4040353956571376</v>
      </c>
      <c r="AO69" s="459">
        <f t="shared" si="8"/>
        <v>20.647433754858866</v>
      </c>
      <c r="AP69" s="459">
        <f t="shared" si="8"/>
        <v>8.5401278034139789</v>
      </c>
      <c r="AQ69" s="459">
        <f t="shared" si="8"/>
        <v>2.7597122908473892</v>
      </c>
      <c r="AR69" s="459">
        <f t="shared" si="8"/>
        <v>11.266612329636875</v>
      </c>
      <c r="AS69" s="459">
        <f t="shared" si="8"/>
        <v>4.9039253481426766</v>
      </c>
      <c r="AT69" s="459">
        <f t="shared" si="8"/>
        <v>4.4599332686847655</v>
      </c>
      <c r="AU69" s="459">
        <f t="shared" si="8"/>
        <v>5.5984277526936257</v>
      </c>
      <c r="AW69" s="216">
        <f>(B69/Population_Tables!O43)*Population_Tables!C43</f>
        <v>53.792009825246538</v>
      </c>
      <c r="AX69" s="153" t="str">
        <f t="shared" si="7"/>
        <v>OK</v>
      </c>
      <c r="AY69" s="421">
        <f t="shared" si="4"/>
        <v>47.19421506685137</v>
      </c>
      <c r="AZ69" s="153" t="str">
        <f t="shared" si="5"/>
        <v>OK</v>
      </c>
      <c r="BB69" s="216">
        <f>(C69/Population_Tables!P43)*Population_Tables!D43</f>
        <v>12.842905822073995</v>
      </c>
      <c r="BC69" s="216">
        <f>(D69/Population_Tables!Q43)*Population_Tables!E43</f>
        <v>2.4040353956571376</v>
      </c>
      <c r="BD69" s="216">
        <f>(E69/Population_Tables!R43)*Population_Tables!F43</f>
        <v>20.647433754858866</v>
      </c>
      <c r="BE69" s="216">
        <f>(F69/Population_Tables!S43)*Population_Tables!G43</f>
        <v>8.5401278034139789</v>
      </c>
      <c r="BF69" s="216">
        <f>(G69/Population_Tables!T43)*Population_Tables!H43</f>
        <v>2.7597122908473892</v>
      </c>
      <c r="BG69" s="216"/>
      <c r="BN69" s="216"/>
      <c r="BO69" s="216"/>
      <c r="BP69" s="216"/>
    </row>
    <row r="70" spans="1:68" ht="15.6" x14ac:dyDescent="0.3">
      <c r="A70" s="194">
        <v>2055</v>
      </c>
      <c r="B70" s="229">
        <v>48.696512092870847</v>
      </c>
      <c r="C70" s="229">
        <v>11.790160129744207</v>
      </c>
      <c r="D70" s="229">
        <v>2.1879183118390464</v>
      </c>
      <c r="E70" s="229">
        <v>18.588200612814347</v>
      </c>
      <c r="F70" s="229">
        <v>7.8566149277052038</v>
      </c>
      <c r="G70" s="229">
        <v>2.4496680817573688</v>
      </c>
      <c r="H70" s="229">
        <v>10.326820794890809</v>
      </c>
      <c r="I70" s="229">
        <v>4.4410811065058535</v>
      </c>
      <c r="J70" s="229">
        <v>4.0919203072304704</v>
      </c>
      <c r="K70" s="229">
        <v>5.1084514926742814</v>
      </c>
      <c r="M70" s="194">
        <v>2055</v>
      </c>
      <c r="N70" s="419">
        <f t="shared" si="2"/>
        <v>11.863423902255018</v>
      </c>
      <c r="O70" s="418">
        <f>(C70/Population_Tables!P44)*Population_Tables!D103</f>
        <v>0</v>
      </c>
      <c r="P70" s="418">
        <f>(D70/Population_Tables!Q44)*Population_Tables!E103</f>
        <v>0</v>
      </c>
      <c r="Q70" s="418">
        <f>((E70-H70)/Population_Tables!R44)*Population_Tables!F103</f>
        <v>5.4984624161547178</v>
      </c>
      <c r="R70" s="418">
        <f>(F70/Population_Tables!S44)*Population_Tables!G103</f>
        <v>5.5272908805575867</v>
      </c>
      <c r="S70" s="418">
        <f>(G70/Population_Tables!T44)*Population_Tables!H103</f>
        <v>0.83767060554271444</v>
      </c>
      <c r="T70" s="418">
        <f>(H70/Population_Tables!U44)*Population_Tables!I103</f>
        <v>0</v>
      </c>
      <c r="U70" s="418">
        <f>(I70/Population_Tables!V44)*Population_Tables!J103</f>
        <v>0</v>
      </c>
      <c r="V70" s="418">
        <f>(J70/Population_Tables!W44)*Population_Tables!K103</f>
        <v>0</v>
      </c>
      <c r="W70" s="418">
        <f>(K70/Population_Tables!X44)*Population_Tables!L103</f>
        <v>0</v>
      </c>
      <c r="Y70" s="456">
        <v>2055</v>
      </c>
      <c r="Z70" s="459">
        <f>((B70/Population_Tables!O44)*Population_Tables!C44)-N70</f>
        <v>42.413866076401206</v>
      </c>
      <c r="AA70" s="459">
        <f>((C70/Population_Tables!P44)*Population_Tables!D44)-O70</f>
        <v>12.920910972255866</v>
      </c>
      <c r="AB70" s="459">
        <f>((D70/Population_Tables!Q44)*Population_Tables!E44)-P70</f>
        <v>2.4216022992479092</v>
      </c>
      <c r="AC70" s="459">
        <f>((E70/Population_Tables!R44)*Population_Tables!F44)-Q70</f>
        <v>15.338818005556915</v>
      </c>
      <c r="AD70" s="459">
        <f>((F70/Population_Tables!S44)*Population_Tables!G44)-R70</f>
        <v>3.1594788498287034</v>
      </c>
      <c r="AE70" s="459">
        <f>((G70/Population_Tables!T44)*Population_Tables!H44)-S70</f>
        <v>1.9531253083410642</v>
      </c>
      <c r="AF70" s="459">
        <f>(H70/Population_Tables!U44)*Population_Tables!I44</f>
        <v>11.32158616289365</v>
      </c>
      <c r="AG70" s="459">
        <f>(I70/Population_Tables!V44)*Population_Tables!J44</f>
        <v>4.9690850023594813</v>
      </c>
      <c r="AH70" s="459">
        <f>(J70/Population_Tables!W44)*Population_Tables!K44</f>
        <v>4.4770060628333557</v>
      </c>
      <c r="AI70" s="459">
        <f>(K70/Population_Tables!X44)*Population_Tables!L44</f>
        <v>5.6389181498795944</v>
      </c>
      <c r="AK70" s="456">
        <v>2055</v>
      </c>
      <c r="AL70" s="459">
        <f t="shared" si="8"/>
        <v>54.277289978656228</v>
      </c>
      <c r="AM70" s="459">
        <f t="shared" si="8"/>
        <v>12.920910972255866</v>
      </c>
      <c r="AN70" s="459">
        <f t="shared" si="8"/>
        <v>2.4216022992479092</v>
      </c>
      <c r="AO70" s="459">
        <f t="shared" si="8"/>
        <v>20.837280421711633</v>
      </c>
      <c r="AP70" s="459">
        <f t="shared" si="8"/>
        <v>8.6867697303862901</v>
      </c>
      <c r="AQ70" s="459">
        <f t="shared" si="8"/>
        <v>2.7907959138837786</v>
      </c>
      <c r="AR70" s="459">
        <f t="shared" si="8"/>
        <v>11.32158616289365</v>
      </c>
      <c r="AS70" s="459">
        <f t="shared" si="8"/>
        <v>4.9690850023594813</v>
      </c>
      <c r="AT70" s="459">
        <f t="shared" si="8"/>
        <v>4.4770060628333557</v>
      </c>
      <c r="AU70" s="459">
        <f t="shared" si="8"/>
        <v>5.6389181498795944</v>
      </c>
      <c r="AW70" s="216">
        <f>(B70/Population_Tables!O44)*Population_Tables!C44</f>
        <v>54.277289978656221</v>
      </c>
      <c r="AX70" s="153" t="b">
        <f t="shared" si="7"/>
        <v>0</v>
      </c>
      <c r="AY70" s="421">
        <f t="shared" si="4"/>
        <v>47.657359337485474</v>
      </c>
      <c r="AZ70" s="153" t="str">
        <f t="shared" si="5"/>
        <v>OK</v>
      </c>
      <c r="BB70" s="216">
        <f>(C70/Population_Tables!P44)*Population_Tables!D44</f>
        <v>12.920910972255866</v>
      </c>
      <c r="BC70" s="216">
        <f>(D70/Population_Tables!Q44)*Population_Tables!E44</f>
        <v>2.4216022992479092</v>
      </c>
      <c r="BD70" s="216">
        <f>(E70/Population_Tables!R44)*Population_Tables!F44</f>
        <v>20.837280421711633</v>
      </c>
      <c r="BE70" s="216">
        <f>(F70/Population_Tables!S44)*Population_Tables!G44</f>
        <v>8.6867697303862901</v>
      </c>
      <c r="BF70" s="216">
        <f>(G70/Population_Tables!T44)*Population_Tables!H44</f>
        <v>2.7907959138837786</v>
      </c>
      <c r="BG70" s="216"/>
      <c r="BN70" s="216"/>
      <c r="BO70" s="216"/>
      <c r="BP70" s="216"/>
    </row>
    <row r="71" spans="1:68" ht="15.6" x14ac:dyDescent="0.3">
      <c r="A71" s="194">
        <v>2056</v>
      </c>
      <c r="B71" s="229">
        <v>48.915035380420179</v>
      </c>
      <c r="C71" s="229">
        <v>11.817985195289049</v>
      </c>
      <c r="D71" s="229">
        <v>2.1948563942886707</v>
      </c>
      <c r="E71" s="229">
        <v>18.662295087931824</v>
      </c>
      <c r="F71" s="229">
        <v>7.9584996359489519</v>
      </c>
      <c r="G71" s="229">
        <v>2.4636621491758373</v>
      </c>
      <c r="H71" s="229">
        <v>10.334132711773581</v>
      </c>
      <c r="I71" s="229">
        <v>4.4770809729335443</v>
      </c>
      <c r="J71" s="229">
        <v>4.092617545159948</v>
      </c>
      <c r="K71" s="229">
        <v>5.1252245995676589</v>
      </c>
      <c r="M71" s="194">
        <v>2056</v>
      </c>
      <c r="N71" s="419">
        <f t="shared" si="2"/>
        <v>12.072590318392526</v>
      </c>
      <c r="O71" s="418">
        <f>(C71/Population_Tables!P45)*Population_Tables!D104</f>
        <v>0</v>
      </c>
      <c r="P71" s="418">
        <f>(D71/Population_Tables!Q45)*Population_Tables!E104</f>
        <v>0</v>
      </c>
      <c r="Q71" s="418">
        <f>((E71-H71)/Population_Tables!R45)*Population_Tables!F104</f>
        <v>5.5922670884886871</v>
      </c>
      <c r="R71" s="418">
        <f>(F71/Population_Tables!S45)*Population_Tables!G104</f>
        <v>5.6308994159930847</v>
      </c>
      <c r="S71" s="418">
        <f>(G71/Population_Tables!T45)*Population_Tables!H104</f>
        <v>0.84942381391075505</v>
      </c>
      <c r="T71" s="418">
        <f>(H71/Population_Tables!U45)*Population_Tables!I104</f>
        <v>0</v>
      </c>
      <c r="U71" s="418">
        <f>(I71/Population_Tables!V45)*Population_Tables!J104</f>
        <v>0</v>
      </c>
      <c r="V71" s="418">
        <f>(J71/Population_Tables!W45)*Population_Tables!K104</f>
        <v>0</v>
      </c>
      <c r="W71" s="418">
        <f>(K71/Population_Tables!X45)*Population_Tables!L104</f>
        <v>0</v>
      </c>
      <c r="Y71" s="456">
        <v>2056</v>
      </c>
      <c r="Z71" s="459">
        <f>((B71/Population_Tables!O45)*Population_Tables!C45)-N71</f>
        <v>42.692270389749012</v>
      </c>
      <c r="AA71" s="459">
        <f>((C71/Population_Tables!P45)*Population_Tables!D45)-O71</f>
        <v>12.998370875870938</v>
      </c>
      <c r="AB71" s="459">
        <f>((D71/Population_Tables!Q45)*Population_Tables!E45)-P71</f>
        <v>2.4400551666026375</v>
      </c>
      <c r="AC71" s="459">
        <f>((E71/Population_Tables!R45)*Population_Tables!F45)-Q71</f>
        <v>15.431745224289365</v>
      </c>
      <c r="AD71" s="459">
        <f>((F71/Population_Tables!S45)*Population_Tables!G45)-R71</f>
        <v>3.2032636798467333</v>
      </c>
      <c r="AE71" s="459">
        <f>((G71/Population_Tables!T45)*Population_Tables!H45)-S71</f>
        <v>1.9720058452158544</v>
      </c>
      <c r="AF71" s="459">
        <f>(H71/Population_Tables!U45)*Population_Tables!I45</f>
        <v>11.374754944237404</v>
      </c>
      <c r="AG71" s="459">
        <f>(I71/Population_Tables!V45)*Population_Tables!J45</f>
        <v>5.0341142250521802</v>
      </c>
      <c r="AH71" s="459">
        <f>(J71/Population_Tables!W45)*Population_Tables!K45</f>
        <v>4.4944937257555715</v>
      </c>
      <c r="AI71" s="459">
        <f>(K71/Population_Tables!X45)*Population_Tables!L45</f>
        <v>5.6792708913571808</v>
      </c>
      <c r="AK71" s="456">
        <v>2056</v>
      </c>
      <c r="AL71" s="459">
        <f t="shared" si="8"/>
        <v>54.764860708141541</v>
      </c>
      <c r="AM71" s="459">
        <f t="shared" si="8"/>
        <v>12.998370875870938</v>
      </c>
      <c r="AN71" s="459">
        <f t="shared" si="8"/>
        <v>2.4400551666026375</v>
      </c>
      <c r="AO71" s="459">
        <f t="shared" si="8"/>
        <v>21.024012312778051</v>
      </c>
      <c r="AP71" s="459">
        <f t="shared" si="8"/>
        <v>8.8341630958398181</v>
      </c>
      <c r="AQ71" s="459">
        <f t="shared" si="8"/>
        <v>2.8214296591266095</v>
      </c>
      <c r="AR71" s="459">
        <f t="shared" si="8"/>
        <v>11.374754944237404</v>
      </c>
      <c r="AS71" s="459">
        <f t="shared" si="8"/>
        <v>5.0341142250521802</v>
      </c>
      <c r="AT71" s="459">
        <f t="shared" si="8"/>
        <v>4.4944937257555715</v>
      </c>
      <c r="AU71" s="459">
        <f t="shared" si="8"/>
        <v>5.6792708913571808</v>
      </c>
      <c r="AW71" s="216">
        <f>(B71/Population_Tables!O45)*Population_Tables!C45</f>
        <v>54.764860708141541</v>
      </c>
      <c r="AX71" s="153" t="str">
        <f t="shared" si="7"/>
        <v>OK</v>
      </c>
      <c r="AY71" s="421">
        <f t="shared" si="4"/>
        <v>48.118031110218055</v>
      </c>
      <c r="AZ71" s="153" t="str">
        <f t="shared" si="5"/>
        <v>OK</v>
      </c>
      <c r="BB71" s="216">
        <f>(C71/Population_Tables!P45)*Population_Tables!D45</f>
        <v>12.998370875870938</v>
      </c>
      <c r="BC71" s="216">
        <f>(D71/Population_Tables!Q45)*Population_Tables!E45</f>
        <v>2.4400551666026375</v>
      </c>
      <c r="BD71" s="216">
        <f>(E71/Population_Tables!R45)*Population_Tables!F45</f>
        <v>21.024012312778051</v>
      </c>
      <c r="BE71" s="216">
        <f>(F71/Population_Tables!S45)*Population_Tables!G45</f>
        <v>8.8341630958398181</v>
      </c>
      <c r="BF71" s="216">
        <f>(G71/Population_Tables!T45)*Population_Tables!H45</f>
        <v>2.8214296591266095</v>
      </c>
      <c r="BG71" s="216"/>
      <c r="BN71" s="216"/>
      <c r="BO71" s="216"/>
      <c r="BP71" s="216"/>
    </row>
    <row r="72" spans="1:68" ht="15.6" x14ac:dyDescent="0.3">
      <c r="A72" s="194">
        <v>2057</v>
      </c>
      <c r="B72" s="229">
        <v>49.127682187084339</v>
      </c>
      <c r="C72" s="229">
        <v>11.843553454048759</v>
      </c>
      <c r="D72" s="229">
        <v>2.2022749168455027</v>
      </c>
      <c r="E72" s="229">
        <v>18.729640416113135</v>
      </c>
      <c r="F72" s="229">
        <v>8.059529204600139</v>
      </c>
      <c r="G72" s="229">
        <v>2.4767138376444828</v>
      </c>
      <c r="H72" s="229">
        <v>10.338319791441315</v>
      </c>
      <c r="I72" s="229">
        <v>4.5118190394539752</v>
      </c>
      <c r="J72" s="229">
        <v>4.0931689809042542</v>
      </c>
      <c r="K72" s="229">
        <v>5.1410943177311497</v>
      </c>
      <c r="M72" s="194">
        <v>2057</v>
      </c>
      <c r="N72" s="419">
        <f t="shared" si="2"/>
        <v>12.281725738926399</v>
      </c>
      <c r="O72" s="418">
        <f>(C72/Population_Tables!P46)*Population_Tables!D105</f>
        <v>0</v>
      </c>
      <c r="P72" s="418">
        <f>(D72/Population_Tables!Q46)*Population_Tables!E105</f>
        <v>0</v>
      </c>
      <c r="Q72" s="418">
        <f>((E72-H72)/Population_Tables!R46)*Population_Tables!F105</f>
        <v>5.6855288934053396</v>
      </c>
      <c r="R72" s="418">
        <f>(F72/Population_Tables!S46)*Population_Tables!G105</f>
        <v>5.7351131017656423</v>
      </c>
      <c r="S72" s="418">
        <f>(G72/Population_Tables!T46)*Population_Tables!H105</f>
        <v>0.8610837437554163</v>
      </c>
      <c r="T72" s="418">
        <f>(H72/Population_Tables!U46)*Population_Tables!I105</f>
        <v>0</v>
      </c>
      <c r="U72" s="418">
        <f>(I72/Population_Tables!V46)*Population_Tables!J105</f>
        <v>0</v>
      </c>
      <c r="V72" s="418">
        <f>(J72/Population_Tables!W46)*Population_Tables!K105</f>
        <v>0</v>
      </c>
      <c r="W72" s="418">
        <f>(K72/Population_Tables!X46)*Population_Tables!L105</f>
        <v>0</v>
      </c>
      <c r="Y72" s="456">
        <v>2057</v>
      </c>
      <c r="Z72" s="459">
        <f>((B72/Population_Tables!O46)*Population_Tables!C46)-N72</f>
        <v>42.972918765391718</v>
      </c>
      <c r="AA72" s="459">
        <f>((C72/Population_Tables!P46)*Population_Tables!D46)-O72</f>
        <v>13.075168762949563</v>
      </c>
      <c r="AB72" s="459">
        <f>((D72/Population_Tables!Q46)*Population_Tables!E46)-P72</f>
        <v>2.45944428620402</v>
      </c>
      <c r="AC72" s="459">
        <f>((E72/Population_Tables!R46)*Population_Tables!F46)-Q72</f>
        <v>15.521647806167344</v>
      </c>
      <c r="AD72" s="459">
        <f>((F72/Population_Tables!S46)*Population_Tables!G46)-R72</f>
        <v>3.2471302690465889</v>
      </c>
      <c r="AE72" s="459">
        <f>((G72/Population_Tables!T46)*Population_Tables!H46)-S72</f>
        <v>1.9904696881437043</v>
      </c>
      <c r="AF72" s="459">
        <f>(H72/Population_Tables!U46)*Population_Tables!I46</f>
        <v>11.42597739356977</v>
      </c>
      <c r="AG72" s="459">
        <f>(I72/Population_Tables!V46)*Population_Tables!J46</f>
        <v>5.0989220353497773</v>
      </c>
      <c r="AH72" s="459">
        <f>(J72/Population_Tables!W46)*Population_Tables!K46</f>
        <v>4.5124135297321128</v>
      </c>
      <c r="AI72" s="459">
        <f>(K72/Population_Tables!X46)*Population_Tables!L46</f>
        <v>5.7194347495222919</v>
      </c>
      <c r="AK72" s="456">
        <v>2057</v>
      </c>
      <c r="AL72" s="459">
        <f t="shared" si="8"/>
        <v>55.254644504318115</v>
      </c>
      <c r="AM72" s="459">
        <f t="shared" si="8"/>
        <v>13.075168762949563</v>
      </c>
      <c r="AN72" s="459">
        <f t="shared" si="8"/>
        <v>2.45944428620402</v>
      </c>
      <c r="AO72" s="459">
        <f t="shared" si="8"/>
        <v>21.207176699572685</v>
      </c>
      <c r="AP72" s="459">
        <f t="shared" si="8"/>
        <v>8.9822433708122311</v>
      </c>
      <c r="AQ72" s="459">
        <f t="shared" si="8"/>
        <v>2.8515534318991205</v>
      </c>
      <c r="AR72" s="459">
        <f t="shared" si="8"/>
        <v>11.42597739356977</v>
      </c>
      <c r="AS72" s="459">
        <f t="shared" si="8"/>
        <v>5.0989220353497773</v>
      </c>
      <c r="AT72" s="459">
        <f t="shared" si="8"/>
        <v>4.5124135297321128</v>
      </c>
      <c r="AU72" s="459">
        <f t="shared" si="8"/>
        <v>5.7194347495222919</v>
      </c>
      <c r="AW72" s="216">
        <f>(B72/Population_Tables!O46)*Population_Tables!C46</f>
        <v>55.254644504318115</v>
      </c>
      <c r="AX72" s="153" t="str">
        <f t="shared" si="7"/>
        <v>OK</v>
      </c>
      <c r="AY72" s="421">
        <f t="shared" si="4"/>
        <v>48.575586551437624</v>
      </c>
      <c r="AZ72" s="153" t="str">
        <f t="shared" si="5"/>
        <v>OK</v>
      </c>
      <c r="BB72" s="216">
        <f>(C72/Population_Tables!P46)*Population_Tables!D46</f>
        <v>13.075168762949563</v>
      </c>
      <c r="BC72" s="216">
        <f>(D72/Population_Tables!Q46)*Population_Tables!E46</f>
        <v>2.45944428620402</v>
      </c>
      <c r="BD72" s="216">
        <f>(E72/Population_Tables!R46)*Population_Tables!F46</f>
        <v>21.207176699572685</v>
      </c>
      <c r="BE72" s="216">
        <f>(F72/Population_Tables!S46)*Population_Tables!G46</f>
        <v>8.9822433708122311</v>
      </c>
      <c r="BF72" s="216">
        <f>(G72/Population_Tables!T46)*Population_Tables!H46</f>
        <v>2.8515534318991205</v>
      </c>
      <c r="BG72" s="216"/>
      <c r="BN72" s="216"/>
      <c r="BO72" s="216"/>
      <c r="BP72" s="216"/>
    </row>
    <row r="73" spans="1:68" ht="15.6" x14ac:dyDescent="0.3">
      <c r="A73" s="194">
        <v>2058</v>
      </c>
      <c r="B73" s="229">
        <v>49.334452512863336</v>
      </c>
      <c r="C73" s="229">
        <v>11.866761152793245</v>
      </c>
      <c r="D73" s="229">
        <v>2.2102046462027918</v>
      </c>
      <c r="E73" s="229">
        <v>18.789908950118928</v>
      </c>
      <c r="F73" s="229">
        <v>8.1596455219631387</v>
      </c>
      <c r="G73" s="229">
        <v>2.4887763410098294</v>
      </c>
      <c r="H73" s="229">
        <v>10.339256206294749</v>
      </c>
      <c r="I73" s="229">
        <v>4.545233952439415</v>
      </c>
      <c r="J73" s="229">
        <v>4.0935801669925933</v>
      </c>
      <c r="K73" s="229">
        <v>5.1560239906276539</v>
      </c>
      <c r="M73" s="194">
        <v>2058</v>
      </c>
      <c r="N73" s="419">
        <f t="shared" si="2"/>
        <v>12.490467911408496</v>
      </c>
      <c r="O73" s="418">
        <f>(C73/Population_Tables!P47)*Population_Tables!D106</f>
        <v>0</v>
      </c>
      <c r="P73" s="418">
        <f>(D73/Population_Tables!Q47)*Population_Tables!E106</f>
        <v>0</v>
      </c>
      <c r="Q73" s="418">
        <f>((E73-H73)/Population_Tables!R47)*Population_Tables!F106</f>
        <v>5.7779765200360398</v>
      </c>
      <c r="R73" s="418">
        <f>(F73/Population_Tables!S47)*Population_Tables!G106</f>
        <v>5.8398648496714545</v>
      </c>
      <c r="S73" s="418">
        <f>(G73/Population_Tables!T47)*Population_Tables!H106</f>
        <v>0.87262654170100129</v>
      </c>
      <c r="T73" s="418">
        <f>(H73/Population_Tables!U47)*Population_Tables!I106</f>
        <v>0</v>
      </c>
      <c r="U73" s="418">
        <f>(I73/Population_Tables!V47)*Population_Tables!J106</f>
        <v>0</v>
      </c>
      <c r="V73" s="418">
        <f>(J73/Population_Tables!W47)*Population_Tables!K106</f>
        <v>0</v>
      </c>
      <c r="W73" s="418">
        <f>(K73/Population_Tables!X47)*Population_Tables!L106</f>
        <v>0</v>
      </c>
      <c r="Y73" s="456">
        <v>2058</v>
      </c>
      <c r="Z73" s="459">
        <f>((B73/Population_Tables!O47)*Population_Tables!C47)-N73</f>
        <v>43.255805220081392</v>
      </c>
      <c r="AA73" s="459">
        <f>((C73/Population_Tables!P47)*Population_Tables!D47)-O73</f>
        <v>13.151135784120891</v>
      </c>
      <c r="AB73" s="459">
        <f>((D73/Population_Tables!Q47)*Population_Tables!E47)-P73</f>
        <v>2.4798124084076649</v>
      </c>
      <c r="AC73" s="459">
        <f>((E73/Population_Tables!R47)*Population_Tables!F47)-Q73</f>
        <v>15.60817389173288</v>
      </c>
      <c r="AD73" s="459">
        <f>((F73/Population_Tables!S47)*Population_Tables!G47)-R73</f>
        <v>3.291053197082646</v>
      </c>
      <c r="AE73" s="459">
        <f>((G73/Population_Tables!T47)*Population_Tables!H47)-S73</f>
        <v>2.0084679497117235</v>
      </c>
      <c r="AF73" s="459">
        <f>(H73/Population_Tables!U47)*Population_Tables!I47</f>
        <v>11.475078142053468</v>
      </c>
      <c r="AG73" s="459">
        <f>(I73/Population_Tables!V47)*Population_Tables!J47</f>
        <v>5.1633510307964041</v>
      </c>
      <c r="AH73" s="459">
        <f>(J73/Population_Tables!W47)*Population_Tables!K47</f>
        <v>4.5307663026766027</v>
      </c>
      <c r="AI73" s="459">
        <f>(K73/Population_Tables!X47)*Population_Tables!L47</f>
        <v>5.7593307968961538</v>
      </c>
      <c r="AK73" s="456">
        <v>2058</v>
      </c>
      <c r="AL73" s="459">
        <f t="shared" si="8"/>
        <v>55.746273131489886</v>
      </c>
      <c r="AM73" s="459">
        <f t="shared" si="8"/>
        <v>13.151135784120891</v>
      </c>
      <c r="AN73" s="459">
        <f t="shared" si="8"/>
        <v>2.4798124084076649</v>
      </c>
      <c r="AO73" s="459">
        <f t="shared" si="8"/>
        <v>21.38615041176892</v>
      </c>
      <c r="AP73" s="459">
        <f t="shared" si="8"/>
        <v>9.1309180467541005</v>
      </c>
      <c r="AQ73" s="459">
        <f t="shared" si="8"/>
        <v>2.8810944914127248</v>
      </c>
      <c r="AR73" s="459">
        <f t="shared" si="8"/>
        <v>11.475078142053468</v>
      </c>
      <c r="AS73" s="459">
        <f t="shared" si="8"/>
        <v>5.1633510307964041</v>
      </c>
      <c r="AT73" s="459">
        <f t="shared" si="8"/>
        <v>4.5307663026766027</v>
      </c>
      <c r="AU73" s="459">
        <f t="shared" si="8"/>
        <v>5.7593307968961538</v>
      </c>
      <c r="AW73" s="216">
        <f>(B73/Population_Tables!O47)*Population_Tables!C47</f>
        <v>55.746273131489886</v>
      </c>
      <c r="AX73" s="153" t="str">
        <f t="shared" si="7"/>
        <v>OK</v>
      </c>
      <c r="AY73" s="421">
        <f t="shared" si="4"/>
        <v>49.029111142464302</v>
      </c>
      <c r="AZ73" s="153" t="str">
        <f t="shared" si="5"/>
        <v>OK</v>
      </c>
      <c r="BB73" s="216">
        <f>(C73/Population_Tables!P47)*Population_Tables!D47</f>
        <v>13.151135784120891</v>
      </c>
      <c r="BC73" s="216">
        <f>(D73/Population_Tables!Q47)*Population_Tables!E47</f>
        <v>2.4798124084076649</v>
      </c>
      <c r="BD73" s="216">
        <f>(E73/Population_Tables!R47)*Population_Tables!F47</f>
        <v>21.38615041176892</v>
      </c>
      <c r="BE73" s="216">
        <f>(F73/Population_Tables!S47)*Population_Tables!G47</f>
        <v>9.1309180467541005</v>
      </c>
      <c r="BF73" s="216">
        <f>(G73/Population_Tables!T47)*Population_Tables!H47</f>
        <v>2.8810944914127248</v>
      </c>
      <c r="BG73" s="216"/>
      <c r="BN73" s="216"/>
      <c r="BO73" s="216"/>
      <c r="BP73" s="216"/>
    </row>
    <row r="74" spans="1:68" ht="15.6" x14ac:dyDescent="0.3">
      <c r="A74" s="194">
        <v>2059</v>
      </c>
      <c r="B74" s="229">
        <v>49.535346357757149</v>
      </c>
      <c r="C74" s="229">
        <v>11.887504538292408</v>
      </c>
      <c r="D74" s="229">
        <v>2.218676349053788</v>
      </c>
      <c r="E74" s="229">
        <v>18.842773042709847</v>
      </c>
      <c r="F74" s="229">
        <v>8.2587904763423179</v>
      </c>
      <c r="G74" s="229">
        <v>2.4998028531184029</v>
      </c>
      <c r="H74" s="229">
        <v>10.336816128734622</v>
      </c>
      <c r="I74" s="229">
        <v>4.5772643582621368</v>
      </c>
      <c r="J74" s="229">
        <v>4.0938566559541689</v>
      </c>
      <c r="K74" s="229">
        <v>5.1699769617200735</v>
      </c>
      <c r="M74" s="194">
        <v>2059</v>
      </c>
      <c r="N74" s="419">
        <f t="shared" si="2"/>
        <v>12.698402068500362</v>
      </c>
      <c r="O74" s="418">
        <f>(C74/Population_Tables!P48)*Population_Tables!D107</f>
        <v>0</v>
      </c>
      <c r="P74" s="418">
        <f>(D74/Population_Tables!Q48)*Population_Tables!E107</f>
        <v>0</v>
      </c>
      <c r="Q74" s="418">
        <f>((E74-H74)/Population_Tables!R48)*Population_Tables!F107</f>
        <v>5.8692999980288763</v>
      </c>
      <c r="R74" s="418">
        <f>(F74/Population_Tables!S48)*Population_Tables!G107</f>
        <v>5.9450765439909921</v>
      </c>
      <c r="S74" s="418">
        <f>(G74/Population_Tables!T48)*Population_Tables!H107</f>
        <v>0.88402552648049482</v>
      </c>
      <c r="T74" s="418">
        <f>(H74/Population_Tables!U48)*Population_Tables!I107</f>
        <v>0</v>
      </c>
      <c r="U74" s="418">
        <f>(I74/Population_Tables!V48)*Population_Tables!J107</f>
        <v>0</v>
      </c>
      <c r="V74" s="418">
        <f>(J74/Population_Tables!W48)*Population_Tables!K107</f>
        <v>0</v>
      </c>
      <c r="W74" s="418">
        <f>(K74/Population_Tables!X48)*Population_Tables!L107</f>
        <v>0</v>
      </c>
      <c r="Y74" s="456">
        <v>2059</v>
      </c>
      <c r="Z74" s="459">
        <f>((B74/Population_Tables!O48)*Population_Tables!C48)-N74</f>
        <v>43.540849605949347</v>
      </c>
      <c r="AA74" s="459">
        <f>((C74/Population_Tables!P48)*Population_Tables!D48)-O74</f>
        <v>13.226064201228377</v>
      </c>
      <c r="AB74" s="459">
        <f>((D74/Population_Tables!Q48)*Population_Tables!E48)-P74</f>
        <v>2.5012008096397804</v>
      </c>
      <c r="AC74" s="459">
        <f>((E74/Population_Tables!R48)*Population_Tables!F48)-Q74</f>
        <v>15.690930671810488</v>
      </c>
      <c r="AD74" s="459">
        <f>((F74/Population_Tables!S48)*Population_Tables!G48)-R74</f>
        <v>3.33500517803986</v>
      </c>
      <c r="AE74" s="459">
        <f>((G74/Population_Tables!T48)*Population_Tables!H48)-S74</f>
        <v>2.025947664097421</v>
      </c>
      <c r="AF74" s="459">
        <f>(H74/Population_Tables!U48)*Population_Tables!I48</f>
        <v>11.521863541743196</v>
      </c>
      <c r="AG74" s="459">
        <f>(I74/Population_Tables!V48)*Population_Tables!J48</f>
        <v>5.2272158118817593</v>
      </c>
      <c r="AH74" s="459">
        <f>(J74/Population_Tables!W48)*Population_Tables!K48</f>
        <v>4.5495442372751853</v>
      </c>
      <c r="AI74" s="459">
        <f>(K74/Population_Tables!X48)*Population_Tables!L48</f>
        <v>5.798861135827666</v>
      </c>
      <c r="AK74" s="456">
        <v>2059</v>
      </c>
      <c r="AL74" s="459">
        <f t="shared" si="8"/>
        <v>56.239251674449712</v>
      </c>
      <c r="AM74" s="459">
        <f t="shared" si="8"/>
        <v>13.226064201228377</v>
      </c>
      <c r="AN74" s="459">
        <f t="shared" si="8"/>
        <v>2.5012008096397804</v>
      </c>
      <c r="AO74" s="459">
        <f t="shared" si="8"/>
        <v>21.560230669839363</v>
      </c>
      <c r="AP74" s="459">
        <f t="shared" si="8"/>
        <v>9.280081722030852</v>
      </c>
      <c r="AQ74" s="459">
        <f t="shared" si="8"/>
        <v>2.909973190577916</v>
      </c>
      <c r="AR74" s="459">
        <f t="shared" si="8"/>
        <v>11.521863541743196</v>
      </c>
      <c r="AS74" s="459">
        <f t="shared" si="8"/>
        <v>5.2272158118817593</v>
      </c>
      <c r="AT74" s="459">
        <f t="shared" si="8"/>
        <v>4.5495442372751853</v>
      </c>
      <c r="AU74" s="459">
        <f t="shared" si="8"/>
        <v>5.798861135827666</v>
      </c>
      <c r="AW74" s="216">
        <f>(B74/Population_Tables!O48)*Population_Tables!C48</f>
        <v>56.239251674449712</v>
      </c>
      <c r="AX74" s="153" t="str">
        <f t="shared" si="7"/>
        <v>OK</v>
      </c>
      <c r="AY74" s="421">
        <f t="shared" si="4"/>
        <v>49.477550593316288</v>
      </c>
      <c r="AZ74" s="153" t="str">
        <f t="shared" si="5"/>
        <v>OK</v>
      </c>
      <c r="BB74" s="216">
        <f>(C74/Population_Tables!P48)*Population_Tables!D48</f>
        <v>13.226064201228377</v>
      </c>
      <c r="BC74" s="216">
        <f>(D74/Population_Tables!Q48)*Population_Tables!E48</f>
        <v>2.5012008096397804</v>
      </c>
      <c r="BD74" s="216">
        <f>(E74/Population_Tables!R48)*Population_Tables!F48</f>
        <v>21.560230669839363</v>
      </c>
      <c r="BE74" s="216">
        <f>(F74/Population_Tables!S48)*Population_Tables!G48</f>
        <v>9.280081722030852</v>
      </c>
      <c r="BF74" s="216">
        <f>(G74/Population_Tables!T48)*Population_Tables!H48</f>
        <v>2.9099731905779156</v>
      </c>
      <c r="BG74" s="216"/>
      <c r="BN74" s="216"/>
      <c r="BO74" s="216"/>
      <c r="BP74" s="216"/>
    </row>
    <row r="75" spans="1:68" ht="15.6" x14ac:dyDescent="0.3">
      <c r="A75" s="194">
        <v>2060</v>
      </c>
      <c r="B75" s="229">
        <v>49.730363721765805</v>
      </c>
      <c r="C75" s="229">
        <v>11.905679857316155</v>
      </c>
      <c r="D75" s="229">
        <v>2.2277207920917395</v>
      </c>
      <c r="E75" s="229">
        <v>18.887905046646537</v>
      </c>
      <c r="F75" s="229">
        <v>8.3569059560420484</v>
      </c>
      <c r="G75" s="229">
        <v>2.5097465678167281</v>
      </c>
      <c r="H75" s="229">
        <v>10.33087373116167</v>
      </c>
      <c r="I75" s="229">
        <v>4.6078489032944105</v>
      </c>
      <c r="J75" s="229">
        <v>4.0940040003181855</v>
      </c>
      <c r="K75" s="229">
        <v>5.1829165744713075</v>
      </c>
      <c r="M75" s="194">
        <v>2060</v>
      </c>
      <c r="N75" s="419">
        <f t="shared" si="2"/>
        <v>12.905127704695992</v>
      </c>
      <c r="O75" s="418">
        <f>(C75/Population_Tables!P49)*Population_Tables!D108</f>
        <v>0</v>
      </c>
      <c r="P75" s="418">
        <f>(D75/Population_Tables!Q49)*Population_Tables!E108</f>
        <v>0</v>
      </c>
      <c r="Q75" s="418">
        <f>((E75-H75)/Population_Tables!R49)*Population_Tables!F108</f>
        <v>5.9591989113578263</v>
      </c>
      <c r="R75" s="418">
        <f>(F75/Population_Tables!S49)*Population_Tables!G108</f>
        <v>6.050674368427055</v>
      </c>
      <c r="S75" s="418">
        <f>(G75/Population_Tables!T49)*Population_Tables!H108</f>
        <v>0.89525442491111196</v>
      </c>
      <c r="T75" s="418">
        <f>(H75/Population_Tables!U49)*Population_Tables!I108</f>
        <v>0</v>
      </c>
      <c r="U75" s="418">
        <f>(I75/Population_Tables!V49)*Population_Tables!J108</f>
        <v>0</v>
      </c>
      <c r="V75" s="418">
        <f>(J75/Population_Tables!W49)*Population_Tables!K108</f>
        <v>0</v>
      </c>
      <c r="W75" s="418">
        <f>(K75/Population_Tables!X49)*Population_Tables!L108</f>
        <v>0</v>
      </c>
      <c r="Y75" s="456">
        <v>2060</v>
      </c>
      <c r="Z75" s="459">
        <f>((B75/Population_Tables!O49)*Population_Tables!C49)-N75</f>
        <v>43.828024455471436</v>
      </c>
      <c r="AA75" s="459">
        <f>((C75/Population_Tables!P49)*Population_Tables!D49)-O75</f>
        <v>13.299742771678817</v>
      </c>
      <c r="AB75" s="459">
        <f>((D75/Population_Tables!Q49)*Population_Tables!E49)-P75</f>
        <v>2.5236523374307147</v>
      </c>
      <c r="AC75" s="459">
        <f>((E75/Population_Tables!R49)*Population_Tables!F49)-Q75</f>
        <v>15.769540738768324</v>
      </c>
      <c r="AD75" s="459">
        <f>((F75/Population_Tables!S49)*Population_Tables!G49)-R75</f>
        <v>3.3789609330644303</v>
      </c>
      <c r="AE75" s="459">
        <f>((G75/Population_Tables!T49)*Population_Tables!H49)-S75</f>
        <v>2.0428556026169802</v>
      </c>
      <c r="AF75" s="459">
        <f>(H75/Population_Tables!U49)*Population_Tables!I49</f>
        <v>11.566137679733103</v>
      </c>
      <c r="AG75" s="459">
        <f>(I75/Population_Tables!V49)*Population_Tables!J49</f>
        <v>5.2903459569590119</v>
      </c>
      <c r="AH75" s="459">
        <f>(J75/Population_Tables!W49)*Population_Tables!K49</f>
        <v>4.568738892860142</v>
      </c>
      <c r="AI75" s="459">
        <f>(K75/Population_Tables!X49)*Population_Tables!L49</f>
        <v>5.8379296594223513</v>
      </c>
      <c r="AK75" s="456">
        <v>2060</v>
      </c>
      <c r="AL75" s="459">
        <f t="shared" si="8"/>
        <v>56.733152160167428</v>
      </c>
      <c r="AM75" s="459">
        <f t="shared" si="8"/>
        <v>13.299742771678817</v>
      </c>
      <c r="AN75" s="459">
        <f t="shared" si="8"/>
        <v>2.5236523374307147</v>
      </c>
      <c r="AO75" s="459">
        <f t="shared" si="8"/>
        <v>21.728739650126151</v>
      </c>
      <c r="AP75" s="459">
        <f t="shared" si="8"/>
        <v>9.4296353014914853</v>
      </c>
      <c r="AQ75" s="459">
        <f t="shared" si="8"/>
        <v>2.9381100275280922</v>
      </c>
      <c r="AR75" s="459">
        <f t="shared" si="8"/>
        <v>11.566137679733103</v>
      </c>
      <c r="AS75" s="459">
        <f t="shared" si="8"/>
        <v>5.2903459569590119</v>
      </c>
      <c r="AT75" s="459">
        <f t="shared" si="8"/>
        <v>4.568738892860142</v>
      </c>
      <c r="AU75" s="459">
        <f t="shared" si="8"/>
        <v>5.8379296594223513</v>
      </c>
      <c r="AW75" s="216">
        <f>(B75/Population_Tables!O49)*Population_Tables!C49</f>
        <v>56.733152160167428</v>
      </c>
      <c r="AX75" s="153" t="str">
        <f t="shared" si="7"/>
        <v>OK</v>
      </c>
      <c r="AY75" s="421">
        <f t="shared" si="4"/>
        <v>49.919880088255262</v>
      </c>
      <c r="AZ75" s="153" t="str">
        <f t="shared" si="5"/>
        <v>OK</v>
      </c>
      <c r="BB75" s="216">
        <f>(C75/Population_Tables!P49)*Population_Tables!D49</f>
        <v>13.299742771678817</v>
      </c>
      <c r="BC75" s="216">
        <f>(D75/Population_Tables!Q49)*Population_Tables!E49</f>
        <v>2.5236523374307147</v>
      </c>
      <c r="BD75" s="216">
        <f>(E75/Population_Tables!R49)*Population_Tables!F49</f>
        <v>21.728739650126151</v>
      </c>
      <c r="BE75" s="216">
        <f>(F75/Population_Tables!S49)*Population_Tables!G49</f>
        <v>9.4296353014914853</v>
      </c>
      <c r="BF75" s="216">
        <f>(G75/Population_Tables!T49)*Population_Tables!H49</f>
        <v>2.9381100275280922</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Residential Lighting by Economic Development Status Petalumen hours (Plmh)</v>
      </c>
      <c r="B78" s="644"/>
      <c r="C78" s="644"/>
      <c r="D78" s="644"/>
      <c r="E78" s="644"/>
      <c r="F78" s="645"/>
      <c r="H78" s="650" t="str">
        <f>CONCATENATE("Table 5: Total REF1 ",C1," by Economic Development Status ",D1)</f>
        <v>Table 5: Total REF1 Residential Lighting by Economic Development Status Petalumen hours (Plmh)</v>
      </c>
      <c r="I78" s="651"/>
      <c r="J78" s="651"/>
      <c r="K78" s="651"/>
      <c r="L78" s="651"/>
      <c r="M78" s="651"/>
      <c r="N78" s="651"/>
      <c r="O78" s="651"/>
      <c r="P78" s="651"/>
      <c r="Q78" s="651"/>
      <c r="R78" s="651"/>
      <c r="S78" s="651"/>
      <c r="T78" s="652"/>
      <c r="W78" s="653" t="str">
        <f>CONCATENATE("Table 6: Change in ",C1," by MDC vs. LLDC Regions, REF1-REF2 ",D1)</f>
        <v>Table 6: Change in Residential Lighting by MDC vs. LLDC Regions, REF1-REF2 Petalumen hours (Plmh)</v>
      </c>
      <c r="X78" s="654"/>
      <c r="Y78" s="654"/>
      <c r="Z78" s="654"/>
      <c r="AA78" s="654"/>
      <c r="AB78" s="654"/>
      <c r="AC78" s="654"/>
      <c r="AD78" s="655"/>
    </row>
    <row r="79" spans="1:68" ht="105" customHeight="1" x14ac:dyDescent="0.25">
      <c r="A79" s="213"/>
      <c r="B79" s="529" t="s">
        <v>368</v>
      </c>
      <c r="C79" s="463" t="s">
        <v>10</v>
      </c>
      <c r="D79" s="463" t="s">
        <v>514</v>
      </c>
      <c r="E79" s="463" t="str">
        <f>Q79</f>
        <v>Total Residential Lighting Demand in Countries with Higher Educational Attainment (TWh)</v>
      </c>
      <c r="F79" s="463" t="str">
        <f>R79</f>
        <v xml:space="preserve"> --&gt; % LLDC</v>
      </c>
      <c r="H79" s="472"/>
      <c r="I79" s="473" t="s">
        <v>488</v>
      </c>
      <c r="J79" s="473" t="s">
        <v>490</v>
      </c>
      <c r="K79" s="473" t="s">
        <v>10</v>
      </c>
      <c r="L79" s="473" t="s">
        <v>489</v>
      </c>
      <c r="M79" s="473" t="s">
        <v>475</v>
      </c>
      <c r="O79" s="473" t="s">
        <v>616</v>
      </c>
      <c r="P79" s="473" t="s">
        <v>502</v>
      </c>
      <c r="Q79" s="473" t="s">
        <v>615</v>
      </c>
      <c r="R79" s="473" t="s">
        <v>502</v>
      </c>
      <c r="S79" s="473" t="s">
        <v>614</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8.1326272462811477</v>
      </c>
      <c r="C80" s="195">
        <f t="shared" ref="C80:C126" si="9">H29</f>
        <v>8.6417044213682868</v>
      </c>
      <c r="D80" s="195">
        <f t="shared" ref="D80:D126" si="10">SUMIF($AA$27:$AE$27,"N",C29:G29)-(IF($AC$27="N",H29))</f>
        <v>13.31994464630057</v>
      </c>
      <c r="E80" s="195">
        <f t="shared" ref="E80:E126" si="11">B80+D80+C80</f>
        <v>30.094276313950004</v>
      </c>
      <c r="F80" s="196">
        <f t="shared" ref="F80:F126" si="12">B80/E80</f>
        <v>0.27023833905955469</v>
      </c>
      <c r="H80" s="194">
        <v>2014</v>
      </c>
      <c r="I80" s="195">
        <f t="shared" ref="I80:I126" si="13">SUMIF($O$27:$S$27,"Y",O29:S29)-T29</f>
        <v>4.3602922941343607</v>
      </c>
      <c r="J80" s="195">
        <f t="shared" ref="J80:J126" si="14">SUMIF($O$27:$S$27,"N",O29:S29)-(IF($Q$27="N",T29))</f>
        <v>0.41414220218600084</v>
      </c>
      <c r="K80" s="195">
        <f t="shared" ref="K80:K126" si="15">AF29</f>
        <v>8.6417044213682868</v>
      </c>
      <c r="L80" s="195">
        <f t="shared" ref="L80:L126" si="16">SUMIF($AA$27:$AE$27,"Y",AA29:AE29)-AF29</f>
        <v>3.7722938136033388</v>
      </c>
      <c r="M80" s="195">
        <f t="shared" ref="M80:M126" si="17">SUMIF($AA$27:$AE$27,"N",AA29:AE29)-(IF($AC$27="N",AF29))</f>
        <v>12.90580244411457</v>
      </c>
      <c r="O80" s="195">
        <f t="shared" ref="O80:O126" si="18">I80+J80</f>
        <v>4.774434496320362</v>
      </c>
      <c r="P80" s="196">
        <f t="shared" ref="P80:P126" si="19">I80/O80</f>
        <v>0.91325837593851611</v>
      </c>
      <c r="Q80" s="195">
        <f t="shared" ref="Q80:Q126" si="20">L80+M80+K80</f>
        <v>25.3198006790862</v>
      </c>
      <c r="R80" s="196">
        <f t="shared" ref="R80:R126" si="21">L80/Q80</f>
        <v>0.14898592060083635</v>
      </c>
      <c r="S80" s="464">
        <f t="shared" ref="S80:S126" si="22">Q80+O80</f>
        <v>30.09423517540656</v>
      </c>
      <c r="T80" s="196">
        <f>O80/S80</f>
        <v>0.15864947118583356</v>
      </c>
      <c r="W80" s="197">
        <v>0</v>
      </c>
      <c r="X80" s="195">
        <f t="shared" ref="X80:X126" si="23">K80-C80</f>
        <v>0</v>
      </c>
      <c r="Y80" s="197">
        <v>0</v>
      </c>
      <c r="Z80" s="195">
        <f>(Q80+O80)-E80</f>
        <v>-4.1138543444674269E-5</v>
      </c>
      <c r="AA80" s="196">
        <v>0</v>
      </c>
      <c r="AB80" s="196">
        <f t="shared" ref="AB80:AB126" si="24">(W80/Z80)*(I80/(L80+I80))</f>
        <v>0</v>
      </c>
      <c r="AC80" s="196">
        <f>W80/Z80</f>
        <v>0</v>
      </c>
      <c r="AD80" s="247">
        <f>(X80+Y80)/Z80</f>
        <v>0</v>
      </c>
      <c r="AF80" s="251">
        <f t="shared" ref="AF80:AF126" si="25">I80/(I80+L80)</f>
        <v>0.53615076881704171</v>
      </c>
      <c r="AG80" s="251">
        <f t="shared" ref="AG80:AG126" si="26">L80/(L80+I80)</f>
        <v>0.46384923118295823</v>
      </c>
    </row>
    <row r="81" spans="1:33" x14ac:dyDescent="0.25">
      <c r="A81" s="194">
        <v>2015</v>
      </c>
      <c r="B81" s="195">
        <f t="shared" ref="B81:B126" si="27">SUMIF($AA$27:$AE$27,"Y",C30:G30)-H30</f>
        <v>8.6821673833950932</v>
      </c>
      <c r="C81" s="195">
        <f t="shared" si="9"/>
        <v>8.9164784427673069</v>
      </c>
      <c r="D81" s="195">
        <f t="shared" si="10"/>
        <v>13.623306576950524</v>
      </c>
      <c r="E81" s="195">
        <f t="shared" si="11"/>
        <v>31.221952403112923</v>
      </c>
      <c r="F81" s="196">
        <f t="shared" si="12"/>
        <v>0.27807893853971333</v>
      </c>
      <c r="H81" s="194">
        <v>2015</v>
      </c>
      <c r="I81" s="195">
        <f t="shared" si="13"/>
        <v>4.6646854737879853</v>
      </c>
      <c r="J81" s="195">
        <f t="shared" si="14"/>
        <v>0.44018093919703233</v>
      </c>
      <c r="K81" s="195">
        <f t="shared" si="15"/>
        <v>8.9164784427673069</v>
      </c>
      <c r="L81" s="195">
        <f t="shared" si="16"/>
        <v>4.0174393971006204</v>
      </c>
      <c r="M81" s="195">
        <f t="shared" si="17"/>
        <v>13.183125637753491</v>
      </c>
      <c r="O81" s="195">
        <f t="shared" si="18"/>
        <v>5.1048664129850172</v>
      </c>
      <c r="P81" s="196">
        <f t="shared" si="19"/>
        <v>0.91377229028415641</v>
      </c>
      <c r="Q81" s="195">
        <f t="shared" si="20"/>
        <v>26.117043477621419</v>
      </c>
      <c r="R81" s="196">
        <f t="shared" si="21"/>
        <v>0.15382443271356472</v>
      </c>
      <c r="S81" s="464">
        <f t="shared" si="22"/>
        <v>31.221909890606437</v>
      </c>
      <c r="T81" s="196">
        <f t="shared" ref="T81:T126" si="28">O81/S81</f>
        <v>0.16350269509043999</v>
      </c>
      <c r="W81" s="197">
        <v>0</v>
      </c>
      <c r="X81" s="195">
        <f t="shared" si="23"/>
        <v>0</v>
      </c>
      <c r="Y81" s="197">
        <v>0</v>
      </c>
      <c r="Z81" s="195">
        <f>W81+X81+Y81</f>
        <v>0</v>
      </c>
      <c r="AA81" s="196">
        <v>0</v>
      </c>
      <c r="AB81" s="196" t="e">
        <f t="shared" si="24"/>
        <v>#DIV/0!</v>
      </c>
      <c r="AC81" s="196" t="e">
        <f>W81/Z81</f>
        <v>#DIV/0!</v>
      </c>
      <c r="AD81" s="247" t="e">
        <f t="shared" ref="AD81:AD126" si="29">(X81+Y81)/Z81</f>
        <v>#DIV/0!</v>
      </c>
      <c r="AF81" s="251">
        <f t="shared" si="25"/>
        <v>0.53727463531753605</v>
      </c>
      <c r="AG81" s="251">
        <f t="shared" si="26"/>
        <v>0.46272536468246395</v>
      </c>
    </row>
    <row r="82" spans="1:33" x14ac:dyDescent="0.25">
      <c r="A82" s="194">
        <v>2016</v>
      </c>
      <c r="B82" s="195">
        <f t="shared" si="27"/>
        <v>8.8168689271262597</v>
      </c>
      <c r="C82" s="195">
        <f t="shared" si="9"/>
        <v>8.9456052168574072</v>
      </c>
      <c r="D82" s="195">
        <f t="shared" si="10"/>
        <v>13.682583611410495</v>
      </c>
      <c r="E82" s="195">
        <f t="shared" si="11"/>
        <v>31.44505775539416</v>
      </c>
      <c r="F82" s="196">
        <f t="shared" si="12"/>
        <v>0.28038965600607912</v>
      </c>
      <c r="H82" s="194">
        <v>2016</v>
      </c>
      <c r="I82" s="195">
        <f t="shared" si="13"/>
        <v>4.7536091277379136</v>
      </c>
      <c r="J82" s="195">
        <f t="shared" si="14"/>
        <v>0.44497809994952342</v>
      </c>
      <c r="K82" s="195">
        <f t="shared" si="15"/>
        <v>8.9456052168574072</v>
      </c>
      <c r="L82" s="195">
        <f t="shared" si="16"/>
        <v>4.0632180254612944</v>
      </c>
      <c r="M82" s="195">
        <f t="shared" si="17"/>
        <v>13.23760551146097</v>
      </c>
      <c r="O82" s="195">
        <f t="shared" si="18"/>
        <v>5.1985872276874368</v>
      </c>
      <c r="P82" s="196">
        <f t="shared" si="19"/>
        <v>0.9144040331612423</v>
      </c>
      <c r="Q82" s="195">
        <f t="shared" si="20"/>
        <v>26.246428753779675</v>
      </c>
      <c r="R82" s="196">
        <f t="shared" si="21"/>
        <v>0.15481031966591499</v>
      </c>
      <c r="S82" s="464">
        <f t="shared" si="22"/>
        <v>31.445015981467112</v>
      </c>
      <c r="T82" s="196">
        <f t="shared" si="28"/>
        <v>0.16532309065294643</v>
      </c>
      <c r="W82" s="195">
        <f t="shared" ref="W82:W126" si="30">(L82+I82)-B82</f>
        <v>-4.1773927051735882E-5</v>
      </c>
      <c r="X82" s="195">
        <f t="shared" si="23"/>
        <v>0</v>
      </c>
      <c r="Y82" s="195">
        <f t="shared" ref="Y82:Y126" si="31">(M82+J82)-D82</f>
        <v>0</v>
      </c>
      <c r="Z82" s="195">
        <f>W82+X82+Y82</f>
        <v>-4.1773927051735882E-5</v>
      </c>
      <c r="AA82" s="196">
        <f>(W82/Z82)*(L82/(L82+I82))</f>
        <v>0.46084809817179478</v>
      </c>
      <c r="AB82" s="196">
        <f t="shared" si="24"/>
        <v>0.53915190182820527</v>
      </c>
      <c r="AC82" s="196">
        <f t="shared" ref="AC82:AC126" si="32">W82/Z82</f>
        <v>1</v>
      </c>
      <c r="AD82" s="247">
        <f t="shared" si="29"/>
        <v>0</v>
      </c>
      <c r="AF82" s="251">
        <f t="shared" si="25"/>
        <v>0.53915190182820527</v>
      </c>
      <c r="AG82" s="251">
        <f t="shared" si="26"/>
        <v>0.46084809817179478</v>
      </c>
    </row>
    <row r="83" spans="1:33" x14ac:dyDescent="0.25">
      <c r="A83" s="194">
        <v>2017</v>
      </c>
      <c r="B83" s="195">
        <f t="shared" si="27"/>
        <v>8.9574882749727536</v>
      </c>
      <c r="C83" s="195">
        <f t="shared" si="9"/>
        <v>8.9766402577029183</v>
      </c>
      <c r="D83" s="195">
        <f t="shared" si="10"/>
        <v>13.74393360785554</v>
      </c>
      <c r="E83" s="195">
        <f t="shared" si="11"/>
        <v>31.67806214053121</v>
      </c>
      <c r="F83" s="196">
        <f t="shared" si="12"/>
        <v>0.28276629533824588</v>
      </c>
      <c r="H83" s="194">
        <v>2017</v>
      </c>
      <c r="I83" s="195">
        <f t="shared" si="13"/>
        <v>4.8458613095576393</v>
      </c>
      <c r="J83" s="195">
        <f t="shared" si="14"/>
        <v>0.45002749535979852</v>
      </c>
      <c r="K83" s="195">
        <f t="shared" si="15"/>
        <v>8.9766402577029183</v>
      </c>
      <c r="L83" s="195">
        <f t="shared" si="16"/>
        <v>4.1115860359286138</v>
      </c>
      <c r="M83" s="195">
        <f t="shared" si="17"/>
        <v>13.293906112495741</v>
      </c>
      <c r="O83" s="195">
        <f t="shared" si="18"/>
        <v>5.2958888049174382</v>
      </c>
      <c r="P83" s="196">
        <f t="shared" si="19"/>
        <v>0.91502323558192333</v>
      </c>
      <c r="Q83" s="195">
        <f t="shared" si="20"/>
        <v>26.382132406127273</v>
      </c>
      <c r="R83" s="196">
        <f t="shared" si="21"/>
        <v>0.15584737323862777</v>
      </c>
      <c r="S83" s="464">
        <f t="shared" si="22"/>
        <v>31.678021211044712</v>
      </c>
      <c r="T83" s="196">
        <f t="shared" si="28"/>
        <v>0.16717864950071434</v>
      </c>
      <c r="W83" s="195">
        <f t="shared" si="30"/>
        <v>-4.0929486500473899E-5</v>
      </c>
      <c r="X83" s="195">
        <f t="shared" si="23"/>
        <v>0</v>
      </c>
      <c r="Y83" s="195">
        <f t="shared" si="31"/>
        <v>0</v>
      </c>
      <c r="Z83" s="195">
        <f t="shared" ref="Z83:Z126" si="33">W83+X83+Y83</f>
        <v>-4.0929486500473899E-5</v>
      </c>
      <c r="AA83" s="196">
        <f t="shared" ref="AA83:AA126" si="34">(W83*(L83/(L83+I83)))/Z83</f>
        <v>0.45901314038987706</v>
      </c>
      <c r="AB83" s="196">
        <f t="shared" si="24"/>
        <v>0.54098685961012283</v>
      </c>
      <c r="AC83" s="196">
        <f t="shared" si="32"/>
        <v>1</v>
      </c>
      <c r="AD83" s="247">
        <f>(X83+Y83)/Z83</f>
        <v>0</v>
      </c>
      <c r="AF83" s="251">
        <f t="shared" si="25"/>
        <v>0.54098685961012283</v>
      </c>
      <c r="AG83" s="251">
        <f t="shared" si="26"/>
        <v>0.45901314038987712</v>
      </c>
    </row>
    <row r="84" spans="1:33" x14ac:dyDescent="0.25">
      <c r="A84" s="194">
        <v>2018</v>
      </c>
      <c r="B84" s="195">
        <f t="shared" si="27"/>
        <v>9.1037654955988447</v>
      </c>
      <c r="C84" s="195">
        <f t="shared" si="9"/>
        <v>9.0094577377045777</v>
      </c>
      <c r="D84" s="195">
        <f t="shared" si="10"/>
        <v>13.807236773595337</v>
      </c>
      <c r="E84" s="195">
        <f t="shared" si="11"/>
        <v>31.920460006898757</v>
      </c>
      <c r="F84" s="196">
        <f t="shared" si="12"/>
        <v>0.28520157584293299</v>
      </c>
      <c r="H84" s="194">
        <v>2018</v>
      </c>
      <c r="I84" s="195">
        <f t="shared" si="13"/>
        <v>4.9413984337434433</v>
      </c>
      <c r="J84" s="195">
        <f t="shared" si="14"/>
        <v>0.45530909484411086</v>
      </c>
      <c r="K84" s="195">
        <f t="shared" si="15"/>
        <v>9.0094577377045777</v>
      </c>
      <c r="L84" s="195">
        <f t="shared" si="16"/>
        <v>4.1623270723095267</v>
      </c>
      <c r="M84" s="195">
        <f t="shared" si="17"/>
        <v>13.351927678751226</v>
      </c>
      <c r="O84" s="195">
        <f t="shared" si="18"/>
        <v>5.3967075285875543</v>
      </c>
      <c r="P84" s="196">
        <f t="shared" si="19"/>
        <v>0.91563206039381639</v>
      </c>
      <c r="Q84" s="195">
        <f t="shared" si="20"/>
        <v>26.523712488765334</v>
      </c>
      <c r="R84" s="196">
        <f t="shared" si="21"/>
        <v>0.15692852477090324</v>
      </c>
      <c r="S84" s="464">
        <f t="shared" si="22"/>
        <v>31.920420017352889</v>
      </c>
      <c r="T84" s="196">
        <f t="shared" si="28"/>
        <v>0.16906756006511642</v>
      </c>
      <c r="W84" s="195">
        <f t="shared" si="30"/>
        <v>-3.9989545873808652E-5</v>
      </c>
      <c r="X84" s="195">
        <f t="shared" si="23"/>
        <v>0</v>
      </c>
      <c r="Y84" s="195">
        <f t="shared" si="31"/>
        <v>0</v>
      </c>
      <c r="Z84" s="195">
        <f t="shared" si="33"/>
        <v>-3.9989545873808652E-5</v>
      </c>
      <c r="AA84" s="196">
        <f t="shared" si="34"/>
        <v>0.4572113987336327</v>
      </c>
      <c r="AB84" s="196">
        <f t="shared" si="24"/>
        <v>0.54278860126636719</v>
      </c>
      <c r="AC84" s="196">
        <f>W84/Z84</f>
        <v>1</v>
      </c>
      <c r="AD84" s="247">
        <f t="shared" si="29"/>
        <v>0</v>
      </c>
      <c r="AF84" s="251">
        <f t="shared" si="25"/>
        <v>0.54278860126636719</v>
      </c>
      <c r="AG84" s="251">
        <f t="shared" si="26"/>
        <v>0.45721139873363265</v>
      </c>
    </row>
    <row r="85" spans="1:33" ht="13.8" thickBot="1" x14ac:dyDescent="0.3">
      <c r="A85" s="198">
        <v>2019</v>
      </c>
      <c r="B85" s="195">
        <f t="shared" si="27"/>
        <v>9.2554406576688031</v>
      </c>
      <c r="C85" s="195">
        <f t="shared" si="9"/>
        <v>9.0439318292631263</v>
      </c>
      <c r="D85" s="195">
        <f t="shared" si="10"/>
        <v>13.872373315939569</v>
      </c>
      <c r="E85" s="195">
        <f t="shared" si="11"/>
        <v>32.171745802871499</v>
      </c>
      <c r="F85" s="199">
        <f t="shared" si="12"/>
        <v>0.28768848027024713</v>
      </c>
      <c r="H85" s="198">
        <v>2019</v>
      </c>
      <c r="I85" s="195">
        <f t="shared" si="13"/>
        <v>5.0402133139725001</v>
      </c>
      <c r="J85" s="195">
        <f t="shared" si="14"/>
        <v>0.46079904201691579</v>
      </c>
      <c r="K85" s="195">
        <f t="shared" si="15"/>
        <v>9.0439318292631263</v>
      </c>
      <c r="L85" s="195">
        <f t="shared" si="16"/>
        <v>4.2151881808463365</v>
      </c>
      <c r="M85" s="195">
        <f t="shared" si="17"/>
        <v>13.411574273922653</v>
      </c>
      <c r="O85" s="195">
        <f t="shared" si="18"/>
        <v>5.501012355989416</v>
      </c>
      <c r="P85" s="199">
        <f t="shared" si="19"/>
        <v>0.91623377440423215</v>
      </c>
      <c r="Q85" s="195">
        <f t="shared" si="20"/>
        <v>26.670694284032116</v>
      </c>
      <c r="R85" s="199">
        <f t="shared" si="21"/>
        <v>0.15804568624859502</v>
      </c>
      <c r="S85" s="464">
        <f t="shared" si="22"/>
        <v>32.171706640021533</v>
      </c>
      <c r="T85" s="196">
        <f t="shared" si="28"/>
        <v>0.17098913705579327</v>
      </c>
      <c r="W85" s="195">
        <f t="shared" si="30"/>
        <v>-3.9162849965634905E-5</v>
      </c>
      <c r="X85" s="195">
        <f t="shared" si="23"/>
        <v>0</v>
      </c>
      <c r="Y85" s="195">
        <f t="shared" si="31"/>
        <v>0</v>
      </c>
      <c r="Z85" s="195">
        <f t="shared" si="33"/>
        <v>-3.9162849965634905E-5</v>
      </c>
      <c r="AA85" s="196">
        <f t="shared" si="34"/>
        <v>0.45543007326111068</v>
      </c>
      <c r="AB85" s="196">
        <f t="shared" si="24"/>
        <v>0.54456992673888927</v>
      </c>
      <c r="AC85" s="196">
        <f t="shared" si="32"/>
        <v>1</v>
      </c>
      <c r="AD85" s="247">
        <f t="shared" si="29"/>
        <v>0</v>
      </c>
      <c r="AF85" s="251">
        <f t="shared" si="25"/>
        <v>0.54456992673888927</v>
      </c>
      <c r="AG85" s="251">
        <f t="shared" si="26"/>
        <v>0.45543007326111068</v>
      </c>
    </row>
    <row r="86" spans="1:33" x14ac:dyDescent="0.25">
      <c r="A86" s="201">
        <v>2020</v>
      </c>
      <c r="B86" s="195">
        <f t="shared" si="27"/>
        <v>9.4122538298469109</v>
      </c>
      <c r="C86" s="195">
        <f t="shared" si="9"/>
        <v>9.0799367047793034</v>
      </c>
      <c r="D86" s="195">
        <f t="shared" si="10"/>
        <v>13.939223442197914</v>
      </c>
      <c r="E86" s="195">
        <f t="shared" si="11"/>
        <v>32.431413976824132</v>
      </c>
      <c r="F86" s="220">
        <f t="shared" si="12"/>
        <v>0.29022027336128536</v>
      </c>
      <c r="H86" s="201">
        <v>2020</v>
      </c>
      <c r="I86" s="195">
        <f t="shared" si="13"/>
        <v>5.1422790116572692</v>
      </c>
      <c r="J86" s="195">
        <f t="shared" si="14"/>
        <v>0.46647748959297425</v>
      </c>
      <c r="K86" s="195">
        <f t="shared" si="15"/>
        <v>9.0799367047793034</v>
      </c>
      <c r="L86" s="195">
        <f t="shared" si="16"/>
        <v>4.2699363606310978</v>
      </c>
      <c r="M86" s="195">
        <f t="shared" si="17"/>
        <v>13.47274595260494</v>
      </c>
      <c r="O86" s="195">
        <f t="shared" si="18"/>
        <v>5.6087565012502436</v>
      </c>
      <c r="P86" s="203">
        <f t="shared" si="19"/>
        <v>0.91683049718970822</v>
      </c>
      <c r="Q86" s="195">
        <f t="shared" si="20"/>
        <v>26.822619018015342</v>
      </c>
      <c r="R86" s="203">
        <f t="shared" si="21"/>
        <v>0.15919162695347558</v>
      </c>
      <c r="S86" s="464">
        <f t="shared" si="22"/>
        <v>32.431375519265586</v>
      </c>
      <c r="T86" s="196">
        <f t="shared" si="28"/>
        <v>0.17294229465902267</v>
      </c>
      <c r="W86" s="195">
        <f t="shared" si="30"/>
        <v>-3.8457558543925074E-5</v>
      </c>
      <c r="X86" s="195">
        <f t="shared" si="23"/>
        <v>0</v>
      </c>
      <c r="Y86" s="195">
        <f t="shared" si="31"/>
        <v>0</v>
      </c>
      <c r="Z86" s="195">
        <f t="shared" si="33"/>
        <v>-3.8457558543925074E-5</v>
      </c>
      <c r="AA86" s="196">
        <f t="shared" si="34"/>
        <v>0.45365901562375316</v>
      </c>
      <c r="AB86" s="196">
        <f t="shared" si="24"/>
        <v>0.5463409843762469</v>
      </c>
      <c r="AC86" s="196">
        <f t="shared" si="32"/>
        <v>1</v>
      </c>
      <c r="AD86" s="247">
        <f t="shared" si="29"/>
        <v>0</v>
      </c>
      <c r="AF86" s="251">
        <f t="shared" si="25"/>
        <v>0.5463409843762469</v>
      </c>
      <c r="AG86" s="251">
        <f t="shared" si="26"/>
        <v>0.45365901562375316</v>
      </c>
    </row>
    <row r="87" spans="1:33" x14ac:dyDescent="0.25">
      <c r="A87" s="206">
        <v>2021</v>
      </c>
      <c r="B87" s="195">
        <f t="shared" si="27"/>
        <v>9.5739450807974382</v>
      </c>
      <c r="C87" s="195">
        <f t="shared" si="9"/>
        <v>9.1173465366538462</v>
      </c>
      <c r="D87" s="195">
        <f t="shared" si="10"/>
        <v>14.007667359680051</v>
      </c>
      <c r="E87" s="195">
        <f t="shared" si="11"/>
        <v>32.698958977131333</v>
      </c>
      <c r="F87" s="221">
        <f t="shared" si="12"/>
        <v>0.29279051628197605</v>
      </c>
      <c r="H87" s="206">
        <v>2021</v>
      </c>
      <c r="I87" s="195">
        <f t="shared" si="13"/>
        <v>5.2549012839542097</v>
      </c>
      <c r="J87" s="195">
        <f t="shared" si="14"/>
        <v>0.47339866272008985</v>
      </c>
      <c r="K87" s="195">
        <f t="shared" si="15"/>
        <v>9.1269138646544317</v>
      </c>
      <c r="L87" s="195">
        <f t="shared" si="16"/>
        <v>4.332424067044391</v>
      </c>
      <c r="M87" s="195">
        <f t="shared" si="17"/>
        <v>13.550595539842211</v>
      </c>
      <c r="O87" s="195">
        <f t="shared" si="18"/>
        <v>5.7282999466742996</v>
      </c>
      <c r="P87" s="196">
        <f t="shared" si="19"/>
        <v>0.91735791297120661</v>
      </c>
      <c r="Q87" s="195">
        <f t="shared" si="20"/>
        <v>27.009933471541032</v>
      </c>
      <c r="R87" s="196">
        <f t="shared" si="21"/>
        <v>0.1604011380335032</v>
      </c>
      <c r="S87" s="464">
        <f t="shared" si="22"/>
        <v>32.73823341821533</v>
      </c>
      <c r="T87" s="196">
        <f t="shared" si="28"/>
        <v>0.1749727871231779</v>
      </c>
      <c r="W87" s="195">
        <f t="shared" si="30"/>
        <v>1.3380270201162503E-2</v>
      </c>
      <c r="X87" s="195">
        <f t="shared" si="23"/>
        <v>9.5673280005854622E-3</v>
      </c>
      <c r="Y87" s="195">
        <f t="shared" si="31"/>
        <v>1.6326842882250503E-2</v>
      </c>
      <c r="Z87" s="195">
        <f t="shared" si="33"/>
        <v>3.9274441083998468E-2</v>
      </c>
      <c r="AA87" s="196">
        <f t="shared" si="34"/>
        <v>0.15395307382685311</v>
      </c>
      <c r="AB87" s="196">
        <f t="shared" si="24"/>
        <v>0.18673338362127104</v>
      </c>
      <c r="AC87" s="196">
        <f t="shared" si="32"/>
        <v>0.34068645744812415</v>
      </c>
      <c r="AD87" s="247">
        <f t="shared" si="29"/>
        <v>0.6593135425518758</v>
      </c>
      <c r="AF87" s="251">
        <f t="shared" si="25"/>
        <v>0.54810920580752664</v>
      </c>
      <c r="AG87" s="251">
        <f t="shared" si="26"/>
        <v>0.45189079419247336</v>
      </c>
    </row>
    <row r="88" spans="1:33" x14ac:dyDescent="0.25">
      <c r="A88" s="206">
        <v>2022</v>
      </c>
      <c r="B88" s="195">
        <f t="shared" si="27"/>
        <v>9.7402544791846619</v>
      </c>
      <c r="C88" s="195">
        <f t="shared" si="9"/>
        <v>9.1560354972874922</v>
      </c>
      <c r="D88" s="195">
        <f t="shared" si="10"/>
        <v>14.077585275695661</v>
      </c>
      <c r="E88" s="195">
        <f t="shared" si="11"/>
        <v>32.973875252167815</v>
      </c>
      <c r="F88" s="221">
        <f t="shared" si="12"/>
        <v>0.29539307723754138</v>
      </c>
      <c r="H88" s="206">
        <v>2022</v>
      </c>
      <c r="I88" s="195">
        <f t="shared" si="13"/>
        <v>5.3734110673165159</v>
      </c>
      <c r="J88" s="195">
        <f t="shared" si="14"/>
        <v>0.48063659629914085</v>
      </c>
      <c r="K88" s="195">
        <f t="shared" si="15"/>
        <v>9.1774635971441523</v>
      </c>
      <c r="L88" s="195">
        <f t="shared" si="16"/>
        <v>4.3983183971735844</v>
      </c>
      <c r="M88" s="195">
        <f t="shared" si="17"/>
        <v>13.633242631707821</v>
      </c>
      <c r="O88" s="195">
        <f t="shared" si="18"/>
        <v>5.8540476636156571</v>
      </c>
      <c r="P88" s="196">
        <f t="shared" si="19"/>
        <v>0.91789670601993634</v>
      </c>
      <c r="Q88" s="195">
        <f t="shared" si="20"/>
        <v>27.20902462602556</v>
      </c>
      <c r="R88" s="196">
        <f t="shared" si="21"/>
        <v>0.16164924901301211</v>
      </c>
      <c r="S88" s="464">
        <f t="shared" si="22"/>
        <v>33.063072289641219</v>
      </c>
      <c r="T88" s="196">
        <f t="shared" si="28"/>
        <v>0.17705697801863837</v>
      </c>
      <c r="W88" s="195">
        <f t="shared" si="30"/>
        <v>3.1474985305438352E-2</v>
      </c>
      <c r="X88" s="195">
        <f t="shared" si="23"/>
        <v>2.1428099856660054E-2</v>
      </c>
      <c r="Y88" s="195">
        <f t="shared" si="31"/>
        <v>3.6293952311300615E-2</v>
      </c>
      <c r="Z88" s="195">
        <f t="shared" si="33"/>
        <v>8.9197037473399021E-2</v>
      </c>
      <c r="AA88" s="196">
        <f t="shared" si="34"/>
        <v>0.15882919545068966</v>
      </c>
      <c r="AB88" s="196">
        <f t="shared" si="24"/>
        <v>0.19404110379915981</v>
      </c>
      <c r="AC88" s="196">
        <f t="shared" si="32"/>
        <v>0.35287029924984947</v>
      </c>
      <c r="AD88" s="247">
        <f t="shared" si="29"/>
        <v>0.64712970075015053</v>
      </c>
      <c r="AF88" s="251">
        <f t="shared" si="25"/>
        <v>0.54989355639072701</v>
      </c>
      <c r="AG88" s="251">
        <f t="shared" si="26"/>
        <v>0.45010644360927299</v>
      </c>
    </row>
    <row r="89" spans="1:33" x14ac:dyDescent="0.25">
      <c r="A89" s="206">
        <v>2023</v>
      </c>
      <c r="B89" s="195">
        <f t="shared" si="27"/>
        <v>9.9109220936728555</v>
      </c>
      <c r="C89" s="195">
        <f t="shared" si="9"/>
        <v>9.1958777590809824</v>
      </c>
      <c r="D89" s="195">
        <f t="shared" si="10"/>
        <v>14.148857397554421</v>
      </c>
      <c r="E89" s="195">
        <f t="shared" si="11"/>
        <v>33.255657250308261</v>
      </c>
      <c r="F89" s="221">
        <f t="shared" si="12"/>
        <v>0.29802213858157883</v>
      </c>
      <c r="H89" s="206">
        <v>2023</v>
      </c>
      <c r="I89" s="195">
        <f t="shared" si="13"/>
        <v>5.4973251559666991</v>
      </c>
      <c r="J89" s="195">
        <f t="shared" si="14"/>
        <v>0.48819036750740957</v>
      </c>
      <c r="K89" s="195">
        <f t="shared" si="15"/>
        <v>9.2311063424138133</v>
      </c>
      <c r="L89" s="195">
        <f t="shared" si="16"/>
        <v>4.4671576820138164</v>
      </c>
      <c r="M89" s="195">
        <f t="shared" si="17"/>
        <v>13.720159265474889</v>
      </c>
      <c r="O89" s="195">
        <f t="shared" si="18"/>
        <v>5.9855155234741089</v>
      </c>
      <c r="P89" s="196">
        <f t="shared" si="19"/>
        <v>0.91843804170370702</v>
      </c>
      <c r="Q89" s="195">
        <f t="shared" si="20"/>
        <v>27.418423289902517</v>
      </c>
      <c r="R89" s="196">
        <f t="shared" si="21"/>
        <v>0.16292540365218422</v>
      </c>
      <c r="S89" s="464">
        <f t="shared" si="22"/>
        <v>33.403938813376627</v>
      </c>
      <c r="T89" s="196">
        <f t="shared" si="28"/>
        <v>0.17918592046627763</v>
      </c>
      <c r="W89" s="195">
        <f t="shared" si="30"/>
        <v>5.3560744307660002E-2</v>
      </c>
      <c r="X89" s="195">
        <f t="shared" si="23"/>
        <v>3.5228583332830965E-2</v>
      </c>
      <c r="Y89" s="195">
        <f t="shared" si="31"/>
        <v>5.9492235427876849E-2</v>
      </c>
      <c r="Z89" s="195">
        <f t="shared" si="33"/>
        <v>0.14828156306836782</v>
      </c>
      <c r="AA89" s="196">
        <f t="shared" si="34"/>
        <v>0.16193322573547198</v>
      </c>
      <c r="AB89" s="196">
        <f t="shared" si="24"/>
        <v>0.19927651065613108</v>
      </c>
      <c r="AC89" s="196">
        <f t="shared" si="32"/>
        <v>0.36120973639160303</v>
      </c>
      <c r="AD89" s="247">
        <f t="shared" si="29"/>
        <v>0.63879026360839697</v>
      </c>
      <c r="AF89" s="251">
        <f t="shared" si="25"/>
        <v>0.55169196890110084</v>
      </c>
      <c r="AG89" s="251">
        <f t="shared" si="26"/>
        <v>0.44830803109889922</v>
      </c>
    </row>
    <row r="90" spans="1:33" x14ac:dyDescent="0.25">
      <c r="A90" s="206">
        <v>2024</v>
      </c>
      <c r="B90" s="195">
        <f t="shared" si="27"/>
        <v>10.085687992926298</v>
      </c>
      <c r="C90" s="195">
        <f t="shared" si="9"/>
        <v>9.2367474944350558</v>
      </c>
      <c r="D90" s="195">
        <f t="shared" si="10"/>
        <v>14.221363932566014</v>
      </c>
      <c r="E90" s="195">
        <f t="shared" si="11"/>
        <v>33.543799419927367</v>
      </c>
      <c r="F90" s="221">
        <f t="shared" si="12"/>
        <v>0.30067220074463874</v>
      </c>
      <c r="H90" s="206">
        <v>2024</v>
      </c>
      <c r="I90" s="195">
        <f t="shared" si="13"/>
        <v>5.6263062793339023</v>
      </c>
      <c r="J90" s="195">
        <f t="shared" si="14"/>
        <v>0.49609837348283731</v>
      </c>
      <c r="K90" s="195">
        <f t="shared" si="15"/>
        <v>9.2874367965128961</v>
      </c>
      <c r="L90" s="195">
        <f t="shared" si="16"/>
        <v>4.5386252665593645</v>
      </c>
      <c r="M90" s="195">
        <f t="shared" si="17"/>
        <v>13.810989993235864</v>
      </c>
      <c r="O90" s="195">
        <f t="shared" si="18"/>
        <v>6.1224046528167397</v>
      </c>
      <c r="P90" s="196">
        <f t="shared" si="19"/>
        <v>0.91897001233745679</v>
      </c>
      <c r="Q90" s="195">
        <f t="shared" si="20"/>
        <v>27.637052056308125</v>
      </c>
      <c r="R90" s="196">
        <f t="shared" si="21"/>
        <v>0.1642224813743631</v>
      </c>
      <c r="S90" s="464">
        <f t="shared" si="22"/>
        <v>33.759456709124862</v>
      </c>
      <c r="T90" s="196">
        <f t="shared" si="28"/>
        <v>0.1813537671997521</v>
      </c>
      <c r="W90" s="195">
        <f t="shared" si="30"/>
        <v>7.9243552966969943E-2</v>
      </c>
      <c r="X90" s="195">
        <f t="shared" si="23"/>
        <v>5.0689302077840281E-2</v>
      </c>
      <c r="Y90" s="195">
        <f t="shared" si="31"/>
        <v>8.5724434152687934E-2</v>
      </c>
      <c r="Z90" s="195">
        <f t="shared" si="33"/>
        <v>0.21565728919749816</v>
      </c>
      <c r="AA90" s="196">
        <f t="shared" si="34"/>
        <v>0.16406640640836245</v>
      </c>
      <c r="AB90" s="196">
        <f t="shared" si="24"/>
        <v>0.20338490146001653</v>
      </c>
      <c r="AC90" s="196">
        <f t="shared" si="32"/>
        <v>0.36745130786837904</v>
      </c>
      <c r="AD90" s="247">
        <f t="shared" si="29"/>
        <v>0.63254869213162102</v>
      </c>
      <c r="AF90" s="251">
        <f t="shared" si="25"/>
        <v>0.55350163982235423</v>
      </c>
      <c r="AG90" s="251">
        <f t="shared" si="26"/>
        <v>0.44649836017764566</v>
      </c>
    </row>
    <row r="91" spans="1:33" x14ac:dyDescent="0.25">
      <c r="A91" s="206">
        <v>2025</v>
      </c>
      <c r="B91" s="195">
        <f t="shared" si="27"/>
        <v>10.264292245609258</v>
      </c>
      <c r="C91" s="195">
        <f t="shared" si="9"/>
        <v>9.27851887575045</v>
      </c>
      <c r="D91" s="195">
        <f t="shared" si="10"/>
        <v>14.294985088040114</v>
      </c>
      <c r="E91" s="195">
        <f t="shared" si="11"/>
        <v>33.837796209399826</v>
      </c>
      <c r="F91" s="221">
        <f t="shared" si="12"/>
        <v>0.30333808331045903</v>
      </c>
      <c r="H91" s="206">
        <v>2025</v>
      </c>
      <c r="I91" s="195">
        <f t="shared" si="13"/>
        <v>5.7600791883193558</v>
      </c>
      <c r="J91" s="195">
        <f t="shared" si="14"/>
        <v>0.50438887429385515</v>
      </c>
      <c r="K91" s="195">
        <f t="shared" si="15"/>
        <v>9.3461225675993518</v>
      </c>
      <c r="L91" s="195">
        <f t="shared" si="16"/>
        <v>4.6124597957296007</v>
      </c>
      <c r="M91" s="195">
        <f t="shared" si="17"/>
        <v>13.905433622804692</v>
      </c>
      <c r="O91" s="195">
        <f t="shared" si="18"/>
        <v>6.2644680626132114</v>
      </c>
      <c r="P91" s="196">
        <f t="shared" si="19"/>
        <v>0.91948416541476452</v>
      </c>
      <c r="Q91" s="195">
        <f t="shared" si="20"/>
        <v>27.864015986133644</v>
      </c>
      <c r="R91" s="196">
        <f t="shared" si="21"/>
        <v>0.16553463786501424</v>
      </c>
      <c r="S91" s="464">
        <f t="shared" si="22"/>
        <v>34.128484048746856</v>
      </c>
      <c r="T91" s="196">
        <f t="shared" si="28"/>
        <v>0.18355541528494093</v>
      </c>
      <c r="W91" s="195">
        <f t="shared" si="30"/>
        <v>0.10824673843969812</v>
      </c>
      <c r="X91" s="195">
        <f t="shared" si="23"/>
        <v>6.7603691848901803E-2</v>
      </c>
      <c r="Y91" s="195">
        <f t="shared" si="31"/>
        <v>0.11483740905843298</v>
      </c>
      <c r="Z91" s="195">
        <f t="shared" si="33"/>
        <v>0.29068783934703291</v>
      </c>
      <c r="AA91" s="196">
        <f t="shared" si="34"/>
        <v>0.16559052141464367</v>
      </c>
      <c r="AB91" s="196">
        <f t="shared" si="24"/>
        <v>0.20679085746536352</v>
      </c>
      <c r="AC91" s="196">
        <f t="shared" si="32"/>
        <v>0.37238137888000716</v>
      </c>
      <c r="AD91" s="247">
        <f t="shared" si="29"/>
        <v>0.62761862111999278</v>
      </c>
      <c r="AF91" s="251">
        <f t="shared" si="25"/>
        <v>0.5553200809538813</v>
      </c>
      <c r="AG91" s="251">
        <f t="shared" si="26"/>
        <v>0.44467991904611875</v>
      </c>
    </row>
    <row r="92" spans="1:33" x14ac:dyDescent="0.25">
      <c r="A92" s="206">
        <v>2026</v>
      </c>
      <c r="B92" s="195">
        <f t="shared" si="27"/>
        <v>10.446474920386022</v>
      </c>
      <c r="C92" s="195">
        <f t="shared" si="9"/>
        <v>9.3210660754279022</v>
      </c>
      <c r="D92" s="195">
        <f t="shared" si="10"/>
        <v>14.369601071286407</v>
      </c>
      <c r="E92" s="195">
        <f t="shared" si="11"/>
        <v>34.137142067100328</v>
      </c>
      <c r="F92" s="221">
        <f t="shared" si="12"/>
        <v>0.30601492356484677</v>
      </c>
      <c r="H92" s="206">
        <v>2026</v>
      </c>
      <c r="I92" s="195">
        <f t="shared" si="13"/>
        <v>5.8984053985037592</v>
      </c>
      <c r="J92" s="195">
        <f t="shared" si="14"/>
        <v>0.51305474377506355</v>
      </c>
      <c r="K92" s="195">
        <f t="shared" si="15"/>
        <v>9.4069071295899231</v>
      </c>
      <c r="L92" s="195">
        <f t="shared" si="16"/>
        <v>4.6884200020542739</v>
      </c>
      <c r="M92" s="195">
        <f t="shared" si="17"/>
        <v>14.003207207347128</v>
      </c>
      <c r="O92" s="195">
        <f t="shared" si="18"/>
        <v>6.4114601422788224</v>
      </c>
      <c r="P92" s="196">
        <f t="shared" si="19"/>
        <v>0.91997848658656589</v>
      </c>
      <c r="Q92" s="195">
        <f t="shared" si="20"/>
        <v>28.098534338991328</v>
      </c>
      <c r="R92" s="196">
        <f t="shared" si="21"/>
        <v>0.1668563899273679</v>
      </c>
      <c r="S92" s="464">
        <f t="shared" si="22"/>
        <v>34.509994481270148</v>
      </c>
      <c r="T92" s="196">
        <f t="shared" si="28"/>
        <v>0.18578560323324766</v>
      </c>
      <c r="W92" s="195">
        <f t="shared" si="30"/>
        <v>0.14035048017201213</v>
      </c>
      <c r="X92" s="195">
        <f t="shared" si="23"/>
        <v>8.5841054162020924E-2</v>
      </c>
      <c r="Y92" s="195">
        <f t="shared" si="31"/>
        <v>0.14666087983578358</v>
      </c>
      <c r="Z92" s="195">
        <f t="shared" si="33"/>
        <v>0.37285241416981663</v>
      </c>
      <c r="AA92" s="196">
        <f t="shared" si="34"/>
        <v>0.16670080719439995</v>
      </c>
      <c r="AB92" s="196">
        <f t="shared" si="24"/>
        <v>0.20972287906364082</v>
      </c>
      <c r="AC92" s="196">
        <f t="shared" si="32"/>
        <v>0.37642368625804079</v>
      </c>
      <c r="AD92" s="247">
        <f t="shared" si="29"/>
        <v>0.62357631374195921</v>
      </c>
      <c r="AF92" s="251">
        <f t="shared" si="25"/>
        <v>0.55714580861915919</v>
      </c>
      <c r="AG92" s="251">
        <f t="shared" si="26"/>
        <v>0.44285419138084076</v>
      </c>
    </row>
    <row r="93" spans="1:33" x14ac:dyDescent="0.25">
      <c r="A93" s="206">
        <v>2027</v>
      </c>
      <c r="B93" s="195">
        <f t="shared" si="27"/>
        <v>10.631976085920845</v>
      </c>
      <c r="C93" s="195">
        <f t="shared" si="9"/>
        <v>9.3642632658681553</v>
      </c>
      <c r="D93" s="195">
        <f t="shared" si="10"/>
        <v>14.445092089614569</v>
      </c>
      <c r="E93" s="195">
        <f t="shared" si="11"/>
        <v>34.44133144140357</v>
      </c>
      <c r="F93" s="221">
        <f t="shared" si="12"/>
        <v>0.30869817283369128</v>
      </c>
      <c r="H93" s="206">
        <v>2027</v>
      </c>
      <c r="I93" s="195">
        <f t="shared" si="13"/>
        <v>6.0410817912336805</v>
      </c>
      <c r="J93" s="195">
        <f t="shared" si="14"/>
        <v>0.52206693214982758</v>
      </c>
      <c r="K93" s="195">
        <f t="shared" si="15"/>
        <v>9.4696078850899248</v>
      </c>
      <c r="L93" s="195">
        <f t="shared" si="16"/>
        <v>4.7662955228745059</v>
      </c>
      <c r="M93" s="195">
        <f t="shared" si="17"/>
        <v>14.1040469511226</v>
      </c>
      <c r="O93" s="195">
        <f t="shared" si="18"/>
        <v>6.5631487233835077</v>
      </c>
      <c r="P93" s="196">
        <f t="shared" si="19"/>
        <v>0.92045480696029613</v>
      </c>
      <c r="Q93" s="195">
        <f t="shared" si="20"/>
        <v>28.33995035908703</v>
      </c>
      <c r="R93" s="196">
        <f t="shared" si="21"/>
        <v>0.16818291713578187</v>
      </c>
      <c r="S93" s="464">
        <f t="shared" si="22"/>
        <v>34.90309908247054</v>
      </c>
      <c r="T93" s="196">
        <f t="shared" si="28"/>
        <v>0.18803913967283589</v>
      </c>
      <c r="W93" s="195">
        <f t="shared" si="30"/>
        <v>0.17540122818734183</v>
      </c>
      <c r="X93" s="195">
        <f t="shared" si="23"/>
        <v>0.10534461922176952</v>
      </c>
      <c r="Y93" s="195">
        <f t="shared" si="31"/>
        <v>0.18102179365785886</v>
      </c>
      <c r="Z93" s="195">
        <f t="shared" si="33"/>
        <v>0.46176764106697021</v>
      </c>
      <c r="AA93" s="196">
        <f t="shared" si="34"/>
        <v>0.1675212042201091</v>
      </c>
      <c r="AB93" s="196">
        <f t="shared" si="24"/>
        <v>0.21232617482545588</v>
      </c>
      <c r="AC93" s="196">
        <f t="shared" si="32"/>
        <v>0.37984737904556498</v>
      </c>
      <c r="AD93" s="247">
        <f t="shared" si="29"/>
        <v>0.62015262095443502</v>
      </c>
      <c r="AF93" s="251">
        <f t="shared" si="25"/>
        <v>0.55897759610442399</v>
      </c>
      <c r="AG93" s="251">
        <f t="shared" si="26"/>
        <v>0.44102240389557595</v>
      </c>
    </row>
    <row r="94" spans="1:33" x14ac:dyDescent="0.25">
      <c r="A94" s="206">
        <v>2028</v>
      </c>
      <c r="B94" s="195">
        <f t="shared" si="27"/>
        <v>10.820535810878022</v>
      </c>
      <c r="C94" s="195">
        <f t="shared" si="9"/>
        <v>9.4079846194719448</v>
      </c>
      <c r="D94" s="195">
        <f t="shared" si="10"/>
        <v>14.521338350334279</v>
      </c>
      <c r="E94" s="195">
        <f t="shared" si="11"/>
        <v>34.749858780684249</v>
      </c>
      <c r="F94" s="221">
        <f t="shared" si="12"/>
        <v>0.31138359091383216</v>
      </c>
      <c r="H94" s="206">
        <v>2028</v>
      </c>
      <c r="I94" s="195">
        <f t="shared" si="13"/>
        <v>6.1879831121033684</v>
      </c>
      <c r="J94" s="195">
        <f t="shared" si="14"/>
        <v>0.53141358452518506</v>
      </c>
      <c r="K94" s="195">
        <f t="shared" si="15"/>
        <v>9.5341061496374166</v>
      </c>
      <c r="L94" s="195">
        <f t="shared" si="16"/>
        <v>4.8459584088878156</v>
      </c>
      <c r="M94" s="195">
        <f t="shared" si="17"/>
        <v>14.207780107714205</v>
      </c>
      <c r="O94" s="195">
        <f t="shared" si="18"/>
        <v>6.7193966966285537</v>
      </c>
      <c r="P94" s="196">
        <f t="shared" si="19"/>
        <v>0.92091349736921746</v>
      </c>
      <c r="Q94" s="195">
        <f t="shared" si="20"/>
        <v>28.587844666239437</v>
      </c>
      <c r="R94" s="196">
        <f t="shared" si="21"/>
        <v>0.16951114942255885</v>
      </c>
      <c r="S94" s="464">
        <f t="shared" si="22"/>
        <v>35.307241362867991</v>
      </c>
      <c r="T94" s="196">
        <f t="shared" si="28"/>
        <v>0.19031214100162541</v>
      </c>
      <c r="W94" s="195">
        <f t="shared" si="30"/>
        <v>0.21340571011316278</v>
      </c>
      <c r="X94" s="195">
        <f t="shared" si="23"/>
        <v>0.1261215301654719</v>
      </c>
      <c r="Y94" s="195">
        <f t="shared" si="31"/>
        <v>0.21785534190511058</v>
      </c>
      <c r="Z94" s="195">
        <f t="shared" si="33"/>
        <v>0.55738258218374526</v>
      </c>
      <c r="AA94" s="196">
        <f t="shared" si="34"/>
        <v>0.16815184893918503</v>
      </c>
      <c r="AB94" s="196">
        <f t="shared" si="24"/>
        <v>0.21471930085001309</v>
      </c>
      <c r="AC94" s="196">
        <f t="shared" si="32"/>
        <v>0.38287114978919817</v>
      </c>
      <c r="AD94" s="247">
        <f t="shared" si="29"/>
        <v>0.61712885021080188</v>
      </c>
      <c r="AF94" s="251">
        <f t="shared" si="25"/>
        <v>0.56081347724484754</v>
      </c>
      <c r="AG94" s="251">
        <f t="shared" si="26"/>
        <v>0.43918652275515235</v>
      </c>
    </row>
    <row r="95" spans="1:33" x14ac:dyDescent="0.25">
      <c r="A95" s="206">
        <v>2029</v>
      </c>
      <c r="B95" s="195">
        <f t="shared" si="27"/>
        <v>11.011894163921816</v>
      </c>
      <c r="C95" s="195">
        <f t="shared" si="9"/>
        <v>9.4521043086400098</v>
      </c>
      <c r="D95" s="195">
        <f t="shared" si="10"/>
        <v>14.598220060755217</v>
      </c>
      <c r="E95" s="195">
        <f t="shared" si="11"/>
        <v>35.062218533317044</v>
      </c>
      <c r="F95" s="221">
        <f t="shared" si="12"/>
        <v>0.31406723888444266</v>
      </c>
      <c r="H95" s="206">
        <v>2029</v>
      </c>
      <c r="I95" s="195">
        <f t="shared" si="13"/>
        <v>6.3390203107876086</v>
      </c>
      <c r="J95" s="195">
        <f t="shared" si="14"/>
        <v>0.54107911825650556</v>
      </c>
      <c r="K95" s="195">
        <f t="shared" si="15"/>
        <v>9.6003311999857264</v>
      </c>
      <c r="L95" s="195">
        <f t="shared" si="16"/>
        <v>4.9273170220776041</v>
      </c>
      <c r="M95" s="195">
        <f t="shared" si="17"/>
        <v>14.314261797008459</v>
      </c>
      <c r="O95" s="195">
        <f t="shared" si="18"/>
        <v>6.8800994290441144</v>
      </c>
      <c r="P95" s="196">
        <f t="shared" si="19"/>
        <v>0.92135591587930288</v>
      </c>
      <c r="Q95" s="195">
        <f t="shared" si="20"/>
        <v>28.84191001907179</v>
      </c>
      <c r="R95" s="196">
        <f t="shared" si="21"/>
        <v>0.17083879045525774</v>
      </c>
      <c r="S95" s="464">
        <f t="shared" si="22"/>
        <v>35.722009448115905</v>
      </c>
      <c r="T95" s="196">
        <f t="shared" si="28"/>
        <v>0.19260113121679368</v>
      </c>
      <c r="W95" s="195">
        <f t="shared" si="30"/>
        <v>0.25444316894339636</v>
      </c>
      <c r="X95" s="195">
        <f t="shared" si="23"/>
        <v>0.14822689134571654</v>
      </c>
      <c r="Y95" s="195">
        <f t="shared" si="31"/>
        <v>0.25712085450974698</v>
      </c>
      <c r="Z95" s="195">
        <f t="shared" si="33"/>
        <v>0.65979091479885987</v>
      </c>
      <c r="AA95" s="196">
        <f t="shared" si="34"/>
        <v>0.1686600480381952</v>
      </c>
      <c r="AB95" s="196">
        <f t="shared" si="24"/>
        <v>0.21698207469543543</v>
      </c>
      <c r="AC95" s="196">
        <f t="shared" si="32"/>
        <v>0.38564212273363063</v>
      </c>
      <c r="AD95" s="247">
        <f t="shared" si="29"/>
        <v>0.61435787726636937</v>
      </c>
      <c r="AF95" s="251">
        <f t="shared" si="25"/>
        <v>0.56265138558348959</v>
      </c>
      <c r="AG95" s="251">
        <f t="shared" si="26"/>
        <v>0.43734861441651041</v>
      </c>
    </row>
    <row r="96" spans="1:33" x14ac:dyDescent="0.25">
      <c r="A96" s="206">
        <v>2030</v>
      </c>
      <c r="B96" s="195">
        <f t="shared" si="27"/>
        <v>11.205791213716505</v>
      </c>
      <c r="C96" s="195">
        <f t="shared" si="9"/>
        <v>9.4964965057730915</v>
      </c>
      <c r="D96" s="195">
        <f t="shared" si="10"/>
        <v>14.675617428187062</v>
      </c>
      <c r="E96" s="195">
        <f t="shared" si="11"/>
        <v>35.377905147676657</v>
      </c>
      <c r="F96" s="221">
        <f t="shared" si="12"/>
        <v>0.31674547056815811</v>
      </c>
      <c r="H96" s="206">
        <v>2030</v>
      </c>
      <c r="I96" s="195">
        <f t="shared" si="13"/>
        <v>6.4941042381579708</v>
      </c>
      <c r="J96" s="195">
        <f t="shared" si="14"/>
        <v>0.55104977084853235</v>
      </c>
      <c r="K96" s="195">
        <f t="shared" si="15"/>
        <v>9.6682054379885045</v>
      </c>
      <c r="L96" s="195">
        <f t="shared" si="16"/>
        <v>5.0102847002490325</v>
      </c>
      <c r="M96" s="195">
        <f t="shared" si="17"/>
        <v>14.423357290839361</v>
      </c>
      <c r="O96" s="195">
        <f t="shared" si="18"/>
        <v>7.0451540090065032</v>
      </c>
      <c r="P96" s="196">
        <f t="shared" si="19"/>
        <v>0.92178314765808211</v>
      </c>
      <c r="Q96" s="195">
        <f t="shared" si="20"/>
        <v>29.101847429076898</v>
      </c>
      <c r="R96" s="196">
        <f t="shared" si="21"/>
        <v>0.17216380205618986</v>
      </c>
      <c r="S96" s="464">
        <f t="shared" si="22"/>
        <v>36.1470014380834</v>
      </c>
      <c r="T96" s="196">
        <f t="shared" si="28"/>
        <v>0.19490286133620863</v>
      </c>
      <c r="W96" s="195">
        <f t="shared" si="30"/>
        <v>0.29859772469049872</v>
      </c>
      <c r="X96" s="195">
        <f t="shared" si="23"/>
        <v>0.17170893221541306</v>
      </c>
      <c r="Y96" s="195">
        <f t="shared" si="31"/>
        <v>0.29878963350083154</v>
      </c>
      <c r="Z96" s="195">
        <f t="shared" si="33"/>
        <v>0.76909629040674332</v>
      </c>
      <c r="AA96" s="196">
        <f t="shared" si="34"/>
        <v>0.16908482259819449</v>
      </c>
      <c r="AB96" s="196">
        <f t="shared" si="24"/>
        <v>0.21916009343511864</v>
      </c>
      <c r="AC96" s="196">
        <f t="shared" si="32"/>
        <v>0.38824491603331318</v>
      </c>
      <c r="AD96" s="247">
        <f t="shared" si="29"/>
        <v>0.61175508396668676</v>
      </c>
      <c r="AF96" s="251">
        <f t="shared" si="25"/>
        <v>0.56448928082374095</v>
      </c>
      <c r="AG96" s="251">
        <f t="shared" si="26"/>
        <v>0.43551071917625894</v>
      </c>
    </row>
    <row r="97" spans="1:33" x14ac:dyDescent="0.25">
      <c r="A97" s="206">
        <v>2031</v>
      </c>
      <c r="B97" s="195">
        <f t="shared" si="27"/>
        <v>11.401967028926364</v>
      </c>
      <c r="C97" s="195">
        <f t="shared" si="9"/>
        <v>9.5410353832719252</v>
      </c>
      <c r="D97" s="195">
        <f t="shared" si="10"/>
        <v>14.753410659939496</v>
      </c>
      <c r="E97" s="195">
        <f t="shared" si="11"/>
        <v>35.696413072137787</v>
      </c>
      <c r="F97" s="221">
        <f t="shared" si="12"/>
        <v>0.31941492289111734</v>
      </c>
      <c r="H97" s="206">
        <v>2031</v>
      </c>
      <c r="I97" s="195">
        <f t="shared" si="13"/>
        <v>6.6530882425884021</v>
      </c>
      <c r="J97" s="195">
        <f t="shared" si="14"/>
        <v>0.56131750089730725</v>
      </c>
      <c r="K97" s="195">
        <f t="shared" si="15"/>
        <v>9.7375837708322255</v>
      </c>
      <c r="L97" s="195">
        <f t="shared" si="16"/>
        <v>5.0947210000664391</v>
      </c>
      <c r="M97" s="195">
        <f t="shared" si="17"/>
        <v>14.534891062003055</v>
      </c>
      <c r="O97" s="195">
        <f t="shared" si="18"/>
        <v>7.2144057434857096</v>
      </c>
      <c r="P97" s="196">
        <f t="shared" si="19"/>
        <v>0.92219490823562944</v>
      </c>
      <c r="Q97" s="195">
        <f t="shared" si="20"/>
        <v>29.367195832901722</v>
      </c>
      <c r="R97" s="196">
        <f t="shared" si="21"/>
        <v>0.1734834006302548</v>
      </c>
      <c r="S97" s="464">
        <f t="shared" si="22"/>
        <v>36.581601576387428</v>
      </c>
      <c r="T97" s="196">
        <f t="shared" si="28"/>
        <v>0.19721404839044665</v>
      </c>
      <c r="W97" s="195">
        <f t="shared" si="30"/>
        <v>0.34584221372847779</v>
      </c>
      <c r="X97" s="195">
        <f t="shared" si="23"/>
        <v>0.19654838756030024</v>
      </c>
      <c r="Y97" s="195">
        <f t="shared" si="31"/>
        <v>0.3427979029608661</v>
      </c>
      <c r="Z97" s="195">
        <f t="shared" si="33"/>
        <v>0.88518850424964413</v>
      </c>
      <c r="AA97" s="196">
        <f t="shared" si="34"/>
        <v>0.16943602614575576</v>
      </c>
      <c r="AB97" s="196">
        <f t="shared" si="24"/>
        <v>0.22126291771551931</v>
      </c>
      <c r="AC97" s="196">
        <f t="shared" si="32"/>
        <v>0.39069894386127513</v>
      </c>
      <c r="AD97" s="247">
        <f t="shared" si="29"/>
        <v>0.60930105613872487</v>
      </c>
      <c r="AF97" s="251">
        <f t="shared" si="25"/>
        <v>0.56632586596927892</v>
      </c>
      <c r="AG97" s="251">
        <f t="shared" si="26"/>
        <v>0.43367413403072103</v>
      </c>
    </row>
    <row r="98" spans="1:33" x14ac:dyDescent="0.25">
      <c r="A98" s="206">
        <v>2032</v>
      </c>
      <c r="B98" s="195">
        <f t="shared" si="27"/>
        <v>11.600161678215672</v>
      </c>
      <c r="C98" s="195">
        <f t="shared" si="9"/>
        <v>9.5855951135372504</v>
      </c>
      <c r="D98" s="195">
        <f t="shared" si="10"/>
        <v>14.831479963322195</v>
      </c>
      <c r="E98" s="195">
        <f t="shared" si="11"/>
        <v>36.017236755075118</v>
      </c>
      <c r="F98" s="221">
        <f t="shared" si="12"/>
        <v>0.32207250537011606</v>
      </c>
      <c r="H98" s="206">
        <v>2032</v>
      </c>
      <c r="I98" s="195">
        <f t="shared" si="13"/>
        <v>6.8156633234831192</v>
      </c>
      <c r="J98" s="195">
        <f t="shared" si="14"/>
        <v>0.57186142909973958</v>
      </c>
      <c r="K98" s="195">
        <f t="shared" si="15"/>
        <v>9.8081966028294705</v>
      </c>
      <c r="L98" s="195">
        <f t="shared" si="16"/>
        <v>5.180394482014929</v>
      </c>
      <c r="M98" s="195">
        <f t="shared" si="17"/>
        <v>14.648521475142807</v>
      </c>
      <c r="O98" s="195">
        <f t="shared" si="18"/>
        <v>7.3875247525828591</v>
      </c>
      <c r="P98" s="196">
        <f t="shared" si="19"/>
        <v>0.92259092886290461</v>
      </c>
      <c r="Q98" s="195">
        <f t="shared" si="20"/>
        <v>29.637112559987209</v>
      </c>
      <c r="R98" s="196">
        <f t="shared" si="21"/>
        <v>0.17479416969279699</v>
      </c>
      <c r="S98" s="464">
        <f t="shared" si="22"/>
        <v>37.024637312570064</v>
      </c>
      <c r="T98" s="196">
        <f t="shared" si="28"/>
        <v>0.19952996946913384</v>
      </c>
      <c r="W98" s="195">
        <f t="shared" si="30"/>
        <v>0.39589612728237533</v>
      </c>
      <c r="X98" s="195">
        <f t="shared" si="23"/>
        <v>0.22260148929222012</v>
      </c>
      <c r="Y98" s="195">
        <f t="shared" si="31"/>
        <v>0.38890294092035127</v>
      </c>
      <c r="Z98" s="195">
        <f t="shared" si="33"/>
        <v>1.0074005574949467</v>
      </c>
      <c r="AA98" s="196">
        <f t="shared" si="34"/>
        <v>0.16970840385890595</v>
      </c>
      <c r="AB98" s="196">
        <f t="shared" si="24"/>
        <v>0.22327939462596955</v>
      </c>
      <c r="AC98" s="196">
        <f t="shared" si="32"/>
        <v>0.39298779848487547</v>
      </c>
      <c r="AD98" s="247">
        <f t="shared" si="29"/>
        <v>0.60701220151512447</v>
      </c>
      <c r="AF98" s="251">
        <f t="shared" si="25"/>
        <v>0.56815859293036719</v>
      </c>
      <c r="AG98" s="251">
        <f t="shared" si="26"/>
        <v>0.43184140706963287</v>
      </c>
    </row>
    <row r="99" spans="1:33" x14ac:dyDescent="0.25">
      <c r="A99" s="206">
        <v>2033</v>
      </c>
      <c r="B99" s="195">
        <f t="shared" si="27"/>
        <v>11.800115230248696</v>
      </c>
      <c r="C99" s="195">
        <f t="shared" si="9"/>
        <v>9.6300498689698095</v>
      </c>
      <c r="D99" s="195">
        <f t="shared" si="10"/>
        <v>14.90970554564484</v>
      </c>
      <c r="E99" s="195">
        <f t="shared" si="11"/>
        <v>36.339870644863346</v>
      </c>
      <c r="F99" s="221">
        <f t="shared" si="12"/>
        <v>0.32471538893374258</v>
      </c>
      <c r="H99" s="206">
        <v>2033</v>
      </c>
      <c r="I99" s="195">
        <f t="shared" si="13"/>
        <v>6.9812742256325926</v>
      </c>
      <c r="J99" s="195">
        <f t="shared" si="14"/>
        <v>0.58262809284743222</v>
      </c>
      <c r="K99" s="195">
        <f t="shared" si="15"/>
        <v>9.8796202090669336</v>
      </c>
      <c r="L99" s="195">
        <f t="shared" si="16"/>
        <v>5.266953487498423</v>
      </c>
      <c r="M99" s="195">
        <f t="shared" si="17"/>
        <v>14.763640715586178</v>
      </c>
      <c r="O99" s="195">
        <f t="shared" si="18"/>
        <v>7.5639023184800251</v>
      </c>
      <c r="P99" s="196">
        <f t="shared" si="19"/>
        <v>0.92297255195589145</v>
      </c>
      <c r="Q99" s="195">
        <f t="shared" si="20"/>
        <v>29.910214412151532</v>
      </c>
      <c r="R99" s="196">
        <f t="shared" si="21"/>
        <v>0.17609213410916352</v>
      </c>
      <c r="S99" s="464">
        <f t="shared" si="22"/>
        <v>37.474116730631557</v>
      </c>
      <c r="T99" s="196">
        <f t="shared" si="28"/>
        <v>0.20184337826693186</v>
      </c>
      <c r="W99" s="195">
        <f t="shared" si="30"/>
        <v>0.44811248288231909</v>
      </c>
      <c r="X99" s="195">
        <f t="shared" si="23"/>
        <v>0.24957034009712409</v>
      </c>
      <c r="Y99" s="195">
        <f t="shared" si="31"/>
        <v>0.43656326278876989</v>
      </c>
      <c r="Z99" s="195">
        <f t="shared" si="33"/>
        <v>1.1342460857682131</v>
      </c>
      <c r="AA99" s="196">
        <f t="shared" si="34"/>
        <v>0.1698892832091006</v>
      </c>
      <c r="AB99" s="196">
        <f t="shared" si="24"/>
        <v>0.22518590241855549</v>
      </c>
      <c r="AC99" s="196">
        <f t="shared" si="32"/>
        <v>0.39507518562765609</v>
      </c>
      <c r="AD99" s="247">
        <f t="shared" si="29"/>
        <v>0.60492481437234391</v>
      </c>
      <c r="AF99" s="251">
        <f t="shared" si="25"/>
        <v>0.5699823998330914</v>
      </c>
      <c r="AG99" s="251">
        <f t="shared" si="26"/>
        <v>0.43001760016690865</v>
      </c>
    </row>
    <row r="100" spans="1:33" x14ac:dyDescent="0.25">
      <c r="A100" s="206">
        <v>2034</v>
      </c>
      <c r="B100" s="195">
        <f t="shared" si="27"/>
        <v>12.001567753689715</v>
      </c>
      <c r="C100" s="195">
        <f t="shared" si="9"/>
        <v>9.6742738219703366</v>
      </c>
      <c r="D100" s="195">
        <f t="shared" si="10"/>
        <v>14.987967614217114</v>
      </c>
      <c r="E100" s="195">
        <f t="shared" si="11"/>
        <v>36.663809189877163</v>
      </c>
      <c r="F100" s="221">
        <f t="shared" si="12"/>
        <v>0.32734099426317476</v>
      </c>
      <c r="H100" s="206">
        <v>2034</v>
      </c>
      <c r="I100" s="195">
        <f t="shared" si="13"/>
        <v>7.1492320790353254</v>
      </c>
      <c r="J100" s="195">
        <f t="shared" si="14"/>
        <v>0.59354877982638743</v>
      </c>
      <c r="K100" s="195">
        <f t="shared" si="15"/>
        <v>9.951334481497927</v>
      </c>
      <c r="L100" s="195">
        <f t="shared" si="16"/>
        <v>5.3539873582841579</v>
      </c>
      <c r="M100" s="195">
        <f t="shared" si="17"/>
        <v>14.879496984632233</v>
      </c>
      <c r="O100" s="195">
        <f t="shared" si="18"/>
        <v>7.7427808588617131</v>
      </c>
      <c r="P100" s="196">
        <f t="shared" si="19"/>
        <v>0.92334165325794237</v>
      </c>
      <c r="Q100" s="195">
        <f t="shared" si="20"/>
        <v>30.184818824414318</v>
      </c>
      <c r="R100" s="196">
        <f t="shared" si="21"/>
        <v>0.17737351313679925</v>
      </c>
      <c r="S100" s="464">
        <f t="shared" si="22"/>
        <v>37.927599683276028</v>
      </c>
      <c r="T100" s="196">
        <f t="shared" si="28"/>
        <v>0.2041463452345984</v>
      </c>
      <c r="W100" s="195">
        <f t="shared" si="30"/>
        <v>0.50165168362976864</v>
      </c>
      <c r="X100" s="195">
        <f t="shared" si="23"/>
        <v>0.2770606595275904</v>
      </c>
      <c r="Y100" s="195">
        <f t="shared" si="31"/>
        <v>0.48507815024150602</v>
      </c>
      <c r="Z100" s="195">
        <f t="shared" si="33"/>
        <v>1.2637904933988651</v>
      </c>
      <c r="AA100" s="196">
        <f t="shared" si="34"/>
        <v>0.16997407174102597</v>
      </c>
      <c r="AB100" s="196">
        <f t="shared" si="24"/>
        <v>0.22696805296242539</v>
      </c>
      <c r="AC100" s="196">
        <f t="shared" si="32"/>
        <v>0.39694212470345136</v>
      </c>
      <c r="AD100" s="247">
        <f t="shared" si="29"/>
        <v>0.60305787529654864</v>
      </c>
      <c r="AF100" s="251">
        <f t="shared" si="25"/>
        <v>0.57179129862316658</v>
      </c>
      <c r="AG100" s="251">
        <f t="shared" si="26"/>
        <v>0.42820870137683342</v>
      </c>
    </row>
    <row r="101" spans="1:33" x14ac:dyDescent="0.25">
      <c r="A101" s="206">
        <v>2035</v>
      </c>
      <c r="B101" s="195">
        <f t="shared" si="27"/>
        <v>12.204259317203004</v>
      </c>
      <c r="C101" s="195">
        <f t="shared" si="9"/>
        <v>9.7181411449395725</v>
      </c>
      <c r="D101" s="195">
        <f t="shared" si="10"/>
        <v>15.066146376348691</v>
      </c>
      <c r="E101" s="195">
        <f t="shared" si="11"/>
        <v>36.988546838491267</v>
      </c>
      <c r="F101" s="221">
        <f t="shared" si="12"/>
        <v>0.32994697981762633</v>
      </c>
      <c r="H101" s="206">
        <v>2035</v>
      </c>
      <c r="I101" s="195">
        <f t="shared" si="13"/>
        <v>7.3189880203842943</v>
      </c>
      <c r="J101" s="195">
        <f t="shared" si="14"/>
        <v>0.60456852204309375</v>
      </c>
      <c r="K101" s="195">
        <f t="shared" si="15"/>
        <v>10.022914599813499</v>
      </c>
      <c r="L101" s="195">
        <f t="shared" si="16"/>
        <v>5.4411848592055936</v>
      </c>
      <c r="M101" s="195">
        <f t="shared" si="17"/>
        <v>14.995495215106592</v>
      </c>
      <c r="O101" s="195">
        <f t="shared" si="18"/>
        <v>7.9235565424273879</v>
      </c>
      <c r="P101" s="196">
        <f t="shared" si="19"/>
        <v>0.9236998538716954</v>
      </c>
      <c r="Q101" s="195">
        <f t="shared" si="20"/>
        <v>30.459594674125682</v>
      </c>
      <c r="R101" s="196">
        <f t="shared" si="21"/>
        <v>0.17863615446687747</v>
      </c>
      <c r="S101" s="464">
        <f t="shared" si="22"/>
        <v>38.383151216553074</v>
      </c>
      <c r="T101" s="196">
        <f t="shared" si="28"/>
        <v>0.20643319506842064</v>
      </c>
      <c r="W101" s="195">
        <f t="shared" si="30"/>
        <v>0.55591356238688405</v>
      </c>
      <c r="X101" s="195">
        <f t="shared" si="23"/>
        <v>0.30477345487392604</v>
      </c>
      <c r="Y101" s="195">
        <f t="shared" si="31"/>
        <v>0.53391736080099506</v>
      </c>
      <c r="Z101" s="195">
        <f t="shared" si="33"/>
        <v>1.3946043780618051</v>
      </c>
      <c r="AA101" s="196">
        <f t="shared" si="34"/>
        <v>0.1699781772184788</v>
      </c>
      <c r="AB101" s="196">
        <f t="shared" si="24"/>
        <v>0.22863921645375551</v>
      </c>
      <c r="AC101" s="196">
        <f t="shared" si="32"/>
        <v>0.39861739367223431</v>
      </c>
      <c r="AD101" s="247">
        <f t="shared" si="29"/>
        <v>0.60138260632776575</v>
      </c>
      <c r="AF101" s="251">
        <f t="shared" si="25"/>
        <v>0.57358063166143614</v>
      </c>
      <c r="AG101" s="251">
        <f t="shared" si="26"/>
        <v>0.42641936833856386</v>
      </c>
    </row>
    <row r="102" spans="1:33" x14ac:dyDescent="0.25">
      <c r="A102" s="206">
        <v>2036</v>
      </c>
      <c r="B102" s="195">
        <f t="shared" si="27"/>
        <v>12.407929989452839</v>
      </c>
      <c r="C102" s="195">
        <f t="shared" si="9"/>
        <v>9.7615260102782564</v>
      </c>
      <c r="D102" s="195">
        <f t="shared" si="10"/>
        <v>15.14412203934925</v>
      </c>
      <c r="E102" s="195">
        <f t="shared" si="11"/>
        <v>37.31357803908034</v>
      </c>
      <c r="F102" s="221">
        <f t="shared" si="12"/>
        <v>0.3325312296895625</v>
      </c>
      <c r="H102" s="206">
        <v>2036</v>
      </c>
      <c r="I102" s="195">
        <f t="shared" si="13"/>
        <v>7.4902273079170447</v>
      </c>
      <c r="J102" s="195">
        <f t="shared" si="14"/>
        <v>0.6156561643285452</v>
      </c>
      <c r="K102" s="195">
        <f t="shared" si="15"/>
        <v>10.094090551193572</v>
      </c>
      <c r="L102" s="195">
        <f t="shared" si="16"/>
        <v>5.5283730725812799</v>
      </c>
      <c r="M102" s="195">
        <f t="shared" si="17"/>
        <v>15.111278197693272</v>
      </c>
      <c r="O102" s="195">
        <f t="shared" si="18"/>
        <v>8.1058834722455906</v>
      </c>
      <c r="P102" s="196">
        <f t="shared" si="19"/>
        <v>0.92404823404672143</v>
      </c>
      <c r="Q102" s="195">
        <f t="shared" si="20"/>
        <v>30.733741821468122</v>
      </c>
      <c r="R102" s="196">
        <f t="shared" si="21"/>
        <v>0.17987959633081849</v>
      </c>
      <c r="S102" s="464">
        <f t="shared" si="22"/>
        <v>38.839625293713709</v>
      </c>
      <c r="T102" s="196">
        <f t="shared" si="28"/>
        <v>0.20870138192495766</v>
      </c>
      <c r="W102" s="195">
        <f t="shared" si="30"/>
        <v>0.61067039104548471</v>
      </c>
      <c r="X102" s="195">
        <f t="shared" si="23"/>
        <v>0.33256454091531573</v>
      </c>
      <c r="Y102" s="195">
        <f t="shared" si="31"/>
        <v>0.58281232267256655</v>
      </c>
      <c r="Z102" s="195">
        <f t="shared" si="33"/>
        <v>1.526047254633367</v>
      </c>
      <c r="AA102" s="196">
        <f t="shared" si="34"/>
        <v>0.16993073202617728</v>
      </c>
      <c r="AB102" s="196">
        <f t="shared" si="24"/>
        <v>0.23023406574884206</v>
      </c>
      <c r="AC102" s="196">
        <f t="shared" si="32"/>
        <v>0.40016479777501929</v>
      </c>
      <c r="AD102" s="247">
        <f t="shared" si="29"/>
        <v>0.59983520222498066</v>
      </c>
      <c r="AF102" s="251">
        <f t="shared" si="25"/>
        <v>0.57534812414530345</v>
      </c>
      <c r="AG102" s="251">
        <f t="shared" si="26"/>
        <v>0.4246518758546966</v>
      </c>
    </row>
    <row r="103" spans="1:33" x14ac:dyDescent="0.25">
      <c r="A103" s="206">
        <v>2037</v>
      </c>
      <c r="B103" s="195">
        <f t="shared" si="27"/>
        <v>12.61231983910349</v>
      </c>
      <c r="C103" s="195">
        <f t="shared" si="9"/>
        <v>9.8043025903871257</v>
      </c>
      <c r="D103" s="195">
        <f t="shared" si="10"/>
        <v>15.221774810528476</v>
      </c>
      <c r="E103" s="195">
        <f t="shared" si="11"/>
        <v>37.638397240019088</v>
      </c>
      <c r="F103" s="221">
        <f t="shared" si="12"/>
        <v>0.33509184141596282</v>
      </c>
      <c r="H103" s="206">
        <v>2037</v>
      </c>
      <c r="I103" s="195">
        <f t="shared" si="13"/>
        <v>7.6628839304891372</v>
      </c>
      <c r="J103" s="195">
        <f t="shared" si="14"/>
        <v>0.62680597791311876</v>
      </c>
      <c r="K103" s="195">
        <f t="shared" si="15"/>
        <v>10.16477316040762</v>
      </c>
      <c r="L103" s="195">
        <f t="shared" si="16"/>
        <v>5.6155228219409121</v>
      </c>
      <c r="M103" s="195">
        <f t="shared" si="17"/>
        <v>15.226774392926188</v>
      </c>
      <c r="O103" s="195">
        <f t="shared" si="18"/>
        <v>8.2896899084022557</v>
      </c>
      <c r="P103" s="196">
        <f t="shared" si="19"/>
        <v>0.92438728289730099</v>
      </c>
      <c r="Q103" s="195">
        <f t="shared" si="20"/>
        <v>31.007070375274722</v>
      </c>
      <c r="R103" s="196">
        <f t="shared" si="21"/>
        <v>0.18110459175849045</v>
      </c>
      <c r="S103" s="464">
        <f t="shared" si="22"/>
        <v>39.296760283676974</v>
      </c>
      <c r="T103" s="196">
        <f t="shared" si="28"/>
        <v>0.21095097531094983</v>
      </c>
      <c r="W103" s="195">
        <f t="shared" si="30"/>
        <v>0.66608691332655923</v>
      </c>
      <c r="X103" s="195">
        <f t="shared" si="23"/>
        <v>0.36047057002049421</v>
      </c>
      <c r="Y103" s="195">
        <f t="shared" si="31"/>
        <v>0.63180556031083057</v>
      </c>
      <c r="Z103" s="195">
        <f t="shared" si="33"/>
        <v>1.658363043657884</v>
      </c>
      <c r="AA103" s="196">
        <f t="shared" si="34"/>
        <v>0.16986172047478895</v>
      </c>
      <c r="AB103" s="196">
        <f t="shared" si="24"/>
        <v>0.23179153384361301</v>
      </c>
      <c r="AC103" s="196">
        <f t="shared" si="32"/>
        <v>0.40165325431840199</v>
      </c>
      <c r="AD103" s="247">
        <f t="shared" si="29"/>
        <v>0.59834674568159807</v>
      </c>
      <c r="AF103" s="251">
        <f t="shared" si="25"/>
        <v>0.57709362827635713</v>
      </c>
      <c r="AG103" s="251">
        <f t="shared" si="26"/>
        <v>0.42290637172364287</v>
      </c>
    </row>
    <row r="104" spans="1:33" x14ac:dyDescent="0.25">
      <c r="A104" s="206">
        <v>2038</v>
      </c>
      <c r="B104" s="195">
        <f t="shared" si="27"/>
        <v>12.817168934819238</v>
      </c>
      <c r="C104" s="195">
        <f t="shared" si="9"/>
        <v>9.8463450576669214</v>
      </c>
      <c r="D104" s="195">
        <f t="shared" si="10"/>
        <v>15.298984897196043</v>
      </c>
      <c r="E104" s="195">
        <f t="shared" si="11"/>
        <v>37.962498889682202</v>
      </c>
      <c r="F104" s="221">
        <f t="shared" si="12"/>
        <v>0.33762711385426752</v>
      </c>
      <c r="H104" s="206">
        <v>2038</v>
      </c>
      <c r="I104" s="195">
        <f t="shared" si="13"/>
        <v>7.8369736884043384</v>
      </c>
      <c r="J104" s="195">
        <f t="shared" si="14"/>
        <v>0.63802192390470491</v>
      </c>
      <c r="K104" s="195">
        <f t="shared" si="15"/>
        <v>10.234946174736431</v>
      </c>
      <c r="L104" s="195">
        <f t="shared" si="16"/>
        <v>5.7026518918022919</v>
      </c>
      <c r="M104" s="195">
        <f t="shared" si="17"/>
        <v>15.342037670665285</v>
      </c>
      <c r="O104" s="195">
        <f t="shared" si="18"/>
        <v>8.4749956123090442</v>
      </c>
      <c r="P104" s="196">
        <f t="shared" si="19"/>
        <v>0.92471713814482148</v>
      </c>
      <c r="Q104" s="195">
        <f t="shared" si="20"/>
        <v>31.279635737204003</v>
      </c>
      <c r="R104" s="196">
        <f t="shared" si="21"/>
        <v>0.18231196615309547</v>
      </c>
      <c r="S104" s="464">
        <f t="shared" si="22"/>
        <v>39.754631349513048</v>
      </c>
      <c r="T104" s="196">
        <f t="shared" si="28"/>
        <v>0.2131825984700737</v>
      </c>
      <c r="W104" s="195">
        <f t="shared" si="30"/>
        <v>0.72245664538739263</v>
      </c>
      <c r="X104" s="195">
        <f t="shared" si="23"/>
        <v>0.38860111706950917</v>
      </c>
      <c r="Y104" s="195">
        <f t="shared" si="31"/>
        <v>0.68107469737394766</v>
      </c>
      <c r="Z104" s="195">
        <f t="shared" si="33"/>
        <v>1.7921324598308495</v>
      </c>
      <c r="AA104" s="196">
        <f t="shared" si="34"/>
        <v>0.16978991509208513</v>
      </c>
      <c r="AB104" s="196">
        <f t="shared" si="24"/>
        <v>0.23333689700504173</v>
      </c>
      <c r="AC104" s="196">
        <f t="shared" si="32"/>
        <v>0.40312681209712686</v>
      </c>
      <c r="AD104" s="247">
        <f t="shared" si="29"/>
        <v>0.59687318790287314</v>
      </c>
      <c r="AF104" s="251">
        <f t="shared" si="25"/>
        <v>0.57881760776760982</v>
      </c>
      <c r="AG104" s="251">
        <f t="shared" si="26"/>
        <v>0.42118239223239012</v>
      </c>
    </row>
    <row r="105" spans="1:33" x14ac:dyDescent="0.25">
      <c r="A105" s="206">
        <v>2039</v>
      </c>
      <c r="B105" s="195">
        <f t="shared" si="27"/>
        <v>13.022217345264357</v>
      </c>
      <c r="C105" s="195">
        <f t="shared" si="9"/>
        <v>9.887527584518379</v>
      </c>
      <c r="D105" s="195">
        <f t="shared" si="10"/>
        <v>15.375632506661633</v>
      </c>
      <c r="E105" s="195">
        <f t="shared" si="11"/>
        <v>38.285377436444371</v>
      </c>
      <c r="F105" s="221">
        <f t="shared" si="12"/>
        <v>0.34013553521528905</v>
      </c>
      <c r="H105" s="206">
        <v>2039</v>
      </c>
      <c r="I105" s="195">
        <f t="shared" si="13"/>
        <v>8.0126402904149785</v>
      </c>
      <c r="J105" s="195">
        <f t="shared" si="14"/>
        <v>0.64932075924782151</v>
      </c>
      <c r="K105" s="195">
        <f t="shared" si="15"/>
        <v>10.304692727211654</v>
      </c>
      <c r="L105" s="195">
        <f t="shared" si="16"/>
        <v>5.7898419970691695</v>
      </c>
      <c r="M105" s="195">
        <f t="shared" si="17"/>
        <v>15.457276674128751</v>
      </c>
      <c r="O105" s="195">
        <f t="shared" si="18"/>
        <v>8.6619610496627999</v>
      </c>
      <c r="P105" s="196">
        <f t="shared" si="19"/>
        <v>0.92503767270194559</v>
      </c>
      <c r="Q105" s="195">
        <f t="shared" si="20"/>
        <v>31.551811398409576</v>
      </c>
      <c r="R105" s="196">
        <f t="shared" si="21"/>
        <v>0.18350268147714069</v>
      </c>
      <c r="S105" s="464">
        <f t="shared" si="22"/>
        <v>40.213772448072376</v>
      </c>
      <c r="T105" s="196">
        <f t="shared" si="28"/>
        <v>0.21539787297617749</v>
      </c>
      <c r="W105" s="195">
        <f t="shared" si="30"/>
        <v>0.78026494221979092</v>
      </c>
      <c r="X105" s="195">
        <f t="shared" si="23"/>
        <v>0.41716514269327476</v>
      </c>
      <c r="Y105" s="195">
        <f t="shared" si="31"/>
        <v>0.7309649267149414</v>
      </c>
      <c r="Z105" s="195">
        <f t="shared" si="33"/>
        <v>1.9283950116280071</v>
      </c>
      <c r="AA105" s="196">
        <f t="shared" si="34"/>
        <v>0.16972882648766183</v>
      </c>
      <c r="AB105" s="196">
        <f t="shared" si="24"/>
        <v>0.23489000809492122</v>
      </c>
      <c r="AC105" s="196">
        <f t="shared" si="32"/>
        <v>0.40461883458258308</v>
      </c>
      <c r="AD105" s="247">
        <f t="shared" si="29"/>
        <v>0.59538116541741692</v>
      </c>
      <c r="AF105" s="251">
        <f t="shared" si="25"/>
        <v>0.58052168613762334</v>
      </c>
      <c r="AG105" s="251">
        <f t="shared" si="26"/>
        <v>0.41947831386237661</v>
      </c>
    </row>
    <row r="106" spans="1:33" x14ac:dyDescent="0.25">
      <c r="A106" s="206">
        <v>2040</v>
      </c>
      <c r="B106" s="195">
        <f t="shared" si="27"/>
        <v>13.227205139103122</v>
      </c>
      <c r="C106" s="195">
        <f t="shared" si="9"/>
        <v>9.9277243433422395</v>
      </c>
      <c r="D106" s="195">
        <f t="shared" si="10"/>
        <v>15.451597846234925</v>
      </c>
      <c r="E106" s="195">
        <f t="shared" si="11"/>
        <v>38.606527328680286</v>
      </c>
      <c r="F106" s="221">
        <f t="shared" si="12"/>
        <v>0.34261577133037818</v>
      </c>
      <c r="H106" s="206">
        <v>2040</v>
      </c>
      <c r="I106" s="195">
        <f t="shared" si="13"/>
        <v>8.1899839899900364</v>
      </c>
      <c r="J106" s="195">
        <f t="shared" si="14"/>
        <v>0.66071412836241794</v>
      </c>
      <c r="K106" s="195">
        <f t="shared" si="15"/>
        <v>10.374060786329297</v>
      </c>
      <c r="L106" s="195">
        <f t="shared" si="16"/>
        <v>5.8771444829742858</v>
      </c>
      <c r="M106" s="195">
        <f t="shared" si="17"/>
        <v>15.572636472265163</v>
      </c>
      <c r="O106" s="195">
        <f t="shared" si="18"/>
        <v>8.8506981183524545</v>
      </c>
      <c r="P106" s="196">
        <f t="shared" si="19"/>
        <v>0.92534892507604705</v>
      </c>
      <c r="Q106" s="195">
        <f t="shared" si="20"/>
        <v>31.823841741568742</v>
      </c>
      <c r="R106" s="196">
        <f t="shared" si="21"/>
        <v>0.18467740415191539</v>
      </c>
      <c r="S106" s="464">
        <f t="shared" si="22"/>
        <v>40.674539859921197</v>
      </c>
      <c r="T106" s="196">
        <f t="shared" si="28"/>
        <v>0.2175979900161949</v>
      </c>
      <c r="W106" s="195">
        <f t="shared" si="30"/>
        <v>0.83992333386120066</v>
      </c>
      <c r="X106" s="195">
        <f t="shared" si="23"/>
        <v>0.44633644298705732</v>
      </c>
      <c r="Y106" s="195">
        <f t="shared" si="31"/>
        <v>0.7817527543926559</v>
      </c>
      <c r="Z106" s="195">
        <f t="shared" si="33"/>
        <v>2.0680125312409139</v>
      </c>
      <c r="AA106" s="196">
        <f t="shared" si="34"/>
        <v>0.16968653995294905</v>
      </c>
      <c r="AB106" s="196">
        <f t="shared" si="24"/>
        <v>0.23646348146747409</v>
      </c>
      <c r="AC106" s="196">
        <f t="shared" si="32"/>
        <v>0.40615002142042317</v>
      </c>
      <c r="AD106" s="247">
        <f t="shared" si="29"/>
        <v>0.59384997857957689</v>
      </c>
      <c r="AF106" s="251">
        <f t="shared" si="25"/>
        <v>0.58220723623377746</v>
      </c>
      <c r="AG106" s="251">
        <f t="shared" si="26"/>
        <v>0.41779276376622254</v>
      </c>
    </row>
    <row r="107" spans="1:33" x14ac:dyDescent="0.25">
      <c r="A107" s="206">
        <v>2041</v>
      </c>
      <c r="B107" s="195">
        <f t="shared" si="27"/>
        <v>13.431872384999799</v>
      </c>
      <c r="C107" s="195">
        <f t="shared" si="9"/>
        <v>9.9668095065392421</v>
      </c>
      <c r="D107" s="195">
        <f t="shared" si="10"/>
        <v>15.526761123225601</v>
      </c>
      <c r="E107" s="195">
        <f t="shared" si="11"/>
        <v>38.925443014764639</v>
      </c>
      <c r="F107" s="221">
        <f t="shared" si="12"/>
        <v>0.34506665421649829</v>
      </c>
      <c r="H107" s="206">
        <v>2041</v>
      </c>
      <c r="I107" s="195">
        <f t="shared" si="13"/>
        <v>8.3689060819820345</v>
      </c>
      <c r="J107" s="195">
        <f t="shared" si="14"/>
        <v>0.67219267625627066</v>
      </c>
      <c r="K107" s="195">
        <f t="shared" si="15"/>
        <v>10.442947731270571</v>
      </c>
      <c r="L107" s="195">
        <f t="shared" si="16"/>
        <v>5.9645077512795339</v>
      </c>
      <c r="M107" s="195">
        <f t="shared" si="17"/>
        <v>15.688059183578741</v>
      </c>
      <c r="O107" s="195">
        <f t="shared" si="18"/>
        <v>9.0410987582383058</v>
      </c>
      <c r="P107" s="196">
        <f t="shared" si="19"/>
        <v>0.92565143969434405</v>
      </c>
      <c r="Q107" s="195">
        <f t="shared" si="20"/>
        <v>32.09551466612885</v>
      </c>
      <c r="R107" s="196">
        <f t="shared" si="21"/>
        <v>0.18583617721432019</v>
      </c>
      <c r="S107" s="464">
        <f t="shared" si="22"/>
        <v>41.136613424367155</v>
      </c>
      <c r="T107" s="196">
        <f t="shared" si="28"/>
        <v>0.21978228166159242</v>
      </c>
      <c r="W107" s="195">
        <f t="shared" si="30"/>
        <v>0.90154144826176896</v>
      </c>
      <c r="X107" s="195">
        <f t="shared" si="23"/>
        <v>0.47613822473132927</v>
      </c>
      <c r="Y107" s="195">
        <f t="shared" si="31"/>
        <v>0.83349073660940931</v>
      </c>
      <c r="Z107" s="195">
        <f t="shared" si="33"/>
        <v>2.2111704096025075</v>
      </c>
      <c r="AA107" s="196">
        <f t="shared" si="34"/>
        <v>0.16966351162156612</v>
      </c>
      <c r="AB107" s="196">
        <f t="shared" si="24"/>
        <v>0.23805786722224498</v>
      </c>
      <c r="AC107" s="196">
        <f t="shared" si="32"/>
        <v>0.4077213788438111</v>
      </c>
      <c r="AD107" s="247">
        <f t="shared" si="29"/>
        <v>0.5922786211561889</v>
      </c>
      <c r="AF107" s="251">
        <f t="shared" si="25"/>
        <v>0.58387388931459394</v>
      </c>
      <c r="AG107" s="251">
        <f t="shared" si="26"/>
        <v>0.41612611068540606</v>
      </c>
    </row>
    <row r="108" spans="1:33" x14ac:dyDescent="0.25">
      <c r="A108" s="206">
        <v>2042</v>
      </c>
      <c r="B108" s="195">
        <f t="shared" si="27"/>
        <v>13.635959151618675</v>
      </c>
      <c r="C108" s="195">
        <f t="shared" si="9"/>
        <v>10.004657246510124</v>
      </c>
      <c r="D108" s="195">
        <f t="shared" si="10"/>
        <v>15.601002544943336</v>
      </c>
      <c r="E108" s="195">
        <f t="shared" si="11"/>
        <v>39.24161894307214</v>
      </c>
      <c r="F108" s="221">
        <f t="shared" si="12"/>
        <v>0.34748717099058468</v>
      </c>
      <c r="H108" s="206">
        <v>2042</v>
      </c>
      <c r="I108" s="195">
        <f t="shared" si="13"/>
        <v>8.5492717283856265</v>
      </c>
      <c r="J108" s="195">
        <f t="shared" si="14"/>
        <v>0.68374028974892342</v>
      </c>
      <c r="K108" s="195">
        <f t="shared" si="15"/>
        <v>10.511211479817131</v>
      </c>
      <c r="L108" s="195">
        <f t="shared" si="16"/>
        <v>6.0518556096194516</v>
      </c>
      <c r="M108" s="195">
        <f t="shared" si="17"/>
        <v>15.803393446497864</v>
      </c>
      <c r="O108" s="195">
        <f t="shared" si="18"/>
        <v>9.2330120181345503</v>
      </c>
      <c r="P108" s="196">
        <f t="shared" si="19"/>
        <v>0.92594612804510701</v>
      </c>
      <c r="Q108" s="195">
        <f t="shared" si="20"/>
        <v>32.366460535934451</v>
      </c>
      <c r="R108" s="196">
        <f t="shared" si="21"/>
        <v>0.18697922199124789</v>
      </c>
      <c r="S108" s="464">
        <f t="shared" si="22"/>
        <v>41.599472554069003</v>
      </c>
      <c r="T108" s="196">
        <f t="shared" si="28"/>
        <v>0.22195021838639717</v>
      </c>
      <c r="W108" s="195">
        <f t="shared" si="30"/>
        <v>0.96516818638640345</v>
      </c>
      <c r="X108" s="195">
        <f t="shared" si="23"/>
        <v>0.506554233307007</v>
      </c>
      <c r="Y108" s="195">
        <f t="shared" si="31"/>
        <v>0.88613119130345019</v>
      </c>
      <c r="Z108" s="195">
        <f t="shared" si="33"/>
        <v>2.3578536109968606</v>
      </c>
      <c r="AA108" s="196">
        <f t="shared" si="34"/>
        <v>0.16966346390402778</v>
      </c>
      <c r="AB108" s="196">
        <f t="shared" si="24"/>
        <v>0.23967839764536106</v>
      </c>
      <c r="AC108" s="196">
        <f t="shared" si="32"/>
        <v>0.40934186154938884</v>
      </c>
      <c r="AD108" s="247">
        <f t="shared" si="29"/>
        <v>0.59065813845061121</v>
      </c>
      <c r="AF108" s="251">
        <f t="shared" si="25"/>
        <v>0.58552134574793013</v>
      </c>
      <c r="AG108" s="251">
        <f t="shared" si="26"/>
        <v>0.41447865425206981</v>
      </c>
    </row>
    <row r="109" spans="1:33" x14ac:dyDescent="0.25">
      <c r="A109" s="206">
        <v>2043</v>
      </c>
      <c r="B109" s="195">
        <f t="shared" si="27"/>
        <v>13.839205507624015</v>
      </c>
      <c r="C109" s="195">
        <f t="shared" si="9"/>
        <v>10.041141735655625</v>
      </c>
      <c r="D109" s="195">
        <f t="shared" si="10"/>
        <v>15.674202318697812</v>
      </c>
      <c r="E109" s="195">
        <f t="shared" si="11"/>
        <v>39.554549561977453</v>
      </c>
      <c r="F109" s="221">
        <f t="shared" si="12"/>
        <v>0.34987645317359928</v>
      </c>
      <c r="H109" s="206">
        <v>2043</v>
      </c>
      <c r="I109" s="195">
        <f t="shared" si="13"/>
        <v>8.7311261283577082</v>
      </c>
      <c r="J109" s="195">
        <f t="shared" si="14"/>
        <v>0.69535467128893869</v>
      </c>
      <c r="K109" s="195">
        <f t="shared" si="15"/>
        <v>10.578833022291573</v>
      </c>
      <c r="L109" s="195">
        <f t="shared" si="16"/>
        <v>6.1391871349965328</v>
      </c>
      <c r="M109" s="195">
        <f t="shared" si="17"/>
        <v>15.918618132346067</v>
      </c>
      <c r="O109" s="195">
        <f t="shared" si="18"/>
        <v>9.4264807996466473</v>
      </c>
      <c r="P109" s="196">
        <f t="shared" si="19"/>
        <v>0.92623390573128794</v>
      </c>
      <c r="Q109" s="195">
        <f t="shared" si="20"/>
        <v>32.636638289634178</v>
      </c>
      <c r="R109" s="196">
        <f t="shared" si="21"/>
        <v>0.18810721498072977</v>
      </c>
      <c r="S109" s="464">
        <f t="shared" si="22"/>
        <v>42.063119089280825</v>
      </c>
      <c r="T109" s="196">
        <f t="shared" si="28"/>
        <v>0.2241032287605331</v>
      </c>
      <c r="W109" s="195">
        <f t="shared" si="30"/>
        <v>1.0311077557302255</v>
      </c>
      <c r="X109" s="195">
        <f t="shared" si="23"/>
        <v>0.53769128663594756</v>
      </c>
      <c r="Y109" s="195">
        <f t="shared" si="31"/>
        <v>0.93977048493719195</v>
      </c>
      <c r="Z109" s="195">
        <f t="shared" si="33"/>
        <v>2.508569527303365</v>
      </c>
      <c r="AA109" s="196">
        <f t="shared" si="34"/>
        <v>0.16969485116290675</v>
      </c>
      <c r="AB109" s="196">
        <f t="shared" si="24"/>
        <v>0.24133930376387916</v>
      </c>
      <c r="AC109" s="196">
        <f t="shared" si="32"/>
        <v>0.41103415492678591</v>
      </c>
      <c r="AD109" s="247">
        <f t="shared" si="29"/>
        <v>0.58896584507321403</v>
      </c>
      <c r="AF109" s="251">
        <f t="shared" si="25"/>
        <v>0.58715145899947641</v>
      </c>
      <c r="AG109" s="251">
        <f t="shared" si="26"/>
        <v>0.41284854100052359</v>
      </c>
    </row>
    <row r="110" spans="1:33" x14ac:dyDescent="0.25">
      <c r="A110" s="206">
        <v>2044</v>
      </c>
      <c r="B110" s="195">
        <f t="shared" si="27"/>
        <v>14.041351521680101</v>
      </c>
      <c r="C110" s="195">
        <f t="shared" si="9"/>
        <v>10.076137146376483</v>
      </c>
      <c r="D110" s="195">
        <f t="shared" si="10"/>
        <v>15.746240651798711</v>
      </c>
      <c r="E110" s="195">
        <f t="shared" si="11"/>
        <v>39.863729319855295</v>
      </c>
      <c r="F110" s="221">
        <f t="shared" si="12"/>
        <v>0.35223376641498505</v>
      </c>
      <c r="H110" s="206">
        <v>2044</v>
      </c>
      <c r="I110" s="195">
        <f t="shared" si="13"/>
        <v>8.9145531849073851</v>
      </c>
      <c r="J110" s="195">
        <f t="shared" si="14"/>
        <v>0.70703480402691921</v>
      </c>
      <c r="K110" s="195">
        <f t="shared" si="15"/>
        <v>10.645816889364482</v>
      </c>
      <c r="L110" s="195">
        <f t="shared" si="16"/>
        <v>6.2265105554751869</v>
      </c>
      <c r="M110" s="195">
        <f t="shared" si="17"/>
        <v>16.033714385504993</v>
      </c>
      <c r="O110" s="195">
        <f t="shared" si="18"/>
        <v>9.621587988934305</v>
      </c>
      <c r="P110" s="196">
        <f t="shared" si="19"/>
        <v>0.92651578878246776</v>
      </c>
      <c r="Q110" s="195">
        <f t="shared" si="20"/>
        <v>32.906041830344662</v>
      </c>
      <c r="R110" s="196">
        <f t="shared" si="21"/>
        <v>0.1892208910320336</v>
      </c>
      <c r="S110" s="464">
        <f t="shared" si="22"/>
        <v>42.527629819278971</v>
      </c>
      <c r="T110" s="196">
        <f t="shared" si="28"/>
        <v>0.22624322187296148</v>
      </c>
      <c r="W110" s="195">
        <f t="shared" si="30"/>
        <v>1.0997122187024715</v>
      </c>
      <c r="X110" s="195">
        <f t="shared" si="23"/>
        <v>0.56967974298799895</v>
      </c>
      <c r="Y110" s="195">
        <f t="shared" si="31"/>
        <v>0.99450853773319992</v>
      </c>
      <c r="Z110" s="195">
        <f t="shared" si="33"/>
        <v>2.6639004994236704</v>
      </c>
      <c r="AA110" s="196">
        <f t="shared" si="34"/>
        <v>0.16976548249456047</v>
      </c>
      <c r="AB110" s="196">
        <f t="shared" si="24"/>
        <v>0.24305482327151157</v>
      </c>
      <c r="AC110" s="196">
        <f t="shared" si="32"/>
        <v>0.41282030576607198</v>
      </c>
      <c r="AD110" s="247">
        <f t="shared" si="29"/>
        <v>0.58717969423392802</v>
      </c>
      <c r="AF110" s="251">
        <f t="shared" si="25"/>
        <v>0.58876663738832791</v>
      </c>
      <c r="AG110" s="251">
        <f t="shared" si="26"/>
        <v>0.41123336261167215</v>
      </c>
    </row>
    <row r="111" spans="1:33" x14ac:dyDescent="0.25">
      <c r="A111" s="206">
        <v>2045</v>
      </c>
      <c r="B111" s="195">
        <f t="shared" si="27"/>
        <v>14.242137262451205</v>
      </c>
      <c r="C111" s="195">
        <f t="shared" si="9"/>
        <v>10.109517651073439</v>
      </c>
      <c r="D111" s="195">
        <f t="shared" si="10"/>
        <v>15.816997751555705</v>
      </c>
      <c r="E111" s="195">
        <f t="shared" si="11"/>
        <v>40.168652665080351</v>
      </c>
      <c r="F111" s="221">
        <f t="shared" si="12"/>
        <v>0.35455850065970135</v>
      </c>
      <c r="H111" s="206">
        <v>2045</v>
      </c>
      <c r="I111" s="195">
        <f t="shared" si="13"/>
        <v>9.0996048603516222</v>
      </c>
      <c r="J111" s="195">
        <f t="shared" si="14"/>
        <v>0.71877811401626412</v>
      </c>
      <c r="K111" s="195">
        <f t="shared" si="15"/>
        <v>10.712149606826371</v>
      </c>
      <c r="L111" s="195">
        <f t="shared" si="16"/>
        <v>6.3138177354291489</v>
      </c>
      <c r="M111" s="195">
        <f t="shared" si="17"/>
        <v>16.148675955999998</v>
      </c>
      <c r="O111" s="195">
        <f t="shared" si="18"/>
        <v>9.8183829743678857</v>
      </c>
      <c r="P111" s="196">
        <f t="shared" si="19"/>
        <v>0.92679261789922807</v>
      </c>
      <c r="Q111" s="195">
        <f t="shared" si="20"/>
        <v>33.174643298255518</v>
      </c>
      <c r="R111" s="196">
        <f t="shared" si="21"/>
        <v>0.1903205915031243</v>
      </c>
      <c r="S111" s="464">
        <f t="shared" si="22"/>
        <v>42.993026272623403</v>
      </c>
      <c r="T111" s="196">
        <f t="shared" si="28"/>
        <v>0.22837152500287985</v>
      </c>
      <c r="W111" s="195">
        <f t="shared" si="30"/>
        <v>1.1712853333295659</v>
      </c>
      <c r="X111" s="195">
        <f t="shared" si="23"/>
        <v>0.6026319557529316</v>
      </c>
      <c r="Y111" s="195">
        <f t="shared" si="31"/>
        <v>1.0504563184605562</v>
      </c>
      <c r="Z111" s="195">
        <f t="shared" si="33"/>
        <v>2.8243736075430537</v>
      </c>
      <c r="AA111" s="196">
        <f t="shared" si="34"/>
        <v>0.16987658251351659</v>
      </c>
      <c r="AB111" s="196">
        <f t="shared" si="24"/>
        <v>0.24482964834822721</v>
      </c>
      <c r="AC111" s="196">
        <f t="shared" si="32"/>
        <v>0.4147062308617438</v>
      </c>
      <c r="AD111" s="247">
        <f t="shared" si="29"/>
        <v>0.58529376913825615</v>
      </c>
      <c r="AF111" s="251">
        <f t="shared" si="25"/>
        <v>0.59036886867959637</v>
      </c>
      <c r="AG111" s="251">
        <f t="shared" si="26"/>
        <v>0.40963113132040357</v>
      </c>
    </row>
    <row r="112" spans="1:33" x14ac:dyDescent="0.25">
      <c r="A112" s="206">
        <v>2046</v>
      </c>
      <c r="B112" s="195">
        <f t="shared" si="27"/>
        <v>14.441302798601606</v>
      </c>
      <c r="C112" s="195">
        <f t="shared" si="9"/>
        <v>10.141157422147229</v>
      </c>
      <c r="D112" s="195">
        <f t="shared" si="10"/>
        <v>15.88635382527848</v>
      </c>
      <c r="E112" s="195">
        <f t="shared" si="11"/>
        <v>40.468814046027319</v>
      </c>
      <c r="F112" s="221">
        <f t="shared" si="12"/>
        <v>0.35685016077260751</v>
      </c>
      <c r="H112" s="206">
        <v>2046</v>
      </c>
      <c r="I112" s="195">
        <f t="shared" si="13"/>
        <v>9.2862345092074516</v>
      </c>
      <c r="J112" s="195">
        <f t="shared" si="14"/>
        <v>0.73057722002561287</v>
      </c>
      <c r="K112" s="195">
        <f t="shared" si="15"/>
        <v>10.777773222025385</v>
      </c>
      <c r="L112" s="195">
        <f t="shared" si="16"/>
        <v>6.4010530904302172</v>
      </c>
      <c r="M112" s="195">
        <f t="shared" si="17"/>
        <v>16.263471176263842</v>
      </c>
      <c r="O112" s="195">
        <f t="shared" si="18"/>
        <v>10.016811729233064</v>
      </c>
      <c r="P112" s="196">
        <f t="shared" si="19"/>
        <v>0.92706489452192697</v>
      </c>
      <c r="Q112" s="195">
        <f t="shared" si="20"/>
        <v>33.442297488719447</v>
      </c>
      <c r="R112" s="196">
        <f t="shared" si="21"/>
        <v>0.19140590124196405</v>
      </c>
      <c r="S112" s="464">
        <f t="shared" si="22"/>
        <v>43.459109217952509</v>
      </c>
      <c r="T112" s="196">
        <f t="shared" si="28"/>
        <v>0.23048819705432946</v>
      </c>
      <c r="W112" s="195">
        <f t="shared" si="30"/>
        <v>1.2459848010360624</v>
      </c>
      <c r="X112" s="195">
        <f t="shared" si="23"/>
        <v>0.63661579987815564</v>
      </c>
      <c r="Y112" s="195">
        <f t="shared" si="31"/>
        <v>1.107694571010974</v>
      </c>
      <c r="Z112" s="195">
        <f t="shared" si="33"/>
        <v>2.990295171925192</v>
      </c>
      <c r="AA112" s="196">
        <f t="shared" si="34"/>
        <v>0.17002087841315938</v>
      </c>
      <c r="AB112" s="196">
        <f t="shared" si="24"/>
        <v>0.2466553121964388</v>
      </c>
      <c r="AC112" s="196">
        <f t="shared" si="32"/>
        <v>0.41667619060959815</v>
      </c>
      <c r="AD112" s="247">
        <f t="shared" si="29"/>
        <v>0.58332380939040185</v>
      </c>
      <c r="AF112" s="251">
        <f t="shared" si="25"/>
        <v>0.59195921858549572</v>
      </c>
      <c r="AG112" s="251">
        <f t="shared" si="26"/>
        <v>0.40804078141450428</v>
      </c>
    </row>
    <row r="113" spans="1:53" x14ac:dyDescent="0.25">
      <c r="A113" s="206">
        <v>2047</v>
      </c>
      <c r="B113" s="195">
        <f t="shared" si="27"/>
        <v>14.638588198795569</v>
      </c>
      <c r="C113" s="195">
        <f t="shared" si="9"/>
        <v>10.170930631998592</v>
      </c>
      <c r="D113" s="195">
        <f t="shared" si="10"/>
        <v>15.954189080276715</v>
      </c>
      <c r="E113" s="195">
        <f t="shared" si="11"/>
        <v>40.763707911070874</v>
      </c>
      <c r="F113" s="221">
        <f t="shared" si="12"/>
        <v>0.35910835762857396</v>
      </c>
      <c r="H113" s="206">
        <v>2047</v>
      </c>
      <c r="I113" s="195">
        <f t="shared" si="13"/>
        <v>9.4743628218941822</v>
      </c>
      <c r="J113" s="195">
        <f t="shared" si="14"/>
        <v>0.7424230907026983</v>
      </c>
      <c r="K113" s="195">
        <f t="shared" si="15"/>
        <v>10.84260054559484</v>
      </c>
      <c r="L113" s="195">
        <f t="shared" si="16"/>
        <v>6.4881648815569566</v>
      </c>
      <c r="M113" s="195">
        <f t="shared" si="17"/>
        <v>16.378100876131491</v>
      </c>
      <c r="O113" s="195">
        <f t="shared" si="18"/>
        <v>10.21678591259688</v>
      </c>
      <c r="P113" s="196">
        <f t="shared" si="19"/>
        <v>0.92733300892726744</v>
      </c>
      <c r="Q113" s="195">
        <f t="shared" si="20"/>
        <v>33.708866303283287</v>
      </c>
      <c r="R113" s="196">
        <f t="shared" si="21"/>
        <v>0.19247650820357021</v>
      </c>
      <c r="S113" s="464">
        <f t="shared" si="22"/>
        <v>43.925652215880163</v>
      </c>
      <c r="T113" s="196">
        <f t="shared" si="28"/>
        <v>0.23259269691397477</v>
      </c>
      <c r="W113" s="195">
        <f t="shared" si="30"/>
        <v>1.32393950465557</v>
      </c>
      <c r="X113" s="195">
        <f t="shared" si="23"/>
        <v>0.67166991359624717</v>
      </c>
      <c r="Y113" s="195">
        <f t="shared" si="31"/>
        <v>1.1663348865574736</v>
      </c>
      <c r="Z113" s="195">
        <f t="shared" si="33"/>
        <v>3.1619443048092908</v>
      </c>
      <c r="AA113" s="196">
        <f t="shared" si="34"/>
        <v>0.17019003953324141</v>
      </c>
      <c r="AB113" s="196">
        <f t="shared" si="24"/>
        <v>0.24852053125128162</v>
      </c>
      <c r="AC113" s="196">
        <f t="shared" si="32"/>
        <v>0.41871057078452301</v>
      </c>
      <c r="AD113" s="247">
        <f t="shared" si="29"/>
        <v>0.58128942921547699</v>
      </c>
      <c r="AF113" s="251">
        <f t="shared" si="25"/>
        <v>0.59353775278622078</v>
      </c>
      <c r="AG113" s="251">
        <f t="shared" si="26"/>
        <v>0.40646224721377922</v>
      </c>
    </row>
    <row r="114" spans="1:53" x14ac:dyDescent="0.25">
      <c r="A114" s="206">
        <v>2048</v>
      </c>
      <c r="B114" s="195">
        <f t="shared" si="27"/>
        <v>14.833733531697378</v>
      </c>
      <c r="C114" s="195">
        <f t="shared" si="9"/>
        <v>10.198711453028269</v>
      </c>
      <c r="D114" s="195">
        <f t="shared" si="10"/>
        <v>16.020383723860085</v>
      </c>
      <c r="E114" s="195">
        <f t="shared" si="11"/>
        <v>41.052828708585729</v>
      </c>
      <c r="F114" s="221">
        <f t="shared" si="12"/>
        <v>0.36133279967124587</v>
      </c>
      <c r="H114" s="206">
        <v>2048</v>
      </c>
      <c r="I114" s="195">
        <f t="shared" si="13"/>
        <v>9.6639679116239812</v>
      </c>
      <c r="J114" s="195">
        <f t="shared" si="14"/>
        <v>0.75430789441529278</v>
      </c>
      <c r="K114" s="195">
        <f t="shared" si="15"/>
        <v>10.906553821405808</v>
      </c>
      <c r="L114" s="195">
        <f t="shared" si="16"/>
        <v>6.5751502830094708</v>
      </c>
      <c r="M114" s="195">
        <f t="shared" si="17"/>
        <v>16.492634989195448</v>
      </c>
      <c r="O114" s="195">
        <f t="shared" si="18"/>
        <v>10.418275806039274</v>
      </c>
      <c r="P114" s="196">
        <f t="shared" si="19"/>
        <v>0.92759762666505385</v>
      </c>
      <c r="Q114" s="195">
        <f t="shared" si="20"/>
        <v>33.974339093610723</v>
      </c>
      <c r="R114" s="196">
        <f t="shared" si="21"/>
        <v>0.19353283856067727</v>
      </c>
      <c r="S114" s="464">
        <f t="shared" si="22"/>
        <v>44.392614899649999</v>
      </c>
      <c r="T114" s="196">
        <f t="shared" si="28"/>
        <v>0.2346848868801692</v>
      </c>
      <c r="W114" s="195">
        <f t="shared" si="30"/>
        <v>1.4053846629360738</v>
      </c>
      <c r="X114" s="195">
        <f t="shared" si="23"/>
        <v>0.70784236837753944</v>
      </c>
      <c r="Y114" s="195">
        <f t="shared" si="31"/>
        <v>1.2265591597506571</v>
      </c>
      <c r="Z114" s="195">
        <f t="shared" si="33"/>
        <v>3.3397861910642703</v>
      </c>
      <c r="AA114" s="196">
        <f t="shared" si="34"/>
        <v>0.17038045976723845</v>
      </c>
      <c r="AB114" s="196">
        <f t="shared" si="24"/>
        <v>0.25042032882702425</v>
      </c>
      <c r="AC114" s="196">
        <f t="shared" si="32"/>
        <v>0.42080078859426268</v>
      </c>
      <c r="AD114" s="247">
        <f t="shared" si="29"/>
        <v>0.57919921140573738</v>
      </c>
      <c r="AF114" s="251">
        <f t="shared" si="25"/>
        <v>0.59510422892405801</v>
      </c>
      <c r="AG114" s="251">
        <f t="shared" si="26"/>
        <v>0.40489577107594199</v>
      </c>
    </row>
    <row r="115" spans="1:53" x14ac:dyDescent="0.25">
      <c r="A115" s="206">
        <v>2049</v>
      </c>
      <c r="B115" s="195">
        <f t="shared" si="27"/>
        <v>15.026478865971306</v>
      </c>
      <c r="C115" s="195">
        <f t="shared" si="9"/>
        <v>10.224374057636997</v>
      </c>
      <c r="D115" s="195">
        <f t="shared" si="10"/>
        <v>16.084817963338274</v>
      </c>
      <c r="E115" s="195">
        <f t="shared" si="11"/>
        <v>41.335670886946573</v>
      </c>
      <c r="F115" s="221">
        <f t="shared" si="12"/>
        <v>0.36352328493878472</v>
      </c>
      <c r="H115" s="206">
        <v>2049</v>
      </c>
      <c r="I115" s="195">
        <f t="shared" si="13"/>
        <v>9.8550255453883402</v>
      </c>
      <c r="J115" s="195">
        <f t="shared" si="14"/>
        <v>0.76622276648354937</v>
      </c>
      <c r="K115" s="195">
        <f t="shared" si="15"/>
        <v>10.969543524429959</v>
      </c>
      <c r="L115" s="195">
        <f t="shared" si="16"/>
        <v>6.6620169657185677</v>
      </c>
      <c r="M115" s="195">
        <f t="shared" si="17"/>
        <v>16.607179753682971</v>
      </c>
      <c r="O115" s="195">
        <f t="shared" si="18"/>
        <v>10.62124831187189</v>
      </c>
      <c r="P115" s="196">
        <f t="shared" si="19"/>
        <v>0.9278594432608166</v>
      </c>
      <c r="Q115" s="195">
        <f t="shared" si="20"/>
        <v>34.238740243831501</v>
      </c>
      <c r="R115" s="196">
        <f t="shared" si="21"/>
        <v>0.19457541131113332</v>
      </c>
      <c r="S115" s="464">
        <f t="shared" si="22"/>
        <v>44.859988555703389</v>
      </c>
      <c r="T115" s="196">
        <f t="shared" si="28"/>
        <v>0.23676440083535266</v>
      </c>
      <c r="W115" s="195">
        <f t="shared" si="30"/>
        <v>1.4905636451356017</v>
      </c>
      <c r="X115" s="195">
        <f t="shared" si="23"/>
        <v>0.74516946679296225</v>
      </c>
      <c r="Y115" s="195">
        <f t="shared" si="31"/>
        <v>1.2885845568282441</v>
      </c>
      <c r="Z115" s="195">
        <f t="shared" si="33"/>
        <v>3.5243176687568081</v>
      </c>
      <c r="AA115" s="196">
        <f t="shared" si="34"/>
        <v>0.17058817584907407</v>
      </c>
      <c r="AB115" s="196">
        <f t="shared" si="24"/>
        <v>0.25234862645722694</v>
      </c>
      <c r="AC115" s="196">
        <f t="shared" si="32"/>
        <v>0.42293680230630099</v>
      </c>
      <c r="AD115" s="247">
        <f t="shared" si="29"/>
        <v>0.57706319769369907</v>
      </c>
      <c r="AF115" s="251">
        <f t="shared" si="25"/>
        <v>0.59665799968495059</v>
      </c>
      <c r="AG115" s="251">
        <f t="shared" si="26"/>
        <v>0.40334200031504946</v>
      </c>
    </row>
    <row r="116" spans="1:53" ht="13.8" thickBot="1" x14ac:dyDescent="0.3">
      <c r="A116" s="208">
        <v>2050</v>
      </c>
      <c r="B116" s="195">
        <f t="shared" si="27"/>
        <v>15.216564270281626</v>
      </c>
      <c r="C116" s="195">
        <f t="shared" si="9"/>
        <v>10.247792618225514</v>
      </c>
      <c r="D116" s="195">
        <f t="shared" si="10"/>
        <v>16.147372006020959</v>
      </c>
      <c r="E116" s="195">
        <f t="shared" si="11"/>
        <v>41.611728894528099</v>
      </c>
      <c r="F116" s="222">
        <f t="shared" si="12"/>
        <v>0.36567969355107927</v>
      </c>
      <c r="H116" s="208">
        <v>2050</v>
      </c>
      <c r="I116" s="195">
        <f t="shared" si="13"/>
        <v>10.047480177531289</v>
      </c>
      <c r="J116" s="195">
        <f t="shared" si="14"/>
        <v>0.778158158965081</v>
      </c>
      <c r="K116" s="195">
        <f t="shared" si="15"/>
        <v>11.031475564050924</v>
      </c>
      <c r="L116" s="195">
        <f t="shared" si="16"/>
        <v>6.7487415418200865</v>
      </c>
      <c r="M116" s="195">
        <f t="shared" si="17"/>
        <v>16.721807333952825</v>
      </c>
      <c r="O116" s="195">
        <f t="shared" si="18"/>
        <v>10.82563833649637</v>
      </c>
      <c r="P116" s="210">
        <f t="shared" si="19"/>
        <v>0.92811895845978121</v>
      </c>
      <c r="Q116" s="195">
        <f t="shared" si="20"/>
        <v>34.502024439823835</v>
      </c>
      <c r="R116" s="210">
        <f t="shared" si="21"/>
        <v>0.19560421892317648</v>
      </c>
      <c r="S116" s="464">
        <f t="shared" si="22"/>
        <v>45.327662776320203</v>
      </c>
      <c r="T116" s="196">
        <f t="shared" si="28"/>
        <v>0.23883071999361574</v>
      </c>
      <c r="W116" s="195">
        <f t="shared" si="30"/>
        <v>1.5796574490697495</v>
      </c>
      <c r="X116" s="195">
        <f t="shared" si="23"/>
        <v>0.78368294582540976</v>
      </c>
      <c r="Y116" s="195">
        <f t="shared" si="31"/>
        <v>1.3525934868969465</v>
      </c>
      <c r="Z116" s="195">
        <f t="shared" si="33"/>
        <v>3.7159338817921057</v>
      </c>
      <c r="AA116" s="196">
        <f t="shared" si="34"/>
        <v>0.17080718649643958</v>
      </c>
      <c r="AB116" s="196">
        <f t="shared" si="24"/>
        <v>0.25429656920007421</v>
      </c>
      <c r="AC116" s="196">
        <f t="shared" si="32"/>
        <v>0.42510375569651382</v>
      </c>
      <c r="AD116" s="247">
        <f t="shared" si="29"/>
        <v>0.57489624430348618</v>
      </c>
      <c r="AF116" s="251">
        <f t="shared" si="25"/>
        <v>0.59819882979725847</v>
      </c>
      <c r="AG116" s="251">
        <f t="shared" si="26"/>
        <v>0.40180117020274153</v>
      </c>
    </row>
    <row r="117" spans="1:53" x14ac:dyDescent="0.25">
      <c r="A117" s="213">
        <v>2051</v>
      </c>
      <c r="B117" s="195">
        <f t="shared" si="27"/>
        <v>15.403729813292617</v>
      </c>
      <c r="C117" s="195">
        <f t="shared" si="9"/>
        <v>10.26884130719456</v>
      </c>
      <c r="D117" s="195">
        <f t="shared" si="10"/>
        <v>16.207926059217822</v>
      </c>
      <c r="E117" s="195">
        <f t="shared" si="11"/>
        <v>41.880497179705003</v>
      </c>
      <c r="F117" s="214">
        <f t="shared" si="12"/>
        <v>0.36780198064977027</v>
      </c>
      <c r="H117" s="213">
        <v>2051</v>
      </c>
      <c r="I117" s="195">
        <f t="shared" si="13"/>
        <v>10.241235855928348</v>
      </c>
      <c r="J117" s="195">
        <f t="shared" si="14"/>
        <v>0.79010223826420456</v>
      </c>
      <c r="K117" s="195">
        <f t="shared" si="15"/>
        <v>11.092261826510457</v>
      </c>
      <c r="L117" s="195">
        <f t="shared" si="16"/>
        <v>6.835253045117037</v>
      </c>
      <c r="M117" s="195">
        <f t="shared" si="17"/>
        <v>16.836506409717597</v>
      </c>
      <c r="O117" s="195">
        <f t="shared" si="18"/>
        <v>11.031338094192552</v>
      </c>
      <c r="P117" s="214">
        <f t="shared" si="19"/>
        <v>0.92837657303966115</v>
      </c>
      <c r="Q117" s="195">
        <f t="shared" si="20"/>
        <v>34.764021281345094</v>
      </c>
      <c r="R117" s="214">
        <f t="shared" si="21"/>
        <v>0.19661859569695231</v>
      </c>
      <c r="S117" s="464">
        <f t="shared" si="22"/>
        <v>45.795359375537643</v>
      </c>
      <c r="T117" s="196">
        <f t="shared" si="28"/>
        <v>0.24088331753730327</v>
      </c>
      <c r="W117" s="195">
        <f t="shared" si="30"/>
        <v>1.6727590877527696</v>
      </c>
      <c r="X117" s="195">
        <f t="shared" si="23"/>
        <v>0.82342051931589744</v>
      </c>
      <c r="Y117" s="195">
        <f t="shared" si="31"/>
        <v>1.4186825887639785</v>
      </c>
      <c r="Z117" s="195">
        <f t="shared" si="33"/>
        <v>3.9148621958326455</v>
      </c>
      <c r="AA117" s="196">
        <f t="shared" si="34"/>
        <v>0.17103025193350455</v>
      </c>
      <c r="AB117" s="196">
        <f t="shared" si="24"/>
        <v>0.25625403141455672</v>
      </c>
      <c r="AC117" s="196">
        <f t="shared" si="32"/>
        <v>0.42728428334806129</v>
      </c>
      <c r="AD117" s="247">
        <f t="shared" si="29"/>
        <v>0.57271571665193866</v>
      </c>
      <c r="AF117" s="251">
        <f t="shared" si="25"/>
        <v>0.59972725747512423</v>
      </c>
      <c r="AG117" s="251">
        <f t="shared" si="26"/>
        <v>0.40027274252487566</v>
      </c>
    </row>
    <row r="118" spans="1:53" x14ac:dyDescent="0.25">
      <c r="A118" s="194">
        <v>2052</v>
      </c>
      <c r="B118" s="195">
        <f t="shared" si="27"/>
        <v>15.587715563668542</v>
      </c>
      <c r="C118" s="195">
        <f t="shared" si="9"/>
        <v>10.287394296944875</v>
      </c>
      <c r="D118" s="195">
        <f t="shared" si="10"/>
        <v>16.266360330238541</v>
      </c>
      <c r="E118" s="195">
        <f t="shared" si="11"/>
        <v>42.141470190851962</v>
      </c>
      <c r="F118" s="196">
        <f t="shared" si="12"/>
        <v>0.36989016977989325</v>
      </c>
      <c r="H118" s="194">
        <v>2052</v>
      </c>
      <c r="I118" s="195">
        <f t="shared" si="13"/>
        <v>10.436145631397386</v>
      </c>
      <c r="J118" s="195">
        <f t="shared" si="14"/>
        <v>0.80204176243742009</v>
      </c>
      <c r="K118" s="195">
        <f t="shared" si="15"/>
        <v>11.151802167852393</v>
      </c>
      <c r="L118" s="195">
        <f t="shared" si="16"/>
        <v>6.9214370192644044</v>
      </c>
      <c r="M118" s="195">
        <f t="shared" si="17"/>
        <v>16.951233414102077</v>
      </c>
      <c r="O118" s="195">
        <f t="shared" si="18"/>
        <v>11.238187393834806</v>
      </c>
      <c r="P118" s="196">
        <f t="shared" si="19"/>
        <v>0.92863246230638441</v>
      </c>
      <c r="Q118" s="195">
        <f t="shared" si="20"/>
        <v>35.024472601218875</v>
      </c>
      <c r="R118" s="196">
        <f t="shared" si="21"/>
        <v>0.19761716609041913</v>
      </c>
      <c r="S118" s="464">
        <f t="shared" si="22"/>
        <v>46.262659995053681</v>
      </c>
      <c r="T118" s="196">
        <f t="shared" si="28"/>
        <v>0.24292134077539798</v>
      </c>
      <c r="W118" s="195">
        <f t="shared" si="30"/>
        <v>1.7698670869932478</v>
      </c>
      <c r="X118" s="195">
        <f t="shared" si="23"/>
        <v>0.86440787090751847</v>
      </c>
      <c r="Y118" s="195">
        <f t="shared" si="31"/>
        <v>1.4869148463009552</v>
      </c>
      <c r="Z118" s="195">
        <f t="shared" si="33"/>
        <v>4.1211898042017214</v>
      </c>
      <c r="AA118" s="196">
        <f t="shared" si="34"/>
        <v>0.17124782563980892</v>
      </c>
      <c r="AB118" s="196">
        <f t="shared" si="24"/>
        <v>0.25820754309588867</v>
      </c>
      <c r="AC118" s="196">
        <f t="shared" si="32"/>
        <v>0.42945536873569762</v>
      </c>
      <c r="AD118" s="247">
        <f t="shared" si="29"/>
        <v>0.57054463126430233</v>
      </c>
      <c r="AF118" s="251">
        <f t="shared" si="25"/>
        <v>0.60124418482889885</v>
      </c>
      <c r="AG118" s="251">
        <f t="shared" si="26"/>
        <v>0.39875581517110115</v>
      </c>
    </row>
    <row r="119" spans="1:53" x14ac:dyDescent="0.25">
      <c r="A119" s="194">
        <v>2053</v>
      </c>
      <c r="B119" s="195">
        <f t="shared" si="27"/>
        <v>15.768261590073694</v>
      </c>
      <c r="C119" s="195">
        <f t="shared" si="9"/>
        <v>10.303325759877195</v>
      </c>
      <c r="D119" s="195">
        <f t="shared" si="10"/>
        <v>16.322555026392795</v>
      </c>
      <c r="E119" s="195">
        <f t="shared" si="11"/>
        <v>42.394142376343687</v>
      </c>
      <c r="F119" s="196">
        <f t="shared" si="12"/>
        <v>0.37194434669994708</v>
      </c>
      <c r="H119" s="194">
        <v>2053</v>
      </c>
      <c r="I119" s="195">
        <f t="shared" si="13"/>
        <v>10.632022190947414</v>
      </c>
      <c r="J119" s="195">
        <f t="shared" si="14"/>
        <v>0.81396143784678832</v>
      </c>
      <c r="K119" s="195">
        <f t="shared" si="15"/>
        <v>11.20996778394348</v>
      </c>
      <c r="L119" s="195">
        <f t="shared" si="16"/>
        <v>7.0071709538431826</v>
      </c>
      <c r="M119" s="195">
        <f t="shared" si="17"/>
        <v>17.066000061559361</v>
      </c>
      <c r="O119" s="195">
        <f t="shared" si="18"/>
        <v>11.445983628794203</v>
      </c>
      <c r="P119" s="196">
        <f t="shared" si="19"/>
        <v>0.92888672007190898</v>
      </c>
      <c r="Q119" s="195">
        <f t="shared" si="20"/>
        <v>35.28313879934602</v>
      </c>
      <c r="R119" s="196">
        <f t="shared" si="21"/>
        <v>0.19859828780236133</v>
      </c>
      <c r="S119" s="464">
        <f t="shared" si="22"/>
        <v>46.729122428140222</v>
      </c>
      <c r="T119" s="196">
        <f t="shared" si="28"/>
        <v>0.24494326094815436</v>
      </c>
      <c r="W119" s="195">
        <f t="shared" si="30"/>
        <v>1.8709315547169023</v>
      </c>
      <c r="X119" s="195">
        <f t="shared" si="23"/>
        <v>0.90664202406628469</v>
      </c>
      <c r="Y119" s="195">
        <f t="shared" si="31"/>
        <v>1.557406473013355</v>
      </c>
      <c r="Z119" s="195">
        <f t="shared" si="33"/>
        <v>4.334980051796542</v>
      </c>
      <c r="AA119" s="196">
        <f t="shared" si="34"/>
        <v>0.17144893584269286</v>
      </c>
      <c r="AB119" s="196">
        <f t="shared" si="24"/>
        <v>0.26014049072030454</v>
      </c>
      <c r="AC119" s="196">
        <f t="shared" si="32"/>
        <v>0.43158942656299737</v>
      </c>
      <c r="AD119" s="247">
        <f t="shared" si="29"/>
        <v>0.56841057343700263</v>
      </c>
      <c r="AF119" s="251">
        <f t="shared" si="25"/>
        <v>0.60274991626175267</v>
      </c>
      <c r="AG119" s="251">
        <f t="shared" si="26"/>
        <v>0.39725008373824733</v>
      </c>
    </row>
    <row r="120" spans="1:53" x14ac:dyDescent="0.25">
      <c r="A120" s="194">
        <v>2054</v>
      </c>
      <c r="B120" s="195">
        <f t="shared" si="27"/>
        <v>15.945107961172337</v>
      </c>
      <c r="C120" s="195">
        <f t="shared" si="9"/>
        <v>10.316509868392259</v>
      </c>
      <c r="D120" s="195">
        <f t="shared" si="10"/>
        <v>16.37639035499026</v>
      </c>
      <c r="E120" s="195">
        <f t="shared" si="11"/>
        <v>42.638008184554856</v>
      </c>
      <c r="F120" s="196">
        <f t="shared" si="12"/>
        <v>0.37396465360565961</v>
      </c>
      <c r="H120" s="194">
        <v>2054</v>
      </c>
      <c r="I120" s="195">
        <f t="shared" si="13"/>
        <v>10.828638193546746</v>
      </c>
      <c r="J120" s="195">
        <f t="shared" si="14"/>
        <v>0.82584380265597179</v>
      </c>
      <c r="K120" s="195">
        <f t="shared" si="15"/>
        <v>11.266612329636875</v>
      </c>
      <c r="L120" s="195">
        <f t="shared" si="16"/>
        <v>7.0923110350892244</v>
      </c>
      <c r="M120" s="195">
        <f t="shared" si="17"/>
        <v>17.180809705922549</v>
      </c>
      <c r="O120" s="195">
        <f t="shared" si="18"/>
        <v>11.654481996202719</v>
      </c>
      <c r="P120" s="196">
        <f t="shared" si="19"/>
        <v>0.92913938149073894</v>
      </c>
      <c r="Q120" s="195">
        <f t="shared" si="20"/>
        <v>35.539733070648651</v>
      </c>
      <c r="R120" s="196">
        <f t="shared" si="21"/>
        <v>0.19956005356006967</v>
      </c>
      <c r="S120" s="464">
        <f t="shared" si="22"/>
        <v>47.19421506685137</v>
      </c>
      <c r="T120" s="196">
        <f t="shared" si="28"/>
        <v>0.24694725783009541</v>
      </c>
      <c r="W120" s="195">
        <f t="shared" si="30"/>
        <v>1.9758412674636325</v>
      </c>
      <c r="X120" s="195">
        <f t="shared" si="23"/>
        <v>0.95010246124461517</v>
      </c>
      <c r="Y120" s="195">
        <f t="shared" si="31"/>
        <v>1.6302631535882597</v>
      </c>
      <c r="Z120" s="195">
        <f t="shared" si="33"/>
        <v>4.5562068822965074</v>
      </c>
      <c r="AA120" s="196">
        <f t="shared" si="34"/>
        <v>0.17162295688263299</v>
      </c>
      <c r="AB120" s="196">
        <f t="shared" si="24"/>
        <v>0.26203629488245167</v>
      </c>
      <c r="AC120" s="196">
        <f t="shared" si="32"/>
        <v>0.43365925176508463</v>
      </c>
      <c r="AD120" s="247">
        <f t="shared" si="29"/>
        <v>0.56634074823491531</v>
      </c>
      <c r="AF120" s="251">
        <f t="shared" si="25"/>
        <v>0.60424467785688574</v>
      </c>
      <c r="AG120" s="251">
        <f t="shared" si="26"/>
        <v>0.39575532214311432</v>
      </c>
    </row>
    <row r="121" spans="1:53" x14ac:dyDescent="0.25">
      <c r="A121" s="194">
        <v>2055</v>
      </c>
      <c r="B121" s="195">
        <f t="shared" si="27"/>
        <v>16.117994745628742</v>
      </c>
      <c r="C121" s="195">
        <f t="shared" si="9"/>
        <v>10.326820794890809</v>
      </c>
      <c r="D121" s="195">
        <f t="shared" si="10"/>
        <v>16.427746523340623</v>
      </c>
      <c r="E121" s="195">
        <f t="shared" si="11"/>
        <v>42.872562063860173</v>
      </c>
      <c r="F121" s="196">
        <f t="shared" si="12"/>
        <v>0.37595128375160852</v>
      </c>
      <c r="H121" s="194">
        <v>2055</v>
      </c>
      <c r="I121" s="195">
        <f t="shared" si="13"/>
        <v>11.025753296712304</v>
      </c>
      <c r="J121" s="195">
        <f t="shared" si="14"/>
        <v>0.83767060554271444</v>
      </c>
      <c r="K121" s="195">
        <f t="shared" si="15"/>
        <v>11.32158616289365</v>
      </c>
      <c r="L121" s="195">
        <f t="shared" si="16"/>
        <v>7.1767106924919677</v>
      </c>
      <c r="M121" s="195">
        <f t="shared" si="17"/>
        <v>17.295638579844841</v>
      </c>
      <c r="O121" s="195">
        <f t="shared" si="18"/>
        <v>11.863423902255018</v>
      </c>
      <c r="P121" s="196">
        <f t="shared" si="19"/>
        <v>0.92939048520524603</v>
      </c>
      <c r="Q121" s="195">
        <f t="shared" si="20"/>
        <v>35.793935435230459</v>
      </c>
      <c r="R121" s="196">
        <f t="shared" si="21"/>
        <v>0.20050074419668965</v>
      </c>
      <c r="S121" s="464">
        <f t="shared" si="22"/>
        <v>47.657359337485474</v>
      </c>
      <c r="T121" s="196">
        <f t="shared" si="28"/>
        <v>0.24893162498249663</v>
      </c>
      <c r="W121" s="195">
        <f t="shared" si="30"/>
        <v>2.0844692435755299</v>
      </c>
      <c r="X121" s="195">
        <f t="shared" si="23"/>
        <v>0.99476536800284165</v>
      </c>
      <c r="Y121" s="195">
        <f t="shared" si="31"/>
        <v>1.7055626620469333</v>
      </c>
      <c r="Z121" s="195">
        <f t="shared" si="33"/>
        <v>4.7847972736253048</v>
      </c>
      <c r="AA121" s="196">
        <f t="shared" si="34"/>
        <v>0.17176204742540799</v>
      </c>
      <c r="AB121" s="196">
        <f t="shared" si="24"/>
        <v>0.26388216577156764</v>
      </c>
      <c r="AC121" s="196">
        <f t="shared" si="32"/>
        <v>0.4356442131969756</v>
      </c>
      <c r="AD121" s="247">
        <f t="shared" si="29"/>
        <v>0.56435578680302445</v>
      </c>
      <c r="AF121" s="251">
        <f t="shared" si="25"/>
        <v>0.60572861472224782</v>
      </c>
      <c r="AG121" s="251">
        <f t="shared" si="26"/>
        <v>0.39427138527775218</v>
      </c>
    </row>
    <row r="122" spans="1:53" x14ac:dyDescent="0.25">
      <c r="A122" s="194">
        <v>2056</v>
      </c>
      <c r="B122" s="195">
        <f t="shared" si="27"/>
        <v>16.286662012107197</v>
      </c>
      <c r="C122" s="195">
        <f t="shared" si="9"/>
        <v>10.334132711773581</v>
      </c>
      <c r="D122" s="195">
        <f t="shared" si="10"/>
        <v>16.476503738753557</v>
      </c>
      <c r="E122" s="195">
        <f t="shared" si="11"/>
        <v>43.097298462634328</v>
      </c>
      <c r="F122" s="196">
        <f t="shared" si="12"/>
        <v>0.37790447645408337</v>
      </c>
      <c r="H122" s="194">
        <v>2056</v>
      </c>
      <c r="I122" s="195">
        <f t="shared" si="13"/>
        <v>11.223166504481771</v>
      </c>
      <c r="J122" s="195">
        <f t="shared" si="14"/>
        <v>0.84942381391075505</v>
      </c>
      <c r="K122" s="195">
        <f t="shared" si="15"/>
        <v>11.374754944237404</v>
      </c>
      <c r="L122" s="195">
        <f t="shared" si="16"/>
        <v>7.2602539598986962</v>
      </c>
      <c r="M122" s="195">
        <f t="shared" si="17"/>
        <v>17.41043188768943</v>
      </c>
      <c r="O122" s="195">
        <f t="shared" si="18"/>
        <v>12.072590318392526</v>
      </c>
      <c r="P122" s="196">
        <f t="shared" si="19"/>
        <v>0.92964030158327637</v>
      </c>
      <c r="Q122" s="195">
        <f t="shared" si="20"/>
        <v>36.045440791825527</v>
      </c>
      <c r="R122" s="196">
        <f t="shared" si="21"/>
        <v>0.2014194805337266</v>
      </c>
      <c r="S122" s="464">
        <f t="shared" si="22"/>
        <v>48.118031110218055</v>
      </c>
      <c r="T122" s="196">
        <f t="shared" si="28"/>
        <v>0.25089535128192025</v>
      </c>
      <c r="W122" s="195">
        <f t="shared" si="30"/>
        <v>2.1967584522732686</v>
      </c>
      <c r="X122" s="195">
        <f t="shared" si="23"/>
        <v>1.0406222324638232</v>
      </c>
      <c r="Y122" s="195">
        <f t="shared" si="31"/>
        <v>1.783351962846627</v>
      </c>
      <c r="Z122" s="195">
        <f t="shared" si="33"/>
        <v>5.0207326475837188</v>
      </c>
      <c r="AA122" s="196">
        <f t="shared" si="34"/>
        <v>0.17186390661095244</v>
      </c>
      <c r="AB122" s="196">
        <f t="shared" si="24"/>
        <v>0.26567352198136313</v>
      </c>
      <c r="AC122" s="196">
        <f t="shared" si="32"/>
        <v>0.43753742859231554</v>
      </c>
      <c r="AD122" s="247">
        <f t="shared" si="29"/>
        <v>0.56246257140768452</v>
      </c>
      <c r="AF122" s="251">
        <f t="shared" si="25"/>
        <v>0.60720181776473769</v>
      </c>
      <c r="AG122" s="251">
        <f t="shared" si="26"/>
        <v>0.39279818223526236</v>
      </c>
    </row>
    <row r="123" spans="1:53" x14ac:dyDescent="0.25">
      <c r="A123" s="194">
        <v>2057</v>
      </c>
      <c r="B123" s="195">
        <f t="shared" si="27"/>
        <v>16.450849829271959</v>
      </c>
      <c r="C123" s="195">
        <f t="shared" si="9"/>
        <v>10.338319791441315</v>
      </c>
      <c r="D123" s="195">
        <f t="shared" si="10"/>
        <v>16.522542208538745</v>
      </c>
      <c r="E123" s="195">
        <f t="shared" si="11"/>
        <v>43.311711829252019</v>
      </c>
      <c r="F123" s="196">
        <f t="shared" si="12"/>
        <v>0.37982451245811361</v>
      </c>
      <c r="H123" s="194">
        <v>2057</v>
      </c>
      <c r="I123" s="195">
        <f t="shared" si="13"/>
        <v>11.420641995170982</v>
      </c>
      <c r="J123" s="195">
        <f t="shared" si="14"/>
        <v>0.8610837437554163</v>
      </c>
      <c r="K123" s="195">
        <f t="shared" si="15"/>
        <v>11.42597739356977</v>
      </c>
      <c r="L123" s="195">
        <f t="shared" si="16"/>
        <v>7.3428006816441638</v>
      </c>
      <c r="M123" s="195">
        <f t="shared" si="17"/>
        <v>17.525082737297286</v>
      </c>
      <c r="O123" s="195">
        <f t="shared" si="18"/>
        <v>12.281725738926399</v>
      </c>
      <c r="P123" s="196">
        <f t="shared" si="19"/>
        <v>0.92988902683063102</v>
      </c>
      <c r="Q123" s="195">
        <f t="shared" si="20"/>
        <v>36.29386081251122</v>
      </c>
      <c r="R123" s="196">
        <f t="shared" si="21"/>
        <v>0.20231522679761182</v>
      </c>
      <c r="S123" s="464">
        <f t="shared" si="22"/>
        <v>48.575586551437617</v>
      </c>
      <c r="T123" s="196">
        <f t="shared" si="28"/>
        <v>0.2528374150648916</v>
      </c>
      <c r="W123" s="195">
        <f t="shared" si="30"/>
        <v>2.3125928475431863</v>
      </c>
      <c r="X123" s="195">
        <f t="shared" si="23"/>
        <v>1.0876576021284556</v>
      </c>
      <c r="Y123" s="195">
        <f t="shared" si="31"/>
        <v>1.863624272513956</v>
      </c>
      <c r="Z123" s="195">
        <f t="shared" si="33"/>
        <v>5.2638747221855979</v>
      </c>
      <c r="AA123" s="196">
        <f t="shared" si="34"/>
        <v>0.17192651031747064</v>
      </c>
      <c r="AB123" s="196">
        <f t="shared" si="24"/>
        <v>0.26740629481110229</v>
      </c>
      <c r="AC123" s="196">
        <f t="shared" si="32"/>
        <v>0.43933280512857292</v>
      </c>
      <c r="AD123" s="247">
        <f t="shared" si="29"/>
        <v>0.56066719487142702</v>
      </c>
      <c r="AF123" s="251">
        <f t="shared" si="25"/>
        <v>0.6086645287798268</v>
      </c>
      <c r="AG123" s="251">
        <f t="shared" si="26"/>
        <v>0.39133547122017326</v>
      </c>
    </row>
    <row r="124" spans="1:53" x14ac:dyDescent="0.25">
      <c r="A124" s="194">
        <v>2058</v>
      </c>
      <c r="B124" s="195">
        <f t="shared" si="27"/>
        <v>16.610298265787318</v>
      </c>
      <c r="C124" s="195">
        <f t="shared" si="9"/>
        <v>10.339256206294749</v>
      </c>
      <c r="D124" s="195">
        <f t="shared" si="10"/>
        <v>16.565742140005867</v>
      </c>
      <c r="E124" s="195">
        <f t="shared" si="11"/>
        <v>43.515296612087937</v>
      </c>
      <c r="F124" s="196">
        <f t="shared" si="12"/>
        <v>0.38171170965138751</v>
      </c>
      <c r="H124" s="194">
        <v>2058</v>
      </c>
      <c r="I124" s="195">
        <f t="shared" si="13"/>
        <v>11.617841369707495</v>
      </c>
      <c r="J124" s="195">
        <f t="shared" si="14"/>
        <v>0.87262654170100129</v>
      </c>
      <c r="K124" s="195">
        <f t="shared" si="15"/>
        <v>11.475078142053468</v>
      </c>
      <c r="L124" s="195">
        <f t="shared" si="16"/>
        <v>7.4241489467620578</v>
      </c>
      <c r="M124" s="195">
        <f t="shared" si="17"/>
        <v>17.639416142240279</v>
      </c>
      <c r="O124" s="195">
        <f t="shared" si="18"/>
        <v>12.490467911408496</v>
      </c>
      <c r="P124" s="196">
        <f t="shared" si="19"/>
        <v>0.93013660113533736</v>
      </c>
      <c r="Q124" s="195">
        <f t="shared" si="20"/>
        <v>36.538643231055808</v>
      </c>
      <c r="R124" s="196">
        <f t="shared" si="21"/>
        <v>0.20318622396060798</v>
      </c>
      <c r="S124" s="464">
        <f t="shared" si="22"/>
        <v>49.029111142464302</v>
      </c>
      <c r="T124" s="196">
        <f t="shared" si="28"/>
        <v>0.25475615650291594</v>
      </c>
      <c r="W124" s="195">
        <f t="shared" si="30"/>
        <v>2.4316920506822335</v>
      </c>
      <c r="X124" s="195">
        <f t="shared" si="23"/>
        <v>1.1358219357587185</v>
      </c>
      <c r="Y124" s="195">
        <f t="shared" si="31"/>
        <v>1.9463005439354149</v>
      </c>
      <c r="Z124" s="195">
        <f t="shared" si="33"/>
        <v>5.5138145303763668</v>
      </c>
      <c r="AA124" s="196">
        <f t="shared" si="34"/>
        <v>0.17194547763940227</v>
      </c>
      <c r="AB124" s="196">
        <f t="shared" si="24"/>
        <v>0.26907263011262783</v>
      </c>
      <c r="AC124" s="196">
        <f t="shared" si="32"/>
        <v>0.44101810775203004</v>
      </c>
      <c r="AD124" s="247">
        <f t="shared" si="29"/>
        <v>0.5589818922479699</v>
      </c>
      <c r="AF124" s="251">
        <f t="shared" si="25"/>
        <v>0.61011696658931402</v>
      </c>
      <c r="AG124" s="251">
        <f t="shared" si="26"/>
        <v>0.38988303341068603</v>
      </c>
    </row>
    <row r="125" spans="1:53" x14ac:dyDescent="0.25">
      <c r="A125" s="194">
        <v>2059</v>
      </c>
      <c r="B125" s="195">
        <f t="shared" si="27"/>
        <v>16.764747390317542</v>
      </c>
      <c r="C125" s="195">
        <f t="shared" si="9"/>
        <v>10.336816128734622</v>
      </c>
      <c r="D125" s="195">
        <f t="shared" si="10"/>
        <v>16.605983740464598</v>
      </c>
      <c r="E125" s="195">
        <f t="shared" si="11"/>
        <v>43.707547259516758</v>
      </c>
      <c r="F125" s="196">
        <f t="shared" si="12"/>
        <v>0.38356641910779454</v>
      </c>
      <c r="H125" s="194">
        <v>2059</v>
      </c>
      <c r="I125" s="195">
        <f t="shared" si="13"/>
        <v>11.814376542019868</v>
      </c>
      <c r="J125" s="195">
        <f t="shared" si="14"/>
        <v>0.88402552648049482</v>
      </c>
      <c r="K125" s="195">
        <f t="shared" si="15"/>
        <v>11.521863541743196</v>
      </c>
      <c r="L125" s="195">
        <f t="shared" si="16"/>
        <v>7.504072308107153</v>
      </c>
      <c r="M125" s="195">
        <f t="shared" si="17"/>
        <v>17.753212674965578</v>
      </c>
      <c r="O125" s="195">
        <f t="shared" si="18"/>
        <v>12.698402068500362</v>
      </c>
      <c r="P125" s="196">
        <f t="shared" si="19"/>
        <v>0.93038293151282347</v>
      </c>
      <c r="Q125" s="195">
        <f t="shared" si="20"/>
        <v>36.779148524815923</v>
      </c>
      <c r="R125" s="196">
        <f t="shared" si="21"/>
        <v>0.20403061541905856</v>
      </c>
      <c r="S125" s="464">
        <f t="shared" si="22"/>
        <v>49.477550593316288</v>
      </c>
      <c r="T125" s="196">
        <f t="shared" si="28"/>
        <v>0.25664977178995063</v>
      </c>
      <c r="W125" s="195">
        <f t="shared" si="30"/>
        <v>2.5537014598094778</v>
      </c>
      <c r="X125" s="195">
        <f t="shared" si="23"/>
        <v>1.185047413008574</v>
      </c>
      <c r="Y125" s="195">
        <f t="shared" si="31"/>
        <v>2.0312544609814758</v>
      </c>
      <c r="Z125" s="195">
        <f t="shared" si="33"/>
        <v>5.7700033337995276</v>
      </c>
      <c r="AA125" s="196">
        <f t="shared" si="34"/>
        <v>0.17191699782119171</v>
      </c>
      <c r="AB125" s="196">
        <f t="shared" si="24"/>
        <v>0.27066532181983943</v>
      </c>
      <c r="AC125" s="196">
        <f t="shared" si="32"/>
        <v>0.44258231964103112</v>
      </c>
      <c r="AD125" s="247">
        <f t="shared" si="29"/>
        <v>0.55741768035896888</v>
      </c>
      <c r="AF125" s="251">
        <f t="shared" si="25"/>
        <v>0.6115592734010934</v>
      </c>
      <c r="AG125" s="251">
        <f t="shared" si="26"/>
        <v>0.38844072659890672</v>
      </c>
    </row>
    <row r="126" spans="1:53" x14ac:dyDescent="0.25">
      <c r="A126" s="194">
        <v>2060</v>
      </c>
      <c r="B126" s="195">
        <f t="shared" si="27"/>
        <v>16.913937271526915</v>
      </c>
      <c r="C126" s="195">
        <f t="shared" si="9"/>
        <v>10.33087373116167</v>
      </c>
      <c r="D126" s="195">
        <f t="shared" si="10"/>
        <v>16.643147217224623</v>
      </c>
      <c r="E126" s="195">
        <f t="shared" si="11"/>
        <v>43.887958219913216</v>
      </c>
      <c r="F126" s="196">
        <f t="shared" si="12"/>
        <v>0.38538902144353071</v>
      </c>
      <c r="H126" s="194">
        <v>2060</v>
      </c>
      <c r="I126" s="195">
        <f t="shared" si="13"/>
        <v>12.00987327978488</v>
      </c>
      <c r="J126" s="195">
        <f t="shared" si="14"/>
        <v>0.89525442491111196</v>
      </c>
      <c r="K126" s="195">
        <f t="shared" si="15"/>
        <v>11.566137679733103</v>
      </c>
      <c r="L126" s="195">
        <f t="shared" si="16"/>
        <v>7.5823639920996513</v>
      </c>
      <c r="M126" s="195">
        <f t="shared" si="17"/>
        <v>17.866250711726511</v>
      </c>
      <c r="O126" s="195">
        <f t="shared" si="18"/>
        <v>12.905127704695992</v>
      </c>
      <c r="P126" s="196">
        <f t="shared" si="19"/>
        <v>0.93062800730090089</v>
      </c>
      <c r="Q126" s="195">
        <f t="shared" si="20"/>
        <v>37.014752383559269</v>
      </c>
      <c r="R126" s="196">
        <f t="shared" si="21"/>
        <v>0.20484708133472446</v>
      </c>
      <c r="S126" s="464">
        <f t="shared" si="22"/>
        <v>49.919880088255262</v>
      </c>
      <c r="T126" s="196">
        <f t="shared" si="28"/>
        <v>0.25851680095946794</v>
      </c>
      <c r="W126" s="195">
        <f t="shared" si="30"/>
        <v>2.6783000003576163</v>
      </c>
      <c r="X126" s="195">
        <f t="shared" si="23"/>
        <v>1.2352639485714327</v>
      </c>
      <c r="Y126" s="195">
        <f t="shared" si="31"/>
        <v>2.1183579194130004</v>
      </c>
      <c r="Z126" s="195">
        <f t="shared" si="33"/>
        <v>6.0319218683420495</v>
      </c>
      <c r="AA126" s="196">
        <f t="shared" si="34"/>
        <v>0.17183993951928953</v>
      </c>
      <c r="AB126" s="196">
        <f t="shared" si="24"/>
        <v>0.27218106387175428</v>
      </c>
      <c r="AC126" s="196">
        <f t="shared" si="32"/>
        <v>0.44402100339104378</v>
      </c>
      <c r="AD126" s="247">
        <f t="shared" si="29"/>
        <v>0.55597899660895622</v>
      </c>
      <c r="AF126" s="251">
        <f t="shared" si="25"/>
        <v>0.6129914166065874</v>
      </c>
      <c r="AG126" s="251">
        <f t="shared" si="26"/>
        <v>0.3870085833934126</v>
      </c>
      <c r="BA126" s="516"/>
    </row>
    <row r="127" spans="1:53" x14ac:dyDescent="0.25">
      <c r="BA127" s="516"/>
    </row>
    <row r="128" spans="1:53" x14ac:dyDescent="0.25">
      <c r="BA128" s="516"/>
    </row>
    <row r="129" spans="1:58" ht="92.25" customHeight="1" x14ac:dyDescent="0.25">
      <c r="BA129" s="516"/>
    </row>
    <row r="130" spans="1:58" ht="13.5" customHeight="1" thickBot="1" x14ac:dyDescent="0.3">
      <c r="BA130" s="516"/>
    </row>
    <row r="131" spans="1:58" s="485" customFormat="1" ht="44.25" customHeight="1" thickBot="1" x14ac:dyDescent="0.35">
      <c r="A131" s="491"/>
      <c r="B131" s="660" t="s">
        <v>602</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598</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516"/>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ResLight_cluster</v>
      </c>
      <c r="AU132" s="607"/>
      <c r="AV132" s="608"/>
      <c r="AW132" s="445"/>
      <c r="AX132" s="606" t="str">
        <f ca="1">CONCATENATE("Table 11(b): EMISSIONS ALLOCATION TO Education in LLDC, ",A1)</f>
        <v>Table 11(b): EMISSIONS ALLOCATION TO Education in LLDC, ResLight_cluster</v>
      </c>
      <c r="AY132" s="608"/>
      <c r="AZ132" s="446"/>
      <c r="BA132" s="606" t="str">
        <f ca="1">CONCATENATE("Table 11(c): EMISSIONS ALLOCATION TO Family Planning in LLDC, ",A1)</f>
        <v>Table 11(c): EMISSIONS ALLOCATION TO Family Planning in LLDC, ResLight_cluster</v>
      </c>
      <c r="BB132" s="608"/>
      <c r="BC132" s="516"/>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514" t="s">
        <v>219</v>
      </c>
      <c r="K133" s="514" t="s">
        <v>220</v>
      </c>
      <c r="L133" s="514" t="s">
        <v>221</v>
      </c>
      <c r="M133" s="515" t="s">
        <v>222</v>
      </c>
      <c r="N133" s="515" t="s">
        <v>220</v>
      </c>
      <c r="O133" s="515" t="s">
        <v>248</v>
      </c>
      <c r="P133" s="515"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516"/>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514" t="s">
        <v>500</v>
      </c>
      <c r="K134" s="514" t="s">
        <v>500</v>
      </c>
      <c r="L134" s="514" t="s">
        <v>513</v>
      </c>
      <c r="M134" s="515" t="s">
        <v>500</v>
      </c>
      <c r="N134" s="515" t="s">
        <v>500</v>
      </c>
      <c r="O134" s="515" t="s">
        <v>249</v>
      </c>
      <c r="P134" s="515"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516"/>
      <c r="BE134" s="481" t="s">
        <v>227</v>
      </c>
      <c r="BF134" s="481" t="s">
        <v>228</v>
      </c>
    </row>
    <row r="135" spans="1:58" ht="15.6" x14ac:dyDescent="0.3">
      <c r="A135" s="152">
        <v>2014</v>
      </c>
      <c r="B135" s="178"/>
      <c r="C135" s="182"/>
      <c r="D135" s="183"/>
      <c r="E135" s="179">
        <f>IFERROR(IF($G$19="Y",$F$19,$AA80)*(SUMIF($H$5:$H$16,"Y",$F$5:$F$16)*(Z29-B29)),0)</f>
        <v>0</v>
      </c>
      <c r="F135" s="183" t="str">
        <f>IFERROR(E135-E134,"")</f>
        <v/>
      </c>
      <c r="G135" s="247">
        <f t="shared" ref="G135:G181" si="35">IFERROR(E135/((Z29+N29)-B29),"")</f>
        <v>0</v>
      </c>
      <c r="H135" s="245" t="s">
        <v>264</v>
      </c>
      <c r="I135" s="416"/>
      <c r="J135" s="178"/>
      <c r="K135" s="182"/>
      <c r="L135" s="183"/>
      <c r="M135" s="179">
        <f t="shared" ref="M135:M181" si="36">IFERROR(IF($G$19="Y",$F$19,$AB80)*(SUMIF($H$5:$H$16,"Y",$F$5:$F$16)*((Z29+N29)-B29)),0)</f>
        <v>0</v>
      </c>
      <c r="N135" s="183" t="str">
        <f>IFERROR(M135-M134,"")</f>
        <v/>
      </c>
      <c r="O135" s="247">
        <f t="shared" ref="O135:O181" si="37">IFERROR(M135/((Z29+N29)-B29),"")</f>
        <v>0</v>
      </c>
      <c r="P135" s="245" t="s">
        <v>264</v>
      </c>
      <c r="Q135" s="416"/>
      <c r="R135" s="167"/>
      <c r="S135" s="167"/>
      <c r="T135" s="167"/>
      <c r="U135" s="167"/>
      <c r="V135" s="506"/>
      <c r="W135" s="167" t="s">
        <v>213</v>
      </c>
      <c r="X135" s="167" t="s">
        <v>211</v>
      </c>
      <c r="Y135" s="167" t="s">
        <v>211</v>
      </c>
      <c r="Z135" s="167" t="s">
        <v>211</v>
      </c>
      <c r="AA135" s="509"/>
      <c r="AB135" s="496"/>
      <c r="AC135" s="496"/>
      <c r="AE135" s="167" t="s">
        <v>211</v>
      </c>
      <c r="AF135" s="167" t="s">
        <v>211</v>
      </c>
      <c r="AG135" s="167" t="s">
        <v>211</v>
      </c>
      <c r="AH135" s="167" t="s">
        <v>211</v>
      </c>
      <c r="AI135" s="165"/>
      <c r="AJ135" s="167" t="s">
        <v>213</v>
      </c>
      <c r="AK135" s="167" t="s">
        <v>211</v>
      </c>
      <c r="AL135" s="167" t="s">
        <v>211</v>
      </c>
      <c r="AM135" s="167" t="s">
        <v>211</v>
      </c>
      <c r="AN135" s="165"/>
      <c r="AO135" s="257"/>
      <c r="AP135" s="257"/>
      <c r="AT135" s="478">
        <v>2014</v>
      </c>
      <c r="AU135" s="479">
        <f>IFERROR(AB135+AO135,"")</f>
        <v>0</v>
      </c>
      <c r="AV135" s="479">
        <f>IFERROR(AC135+AP135,"")</f>
        <v>0</v>
      </c>
      <c r="AW135" s="430"/>
      <c r="AX135" s="479">
        <f t="shared" ref="AX135:AY181" si="38">IFERROR(AO135*$F$20,"")</f>
        <v>0</v>
      </c>
      <c r="AY135" s="479">
        <f t="shared" si="38"/>
        <v>0</v>
      </c>
      <c r="AZ135" s="430"/>
      <c r="BA135" s="479">
        <f t="shared" ref="BA135:BB181" si="39">AU135-AX135</f>
        <v>0</v>
      </c>
      <c r="BB135" s="479">
        <f t="shared" si="39"/>
        <v>0</v>
      </c>
      <c r="BC135" s="516"/>
      <c r="BE135" s="480" t="str">
        <f t="shared" ref="BE135:BE181" si="40">IFERROR(AX135/AU135,"")</f>
        <v/>
      </c>
      <c r="BF135" s="480" t="str">
        <f t="shared" ref="BF135:BF181" si="41">IFERROR(BB135/(AY135+BB135),"")</f>
        <v/>
      </c>
    </row>
    <row r="136" spans="1:58" ht="15.6" x14ac:dyDescent="0.3">
      <c r="A136" s="152">
        <v>2015</v>
      </c>
      <c r="B136" s="178"/>
      <c r="C136" s="182"/>
      <c r="D136" s="183"/>
      <c r="E136" s="179">
        <f>IFERROR(IF($G$19="Y",$F$19,$AA81)*(SUMIF($H$5:$H$16,"Y",$F$5:$F$16)*(Z30-B30)),0)</f>
        <v>0</v>
      </c>
      <c r="F136" s="183">
        <f>IFERROR(E136-E135,"")</f>
        <v>0</v>
      </c>
      <c r="G136" s="247">
        <f t="shared" si="35"/>
        <v>0</v>
      </c>
      <c r="H136" s="246"/>
      <c r="I136" s="417"/>
      <c r="J136" s="178"/>
      <c r="K136" s="182"/>
      <c r="L136" s="183"/>
      <c r="M136" s="179">
        <f t="shared" si="36"/>
        <v>0</v>
      </c>
      <c r="N136" s="183">
        <f>IFERROR(M136-M135,"")</f>
        <v>0</v>
      </c>
      <c r="O136" s="247">
        <f t="shared" si="37"/>
        <v>0</v>
      </c>
      <c r="P136" s="246"/>
      <c r="Q136" s="417"/>
      <c r="R136" s="439"/>
      <c r="S136" s="440"/>
      <c r="T136" s="439"/>
      <c r="U136" s="440"/>
      <c r="V136" s="506"/>
      <c r="W136" s="259">
        <f>IF(W$135="Y",E136*$F$21*'Emissions Factors'!$B12,"")</f>
        <v>0</v>
      </c>
      <c r="X136" s="259" t="str">
        <f>IF(X$135="Y",E136*'Emissions Factors'!$R$36*$F$22/10^6,"")</f>
        <v/>
      </c>
      <c r="Y136" s="441"/>
      <c r="Z136" s="441"/>
      <c r="AA136" s="509"/>
      <c r="AB136" s="441">
        <f t="shared" ref="AB136:AB181" si="42">SUM(W136:Z136)</f>
        <v>0</v>
      </c>
      <c r="AC136" s="441">
        <f t="shared" ref="AC136:AC181" si="43">SUM(R136:U136)</f>
        <v>0</v>
      </c>
      <c r="AE136" s="182"/>
      <c r="AF136" s="178"/>
      <c r="AG136" s="182"/>
      <c r="AH136" s="178"/>
      <c r="AJ136" s="259">
        <f>IF(AJ$135="Y",M136*$F$21*'Emissions Factors'!$B12,"")</f>
        <v>0</v>
      </c>
      <c r="AK136" s="259" t="str">
        <f>IF(AK$135="Y",M136*'Emissions Factors'!$R$36*$F$22/10^6,"")</f>
        <v/>
      </c>
      <c r="AL136" s="180"/>
      <c r="AM136" s="180"/>
      <c r="AO136" s="180">
        <f t="shared" ref="AO136:AO181" si="44">SUM(AJ136:AM136)</f>
        <v>0</v>
      </c>
      <c r="AP136" s="180">
        <f t="shared" ref="AP136:AP181" si="45">SUM(AE136:AH136)</f>
        <v>0</v>
      </c>
      <c r="AT136" s="478">
        <v>2015</v>
      </c>
      <c r="AU136" s="479">
        <f t="shared" ref="AU136:AV181" si="46">IFERROR(AB136+AO136,"")</f>
        <v>0</v>
      </c>
      <c r="AV136" s="479">
        <f t="shared" si="46"/>
        <v>0</v>
      </c>
      <c r="AW136" s="430"/>
      <c r="AX136" s="479">
        <f t="shared" si="38"/>
        <v>0</v>
      </c>
      <c r="AY136" s="479">
        <f t="shared" si="38"/>
        <v>0</v>
      </c>
      <c r="AZ136" s="430"/>
      <c r="BA136" s="479">
        <f t="shared" si="39"/>
        <v>0</v>
      </c>
      <c r="BB136" s="479">
        <f t="shared" si="39"/>
        <v>0</v>
      </c>
      <c r="BC136" s="516"/>
      <c r="BE136" s="480" t="str">
        <f t="shared" si="40"/>
        <v/>
      </c>
      <c r="BF136" s="480" t="str">
        <f t="shared" si="41"/>
        <v/>
      </c>
    </row>
    <row r="137" spans="1:58" ht="15.6" x14ac:dyDescent="0.3">
      <c r="A137" s="152">
        <v>2016</v>
      </c>
      <c r="B137" s="178"/>
      <c r="C137" s="182"/>
      <c r="D137" s="183"/>
      <c r="E137" s="179">
        <f t="shared" ref="E137:E181" si="47">IFERROR(IF($G$19="Y",$F$19,$AA82)*(SUMIF($H$5:$H$16,"Y",$F$5:$F$16)*((Z31+N31)-B31)),0)</f>
        <v>-2.5789339921186522E-5</v>
      </c>
      <c r="F137" s="183">
        <f t="shared" ref="F137:F181" si="48">IFERROR(E137-E136,"")</f>
        <v>-2.5789339921186522E-5</v>
      </c>
      <c r="G137" s="247">
        <f t="shared" si="35"/>
        <v>0.44702265522664097</v>
      </c>
      <c r="H137" s="246"/>
      <c r="I137" s="417"/>
      <c r="J137" s="178"/>
      <c r="K137" s="182"/>
      <c r="L137" s="183"/>
      <c r="M137" s="179">
        <f t="shared" si="36"/>
        <v>-3.0171268408312936E-5</v>
      </c>
      <c r="N137" s="183">
        <f>IFERROR(M137-M136,"")</f>
        <v>-3.0171268408312936E-5</v>
      </c>
      <c r="O137" s="247">
        <f t="shared" si="37"/>
        <v>0.52297734477335911</v>
      </c>
      <c r="P137" s="246"/>
      <c r="Q137" s="417"/>
      <c r="R137" s="439"/>
      <c r="S137" s="440"/>
      <c r="T137" s="439"/>
      <c r="U137" s="440"/>
      <c r="V137" s="506"/>
      <c r="W137" s="259">
        <f>IF(W$135="Y",E137*$F$21*'Emissions Factors'!$B13,"")</f>
        <v>-6.6940600898942248E-4</v>
      </c>
      <c r="X137" s="259" t="str">
        <f>IF(X$135="Y",E137*'Emissions Factors'!$R$36*$F$22/10^6,"")</f>
        <v/>
      </c>
      <c r="Y137" s="441"/>
      <c r="Z137" s="441"/>
      <c r="AA137" s="509"/>
      <c r="AB137" s="441">
        <f t="shared" si="42"/>
        <v>-6.6940600898942248E-4</v>
      </c>
      <c r="AC137" s="441">
        <f t="shared" si="43"/>
        <v>0</v>
      </c>
      <c r="AE137" s="182"/>
      <c r="AF137" s="178"/>
      <c r="AG137" s="182"/>
      <c r="AH137" s="178"/>
      <c r="AJ137" s="259">
        <f>IF(AJ$135="Y",M137*$F$21*'Emissions Factors'!$B13,"")</f>
        <v>-7.8314638657212248E-4</v>
      </c>
      <c r="AK137" s="259" t="str">
        <f>IF(AK$135="Y",M137*'Emissions Factors'!$R$36*$F$22/10^6,"")</f>
        <v/>
      </c>
      <c r="AL137" s="180"/>
      <c r="AM137" s="180"/>
      <c r="AO137" s="180">
        <f t="shared" si="44"/>
        <v>-7.8314638657212248E-4</v>
      </c>
      <c r="AP137" s="180">
        <f t="shared" si="45"/>
        <v>0</v>
      </c>
      <c r="AT137" s="478">
        <v>2016</v>
      </c>
      <c r="AU137" s="479">
        <f t="shared" si="46"/>
        <v>-1.4525523955615451E-3</v>
      </c>
      <c r="AV137" s="479">
        <f t="shared" si="46"/>
        <v>0</v>
      </c>
      <c r="AW137" s="430"/>
      <c r="AX137" s="479">
        <f t="shared" si="38"/>
        <v>-3.9157319328606124E-4</v>
      </c>
      <c r="AY137" s="479">
        <f t="shared" si="38"/>
        <v>0</v>
      </c>
      <c r="AZ137" s="430"/>
      <c r="BA137" s="479">
        <f t="shared" si="39"/>
        <v>-1.0609792022754838E-3</v>
      </c>
      <c r="BB137" s="479">
        <f t="shared" si="39"/>
        <v>0</v>
      </c>
      <c r="BC137" s="516"/>
      <c r="BE137" s="480">
        <f t="shared" si="40"/>
        <v>0.26957595091410264</v>
      </c>
      <c r="BF137" s="480" t="str">
        <f t="shared" si="41"/>
        <v/>
      </c>
    </row>
    <row r="138" spans="1:58" ht="15.6" x14ac:dyDescent="0.3">
      <c r="A138" s="152">
        <v>2017</v>
      </c>
      <c r="B138" s="178"/>
      <c r="C138" s="182"/>
      <c r="D138" s="183"/>
      <c r="E138" s="179">
        <f t="shared" si="47"/>
        <v>-2.5287140963498249E-5</v>
      </c>
      <c r="F138" s="183">
        <f>IFERROR(E138-E137,"")</f>
        <v>5.0219895768827225E-7</v>
      </c>
      <c r="G138" s="247">
        <f t="shared" si="35"/>
        <v>0.44524274617818083</v>
      </c>
      <c r="H138" s="246"/>
      <c r="I138" s="417"/>
      <c r="J138" s="178"/>
      <c r="K138" s="182"/>
      <c r="L138" s="183"/>
      <c r="M138" s="179">
        <f t="shared" si="36"/>
        <v>-2.9803092274748107E-5</v>
      </c>
      <c r="N138" s="183">
        <f>IFERROR(M138-M137,"")</f>
        <v>3.6817613356482937E-7</v>
      </c>
      <c r="O138" s="247">
        <f t="shared" si="37"/>
        <v>0.52475725382181926</v>
      </c>
      <c r="P138" s="246"/>
      <c r="Q138" s="417"/>
      <c r="R138" s="439"/>
      <c r="S138" s="440"/>
      <c r="T138" s="439"/>
      <c r="U138" s="440"/>
      <c r="V138" s="506"/>
      <c r="W138" s="259">
        <f>IF(W$135="Y",E138*$F$21*'Emissions Factors'!$B14,"")</f>
        <v>-6.4834633695387794E-4</v>
      </c>
      <c r="X138" s="259" t="str">
        <f>IF(X$135="Y",E138*'Emissions Factors'!$R$36*$F$22/10^6,"")</f>
        <v/>
      </c>
      <c r="Y138" s="441"/>
      <c r="Z138" s="441"/>
      <c r="AA138" s="509"/>
      <c r="AB138" s="441">
        <f t="shared" si="42"/>
        <v>-6.4834633695387794E-4</v>
      </c>
      <c r="AC138" s="441">
        <f t="shared" si="43"/>
        <v>0</v>
      </c>
      <c r="AE138" s="182"/>
      <c r="AF138" s="178"/>
      <c r="AG138" s="182"/>
      <c r="AH138" s="178"/>
      <c r="AJ138" s="259">
        <f>IF(AJ$135="Y",M138*$F$21*'Emissions Factors'!$B14,"")</f>
        <v>-7.6413247880112358E-4</v>
      </c>
      <c r="AK138" s="259" t="str">
        <f>IF(AK$135="Y",M138*'Emissions Factors'!$R$36*$F$22/10^6,"")</f>
        <v/>
      </c>
      <c r="AL138" s="180"/>
      <c r="AM138" s="180"/>
      <c r="AO138" s="180">
        <f t="shared" si="44"/>
        <v>-7.6413247880112358E-4</v>
      </c>
      <c r="AP138" s="180">
        <f t="shared" si="45"/>
        <v>0</v>
      </c>
      <c r="AT138" s="478">
        <v>2017</v>
      </c>
      <c r="AU138" s="479">
        <f t="shared" si="46"/>
        <v>-1.4124788157550015E-3</v>
      </c>
      <c r="AV138" s="479">
        <f t="shared" si="46"/>
        <v>0</v>
      </c>
      <c r="AW138" s="430"/>
      <c r="AX138" s="479">
        <f t="shared" si="38"/>
        <v>-3.8206623940056179E-4</v>
      </c>
      <c r="AY138" s="479">
        <f t="shared" si="38"/>
        <v>0</v>
      </c>
      <c r="AZ138" s="430"/>
      <c r="BA138" s="479">
        <f t="shared" si="39"/>
        <v>-1.0304125763544397E-3</v>
      </c>
      <c r="BB138" s="479">
        <f t="shared" si="39"/>
        <v>0</v>
      </c>
      <c r="BC138" s="516"/>
      <c r="BE138" s="480">
        <f t="shared" si="40"/>
        <v>0.27049342980506141</v>
      </c>
      <c r="BF138" s="480" t="str">
        <f t="shared" si="41"/>
        <v/>
      </c>
    </row>
    <row r="139" spans="1:58" ht="15.6" x14ac:dyDescent="0.3">
      <c r="A139" s="152">
        <v>2018</v>
      </c>
      <c r="B139" s="178"/>
      <c r="C139" s="182"/>
      <c r="D139" s="183"/>
      <c r="E139" s="179">
        <f t="shared" si="47"/>
        <v>-2.4707586502047208E-5</v>
      </c>
      <c r="F139" s="183">
        <f t="shared" si="48"/>
        <v>5.7955446145104188E-7</v>
      </c>
      <c r="G139" s="247">
        <f t="shared" si="35"/>
        <v>0.44349505677162376</v>
      </c>
      <c r="H139" s="246"/>
      <c r="I139" s="417"/>
      <c r="J139" s="178"/>
      <c r="K139" s="182"/>
      <c r="L139" s="183"/>
      <c r="M139" s="179">
        <f t="shared" si="36"/>
        <v>-2.9332156536908882E-5</v>
      </c>
      <c r="N139" s="183">
        <f t="shared" ref="N139:N181" si="49">IFERROR(M139-M138,"")</f>
        <v>4.7093573783922452E-7</v>
      </c>
      <c r="O139" s="247">
        <f t="shared" si="37"/>
        <v>0.52650494322837627</v>
      </c>
      <c r="P139" s="246"/>
      <c r="Q139" s="417"/>
      <c r="R139" s="439"/>
      <c r="S139" s="440"/>
      <c r="T139" s="439"/>
      <c r="U139" s="440"/>
      <c r="V139" s="506"/>
      <c r="W139" s="259">
        <f>IF(W$135="Y",E139*$F$21*'Emissions Factors'!$B15,"")</f>
        <v>-6.2748716367172638E-4</v>
      </c>
      <c r="X139" s="259" t="str">
        <f>IF(X$135="Y",E139*'Emissions Factors'!$R$36*$F$22/10^6,"")</f>
        <v/>
      </c>
      <c r="Y139" s="441"/>
      <c r="Z139" s="441"/>
      <c r="AA139" s="509"/>
      <c r="AB139" s="441">
        <f t="shared" si="42"/>
        <v>-6.2748716367172638E-4</v>
      </c>
      <c r="AC139" s="441">
        <f t="shared" si="43"/>
        <v>0</v>
      </c>
      <c r="AE139" s="182"/>
      <c r="AF139" s="178"/>
      <c r="AG139" s="182"/>
      <c r="AH139" s="178"/>
      <c r="AJ139" s="259">
        <f>IF(AJ$135="Y",M139*$F$21*'Emissions Factors'!$B15,"")</f>
        <v>-7.4493523307891723E-4</v>
      </c>
      <c r="AK139" s="259" t="str">
        <f>IF(AK$135="Y",M139*'Emissions Factors'!$R$36*$F$22/10^6,"")</f>
        <v/>
      </c>
      <c r="AL139" s="180"/>
      <c r="AM139" s="180"/>
      <c r="AO139" s="180">
        <f t="shared" si="44"/>
        <v>-7.4493523307891723E-4</v>
      </c>
      <c r="AP139" s="180">
        <f t="shared" si="45"/>
        <v>0</v>
      </c>
      <c r="AT139" s="478">
        <v>2018</v>
      </c>
      <c r="AU139" s="479">
        <f t="shared" si="46"/>
        <v>-1.3724223967506435E-3</v>
      </c>
      <c r="AV139" s="479">
        <f t="shared" si="46"/>
        <v>0</v>
      </c>
      <c r="AW139" s="430"/>
      <c r="AX139" s="479">
        <f t="shared" si="38"/>
        <v>-3.7246761653945862E-4</v>
      </c>
      <c r="AY139" s="479">
        <f t="shared" si="38"/>
        <v>0</v>
      </c>
      <c r="AZ139" s="430"/>
      <c r="BA139" s="479">
        <f t="shared" si="39"/>
        <v>-9.9995478021118489E-4</v>
      </c>
      <c r="BB139" s="479">
        <f t="shared" si="39"/>
        <v>0</v>
      </c>
      <c r="BC139" s="516"/>
      <c r="BE139" s="480">
        <f t="shared" si="40"/>
        <v>0.27139430063318365</v>
      </c>
      <c r="BF139" s="480" t="str">
        <f t="shared" si="41"/>
        <v/>
      </c>
    </row>
    <row r="140" spans="1:58" ht="15.6" x14ac:dyDescent="0.3">
      <c r="A140" s="152">
        <v>2019</v>
      </c>
      <c r="B140" s="178"/>
      <c r="C140" s="182"/>
      <c r="D140" s="183"/>
      <c r="E140" s="179">
        <f t="shared" si="47"/>
        <v>-2.4180607791339846E-5</v>
      </c>
      <c r="F140" s="183">
        <f t="shared" si="48"/>
        <v>5.2697871070736172E-7</v>
      </c>
      <c r="G140" s="247">
        <f t="shared" si="35"/>
        <v>0.44176717106327745</v>
      </c>
      <c r="H140" s="246"/>
      <c r="I140" s="417"/>
      <c r="J140" s="178"/>
      <c r="K140" s="182"/>
      <c r="L140" s="183"/>
      <c r="M140" s="179">
        <f t="shared" si="36"/>
        <v>-2.8913399853334141E-5</v>
      </c>
      <c r="N140" s="183">
        <f t="shared" si="49"/>
        <v>4.187566835747413E-7</v>
      </c>
      <c r="O140" s="247">
        <f t="shared" si="37"/>
        <v>0.52823282893672274</v>
      </c>
      <c r="P140" s="246"/>
      <c r="Q140" s="417"/>
      <c r="R140" s="439"/>
      <c r="S140" s="440"/>
      <c r="T140" s="439"/>
      <c r="U140" s="440"/>
      <c r="V140" s="506"/>
      <c r="W140" s="259">
        <f>IF(W$135="Y",E140*$F$21*'Emissions Factors'!$B16,"")</f>
        <v>-6.1089751873081525E-4</v>
      </c>
      <c r="X140" s="259" t="str">
        <f>IF(X$135="Y",E140*'Emissions Factors'!$R$36*$F$22/10^6,"")</f>
        <v/>
      </c>
      <c r="Y140" s="441"/>
      <c r="Z140" s="441"/>
      <c r="AA140" s="509"/>
      <c r="AB140" s="441">
        <f t="shared" si="42"/>
        <v>-6.1089751873081525E-4</v>
      </c>
      <c r="AC140" s="441">
        <f t="shared" si="43"/>
        <v>0</v>
      </c>
      <c r="AE140" s="182"/>
      <c r="AF140" s="178"/>
      <c r="AG140" s="182"/>
      <c r="AH140" s="178"/>
      <c r="AJ140" s="259">
        <f>IF(AJ$135="Y",M140*$F$21*'Emissions Factors'!$B16,"")</f>
        <v>-7.3046651187980876E-4</v>
      </c>
      <c r="AK140" s="259" t="str">
        <f>IF(AK$135="Y",M140*'Emissions Factors'!$R$36*$F$22/10^6,"")</f>
        <v/>
      </c>
      <c r="AL140" s="180"/>
      <c r="AM140" s="180"/>
      <c r="AO140" s="180">
        <f t="shared" si="44"/>
        <v>-7.3046651187980876E-4</v>
      </c>
      <c r="AP140" s="180">
        <f t="shared" si="45"/>
        <v>0</v>
      </c>
      <c r="AT140" s="478">
        <v>2019</v>
      </c>
      <c r="AU140" s="479">
        <f t="shared" si="46"/>
        <v>-1.3413640306106241E-3</v>
      </c>
      <c r="AV140" s="479">
        <f t="shared" si="46"/>
        <v>0</v>
      </c>
      <c r="AW140" s="430"/>
      <c r="AX140" s="479">
        <f t="shared" si="38"/>
        <v>-3.6523325593990438E-4</v>
      </c>
      <c r="AY140" s="479">
        <f t="shared" si="38"/>
        <v>0</v>
      </c>
      <c r="AZ140" s="430"/>
      <c r="BA140" s="479">
        <f t="shared" si="39"/>
        <v>-9.7613077467071968E-4</v>
      </c>
      <c r="BB140" s="479">
        <f t="shared" si="39"/>
        <v>0</v>
      </c>
      <c r="BC140" s="516"/>
      <c r="BE140" s="480">
        <f t="shared" si="40"/>
        <v>0.27228496336944463</v>
      </c>
      <c r="BF140" s="480" t="str">
        <f t="shared" si="41"/>
        <v/>
      </c>
    </row>
    <row r="141" spans="1:58" ht="15.6" x14ac:dyDescent="0.3">
      <c r="A141" s="152">
        <v>2020</v>
      </c>
      <c r="B141" s="178"/>
      <c r="C141" s="182"/>
      <c r="D141" s="183"/>
      <c r="E141" s="179">
        <f t="shared" si="47"/>
        <v>-2.3710409164202003E-5</v>
      </c>
      <c r="F141" s="183">
        <f t="shared" si="48"/>
        <v>4.7019862713784313E-7</v>
      </c>
      <c r="G141" s="247">
        <f t="shared" si="35"/>
        <v>0.44004924515504062</v>
      </c>
      <c r="H141" s="246"/>
      <c r="I141" s="417"/>
      <c r="J141" s="178"/>
      <c r="K141" s="182"/>
      <c r="L141" s="183"/>
      <c r="M141" s="179">
        <f t="shared" si="36"/>
        <v>-2.8554416062739984E-5</v>
      </c>
      <c r="N141" s="183">
        <f t="shared" si="49"/>
        <v>3.5898379059415734E-7</v>
      </c>
      <c r="O141" s="247">
        <f t="shared" si="37"/>
        <v>0.52995075484495946</v>
      </c>
      <c r="P141" s="246"/>
      <c r="Q141" s="417"/>
      <c r="R141" s="439"/>
      <c r="S141" s="440"/>
      <c r="T141" s="439"/>
      <c r="U141" s="440"/>
      <c r="V141" s="506"/>
      <c r="W141" s="259">
        <f>IF(W$135="Y",E141*$F$21*'Emissions Factors'!$B17,"")</f>
        <v>-5.9526823878344607E-4</v>
      </c>
      <c r="X141" s="259" t="str">
        <f>IF(X$135="Y",E141*'Emissions Factors'!$R$36*$F$22/10^6,"")</f>
        <v/>
      </c>
      <c r="Y141" s="441"/>
      <c r="Z141" s="441"/>
      <c r="AA141" s="509"/>
      <c r="AB141" s="441">
        <f t="shared" si="42"/>
        <v>-5.9526823878344607E-4</v>
      </c>
      <c r="AC141" s="441">
        <f t="shared" si="43"/>
        <v>0</v>
      </c>
      <c r="AE141" s="182"/>
      <c r="AF141" s="178"/>
      <c r="AG141" s="182"/>
      <c r="AH141" s="178"/>
      <c r="AJ141" s="259">
        <f>IF(AJ$135="Y",M141*$F$21*'Emissions Factors'!$B17,"")</f>
        <v>-7.1688079448328833E-4</v>
      </c>
      <c r="AK141" s="259" t="str">
        <f>IF(AK$135="Y",M141*'Emissions Factors'!$R$36*$F$22/10^6,"")</f>
        <v/>
      </c>
      <c r="AL141" s="180"/>
      <c r="AM141" s="180"/>
      <c r="AO141" s="180">
        <f t="shared" si="44"/>
        <v>-7.1688079448328833E-4</v>
      </c>
      <c r="AP141" s="180">
        <f t="shared" si="45"/>
        <v>0</v>
      </c>
      <c r="AS141" s="430"/>
      <c r="AT141" s="478">
        <v>2020</v>
      </c>
      <c r="AU141" s="479">
        <f t="shared" si="46"/>
        <v>-1.3121490332667343E-3</v>
      </c>
      <c r="AV141" s="479">
        <f t="shared" si="46"/>
        <v>0</v>
      </c>
      <c r="AW141" s="430"/>
      <c r="AX141" s="479">
        <f t="shared" si="38"/>
        <v>-3.5844039724164416E-4</v>
      </c>
      <c r="AY141" s="479">
        <f t="shared" si="38"/>
        <v>0</v>
      </c>
      <c r="AZ141" s="430"/>
      <c r="BA141" s="479">
        <f t="shared" si="39"/>
        <v>-9.5370863602509018E-4</v>
      </c>
      <c r="BB141" s="479">
        <f t="shared" si="39"/>
        <v>0</v>
      </c>
      <c r="BC141" s="516"/>
      <c r="BE141" s="480">
        <f t="shared" si="40"/>
        <v>0.27317049218812345</v>
      </c>
      <c r="BF141" s="480" t="str">
        <f t="shared" si="41"/>
        <v/>
      </c>
    </row>
    <row r="142" spans="1:58" ht="15.6" x14ac:dyDescent="0.3">
      <c r="A142" s="152">
        <v>2021</v>
      </c>
      <c r="B142" s="178"/>
      <c r="C142" s="182"/>
      <c r="D142" s="183"/>
      <c r="E142" s="179">
        <f t="shared" si="47"/>
        <v>7.1326594849397667E-3</v>
      </c>
      <c r="F142" s="183">
        <f t="shared" si="48"/>
        <v>7.1563698941039689E-3</v>
      </c>
      <c r="G142" s="247">
        <f t="shared" si="35"/>
        <v>0.14933448161204751</v>
      </c>
      <c r="H142" s="246"/>
      <c r="I142" s="417"/>
      <c r="J142" s="178"/>
      <c r="K142" s="182"/>
      <c r="L142" s="183"/>
      <c r="M142" s="179">
        <f t="shared" si="36"/>
        <v>8.6513741280613444E-3</v>
      </c>
      <c r="N142" s="183">
        <f t="shared" si="49"/>
        <v>8.6799285441240843E-3</v>
      </c>
      <c r="O142" s="247">
        <f t="shared" si="37"/>
        <v>0.18113138211263294</v>
      </c>
      <c r="P142" s="246"/>
      <c r="Q142" s="417"/>
      <c r="R142" s="439"/>
      <c r="S142" s="440"/>
      <c r="T142" s="439"/>
      <c r="U142" s="440"/>
      <c r="V142" s="506"/>
      <c r="W142" s="259">
        <f>IF(W$135="Y",E142*$F$21*'Emissions Factors'!$B18,"")</f>
        <v>0.17799516703693788</v>
      </c>
      <c r="X142" s="259" t="str">
        <f>IF(X$135="Y",E142*'Emissions Factors'!$R$36*$F$22/10^6,"")</f>
        <v/>
      </c>
      <c r="Y142" s="441"/>
      <c r="Z142" s="441"/>
      <c r="AA142" s="509"/>
      <c r="AB142" s="441">
        <f t="shared" si="42"/>
        <v>0.17799516703693788</v>
      </c>
      <c r="AC142" s="441">
        <f t="shared" si="43"/>
        <v>0</v>
      </c>
      <c r="AE142" s="182"/>
      <c r="AF142" s="178"/>
      <c r="AG142" s="182"/>
      <c r="AH142" s="178"/>
      <c r="AJ142" s="259">
        <f>IF(AJ$135="Y",M142*$F$21*'Emissions Factors'!$B18,"")</f>
        <v>0.21589461634538212</v>
      </c>
      <c r="AK142" s="259" t="str">
        <f>IF(AK$135="Y",M142*'Emissions Factors'!$R$36*$F$22/10^6,"")</f>
        <v/>
      </c>
      <c r="AL142" s="180"/>
      <c r="AM142" s="180"/>
      <c r="AO142" s="180">
        <f t="shared" si="44"/>
        <v>0.21589461634538212</v>
      </c>
      <c r="AP142" s="180">
        <f t="shared" si="45"/>
        <v>0</v>
      </c>
      <c r="AS142" s="430"/>
      <c r="AT142" s="478">
        <v>2021</v>
      </c>
      <c r="AU142" s="479">
        <f t="shared" si="46"/>
        <v>0.39388978338232</v>
      </c>
      <c r="AV142" s="479">
        <f t="shared" si="46"/>
        <v>0</v>
      </c>
      <c r="AW142" s="430"/>
      <c r="AX142" s="479">
        <f t="shared" si="38"/>
        <v>0.10794730817269106</v>
      </c>
      <c r="AY142" s="479">
        <f t="shared" si="38"/>
        <v>0</v>
      </c>
      <c r="AZ142" s="430"/>
      <c r="BA142" s="479">
        <f t="shared" si="39"/>
        <v>0.28594247520962895</v>
      </c>
      <c r="BB142" s="479">
        <f t="shared" si="39"/>
        <v>0</v>
      </c>
      <c r="BC142" s="516"/>
      <c r="BE142" s="480">
        <f t="shared" si="40"/>
        <v>0.27405460290376332</v>
      </c>
      <c r="BF142" s="480" t="str">
        <f t="shared" si="41"/>
        <v/>
      </c>
    </row>
    <row r="143" spans="1:58" ht="15.6" x14ac:dyDescent="0.3">
      <c r="A143" s="152">
        <v>2022</v>
      </c>
      <c r="B143" s="178"/>
      <c r="C143" s="182"/>
      <c r="D143" s="183"/>
      <c r="E143" s="179">
        <f t="shared" si="47"/>
        <v>1.6642622313405391E-2</v>
      </c>
      <c r="F143" s="183">
        <f t="shared" si="48"/>
        <v>9.5099628284656245E-3</v>
      </c>
      <c r="G143" s="247">
        <f t="shared" si="35"/>
        <v>0.15406431958716899</v>
      </c>
      <c r="H143" s="246"/>
      <c r="I143" s="417"/>
      <c r="J143" s="178"/>
      <c r="K143" s="182"/>
      <c r="L143" s="183"/>
      <c r="M143" s="179">
        <f t="shared" si="36"/>
        <v>2.0332236744272234E-2</v>
      </c>
      <c r="N143" s="183">
        <f t="shared" si="49"/>
        <v>1.168086261621089E-2</v>
      </c>
      <c r="O143" s="247">
        <f t="shared" si="37"/>
        <v>0.18821987068518503</v>
      </c>
      <c r="P143" s="246"/>
      <c r="Q143" s="417"/>
      <c r="R143" s="182"/>
      <c r="S143" s="178"/>
      <c r="T143" s="182"/>
      <c r="U143" s="178"/>
      <c r="V143" s="506"/>
      <c r="W143" s="259">
        <f>IF(W$135="Y",E143*$F$21*'Emissions Factors'!$B19,"")</f>
        <v>0.41284654338593335</v>
      </c>
      <c r="X143" s="259" t="str">
        <f>IF(X$135="Y",E143*'Emissions Factors'!$R$36*$F$22/10^6,"")</f>
        <v/>
      </c>
      <c r="Y143" s="180"/>
      <c r="Z143" s="180"/>
      <c r="AA143" s="509"/>
      <c r="AB143" s="180">
        <f t="shared" si="42"/>
        <v>0.41284654338593335</v>
      </c>
      <c r="AC143" s="180">
        <f t="shared" si="43"/>
        <v>0</v>
      </c>
      <c r="AE143" s="182"/>
      <c r="AF143" s="178"/>
      <c r="AG143" s="182"/>
      <c r="AH143" s="178"/>
      <c r="AJ143" s="259">
        <f>IF(AJ$135="Y",M143*$F$21*'Emissions Factors'!$B19,"")</f>
        <v>0.50437325927993537</v>
      </c>
      <c r="AK143" s="259" t="str">
        <f>IF(AK$135="Y",M143*'Emissions Factors'!$R$36*$F$22/10^6,"")</f>
        <v/>
      </c>
      <c r="AL143" s="180"/>
      <c r="AM143" s="180"/>
      <c r="AO143" s="180">
        <f t="shared" si="44"/>
        <v>0.50437325927993537</v>
      </c>
      <c r="AP143" s="180">
        <f t="shared" si="45"/>
        <v>0</v>
      </c>
      <c r="AS143" s="430"/>
      <c r="AT143" s="478">
        <v>2022</v>
      </c>
      <c r="AU143" s="479">
        <f t="shared" si="46"/>
        <v>0.91721980266586867</v>
      </c>
      <c r="AV143" s="479">
        <f t="shared" si="46"/>
        <v>0</v>
      </c>
      <c r="AW143" s="430"/>
      <c r="AX143" s="479">
        <f t="shared" si="38"/>
        <v>0.25218662963996769</v>
      </c>
      <c r="AY143" s="479">
        <f t="shared" si="38"/>
        <v>0</v>
      </c>
      <c r="AZ143" s="430"/>
      <c r="BA143" s="479">
        <f t="shared" si="39"/>
        <v>0.66503317302590093</v>
      </c>
      <c r="BB143" s="479">
        <f t="shared" si="39"/>
        <v>0</v>
      </c>
      <c r="BC143" s="516"/>
      <c r="BE143" s="480">
        <f t="shared" si="40"/>
        <v>0.27494677819536351</v>
      </c>
      <c r="BF143" s="480" t="str">
        <f t="shared" si="41"/>
        <v/>
      </c>
    </row>
    <row r="144" spans="1:58" ht="15.6" x14ac:dyDescent="0.3">
      <c r="A144" s="152">
        <v>2023</v>
      </c>
      <c r="B144" s="178"/>
      <c r="C144" s="182"/>
      <c r="D144" s="183"/>
      <c r="E144" s="179">
        <f t="shared" si="47"/>
        <v>2.8137440346845479E-2</v>
      </c>
      <c r="F144" s="183">
        <f t="shared" si="48"/>
        <v>1.1494818033440088E-2</v>
      </c>
      <c r="G144" s="247">
        <f t="shared" si="35"/>
        <v>0.15707522896340781</v>
      </c>
      <c r="H144" s="246"/>
      <c r="I144" s="417"/>
      <c r="J144" s="178"/>
      <c r="K144" s="182"/>
      <c r="L144" s="183"/>
      <c r="M144" s="179">
        <f t="shared" si="36"/>
        <v>3.4626191787681691E-2</v>
      </c>
      <c r="N144" s="183">
        <f t="shared" si="49"/>
        <v>1.4293955043409457E-2</v>
      </c>
      <c r="O144" s="247">
        <f t="shared" si="37"/>
        <v>0.19329821533644714</v>
      </c>
      <c r="P144" s="246"/>
      <c r="Q144" s="417"/>
      <c r="R144" s="182"/>
      <c r="S144" s="178"/>
      <c r="T144" s="182"/>
      <c r="U144" s="178"/>
      <c r="V144" s="506"/>
      <c r="W144" s="259">
        <f>IF(W$135="Y",E144*$F$21*'Emissions Factors'!$B20,"")</f>
        <v>0.69391931804605911</v>
      </c>
      <c r="X144" s="259" t="str">
        <f>IF(X$135="Y",E144*'Emissions Factors'!$R$36*$F$22/10^6,"")</f>
        <v/>
      </c>
      <c r="Y144" s="180"/>
      <c r="Z144" s="180"/>
      <c r="AA144" s="509"/>
      <c r="AB144" s="180">
        <f t="shared" si="42"/>
        <v>0.69391931804605911</v>
      </c>
      <c r="AC144" s="180">
        <f t="shared" si="43"/>
        <v>0</v>
      </c>
      <c r="AE144" s="182"/>
      <c r="AF144" s="178"/>
      <c r="AG144" s="182"/>
      <c r="AH144" s="178"/>
      <c r="AJ144" s="259">
        <f>IF(AJ$135="Y",M144*$F$21*'Emissions Factors'!$B20,"")</f>
        <v>0.85394346805017451</v>
      </c>
      <c r="AK144" s="259" t="str">
        <f>IF(AK$135="Y",M144*'Emissions Factors'!$R$36*$F$22/10^6,"")</f>
        <v/>
      </c>
      <c r="AL144" s="180"/>
      <c r="AM144" s="180"/>
      <c r="AO144" s="180">
        <f t="shared" si="44"/>
        <v>0.85394346805017451</v>
      </c>
      <c r="AP144" s="180">
        <f t="shared" si="45"/>
        <v>0</v>
      </c>
      <c r="AS144" s="430"/>
      <c r="AT144" s="478">
        <v>2023</v>
      </c>
      <c r="AU144" s="479">
        <f t="shared" si="46"/>
        <v>1.5478627860962337</v>
      </c>
      <c r="AV144" s="479">
        <f t="shared" si="46"/>
        <v>0</v>
      </c>
      <c r="AW144" s="430"/>
      <c r="AX144" s="479">
        <f t="shared" si="38"/>
        <v>0.42697173402508726</v>
      </c>
      <c r="AY144" s="479">
        <f t="shared" si="38"/>
        <v>0</v>
      </c>
      <c r="AZ144" s="430"/>
      <c r="BA144" s="479">
        <f t="shared" si="39"/>
        <v>1.1208910520711464</v>
      </c>
      <c r="BB144" s="479">
        <f t="shared" si="39"/>
        <v>0</v>
      </c>
      <c r="BC144" s="516"/>
      <c r="BE144" s="480">
        <f t="shared" si="40"/>
        <v>0.27584598445055036</v>
      </c>
      <c r="BF144" s="480" t="str">
        <f t="shared" si="41"/>
        <v/>
      </c>
    </row>
    <row r="145" spans="1:58" ht="15.6" x14ac:dyDescent="0.3">
      <c r="A145" s="152">
        <v>2024</v>
      </c>
      <c r="B145" s="178"/>
      <c r="C145" s="182"/>
      <c r="D145" s="183"/>
      <c r="E145" s="179">
        <f t="shared" si="47"/>
        <v>4.1425404605802296E-2</v>
      </c>
      <c r="F145" s="183">
        <f t="shared" si="48"/>
        <v>1.3287964258956817E-2</v>
      </c>
      <c r="G145" s="247">
        <f t="shared" si="35"/>
        <v>0.15914441421611161</v>
      </c>
      <c r="H145" s="246"/>
      <c r="I145" s="417"/>
      <c r="J145" s="178"/>
      <c r="K145" s="182"/>
      <c r="L145" s="183"/>
      <c r="M145" s="179">
        <f t="shared" si="36"/>
        <v>5.1352997960604919E-2</v>
      </c>
      <c r="N145" s="183">
        <f t="shared" si="49"/>
        <v>1.6726806172923228E-2</v>
      </c>
      <c r="O145" s="247">
        <f t="shared" si="37"/>
        <v>0.19728335441621608</v>
      </c>
      <c r="P145" s="246"/>
      <c r="Q145" s="417"/>
      <c r="R145" s="182"/>
      <c r="S145" s="178"/>
      <c r="T145" s="182"/>
      <c r="U145" s="178"/>
      <c r="V145" s="506"/>
      <c r="W145" s="259">
        <f>IF(W$135="Y",E145*$F$21*'Emissions Factors'!$B21,"")</f>
        <v>1.01575988385769</v>
      </c>
      <c r="X145" s="259" t="str">
        <f>IF(X$135="Y",E145*'Emissions Factors'!$R$36*$F$22/10^6,"")</f>
        <v/>
      </c>
      <c r="Y145" s="180"/>
      <c r="Z145" s="180"/>
      <c r="AA145" s="509"/>
      <c r="AB145" s="180">
        <f t="shared" si="42"/>
        <v>1.01575988385769</v>
      </c>
      <c r="AC145" s="180">
        <f t="shared" si="43"/>
        <v>0</v>
      </c>
      <c r="AE145" s="182"/>
      <c r="AF145" s="178"/>
      <c r="AG145" s="182"/>
      <c r="AH145" s="178"/>
      <c r="AJ145" s="259">
        <f>IF(AJ$135="Y",M145*$F$21*'Emissions Factors'!$B21,"")</f>
        <v>1.2591866208809961</v>
      </c>
      <c r="AK145" s="259" t="str">
        <f>IF(AK$135="Y",M145*'Emissions Factors'!$R$36*$F$22/10^6,"")</f>
        <v/>
      </c>
      <c r="AL145" s="180"/>
      <c r="AM145" s="180"/>
      <c r="AO145" s="180">
        <f t="shared" si="44"/>
        <v>1.2591866208809961</v>
      </c>
      <c r="AP145" s="180">
        <f t="shared" si="45"/>
        <v>0</v>
      </c>
      <c r="AS145" s="430"/>
      <c r="AT145" s="478">
        <v>2024</v>
      </c>
      <c r="AU145" s="479">
        <f t="shared" si="46"/>
        <v>2.2749465047386863</v>
      </c>
      <c r="AV145" s="479">
        <f t="shared" si="46"/>
        <v>0</v>
      </c>
      <c r="AW145" s="430"/>
      <c r="AX145" s="479">
        <f t="shared" si="38"/>
        <v>0.62959331044049804</v>
      </c>
      <c r="AY145" s="479">
        <f t="shared" si="38"/>
        <v>0</v>
      </c>
      <c r="AZ145" s="430"/>
      <c r="BA145" s="479">
        <f t="shared" si="39"/>
        <v>1.6453531942981883</v>
      </c>
      <c r="BB145" s="479">
        <f t="shared" si="39"/>
        <v>0</v>
      </c>
      <c r="BC145" s="516"/>
      <c r="BE145" s="480">
        <f t="shared" si="40"/>
        <v>0.27675081991117711</v>
      </c>
      <c r="BF145" s="480" t="str">
        <f t="shared" si="41"/>
        <v/>
      </c>
    </row>
    <row r="146" spans="1:58" ht="15.6" x14ac:dyDescent="0.3">
      <c r="A146" s="152">
        <v>2025</v>
      </c>
      <c r="B146" s="178"/>
      <c r="C146" s="182"/>
      <c r="D146" s="183"/>
      <c r="E146" s="179">
        <f t="shared" si="47"/>
        <v>5.6367045183875648E-2</v>
      </c>
      <c r="F146" s="183">
        <f t="shared" si="48"/>
        <v>1.4941640578073352E-2</v>
      </c>
      <c r="G146" s="247">
        <f t="shared" si="35"/>
        <v>0.16062280577220439</v>
      </c>
      <c r="H146" s="246"/>
      <c r="I146" s="417"/>
      <c r="J146" s="178"/>
      <c r="K146" s="182"/>
      <c r="L146" s="183"/>
      <c r="M146" s="179">
        <f t="shared" si="36"/>
        <v>7.0391647461360923E-2</v>
      </c>
      <c r="N146" s="183">
        <f t="shared" si="49"/>
        <v>1.9038649500756004E-2</v>
      </c>
      <c r="O146" s="247">
        <f t="shared" si="37"/>
        <v>0.20058713174140264</v>
      </c>
      <c r="P146" s="246"/>
      <c r="Q146" s="417"/>
      <c r="R146" s="182"/>
      <c r="S146" s="178"/>
      <c r="T146" s="182"/>
      <c r="U146" s="178"/>
      <c r="V146" s="506"/>
      <c r="W146" s="259">
        <f>IF(W$135="Y",E146*$F$21*'Emissions Factors'!$B22,"")</f>
        <v>1.375101791134125</v>
      </c>
      <c r="X146" s="259" t="str">
        <f>IF(X$135="Y",E146*'Emissions Factors'!$R$36*$F$22/10^6,"")</f>
        <v/>
      </c>
      <c r="Y146" s="180"/>
      <c r="Z146" s="180"/>
      <c r="AA146" s="509"/>
      <c r="AB146" s="180">
        <f t="shared" si="42"/>
        <v>1.375101791134125</v>
      </c>
      <c r="AC146" s="180">
        <f t="shared" si="43"/>
        <v>0</v>
      </c>
      <c r="AE146" s="182"/>
      <c r="AF146" s="178"/>
      <c r="AG146" s="182"/>
      <c r="AH146" s="178"/>
      <c r="AJ146" s="259">
        <f>IF(AJ$135="Y",M146*$F$21*'Emissions Factors'!$B22,"")</f>
        <v>1.7172388616298915</v>
      </c>
      <c r="AK146" s="259" t="str">
        <f>IF(AK$135="Y",M146*'Emissions Factors'!$R$36*$F$22/10^6,"")</f>
        <v/>
      </c>
      <c r="AL146" s="180"/>
      <c r="AM146" s="180"/>
      <c r="AO146" s="180">
        <f t="shared" si="44"/>
        <v>1.7172388616298915</v>
      </c>
      <c r="AP146" s="180">
        <f t="shared" si="45"/>
        <v>0</v>
      </c>
      <c r="AS146" s="430"/>
      <c r="AT146" s="478">
        <v>2025</v>
      </c>
      <c r="AU146" s="479">
        <f t="shared" si="46"/>
        <v>3.0923406527640163</v>
      </c>
      <c r="AV146" s="479">
        <f t="shared" si="46"/>
        <v>0</v>
      </c>
      <c r="AW146" s="430"/>
      <c r="AX146" s="479">
        <f t="shared" si="38"/>
        <v>0.85861943081494574</v>
      </c>
      <c r="AY146" s="479">
        <f t="shared" si="38"/>
        <v>0</v>
      </c>
      <c r="AZ146" s="430"/>
      <c r="BA146" s="479">
        <f t="shared" si="39"/>
        <v>2.2337212219490707</v>
      </c>
      <c r="BB146" s="479">
        <f t="shared" si="39"/>
        <v>0</v>
      </c>
      <c r="BC146" s="516"/>
      <c r="BE146" s="480">
        <f t="shared" si="40"/>
        <v>0.27766004047694059</v>
      </c>
      <c r="BF146" s="480" t="str">
        <f t="shared" si="41"/>
        <v/>
      </c>
    </row>
    <row r="147" spans="1:58" ht="15.6" x14ac:dyDescent="0.3">
      <c r="A147" s="152">
        <v>2026</v>
      </c>
      <c r="B147" s="178"/>
      <c r="C147" s="182"/>
      <c r="D147" s="183"/>
      <c r="E147" s="179">
        <f t="shared" si="47"/>
        <v>7.2826260604105755E-2</v>
      </c>
      <c r="F147" s="183">
        <f t="shared" si="48"/>
        <v>1.6459215420230107E-2</v>
      </c>
      <c r="G147" s="247">
        <f t="shared" si="35"/>
        <v>0.16169978297856796</v>
      </c>
      <c r="H147" s="246"/>
      <c r="I147" s="417"/>
      <c r="J147" s="178"/>
      <c r="K147" s="182"/>
      <c r="L147" s="183"/>
      <c r="M147" s="179">
        <f t="shared" si="36"/>
        <v>9.1621230289070515E-2</v>
      </c>
      <c r="N147" s="183">
        <f t="shared" si="49"/>
        <v>2.1229582827709592E-2</v>
      </c>
      <c r="O147" s="247">
        <f t="shared" si="37"/>
        <v>0.2034311926917316</v>
      </c>
      <c r="P147" s="246"/>
      <c r="Q147" s="417"/>
      <c r="R147" s="182"/>
      <c r="S147" s="178"/>
      <c r="T147" s="182"/>
      <c r="U147" s="178"/>
      <c r="V147" s="506"/>
      <c r="W147" s="259">
        <f>IF(W$135="Y",E147*$F$21*'Emissions Factors'!$B23,"")</f>
        <v>1.76571621166394</v>
      </c>
      <c r="X147" s="259" t="str">
        <f>IF(X$135="Y",E147*'Emissions Factors'!$R$36*$F$22/10^6,"")</f>
        <v/>
      </c>
      <c r="Y147" s="180"/>
      <c r="Z147" s="180"/>
      <c r="AA147" s="509"/>
      <c r="AB147" s="180">
        <f t="shared" si="42"/>
        <v>1.76571621166394</v>
      </c>
      <c r="AC147" s="180">
        <f t="shared" si="43"/>
        <v>0</v>
      </c>
      <c r="AE147" s="182"/>
      <c r="AF147" s="178"/>
      <c r="AG147" s="182"/>
      <c r="AH147" s="178"/>
      <c r="AJ147" s="259">
        <f>IF(AJ$135="Y",M147*$F$21*'Emissions Factors'!$B23,"")</f>
        <v>2.2214114841547481</v>
      </c>
      <c r="AK147" s="259" t="str">
        <f>IF(AK$135="Y",M147*'Emissions Factors'!$R$36*$F$22/10^6,"")</f>
        <v/>
      </c>
      <c r="AL147" s="180"/>
      <c r="AM147" s="180"/>
      <c r="AO147" s="180">
        <f t="shared" si="44"/>
        <v>2.2214114841547481</v>
      </c>
      <c r="AP147" s="180">
        <f t="shared" si="45"/>
        <v>0</v>
      </c>
      <c r="AS147" s="430"/>
      <c r="AT147" s="478">
        <v>2026</v>
      </c>
      <c r="AU147" s="479">
        <f t="shared" si="46"/>
        <v>3.9871276958186881</v>
      </c>
      <c r="AV147" s="479">
        <f t="shared" si="46"/>
        <v>0</v>
      </c>
      <c r="AW147" s="430"/>
      <c r="AX147" s="479">
        <f t="shared" si="38"/>
        <v>1.110705742077374</v>
      </c>
      <c r="AY147" s="479">
        <f t="shared" si="38"/>
        <v>0</v>
      </c>
      <c r="AZ147" s="430"/>
      <c r="BA147" s="479">
        <f t="shared" si="39"/>
        <v>2.876421953741314</v>
      </c>
      <c r="BB147" s="479">
        <f t="shared" si="39"/>
        <v>0</v>
      </c>
      <c r="BC147" s="516"/>
      <c r="BE147" s="480">
        <f t="shared" si="40"/>
        <v>0.27857290430957959</v>
      </c>
      <c r="BF147" s="480" t="str">
        <f t="shared" si="41"/>
        <v/>
      </c>
    </row>
    <row r="148" spans="1:58" ht="15.6" x14ac:dyDescent="0.3">
      <c r="A148" s="152">
        <v>2027</v>
      </c>
      <c r="B148" s="178"/>
      <c r="C148" s="182"/>
      <c r="D148" s="183"/>
      <c r="E148" s="179">
        <f t="shared" si="47"/>
        <v>9.0681278592975853E-2</v>
      </c>
      <c r="F148" s="183">
        <f t="shared" si="48"/>
        <v>1.7855017988870098E-2</v>
      </c>
      <c r="G148" s="247">
        <f t="shared" si="35"/>
        <v>0.16249556809350582</v>
      </c>
      <c r="H148" s="246"/>
      <c r="I148" s="417"/>
      <c r="J148" s="178"/>
      <c r="K148" s="182"/>
      <c r="L148" s="183"/>
      <c r="M148" s="179">
        <f t="shared" si="36"/>
        <v>0.11493475767181016</v>
      </c>
      <c r="N148" s="183">
        <f t="shared" si="49"/>
        <v>2.3313527382739646E-2</v>
      </c>
      <c r="O148" s="247">
        <f t="shared" si="37"/>
        <v>0.20595638958069221</v>
      </c>
      <c r="P148" s="246"/>
      <c r="Q148" s="417"/>
      <c r="R148" s="182"/>
      <c r="S148" s="178"/>
      <c r="T148" s="182"/>
      <c r="U148" s="182"/>
      <c r="V148" s="506"/>
      <c r="W148" s="259">
        <f>IF(W$135="Y",E148*$F$21*'Emissions Factors'!$B24,"")</f>
        <v>2.1865051978108108</v>
      </c>
      <c r="X148" s="259" t="str">
        <f>IF(X$135="Y",E148*'Emissions Factors'!$R$36*$F$22/10^6,"")</f>
        <v/>
      </c>
      <c r="Y148" s="180"/>
      <c r="Z148" s="180"/>
      <c r="AA148" s="509"/>
      <c r="AB148" s="180">
        <f t="shared" si="42"/>
        <v>2.1865051978108108</v>
      </c>
      <c r="AC148" s="180">
        <f>SUM(R148:U148)</f>
        <v>0</v>
      </c>
      <c r="AE148" s="182"/>
      <c r="AF148" s="178"/>
      <c r="AG148" s="182"/>
      <c r="AH148" s="178"/>
      <c r="AJ148" s="259">
        <f>IF(AJ$135="Y",M148*$F$21*'Emissions Factors'!$B24,"")</f>
        <v>2.7713046061748505</v>
      </c>
      <c r="AK148" s="259" t="str">
        <f>IF(AK$135="Y",M148*'Emissions Factors'!$R$36*$F$22/10^6,"")</f>
        <v/>
      </c>
      <c r="AL148" s="180"/>
      <c r="AM148" s="180"/>
      <c r="AO148" s="180">
        <f t="shared" si="44"/>
        <v>2.7713046061748505</v>
      </c>
      <c r="AP148" s="180">
        <f t="shared" si="45"/>
        <v>0</v>
      </c>
      <c r="AS148" s="430"/>
      <c r="AT148" s="478">
        <v>2027</v>
      </c>
      <c r="AU148" s="479">
        <f t="shared" si="46"/>
        <v>4.9578098039856613</v>
      </c>
      <c r="AV148" s="479">
        <f t="shared" si="46"/>
        <v>0</v>
      </c>
      <c r="AW148" s="430"/>
      <c r="AX148" s="479">
        <f t="shared" si="38"/>
        <v>1.3856523030874253</v>
      </c>
      <c r="AY148" s="479">
        <f t="shared" si="38"/>
        <v>0</v>
      </c>
      <c r="AZ148" s="430"/>
      <c r="BA148" s="479">
        <f t="shared" si="39"/>
        <v>3.572157500898236</v>
      </c>
      <c r="BB148" s="479">
        <f t="shared" si="39"/>
        <v>0</v>
      </c>
      <c r="BC148" s="516"/>
      <c r="BE148" s="480">
        <f t="shared" si="40"/>
        <v>0.279488798052212</v>
      </c>
      <c r="BF148" s="480" t="str">
        <f t="shared" si="41"/>
        <v/>
      </c>
    </row>
    <row r="149" spans="1:58" ht="15.6" x14ac:dyDescent="0.3">
      <c r="A149" s="152">
        <v>2028</v>
      </c>
      <c r="B149" s="178"/>
      <c r="C149" s="182"/>
      <c r="D149" s="183"/>
      <c r="E149" s="179">
        <f t="shared" si="47"/>
        <v>0.10989791475972581</v>
      </c>
      <c r="F149" s="183">
        <f t="shared" si="48"/>
        <v>1.9216636166749956E-2</v>
      </c>
      <c r="G149" s="247">
        <f t="shared" si="35"/>
        <v>0.1631072934710095</v>
      </c>
      <c r="H149" s="246"/>
      <c r="I149" s="417"/>
      <c r="J149" s="178"/>
      <c r="K149" s="182"/>
      <c r="L149" s="183"/>
      <c r="M149" s="179">
        <f t="shared" si="36"/>
        <v>0.14033270267885659</v>
      </c>
      <c r="N149" s="183">
        <f t="shared" si="49"/>
        <v>2.5397945007046424E-2</v>
      </c>
      <c r="O149" s="247">
        <f t="shared" si="37"/>
        <v>0.20827772182451271</v>
      </c>
      <c r="P149" s="246"/>
      <c r="Q149" s="417"/>
      <c r="R149" s="182"/>
      <c r="S149" s="178"/>
      <c r="T149" s="182"/>
      <c r="U149" s="178"/>
      <c r="V149" s="506"/>
      <c r="W149" s="259">
        <f>IF(W$135="Y",E149*$F$21*'Emissions Factors'!$B25,"")</f>
        <v>2.6354045129783987</v>
      </c>
      <c r="X149" s="259" t="str">
        <f>IF(X$135="Y",E149*'Emissions Factors'!$R$36*$F$22/10^6,"")</f>
        <v/>
      </c>
      <c r="Y149" s="180"/>
      <c r="Z149" s="180"/>
      <c r="AA149" s="509"/>
      <c r="AB149" s="180">
        <f t="shared" si="42"/>
        <v>2.6354045129783987</v>
      </c>
      <c r="AC149" s="180">
        <f t="shared" si="43"/>
        <v>0</v>
      </c>
      <c r="AE149" s="182"/>
      <c r="AF149" s="178"/>
      <c r="AG149" s="182"/>
      <c r="AH149" s="178"/>
      <c r="AJ149" s="259">
        <f>IF(AJ$135="Y",M149*$F$21*'Emissions Factors'!$B25,"")</f>
        <v>3.3652452711855005</v>
      </c>
      <c r="AK149" s="259" t="str">
        <f>IF(AK$135="Y",M149*'Emissions Factors'!$R$36*$F$22/10^6,"")</f>
        <v/>
      </c>
      <c r="AL149" s="180"/>
      <c r="AM149" s="180"/>
      <c r="AO149" s="180">
        <f t="shared" si="44"/>
        <v>3.3652452711855005</v>
      </c>
      <c r="AP149" s="180">
        <f t="shared" si="45"/>
        <v>0</v>
      </c>
      <c r="AS149" s="430"/>
      <c r="AT149" s="478">
        <v>2028</v>
      </c>
      <c r="AU149" s="479">
        <f t="shared" si="46"/>
        <v>6.0006497841638993</v>
      </c>
      <c r="AV149" s="479">
        <f t="shared" si="46"/>
        <v>0</v>
      </c>
      <c r="AW149" s="430"/>
      <c r="AX149" s="479">
        <f t="shared" si="38"/>
        <v>1.6826226355927503</v>
      </c>
      <c r="AY149" s="479">
        <f t="shared" si="38"/>
        <v>0</v>
      </c>
      <c r="AZ149" s="430"/>
      <c r="BA149" s="479">
        <f t="shared" si="39"/>
        <v>4.318027148571149</v>
      </c>
      <c r="BB149" s="479">
        <f t="shared" si="39"/>
        <v>0</v>
      </c>
      <c r="BC149" s="516"/>
      <c r="BE149" s="480">
        <f t="shared" si="40"/>
        <v>0.28040673862242382</v>
      </c>
      <c r="BF149" s="480" t="str">
        <f t="shared" si="41"/>
        <v/>
      </c>
    </row>
    <row r="150" spans="1:58" ht="15.6" x14ac:dyDescent="0.3">
      <c r="A150" s="152">
        <v>2029</v>
      </c>
      <c r="B150" s="178"/>
      <c r="C150" s="182"/>
      <c r="D150" s="183"/>
      <c r="E150" s="179">
        <f t="shared" si="47"/>
        <v>0.13047244334685684</v>
      </c>
      <c r="F150" s="183">
        <f t="shared" si="48"/>
        <v>2.0574528587131033E-2</v>
      </c>
      <c r="G150" s="247">
        <f t="shared" si="35"/>
        <v>0.16360024659704936</v>
      </c>
      <c r="H150" s="246"/>
      <c r="I150" s="417"/>
      <c r="J150" s="178"/>
      <c r="K150" s="182"/>
      <c r="L150" s="183"/>
      <c r="M150" s="179">
        <f t="shared" si="36"/>
        <v>0.1678535123005091</v>
      </c>
      <c r="N150" s="183">
        <f t="shared" si="49"/>
        <v>2.7520809621652514E-2</v>
      </c>
      <c r="O150" s="247">
        <f t="shared" si="37"/>
        <v>0.21047261245457236</v>
      </c>
      <c r="P150" s="246"/>
      <c r="Q150" s="417"/>
      <c r="R150" s="182"/>
      <c r="S150" s="178"/>
      <c r="T150" s="182"/>
      <c r="U150" s="178"/>
      <c r="V150" s="506"/>
      <c r="W150" s="259">
        <f>IF(W$135="Y",E150*$F$21*'Emissions Factors'!$B26,"")</f>
        <v>3.1118785711554131</v>
      </c>
      <c r="X150" s="259" t="str">
        <f>IF(X$135="Y",E150*'Emissions Factors'!$R$36*$F$22/10^6,"")</f>
        <v/>
      </c>
      <c r="Y150" s="180"/>
      <c r="Z150" s="180"/>
      <c r="AA150" s="509"/>
      <c r="AB150" s="180">
        <f t="shared" si="42"/>
        <v>3.1118785711554131</v>
      </c>
      <c r="AC150" s="180">
        <f t="shared" si="43"/>
        <v>0</v>
      </c>
      <c r="AE150" s="182"/>
      <c r="AF150" s="178"/>
      <c r="AG150" s="182"/>
      <c r="AH150" s="178"/>
      <c r="AJ150" s="259">
        <f>IF(AJ$135="Y",M150*$F$21*'Emissions Factors'!$B26,"")</f>
        <v>4.0034488097421628</v>
      </c>
      <c r="AK150" s="259" t="str">
        <f>IF(AK$135="Y",M150*'Emissions Factors'!$R$36*$F$22/10^6,"")</f>
        <v/>
      </c>
      <c r="AL150" s="180"/>
      <c r="AM150" s="180"/>
      <c r="AO150" s="180">
        <f t="shared" si="44"/>
        <v>4.0034488097421628</v>
      </c>
      <c r="AP150" s="180">
        <f t="shared" si="45"/>
        <v>0</v>
      </c>
      <c r="AS150" s="430"/>
      <c r="AT150" s="478">
        <v>2029</v>
      </c>
      <c r="AU150" s="479">
        <f t="shared" si="46"/>
        <v>7.1153273808975754</v>
      </c>
      <c r="AV150" s="479">
        <f t="shared" si="46"/>
        <v>0</v>
      </c>
      <c r="AW150" s="430"/>
      <c r="AX150" s="479">
        <f t="shared" si="38"/>
        <v>2.0017244048710814</v>
      </c>
      <c r="AY150" s="479">
        <f t="shared" si="38"/>
        <v>0</v>
      </c>
      <c r="AZ150" s="430"/>
      <c r="BA150" s="479">
        <f t="shared" si="39"/>
        <v>5.1136029760264936</v>
      </c>
      <c r="BB150" s="479">
        <f t="shared" si="39"/>
        <v>0</v>
      </c>
      <c r="BC150" s="516"/>
      <c r="BE150" s="480">
        <f t="shared" si="40"/>
        <v>0.2813256927917448</v>
      </c>
      <c r="BF150" s="480" t="str">
        <f t="shared" si="41"/>
        <v/>
      </c>
    </row>
    <row r="151" spans="1:58" ht="15.6" x14ac:dyDescent="0.3">
      <c r="A151" s="152">
        <v>2030</v>
      </c>
      <c r="B151" s="178"/>
      <c r="C151" s="182"/>
      <c r="D151" s="183"/>
      <c r="E151" s="179">
        <f t="shared" si="47"/>
        <v>0.15240547053113848</v>
      </c>
      <c r="F151" s="183">
        <f t="shared" si="48"/>
        <v>2.1933027184281639E-2</v>
      </c>
      <c r="G151" s="247">
        <f t="shared" si="35"/>
        <v>0.16401227792024869</v>
      </c>
      <c r="H151" s="246"/>
      <c r="I151" s="417"/>
      <c r="J151" s="178"/>
      <c r="K151" s="182"/>
      <c r="L151" s="183"/>
      <c r="M151" s="179">
        <f t="shared" si="36"/>
        <v>0.19754107227589918</v>
      </c>
      <c r="N151" s="183">
        <f t="shared" si="49"/>
        <v>2.9687559975390077E-2</v>
      </c>
      <c r="O151" s="247">
        <f t="shared" si="37"/>
        <v>0.2125852906320651</v>
      </c>
      <c r="P151" s="246"/>
      <c r="Q151" s="417"/>
      <c r="R151" s="182"/>
      <c r="S151" s="178"/>
      <c r="T151" s="182"/>
      <c r="U151" s="178"/>
      <c r="V151" s="506"/>
      <c r="W151" s="259">
        <f>IF(W$135="Y",E151*$F$21*'Emissions Factors'!$B27,"")</f>
        <v>3.616337751162138</v>
      </c>
      <c r="X151" s="259" t="str">
        <f>IF(X$135="Y",E151*'Emissions Factors'!$R$36*$F$22/10^6,"")</f>
        <v/>
      </c>
      <c r="Y151" s="180"/>
      <c r="Z151" s="180"/>
      <c r="AA151" s="509"/>
      <c r="AB151" s="180">
        <f t="shared" si="42"/>
        <v>3.616337751162138</v>
      </c>
      <c r="AC151" s="180">
        <f t="shared" si="43"/>
        <v>0</v>
      </c>
      <c r="AE151" s="182"/>
      <c r="AF151" s="178"/>
      <c r="AG151" s="182"/>
      <c r="AH151" s="178"/>
      <c r="AJ151" s="259">
        <f>IF(AJ$135="Y",M151*$F$21*'Emissions Factors'!$B27,"")</f>
        <v>4.687333299695605</v>
      </c>
      <c r="AK151" s="259" t="str">
        <f>IF(AK$135="Y",M151*'Emissions Factors'!$R$36*$F$22/10^6,"")</f>
        <v/>
      </c>
      <c r="AL151" s="180"/>
      <c r="AM151" s="180"/>
      <c r="AO151" s="180">
        <f t="shared" si="44"/>
        <v>4.687333299695605</v>
      </c>
      <c r="AP151" s="180">
        <f t="shared" si="45"/>
        <v>0</v>
      </c>
      <c r="AS151" s="430"/>
      <c r="AT151" s="478">
        <v>2030</v>
      </c>
      <c r="AU151" s="479">
        <f t="shared" si="46"/>
        <v>8.3036710508577425</v>
      </c>
      <c r="AV151" s="479">
        <f t="shared" si="46"/>
        <v>0</v>
      </c>
      <c r="AW151" s="430"/>
      <c r="AX151" s="479">
        <f t="shared" si="38"/>
        <v>2.3436666498478025</v>
      </c>
      <c r="AY151" s="479">
        <f t="shared" si="38"/>
        <v>0</v>
      </c>
      <c r="AZ151" s="430"/>
      <c r="BA151" s="479">
        <f t="shared" si="39"/>
        <v>5.9600044010099396</v>
      </c>
      <c r="BB151" s="479">
        <f t="shared" si="39"/>
        <v>0</v>
      </c>
      <c r="BC151" s="516"/>
      <c r="BE151" s="480">
        <f t="shared" si="40"/>
        <v>0.28224464041187053</v>
      </c>
      <c r="BF151" s="480" t="str">
        <f t="shared" si="41"/>
        <v/>
      </c>
    </row>
    <row r="152" spans="1:58" ht="15.6" x14ac:dyDescent="0.3">
      <c r="A152" s="152">
        <v>2031</v>
      </c>
      <c r="B152" s="178"/>
      <c r="C152" s="182"/>
      <c r="D152" s="183"/>
      <c r="E152" s="179">
        <f t="shared" si="47"/>
        <v>0.17565094217631433</v>
      </c>
      <c r="F152" s="183">
        <f t="shared" si="48"/>
        <v>2.3245471645175847E-2</v>
      </c>
      <c r="G152" s="247">
        <f t="shared" si="35"/>
        <v>0.16435294536138309</v>
      </c>
      <c r="H152" s="246"/>
      <c r="I152" s="417"/>
      <c r="J152" s="178"/>
      <c r="K152" s="182"/>
      <c r="L152" s="183"/>
      <c r="M152" s="179">
        <f t="shared" si="36"/>
        <v>0.22937884492155164</v>
      </c>
      <c r="N152" s="183">
        <f t="shared" si="49"/>
        <v>3.1837772645652462E-2</v>
      </c>
      <c r="O152" s="247">
        <f t="shared" si="37"/>
        <v>0.21462503018405377</v>
      </c>
      <c r="P152" s="246"/>
      <c r="Q152" s="417"/>
      <c r="R152" s="182"/>
      <c r="S152" s="178"/>
      <c r="T152" s="182"/>
      <c r="U152" s="178"/>
      <c r="V152" s="506"/>
      <c r="W152" s="259">
        <f>IF(W$135="Y",E152*$F$21*'Emissions Factors'!$B28,"")</f>
        <v>4.1447144932735922</v>
      </c>
      <c r="X152" s="259" t="str">
        <f>IF(X$135="Y",E152*'Emissions Factors'!$R$36*$F$22/10^6,"")</f>
        <v/>
      </c>
      <c r="Y152" s="180"/>
      <c r="Z152" s="180"/>
      <c r="AA152" s="509"/>
      <c r="AB152" s="180">
        <f t="shared" si="42"/>
        <v>4.1447144932735922</v>
      </c>
      <c r="AC152" s="180">
        <f t="shared" si="43"/>
        <v>0</v>
      </c>
      <c r="AE152" s="182"/>
      <c r="AF152" s="178"/>
      <c r="AG152" s="182"/>
      <c r="AH152" s="178"/>
      <c r="AJ152" s="259">
        <f>IF(AJ$135="Y",M152*$F$21*'Emissions Factors'!$B28,"")</f>
        <v>5.4124948674764886</v>
      </c>
      <c r="AK152" s="259" t="str">
        <f>IF(AK$135="Y",M152*'Emissions Factors'!$R$36*$F$22/10^6,"")</f>
        <v/>
      </c>
      <c r="AL152" s="180"/>
      <c r="AM152" s="180"/>
      <c r="AO152" s="180">
        <f t="shared" si="44"/>
        <v>5.4124948674764886</v>
      </c>
      <c r="AP152" s="180">
        <f t="shared" si="45"/>
        <v>0</v>
      </c>
      <c r="AS152" s="430"/>
      <c r="AT152" s="478">
        <v>2031</v>
      </c>
      <c r="AU152" s="479">
        <f t="shared" si="46"/>
        <v>9.5572093607500808</v>
      </c>
      <c r="AV152" s="479">
        <f t="shared" si="46"/>
        <v>0</v>
      </c>
      <c r="AW152" s="430"/>
      <c r="AX152" s="479">
        <f t="shared" si="38"/>
        <v>2.7062474337382443</v>
      </c>
      <c r="AY152" s="479">
        <f t="shared" si="38"/>
        <v>0</v>
      </c>
      <c r="AZ152" s="430"/>
      <c r="BA152" s="479">
        <f t="shared" si="39"/>
        <v>6.850961927011836</v>
      </c>
      <c r="BB152" s="479">
        <f t="shared" si="39"/>
        <v>0</v>
      </c>
      <c r="BC152" s="516"/>
      <c r="BE152" s="480">
        <f t="shared" si="40"/>
        <v>0.28316293298463946</v>
      </c>
      <c r="BF152" s="480" t="str">
        <f t="shared" si="41"/>
        <v/>
      </c>
    </row>
    <row r="153" spans="1:58" ht="15.6" x14ac:dyDescent="0.3">
      <c r="A153" s="152">
        <v>2032</v>
      </c>
      <c r="B153" s="178"/>
      <c r="C153" s="182"/>
      <c r="D153" s="183"/>
      <c r="E153" s="179">
        <f t="shared" si="47"/>
        <v>0.20003818819190336</v>
      </c>
      <c r="F153" s="183">
        <f t="shared" si="48"/>
        <v>2.4387246015589031E-2</v>
      </c>
      <c r="G153" s="247">
        <f t="shared" si="35"/>
        <v>0.16461715174313882</v>
      </c>
      <c r="H153" s="246"/>
      <c r="I153" s="417"/>
      <c r="J153" s="178"/>
      <c r="K153" s="182"/>
      <c r="L153" s="183"/>
      <c r="M153" s="179">
        <f t="shared" si="36"/>
        <v>0.26318322808985661</v>
      </c>
      <c r="N153" s="183">
        <f t="shared" si="49"/>
        <v>3.3804383168304974E-2</v>
      </c>
      <c r="O153" s="247">
        <f t="shared" si="37"/>
        <v>0.2165810127871905</v>
      </c>
      <c r="P153" s="246"/>
      <c r="Q153" s="417"/>
      <c r="R153" s="182"/>
      <c r="S153" s="178"/>
      <c r="T153" s="182"/>
      <c r="U153" s="178"/>
      <c r="V153" s="506"/>
      <c r="W153" s="259">
        <f>IF(W$135="Y",E153*$F$21*'Emissions Factors'!$B29,"")</f>
        <v>4.6950928662395617</v>
      </c>
      <c r="X153" s="259" t="str">
        <f>IF(X$135="Y",E153*'Emissions Factors'!$R$36*$F$22/10^6,"")</f>
        <v/>
      </c>
      <c r="Y153" s="180"/>
      <c r="Z153" s="180"/>
      <c r="AA153" s="509"/>
      <c r="AB153" s="180">
        <f t="shared" si="42"/>
        <v>4.6950928662395617</v>
      </c>
      <c r="AC153" s="180">
        <f t="shared" si="43"/>
        <v>0</v>
      </c>
      <c r="AE153" s="182"/>
      <c r="AF153" s="178"/>
      <c r="AG153" s="182"/>
      <c r="AH153" s="178"/>
      <c r="AJ153" s="259">
        <f>IF(AJ$135="Y",M153*$F$21*'Emissions Factors'!$B29,"")</f>
        <v>6.1771690090152456</v>
      </c>
      <c r="AK153" s="259" t="str">
        <f>IF(AK$135="Y",M153*'Emissions Factors'!$R$36*$F$22/10^6,"")</f>
        <v/>
      </c>
      <c r="AL153" s="180"/>
      <c r="AM153" s="180"/>
      <c r="AO153" s="180">
        <f t="shared" si="44"/>
        <v>6.1771690090152456</v>
      </c>
      <c r="AP153" s="180">
        <f t="shared" si="45"/>
        <v>0</v>
      </c>
      <c r="AS153" s="430"/>
      <c r="AT153" s="478">
        <v>2032</v>
      </c>
      <c r="AU153" s="479">
        <f t="shared" si="46"/>
        <v>10.872261875254807</v>
      </c>
      <c r="AV153" s="479">
        <f t="shared" si="46"/>
        <v>0</v>
      </c>
      <c r="AW153" s="430"/>
      <c r="AX153" s="479">
        <f t="shared" si="38"/>
        <v>3.0885845045076228</v>
      </c>
      <c r="AY153" s="479">
        <f t="shared" si="38"/>
        <v>0</v>
      </c>
      <c r="AZ153" s="430"/>
      <c r="BA153" s="479">
        <f t="shared" si="39"/>
        <v>7.7836773707471849</v>
      </c>
      <c r="BB153" s="479">
        <f t="shared" si="39"/>
        <v>0</v>
      </c>
      <c r="BC153" s="516"/>
      <c r="BE153" s="480">
        <f t="shared" si="40"/>
        <v>0.28407929646518354</v>
      </c>
      <c r="BF153" s="480" t="str">
        <f t="shared" si="41"/>
        <v/>
      </c>
    </row>
    <row r="154" spans="1:58" ht="15.6" x14ac:dyDescent="0.3">
      <c r="A154" s="152">
        <v>2033</v>
      </c>
      <c r="B154" s="178"/>
      <c r="C154" s="182"/>
      <c r="D154" s="183"/>
      <c r="E154" s="179">
        <f t="shared" si="47"/>
        <v>0.22520747003465053</v>
      </c>
      <c r="F154" s="183">
        <f t="shared" si="48"/>
        <v>2.5169281842747165E-2</v>
      </c>
      <c r="G154" s="247">
        <f t="shared" si="35"/>
        <v>0.16479260471282758</v>
      </c>
      <c r="H154" s="246"/>
      <c r="I154" s="417"/>
      <c r="J154" s="178"/>
      <c r="K154" s="182"/>
      <c r="L154" s="183"/>
      <c r="M154" s="179">
        <f t="shared" si="36"/>
        <v>0.29850939631509354</v>
      </c>
      <c r="N154" s="183">
        <f t="shared" si="49"/>
        <v>3.5326168225236931E-2</v>
      </c>
      <c r="O154" s="247">
        <f t="shared" si="37"/>
        <v>0.21843032534599885</v>
      </c>
      <c r="P154" s="246"/>
      <c r="Q154" s="417"/>
      <c r="R154" s="182"/>
      <c r="S154" s="178"/>
      <c r="T154" s="182"/>
      <c r="U154" s="178"/>
      <c r="V154" s="506"/>
      <c r="W154" s="259">
        <f>IF(W$135="Y",E154*$F$21*'Emissions Factors'!$B30,"")</f>
        <v>5.2578472136255821</v>
      </c>
      <c r="X154" s="259" t="str">
        <f>IF(X$135="Y",E154*'Emissions Factors'!$R$36*$F$22/10^6,"")</f>
        <v/>
      </c>
      <c r="Y154" s="180"/>
      <c r="Z154" s="180"/>
      <c r="AA154" s="509"/>
      <c r="AB154" s="180">
        <f t="shared" si="42"/>
        <v>5.2578472136255821</v>
      </c>
      <c r="AC154" s="180">
        <f t="shared" si="43"/>
        <v>0</v>
      </c>
      <c r="AE154" s="182"/>
      <c r="AF154" s="178"/>
      <c r="AG154" s="182"/>
      <c r="AH154" s="178"/>
      <c r="AJ154" s="259">
        <f>IF(AJ$135="Y",M154*$F$21*'Emissions Factors'!$B30,"")</f>
        <v>6.9692039851736824</v>
      </c>
      <c r="AK154" s="259" t="str">
        <f>IF(AK$135="Y",M154*'Emissions Factors'!$R$36*$F$22/10^6,"")</f>
        <v/>
      </c>
      <c r="AL154" s="180"/>
      <c r="AM154" s="180"/>
      <c r="AO154" s="180">
        <f t="shared" si="44"/>
        <v>6.9692039851736824</v>
      </c>
      <c r="AP154" s="180">
        <f t="shared" si="45"/>
        <v>0</v>
      </c>
      <c r="AS154" s="430"/>
      <c r="AT154" s="478">
        <v>2033</v>
      </c>
      <c r="AU154" s="479">
        <f t="shared" si="46"/>
        <v>12.227051198799264</v>
      </c>
      <c r="AV154" s="479">
        <f t="shared" si="46"/>
        <v>0</v>
      </c>
      <c r="AW154" s="430"/>
      <c r="AX154" s="479">
        <f t="shared" si="38"/>
        <v>3.4846019925868412</v>
      </c>
      <c r="AY154" s="479">
        <f t="shared" si="38"/>
        <v>0</v>
      </c>
      <c r="AZ154" s="430"/>
      <c r="BA154" s="479">
        <f t="shared" si="39"/>
        <v>8.7424492062124237</v>
      </c>
      <c r="BB154" s="479">
        <f t="shared" si="39"/>
        <v>0</v>
      </c>
      <c r="BC154" s="516"/>
      <c r="BE154" s="480">
        <f t="shared" si="40"/>
        <v>0.2849911999165457</v>
      </c>
      <c r="BF154" s="480" t="str">
        <f t="shared" si="41"/>
        <v/>
      </c>
    </row>
    <row r="155" spans="1:58" ht="15.6" x14ac:dyDescent="0.3">
      <c r="A155" s="152">
        <v>2034</v>
      </c>
      <c r="B155" s="178"/>
      <c r="C155" s="182"/>
      <c r="D155" s="183"/>
      <c r="E155" s="179">
        <f t="shared" si="47"/>
        <v>0.25071269262121182</v>
      </c>
      <c r="F155" s="183">
        <f t="shared" si="48"/>
        <v>2.5505222586561294E-2</v>
      </c>
      <c r="G155" s="247">
        <f t="shared" si="35"/>
        <v>0.16487484958879517</v>
      </c>
      <c r="H155" s="246"/>
      <c r="I155" s="417"/>
      <c r="J155" s="178"/>
      <c r="K155" s="182"/>
      <c r="L155" s="183"/>
      <c r="M155" s="179">
        <f t="shared" si="36"/>
        <v>0.33477912904211998</v>
      </c>
      <c r="N155" s="183">
        <f t="shared" si="49"/>
        <v>3.6269732727026438E-2</v>
      </c>
      <c r="O155" s="247">
        <f t="shared" si="37"/>
        <v>0.22015901137355265</v>
      </c>
      <c r="P155" s="246"/>
      <c r="Q155" s="417"/>
      <c r="R155" s="182"/>
      <c r="S155" s="178"/>
      <c r="T155" s="182"/>
      <c r="U155" s="178"/>
      <c r="V155" s="506"/>
      <c r="W155" s="259">
        <f>IF(W$135="Y",E155*$F$21*'Emissions Factors'!$B31,"")</f>
        <v>5.8223570923902956</v>
      </c>
      <c r="X155" s="259" t="str">
        <f>IF(X$135="Y",E155*'Emissions Factors'!$R$36*$F$22/10^6,"")</f>
        <v/>
      </c>
      <c r="Y155" s="180"/>
      <c r="Z155" s="180"/>
      <c r="AA155" s="509"/>
      <c r="AB155" s="180">
        <f t="shared" si="42"/>
        <v>5.8223570923902956</v>
      </c>
      <c r="AC155" s="180">
        <f t="shared" si="43"/>
        <v>0</v>
      </c>
      <c r="AE155" s="182"/>
      <c r="AF155" s="178"/>
      <c r="AG155" s="182"/>
      <c r="AH155" s="178"/>
      <c r="AJ155" s="259">
        <f>IF(AJ$135="Y",M155*$F$21*'Emissions Factors'!$B31,"")</f>
        <v>7.7746508004187049</v>
      </c>
      <c r="AK155" s="259" t="str">
        <f>IF(AK$135="Y",M155*'Emissions Factors'!$R$36*$F$22/10^6,"")</f>
        <v/>
      </c>
      <c r="AL155" s="180"/>
      <c r="AM155" s="180"/>
      <c r="AO155" s="180">
        <f t="shared" si="44"/>
        <v>7.7746508004187049</v>
      </c>
      <c r="AP155" s="180">
        <f t="shared" si="45"/>
        <v>0</v>
      </c>
      <c r="AS155" s="430"/>
      <c r="AT155" s="478">
        <v>2034</v>
      </c>
      <c r="AU155" s="479">
        <f t="shared" si="46"/>
        <v>13.597007892809</v>
      </c>
      <c r="AV155" s="479">
        <f t="shared" si="46"/>
        <v>0</v>
      </c>
      <c r="AW155" s="430"/>
      <c r="AX155" s="479">
        <f t="shared" si="38"/>
        <v>3.8873254002093525</v>
      </c>
      <c r="AY155" s="479">
        <f t="shared" si="38"/>
        <v>0</v>
      </c>
      <c r="AZ155" s="430"/>
      <c r="BA155" s="479">
        <f t="shared" si="39"/>
        <v>9.7096824925996472</v>
      </c>
      <c r="BB155" s="479">
        <f t="shared" si="39"/>
        <v>0</v>
      </c>
      <c r="BC155" s="516"/>
      <c r="BE155" s="480">
        <f t="shared" si="40"/>
        <v>0.28589564931158334</v>
      </c>
      <c r="BF155" s="480" t="str">
        <f t="shared" si="41"/>
        <v/>
      </c>
    </row>
    <row r="156" spans="1:58" ht="15.6" x14ac:dyDescent="0.3">
      <c r="A156" s="152">
        <v>2035</v>
      </c>
      <c r="B156" s="178"/>
      <c r="C156" s="182"/>
      <c r="D156" s="183"/>
      <c r="E156" s="179">
        <f t="shared" si="47"/>
        <v>0.27624334457167432</v>
      </c>
      <c r="F156" s="183">
        <f t="shared" si="48"/>
        <v>2.5530651950462502E-2</v>
      </c>
      <c r="G156" s="247">
        <f t="shared" si="35"/>
        <v>0.16487883190192446</v>
      </c>
      <c r="H156" s="246"/>
      <c r="I156" s="417"/>
      <c r="J156" s="178"/>
      <c r="K156" s="182"/>
      <c r="L156" s="183"/>
      <c r="M156" s="179">
        <f t="shared" si="36"/>
        <v>0.37157747474989455</v>
      </c>
      <c r="N156" s="183">
        <f t="shared" si="49"/>
        <v>3.6798345707774571E-2</v>
      </c>
      <c r="O156" s="247">
        <f t="shared" si="37"/>
        <v>0.22178003996014287</v>
      </c>
      <c r="P156" s="246"/>
      <c r="Q156" s="417"/>
      <c r="R156" s="182"/>
      <c r="S156" s="178"/>
      <c r="T156" s="182"/>
      <c r="U156" s="178"/>
      <c r="V156" s="506"/>
      <c r="W156" s="259">
        <f>IF(W$135="Y",E156*$F$21*'Emissions Factors'!$B32,"")</f>
        <v>6.3804068664133373</v>
      </c>
      <c r="X156" s="259" t="str">
        <f>IF(X$135="Y",E156*'Emissions Factors'!$R$36*$F$22/10^6,"")</f>
        <v/>
      </c>
      <c r="Y156" s="180"/>
      <c r="Z156" s="180"/>
      <c r="AA156" s="509"/>
      <c r="AB156" s="180">
        <f t="shared" si="42"/>
        <v>6.3804068664133373</v>
      </c>
      <c r="AC156" s="180">
        <f t="shared" si="43"/>
        <v>0</v>
      </c>
      <c r="AE156" s="182"/>
      <c r="AF156" s="178"/>
      <c r="AG156" s="182"/>
      <c r="AH156" s="178"/>
      <c r="AJ156" s="259">
        <f>IF(AJ$135="Y",M156*$F$21*'Emissions Factors'!$B32,"")</f>
        <v>8.582344218916095</v>
      </c>
      <c r="AK156" s="259" t="str">
        <f>IF(AK$135="Y",M156*'Emissions Factors'!$R$36*$F$22/10^6,"")</f>
        <v/>
      </c>
      <c r="AL156" s="180"/>
      <c r="AM156" s="180"/>
      <c r="AO156" s="180">
        <f t="shared" si="44"/>
        <v>8.582344218916095</v>
      </c>
      <c r="AP156" s="180">
        <f t="shared" si="45"/>
        <v>0</v>
      </c>
      <c r="AS156" s="430"/>
      <c r="AT156" s="478">
        <v>2035</v>
      </c>
      <c r="AU156" s="479">
        <f t="shared" si="46"/>
        <v>14.962751085329433</v>
      </c>
      <c r="AV156" s="479">
        <f t="shared" si="46"/>
        <v>0</v>
      </c>
      <c r="AW156" s="430"/>
      <c r="AX156" s="479">
        <f t="shared" si="38"/>
        <v>4.2911721094580475</v>
      </c>
      <c r="AY156" s="479">
        <f t="shared" si="38"/>
        <v>0</v>
      </c>
      <c r="AZ156" s="430"/>
      <c r="BA156" s="479">
        <f t="shared" si="39"/>
        <v>10.671578975871386</v>
      </c>
      <c r="BB156" s="479">
        <f t="shared" si="39"/>
        <v>0</v>
      </c>
      <c r="BC156" s="516"/>
      <c r="BE156" s="480">
        <f t="shared" si="40"/>
        <v>0.28679031583071807</v>
      </c>
      <c r="BF156" s="480" t="str">
        <f t="shared" si="41"/>
        <v/>
      </c>
    </row>
    <row r="157" spans="1:58" ht="15.6" x14ac:dyDescent="0.3">
      <c r="A157" s="152">
        <v>2036</v>
      </c>
      <c r="B157" s="178"/>
      <c r="C157" s="182"/>
      <c r="D157" s="183"/>
      <c r="E157" s="179">
        <f t="shared" si="47"/>
        <v>0.30168705463655482</v>
      </c>
      <c r="F157" s="183">
        <f t="shared" si="48"/>
        <v>2.5443710064880498E-2</v>
      </c>
      <c r="G157" s="247">
        <f t="shared" si="35"/>
        <v>0.16483281006539197</v>
      </c>
      <c r="H157" s="246"/>
      <c r="I157" s="417"/>
      <c r="J157" s="178"/>
      <c r="K157" s="182"/>
      <c r="L157" s="183"/>
      <c r="M157" s="179">
        <f t="shared" si="36"/>
        <v>0.40874676607682237</v>
      </c>
      <c r="N157" s="183">
        <f t="shared" si="49"/>
        <v>3.7169291326927811E-2</v>
      </c>
      <c r="O157" s="247">
        <f t="shared" si="37"/>
        <v>0.2233270437763768</v>
      </c>
      <c r="P157" s="246"/>
      <c r="Q157" s="417"/>
      <c r="R157" s="182"/>
      <c r="S157" s="178"/>
      <c r="T157" s="182"/>
      <c r="U157" s="178"/>
      <c r="V157" s="506"/>
      <c r="W157" s="259">
        <f>IF(W$135="Y",E157*$F$21*'Emissions Factors'!$B33,"")</f>
        <v>6.9319878325074846</v>
      </c>
      <c r="X157" s="259" t="str">
        <f>IF(X$135="Y",E157*'Emissions Factors'!$R$36*$F$22/10^6,"")</f>
        <v/>
      </c>
      <c r="Y157" s="180"/>
      <c r="Z157" s="180"/>
      <c r="AA157" s="509"/>
      <c r="AB157" s="180">
        <f t="shared" si="42"/>
        <v>6.9319878325074846</v>
      </c>
      <c r="AC157" s="180">
        <f t="shared" si="43"/>
        <v>0</v>
      </c>
      <c r="AE157" s="182"/>
      <c r="AF157" s="178"/>
      <c r="AG157" s="182"/>
      <c r="AH157" s="178"/>
      <c r="AJ157" s="259">
        <f>IF(AJ$135="Y",M157*$F$21*'Emissions Factors'!$B33,"")</f>
        <v>9.3919429603460198</v>
      </c>
      <c r="AK157" s="259" t="str">
        <f>IF(AK$135="Y",M157*'Emissions Factors'!$R$36*$F$22/10^6,"")</f>
        <v/>
      </c>
      <c r="AL157" s="180"/>
      <c r="AM157" s="180"/>
      <c r="AO157" s="180">
        <f t="shared" si="44"/>
        <v>9.3919429603460198</v>
      </c>
      <c r="AP157" s="180">
        <f t="shared" si="45"/>
        <v>0</v>
      </c>
      <c r="AS157" s="430"/>
      <c r="AT157" s="478">
        <v>2036</v>
      </c>
      <c r="AU157" s="479">
        <f t="shared" si="46"/>
        <v>16.323930792853503</v>
      </c>
      <c r="AV157" s="479">
        <f t="shared" si="46"/>
        <v>0</v>
      </c>
      <c r="AW157" s="430"/>
      <c r="AX157" s="479">
        <f t="shared" si="38"/>
        <v>4.6959714801730099</v>
      </c>
      <c r="AY157" s="479">
        <f t="shared" si="38"/>
        <v>0</v>
      </c>
      <c r="AZ157" s="430"/>
      <c r="BA157" s="479">
        <f t="shared" si="39"/>
        <v>11.627959312680492</v>
      </c>
      <c r="BB157" s="479">
        <f t="shared" si="39"/>
        <v>0</v>
      </c>
      <c r="BC157" s="516"/>
      <c r="BE157" s="480">
        <f t="shared" si="40"/>
        <v>0.28767406207265178</v>
      </c>
      <c r="BF157" s="480" t="str">
        <f t="shared" si="41"/>
        <v/>
      </c>
    </row>
    <row r="158" spans="1:58" ht="15.6" x14ac:dyDescent="0.3">
      <c r="A158" s="152">
        <v>2037</v>
      </c>
      <c r="B158" s="178"/>
      <c r="C158" s="182"/>
      <c r="D158" s="183"/>
      <c r="E158" s="179">
        <f t="shared" si="47"/>
        <v>0.32713175361679731</v>
      </c>
      <c r="F158" s="183">
        <f t="shared" si="48"/>
        <v>2.5444698980242486E-2</v>
      </c>
      <c r="G158" s="247">
        <f t="shared" si="35"/>
        <v>0.16476586886054528</v>
      </c>
      <c r="H158" s="246"/>
      <c r="I158" s="417"/>
      <c r="J158" s="178"/>
      <c r="K158" s="182"/>
      <c r="L158" s="183"/>
      <c r="M158" s="179">
        <f t="shared" si="36"/>
        <v>0.4464005823551197</v>
      </c>
      <c r="N158" s="183">
        <f t="shared" si="49"/>
        <v>3.7653816278297336E-2</v>
      </c>
      <c r="O158" s="247">
        <f t="shared" si="37"/>
        <v>0.22483778782830466</v>
      </c>
      <c r="P158" s="246"/>
      <c r="Q158" s="417"/>
      <c r="R158" s="182"/>
      <c r="S158" s="178"/>
      <c r="T158" s="182"/>
      <c r="U158" s="178"/>
      <c r="V158" s="506"/>
      <c r="W158" s="259">
        <f>IF(W$135="Y",E158*$F$21*'Emissions Factors'!$B34,"")</f>
        <v>7.4765618936327876</v>
      </c>
      <c r="X158" s="259" t="str">
        <f>IF(X$135="Y",E158*'Emissions Factors'!$R$36*$F$22/10^6,"")</f>
        <v/>
      </c>
      <c r="Y158" s="180"/>
      <c r="Z158" s="180"/>
      <c r="AA158" s="509"/>
      <c r="AB158" s="180">
        <f t="shared" si="42"/>
        <v>7.4765618936327876</v>
      </c>
      <c r="AC158" s="180">
        <f t="shared" si="43"/>
        <v>0</v>
      </c>
      <c r="AE158" s="182"/>
      <c r="AF158" s="178"/>
      <c r="AG158" s="182"/>
      <c r="AH158" s="178"/>
      <c r="AJ158" s="259">
        <f>IF(AJ$135="Y",M158*$F$21*'Emissions Factors'!$B34,"")</f>
        <v>10.202438456162145</v>
      </c>
      <c r="AK158" s="259" t="str">
        <f>IF(AK$135="Y",M158*'Emissions Factors'!$R$36*$F$22/10^6,"")</f>
        <v/>
      </c>
      <c r="AL158" s="180"/>
      <c r="AM158" s="180"/>
      <c r="AO158" s="180">
        <f t="shared" si="44"/>
        <v>10.202438456162145</v>
      </c>
      <c r="AP158" s="180">
        <f t="shared" si="45"/>
        <v>0</v>
      </c>
      <c r="AS158" s="430"/>
      <c r="AT158" s="478">
        <v>2037</v>
      </c>
      <c r="AU158" s="479">
        <f t="shared" si="46"/>
        <v>17.679000349794933</v>
      </c>
      <c r="AV158" s="479">
        <f t="shared" si="46"/>
        <v>0</v>
      </c>
      <c r="AW158" s="430"/>
      <c r="AX158" s="479">
        <f t="shared" si="38"/>
        <v>5.1012192280810726</v>
      </c>
      <c r="AY158" s="479">
        <f t="shared" si="38"/>
        <v>0</v>
      </c>
      <c r="AZ158" s="430"/>
      <c r="BA158" s="479">
        <f t="shared" si="39"/>
        <v>12.57778112171386</v>
      </c>
      <c r="BB158" s="479">
        <f t="shared" si="39"/>
        <v>0</v>
      </c>
      <c r="BC158" s="516"/>
      <c r="BE158" s="480">
        <f t="shared" si="40"/>
        <v>0.28854681413817856</v>
      </c>
      <c r="BF158" s="480" t="str">
        <f t="shared" si="41"/>
        <v/>
      </c>
    </row>
    <row r="159" spans="1:58" ht="15.6" x14ac:dyDescent="0.3">
      <c r="A159" s="152">
        <v>2038</v>
      </c>
      <c r="B159" s="178"/>
      <c r="C159" s="182"/>
      <c r="D159" s="183"/>
      <c r="E159" s="179">
        <f t="shared" si="47"/>
        <v>0.35272803075499365</v>
      </c>
      <c r="F159" s="183">
        <f t="shared" si="48"/>
        <v>2.5596277138196344E-2</v>
      </c>
      <c r="G159" s="247">
        <f t="shared" si="35"/>
        <v>0.16469621763932257</v>
      </c>
      <c r="H159" s="246"/>
      <c r="I159" s="417"/>
      <c r="J159" s="178"/>
      <c r="K159" s="182"/>
      <c r="L159" s="183"/>
      <c r="M159" s="179">
        <f t="shared" si="36"/>
        <v>0.48474294918182587</v>
      </c>
      <c r="N159" s="183">
        <f t="shared" si="49"/>
        <v>3.8342366826706165E-2</v>
      </c>
      <c r="O159" s="247">
        <f t="shared" si="37"/>
        <v>0.22633679009489049</v>
      </c>
      <c r="P159" s="246"/>
      <c r="Q159" s="417"/>
      <c r="R159" s="182"/>
      <c r="S159" s="178"/>
      <c r="T159" s="182"/>
      <c r="U159" s="178"/>
      <c r="V159" s="506"/>
      <c r="W159" s="259">
        <f>IF(W$135="Y",E159*$F$21*'Emissions Factors'!$B35,"")</f>
        <v>8.0183885251848324</v>
      </c>
      <c r="X159" s="259" t="str">
        <f>IF(X$135="Y",E159*'Emissions Factors'!$R$36*$F$22/10^6,"")</f>
        <v/>
      </c>
      <c r="Y159" s="180"/>
      <c r="Z159" s="180"/>
      <c r="AA159" s="509"/>
      <c r="AB159" s="180">
        <f t="shared" si="42"/>
        <v>8.0183885251848324</v>
      </c>
      <c r="AC159" s="180">
        <f t="shared" si="43"/>
        <v>0</v>
      </c>
      <c r="AE159" s="182"/>
      <c r="AF159" s="178"/>
      <c r="AG159" s="182"/>
      <c r="AH159" s="178"/>
      <c r="AJ159" s="259">
        <f>IF(AJ$135="Y",M159*$F$21*'Emissions Factors'!$B35,"")</f>
        <v>11.019417121639629</v>
      </c>
      <c r="AK159" s="259" t="str">
        <f>IF(AK$135="Y",M159*'Emissions Factors'!$R$36*$F$22/10^6,"")</f>
        <v/>
      </c>
      <c r="AL159" s="180"/>
      <c r="AM159" s="180"/>
      <c r="AO159" s="180">
        <f t="shared" si="44"/>
        <v>11.019417121639629</v>
      </c>
      <c r="AP159" s="180">
        <f t="shared" si="45"/>
        <v>0</v>
      </c>
      <c r="AS159" s="430"/>
      <c r="AT159" s="478">
        <v>2038</v>
      </c>
      <c r="AU159" s="479">
        <f t="shared" si="46"/>
        <v>19.037805646824459</v>
      </c>
      <c r="AV159" s="479">
        <f t="shared" si="46"/>
        <v>0</v>
      </c>
      <c r="AW159" s="430"/>
      <c r="AX159" s="479">
        <f t="shared" si="38"/>
        <v>5.5097085608198144</v>
      </c>
      <c r="AY159" s="479">
        <f t="shared" si="38"/>
        <v>0</v>
      </c>
      <c r="AZ159" s="430"/>
      <c r="BA159" s="479">
        <f t="shared" si="39"/>
        <v>13.528097086004646</v>
      </c>
      <c r="BB159" s="479">
        <f t="shared" si="39"/>
        <v>0</v>
      </c>
      <c r="BC159" s="516"/>
      <c r="BE159" s="480">
        <f t="shared" si="40"/>
        <v>0.28940880388380497</v>
      </c>
      <c r="BF159" s="480" t="str">
        <f t="shared" si="41"/>
        <v/>
      </c>
    </row>
    <row r="160" spans="1:58" ht="15.6" x14ac:dyDescent="0.3">
      <c r="A160" s="152">
        <v>2039</v>
      </c>
      <c r="B160" s="178"/>
      <c r="C160" s="182"/>
      <c r="D160" s="183"/>
      <c r="E160" s="179">
        <f t="shared" si="47"/>
        <v>0.37871663994868582</v>
      </c>
      <c r="F160" s="183">
        <f t="shared" si="48"/>
        <v>2.5988609193692169E-2</v>
      </c>
      <c r="G160" s="247">
        <f t="shared" si="35"/>
        <v>0.16463696169303202</v>
      </c>
      <c r="H160" s="246"/>
      <c r="I160" s="417"/>
      <c r="J160" s="178"/>
      <c r="K160" s="182"/>
      <c r="L160" s="183"/>
      <c r="M160" s="179">
        <f t="shared" si="36"/>
        <v>0.5241110568197721</v>
      </c>
      <c r="N160" s="183">
        <f t="shared" si="49"/>
        <v>3.9368107637946237E-2</v>
      </c>
      <c r="O160" s="247">
        <f t="shared" si="37"/>
        <v>0.2278433078520736</v>
      </c>
      <c r="P160" s="246"/>
      <c r="Q160" s="417"/>
      <c r="R160" s="182"/>
      <c r="S160" s="178"/>
      <c r="T160" s="182"/>
      <c r="U160" s="178"/>
      <c r="V160" s="506"/>
      <c r="W160" s="259">
        <f>IF(W$135="Y",E160*$F$21*'Emissions Factors'!$B36,"")</f>
        <v>8.5625900869595064</v>
      </c>
      <c r="X160" s="259" t="str">
        <f>IF(X$135="Y",E160*'Emissions Factors'!$R$36*$F$22/10^6,"")</f>
        <v/>
      </c>
      <c r="Y160" s="180"/>
      <c r="Z160" s="180"/>
      <c r="AA160" s="509"/>
      <c r="AB160" s="180">
        <f t="shared" si="42"/>
        <v>8.5625900869595064</v>
      </c>
      <c r="AC160" s="180">
        <f t="shared" si="43"/>
        <v>0</v>
      </c>
      <c r="AE160" s="182"/>
      <c r="AF160" s="178"/>
      <c r="AG160" s="182"/>
      <c r="AH160" s="178"/>
      <c r="AJ160" s="259">
        <f>IF(AJ$135="Y",M160*$F$21*'Emissions Factors'!$B36,"")</f>
        <v>11.849883702493027</v>
      </c>
      <c r="AK160" s="259" t="str">
        <f>IF(AK$135="Y",M160*'Emissions Factors'!$R$36*$F$22/10^6,"")</f>
        <v/>
      </c>
      <c r="AL160" s="180"/>
      <c r="AM160" s="180"/>
      <c r="AO160" s="180">
        <f t="shared" si="44"/>
        <v>11.849883702493027</v>
      </c>
      <c r="AP160" s="180">
        <f t="shared" si="45"/>
        <v>0</v>
      </c>
      <c r="AS160" s="430"/>
      <c r="AT160" s="478">
        <v>2039</v>
      </c>
      <c r="AU160" s="479">
        <f t="shared" si="46"/>
        <v>20.412473789452534</v>
      </c>
      <c r="AV160" s="479">
        <f t="shared" si="46"/>
        <v>0</v>
      </c>
      <c r="AW160" s="430"/>
      <c r="AX160" s="479">
        <f t="shared" si="38"/>
        <v>5.9249418512465137</v>
      </c>
      <c r="AY160" s="479">
        <f t="shared" si="38"/>
        <v>0</v>
      </c>
      <c r="AZ160" s="430"/>
      <c r="BA160" s="479">
        <f t="shared" si="39"/>
        <v>14.48753193820602</v>
      </c>
      <c r="BB160" s="479">
        <f t="shared" si="39"/>
        <v>0</v>
      </c>
      <c r="BC160" s="516"/>
      <c r="BE160" s="480">
        <f t="shared" si="40"/>
        <v>0.29026084306881167</v>
      </c>
      <c r="BF160" s="480" t="str">
        <f t="shared" si="41"/>
        <v/>
      </c>
    </row>
    <row r="161" spans="1:58" ht="15.6" x14ac:dyDescent="0.3">
      <c r="A161" s="152">
        <v>2040</v>
      </c>
      <c r="B161" s="178"/>
      <c r="C161" s="182"/>
      <c r="D161" s="183"/>
      <c r="E161" s="179">
        <f t="shared" si="47"/>
        <v>0.4052972035976854</v>
      </c>
      <c r="F161" s="183">
        <f t="shared" si="48"/>
        <v>2.6580563648999578E-2</v>
      </c>
      <c r="G161" s="247">
        <f t="shared" si="35"/>
        <v>0.1645959437543606</v>
      </c>
      <c r="H161" s="246"/>
      <c r="I161" s="417"/>
      <c r="J161" s="178"/>
      <c r="K161" s="182"/>
      <c r="L161" s="183"/>
      <c r="M161" s="179">
        <f t="shared" si="36"/>
        <v>0.56479428373231289</v>
      </c>
      <c r="N161" s="183">
        <f t="shared" si="49"/>
        <v>4.0683226912540782E-2</v>
      </c>
      <c r="O161" s="247">
        <f t="shared" si="37"/>
        <v>0.22936957702344987</v>
      </c>
      <c r="P161" s="246"/>
      <c r="Q161" s="417"/>
      <c r="R161" s="182"/>
      <c r="S161" s="178"/>
      <c r="T161" s="182"/>
      <c r="U161" s="178"/>
      <c r="V161" s="506"/>
      <c r="W161" s="259">
        <f>IF(W$135="Y",E161*$F$21*'Emissions Factors'!$B37,"")</f>
        <v>9.1100545188037483</v>
      </c>
      <c r="X161" s="259" t="str">
        <f>IF(X$135="Y",E161*'Emissions Factors'!$R$36*$F$22/10^6,"")</f>
        <v/>
      </c>
      <c r="Y161" s="180"/>
      <c r="Z161" s="180"/>
      <c r="AA161" s="509"/>
      <c r="AB161" s="180">
        <f t="shared" si="42"/>
        <v>9.1100545188037483</v>
      </c>
      <c r="AC161" s="180">
        <f t="shared" si="43"/>
        <v>0</v>
      </c>
      <c r="AE161" s="182"/>
      <c r="AF161" s="178"/>
      <c r="AG161" s="182"/>
      <c r="AH161" s="178"/>
      <c r="AJ161" s="259">
        <f>IF(AJ$135="Y",M161*$F$21*'Emissions Factors'!$B37,"")</f>
        <v>12.695144874025646</v>
      </c>
      <c r="AK161" s="259" t="str">
        <f>IF(AK$135="Y",M161*'Emissions Factors'!$R$36*$F$22/10^6,"")</f>
        <v/>
      </c>
      <c r="AL161" s="180"/>
      <c r="AM161" s="180"/>
      <c r="AO161" s="180">
        <f t="shared" si="44"/>
        <v>12.695144874025646</v>
      </c>
      <c r="AP161" s="180">
        <f t="shared" si="45"/>
        <v>0</v>
      </c>
      <c r="AS161" s="430"/>
      <c r="AT161" s="478">
        <v>2040</v>
      </c>
      <c r="AU161" s="479">
        <f t="shared" si="46"/>
        <v>21.805199392829394</v>
      </c>
      <c r="AV161" s="479">
        <f t="shared" si="46"/>
        <v>0</v>
      </c>
      <c r="AW161" s="430"/>
      <c r="AX161" s="479">
        <f t="shared" si="38"/>
        <v>6.3475724370128228</v>
      </c>
      <c r="AY161" s="479">
        <f t="shared" si="38"/>
        <v>0</v>
      </c>
      <c r="AZ161" s="430"/>
      <c r="BA161" s="479">
        <f t="shared" si="39"/>
        <v>15.457626955816572</v>
      </c>
      <c r="BB161" s="479">
        <f t="shared" si="39"/>
        <v>0</v>
      </c>
      <c r="BC161" s="516"/>
      <c r="BE161" s="480">
        <f t="shared" si="40"/>
        <v>0.29110361811688878</v>
      </c>
      <c r="BF161" s="480" t="str">
        <f t="shared" si="41"/>
        <v/>
      </c>
    </row>
    <row r="162" spans="1:58" ht="15.6" x14ac:dyDescent="0.3">
      <c r="A162" s="152">
        <v>2041</v>
      </c>
      <c r="B162" s="178"/>
      <c r="C162" s="182"/>
      <c r="D162" s="183"/>
      <c r="E162" s="179">
        <f t="shared" si="47"/>
        <v>0.43251591712434323</v>
      </c>
      <c r="F162" s="183">
        <f t="shared" si="48"/>
        <v>2.7218713526657834E-2</v>
      </c>
      <c r="G162" s="247">
        <f t="shared" si="35"/>
        <v>0.16457360627291917</v>
      </c>
      <c r="H162" s="246"/>
      <c r="I162" s="417"/>
      <c r="J162" s="178"/>
      <c r="K162" s="182"/>
      <c r="L162" s="183"/>
      <c r="M162" s="179">
        <f>IFERROR(IF($G$19="Y",$F$19,$AB107)*(SUMIF($H$5:$H$16,"Y",$F$5:$F$16)*((Z56+N56)-B56)),0)</f>
        <v>0.60687071596133679</v>
      </c>
      <c r="N162" s="183">
        <f t="shared" si="49"/>
        <v>4.2076432229023908E-2</v>
      </c>
      <c r="O162" s="247">
        <f t="shared" si="37"/>
        <v>0.23091613120557766</v>
      </c>
      <c r="P162" s="246"/>
      <c r="Q162" s="417"/>
      <c r="R162" s="182"/>
      <c r="S162" s="178"/>
      <c r="T162" s="182"/>
      <c r="U162" s="178"/>
      <c r="V162" s="506"/>
      <c r="W162" s="259">
        <f>IF(W$135="Y",E162*$F$21*'Emissions Factors'!$B38,"")</f>
        <v>9.6725070892683007</v>
      </c>
      <c r="X162" s="259" t="str">
        <f>IF(X$135="Y",E162*'Emissions Factors'!$R$36*$F$22/10^6,"")</f>
        <v/>
      </c>
      <c r="Y162" s="180"/>
      <c r="Z162" s="180"/>
      <c r="AA162" s="509"/>
      <c r="AB162" s="180">
        <f t="shared" si="42"/>
        <v>9.6725070892683007</v>
      </c>
      <c r="AC162" s="180">
        <f t="shared" si="43"/>
        <v>0</v>
      </c>
      <c r="AE162" s="182"/>
      <c r="AF162" s="178"/>
      <c r="AG162" s="182"/>
      <c r="AH162" s="178"/>
      <c r="AJ162" s="259">
        <f>IF(AJ$135="Y",M162*$F$21*'Emissions Factors'!$B38,"")</f>
        <v>13.571665388485147</v>
      </c>
      <c r="AK162" s="259" t="str">
        <f>IF(AK$135="Y",M162*'Emissions Factors'!$R$36*$F$22/10^6,"")</f>
        <v/>
      </c>
      <c r="AL162" s="180"/>
      <c r="AM162" s="180"/>
      <c r="AO162" s="180">
        <f t="shared" si="44"/>
        <v>13.571665388485147</v>
      </c>
      <c r="AP162" s="180">
        <f t="shared" si="45"/>
        <v>0</v>
      </c>
      <c r="AS162" s="430"/>
      <c r="AT162" s="478">
        <v>2041</v>
      </c>
      <c r="AU162" s="479">
        <f t="shared" si="46"/>
        <v>23.244172477753448</v>
      </c>
      <c r="AV162" s="479">
        <f t="shared" si="46"/>
        <v>0</v>
      </c>
      <c r="AW162" s="430"/>
      <c r="AX162" s="479">
        <f t="shared" si="38"/>
        <v>6.7858326942425737</v>
      </c>
      <c r="AY162" s="479">
        <f t="shared" si="38"/>
        <v>0</v>
      </c>
      <c r="AZ162" s="430"/>
      <c r="BA162" s="479">
        <f t="shared" si="39"/>
        <v>16.458339783510873</v>
      </c>
      <c r="BB162" s="479">
        <f t="shared" si="39"/>
        <v>0</v>
      </c>
      <c r="BC162" s="516"/>
      <c r="BE162" s="480">
        <f t="shared" si="40"/>
        <v>0.29193694465729697</v>
      </c>
      <c r="BF162" s="480" t="str">
        <f t="shared" si="41"/>
        <v/>
      </c>
    </row>
    <row r="163" spans="1:58" ht="15.6" x14ac:dyDescent="0.3">
      <c r="A163" s="152">
        <v>2042</v>
      </c>
      <c r="B163" s="178"/>
      <c r="C163" s="182"/>
      <c r="D163" s="183"/>
      <c r="E163" s="179">
        <f t="shared" si="47"/>
        <v>0.46039294722746887</v>
      </c>
      <c r="F163" s="183">
        <f t="shared" si="48"/>
        <v>2.7877030103125644E-2</v>
      </c>
      <c r="G163" s="247">
        <f t="shared" si="35"/>
        <v>0.16457355998690695</v>
      </c>
      <c r="H163" s="246"/>
      <c r="I163" s="417"/>
      <c r="J163" s="178"/>
      <c r="K163" s="182"/>
      <c r="L163" s="183"/>
      <c r="M163" s="179">
        <f t="shared" si="36"/>
        <v>0.65038306621585729</v>
      </c>
      <c r="N163" s="183">
        <f t="shared" si="49"/>
        <v>4.3512350254520493E-2</v>
      </c>
      <c r="O163" s="247">
        <f t="shared" si="37"/>
        <v>0.23248804571600024</v>
      </c>
      <c r="P163" s="246"/>
      <c r="Q163" s="417"/>
      <c r="R163" s="182"/>
      <c r="S163" s="178"/>
      <c r="T163" s="182"/>
      <c r="U163" s="178"/>
      <c r="V163" s="506"/>
      <c r="W163" s="259">
        <f>IF(W$135="Y",E163*$F$21*'Emissions Factors'!$B39,"")</f>
        <v>10.239077968937933</v>
      </c>
      <c r="X163" s="259" t="str">
        <f>IF(X$135="Y",E163*'Emissions Factors'!$R$36*$F$22/10^6,"")</f>
        <v/>
      </c>
      <c r="Y163" s="180"/>
      <c r="Z163" s="180"/>
      <c r="AA163" s="509"/>
      <c r="AB163" s="180">
        <f t="shared" si="42"/>
        <v>10.239077968937933</v>
      </c>
      <c r="AC163" s="180">
        <f t="shared" si="43"/>
        <v>0</v>
      </c>
      <c r="AE163" s="182"/>
      <c r="AF163" s="178"/>
      <c r="AG163" s="182"/>
      <c r="AH163" s="178"/>
      <c r="AJ163" s="259">
        <f>IF(AJ$135="Y",M163*$F$21*'Emissions Factors'!$B39,"")</f>
        <v>14.464432969193329</v>
      </c>
      <c r="AK163" s="259" t="str">
        <f>IF(AK$135="Y",M163*'Emissions Factors'!$R$36*$F$22/10^6,"")</f>
        <v/>
      </c>
      <c r="AL163" s="180"/>
      <c r="AM163" s="180"/>
      <c r="AO163" s="180">
        <f t="shared" si="44"/>
        <v>14.464432969193329</v>
      </c>
      <c r="AP163" s="180">
        <f t="shared" si="45"/>
        <v>0</v>
      </c>
      <c r="AS163" s="430"/>
      <c r="AT163" s="478">
        <v>2042</v>
      </c>
      <c r="AU163" s="479">
        <f t="shared" si="46"/>
        <v>24.703510938131259</v>
      </c>
      <c r="AV163" s="479">
        <f t="shared" si="46"/>
        <v>0</v>
      </c>
      <c r="AW163" s="430"/>
      <c r="AX163" s="479">
        <f t="shared" si="38"/>
        <v>7.2322164845966643</v>
      </c>
      <c r="AY163" s="479">
        <f t="shared" si="38"/>
        <v>0</v>
      </c>
      <c r="AZ163" s="430"/>
      <c r="BA163" s="479">
        <f t="shared" si="39"/>
        <v>17.471294453534597</v>
      </c>
      <c r="BB163" s="479">
        <f t="shared" si="39"/>
        <v>0</v>
      </c>
      <c r="BC163" s="516"/>
      <c r="BE163" s="480">
        <f t="shared" si="40"/>
        <v>0.29276067287396512</v>
      </c>
      <c r="BF163" s="480" t="str">
        <f t="shared" si="41"/>
        <v/>
      </c>
    </row>
    <row r="164" spans="1:58" ht="15.6" x14ac:dyDescent="0.3">
      <c r="A164" s="152">
        <v>2043</v>
      </c>
      <c r="B164" s="178"/>
      <c r="C164" s="182"/>
      <c r="D164" s="183"/>
      <c r="E164" s="179">
        <f t="shared" si="47"/>
        <v>0.48907460167360772</v>
      </c>
      <c r="F164" s="183">
        <f t="shared" si="48"/>
        <v>2.8681654446138849E-2</v>
      </c>
      <c r="G164" s="247">
        <f t="shared" si="35"/>
        <v>0.16460400562801955</v>
      </c>
      <c r="H164" s="246"/>
      <c r="I164" s="417"/>
      <c r="J164" s="178"/>
      <c r="K164" s="182"/>
      <c r="L164" s="183"/>
      <c r="M164" s="179">
        <f t="shared" si="36"/>
        <v>0.695559841961225</v>
      </c>
      <c r="N164" s="183">
        <f t="shared" si="49"/>
        <v>4.5176775745367714E-2</v>
      </c>
      <c r="O164" s="247">
        <f t="shared" si="37"/>
        <v>0.2340991246509628</v>
      </c>
      <c r="P164" s="246"/>
      <c r="Q164" s="417"/>
      <c r="R164" s="182"/>
      <c r="S164" s="178"/>
      <c r="T164" s="182"/>
      <c r="U164" s="178"/>
      <c r="V164" s="506"/>
      <c r="W164" s="259">
        <f>IF(W$135="Y",E164*$F$21*'Emissions Factors'!$B40,"")</f>
        <v>10.816268705826049</v>
      </c>
      <c r="X164" s="259" t="str">
        <f>IF(X$135="Y",E164*'Emissions Factors'!$R$36*$F$22/10^6,"")</f>
        <v/>
      </c>
      <c r="Y164" s="180"/>
      <c r="Z164" s="180"/>
      <c r="AA164" s="509"/>
      <c r="AB164" s="180">
        <f t="shared" si="42"/>
        <v>10.816268705826049</v>
      </c>
      <c r="AC164" s="180">
        <f t="shared" si="43"/>
        <v>0</v>
      </c>
      <c r="AE164" s="182"/>
      <c r="AF164" s="178"/>
      <c r="AG164" s="182"/>
      <c r="AH164" s="178"/>
      <c r="AJ164" s="259">
        <f>IF(AJ$135="Y",M164*$F$21*'Emissions Factors'!$B40,"")</f>
        <v>15.382851871452026</v>
      </c>
      <c r="AK164" s="259" t="str">
        <f>IF(AK$135="Y",M164*'Emissions Factors'!$R$36*$F$22/10^6,"")</f>
        <v/>
      </c>
      <c r="AL164" s="180"/>
      <c r="AM164" s="180"/>
      <c r="AO164" s="180">
        <f t="shared" si="44"/>
        <v>15.382851871452026</v>
      </c>
      <c r="AP164" s="180">
        <f t="shared" si="45"/>
        <v>0</v>
      </c>
      <c r="AS164" s="430"/>
      <c r="AT164" s="478">
        <v>2043</v>
      </c>
      <c r="AU164" s="479">
        <f t="shared" si="46"/>
        <v>26.199120577278073</v>
      </c>
      <c r="AV164" s="479">
        <f t="shared" si="46"/>
        <v>0</v>
      </c>
      <c r="AW164" s="430"/>
      <c r="AX164" s="479">
        <f t="shared" si="38"/>
        <v>7.6914259357260129</v>
      </c>
      <c r="AY164" s="479">
        <f t="shared" si="38"/>
        <v>0</v>
      </c>
      <c r="AZ164" s="430"/>
      <c r="BA164" s="479">
        <f t="shared" si="39"/>
        <v>18.50769464155206</v>
      </c>
      <c r="BB164" s="479">
        <f t="shared" si="39"/>
        <v>0</v>
      </c>
      <c r="BC164" s="516"/>
      <c r="BE164" s="480">
        <f t="shared" si="40"/>
        <v>0.2935757294997382</v>
      </c>
      <c r="BF164" s="480" t="str">
        <f t="shared" si="41"/>
        <v/>
      </c>
    </row>
    <row r="165" spans="1:58" ht="15.6" x14ac:dyDescent="0.3">
      <c r="A165" s="152">
        <v>2044</v>
      </c>
      <c r="B165" s="178"/>
      <c r="C165" s="182"/>
      <c r="D165" s="183"/>
      <c r="E165" s="179">
        <f t="shared" si="47"/>
        <v>0.51872857586203769</v>
      </c>
      <c r="F165" s="183">
        <f t="shared" si="48"/>
        <v>2.9653974188429966E-2</v>
      </c>
      <c r="G165" s="247">
        <f t="shared" si="35"/>
        <v>0.16467251801972366</v>
      </c>
      <c r="H165" s="246"/>
      <c r="I165" s="417"/>
      <c r="J165" s="178"/>
      <c r="K165" s="182"/>
      <c r="L165" s="183"/>
      <c r="M165" s="179">
        <f t="shared" si="36"/>
        <v>0.74266853590847137</v>
      </c>
      <c r="N165" s="183">
        <f t="shared" si="49"/>
        <v>4.7108693947246372E-2</v>
      </c>
      <c r="O165" s="247">
        <f t="shared" si="37"/>
        <v>0.23576317857336623</v>
      </c>
      <c r="P165" s="246"/>
      <c r="Q165" s="417"/>
      <c r="R165" s="182"/>
      <c r="S165" s="178"/>
      <c r="T165" s="182"/>
      <c r="U165" s="178"/>
      <c r="V165" s="506"/>
      <c r="W165" s="259">
        <f>IF(W$135="Y",E165*$F$21*'Emissions Factors'!$B41,"")</f>
        <v>11.407348699088024</v>
      </c>
      <c r="X165" s="259" t="str">
        <f>IF(X$135="Y",E165*'Emissions Factors'!$R$36*$F$22/10^6,"")</f>
        <v/>
      </c>
      <c r="Y165" s="180"/>
      <c r="Z165" s="180"/>
      <c r="AA165" s="509"/>
      <c r="AB165" s="180">
        <f t="shared" si="42"/>
        <v>11.407348699088024</v>
      </c>
      <c r="AC165" s="180">
        <f t="shared" si="43"/>
        <v>0</v>
      </c>
      <c r="AE165" s="182"/>
      <c r="AF165" s="178"/>
      <c r="AG165" s="182"/>
      <c r="AH165" s="178"/>
      <c r="AJ165" s="259">
        <f>IF(AJ$135="Y",M165*$F$21*'Emissions Factors'!$B41,"")</f>
        <v>16.332007433502778</v>
      </c>
      <c r="AK165" s="259" t="str">
        <f>IF(AK$135="Y",M165*'Emissions Factors'!$R$36*$F$22/10^6,"")</f>
        <v/>
      </c>
      <c r="AL165" s="180"/>
      <c r="AM165" s="180"/>
      <c r="AO165" s="180">
        <f t="shared" si="44"/>
        <v>16.332007433502778</v>
      </c>
      <c r="AP165" s="180">
        <f t="shared" si="45"/>
        <v>0</v>
      </c>
      <c r="AS165" s="430"/>
      <c r="AT165" s="478">
        <v>2044</v>
      </c>
      <c r="AU165" s="479">
        <f t="shared" si="46"/>
        <v>27.7393561325908</v>
      </c>
      <c r="AV165" s="479">
        <f t="shared" si="46"/>
        <v>0</v>
      </c>
      <c r="AW165" s="430"/>
      <c r="AX165" s="479">
        <f t="shared" si="38"/>
        <v>8.1660037167513888</v>
      </c>
      <c r="AY165" s="479">
        <f t="shared" si="38"/>
        <v>0</v>
      </c>
      <c r="AZ165" s="430"/>
      <c r="BA165" s="479">
        <f t="shared" si="39"/>
        <v>19.573352415839409</v>
      </c>
      <c r="BB165" s="479">
        <f t="shared" si="39"/>
        <v>0</v>
      </c>
      <c r="BC165" s="516"/>
      <c r="BE165" s="480">
        <f t="shared" si="40"/>
        <v>0.29438331869416395</v>
      </c>
      <c r="BF165" s="480" t="str">
        <f t="shared" si="41"/>
        <v/>
      </c>
    </row>
    <row r="166" spans="1:58" ht="15.6" x14ac:dyDescent="0.3">
      <c r="A166" s="152">
        <v>2045</v>
      </c>
      <c r="B166" s="178"/>
      <c r="C166" s="182"/>
      <c r="D166" s="183"/>
      <c r="E166" s="179">
        <f t="shared" si="47"/>
        <v>0.54949203159670545</v>
      </c>
      <c r="F166" s="183">
        <f t="shared" si="48"/>
        <v>3.0763455734667766E-2</v>
      </c>
      <c r="G166" s="247">
        <f t="shared" si="35"/>
        <v>0.16478028503811112</v>
      </c>
      <c r="H166" s="246"/>
      <c r="I166" s="417"/>
      <c r="J166" s="178"/>
      <c r="K166" s="182"/>
      <c r="L166" s="183"/>
      <c r="M166" s="179">
        <f t="shared" si="36"/>
        <v>0.79193929425363863</v>
      </c>
      <c r="N166" s="183">
        <f t="shared" si="49"/>
        <v>4.9270758345167254E-2</v>
      </c>
      <c r="O166" s="247">
        <f t="shared" si="37"/>
        <v>0.2374847588977804</v>
      </c>
      <c r="P166" s="246"/>
      <c r="Q166" s="417"/>
      <c r="R166" s="182"/>
      <c r="S166" s="178"/>
      <c r="T166" s="182"/>
      <c r="U166" s="178"/>
      <c r="V166" s="506"/>
      <c r="W166" s="259">
        <f>IF(W$135="Y",E166*$F$21*'Emissions Factors'!$B42,"")</f>
        <v>12.012350334609016</v>
      </c>
      <c r="X166" s="259" t="str">
        <f>IF(X$135="Y",E166*'Emissions Factors'!$R$36*$F$22/10^6,"")</f>
        <v/>
      </c>
      <c r="Y166" s="180"/>
      <c r="Z166" s="180"/>
      <c r="AA166" s="509"/>
      <c r="AB166" s="180">
        <f t="shared" si="42"/>
        <v>12.012350334609016</v>
      </c>
      <c r="AC166" s="180">
        <f t="shared" si="43"/>
        <v>0</v>
      </c>
      <c r="AE166" s="182"/>
      <c r="AF166" s="178"/>
      <c r="AG166" s="182"/>
      <c r="AH166" s="178"/>
      <c r="AJ166" s="259">
        <f>IF(AJ$135="Y",M166*$F$21*'Emissions Factors'!$B42,"")</f>
        <v>17.312448041648292</v>
      </c>
      <c r="AK166" s="259" t="str">
        <f>IF(AK$135="Y",M166*'Emissions Factors'!$R$36*$F$22/10^6,"")</f>
        <v/>
      </c>
      <c r="AL166" s="180"/>
      <c r="AM166" s="180"/>
      <c r="AO166" s="180">
        <f t="shared" si="44"/>
        <v>17.312448041648292</v>
      </c>
      <c r="AP166" s="180">
        <f t="shared" si="45"/>
        <v>0</v>
      </c>
      <c r="AS166" s="430"/>
      <c r="AT166" s="478">
        <v>2045</v>
      </c>
      <c r="AU166" s="479">
        <f t="shared" si="46"/>
        <v>29.324798376257306</v>
      </c>
      <c r="AV166" s="479">
        <f t="shared" si="46"/>
        <v>0</v>
      </c>
      <c r="AW166" s="430"/>
      <c r="AX166" s="479">
        <f t="shared" si="38"/>
        <v>8.6562240208241459</v>
      </c>
      <c r="AY166" s="479">
        <f t="shared" si="38"/>
        <v>0</v>
      </c>
      <c r="AZ166" s="430"/>
      <c r="BA166" s="479">
        <f t="shared" si="39"/>
        <v>20.668574355433158</v>
      </c>
      <c r="BB166" s="479">
        <f t="shared" si="39"/>
        <v>0</v>
      </c>
      <c r="BC166" s="516"/>
      <c r="BE166" s="480">
        <f t="shared" si="40"/>
        <v>0.29518443433979819</v>
      </c>
      <c r="BF166" s="480" t="str">
        <f t="shared" si="41"/>
        <v/>
      </c>
    </row>
    <row r="167" spans="1:58" ht="15.6" x14ac:dyDescent="0.3">
      <c r="A167" s="152">
        <v>2046</v>
      </c>
      <c r="B167" s="178"/>
      <c r="C167" s="182"/>
      <c r="D167" s="183"/>
      <c r="E167" s="179">
        <f t="shared" si="47"/>
        <v>0.58142669034553507</v>
      </c>
      <c r="F167" s="183">
        <f t="shared" si="48"/>
        <v>3.1934658748829614E-2</v>
      </c>
      <c r="G167" s="247">
        <f t="shared" si="35"/>
        <v>0.1649202520607646</v>
      </c>
      <c r="H167" s="246"/>
      <c r="I167" s="417"/>
      <c r="J167" s="178"/>
      <c r="K167" s="182"/>
      <c r="L167" s="183"/>
      <c r="M167" s="179">
        <f t="shared" si="36"/>
        <v>0.84349629977808782</v>
      </c>
      <c r="N167" s="183">
        <f t="shared" si="49"/>
        <v>5.1557005524449195E-2</v>
      </c>
      <c r="O167" s="247">
        <f t="shared" si="37"/>
        <v>0.23925565283054565</v>
      </c>
      <c r="P167" s="246"/>
      <c r="Q167" s="417"/>
      <c r="R167" s="182"/>
      <c r="S167" s="178"/>
      <c r="T167" s="182"/>
      <c r="U167" s="178"/>
      <c r="V167" s="506"/>
      <c r="W167" s="259">
        <f>IF(W$135="Y",E167*$F$21*'Emissions Factors'!$B43,"")</f>
        <v>12.639449909531443</v>
      </c>
      <c r="X167" s="259" t="str">
        <f>IF(X$135="Y",E167*'Emissions Factors'!$R$36*$F$22/10^6,"")</f>
        <v/>
      </c>
      <c r="Y167" s="180"/>
      <c r="Z167" s="180"/>
      <c r="AA167" s="509"/>
      <c r="AB167" s="180">
        <f t="shared" si="42"/>
        <v>12.639449909531443</v>
      </c>
      <c r="AC167" s="180">
        <f t="shared" si="43"/>
        <v>0</v>
      </c>
      <c r="AE167" s="182"/>
      <c r="AF167" s="178"/>
      <c r="AG167" s="182"/>
      <c r="AH167" s="178"/>
      <c r="AJ167" s="259">
        <f>IF(AJ$135="Y",M167*$F$21*'Emissions Factors'!$B43,"")</f>
        <v>18.336497802645344</v>
      </c>
      <c r="AK167" s="259" t="str">
        <f>IF(AK$135="Y",M167*'Emissions Factors'!$R$36*$F$22/10^6,"")</f>
        <v/>
      </c>
      <c r="AL167" s="180"/>
      <c r="AM167" s="180"/>
      <c r="AO167" s="180">
        <f t="shared" si="44"/>
        <v>18.336497802645344</v>
      </c>
      <c r="AP167" s="180">
        <f t="shared" si="45"/>
        <v>0</v>
      </c>
      <c r="AS167" s="430"/>
      <c r="AT167" s="478">
        <v>2046</v>
      </c>
      <c r="AU167" s="479">
        <f t="shared" si="46"/>
        <v>30.975947712176787</v>
      </c>
      <c r="AV167" s="479">
        <f t="shared" si="46"/>
        <v>0</v>
      </c>
      <c r="AW167" s="430"/>
      <c r="AX167" s="479">
        <f t="shared" si="38"/>
        <v>9.1682489013226718</v>
      </c>
      <c r="AY167" s="479">
        <f t="shared" si="38"/>
        <v>0</v>
      </c>
      <c r="AZ167" s="430"/>
      <c r="BA167" s="479">
        <f t="shared" si="39"/>
        <v>21.807698810854113</v>
      </c>
      <c r="BB167" s="479">
        <f t="shared" si="39"/>
        <v>0</v>
      </c>
      <c r="BC167" s="516"/>
      <c r="BE167" s="480">
        <f t="shared" si="40"/>
        <v>0.29597960929274786</v>
      </c>
      <c r="BF167" s="480" t="str">
        <f t="shared" si="41"/>
        <v/>
      </c>
    </row>
    <row r="168" spans="1:58" ht="15.6" x14ac:dyDescent="0.3">
      <c r="A168" s="152">
        <v>2047</v>
      </c>
      <c r="B168" s="178"/>
      <c r="C168" s="182"/>
      <c r="D168" s="183"/>
      <c r="E168" s="179">
        <f t="shared" si="47"/>
        <v>0.61457488126125659</v>
      </c>
      <c r="F168" s="183">
        <f t="shared" si="48"/>
        <v>3.314819091572152E-2</v>
      </c>
      <c r="G168" s="247">
        <f t="shared" si="35"/>
        <v>0.1650843383472442</v>
      </c>
      <c r="H168" s="246"/>
      <c r="I168" s="417"/>
      <c r="J168" s="178"/>
      <c r="K168" s="182"/>
      <c r="L168" s="183"/>
      <c r="M168" s="179">
        <f t="shared" si="36"/>
        <v>0.89743486988795729</v>
      </c>
      <c r="N168" s="183">
        <f t="shared" si="49"/>
        <v>5.3938570109869466E-2</v>
      </c>
      <c r="O168" s="247">
        <f t="shared" si="37"/>
        <v>0.24106491531374322</v>
      </c>
      <c r="P168" s="246"/>
      <c r="Q168" s="417"/>
      <c r="R168" s="182"/>
      <c r="S168" s="178"/>
      <c r="T168" s="182"/>
      <c r="U168" s="178"/>
      <c r="V168" s="506"/>
      <c r="W168" s="259">
        <f>IF(W$135="Y",E168*$F$21*'Emissions Factors'!$B44,"")</f>
        <v>13.281544093708099</v>
      </c>
      <c r="X168" s="259" t="str">
        <f>IF(X$135="Y",E168*'Emissions Factors'!$R$36*$F$22/10^6,"")</f>
        <v/>
      </c>
      <c r="Y168" s="180"/>
      <c r="Z168" s="180"/>
      <c r="AA168" s="509"/>
      <c r="AB168" s="180">
        <f t="shared" si="42"/>
        <v>13.281544093708099</v>
      </c>
      <c r="AC168" s="180">
        <f t="shared" si="43"/>
        <v>0</v>
      </c>
      <c r="AE168" s="182"/>
      <c r="AF168" s="178"/>
      <c r="AG168" s="182"/>
      <c r="AH168" s="178"/>
      <c r="AJ168" s="259">
        <f>IF(AJ$135="Y",M168*$F$21*'Emissions Factors'!$B44,"")</f>
        <v>19.394415813394069</v>
      </c>
      <c r="AK168" s="259" t="str">
        <f>IF(AK$135="Y",M168*'Emissions Factors'!$R$36*$F$22/10^6,"")</f>
        <v/>
      </c>
      <c r="AL168" s="180"/>
      <c r="AM168" s="180"/>
      <c r="AO168" s="180">
        <f t="shared" si="44"/>
        <v>19.394415813394069</v>
      </c>
      <c r="AP168" s="180">
        <f t="shared" si="45"/>
        <v>0</v>
      </c>
      <c r="AS168" s="430"/>
      <c r="AT168" s="478">
        <v>2047</v>
      </c>
      <c r="AU168" s="479">
        <f t="shared" si="46"/>
        <v>32.675959907102168</v>
      </c>
      <c r="AV168" s="479">
        <f t="shared" si="46"/>
        <v>0</v>
      </c>
      <c r="AW168" s="430"/>
      <c r="AX168" s="479">
        <f t="shared" si="38"/>
        <v>9.6972079066970345</v>
      </c>
      <c r="AY168" s="479">
        <f t="shared" si="38"/>
        <v>0</v>
      </c>
      <c r="AZ168" s="430"/>
      <c r="BA168" s="479">
        <f t="shared" si="39"/>
        <v>22.978752000405134</v>
      </c>
      <c r="BB168" s="479">
        <f t="shared" si="39"/>
        <v>0</v>
      </c>
      <c r="BC168" s="516"/>
      <c r="BE168" s="480">
        <f t="shared" si="40"/>
        <v>0.29676887639311039</v>
      </c>
      <c r="BF168" s="480" t="str">
        <f t="shared" si="41"/>
        <v/>
      </c>
    </row>
    <row r="169" spans="1:58" ht="15.6" x14ac:dyDescent="0.3">
      <c r="A169" s="152">
        <v>2048</v>
      </c>
      <c r="B169" s="178"/>
      <c r="C169" s="182"/>
      <c r="D169" s="183"/>
      <c r="E169" s="179">
        <f t="shared" si="47"/>
        <v>0.64902433371363377</v>
      </c>
      <c r="F169" s="183">
        <f t="shared" si="48"/>
        <v>3.4449452452377183E-2</v>
      </c>
      <c r="G169" s="247">
        <f t="shared" si="35"/>
        <v>0.16526904597422132</v>
      </c>
      <c r="H169" s="246"/>
      <c r="I169" s="417"/>
      <c r="J169" s="178"/>
      <c r="K169" s="182"/>
      <c r="L169" s="183"/>
      <c r="M169" s="179">
        <f t="shared" si="36"/>
        <v>0.95391741099503902</v>
      </c>
      <c r="N169" s="183">
        <f t="shared" si="49"/>
        <v>5.648254110708173E-2</v>
      </c>
      <c r="O169" s="247">
        <f t="shared" si="37"/>
        <v>0.24290771896221358</v>
      </c>
      <c r="P169" s="246"/>
      <c r="Q169" s="417"/>
      <c r="R169" s="182"/>
      <c r="S169" s="178"/>
      <c r="T169" s="182"/>
      <c r="U169" s="178"/>
      <c r="V169" s="506"/>
      <c r="W169" s="259">
        <f>IF(W$135="Y",E169*$F$21*'Emissions Factors'!$B45,"")</f>
        <v>13.942332821097089</v>
      </c>
      <c r="X169" s="259" t="str">
        <f>IF(X$135="Y",E169*'Emissions Factors'!$R$36*$F$22/10^6,"")</f>
        <v/>
      </c>
      <c r="Y169" s="180"/>
      <c r="Z169" s="180"/>
      <c r="AA169" s="509"/>
      <c r="AB169" s="180">
        <f t="shared" si="42"/>
        <v>13.942332821097089</v>
      </c>
      <c r="AC169" s="180">
        <f t="shared" si="43"/>
        <v>0</v>
      </c>
      <c r="AE169" s="182"/>
      <c r="AF169" s="178"/>
      <c r="AG169" s="182"/>
      <c r="AH169" s="178"/>
      <c r="AJ169" s="259">
        <f>IF(AJ$135="Y",M169*$F$21*'Emissions Factors'!$B45,"")</f>
        <v>20.492042188668265</v>
      </c>
      <c r="AK169" s="259" t="str">
        <f>IF(AK$135="Y",M169*'Emissions Factors'!$R$36*$F$22/10^6,"")</f>
        <v/>
      </c>
      <c r="AL169" s="180"/>
      <c r="AM169" s="180"/>
      <c r="AO169" s="180">
        <f t="shared" si="44"/>
        <v>20.492042188668265</v>
      </c>
      <c r="AP169" s="180">
        <f t="shared" si="45"/>
        <v>0</v>
      </c>
      <c r="AS169" s="430"/>
      <c r="AT169" s="478">
        <v>2048</v>
      </c>
      <c r="AU169" s="479">
        <f t="shared" si="46"/>
        <v>34.434375009765354</v>
      </c>
      <c r="AV169" s="479">
        <f t="shared" si="46"/>
        <v>0</v>
      </c>
      <c r="AW169" s="430"/>
      <c r="AX169" s="479">
        <f t="shared" si="38"/>
        <v>10.246021094334132</v>
      </c>
      <c r="AY169" s="479">
        <f t="shared" si="38"/>
        <v>0</v>
      </c>
      <c r="AZ169" s="430"/>
      <c r="BA169" s="479">
        <f t="shared" si="39"/>
        <v>24.188353915431222</v>
      </c>
      <c r="BB169" s="479">
        <f t="shared" si="39"/>
        <v>0</v>
      </c>
      <c r="BC169" s="516"/>
      <c r="BE169" s="480">
        <f t="shared" si="40"/>
        <v>0.297552114462029</v>
      </c>
      <c r="BF169" s="480" t="str">
        <f t="shared" si="41"/>
        <v/>
      </c>
    </row>
    <row r="170" spans="1:58" ht="15.6" x14ac:dyDescent="0.3">
      <c r="A170" s="152">
        <v>2049</v>
      </c>
      <c r="B170" s="178"/>
      <c r="C170" s="182"/>
      <c r="D170" s="183"/>
      <c r="E170" s="179">
        <f t="shared" si="47"/>
        <v>0.68486140953739882</v>
      </c>
      <c r="F170" s="183">
        <f t="shared" si="48"/>
        <v>3.5837075823765052E-2</v>
      </c>
      <c r="G170" s="247">
        <f t="shared" si="35"/>
        <v>0.16547053057360184</v>
      </c>
      <c r="H170" s="246"/>
      <c r="I170" s="417"/>
      <c r="J170" s="178"/>
      <c r="K170" s="182"/>
      <c r="L170" s="183"/>
      <c r="M170" s="179">
        <f t="shared" si="36"/>
        <v>1.0131055986156208</v>
      </c>
      <c r="N170" s="183">
        <f t="shared" si="49"/>
        <v>5.9188187620581756E-2</v>
      </c>
      <c r="O170" s="247">
        <f t="shared" si="37"/>
        <v>0.24477816766351013</v>
      </c>
      <c r="P170" s="246"/>
      <c r="Q170" s="417"/>
      <c r="R170" s="182"/>
      <c r="S170" s="178"/>
      <c r="T170" s="182"/>
      <c r="U170" s="178"/>
      <c r="V170" s="506"/>
      <c r="W170" s="259">
        <f>IF(W$135="Y",E170*$F$21*'Emissions Factors'!$B46,"")</f>
        <v>14.636352606584749</v>
      </c>
      <c r="X170" s="259" t="str">
        <f>IF(X$135="Y",E170*'Emissions Factors'!$R$36*$F$22/10^6,"")</f>
        <v/>
      </c>
      <c r="Y170" s="180"/>
      <c r="Z170" s="180"/>
      <c r="AA170" s="509"/>
      <c r="AB170" s="180">
        <f t="shared" si="42"/>
        <v>14.636352606584749</v>
      </c>
      <c r="AC170" s="180">
        <f t="shared" si="43"/>
        <v>0</v>
      </c>
      <c r="AE170" s="182"/>
      <c r="AF170" s="178"/>
      <c r="AG170" s="182"/>
      <c r="AH170" s="178"/>
      <c r="AJ170" s="259">
        <f>IF(AJ$135="Y",M170*$F$21*'Emissions Factors'!$B46,"")</f>
        <v>21.651345166402763</v>
      </c>
      <c r="AK170" s="259" t="str">
        <f>IF(AK$135="Y",M170*'Emissions Factors'!$R$36*$F$22/10^6,"")</f>
        <v/>
      </c>
      <c r="AL170" s="180"/>
      <c r="AM170" s="180"/>
      <c r="AO170" s="180">
        <f t="shared" si="44"/>
        <v>21.651345166402763</v>
      </c>
      <c r="AP170" s="180">
        <f t="shared" si="45"/>
        <v>0</v>
      </c>
      <c r="AS170" s="430"/>
      <c r="AT170" s="478">
        <v>2049</v>
      </c>
      <c r="AU170" s="479">
        <f t="shared" si="46"/>
        <v>36.287697772987514</v>
      </c>
      <c r="AV170" s="479">
        <f t="shared" si="46"/>
        <v>0</v>
      </c>
      <c r="AW170" s="430"/>
      <c r="AX170" s="479">
        <f t="shared" si="38"/>
        <v>10.825672583201381</v>
      </c>
      <c r="AY170" s="479">
        <f t="shared" si="38"/>
        <v>0</v>
      </c>
      <c r="AZ170" s="430"/>
      <c r="BA170" s="479">
        <f t="shared" si="39"/>
        <v>25.462025189786132</v>
      </c>
      <c r="BB170" s="479">
        <f t="shared" si="39"/>
        <v>0</v>
      </c>
      <c r="BC170" s="516"/>
      <c r="BE170" s="480">
        <f t="shared" si="40"/>
        <v>0.29832899984247524</v>
      </c>
      <c r="BF170" s="480" t="str">
        <f t="shared" si="41"/>
        <v/>
      </c>
    </row>
    <row r="171" spans="1:58" ht="15.6" x14ac:dyDescent="0.3">
      <c r="A171" s="152">
        <v>2050</v>
      </c>
      <c r="B171" s="178"/>
      <c r="C171" s="182"/>
      <c r="D171" s="183"/>
      <c r="E171" s="179">
        <f t="shared" si="47"/>
        <v>0.72214382526961696</v>
      </c>
      <c r="F171" s="183">
        <f t="shared" si="48"/>
        <v>3.7282415732218133E-2</v>
      </c>
      <c r="G171" s="247">
        <f t="shared" si="35"/>
        <v>0.16568297090154641</v>
      </c>
      <c r="H171" s="246"/>
      <c r="I171" s="417"/>
      <c r="J171" s="178"/>
      <c r="K171" s="182"/>
      <c r="L171" s="183"/>
      <c r="M171" s="179">
        <f t="shared" si="36"/>
        <v>1.0751227802637529</v>
      </c>
      <c r="N171" s="183">
        <f t="shared" si="49"/>
        <v>6.201718164813208E-2</v>
      </c>
      <c r="O171" s="247">
        <f t="shared" si="37"/>
        <v>0.24666767212407201</v>
      </c>
      <c r="P171" s="246"/>
      <c r="Q171" s="417"/>
      <c r="R171" s="182"/>
      <c r="S171" s="178"/>
      <c r="T171" s="182"/>
      <c r="U171" s="178"/>
      <c r="V171" s="506"/>
      <c r="W171" s="259">
        <f>IF(W$135="Y",E171*$F$21*'Emissions Factors'!$B47,"")</f>
        <v>15.380051532580239</v>
      </c>
      <c r="X171" s="259" t="str">
        <f>IF(X$135="Y",E171*'Emissions Factors'!$R$36*$F$22/10^6,"")</f>
        <v/>
      </c>
      <c r="Y171" s="180"/>
      <c r="Z171" s="180"/>
      <c r="AA171" s="509"/>
      <c r="AB171" s="180">
        <f t="shared" si="42"/>
        <v>15.380051532580239</v>
      </c>
      <c r="AC171" s="180">
        <f t="shared" si="43"/>
        <v>0</v>
      </c>
      <c r="AE171" s="182"/>
      <c r="AF171" s="178"/>
      <c r="AG171" s="182"/>
      <c r="AH171" s="178"/>
      <c r="AJ171" s="259">
        <f>IF(AJ$135="Y",M171*$F$21*'Emissions Factors'!$B47,"")</f>
        <v>22.897715365957531</v>
      </c>
      <c r="AK171" s="259" t="str">
        <f>IF(AK$135="Y",M171*'Emissions Factors'!$R$36*$F$22/10^6,"")</f>
        <v/>
      </c>
      <c r="AL171" s="180"/>
      <c r="AM171" s="180"/>
      <c r="AO171" s="180">
        <f t="shared" si="44"/>
        <v>22.897715365957531</v>
      </c>
      <c r="AP171" s="180">
        <f t="shared" si="45"/>
        <v>0</v>
      </c>
      <c r="AS171" s="430"/>
      <c r="AT171" s="478">
        <v>2050</v>
      </c>
      <c r="AU171" s="479">
        <f t="shared" si="46"/>
        <v>38.27776689853777</v>
      </c>
      <c r="AV171" s="479">
        <f t="shared" si="46"/>
        <v>0</v>
      </c>
      <c r="AW171" s="430"/>
      <c r="AX171" s="479">
        <f t="shared" si="38"/>
        <v>11.448857682978765</v>
      </c>
      <c r="AY171" s="479">
        <f t="shared" si="38"/>
        <v>0</v>
      </c>
      <c r="AZ171" s="430"/>
      <c r="BA171" s="479">
        <f t="shared" si="39"/>
        <v>26.828909215559005</v>
      </c>
      <c r="BB171" s="479">
        <f t="shared" si="39"/>
        <v>0</v>
      </c>
      <c r="BC171" s="516"/>
      <c r="BE171" s="480">
        <f t="shared" si="40"/>
        <v>0.29909941489862923</v>
      </c>
      <c r="BF171" s="480" t="str">
        <f t="shared" si="41"/>
        <v/>
      </c>
    </row>
    <row r="172" spans="1:58" ht="15.6" x14ac:dyDescent="0.3">
      <c r="A172" s="152">
        <v>2051</v>
      </c>
      <c r="B172" s="178"/>
      <c r="C172" s="182"/>
      <c r="D172" s="183"/>
      <c r="E172" s="179">
        <f t="shared" si="47"/>
        <v>0.76089474790212197</v>
      </c>
      <c r="F172" s="183">
        <f t="shared" si="48"/>
        <v>3.8750922632505014E-2</v>
      </c>
      <c r="G172" s="247">
        <f t="shared" si="35"/>
        <v>0.16589934437549941</v>
      </c>
      <c r="H172" s="246"/>
      <c r="I172" s="417"/>
      <c r="J172" s="178"/>
      <c r="K172" s="182"/>
      <c r="L172" s="183"/>
      <c r="M172" s="179">
        <f t="shared" si="36"/>
        <v>1.1400459534368776</v>
      </c>
      <c r="N172" s="183">
        <f t="shared" si="49"/>
        <v>6.4923173173124793E-2</v>
      </c>
      <c r="O172" s="247">
        <f t="shared" si="37"/>
        <v>0.24856641047212003</v>
      </c>
      <c r="P172" s="246"/>
      <c r="Q172" s="417"/>
      <c r="R172" s="182"/>
      <c r="S172" s="178"/>
      <c r="T172" s="182"/>
      <c r="U172" s="178"/>
      <c r="V172" s="506"/>
      <c r="W172" s="259">
        <f>IF(W$135="Y",E172*$F$21*'Emissions Factors'!$B48,"")</f>
        <v>16.14342178713655</v>
      </c>
      <c r="X172" s="259" t="str">
        <f>IF(X$135="Y",E172*'Emissions Factors'!$R$36*$F$22/10^6,"")</f>
        <v/>
      </c>
      <c r="Y172" s="180"/>
      <c r="Z172" s="180"/>
      <c r="AA172" s="509"/>
      <c r="AB172" s="180">
        <f t="shared" si="42"/>
        <v>16.14342178713655</v>
      </c>
      <c r="AC172" s="180">
        <f t="shared" si="43"/>
        <v>0</v>
      </c>
      <c r="AE172" s="182"/>
      <c r="AF172" s="178"/>
      <c r="AG172" s="182"/>
      <c r="AH172" s="178"/>
      <c r="AJ172" s="259">
        <f>IF(AJ$135="Y",M172*$F$21*'Emissions Factors'!$B48,"")</f>
        <v>24.187632696627826</v>
      </c>
      <c r="AK172" s="259" t="str">
        <f>IF(AK$135="Y",M172*'Emissions Factors'!$R$36*$F$22/10^6,"")</f>
        <v/>
      </c>
      <c r="AL172" s="180"/>
      <c r="AM172" s="180"/>
      <c r="AO172" s="180">
        <f t="shared" si="44"/>
        <v>24.187632696627826</v>
      </c>
      <c r="AP172" s="180">
        <f t="shared" si="45"/>
        <v>0</v>
      </c>
      <c r="AT172" s="478">
        <v>2051</v>
      </c>
      <c r="AU172" s="479">
        <f t="shared" si="46"/>
        <v>40.331054483764376</v>
      </c>
      <c r="AV172" s="479">
        <f t="shared" si="46"/>
        <v>0</v>
      </c>
      <c r="AW172" s="430"/>
      <c r="AX172" s="479">
        <f t="shared" si="38"/>
        <v>12.093816348313913</v>
      </c>
      <c r="AY172" s="479">
        <f t="shared" si="38"/>
        <v>0</v>
      </c>
      <c r="AZ172" s="430"/>
      <c r="BA172" s="479">
        <f t="shared" si="39"/>
        <v>28.237238135450461</v>
      </c>
      <c r="BB172" s="479">
        <f t="shared" si="39"/>
        <v>0</v>
      </c>
      <c r="BC172" s="516"/>
      <c r="BE172" s="480">
        <f t="shared" si="40"/>
        <v>0.29986362873756217</v>
      </c>
      <c r="BF172" s="480" t="str">
        <f t="shared" si="41"/>
        <v/>
      </c>
    </row>
    <row r="173" spans="1:58" ht="15.6" x14ac:dyDescent="0.3">
      <c r="A173" s="152">
        <v>2052</v>
      </c>
      <c r="B173" s="178"/>
      <c r="C173" s="182"/>
      <c r="D173" s="183"/>
      <c r="E173" s="179">
        <f t="shared" si="47"/>
        <v>0.80109482009393251</v>
      </c>
      <c r="F173" s="183">
        <f t="shared" si="48"/>
        <v>4.0200072191810543E-2</v>
      </c>
      <c r="G173" s="247">
        <f t="shared" si="35"/>
        <v>0.16611039087061466</v>
      </c>
      <c r="H173" s="246"/>
      <c r="I173" s="417"/>
      <c r="J173" s="178"/>
      <c r="K173" s="182"/>
      <c r="L173" s="183"/>
      <c r="M173" s="179">
        <f t="shared" si="36"/>
        <v>1.2078911046635352</v>
      </c>
      <c r="N173" s="183">
        <f t="shared" si="49"/>
        <v>6.7845151226657574E-2</v>
      </c>
      <c r="O173" s="247">
        <f t="shared" si="37"/>
        <v>0.25046131680301204</v>
      </c>
      <c r="P173" s="246"/>
      <c r="Q173" s="417"/>
      <c r="R173" s="182"/>
      <c r="S173" s="178"/>
      <c r="T173" s="182"/>
      <c r="U173" s="178"/>
      <c r="V173" s="506"/>
      <c r="W173" s="259">
        <f>IF(W$135="Y",E173*$F$21*'Emissions Factors'!$B49,"")</f>
        <v>16.933560210986034</v>
      </c>
      <c r="X173" s="259" t="str">
        <f>IF(X$135="Y",E173*'Emissions Factors'!$R$36*$F$22/10^6,"")</f>
        <v/>
      </c>
      <c r="Y173" s="180"/>
      <c r="Z173" s="180"/>
      <c r="AA173" s="509"/>
      <c r="AB173" s="180">
        <f t="shared" si="42"/>
        <v>16.933560210986034</v>
      </c>
      <c r="AC173" s="180">
        <f t="shared" si="43"/>
        <v>0</v>
      </c>
      <c r="AE173" s="182"/>
      <c r="AF173" s="178"/>
      <c r="AG173" s="182"/>
      <c r="AH173" s="178"/>
      <c r="AJ173" s="259">
        <f>IF(AJ$135="Y",M173*$F$21*'Emissions Factors'!$B49,"")</f>
        <v>25.532429165795975</v>
      </c>
      <c r="AK173" s="259" t="str">
        <f>IF(AK$135="Y",M173*'Emissions Factors'!$R$36*$F$22/10^6,"")</f>
        <v/>
      </c>
      <c r="AL173" s="180"/>
      <c r="AM173" s="180"/>
      <c r="AO173" s="180">
        <f t="shared" si="44"/>
        <v>25.532429165795975</v>
      </c>
      <c r="AP173" s="180">
        <f t="shared" si="45"/>
        <v>0</v>
      </c>
      <c r="AT173" s="478">
        <v>2052</v>
      </c>
      <c r="AU173" s="479">
        <f t="shared" si="46"/>
        <v>42.465989376782005</v>
      </c>
      <c r="AV173" s="479">
        <f t="shared" si="46"/>
        <v>0</v>
      </c>
      <c r="AW173" s="430"/>
      <c r="AX173" s="479">
        <f t="shared" si="38"/>
        <v>12.766214582897987</v>
      </c>
      <c r="AY173" s="479">
        <f t="shared" si="38"/>
        <v>0</v>
      </c>
      <c r="AZ173" s="430"/>
      <c r="BA173" s="479">
        <f t="shared" si="39"/>
        <v>29.699774793884018</v>
      </c>
      <c r="BB173" s="479">
        <f t="shared" si="39"/>
        <v>0</v>
      </c>
      <c r="BC173" s="516"/>
      <c r="BE173" s="480">
        <f t="shared" si="40"/>
        <v>0.30062209241444943</v>
      </c>
      <c r="BF173" s="480" t="str">
        <f t="shared" si="41"/>
        <v/>
      </c>
    </row>
    <row r="174" spans="1:58" ht="15.6" x14ac:dyDescent="0.3">
      <c r="A174" s="152">
        <v>2053</v>
      </c>
      <c r="B174" s="178"/>
      <c r="C174" s="182"/>
      <c r="D174" s="183"/>
      <c r="E174" s="179">
        <f t="shared" si="47"/>
        <v>0.84269654092620738</v>
      </c>
      <c r="F174" s="183">
        <f t="shared" si="48"/>
        <v>4.1601720832274869E-2</v>
      </c>
      <c r="G174" s="247">
        <f t="shared" si="35"/>
        <v>0.16630546776741209</v>
      </c>
      <c r="H174" s="246"/>
      <c r="I174" s="417"/>
      <c r="J174" s="178"/>
      <c r="K174" s="182"/>
      <c r="L174" s="183"/>
      <c r="M174" s="179">
        <f t="shared" si="36"/>
        <v>1.2786284767960543</v>
      </c>
      <c r="N174" s="183">
        <f t="shared" si="49"/>
        <v>7.0737372132519072E-2</v>
      </c>
      <c r="O174" s="247">
        <f t="shared" si="37"/>
        <v>0.25233627599869546</v>
      </c>
      <c r="P174" s="246"/>
      <c r="Q174" s="417"/>
      <c r="R174" s="182"/>
      <c r="S174" s="178"/>
      <c r="T174" s="182"/>
      <c r="U174" s="178"/>
      <c r="V174" s="506"/>
      <c r="W174" s="259">
        <f>IF(W$135="Y",E174*$F$21*'Emissions Factors'!$B50,"")</f>
        <v>17.745534544341286</v>
      </c>
      <c r="X174" s="259" t="str">
        <f>IF(X$135="Y",E174*'Emissions Factors'!$R$36*$F$22/10^6,"")</f>
        <v/>
      </c>
      <c r="Y174" s="180"/>
      <c r="Z174" s="180"/>
      <c r="AA174" s="509"/>
      <c r="AB174" s="180">
        <f t="shared" si="42"/>
        <v>17.745534544341286</v>
      </c>
      <c r="AC174" s="180">
        <f t="shared" si="43"/>
        <v>0</v>
      </c>
      <c r="AE174" s="182"/>
      <c r="AF174" s="178"/>
      <c r="AG174" s="182"/>
      <c r="AH174" s="178"/>
      <c r="AJ174" s="259">
        <f>IF(AJ$135="Y",M174*$F$21*'Emissions Factors'!$B50,"")</f>
        <v>26.925405175419794</v>
      </c>
      <c r="AK174" s="259" t="str">
        <f>IF(AK$135="Y",M174*'Emissions Factors'!$R$36*$F$22/10^6,"")</f>
        <v/>
      </c>
      <c r="AL174" s="180"/>
      <c r="AM174" s="180"/>
      <c r="AO174" s="180">
        <f t="shared" si="44"/>
        <v>26.925405175419794</v>
      </c>
      <c r="AP174" s="180">
        <f t="shared" si="45"/>
        <v>0</v>
      </c>
      <c r="AT174" s="478">
        <v>2053</v>
      </c>
      <c r="AU174" s="479">
        <f t="shared" si="46"/>
        <v>44.67093971976108</v>
      </c>
      <c r="AV174" s="479">
        <f t="shared" si="46"/>
        <v>0</v>
      </c>
      <c r="AW174" s="430"/>
      <c r="AX174" s="479">
        <f t="shared" si="38"/>
        <v>13.462702587709897</v>
      </c>
      <c r="AY174" s="479">
        <f t="shared" si="38"/>
        <v>0</v>
      </c>
      <c r="AZ174" s="430"/>
      <c r="BA174" s="479">
        <f t="shared" si="39"/>
        <v>31.208237132051181</v>
      </c>
      <c r="BB174" s="479">
        <f t="shared" si="39"/>
        <v>0</v>
      </c>
      <c r="BC174" s="516"/>
      <c r="BE174" s="480">
        <f t="shared" si="40"/>
        <v>0.30137495813087634</v>
      </c>
      <c r="BF174" s="480" t="str">
        <f t="shared" si="41"/>
        <v/>
      </c>
    </row>
    <row r="175" spans="1:58" ht="15.6" x14ac:dyDescent="0.3">
      <c r="A175" s="152">
        <v>2054</v>
      </c>
      <c r="B175" s="178"/>
      <c r="C175" s="182"/>
      <c r="D175" s="183"/>
      <c r="E175" s="179">
        <f t="shared" si="47"/>
        <v>0.88562604321952643</v>
      </c>
      <c r="F175" s="183">
        <f t="shared" si="48"/>
        <v>4.2929502293319044E-2</v>
      </c>
      <c r="G175" s="247">
        <f t="shared" si="35"/>
        <v>0.16647426817615404</v>
      </c>
      <c r="H175" s="246"/>
      <c r="I175" s="417"/>
      <c r="J175" s="178"/>
      <c r="K175" s="182"/>
      <c r="L175" s="183"/>
      <c r="M175" s="179">
        <f t="shared" si="36"/>
        <v>1.3521860433587141</v>
      </c>
      <c r="N175" s="183">
        <f t="shared" si="49"/>
        <v>7.3557566562659771E-2</v>
      </c>
      <c r="O175" s="247">
        <f t="shared" si="37"/>
        <v>0.25417520603597815</v>
      </c>
      <c r="P175" s="246"/>
      <c r="Q175" s="417"/>
      <c r="R175" s="182"/>
      <c r="S175" s="178"/>
      <c r="T175" s="182"/>
      <c r="U175" s="178"/>
      <c r="V175" s="506"/>
      <c r="W175" s="259">
        <f>IF(W$135="Y",E175*$F$21*'Emissions Factors'!$B51,"")</f>
        <v>18.577180914002167</v>
      </c>
      <c r="X175" s="259" t="str">
        <f>IF(X$135="Y",E175*'Emissions Factors'!$R$36*$F$22/10^6,"")</f>
        <v/>
      </c>
      <c r="Y175" s="180"/>
      <c r="Z175" s="180"/>
      <c r="AA175" s="509"/>
      <c r="AB175" s="180">
        <f t="shared" si="42"/>
        <v>18.577180914002167</v>
      </c>
      <c r="AC175" s="180">
        <f t="shared" si="43"/>
        <v>0</v>
      </c>
      <c r="AE175" s="182"/>
      <c r="AF175" s="178"/>
      <c r="AG175" s="182"/>
      <c r="AH175" s="178"/>
      <c r="AJ175" s="259">
        <f>IF(AJ$135="Y",M175*$F$21*'Emissions Factors'!$B51,"")</f>
        <v>28.363895742660521</v>
      </c>
      <c r="AK175" s="259" t="str">
        <f>IF(AK$135="Y",M175*'Emissions Factors'!$R$36*$F$22/10^6,"")</f>
        <v/>
      </c>
      <c r="AL175" s="180"/>
      <c r="AM175" s="180"/>
      <c r="AO175" s="180">
        <f t="shared" si="44"/>
        <v>28.363895742660521</v>
      </c>
      <c r="AP175" s="180">
        <f t="shared" si="45"/>
        <v>0</v>
      </c>
      <c r="AT175" s="478">
        <v>2054</v>
      </c>
      <c r="AU175" s="479">
        <f t="shared" si="46"/>
        <v>46.941076656662688</v>
      </c>
      <c r="AV175" s="479">
        <f t="shared" si="46"/>
        <v>0</v>
      </c>
      <c r="AW175" s="430"/>
      <c r="AX175" s="479">
        <f t="shared" si="38"/>
        <v>14.18194787133026</v>
      </c>
      <c r="AY175" s="479">
        <f t="shared" si="38"/>
        <v>0</v>
      </c>
      <c r="AZ175" s="430"/>
      <c r="BA175" s="479">
        <f t="shared" si="39"/>
        <v>32.759128785332429</v>
      </c>
      <c r="BB175" s="479">
        <f t="shared" si="39"/>
        <v>0</v>
      </c>
      <c r="BC175" s="516"/>
      <c r="BE175" s="480">
        <f t="shared" si="40"/>
        <v>0.30212233892844281</v>
      </c>
      <c r="BF175" s="480" t="str">
        <f t="shared" si="41"/>
        <v/>
      </c>
    </row>
    <row r="176" spans="1:58" ht="15.6" x14ac:dyDescent="0.3">
      <c r="A176" s="152">
        <v>2055</v>
      </c>
      <c r="B176" s="178"/>
      <c r="C176" s="182"/>
      <c r="D176" s="183"/>
      <c r="E176" s="179">
        <f t="shared" si="47"/>
        <v>0.92980886081226855</v>
      </c>
      <c r="F176" s="183">
        <f t="shared" si="48"/>
        <v>4.4182817592742119E-2</v>
      </c>
      <c r="G176" s="247">
        <f t="shared" si="35"/>
        <v>0.16660918600264574</v>
      </c>
      <c r="H176" s="246"/>
      <c r="I176" s="417"/>
      <c r="J176" s="178"/>
      <c r="K176" s="182"/>
      <c r="L176" s="183"/>
      <c r="M176" s="179">
        <f t="shared" si="36"/>
        <v>1.4284877225353831</v>
      </c>
      <c r="N176" s="183">
        <f t="shared" si="49"/>
        <v>7.6301679176669079E-2</v>
      </c>
      <c r="O176" s="247">
        <f t="shared" si="37"/>
        <v>0.25596570079842063</v>
      </c>
      <c r="P176" s="246"/>
      <c r="Q176" s="417"/>
      <c r="R176" s="182"/>
      <c r="S176" s="178"/>
      <c r="T176" s="182"/>
      <c r="U176" s="178"/>
      <c r="V176" s="506"/>
      <c r="W176" s="259">
        <f>IF(W$135="Y",E176*$F$21*'Emissions Factors'!$B52,"")</f>
        <v>19.424705909713488</v>
      </c>
      <c r="X176" s="259" t="str">
        <f>IF(X$135="Y",E176*'Emissions Factors'!$R$36*$F$22/10^6,"")</f>
        <v/>
      </c>
      <c r="Y176" s="180"/>
      <c r="Z176" s="180"/>
      <c r="AA176" s="509"/>
      <c r="AB176" s="180">
        <f t="shared" si="42"/>
        <v>19.424705909713488</v>
      </c>
      <c r="AC176" s="180">
        <f t="shared" si="43"/>
        <v>0</v>
      </c>
      <c r="AE176" s="182"/>
      <c r="AF176" s="178"/>
      <c r="AG176" s="182"/>
      <c r="AH176" s="178"/>
      <c r="AJ176" s="259">
        <f>IF(AJ$135="Y",M176*$F$21*'Emissions Factors'!$B52,"")</f>
        <v>29.842643015518245</v>
      </c>
      <c r="AK176" s="259" t="str">
        <f>IF(AK$135="Y",M176*'Emissions Factors'!$R$36*$F$22/10^6,"")</f>
        <v/>
      </c>
      <c r="AL176" s="180"/>
      <c r="AM176" s="180"/>
      <c r="AO176" s="180">
        <f t="shared" si="44"/>
        <v>29.842643015518245</v>
      </c>
      <c r="AP176" s="180">
        <f t="shared" si="45"/>
        <v>0</v>
      </c>
      <c r="AT176" s="478">
        <v>2055</v>
      </c>
      <c r="AU176" s="479">
        <f t="shared" si="46"/>
        <v>49.26734892523173</v>
      </c>
      <c r="AV176" s="479">
        <f t="shared" si="46"/>
        <v>0</v>
      </c>
      <c r="AW176" s="430"/>
      <c r="AX176" s="479">
        <f t="shared" si="38"/>
        <v>14.921321507759123</v>
      </c>
      <c r="AY176" s="479">
        <f t="shared" si="38"/>
        <v>0</v>
      </c>
      <c r="AZ176" s="430"/>
      <c r="BA176" s="479">
        <f t="shared" si="39"/>
        <v>34.346027417472605</v>
      </c>
      <c r="BB176" s="479">
        <f t="shared" si="39"/>
        <v>0</v>
      </c>
      <c r="BC176" s="516"/>
      <c r="BE176" s="480">
        <f t="shared" si="40"/>
        <v>0.30286430736112396</v>
      </c>
      <c r="BF176" s="480" t="str">
        <f t="shared" si="41"/>
        <v/>
      </c>
    </row>
    <row r="177" spans="1:58" ht="15.6" x14ac:dyDescent="0.3">
      <c r="A177" s="152">
        <v>2056</v>
      </c>
      <c r="B177" s="178"/>
      <c r="C177" s="182"/>
      <c r="D177" s="183"/>
      <c r="E177" s="179">
        <f t="shared" si="47"/>
        <v>0.97521261879947174</v>
      </c>
      <c r="F177" s="183">
        <f t="shared" si="48"/>
        <v>4.5403757987203197E-2</v>
      </c>
      <c r="G177" s="247">
        <f t="shared" si="35"/>
        <v>0.16670798941262385</v>
      </c>
      <c r="H177" s="246"/>
      <c r="I177" s="417"/>
      <c r="J177" s="178"/>
      <c r="K177" s="182"/>
      <c r="L177" s="183"/>
      <c r="M177" s="179">
        <f t="shared" si="36"/>
        <v>1.5075193868577705</v>
      </c>
      <c r="N177" s="183">
        <f t="shared" si="49"/>
        <v>7.9031664322387396E-2</v>
      </c>
      <c r="O177" s="247">
        <f t="shared" si="37"/>
        <v>0.25770331632192223</v>
      </c>
      <c r="P177" s="246"/>
      <c r="Q177" s="417"/>
      <c r="R177" s="182"/>
      <c r="S177" s="178"/>
      <c r="T177" s="182"/>
      <c r="U177" s="178"/>
      <c r="V177" s="506"/>
      <c r="W177" s="259">
        <f>IF(W$135="Y",E177*$F$21*'Emissions Factors'!$B53,"")</f>
        <v>20.291663948359457</v>
      </c>
      <c r="X177" s="259" t="str">
        <f>IF(X$135="Y",E177*'Emissions Factors'!$R$36*$F$22/10^6,"")</f>
        <v/>
      </c>
      <c r="Y177" s="180"/>
      <c r="Z177" s="180"/>
      <c r="AA177" s="509"/>
      <c r="AB177" s="180">
        <f t="shared" si="42"/>
        <v>20.291663948359457</v>
      </c>
      <c r="AC177" s="180">
        <f t="shared" si="43"/>
        <v>0</v>
      </c>
      <c r="AE177" s="182"/>
      <c r="AF177" s="178"/>
      <c r="AG177" s="182"/>
      <c r="AH177" s="178"/>
      <c r="AJ177" s="259">
        <f>IF(AJ$135="Y",M177*$F$21*'Emissions Factors'!$B53,"")</f>
        <v>31.367597387544535</v>
      </c>
      <c r="AK177" s="259" t="str">
        <f>IF(AK$135="Y",M177*'Emissions Factors'!$R$36*$F$22/10^6,"")</f>
        <v/>
      </c>
      <c r="AL177" s="180"/>
      <c r="AM177" s="180"/>
      <c r="AO177" s="180">
        <f t="shared" si="44"/>
        <v>31.367597387544535</v>
      </c>
      <c r="AP177" s="180">
        <f t="shared" si="45"/>
        <v>0</v>
      </c>
      <c r="AT177" s="478">
        <v>2056</v>
      </c>
      <c r="AU177" s="479">
        <f t="shared" si="46"/>
        <v>51.659261335903992</v>
      </c>
      <c r="AV177" s="479">
        <f t="shared" si="46"/>
        <v>0</v>
      </c>
      <c r="AW177" s="430"/>
      <c r="AX177" s="479">
        <f t="shared" si="38"/>
        <v>15.683798693772268</v>
      </c>
      <c r="AY177" s="479">
        <f t="shared" si="38"/>
        <v>0</v>
      </c>
      <c r="AZ177" s="430"/>
      <c r="BA177" s="479">
        <f t="shared" si="39"/>
        <v>35.975462642131724</v>
      </c>
      <c r="BB177" s="479">
        <f t="shared" si="39"/>
        <v>0</v>
      </c>
      <c r="BC177" s="516"/>
      <c r="BE177" s="480">
        <f t="shared" si="40"/>
        <v>0.30360090888236885</v>
      </c>
      <c r="BF177" s="480" t="str">
        <f t="shared" si="41"/>
        <v/>
      </c>
    </row>
    <row r="178" spans="1:58" ht="15.6" x14ac:dyDescent="0.3">
      <c r="A178" s="152">
        <v>2057</v>
      </c>
      <c r="B178" s="178"/>
      <c r="C178" s="182"/>
      <c r="D178" s="183"/>
      <c r="E178" s="179">
        <f t="shared" si="47"/>
        <v>1.0217856325471872</v>
      </c>
      <c r="F178" s="183">
        <f t="shared" si="48"/>
        <v>4.6573013747715497E-2</v>
      </c>
      <c r="G178" s="247">
        <f t="shared" si="35"/>
        <v>0.16676871500794652</v>
      </c>
      <c r="H178" s="246"/>
      <c r="I178" s="417"/>
      <c r="J178" s="178"/>
      <c r="K178" s="182"/>
      <c r="L178" s="183"/>
      <c r="M178" s="179">
        <f t="shared" si="36"/>
        <v>1.5892366429477676</v>
      </c>
      <c r="N178" s="183">
        <f t="shared" si="49"/>
        <v>8.1717256089997026E-2</v>
      </c>
      <c r="O178" s="247">
        <f t="shared" si="37"/>
        <v>0.2593841059667692</v>
      </c>
      <c r="P178" s="246"/>
      <c r="Q178" s="417"/>
      <c r="R178" s="182"/>
      <c r="S178" s="178"/>
      <c r="T178" s="182"/>
      <c r="U178" s="178"/>
      <c r="V178" s="506"/>
      <c r="W178" s="259">
        <f>IF(W$135="Y",E178*$F$21*'Emissions Factors'!$B54,"")</f>
        <v>21.171492562241404</v>
      </c>
      <c r="X178" s="259" t="str">
        <f>IF(X$135="Y",E178*'Emissions Factors'!$R$36*$F$22/10^6,"")</f>
        <v/>
      </c>
      <c r="Y178" s="180"/>
      <c r="Z178" s="180"/>
      <c r="AA178" s="509"/>
      <c r="AB178" s="180">
        <f t="shared" si="42"/>
        <v>21.171492562241404</v>
      </c>
      <c r="AC178" s="180">
        <f t="shared" si="43"/>
        <v>0</v>
      </c>
      <c r="AE178" s="182"/>
      <c r="AF178" s="178"/>
      <c r="AG178" s="182"/>
      <c r="AH178" s="178"/>
      <c r="AJ178" s="259">
        <f>IF(AJ$135="Y",M178*$F$21*'Emissions Factors'!$B54,"")</f>
        <v>32.929129842952968</v>
      </c>
      <c r="AK178" s="259" t="str">
        <f>IF(AK$135="Y",M178*'Emissions Factors'!$R$36*$F$22/10^6,"")</f>
        <v/>
      </c>
      <c r="AL178" s="180"/>
      <c r="AM178" s="180"/>
      <c r="AO178" s="180">
        <f t="shared" si="44"/>
        <v>32.929129842952968</v>
      </c>
      <c r="AP178" s="180">
        <f t="shared" si="45"/>
        <v>0</v>
      </c>
      <c r="AT178" s="478">
        <v>2057</v>
      </c>
      <c r="AU178" s="479">
        <f t="shared" si="46"/>
        <v>54.100622405194372</v>
      </c>
      <c r="AV178" s="479">
        <f t="shared" si="46"/>
        <v>0</v>
      </c>
      <c r="AW178" s="430"/>
      <c r="AX178" s="479">
        <f t="shared" si="38"/>
        <v>16.464564921476484</v>
      </c>
      <c r="AY178" s="479">
        <f t="shared" si="38"/>
        <v>0</v>
      </c>
      <c r="AZ178" s="430"/>
      <c r="BA178" s="479">
        <f t="shared" si="39"/>
        <v>37.636057483717892</v>
      </c>
      <c r="BB178" s="479">
        <f t="shared" si="39"/>
        <v>0</v>
      </c>
      <c r="BC178" s="516"/>
      <c r="BE178" s="480">
        <f t="shared" si="40"/>
        <v>0.30433226438991334</v>
      </c>
      <c r="BF178" s="480" t="str">
        <f t="shared" si="41"/>
        <v/>
      </c>
    </row>
    <row r="179" spans="1:58" ht="15.6" x14ac:dyDescent="0.3">
      <c r="A179" s="152">
        <v>2058</v>
      </c>
      <c r="B179" s="178"/>
      <c r="C179" s="182"/>
      <c r="D179" s="183"/>
      <c r="E179" s="179">
        <f t="shared" si="47"/>
        <v>1.0694090520436725</v>
      </c>
      <c r="F179" s="183">
        <f t="shared" si="48"/>
        <v>4.7623419496485297E-2</v>
      </c>
      <c r="G179" s="247">
        <f t="shared" si="35"/>
        <v>0.1667871133102202</v>
      </c>
      <c r="H179" s="246"/>
      <c r="I179" s="417"/>
      <c r="J179" s="178"/>
      <c r="K179" s="182"/>
      <c r="L179" s="183"/>
      <c r="M179" s="179">
        <f t="shared" si="36"/>
        <v>1.6734880745342955</v>
      </c>
      <c r="N179" s="183">
        <f t="shared" si="49"/>
        <v>8.4251431586527925E-2</v>
      </c>
      <c r="O179" s="247">
        <f t="shared" si="37"/>
        <v>0.26100045120924897</v>
      </c>
      <c r="P179" s="246"/>
      <c r="Q179" s="417"/>
      <c r="R179" s="182"/>
      <c r="S179" s="178"/>
      <c r="T179" s="182"/>
      <c r="U179" s="178"/>
      <c r="V179" s="506"/>
      <c r="W179" s="259">
        <f>IF(W$135="Y",E179*$F$21*'Emissions Factors'!$B55,"")</f>
        <v>22.062709751604569</v>
      </c>
      <c r="X179" s="259" t="str">
        <f>IF(X$135="Y",E179*'Emissions Factors'!$R$36*$F$22/10^6,"")</f>
        <v/>
      </c>
      <c r="Y179" s="180"/>
      <c r="Z179" s="180"/>
      <c r="AA179" s="509"/>
      <c r="AB179" s="180">
        <f t="shared" si="42"/>
        <v>22.062709751604569</v>
      </c>
      <c r="AC179" s="180">
        <f t="shared" si="43"/>
        <v>0</v>
      </c>
      <c r="AE179" s="182"/>
      <c r="AF179" s="178"/>
      <c r="AG179" s="182"/>
      <c r="AH179" s="178"/>
      <c r="AJ179" s="259">
        <f>IF(AJ$135="Y",M179*$F$21*'Emissions Factors'!$B55,"")</f>
        <v>34.525312452389777</v>
      </c>
      <c r="AK179" s="259" t="str">
        <f>IF(AK$135="Y",M179*'Emissions Factors'!$R$36*$F$22/10^6,"")</f>
        <v/>
      </c>
      <c r="AL179" s="180"/>
      <c r="AM179" s="180"/>
      <c r="AO179" s="180">
        <f t="shared" si="44"/>
        <v>34.525312452389777</v>
      </c>
      <c r="AP179" s="180">
        <f t="shared" si="45"/>
        <v>0</v>
      </c>
      <c r="AT179" s="478">
        <v>2058</v>
      </c>
      <c r="AU179" s="479">
        <f t="shared" si="46"/>
        <v>56.588022203994342</v>
      </c>
      <c r="AV179" s="479">
        <f t="shared" si="46"/>
        <v>0</v>
      </c>
      <c r="AW179" s="430"/>
      <c r="AX179" s="479">
        <f t="shared" si="38"/>
        <v>17.262656226194888</v>
      </c>
      <c r="AY179" s="479">
        <f t="shared" si="38"/>
        <v>0</v>
      </c>
      <c r="AZ179" s="430"/>
      <c r="BA179" s="479">
        <f t="shared" si="39"/>
        <v>39.32536597779945</v>
      </c>
      <c r="BB179" s="479">
        <f t="shared" si="39"/>
        <v>0</v>
      </c>
      <c r="BC179" s="516"/>
      <c r="BE179" s="480">
        <f t="shared" si="40"/>
        <v>0.30505848329465701</v>
      </c>
      <c r="BF179" s="480" t="str">
        <f t="shared" si="41"/>
        <v/>
      </c>
    </row>
    <row r="180" spans="1:58" ht="15.6" x14ac:dyDescent="0.3">
      <c r="A180" s="152">
        <v>2059</v>
      </c>
      <c r="B180" s="178"/>
      <c r="C180" s="182"/>
      <c r="D180" s="183"/>
      <c r="E180" s="179">
        <f t="shared" si="47"/>
        <v>1.1179398174516115</v>
      </c>
      <c r="F180" s="183">
        <f t="shared" si="48"/>
        <v>4.8530765407938992E-2</v>
      </c>
      <c r="G180" s="247">
        <f t="shared" si="35"/>
        <v>0.16675948788655595</v>
      </c>
      <c r="H180" s="246"/>
      <c r="I180" s="417"/>
      <c r="J180" s="178"/>
      <c r="K180" s="182"/>
      <c r="L180" s="183"/>
      <c r="M180" s="179">
        <f t="shared" si="36"/>
        <v>1.7600792492925554</v>
      </c>
      <c r="N180" s="183">
        <f t="shared" si="49"/>
        <v>8.6591174758259948E-2</v>
      </c>
      <c r="O180" s="247">
        <f t="shared" si="37"/>
        <v>0.26254536216524427</v>
      </c>
      <c r="P180" s="246"/>
      <c r="Q180" s="417"/>
      <c r="R180" s="182"/>
      <c r="S180" s="178"/>
      <c r="T180" s="182"/>
      <c r="U180" s="178"/>
      <c r="V180" s="506"/>
      <c r="W180" s="259">
        <f>IF(W$135="Y",E180*$F$21*'Emissions Factors'!$B56,"")</f>
        <v>22.961740367573601</v>
      </c>
      <c r="X180" s="259" t="str">
        <f>IF(X$135="Y",E180*'Emissions Factors'!$R$36*$F$22/10^6,"")</f>
        <v/>
      </c>
      <c r="Y180" s="180"/>
      <c r="Z180" s="180"/>
      <c r="AA180" s="509"/>
      <c r="AB180" s="180">
        <f t="shared" si="42"/>
        <v>22.961740367573601</v>
      </c>
      <c r="AC180" s="180">
        <f t="shared" si="43"/>
        <v>0</v>
      </c>
      <c r="AE180" s="182"/>
      <c r="AF180" s="178"/>
      <c r="AG180" s="182"/>
      <c r="AH180" s="178"/>
      <c r="AJ180" s="259">
        <f>IF(AJ$135="Y",M180*$F$21*'Emissions Factors'!$B56,"")</f>
        <v>36.150857244476661</v>
      </c>
      <c r="AK180" s="259" t="str">
        <f>IF(AK$135="Y",M180*'Emissions Factors'!$R$36*$F$22/10^6,"")</f>
        <v/>
      </c>
      <c r="AL180" s="180"/>
      <c r="AM180" s="180"/>
      <c r="AO180" s="180">
        <f t="shared" si="44"/>
        <v>36.150857244476661</v>
      </c>
      <c r="AP180" s="180">
        <f t="shared" si="45"/>
        <v>0</v>
      </c>
      <c r="AT180" s="478">
        <v>2059</v>
      </c>
      <c r="AU180" s="479">
        <f t="shared" si="46"/>
        <v>59.112597612050266</v>
      </c>
      <c r="AV180" s="479">
        <f t="shared" si="46"/>
        <v>0</v>
      </c>
      <c r="AW180" s="430"/>
      <c r="AX180" s="479">
        <f t="shared" si="38"/>
        <v>18.075428622238331</v>
      </c>
      <c r="AY180" s="479">
        <f t="shared" si="38"/>
        <v>0</v>
      </c>
      <c r="AZ180" s="430"/>
      <c r="BA180" s="479">
        <f t="shared" si="39"/>
        <v>41.037168989811931</v>
      </c>
      <c r="BB180" s="479">
        <f t="shared" si="39"/>
        <v>0</v>
      </c>
      <c r="BC180" s="516"/>
      <c r="BE180" s="480">
        <f t="shared" si="40"/>
        <v>0.30577963670054664</v>
      </c>
      <c r="BF180" s="480" t="str">
        <f t="shared" si="41"/>
        <v/>
      </c>
    </row>
    <row r="181" spans="1:58" ht="15.6" x14ac:dyDescent="0.3">
      <c r="A181" s="152">
        <v>2060</v>
      </c>
      <c r="B181" s="178"/>
      <c r="C181" s="182"/>
      <c r="D181" s="183"/>
      <c r="E181" s="179">
        <f t="shared" si="47"/>
        <v>1.1672579794696756</v>
      </c>
      <c r="F181" s="183">
        <f t="shared" si="48"/>
        <v>4.9318162018064049E-2</v>
      </c>
      <c r="G181" s="247">
        <f t="shared" si="35"/>
        <v>0.16668474133371086</v>
      </c>
      <c r="H181" s="246"/>
      <c r="I181" s="417"/>
      <c r="J181" s="178"/>
      <c r="K181" s="182"/>
      <c r="L181" s="183"/>
      <c r="M181" s="179">
        <f t="shared" si="36"/>
        <v>1.8488456150159855</v>
      </c>
      <c r="N181" s="183">
        <f t="shared" si="49"/>
        <v>8.8766365723430107E-2</v>
      </c>
      <c r="O181" s="247">
        <f t="shared" si="37"/>
        <v>0.26401563195560168</v>
      </c>
      <c r="P181" s="246"/>
      <c r="Q181" s="417"/>
      <c r="R181" s="182"/>
      <c r="S181" s="178"/>
      <c r="T181" s="182"/>
      <c r="U181" s="178"/>
      <c r="V181" s="506"/>
      <c r="W181" s="259">
        <f>IF(W$135="Y",E181*$F$21*'Emissions Factors'!$B57,"")</f>
        <v>23.873502703500069</v>
      </c>
      <c r="X181" s="259" t="str">
        <f>IF(X$135="Y",E181*'Emissions Factors'!$R$36*$F$22/10^6,"")</f>
        <v/>
      </c>
      <c r="Y181" s="180"/>
      <c r="Z181" s="180"/>
      <c r="AA181" s="509"/>
      <c r="AB181" s="180">
        <f t="shared" si="42"/>
        <v>23.873502703500069</v>
      </c>
      <c r="AC181" s="180">
        <f t="shared" si="43"/>
        <v>0</v>
      </c>
      <c r="AE181" s="182"/>
      <c r="AF181" s="178"/>
      <c r="AG181" s="182"/>
      <c r="AH181" s="178"/>
      <c r="AJ181" s="259">
        <f>IF(AJ$135="Y",M181*$F$21*'Emissions Factors'!$B57,"")</f>
        <v>37.813766592104983</v>
      </c>
      <c r="AK181" s="259" t="str">
        <f>IF(AK$135="Y",M181*'Emissions Factors'!$R$36*$F$22/10^6,"")</f>
        <v/>
      </c>
      <c r="AL181" s="180"/>
      <c r="AM181" s="180"/>
      <c r="AO181" s="180">
        <f t="shared" si="44"/>
        <v>37.813766592104983</v>
      </c>
      <c r="AP181" s="180">
        <f t="shared" si="45"/>
        <v>0</v>
      </c>
      <c r="AT181" s="478">
        <v>2060</v>
      </c>
      <c r="AU181" s="479">
        <f t="shared" si="46"/>
        <v>61.687269295605049</v>
      </c>
      <c r="AV181" s="479">
        <f t="shared" si="46"/>
        <v>0</v>
      </c>
      <c r="AW181" s="430"/>
      <c r="AX181" s="479">
        <f t="shared" si="38"/>
        <v>18.906883296052492</v>
      </c>
      <c r="AY181" s="479">
        <f t="shared" si="38"/>
        <v>0</v>
      </c>
      <c r="AZ181" s="430"/>
      <c r="BA181" s="479">
        <f t="shared" si="39"/>
        <v>42.780385999552557</v>
      </c>
      <c r="BB181" s="479">
        <f t="shared" si="39"/>
        <v>0</v>
      </c>
      <c r="BC181" s="516"/>
      <c r="BE181" s="480">
        <f t="shared" si="40"/>
        <v>0.3064957083032937</v>
      </c>
      <c r="BF181" s="480" t="str">
        <f t="shared" si="41"/>
        <v/>
      </c>
    </row>
    <row r="182" spans="1:58" x14ac:dyDescent="0.25">
      <c r="BA182" s="516"/>
    </row>
    <row r="183" spans="1:58" x14ac:dyDescent="0.25">
      <c r="BA183" s="516"/>
    </row>
    <row r="184" spans="1:58" x14ac:dyDescent="0.25">
      <c r="BA184" s="516"/>
    </row>
    <row r="185" spans="1:58" x14ac:dyDescent="0.25">
      <c r="BA185" s="516"/>
    </row>
    <row r="186" spans="1:58" x14ac:dyDescent="0.25">
      <c r="BA186" s="516"/>
    </row>
    <row r="187" spans="1:58" x14ac:dyDescent="0.25">
      <c r="BA187" s="516"/>
    </row>
    <row r="188" spans="1:58" x14ac:dyDescent="0.25">
      <c r="BA188" s="516"/>
    </row>
    <row r="189" spans="1:58" ht="13.5" customHeight="1" thickBot="1" x14ac:dyDescent="0.3">
      <c r="BC189" s="516"/>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516"/>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ResLight_cluster</v>
      </c>
      <c r="Z191" s="607"/>
      <c r="AA191" s="608"/>
      <c r="AB191" s="445"/>
      <c r="AC191" s="606" t="str">
        <f ca="1">CONCATENATE("Table 14(b): EMISSIONS ALLOCATION TO Education in MDC, ",A1)</f>
        <v>Table 14(b): EMISSIONS ALLOCATION TO Education in MDC, ResLight_cluster</v>
      </c>
      <c r="AD191" s="608"/>
      <c r="AE191" s="446"/>
      <c r="AF191" s="606" t="str">
        <f ca="1">CONCATENATE("Table 14(c): EMISSIONS ALLOCATION TO Family Planning in MDC, ",$A$1)</f>
        <v>Table 14(c): EMISSIONS ALLOCATION TO Family Planning in MDC, ResLight_cluster</v>
      </c>
      <c r="AG191" s="608"/>
      <c r="AH191" s="516"/>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516"/>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516"/>
      <c r="AJ193" s="481" t="s">
        <v>227</v>
      </c>
      <c r="AK193" s="481" t="s">
        <v>228</v>
      </c>
    </row>
    <row r="194" spans="1:37" ht="15.6" x14ac:dyDescent="0.3">
      <c r="A194" s="152">
        <v>2014</v>
      </c>
      <c r="B194" s="178"/>
      <c r="C194" s="182"/>
      <c r="D194" s="183"/>
      <c r="E194" s="179">
        <f>IFERROR(IF($G$19="Y",$F$19,$AD80)*(SUMIF($H$5:$H$16,"Y",$F$5:$F$16)*(AL29-B29)),0)</f>
        <v>0</v>
      </c>
      <c r="F194" s="183" t="str">
        <f>IFERROR(E194-E193,"")</f>
        <v/>
      </c>
      <c r="G194" s="247">
        <f>E194/(AL29-B29)</f>
        <v>0</v>
      </c>
      <c r="H194" s="245" t="s">
        <v>264</v>
      </c>
      <c r="I194" s="416"/>
      <c r="J194" s="416"/>
      <c r="K194" s="167" t="s">
        <v>213</v>
      </c>
      <c r="L194" s="167" t="s">
        <v>213</v>
      </c>
      <c r="M194" s="167" t="s">
        <v>211</v>
      </c>
      <c r="N194" s="167" t="s">
        <v>211</v>
      </c>
      <c r="O194" s="495"/>
      <c r="P194" s="167" t="s">
        <v>213</v>
      </c>
      <c r="Q194" s="167" t="s">
        <v>213</v>
      </c>
      <c r="R194" s="167" t="s">
        <v>211</v>
      </c>
      <c r="S194" s="167" t="s">
        <v>211</v>
      </c>
      <c r="T194" s="496"/>
      <c r="U194" s="496"/>
      <c r="V194" s="496"/>
      <c r="Y194" s="478">
        <v>2014</v>
      </c>
      <c r="Z194" s="479">
        <f>U194</f>
        <v>0</v>
      </c>
      <c r="AA194" s="479">
        <f>V194</f>
        <v>0</v>
      </c>
      <c r="AB194" s="430"/>
      <c r="AC194" s="512"/>
      <c r="AD194" s="479"/>
      <c r="AE194" s="430"/>
      <c r="AF194" s="479">
        <f>Z194-AC194</f>
        <v>0</v>
      </c>
      <c r="AG194" s="479">
        <f t="shared" ref="AG194:AG240" si="50">AA194-AD194</f>
        <v>0</v>
      </c>
      <c r="AH194" s="516"/>
      <c r="AJ194" s="480" t="str">
        <f t="shared" ref="AJ194:AJ240" si="51">IFERROR(AC194/Z194,"")</f>
        <v/>
      </c>
      <c r="AK194" s="480" t="str">
        <f t="shared" ref="AK194:AK240" si="52">IFERROR(AG194/(AD194+AG194),"")</f>
        <v/>
      </c>
    </row>
    <row r="195" spans="1:37" ht="15.6" x14ac:dyDescent="0.3">
      <c r="A195" s="152">
        <v>2015</v>
      </c>
      <c r="B195" s="178"/>
      <c r="C195" s="182"/>
      <c r="D195" s="183"/>
      <c r="E195" s="179">
        <f t="shared" ref="E195:E240" si="53">IFERROR(IF($G$19="Y",$F$19,$AD81)*(SUMIF($H$5:$H$16,"Y",$F$5:$F$16)*(AL30-B30)),0)</f>
        <v>0</v>
      </c>
      <c r="F195" s="183">
        <f>IFERROR(E195-E194,"")</f>
        <v>0</v>
      </c>
      <c r="G195" s="247">
        <f t="shared" ref="G195:G240" si="54">E195/(AL30-B30)</f>
        <v>0</v>
      </c>
      <c r="H195" s="246"/>
      <c r="I195" s="417"/>
      <c r="J195" s="417"/>
      <c r="K195" s="439"/>
      <c r="L195" s="440"/>
      <c r="M195" s="439"/>
      <c r="N195" s="440"/>
      <c r="O195" s="495"/>
      <c r="P195" s="259">
        <f>IF(P$194="Y",E195*$F$21*'Emissions Factors'!$B12,"")</f>
        <v>0</v>
      </c>
      <c r="Q195" s="441"/>
      <c r="R195" s="441"/>
      <c r="S195" s="441"/>
      <c r="T195" s="496"/>
      <c r="U195" s="441">
        <f>SUM(P195:S195)</f>
        <v>0</v>
      </c>
      <c r="V195" s="441">
        <f t="shared" ref="V195:V240" si="55">SUM(K195:N195)</f>
        <v>0</v>
      </c>
      <c r="Y195" s="478">
        <v>2015</v>
      </c>
      <c r="Z195" s="479">
        <f t="shared" ref="Z195:AA240" si="56">U195</f>
        <v>0</v>
      </c>
      <c r="AA195" s="479">
        <f t="shared" si="56"/>
        <v>0</v>
      </c>
      <c r="AB195" s="430"/>
      <c r="AC195" s="479"/>
      <c r="AD195" s="479"/>
      <c r="AE195" s="430"/>
      <c r="AF195" s="479">
        <f t="shared" ref="AF195:AF240" si="57">Z195-AC195</f>
        <v>0</v>
      </c>
      <c r="AG195" s="479">
        <f t="shared" si="50"/>
        <v>0</v>
      </c>
      <c r="AH195" s="516"/>
      <c r="AJ195" s="480" t="str">
        <f t="shared" si="51"/>
        <v/>
      </c>
      <c r="AK195" s="480" t="str">
        <f t="shared" si="52"/>
        <v/>
      </c>
    </row>
    <row r="196" spans="1:37" ht="15.6" x14ac:dyDescent="0.3">
      <c r="A196" s="152">
        <v>2016</v>
      </c>
      <c r="B196" s="178"/>
      <c r="C196" s="182"/>
      <c r="D196" s="183"/>
      <c r="E196" s="179">
        <f t="shared" si="53"/>
        <v>0</v>
      </c>
      <c r="F196" s="183">
        <f t="shared" ref="F196" si="58">IFERROR(E196-E195,"")</f>
        <v>0</v>
      </c>
      <c r="G196" s="247">
        <f t="shared" si="54"/>
        <v>0</v>
      </c>
      <c r="H196" s="246"/>
      <c r="I196" s="417"/>
      <c r="J196" s="417"/>
      <c r="K196" s="439"/>
      <c r="L196" s="440"/>
      <c r="M196" s="439"/>
      <c r="N196" s="440"/>
      <c r="O196" s="495"/>
      <c r="P196" s="259">
        <f>IF(P$194="Y",E196*$F$21*'Emissions Factors'!$B13,"")</f>
        <v>0</v>
      </c>
      <c r="Q196" s="441"/>
      <c r="R196" s="441"/>
      <c r="S196" s="441"/>
      <c r="T196" s="496"/>
      <c r="U196" s="441">
        <f t="shared" ref="U196:U240" si="59">SUM(P196:S196)</f>
        <v>0</v>
      </c>
      <c r="V196" s="441">
        <f t="shared" si="55"/>
        <v>0</v>
      </c>
      <c r="Y196" s="478">
        <v>2016</v>
      </c>
      <c r="Z196" s="479">
        <f t="shared" si="56"/>
        <v>0</v>
      </c>
      <c r="AA196" s="479">
        <f t="shared" si="56"/>
        <v>0</v>
      </c>
      <c r="AB196" s="430"/>
      <c r="AC196" s="479"/>
      <c r="AD196" s="479"/>
      <c r="AE196" s="430"/>
      <c r="AF196" s="479">
        <f t="shared" si="57"/>
        <v>0</v>
      </c>
      <c r="AG196" s="479">
        <f t="shared" si="50"/>
        <v>0</v>
      </c>
      <c r="AH196" s="516"/>
      <c r="AJ196" s="480" t="str">
        <f t="shared" si="51"/>
        <v/>
      </c>
      <c r="AK196" s="480" t="str">
        <f t="shared" si="52"/>
        <v/>
      </c>
    </row>
    <row r="197" spans="1:37" ht="15.6" x14ac:dyDescent="0.3">
      <c r="A197" s="152">
        <v>2017</v>
      </c>
      <c r="B197" s="178"/>
      <c r="C197" s="182"/>
      <c r="D197" s="183"/>
      <c r="E197" s="179">
        <f t="shared" si="53"/>
        <v>0</v>
      </c>
      <c r="F197" s="183">
        <f>IFERROR(E197-E196,"")</f>
        <v>0</v>
      </c>
      <c r="G197" s="247">
        <f t="shared" si="54"/>
        <v>0</v>
      </c>
      <c r="H197" s="246"/>
      <c r="I197" s="417"/>
      <c r="J197" s="417"/>
      <c r="K197" s="439"/>
      <c r="L197" s="440"/>
      <c r="M197" s="439"/>
      <c r="N197" s="440"/>
      <c r="O197" s="495"/>
      <c r="P197" s="259">
        <f>IF(P$194="Y",E197*$F$21*'Emissions Factors'!$B14,"")</f>
        <v>0</v>
      </c>
      <c r="Q197" s="441"/>
      <c r="R197" s="441"/>
      <c r="S197" s="441"/>
      <c r="T197" s="496"/>
      <c r="U197" s="441">
        <f t="shared" si="59"/>
        <v>0</v>
      </c>
      <c r="V197" s="441">
        <f t="shared" si="55"/>
        <v>0</v>
      </c>
      <c r="Y197" s="478">
        <v>2017</v>
      </c>
      <c r="Z197" s="479">
        <f t="shared" si="56"/>
        <v>0</v>
      </c>
      <c r="AA197" s="479">
        <f t="shared" si="56"/>
        <v>0</v>
      </c>
      <c r="AB197" s="430"/>
      <c r="AC197" s="479"/>
      <c r="AD197" s="479"/>
      <c r="AE197" s="430"/>
      <c r="AF197" s="479">
        <f t="shared" si="57"/>
        <v>0</v>
      </c>
      <c r="AG197" s="479">
        <f t="shared" si="50"/>
        <v>0</v>
      </c>
      <c r="AH197" s="516"/>
      <c r="AJ197" s="480" t="str">
        <f t="shared" si="51"/>
        <v/>
      </c>
      <c r="AK197" s="480" t="str">
        <f t="shared" si="52"/>
        <v/>
      </c>
    </row>
    <row r="198" spans="1:37" ht="15.6" x14ac:dyDescent="0.3">
      <c r="A198" s="152">
        <v>2018</v>
      </c>
      <c r="B198" s="178"/>
      <c r="C198" s="182"/>
      <c r="D198" s="183"/>
      <c r="E198" s="179">
        <f t="shared" si="53"/>
        <v>0</v>
      </c>
      <c r="F198" s="183">
        <f t="shared" ref="F198:F240" si="60">IFERROR(E198-E197,"")</f>
        <v>0</v>
      </c>
      <c r="G198" s="247">
        <f t="shared" si="54"/>
        <v>0</v>
      </c>
      <c r="H198" s="246"/>
      <c r="I198" s="417"/>
      <c r="J198" s="417"/>
      <c r="K198" s="439"/>
      <c r="L198" s="440"/>
      <c r="M198" s="439"/>
      <c r="N198" s="440"/>
      <c r="O198" s="495"/>
      <c r="P198" s="259">
        <f>IF(P$194="Y",E198*$F$21*'Emissions Factors'!$B15,"")</f>
        <v>0</v>
      </c>
      <c r="Q198" s="441"/>
      <c r="R198" s="441"/>
      <c r="S198" s="441"/>
      <c r="T198" s="496"/>
      <c r="U198" s="441">
        <f t="shared" si="59"/>
        <v>0</v>
      </c>
      <c r="V198" s="441">
        <f t="shared" si="55"/>
        <v>0</v>
      </c>
      <c r="Y198" s="478">
        <v>2018</v>
      </c>
      <c r="Z198" s="479">
        <f t="shared" si="56"/>
        <v>0</v>
      </c>
      <c r="AA198" s="479">
        <f t="shared" si="56"/>
        <v>0</v>
      </c>
      <c r="AB198" s="430"/>
      <c r="AC198" s="479"/>
      <c r="AD198" s="479"/>
      <c r="AE198" s="430"/>
      <c r="AF198" s="479">
        <f t="shared" si="57"/>
        <v>0</v>
      </c>
      <c r="AG198" s="479">
        <f t="shared" si="50"/>
        <v>0</v>
      </c>
      <c r="AH198" s="516"/>
      <c r="AJ198" s="480" t="str">
        <f t="shared" si="51"/>
        <v/>
      </c>
      <c r="AK198" s="480" t="str">
        <f t="shared" si="52"/>
        <v/>
      </c>
    </row>
    <row r="199" spans="1:37" ht="15.6" x14ac:dyDescent="0.3">
      <c r="A199" s="152">
        <v>2019</v>
      </c>
      <c r="B199" s="178"/>
      <c r="C199" s="182"/>
      <c r="D199" s="183"/>
      <c r="E199" s="179">
        <f t="shared" si="53"/>
        <v>0</v>
      </c>
      <c r="F199" s="183">
        <f t="shared" si="60"/>
        <v>0</v>
      </c>
      <c r="G199" s="247">
        <f t="shared" si="54"/>
        <v>0</v>
      </c>
      <c r="H199" s="246"/>
      <c r="I199" s="417"/>
      <c r="J199" s="417"/>
      <c r="K199" s="439"/>
      <c r="L199" s="440"/>
      <c r="M199" s="439"/>
      <c r="N199" s="440"/>
      <c r="O199" s="495"/>
      <c r="P199" s="259">
        <f>IF(P$194="Y",E199*$F$21*'Emissions Factors'!$B16,"")</f>
        <v>0</v>
      </c>
      <c r="Q199" s="441"/>
      <c r="R199" s="441"/>
      <c r="S199" s="441"/>
      <c r="T199" s="496"/>
      <c r="U199" s="441">
        <f t="shared" si="59"/>
        <v>0</v>
      </c>
      <c r="V199" s="441">
        <f t="shared" si="55"/>
        <v>0</v>
      </c>
      <c r="Y199" s="478">
        <v>2019</v>
      </c>
      <c r="Z199" s="479">
        <f t="shared" si="56"/>
        <v>0</v>
      </c>
      <c r="AA199" s="479">
        <f t="shared" si="56"/>
        <v>0</v>
      </c>
      <c r="AB199" s="430"/>
      <c r="AC199" s="479"/>
      <c r="AD199" s="479"/>
      <c r="AE199" s="430"/>
      <c r="AF199" s="479">
        <f t="shared" si="57"/>
        <v>0</v>
      </c>
      <c r="AG199" s="479">
        <f t="shared" si="50"/>
        <v>0</v>
      </c>
      <c r="AH199" s="516"/>
      <c r="AJ199" s="480" t="str">
        <f t="shared" si="51"/>
        <v/>
      </c>
      <c r="AK199" s="480" t="str">
        <f t="shared" si="52"/>
        <v/>
      </c>
    </row>
    <row r="200" spans="1:37" ht="15.6" x14ac:dyDescent="0.3">
      <c r="A200" s="152">
        <v>2020</v>
      </c>
      <c r="B200" s="178"/>
      <c r="C200" s="182"/>
      <c r="D200" s="183"/>
      <c r="E200" s="179">
        <f t="shared" si="53"/>
        <v>0</v>
      </c>
      <c r="F200" s="183">
        <f t="shared" si="60"/>
        <v>0</v>
      </c>
      <c r="G200" s="247">
        <f t="shared" si="54"/>
        <v>0</v>
      </c>
      <c r="H200" s="246"/>
      <c r="I200" s="417"/>
      <c r="J200" s="417"/>
      <c r="K200" s="439"/>
      <c r="L200" s="440"/>
      <c r="M200" s="439"/>
      <c r="N200" s="440"/>
      <c r="O200" s="495"/>
      <c r="P200" s="259">
        <f>IF(P$194="Y",E200*$F$21*'Emissions Factors'!$B17,"")</f>
        <v>0</v>
      </c>
      <c r="Q200" s="441"/>
      <c r="R200" s="441"/>
      <c r="S200" s="441"/>
      <c r="T200" s="496"/>
      <c r="U200" s="441">
        <f t="shared" si="59"/>
        <v>0</v>
      </c>
      <c r="V200" s="441">
        <f t="shared" si="55"/>
        <v>0</v>
      </c>
      <c r="X200" s="430"/>
      <c r="Y200" s="478">
        <v>2020</v>
      </c>
      <c r="Z200" s="479">
        <f t="shared" si="56"/>
        <v>0</v>
      </c>
      <c r="AA200" s="479">
        <f t="shared" si="56"/>
        <v>0</v>
      </c>
      <c r="AB200" s="430"/>
      <c r="AC200" s="479"/>
      <c r="AD200" s="479"/>
      <c r="AE200" s="430"/>
      <c r="AF200" s="479">
        <f t="shared" si="57"/>
        <v>0</v>
      </c>
      <c r="AG200" s="479">
        <f t="shared" si="50"/>
        <v>0</v>
      </c>
      <c r="AH200" s="516"/>
      <c r="AJ200" s="480" t="str">
        <f t="shared" si="51"/>
        <v/>
      </c>
      <c r="AK200" s="480" t="str">
        <f t="shared" si="52"/>
        <v/>
      </c>
    </row>
    <row r="201" spans="1:37" ht="15.6" x14ac:dyDescent="0.3">
      <c r="A201" s="152">
        <v>2021</v>
      </c>
      <c r="B201" s="178"/>
      <c r="C201" s="182"/>
      <c r="D201" s="183"/>
      <c r="E201" s="179">
        <f t="shared" si="53"/>
        <v>3.0546054560241061E-2</v>
      </c>
      <c r="F201" s="183">
        <f t="shared" si="60"/>
        <v>3.0546054560241061E-2</v>
      </c>
      <c r="G201" s="247">
        <f t="shared" si="54"/>
        <v>0.63953413627531952</v>
      </c>
      <c r="H201" s="246"/>
      <c r="I201" s="417"/>
      <c r="J201" s="417"/>
      <c r="K201" s="439"/>
      <c r="L201" s="440"/>
      <c r="M201" s="439"/>
      <c r="N201" s="440"/>
      <c r="O201" s="495"/>
      <c r="P201" s="259">
        <f>IF(P$194="Y",E201*$F$21*'Emissions Factors'!$B18,"")</f>
        <v>0.7622752908994983</v>
      </c>
      <c r="Q201" s="441"/>
      <c r="R201" s="441"/>
      <c r="S201" s="441"/>
      <c r="T201" s="496"/>
      <c r="U201" s="441">
        <f t="shared" si="59"/>
        <v>0.7622752908994983</v>
      </c>
      <c r="V201" s="441">
        <f t="shared" si="55"/>
        <v>0</v>
      </c>
      <c r="X201" s="430"/>
      <c r="Y201" s="478">
        <v>2021</v>
      </c>
      <c r="Z201" s="479">
        <f t="shared" si="56"/>
        <v>0.7622752908994983</v>
      </c>
      <c r="AA201" s="479">
        <f t="shared" si="56"/>
        <v>0</v>
      </c>
      <c r="AB201" s="430"/>
      <c r="AC201" s="479"/>
      <c r="AD201" s="479"/>
      <c r="AE201" s="430"/>
      <c r="AF201" s="479">
        <f t="shared" si="57"/>
        <v>0.7622752908994983</v>
      </c>
      <c r="AG201" s="479">
        <f t="shared" si="50"/>
        <v>0</v>
      </c>
      <c r="AH201" s="516"/>
      <c r="AJ201" s="480">
        <f t="shared" si="51"/>
        <v>0</v>
      </c>
      <c r="AK201" s="480" t="str">
        <f t="shared" si="52"/>
        <v/>
      </c>
    </row>
    <row r="202" spans="1:37" ht="15.6" x14ac:dyDescent="0.3">
      <c r="A202" s="152">
        <v>2022</v>
      </c>
      <c r="B202" s="178"/>
      <c r="C202" s="182"/>
      <c r="D202" s="183"/>
      <c r="E202" s="179">
        <f t="shared" si="53"/>
        <v>6.7808284029968899E-2</v>
      </c>
      <c r="F202" s="183">
        <f t="shared" si="60"/>
        <v>3.7262229469727834E-2</v>
      </c>
      <c r="G202" s="247">
        <f t="shared" si="54"/>
        <v>0.62771580972764607</v>
      </c>
      <c r="H202" s="246"/>
      <c r="I202" s="417"/>
      <c r="J202" s="417"/>
      <c r="K202" s="182"/>
      <c r="L202" s="178"/>
      <c r="M202" s="182"/>
      <c r="N202" s="178"/>
      <c r="O202" s="495"/>
      <c r="P202" s="259">
        <f>IF(P$194="Y",E202*$F$21*'Emissions Factors'!$B19,"")</f>
        <v>1.6820916288027008</v>
      </c>
      <c r="Q202" s="441"/>
      <c r="R202" s="180"/>
      <c r="S202" s="180"/>
      <c r="T202" s="496"/>
      <c r="U202" s="180">
        <f t="shared" si="59"/>
        <v>1.6820916288027008</v>
      </c>
      <c r="V202" s="180">
        <f t="shared" si="55"/>
        <v>0</v>
      </c>
      <c r="X202" s="430"/>
      <c r="Y202" s="478">
        <v>2022</v>
      </c>
      <c r="Z202" s="479">
        <f t="shared" si="56"/>
        <v>1.6820916288027008</v>
      </c>
      <c r="AA202" s="479">
        <f t="shared" si="56"/>
        <v>0</v>
      </c>
      <c r="AB202" s="430"/>
      <c r="AC202" s="479"/>
      <c r="AD202" s="479"/>
      <c r="AE202" s="430"/>
      <c r="AF202" s="479">
        <f t="shared" si="57"/>
        <v>1.6820916288027008</v>
      </c>
      <c r="AG202" s="479">
        <f t="shared" si="50"/>
        <v>0</v>
      </c>
      <c r="AH202" s="516"/>
      <c r="AJ202" s="480">
        <f t="shared" si="51"/>
        <v>0</v>
      </c>
      <c r="AK202" s="480" t="str">
        <f t="shared" si="52"/>
        <v/>
      </c>
    </row>
    <row r="203" spans="1:37" ht="15.6" x14ac:dyDescent="0.3">
      <c r="A203" s="152">
        <v>2023</v>
      </c>
      <c r="B203" s="178"/>
      <c r="C203" s="182"/>
      <c r="D203" s="183"/>
      <c r="E203" s="179">
        <f t="shared" si="53"/>
        <v>0.11099589262668362</v>
      </c>
      <c r="F203" s="183">
        <f t="shared" si="60"/>
        <v>4.3187608596714722E-2</v>
      </c>
      <c r="G203" s="247">
        <f t="shared" si="54"/>
        <v>0.61962655570014513</v>
      </c>
      <c r="H203" s="246"/>
      <c r="I203" s="417"/>
      <c r="J203" s="417"/>
      <c r="K203" s="182"/>
      <c r="L203" s="178"/>
      <c r="M203" s="182"/>
      <c r="N203" s="178"/>
      <c r="O203" s="495"/>
      <c r="P203" s="259">
        <f>IF(P$194="Y",E203*$F$21*'Emissions Factors'!$B20,"")</f>
        <v>2.7373561051745403</v>
      </c>
      <c r="Q203" s="441"/>
      <c r="R203" s="180"/>
      <c r="S203" s="180"/>
      <c r="T203" s="496"/>
      <c r="U203" s="180">
        <f t="shared" si="59"/>
        <v>2.7373561051745403</v>
      </c>
      <c r="V203" s="180">
        <f t="shared" si="55"/>
        <v>0</v>
      </c>
      <c r="X203" s="430"/>
      <c r="Y203" s="478">
        <v>2023</v>
      </c>
      <c r="Z203" s="479">
        <f t="shared" si="56"/>
        <v>2.7373561051745403</v>
      </c>
      <c r="AA203" s="479">
        <f t="shared" si="56"/>
        <v>0</v>
      </c>
      <c r="AB203" s="430"/>
      <c r="AC203" s="479"/>
      <c r="AD203" s="479"/>
      <c r="AE203" s="430"/>
      <c r="AF203" s="479">
        <f t="shared" si="57"/>
        <v>2.7373561051745403</v>
      </c>
      <c r="AG203" s="479">
        <f t="shared" si="50"/>
        <v>0</v>
      </c>
      <c r="AH203" s="516"/>
      <c r="AJ203" s="480">
        <f t="shared" si="51"/>
        <v>0</v>
      </c>
      <c r="AK203" s="480" t="str">
        <f t="shared" si="52"/>
        <v/>
      </c>
    </row>
    <row r="204" spans="1:37" ht="15.6" x14ac:dyDescent="0.3">
      <c r="A204" s="152">
        <v>2024</v>
      </c>
      <c r="B204" s="178"/>
      <c r="C204" s="182"/>
      <c r="D204" s="183"/>
      <c r="E204" s="179">
        <f t="shared" si="53"/>
        <v>0.15971328974685142</v>
      </c>
      <c r="F204" s="183">
        <f t="shared" si="60"/>
        <v>4.8717397120167802E-2</v>
      </c>
      <c r="G204" s="247">
        <f t="shared" si="54"/>
        <v>0.61357223136767258</v>
      </c>
      <c r="H204" s="246"/>
      <c r="I204" s="417"/>
      <c r="J204" s="417"/>
      <c r="K204" s="182"/>
      <c r="L204" s="178"/>
      <c r="M204" s="182"/>
      <c r="N204" s="178"/>
      <c r="O204" s="495"/>
      <c r="P204" s="259">
        <f>IF(P$194="Y",E204*$F$21*'Emissions Factors'!$B21,"")</f>
        <v>3.9162044206339126</v>
      </c>
      <c r="Q204" s="441"/>
      <c r="R204" s="180"/>
      <c r="S204" s="180"/>
      <c r="T204" s="496"/>
      <c r="U204" s="180">
        <f t="shared" si="59"/>
        <v>3.9162044206339126</v>
      </c>
      <c r="V204" s="180">
        <f t="shared" si="55"/>
        <v>0</v>
      </c>
      <c r="X204" s="430"/>
      <c r="Y204" s="478">
        <v>2024</v>
      </c>
      <c r="Z204" s="479">
        <f t="shared" si="56"/>
        <v>3.9162044206339126</v>
      </c>
      <c r="AA204" s="479">
        <f t="shared" si="56"/>
        <v>0</v>
      </c>
      <c r="AB204" s="430"/>
      <c r="AC204" s="479"/>
      <c r="AD204" s="479"/>
      <c r="AE204" s="430"/>
      <c r="AF204" s="479">
        <f>Z204-AC204</f>
        <v>3.9162044206339126</v>
      </c>
      <c r="AG204" s="479">
        <f t="shared" si="50"/>
        <v>0</v>
      </c>
      <c r="AH204" s="516"/>
      <c r="AJ204" s="480">
        <f t="shared" si="51"/>
        <v>0</v>
      </c>
      <c r="AK204" s="480" t="str">
        <f t="shared" si="52"/>
        <v/>
      </c>
    </row>
    <row r="205" spans="1:37" ht="15.6" x14ac:dyDescent="0.3">
      <c r="A205" s="152">
        <v>2025</v>
      </c>
      <c r="B205" s="178"/>
      <c r="C205" s="182"/>
      <c r="D205" s="183"/>
      <c r="E205" s="179">
        <f t="shared" si="53"/>
        <v>0.21364149875660618</v>
      </c>
      <c r="F205" s="183">
        <f t="shared" si="60"/>
        <v>5.3928209009754757E-2</v>
      </c>
      <c r="G205" s="247">
        <f t="shared" si="54"/>
        <v>0.60879006248639311</v>
      </c>
      <c r="H205" s="246"/>
      <c r="I205" s="417"/>
      <c r="J205" s="417"/>
      <c r="K205" s="182"/>
      <c r="L205" s="178"/>
      <c r="M205" s="182"/>
      <c r="N205" s="178"/>
      <c r="O205" s="495"/>
      <c r="P205" s="259">
        <f>IF(P$194="Y",E205*$F$21*'Emissions Factors'!$B22,"")</f>
        <v>5.2118894407618583</v>
      </c>
      <c r="Q205" s="441"/>
      <c r="R205" s="180"/>
      <c r="S205" s="180"/>
      <c r="T205" s="496"/>
      <c r="U205" s="180">
        <f t="shared" si="59"/>
        <v>5.2118894407618583</v>
      </c>
      <c r="V205" s="180">
        <f t="shared" si="55"/>
        <v>0</v>
      </c>
      <c r="X205" s="430"/>
      <c r="Y205" s="478">
        <v>2025</v>
      </c>
      <c r="Z205" s="479">
        <f t="shared" si="56"/>
        <v>5.2118894407618583</v>
      </c>
      <c r="AA205" s="479">
        <f t="shared" si="56"/>
        <v>0</v>
      </c>
      <c r="AB205" s="430"/>
      <c r="AC205" s="479"/>
      <c r="AD205" s="479"/>
      <c r="AE205" s="430"/>
      <c r="AF205" s="479">
        <f t="shared" si="57"/>
        <v>5.2118894407618583</v>
      </c>
      <c r="AG205" s="479">
        <f t="shared" si="50"/>
        <v>0</v>
      </c>
      <c r="AH205" s="516"/>
      <c r="AJ205" s="480">
        <f t="shared" si="51"/>
        <v>0</v>
      </c>
      <c r="AK205" s="480" t="str">
        <f t="shared" si="52"/>
        <v/>
      </c>
    </row>
    <row r="206" spans="1:37" ht="15.6" x14ac:dyDescent="0.3">
      <c r="A206" s="152">
        <v>2026</v>
      </c>
      <c r="B206" s="178"/>
      <c r="C206" s="182"/>
      <c r="D206" s="183"/>
      <c r="E206" s="179">
        <f t="shared" si="53"/>
        <v>0.27242058329184327</v>
      </c>
      <c r="F206" s="183">
        <f t="shared" si="60"/>
        <v>5.8779084535237086E-2</v>
      </c>
      <c r="G206" s="247">
        <f t="shared" si="54"/>
        <v>0.60486902432970047</v>
      </c>
      <c r="H206" s="246"/>
      <c r="I206" s="417"/>
      <c r="J206" s="417"/>
      <c r="K206" s="182"/>
      <c r="L206" s="178"/>
      <c r="M206" s="182"/>
      <c r="N206" s="178"/>
      <c r="O206" s="495"/>
      <c r="P206" s="259">
        <f>IF(P$194="Y",E206*$F$21*'Emissions Factors'!$B23,"")</f>
        <v>6.6049998492197179</v>
      </c>
      <c r="Q206" s="441"/>
      <c r="R206" s="180"/>
      <c r="S206" s="180"/>
      <c r="T206" s="496"/>
      <c r="U206" s="180">
        <f t="shared" si="59"/>
        <v>6.6049998492197179</v>
      </c>
      <c r="V206" s="180">
        <f t="shared" si="55"/>
        <v>0</v>
      </c>
      <c r="X206" s="430"/>
      <c r="Y206" s="478">
        <v>2026</v>
      </c>
      <c r="Z206" s="479">
        <f t="shared" si="56"/>
        <v>6.6049998492197179</v>
      </c>
      <c r="AA206" s="479">
        <f t="shared" si="56"/>
        <v>0</v>
      </c>
      <c r="AB206" s="430"/>
      <c r="AC206" s="479"/>
      <c r="AD206" s="479"/>
      <c r="AE206" s="430"/>
      <c r="AF206" s="479">
        <f t="shared" si="57"/>
        <v>6.6049998492197179</v>
      </c>
      <c r="AG206" s="479">
        <f t="shared" si="50"/>
        <v>0</v>
      </c>
      <c r="AH206" s="516"/>
      <c r="AJ206" s="480">
        <f t="shared" si="51"/>
        <v>0</v>
      </c>
      <c r="AK206" s="480" t="str">
        <f t="shared" si="52"/>
        <v/>
      </c>
    </row>
    <row r="207" spans="1:37" ht="15.6" x14ac:dyDescent="0.3">
      <c r="A207" s="152">
        <v>2027</v>
      </c>
      <c r="B207" s="178"/>
      <c r="C207" s="182"/>
      <c r="D207" s="183"/>
      <c r="E207" s="179">
        <f>IFERROR(IF($G$19="Y",$F$19,$AD93)*(SUMIF($H$5:$H$16,"Y",$F$5:$F$16)*(AL42-B42)),0)</f>
        <v>0.33569620546091278</v>
      </c>
      <c r="F207" s="183">
        <f t="shared" si="60"/>
        <v>6.3275622169069512E-2</v>
      </c>
      <c r="G207" s="247">
        <f t="shared" si="54"/>
        <v>0.60154804232580195</v>
      </c>
      <c r="H207" s="246"/>
      <c r="I207" s="417"/>
      <c r="J207" s="417"/>
      <c r="K207" s="182"/>
      <c r="L207" s="178"/>
      <c r="M207" s="182"/>
      <c r="N207" s="178"/>
      <c r="O207" s="495"/>
      <c r="P207" s="259">
        <f>IF(P$194="Y",E207*$F$21*'Emissions Factors'!$B24,"")</f>
        <v>8.0943002736014265</v>
      </c>
      <c r="Q207" s="441"/>
      <c r="R207" s="180"/>
      <c r="S207" s="180"/>
      <c r="T207" s="496"/>
      <c r="U207" s="180">
        <f t="shared" si="59"/>
        <v>8.0943002736014265</v>
      </c>
      <c r="V207" s="180">
        <f t="shared" si="55"/>
        <v>0</v>
      </c>
      <c r="X207" s="430"/>
      <c r="Y207" s="478">
        <v>2027</v>
      </c>
      <c r="Z207" s="479">
        <f t="shared" si="56"/>
        <v>8.0943002736014265</v>
      </c>
      <c r="AA207" s="479">
        <f t="shared" si="56"/>
        <v>0</v>
      </c>
      <c r="AB207" s="430"/>
      <c r="AC207" s="479"/>
      <c r="AD207" s="479"/>
      <c r="AE207" s="430"/>
      <c r="AF207" s="479">
        <f t="shared" si="57"/>
        <v>8.0943002736014265</v>
      </c>
      <c r="AG207" s="479">
        <f t="shared" si="50"/>
        <v>0</v>
      </c>
      <c r="AH207" s="516"/>
      <c r="AJ207" s="480">
        <f t="shared" si="51"/>
        <v>0</v>
      </c>
      <c r="AK207" s="480" t="str">
        <f t="shared" si="52"/>
        <v/>
      </c>
    </row>
    <row r="208" spans="1:37" ht="15.6" x14ac:dyDescent="0.3">
      <c r="A208" s="152">
        <v>2028</v>
      </c>
      <c r="B208" s="178"/>
      <c r="C208" s="182"/>
      <c r="D208" s="183"/>
      <c r="E208" s="179">
        <f>IFERROR(IF($G$19="Y",$F$19,$AD94)*(SUMIF($H$5:$H$16,"Y",$F$5:$F$16)*(AL43-B43)),0)</f>
        <v>0.40333290537151917</v>
      </c>
      <c r="F208" s="183">
        <f t="shared" si="60"/>
        <v>6.763669991060639E-2</v>
      </c>
      <c r="G208" s="247">
        <f t="shared" si="54"/>
        <v>0.59861498470447783</v>
      </c>
      <c r="H208" s="246"/>
      <c r="I208" s="417"/>
      <c r="J208" s="417"/>
      <c r="K208" s="182"/>
      <c r="L208" s="178"/>
      <c r="M208" s="182"/>
      <c r="N208" s="178"/>
      <c r="O208" s="495"/>
      <c r="P208" s="259">
        <f>IF(P$194="Y",E208*$F$21*'Emissions Factors'!$B25,"")</f>
        <v>9.6721158119583155</v>
      </c>
      <c r="Q208" s="441"/>
      <c r="R208" s="180"/>
      <c r="S208" s="180"/>
      <c r="T208" s="496"/>
      <c r="U208" s="180">
        <f t="shared" si="59"/>
        <v>9.6721158119583155</v>
      </c>
      <c r="V208" s="180">
        <f t="shared" si="55"/>
        <v>0</v>
      </c>
      <c r="X208" s="430"/>
      <c r="Y208" s="478">
        <v>2028</v>
      </c>
      <c r="Z208" s="479">
        <f t="shared" si="56"/>
        <v>9.6721158119583155</v>
      </c>
      <c r="AA208" s="479">
        <f t="shared" si="56"/>
        <v>0</v>
      </c>
      <c r="AB208" s="430"/>
      <c r="AC208" s="479"/>
      <c r="AD208" s="479"/>
      <c r="AE208" s="430"/>
      <c r="AF208" s="479">
        <f t="shared" si="57"/>
        <v>9.6721158119583155</v>
      </c>
      <c r="AG208" s="479">
        <f t="shared" si="50"/>
        <v>0</v>
      </c>
      <c r="AH208" s="516"/>
      <c r="AJ208" s="480">
        <f t="shared" si="51"/>
        <v>0</v>
      </c>
      <c r="AK208" s="480" t="str">
        <f t="shared" si="52"/>
        <v/>
      </c>
    </row>
    <row r="209" spans="1:37" ht="15.6" x14ac:dyDescent="0.3">
      <c r="A209" s="152">
        <v>2029</v>
      </c>
      <c r="B209" s="178"/>
      <c r="C209" s="182"/>
      <c r="D209" s="183"/>
      <c r="E209" s="179">
        <f t="shared" si="53"/>
        <v>0.475256436059944</v>
      </c>
      <c r="F209" s="183">
        <f t="shared" si="60"/>
        <v>7.192353068842483E-2</v>
      </c>
      <c r="G209" s="247">
        <f t="shared" si="54"/>
        <v>0.59592714094837829</v>
      </c>
      <c r="H209" s="246"/>
      <c r="I209" s="417"/>
      <c r="J209" s="417"/>
      <c r="K209" s="182"/>
      <c r="L209" s="178"/>
      <c r="M209" s="182"/>
      <c r="N209" s="178"/>
      <c r="O209" s="495"/>
      <c r="P209" s="259">
        <f>IF(P$194="Y",E209*$F$21*'Emissions Factors'!$B26,"")</f>
        <v>11.335269588283227</v>
      </c>
      <c r="Q209" s="441"/>
      <c r="R209" s="180"/>
      <c r="S209" s="180"/>
      <c r="T209" s="496"/>
      <c r="U209" s="180">
        <f t="shared" si="59"/>
        <v>11.335269588283227</v>
      </c>
      <c r="V209" s="180">
        <f t="shared" si="55"/>
        <v>0</v>
      </c>
      <c r="X209" s="430"/>
      <c r="Y209" s="478">
        <v>2029</v>
      </c>
      <c r="Z209" s="479">
        <f t="shared" si="56"/>
        <v>11.335269588283227</v>
      </c>
      <c r="AA209" s="479">
        <f t="shared" si="56"/>
        <v>0</v>
      </c>
      <c r="AB209" s="430"/>
      <c r="AC209" s="479"/>
      <c r="AD209" s="479"/>
      <c r="AE209" s="430"/>
      <c r="AF209" s="479">
        <f t="shared" si="57"/>
        <v>11.335269588283227</v>
      </c>
      <c r="AG209" s="479">
        <f t="shared" si="50"/>
        <v>0</v>
      </c>
      <c r="AH209" s="516"/>
      <c r="AJ209" s="480">
        <f t="shared" si="51"/>
        <v>0</v>
      </c>
      <c r="AK209" s="480" t="str">
        <f t="shared" si="52"/>
        <v/>
      </c>
    </row>
    <row r="210" spans="1:37" ht="15.6" x14ac:dyDescent="0.3">
      <c r="A210" s="152">
        <v>2030</v>
      </c>
      <c r="B210" s="178"/>
      <c r="C210" s="182"/>
      <c r="D210" s="183"/>
      <c r="E210" s="179">
        <f t="shared" si="53"/>
        <v>0.55140857700349621</v>
      </c>
      <c r="F210" s="183">
        <f t="shared" si="60"/>
        <v>7.6152140943552216E-2</v>
      </c>
      <c r="G210" s="247">
        <f t="shared" si="54"/>
        <v>0.59340243144768623</v>
      </c>
      <c r="H210" s="246"/>
      <c r="I210" s="417"/>
      <c r="J210" s="417"/>
      <c r="K210" s="182"/>
      <c r="L210" s="178"/>
      <c r="M210" s="182"/>
      <c r="N210" s="178"/>
      <c r="O210" s="495"/>
      <c r="P210" s="259">
        <f>IF(P$194="Y",E210*$F$21*'Emissions Factors'!$B27,"")</f>
        <v>13.084042497837508</v>
      </c>
      <c r="Q210" s="441"/>
      <c r="R210" s="180"/>
      <c r="S210" s="180"/>
      <c r="T210" s="496"/>
      <c r="U210" s="180">
        <f t="shared" si="59"/>
        <v>13.084042497837508</v>
      </c>
      <c r="V210" s="180">
        <f t="shared" si="55"/>
        <v>0</v>
      </c>
      <c r="X210" s="430"/>
      <c r="Y210" s="478">
        <v>2030</v>
      </c>
      <c r="Z210" s="479">
        <f t="shared" si="56"/>
        <v>13.084042497837508</v>
      </c>
      <c r="AA210" s="479">
        <f t="shared" si="56"/>
        <v>0</v>
      </c>
      <c r="AB210" s="430"/>
      <c r="AC210" s="479"/>
      <c r="AD210" s="479"/>
      <c r="AE210" s="430"/>
      <c r="AF210" s="479">
        <f t="shared" si="57"/>
        <v>13.084042497837508</v>
      </c>
      <c r="AG210" s="479">
        <f t="shared" si="50"/>
        <v>0</v>
      </c>
      <c r="AH210" s="516"/>
      <c r="AJ210" s="480">
        <f t="shared" si="51"/>
        <v>0</v>
      </c>
      <c r="AK210" s="480" t="str">
        <f t="shared" si="52"/>
        <v/>
      </c>
    </row>
    <row r="211" spans="1:37" ht="15.6" x14ac:dyDescent="0.3">
      <c r="A211" s="152">
        <v>2031</v>
      </c>
      <c r="B211" s="178"/>
      <c r="C211" s="182"/>
      <c r="D211" s="183"/>
      <c r="E211" s="179">
        <f t="shared" si="53"/>
        <v>0.63165022819718253</v>
      </c>
      <c r="F211" s="183">
        <f t="shared" si="60"/>
        <v>8.0241651193686314E-2</v>
      </c>
      <c r="G211" s="247">
        <f t="shared" si="54"/>
        <v>0.5910220244545632</v>
      </c>
      <c r="H211" s="246"/>
      <c r="I211" s="417"/>
      <c r="J211" s="417"/>
      <c r="K211" s="182"/>
      <c r="L211" s="178"/>
      <c r="M211" s="182"/>
      <c r="N211" s="178"/>
      <c r="O211" s="495"/>
      <c r="P211" s="259">
        <f>IF(P$194="Y",E211*$F$21*'Emissions Factors'!$B28,"")</f>
        <v>14.90461607009507</v>
      </c>
      <c r="Q211" s="441"/>
      <c r="R211" s="180"/>
      <c r="S211" s="180"/>
      <c r="T211" s="496"/>
      <c r="U211" s="180">
        <f t="shared" si="59"/>
        <v>14.90461607009507</v>
      </c>
      <c r="V211" s="180">
        <f t="shared" si="55"/>
        <v>0</v>
      </c>
      <c r="X211" s="430"/>
      <c r="Y211" s="478">
        <v>2031</v>
      </c>
      <c r="Z211" s="479">
        <f t="shared" si="56"/>
        <v>14.90461607009507</v>
      </c>
      <c r="AA211" s="479">
        <f t="shared" si="56"/>
        <v>0</v>
      </c>
      <c r="AB211" s="430"/>
      <c r="AC211" s="479"/>
      <c r="AD211" s="479"/>
      <c r="AE211" s="430"/>
      <c r="AF211" s="479">
        <f t="shared" si="57"/>
        <v>14.90461607009507</v>
      </c>
      <c r="AG211" s="479">
        <f t="shared" si="50"/>
        <v>0</v>
      </c>
      <c r="AH211" s="516"/>
      <c r="AJ211" s="480">
        <f t="shared" si="51"/>
        <v>0</v>
      </c>
      <c r="AK211" s="480" t="str">
        <f t="shared" si="52"/>
        <v/>
      </c>
    </row>
    <row r="212" spans="1:37" ht="15.6" x14ac:dyDescent="0.3">
      <c r="A212" s="152">
        <v>2032</v>
      </c>
      <c r="B212" s="178"/>
      <c r="C212" s="182"/>
      <c r="D212" s="183"/>
      <c r="E212" s="179">
        <f t="shared" si="53"/>
        <v>0.71549562803275313</v>
      </c>
      <c r="F212" s="183">
        <f t="shared" si="60"/>
        <v>8.38453998355706E-2</v>
      </c>
      <c r="G212" s="247">
        <f t="shared" si="54"/>
        <v>0.5888018354696708</v>
      </c>
      <c r="H212" s="246"/>
      <c r="I212" s="417"/>
      <c r="J212" s="417"/>
      <c r="K212" s="182"/>
      <c r="L212" s="178"/>
      <c r="M212" s="182"/>
      <c r="N212" s="178"/>
      <c r="O212" s="495"/>
      <c r="P212" s="259">
        <f>IF(P$194="Y",E212*$F$21*'Emissions Factors'!$B29,"")</f>
        <v>16.793385549860442</v>
      </c>
      <c r="Q212" s="441"/>
      <c r="R212" s="180"/>
      <c r="S212" s="180"/>
      <c r="T212" s="496"/>
      <c r="U212" s="180">
        <f t="shared" si="59"/>
        <v>16.793385549860442</v>
      </c>
      <c r="V212" s="180">
        <f t="shared" si="55"/>
        <v>0</v>
      </c>
      <c r="X212" s="430"/>
      <c r="Y212" s="478">
        <v>2032</v>
      </c>
      <c r="Z212" s="479">
        <f t="shared" si="56"/>
        <v>16.793385549860442</v>
      </c>
      <c r="AA212" s="479">
        <f t="shared" si="56"/>
        <v>0</v>
      </c>
      <c r="AB212" s="430"/>
      <c r="AC212" s="479"/>
      <c r="AD212" s="479"/>
      <c r="AE212" s="430"/>
      <c r="AF212" s="479">
        <f t="shared" si="57"/>
        <v>16.793385549860442</v>
      </c>
      <c r="AG212" s="479">
        <f t="shared" si="50"/>
        <v>0</v>
      </c>
      <c r="AH212" s="516"/>
      <c r="AJ212" s="480">
        <f t="shared" si="51"/>
        <v>0</v>
      </c>
      <c r="AK212" s="480" t="str">
        <f t="shared" si="52"/>
        <v/>
      </c>
    </row>
    <row r="213" spans="1:37" ht="15.6" x14ac:dyDescent="0.3">
      <c r="A213" s="152">
        <v>2033</v>
      </c>
      <c r="B213" s="178"/>
      <c r="C213" s="182"/>
      <c r="D213" s="183"/>
      <c r="E213" s="179">
        <f t="shared" si="53"/>
        <v>0.80189629641499627</v>
      </c>
      <c r="F213" s="183">
        <f t="shared" si="60"/>
        <v>8.640066838224314E-2</v>
      </c>
      <c r="G213" s="247">
        <f t="shared" si="54"/>
        <v>0.58677706994117362</v>
      </c>
      <c r="H213" s="246"/>
      <c r="I213" s="417"/>
      <c r="J213" s="417"/>
      <c r="K213" s="182"/>
      <c r="L213" s="178"/>
      <c r="M213" s="182"/>
      <c r="N213" s="178"/>
      <c r="O213" s="495"/>
      <c r="P213" s="259">
        <f>IF(P$194="Y",E213*$F$21*'Emissions Factors'!$B30,"")</f>
        <v>18.721617924456716</v>
      </c>
      <c r="Q213" s="441"/>
      <c r="R213" s="180"/>
      <c r="S213" s="180"/>
      <c r="T213" s="496"/>
      <c r="U213" s="180">
        <f t="shared" si="59"/>
        <v>18.721617924456716</v>
      </c>
      <c r="V213" s="180">
        <f t="shared" si="55"/>
        <v>0</v>
      </c>
      <c r="X213" s="430"/>
      <c r="Y213" s="478">
        <v>2033</v>
      </c>
      <c r="Z213" s="479">
        <f t="shared" si="56"/>
        <v>18.721617924456716</v>
      </c>
      <c r="AA213" s="479">
        <f t="shared" si="56"/>
        <v>0</v>
      </c>
      <c r="AB213" s="430"/>
      <c r="AC213" s="479"/>
      <c r="AD213" s="479"/>
      <c r="AE213" s="430"/>
      <c r="AF213" s="479">
        <f t="shared" si="57"/>
        <v>18.721617924456716</v>
      </c>
      <c r="AG213" s="479">
        <f t="shared" si="50"/>
        <v>0</v>
      </c>
      <c r="AH213" s="516"/>
      <c r="AJ213" s="480">
        <f t="shared" si="51"/>
        <v>0</v>
      </c>
      <c r="AK213" s="480" t="str">
        <f t="shared" si="52"/>
        <v/>
      </c>
    </row>
    <row r="214" spans="1:37" ht="15.6" x14ac:dyDescent="0.3">
      <c r="A214" s="152">
        <v>2034</v>
      </c>
      <c r="B214" s="178"/>
      <c r="C214" s="182"/>
      <c r="D214" s="183"/>
      <c r="E214" s="179">
        <f t="shared" si="53"/>
        <v>0.88951368978431988</v>
      </c>
      <c r="F214" s="183">
        <f t="shared" si="60"/>
        <v>8.7617393369323615E-2</v>
      </c>
      <c r="G214" s="247">
        <f t="shared" si="54"/>
        <v>0.58496613903765227</v>
      </c>
      <c r="H214" s="246"/>
      <c r="I214" s="417"/>
      <c r="J214" s="417"/>
      <c r="K214" s="182"/>
      <c r="L214" s="178"/>
      <c r="M214" s="182"/>
      <c r="N214" s="178"/>
      <c r="O214" s="495"/>
      <c r="P214" s="259">
        <f>IF(P$194="Y",E214*$F$21*'Emissions Factors'!$B31,"")</f>
        <v>20.657375924396323</v>
      </c>
      <c r="Q214" s="441"/>
      <c r="R214" s="180"/>
      <c r="S214" s="180"/>
      <c r="T214" s="496"/>
      <c r="U214" s="180">
        <f t="shared" si="59"/>
        <v>20.657375924396323</v>
      </c>
      <c r="V214" s="180">
        <f t="shared" si="55"/>
        <v>0</v>
      </c>
      <c r="X214" s="430"/>
      <c r="Y214" s="478">
        <v>2034</v>
      </c>
      <c r="Z214" s="479">
        <f t="shared" si="56"/>
        <v>20.657375924396323</v>
      </c>
      <c r="AA214" s="479">
        <f t="shared" si="56"/>
        <v>0</v>
      </c>
      <c r="AB214" s="430"/>
      <c r="AC214" s="479"/>
      <c r="AD214" s="479"/>
      <c r="AE214" s="430"/>
      <c r="AF214" s="479">
        <f t="shared" si="57"/>
        <v>20.657375924396323</v>
      </c>
      <c r="AG214" s="479">
        <f t="shared" si="50"/>
        <v>0</v>
      </c>
      <c r="AH214" s="516"/>
      <c r="AJ214" s="480">
        <f t="shared" si="51"/>
        <v>0</v>
      </c>
      <c r="AK214" s="480" t="str">
        <f t="shared" si="52"/>
        <v/>
      </c>
    </row>
    <row r="215" spans="1:37" ht="15.6" x14ac:dyDescent="0.3">
      <c r="A215" s="152">
        <v>2035</v>
      </c>
      <c r="B215" s="178"/>
      <c r="C215" s="182"/>
      <c r="D215" s="183"/>
      <c r="E215" s="179">
        <f t="shared" si="53"/>
        <v>0.97734865297256712</v>
      </c>
      <c r="F215" s="183">
        <f t="shared" si="60"/>
        <v>8.7834963188247239E-2</v>
      </c>
      <c r="G215" s="247">
        <f t="shared" si="54"/>
        <v>0.58334112813793282</v>
      </c>
      <c r="H215" s="246"/>
      <c r="I215" s="417"/>
      <c r="J215" s="417"/>
      <c r="K215" s="182"/>
      <c r="L215" s="178"/>
      <c r="M215" s="182"/>
      <c r="N215" s="178"/>
      <c r="O215" s="495"/>
      <c r="P215" s="259">
        <f>IF(P$194="Y",E215*$F$21*'Emissions Factors'!$B32,"")</f>
        <v>22.573872561436595</v>
      </c>
      <c r="Q215" s="441"/>
      <c r="R215" s="180"/>
      <c r="S215" s="180"/>
      <c r="T215" s="496"/>
      <c r="U215" s="180">
        <f t="shared" si="59"/>
        <v>22.573872561436595</v>
      </c>
      <c r="V215" s="180">
        <f t="shared" si="55"/>
        <v>0</v>
      </c>
      <c r="X215" s="430"/>
      <c r="Y215" s="478">
        <v>2035</v>
      </c>
      <c r="Z215" s="479">
        <f t="shared" si="56"/>
        <v>22.573872561436595</v>
      </c>
      <c r="AA215" s="479">
        <f t="shared" si="56"/>
        <v>0</v>
      </c>
      <c r="AB215" s="430"/>
      <c r="AC215" s="479"/>
      <c r="AD215" s="479"/>
      <c r="AE215" s="430"/>
      <c r="AF215" s="479">
        <f t="shared" si="57"/>
        <v>22.573872561436595</v>
      </c>
      <c r="AG215" s="479">
        <f t="shared" si="50"/>
        <v>0</v>
      </c>
      <c r="AH215" s="516"/>
      <c r="AJ215" s="480">
        <f t="shared" si="51"/>
        <v>0</v>
      </c>
      <c r="AK215" s="480" t="str">
        <f t="shared" si="52"/>
        <v/>
      </c>
    </row>
    <row r="216" spans="1:37" ht="15.6" x14ac:dyDescent="0.3">
      <c r="A216" s="152">
        <v>2036</v>
      </c>
      <c r="B216" s="178"/>
      <c r="C216" s="182"/>
      <c r="D216" s="183"/>
      <c r="E216" s="179">
        <f t="shared" si="53"/>
        <v>1.0649192954615176</v>
      </c>
      <c r="F216" s="183">
        <f t="shared" si="60"/>
        <v>8.7570642488950523E-2</v>
      </c>
      <c r="G216" s="247">
        <f t="shared" si="54"/>
        <v>0.58184014615823132</v>
      </c>
      <c r="H216" s="246"/>
      <c r="I216" s="417"/>
      <c r="J216" s="417"/>
      <c r="K216" s="182"/>
      <c r="L216" s="178"/>
      <c r="M216" s="182"/>
      <c r="N216" s="178"/>
      <c r="O216" s="495"/>
      <c r="P216" s="259">
        <f>IF(P$194="Y",E216*$F$21*'Emissions Factors'!$B33,"")</f>
        <v>24.469089691749804</v>
      </c>
      <c r="Q216" s="441"/>
      <c r="R216" s="180"/>
      <c r="S216" s="180"/>
      <c r="T216" s="496"/>
      <c r="U216" s="180">
        <f t="shared" si="59"/>
        <v>24.469089691749804</v>
      </c>
      <c r="V216" s="180">
        <f t="shared" si="55"/>
        <v>0</v>
      </c>
      <c r="X216" s="430"/>
      <c r="Y216" s="478">
        <v>2036</v>
      </c>
      <c r="Z216" s="479">
        <f t="shared" si="56"/>
        <v>24.469089691749804</v>
      </c>
      <c r="AA216" s="479">
        <f t="shared" si="56"/>
        <v>0</v>
      </c>
      <c r="AB216" s="430"/>
      <c r="AC216" s="479"/>
      <c r="AD216" s="479"/>
      <c r="AE216" s="430"/>
      <c r="AF216" s="479">
        <f t="shared" si="57"/>
        <v>24.469089691749804</v>
      </c>
      <c r="AG216" s="479">
        <f t="shared" si="50"/>
        <v>0</v>
      </c>
      <c r="AH216" s="516"/>
      <c r="AJ216" s="480">
        <f t="shared" si="51"/>
        <v>0</v>
      </c>
      <c r="AK216" s="480" t="str">
        <f t="shared" si="52"/>
        <v/>
      </c>
    </row>
    <row r="217" spans="1:37" ht="15.6" x14ac:dyDescent="0.3">
      <c r="A217" s="152">
        <v>2037</v>
      </c>
      <c r="B217" s="178"/>
      <c r="C217" s="182"/>
      <c r="D217" s="183"/>
      <c r="E217" s="179">
        <f t="shared" si="53"/>
        <v>1.1523386177804356</v>
      </c>
      <c r="F217" s="183">
        <f t="shared" si="60"/>
        <v>8.7419322318917914E-2</v>
      </c>
      <c r="G217" s="247">
        <f t="shared" si="54"/>
        <v>0.5803963433111502</v>
      </c>
      <c r="H217" s="246"/>
      <c r="I217" s="417"/>
      <c r="J217" s="417"/>
      <c r="K217" s="182"/>
      <c r="L217" s="178"/>
      <c r="M217" s="182"/>
      <c r="N217" s="178"/>
      <c r="O217" s="495"/>
      <c r="P217" s="259">
        <f>IF(P$194="Y",E217*$F$21*'Emissions Factors'!$B34,"")</f>
        <v>26.336578161565232</v>
      </c>
      <c r="Q217" s="441"/>
      <c r="R217" s="180"/>
      <c r="S217" s="180"/>
      <c r="T217" s="496"/>
      <c r="U217" s="180">
        <f t="shared" si="59"/>
        <v>26.336578161565232</v>
      </c>
      <c r="V217" s="180">
        <f t="shared" si="55"/>
        <v>0</v>
      </c>
      <c r="X217" s="430"/>
      <c r="Y217" s="478">
        <v>2037</v>
      </c>
      <c r="Z217" s="479">
        <f t="shared" si="56"/>
        <v>26.336578161565232</v>
      </c>
      <c r="AA217" s="479">
        <f t="shared" si="56"/>
        <v>0</v>
      </c>
      <c r="AB217" s="430"/>
      <c r="AC217" s="479"/>
      <c r="AD217" s="479"/>
      <c r="AE217" s="430"/>
      <c r="AF217" s="479">
        <f t="shared" si="57"/>
        <v>26.336578161565232</v>
      </c>
      <c r="AG217" s="479">
        <f t="shared" si="50"/>
        <v>0</v>
      </c>
      <c r="AH217" s="516"/>
      <c r="AJ217" s="480">
        <f t="shared" si="51"/>
        <v>0</v>
      </c>
      <c r="AK217" s="480" t="str">
        <f t="shared" si="52"/>
        <v/>
      </c>
    </row>
    <row r="218" spans="1:37" ht="15.6" x14ac:dyDescent="0.3">
      <c r="A218" s="152">
        <v>2038</v>
      </c>
      <c r="B218" s="178"/>
      <c r="C218" s="182"/>
      <c r="D218" s="183"/>
      <c r="E218" s="179">
        <f t="shared" si="53"/>
        <v>1.2399670738114994</v>
      </c>
      <c r="F218" s="183">
        <f t="shared" si="60"/>
        <v>8.7628456031063839E-2</v>
      </c>
      <c r="G218" s="247">
        <f t="shared" si="54"/>
        <v>0.57896699226578696</v>
      </c>
      <c r="H218" s="246"/>
      <c r="I218" s="417"/>
      <c r="J218" s="417"/>
      <c r="K218" s="182"/>
      <c r="L218" s="178"/>
      <c r="M218" s="182"/>
      <c r="N218" s="178"/>
      <c r="O218" s="495"/>
      <c r="P218" s="259">
        <f>IF(P$194="Y",E218*$F$21*'Emissions Factors'!$B35,"")</f>
        <v>28.187546464554355</v>
      </c>
      <c r="Q218" s="441"/>
      <c r="R218" s="180"/>
      <c r="S218" s="180"/>
      <c r="T218" s="496"/>
      <c r="U218" s="180">
        <f t="shared" si="59"/>
        <v>28.187546464554355</v>
      </c>
      <c r="V218" s="180">
        <f t="shared" si="55"/>
        <v>0</v>
      </c>
      <c r="X218" s="430"/>
      <c r="Y218" s="478">
        <v>2038</v>
      </c>
      <c r="Z218" s="479">
        <f t="shared" si="56"/>
        <v>28.187546464554355</v>
      </c>
      <c r="AA218" s="479">
        <f t="shared" si="56"/>
        <v>0</v>
      </c>
      <c r="AB218" s="430"/>
      <c r="AC218" s="479"/>
      <c r="AD218" s="479"/>
      <c r="AE218" s="430"/>
      <c r="AF218" s="479">
        <f t="shared" si="57"/>
        <v>28.187546464554355</v>
      </c>
      <c r="AG218" s="479">
        <f t="shared" si="50"/>
        <v>0</v>
      </c>
      <c r="AH218" s="516"/>
      <c r="AJ218" s="480">
        <f t="shared" si="51"/>
        <v>0</v>
      </c>
      <c r="AK218" s="480" t="str">
        <f t="shared" si="52"/>
        <v/>
      </c>
    </row>
    <row r="219" spans="1:37" ht="15.6" x14ac:dyDescent="0.3">
      <c r="A219" s="152">
        <v>2039</v>
      </c>
      <c r="B219" s="178"/>
      <c r="C219" s="182"/>
      <c r="D219" s="183"/>
      <c r="E219" s="179">
        <f t="shared" si="53"/>
        <v>1.3284764828796349</v>
      </c>
      <c r="F219" s="183">
        <f t="shared" si="60"/>
        <v>8.8509409068135536E-2</v>
      </c>
      <c r="G219" s="247">
        <f t="shared" si="54"/>
        <v>0.57751973045489446</v>
      </c>
      <c r="H219" s="246"/>
      <c r="I219" s="417"/>
      <c r="J219" s="417"/>
      <c r="K219" s="182"/>
      <c r="L219" s="178"/>
      <c r="M219" s="182"/>
      <c r="N219" s="178"/>
      <c r="O219" s="495"/>
      <c r="P219" s="259">
        <f>IF(P$194="Y",E219*$F$21*'Emissions Factors'!$B36,"")</f>
        <v>30.036175766148737</v>
      </c>
      <c r="Q219" s="441"/>
      <c r="R219" s="180"/>
      <c r="S219" s="180"/>
      <c r="T219" s="496"/>
      <c r="U219" s="180">
        <f t="shared" si="59"/>
        <v>30.036175766148737</v>
      </c>
      <c r="V219" s="180">
        <f t="shared" si="55"/>
        <v>0</v>
      </c>
      <c r="X219" s="430"/>
      <c r="Y219" s="478">
        <v>2039</v>
      </c>
      <c r="Z219" s="479">
        <f t="shared" si="56"/>
        <v>30.036175766148737</v>
      </c>
      <c r="AA219" s="479">
        <f t="shared" si="56"/>
        <v>0</v>
      </c>
      <c r="AB219" s="430"/>
      <c r="AC219" s="479"/>
      <c r="AD219" s="479"/>
      <c r="AE219" s="430"/>
      <c r="AF219" s="479">
        <f t="shared" si="57"/>
        <v>30.036175766148737</v>
      </c>
      <c r="AG219" s="479">
        <f t="shared" si="50"/>
        <v>0</v>
      </c>
      <c r="AH219" s="516"/>
      <c r="AJ219" s="480">
        <f t="shared" si="51"/>
        <v>0</v>
      </c>
      <c r="AK219" s="480" t="str">
        <f t="shared" si="52"/>
        <v/>
      </c>
    </row>
    <row r="220" spans="1:37" ht="15.6" x14ac:dyDescent="0.3">
      <c r="A220" s="152">
        <v>2040</v>
      </c>
      <c r="B220" s="178"/>
      <c r="C220" s="182"/>
      <c r="D220" s="183"/>
      <c r="E220" s="179">
        <f t="shared" si="53"/>
        <v>1.4184138337760062</v>
      </c>
      <c r="F220" s="183">
        <f t="shared" si="60"/>
        <v>8.9937350896371226E-2</v>
      </c>
      <c r="G220" s="247">
        <f t="shared" si="54"/>
        <v>0.57603447922218964</v>
      </c>
      <c r="H220" s="246"/>
      <c r="I220" s="417"/>
      <c r="J220" s="417"/>
      <c r="K220" s="182"/>
      <c r="L220" s="178"/>
      <c r="M220" s="182"/>
      <c r="N220" s="178"/>
      <c r="O220" s="495"/>
      <c r="P220" s="259">
        <f>IF(P$194="Y",E220*$F$21*'Emissions Factors'!$B37,"")</f>
        <v>31.882350140149473</v>
      </c>
      <c r="Q220" s="441"/>
      <c r="R220" s="180"/>
      <c r="S220" s="180"/>
      <c r="T220" s="496"/>
      <c r="U220" s="180">
        <f t="shared" si="59"/>
        <v>31.882350140149473</v>
      </c>
      <c r="V220" s="180">
        <f t="shared" si="55"/>
        <v>0</v>
      </c>
      <c r="X220" s="430"/>
      <c r="Y220" s="478">
        <v>2040</v>
      </c>
      <c r="Z220" s="479">
        <f t="shared" si="56"/>
        <v>31.882350140149473</v>
      </c>
      <c r="AA220" s="479">
        <f t="shared" si="56"/>
        <v>0</v>
      </c>
      <c r="AB220" s="430"/>
      <c r="AC220" s="479"/>
      <c r="AD220" s="479"/>
      <c r="AE220" s="430"/>
      <c r="AF220" s="479">
        <f t="shared" si="57"/>
        <v>31.882350140149473</v>
      </c>
      <c r="AG220" s="479">
        <f t="shared" si="50"/>
        <v>0</v>
      </c>
      <c r="AH220" s="516"/>
      <c r="AJ220" s="480">
        <f t="shared" si="51"/>
        <v>0</v>
      </c>
      <c r="AK220" s="480" t="str">
        <f t="shared" si="52"/>
        <v/>
      </c>
    </row>
    <row r="221" spans="1:37" ht="15.6" x14ac:dyDescent="0.3">
      <c r="A221" s="152">
        <v>2041</v>
      </c>
      <c r="B221" s="178"/>
      <c r="C221" s="182"/>
      <c r="D221" s="183"/>
      <c r="E221" s="179">
        <f t="shared" si="53"/>
        <v>1.5098704994029395</v>
      </c>
      <c r="F221" s="183">
        <f t="shared" si="60"/>
        <v>9.1456665626933331E-2</v>
      </c>
      <c r="G221" s="247">
        <f t="shared" si="54"/>
        <v>0.57451026252150328</v>
      </c>
      <c r="H221" s="246"/>
      <c r="I221" s="417"/>
      <c r="J221" s="417"/>
      <c r="K221" s="182"/>
      <c r="L221" s="178"/>
      <c r="M221" s="182"/>
      <c r="N221" s="178"/>
      <c r="O221" s="495"/>
      <c r="P221" s="259">
        <f>IF(P$194="Y",E221*$F$21*'Emissions Factors'!$B38,"")</f>
        <v>33.765770301474149</v>
      </c>
      <c r="Q221" s="441"/>
      <c r="R221" s="180"/>
      <c r="S221" s="180"/>
      <c r="T221" s="496"/>
      <c r="U221" s="180">
        <f t="shared" si="59"/>
        <v>33.765770301474149</v>
      </c>
      <c r="V221" s="180">
        <f t="shared" si="55"/>
        <v>0</v>
      </c>
      <c r="X221" s="430"/>
      <c r="Y221" s="478">
        <v>2041</v>
      </c>
      <c r="Z221" s="479">
        <f t="shared" si="56"/>
        <v>33.765770301474149</v>
      </c>
      <c r="AA221" s="479">
        <f t="shared" si="56"/>
        <v>0</v>
      </c>
      <c r="AB221" s="430"/>
      <c r="AC221" s="479"/>
      <c r="AD221" s="479"/>
      <c r="AE221" s="430"/>
      <c r="AF221" s="479">
        <f t="shared" si="57"/>
        <v>33.765770301474149</v>
      </c>
      <c r="AG221" s="479">
        <f t="shared" si="50"/>
        <v>0</v>
      </c>
      <c r="AH221" s="516"/>
      <c r="AJ221" s="480">
        <f t="shared" si="51"/>
        <v>0</v>
      </c>
      <c r="AK221" s="480" t="str">
        <f t="shared" si="52"/>
        <v/>
      </c>
    </row>
    <row r="222" spans="1:37" ht="15.6" x14ac:dyDescent="0.3">
      <c r="A222" s="152">
        <v>2042</v>
      </c>
      <c r="B222" s="178"/>
      <c r="C222" s="182"/>
      <c r="D222" s="183"/>
      <c r="E222" s="179">
        <f t="shared" si="53"/>
        <v>1.6027896337127157</v>
      </c>
      <c r="F222" s="183">
        <f t="shared" si="60"/>
        <v>9.2919134309776164E-2</v>
      </c>
      <c r="G222" s="247">
        <f t="shared" si="54"/>
        <v>0.57293839429709292</v>
      </c>
      <c r="H222" s="246"/>
      <c r="I222" s="417"/>
      <c r="J222" s="417"/>
      <c r="K222" s="182"/>
      <c r="L222" s="178"/>
      <c r="M222" s="182"/>
      <c r="N222" s="178"/>
      <c r="O222" s="495"/>
      <c r="P222" s="259">
        <f>IF(P$194="Y",E222*$F$21*'Emissions Factors'!$B39,"")</f>
        <v>35.645828473739954</v>
      </c>
      <c r="Q222" s="441"/>
      <c r="R222" s="180"/>
      <c r="S222" s="180"/>
      <c r="T222" s="496"/>
      <c r="U222" s="180">
        <f t="shared" si="59"/>
        <v>35.645828473739954</v>
      </c>
      <c r="V222" s="180">
        <f t="shared" si="55"/>
        <v>0</v>
      </c>
      <c r="X222" s="430"/>
      <c r="Y222" s="478">
        <v>2042</v>
      </c>
      <c r="Z222" s="479">
        <f t="shared" si="56"/>
        <v>35.645828473739954</v>
      </c>
      <c r="AA222" s="479">
        <f t="shared" si="56"/>
        <v>0</v>
      </c>
      <c r="AB222" s="430"/>
      <c r="AC222" s="479"/>
      <c r="AD222" s="479"/>
      <c r="AE222" s="430"/>
      <c r="AF222" s="479">
        <f t="shared" si="57"/>
        <v>35.645828473739954</v>
      </c>
      <c r="AG222" s="479">
        <f t="shared" si="50"/>
        <v>0</v>
      </c>
      <c r="AH222" s="516"/>
      <c r="AJ222" s="480">
        <f t="shared" si="51"/>
        <v>0</v>
      </c>
      <c r="AK222" s="480" t="str">
        <f t="shared" si="52"/>
        <v/>
      </c>
    </row>
    <row r="223" spans="1:37" ht="15.6" x14ac:dyDescent="0.3">
      <c r="A223" s="152">
        <v>2043</v>
      </c>
      <c r="B223" s="178"/>
      <c r="C223" s="182"/>
      <c r="D223" s="183"/>
      <c r="E223" s="179">
        <f t="shared" si="53"/>
        <v>1.6974482967784104</v>
      </c>
      <c r="F223" s="183">
        <f t="shared" si="60"/>
        <v>9.4658663065694704E-2</v>
      </c>
      <c r="G223" s="247">
        <f t="shared" si="54"/>
        <v>0.57129686972101767</v>
      </c>
      <c r="H223" s="246"/>
      <c r="I223" s="417"/>
      <c r="J223" s="417"/>
      <c r="K223" s="182"/>
      <c r="L223" s="178"/>
      <c r="M223" s="182"/>
      <c r="N223" s="178"/>
      <c r="O223" s="495"/>
      <c r="P223" s="259">
        <f>IF(P$194="Y",E223*$F$21*'Emissions Factors'!$B40,"")</f>
        <v>37.540401463036808</v>
      </c>
      <c r="Q223" s="441"/>
      <c r="R223" s="180"/>
      <c r="S223" s="180"/>
      <c r="T223" s="496"/>
      <c r="U223" s="180">
        <f t="shared" si="59"/>
        <v>37.540401463036808</v>
      </c>
      <c r="V223" s="180">
        <f t="shared" si="55"/>
        <v>0</v>
      </c>
      <c r="X223" s="430"/>
      <c r="Y223" s="478">
        <v>2043</v>
      </c>
      <c r="Z223" s="479">
        <f t="shared" si="56"/>
        <v>37.540401463036808</v>
      </c>
      <c r="AA223" s="479">
        <f t="shared" si="56"/>
        <v>0</v>
      </c>
      <c r="AB223" s="430"/>
      <c r="AC223" s="479"/>
      <c r="AD223" s="479"/>
      <c r="AE223" s="430"/>
      <c r="AF223" s="479">
        <f t="shared" si="57"/>
        <v>37.540401463036808</v>
      </c>
      <c r="AG223" s="479">
        <f t="shared" si="50"/>
        <v>0</v>
      </c>
      <c r="AH223" s="516"/>
      <c r="AJ223" s="480">
        <f t="shared" si="51"/>
        <v>0</v>
      </c>
      <c r="AK223" s="480" t="str">
        <f t="shared" si="52"/>
        <v/>
      </c>
    </row>
    <row r="224" spans="1:37" ht="15.6" x14ac:dyDescent="0.3">
      <c r="A224" s="152">
        <v>2044</v>
      </c>
      <c r="B224" s="178"/>
      <c r="C224" s="182"/>
      <c r="D224" s="183"/>
      <c r="E224" s="179">
        <f t="shared" si="53"/>
        <v>1.7941626418364027</v>
      </c>
      <c r="F224" s="183">
        <f t="shared" si="60"/>
        <v>9.6714345057992368E-2</v>
      </c>
      <c r="G224" s="247">
        <f t="shared" si="54"/>
        <v>0.56956430340691011</v>
      </c>
      <c r="H224" s="246"/>
      <c r="I224" s="417"/>
      <c r="J224" s="417"/>
      <c r="K224" s="182"/>
      <c r="L224" s="178"/>
      <c r="M224" s="182"/>
      <c r="N224" s="178"/>
      <c r="O224" s="495"/>
      <c r="P224" s="259">
        <f>IF(P$194="Y",E224*$F$21*'Emissions Factors'!$B41,"")</f>
        <v>39.455391182744819</v>
      </c>
      <c r="Q224" s="441"/>
      <c r="R224" s="180"/>
      <c r="S224" s="180"/>
      <c r="T224" s="496"/>
      <c r="U224" s="180">
        <f t="shared" si="59"/>
        <v>39.455391182744819</v>
      </c>
      <c r="V224" s="180">
        <f t="shared" si="55"/>
        <v>0</v>
      </c>
      <c r="X224" s="430"/>
      <c r="Y224" s="478">
        <v>2044</v>
      </c>
      <c r="Z224" s="479">
        <f t="shared" si="56"/>
        <v>39.455391182744819</v>
      </c>
      <c r="AA224" s="479">
        <f t="shared" si="56"/>
        <v>0</v>
      </c>
      <c r="AB224" s="430"/>
      <c r="AC224" s="479"/>
      <c r="AD224" s="479"/>
      <c r="AE224" s="430"/>
      <c r="AF224" s="479">
        <f t="shared" si="57"/>
        <v>39.455391182744819</v>
      </c>
      <c r="AG224" s="479">
        <f t="shared" si="50"/>
        <v>0</v>
      </c>
      <c r="AH224" s="516"/>
      <c r="AJ224" s="480">
        <f t="shared" si="51"/>
        <v>0</v>
      </c>
      <c r="AK224" s="480" t="str">
        <f t="shared" si="52"/>
        <v/>
      </c>
    </row>
    <row r="225" spans="1:37" ht="15.6" x14ac:dyDescent="0.3">
      <c r="A225" s="152">
        <v>2045</v>
      </c>
      <c r="B225" s="178"/>
      <c r="C225" s="182"/>
      <c r="D225" s="183"/>
      <c r="E225" s="179">
        <f t="shared" si="53"/>
        <v>1.893223053619433</v>
      </c>
      <c r="F225" s="183">
        <f t="shared" si="60"/>
        <v>9.9060411783030267E-2</v>
      </c>
      <c r="G225" s="247">
        <f t="shared" si="54"/>
        <v>0.56773495606410851</v>
      </c>
      <c r="H225" s="246"/>
      <c r="I225" s="417"/>
      <c r="J225" s="417"/>
      <c r="K225" s="182"/>
      <c r="L225" s="178"/>
      <c r="M225" s="182"/>
      <c r="N225" s="178"/>
      <c r="O225" s="495"/>
      <c r="P225" s="259">
        <f>IF(P$194="Y",E225*$F$21*'Emissions Factors'!$B42,"")</f>
        <v>41.387421971436737</v>
      </c>
      <c r="Q225" s="441"/>
      <c r="R225" s="180"/>
      <c r="S225" s="180"/>
      <c r="T225" s="496"/>
      <c r="U225" s="180">
        <f t="shared" si="59"/>
        <v>41.387421971436737</v>
      </c>
      <c r="V225" s="180">
        <f t="shared" si="55"/>
        <v>0</v>
      </c>
      <c r="X225" s="430"/>
      <c r="Y225" s="478">
        <v>2045</v>
      </c>
      <c r="Z225" s="479">
        <f t="shared" si="56"/>
        <v>41.387421971436737</v>
      </c>
      <c r="AA225" s="479">
        <f t="shared" si="56"/>
        <v>0</v>
      </c>
      <c r="AB225" s="430"/>
      <c r="AC225" s="479"/>
      <c r="AD225" s="479"/>
      <c r="AE225" s="430"/>
      <c r="AF225" s="479">
        <f t="shared" si="57"/>
        <v>41.387421971436737</v>
      </c>
      <c r="AG225" s="479">
        <f t="shared" si="50"/>
        <v>0</v>
      </c>
      <c r="AH225" s="516"/>
      <c r="AJ225" s="480">
        <f t="shared" si="51"/>
        <v>0</v>
      </c>
      <c r="AK225" s="480" t="str">
        <f t="shared" si="52"/>
        <v/>
      </c>
    </row>
    <row r="226" spans="1:37" ht="15.6" x14ac:dyDescent="0.3">
      <c r="A226" s="152">
        <v>2046</v>
      </c>
      <c r="B226" s="178"/>
      <c r="C226" s="182"/>
      <c r="D226" s="183"/>
      <c r="E226" s="179">
        <f t="shared" si="53"/>
        <v>1.9948140196607793</v>
      </c>
      <c r="F226" s="183">
        <f t="shared" si="60"/>
        <v>0.10159096604134632</v>
      </c>
      <c r="G226" s="247">
        <f t="shared" si="54"/>
        <v>0.56582409510868981</v>
      </c>
      <c r="H226" s="246"/>
      <c r="I226" s="417"/>
      <c r="J226" s="417"/>
      <c r="K226" s="182"/>
      <c r="L226" s="178"/>
      <c r="M226" s="182"/>
      <c r="N226" s="178"/>
      <c r="O226" s="495"/>
      <c r="P226" s="259">
        <f>IF(P$194="Y",E226*$F$21*'Emissions Factors'!$B43,"")</f>
        <v>43.364627560096167</v>
      </c>
      <c r="Q226" s="441"/>
      <c r="R226" s="180"/>
      <c r="S226" s="180"/>
      <c r="T226" s="496"/>
      <c r="U226" s="180">
        <f t="shared" si="59"/>
        <v>43.364627560096167</v>
      </c>
      <c r="V226" s="180">
        <f t="shared" si="55"/>
        <v>0</v>
      </c>
      <c r="X226" s="430"/>
      <c r="Y226" s="478">
        <v>2046</v>
      </c>
      <c r="Z226" s="479">
        <f t="shared" si="56"/>
        <v>43.364627560096167</v>
      </c>
      <c r="AA226" s="479">
        <f t="shared" si="56"/>
        <v>0</v>
      </c>
      <c r="AB226" s="430"/>
      <c r="AC226" s="479"/>
      <c r="AD226" s="479"/>
      <c r="AE226" s="430"/>
      <c r="AF226" s="479">
        <f t="shared" si="57"/>
        <v>43.364627560096167</v>
      </c>
      <c r="AG226" s="479">
        <f t="shared" si="50"/>
        <v>0</v>
      </c>
      <c r="AH226" s="516"/>
      <c r="AJ226" s="480">
        <f t="shared" si="51"/>
        <v>0</v>
      </c>
      <c r="AK226" s="480" t="str">
        <f t="shared" si="52"/>
        <v/>
      </c>
    </row>
    <row r="227" spans="1:37" ht="15.6" x14ac:dyDescent="0.3">
      <c r="A227" s="152">
        <v>2047</v>
      </c>
      <c r="B227" s="178"/>
      <c r="C227" s="182"/>
      <c r="D227" s="183"/>
      <c r="E227" s="179">
        <f t="shared" si="53"/>
        <v>2.099099823457931</v>
      </c>
      <c r="F227" s="183">
        <f t="shared" si="60"/>
        <v>0.10428580379715169</v>
      </c>
      <c r="G227" s="247">
        <f t="shared" si="54"/>
        <v>0.56385074633901267</v>
      </c>
      <c r="H227" s="246"/>
      <c r="I227" s="417"/>
      <c r="J227" s="417"/>
      <c r="K227" s="182"/>
      <c r="L227" s="178"/>
      <c r="M227" s="182"/>
      <c r="N227" s="178"/>
      <c r="O227" s="495"/>
      <c r="P227" s="259">
        <f>IF(P$194="Y",E227*$F$21*'Emissions Factors'!$B44,"")</f>
        <v>45.363531300101862</v>
      </c>
      <c r="Q227" s="441"/>
      <c r="R227" s="180"/>
      <c r="S227" s="180"/>
      <c r="T227" s="496"/>
      <c r="U227" s="180">
        <f t="shared" si="59"/>
        <v>45.363531300101862</v>
      </c>
      <c r="V227" s="180">
        <f t="shared" si="55"/>
        <v>0</v>
      </c>
      <c r="X227" s="430"/>
      <c r="Y227" s="478">
        <v>2047</v>
      </c>
      <c r="Z227" s="479">
        <f t="shared" si="56"/>
        <v>45.363531300101862</v>
      </c>
      <c r="AA227" s="479">
        <f t="shared" si="56"/>
        <v>0</v>
      </c>
      <c r="AB227" s="430"/>
      <c r="AC227" s="479"/>
      <c r="AD227" s="479"/>
      <c r="AE227" s="430"/>
      <c r="AF227" s="479">
        <f t="shared" si="57"/>
        <v>45.363531300101862</v>
      </c>
      <c r="AG227" s="479">
        <f t="shared" si="50"/>
        <v>0</v>
      </c>
      <c r="AH227" s="516"/>
      <c r="AJ227" s="480">
        <f t="shared" si="51"/>
        <v>0</v>
      </c>
      <c r="AK227" s="480" t="str">
        <f t="shared" si="52"/>
        <v/>
      </c>
    </row>
    <row r="228" spans="1:37" ht="15.6" x14ac:dyDescent="0.3">
      <c r="A228" s="152">
        <v>2048</v>
      </c>
      <c r="B228" s="178"/>
      <c r="C228" s="182"/>
      <c r="D228" s="183"/>
      <c r="E228" s="179">
        <f t="shared" si="53"/>
        <v>2.2063233235995376</v>
      </c>
      <c r="F228" s="183">
        <f t="shared" si="60"/>
        <v>0.10722350014160664</v>
      </c>
      <c r="G228" s="247">
        <f t="shared" si="54"/>
        <v>0.56182323506356535</v>
      </c>
      <c r="H228" s="246"/>
      <c r="I228" s="417"/>
      <c r="J228" s="417"/>
      <c r="K228" s="182"/>
      <c r="L228" s="178"/>
      <c r="M228" s="182"/>
      <c r="N228" s="178"/>
      <c r="O228" s="495"/>
      <c r="P228" s="259">
        <f>IF(P$194="Y",E228*$F$21*'Emissions Factors'!$B45,"")</f>
        <v>47.396210728435527</v>
      </c>
      <c r="Q228" s="441"/>
      <c r="R228" s="180"/>
      <c r="S228" s="180"/>
      <c r="T228" s="496"/>
      <c r="U228" s="180">
        <f t="shared" si="59"/>
        <v>47.396210728435527</v>
      </c>
      <c r="V228" s="180">
        <f t="shared" si="55"/>
        <v>0</v>
      </c>
      <c r="X228" s="430"/>
      <c r="Y228" s="478">
        <v>2048</v>
      </c>
      <c r="Z228" s="479">
        <f t="shared" si="56"/>
        <v>47.396210728435527</v>
      </c>
      <c r="AA228" s="479">
        <f t="shared" si="56"/>
        <v>0</v>
      </c>
      <c r="AB228" s="430"/>
      <c r="AC228" s="479"/>
      <c r="AD228" s="479"/>
      <c r="AE228" s="430"/>
      <c r="AF228" s="479">
        <f t="shared" si="57"/>
        <v>47.396210728435527</v>
      </c>
      <c r="AG228" s="479">
        <f t="shared" si="50"/>
        <v>0</v>
      </c>
      <c r="AH228" s="516"/>
      <c r="AJ228" s="480">
        <f t="shared" si="51"/>
        <v>0</v>
      </c>
      <c r="AK228" s="480" t="str">
        <f t="shared" si="52"/>
        <v/>
      </c>
    </row>
    <row r="229" spans="1:37" ht="15.6" x14ac:dyDescent="0.3">
      <c r="A229" s="152">
        <v>2049</v>
      </c>
      <c r="B229" s="178"/>
      <c r="C229" s="182"/>
      <c r="D229" s="183"/>
      <c r="E229" s="179">
        <f t="shared" si="53"/>
        <v>2.3167392053850286</v>
      </c>
      <c r="F229" s="183">
        <f t="shared" si="60"/>
        <v>0.110415881785491</v>
      </c>
      <c r="G229" s="247">
        <f t="shared" si="54"/>
        <v>0.55975130176288812</v>
      </c>
      <c r="H229" s="246"/>
      <c r="I229" s="417"/>
      <c r="J229" s="417"/>
      <c r="K229" s="182"/>
      <c r="L229" s="178"/>
      <c r="M229" s="182"/>
      <c r="N229" s="178"/>
      <c r="O229" s="495"/>
      <c r="P229" s="259">
        <f>IF(P$194="Y",E229*$F$21*'Emissions Factors'!$B46,"")</f>
        <v>49.511640509016829</v>
      </c>
      <c r="Q229" s="441"/>
      <c r="R229" s="180"/>
      <c r="S229" s="180"/>
      <c r="T229" s="496"/>
      <c r="U229" s="180">
        <f t="shared" si="59"/>
        <v>49.511640509016829</v>
      </c>
      <c r="V229" s="180">
        <f t="shared" si="55"/>
        <v>0</v>
      </c>
      <c r="X229" s="430"/>
      <c r="Y229" s="478">
        <v>2049</v>
      </c>
      <c r="Z229" s="479">
        <f t="shared" si="56"/>
        <v>49.511640509016829</v>
      </c>
      <c r="AA229" s="479">
        <f t="shared" si="56"/>
        <v>0</v>
      </c>
      <c r="AB229" s="430"/>
      <c r="AC229" s="479"/>
      <c r="AD229" s="479"/>
      <c r="AE229" s="430"/>
      <c r="AF229" s="479">
        <f t="shared" si="57"/>
        <v>49.511640509016829</v>
      </c>
      <c r="AG229" s="479">
        <f t="shared" si="50"/>
        <v>0</v>
      </c>
      <c r="AH229" s="516"/>
      <c r="AJ229" s="480">
        <f t="shared" si="51"/>
        <v>0</v>
      </c>
      <c r="AK229" s="480" t="str">
        <f t="shared" si="52"/>
        <v/>
      </c>
    </row>
    <row r="230" spans="1:37" ht="15.6" x14ac:dyDescent="0.3">
      <c r="A230" s="152">
        <v>2050</v>
      </c>
      <c r="B230" s="178"/>
      <c r="C230" s="182"/>
      <c r="D230" s="183"/>
      <c r="E230" s="179">
        <f t="shared" si="53"/>
        <v>2.4305638510304108</v>
      </c>
      <c r="F230" s="183">
        <f t="shared" si="60"/>
        <v>0.11382464564538219</v>
      </c>
      <c r="G230" s="247">
        <f t="shared" si="54"/>
        <v>0.55764935697438167</v>
      </c>
      <c r="H230" s="246"/>
      <c r="I230" s="417"/>
      <c r="J230" s="417"/>
      <c r="K230" s="182"/>
      <c r="L230" s="178"/>
      <c r="M230" s="182"/>
      <c r="N230" s="178"/>
      <c r="O230" s="495"/>
      <c r="P230" s="259">
        <f>IF(P$194="Y",E230*$F$21*'Emissions Factors'!$B47,"")</f>
        <v>51.765584602371298</v>
      </c>
      <c r="Q230" s="441"/>
      <c r="R230" s="180"/>
      <c r="S230" s="180"/>
      <c r="T230" s="496"/>
      <c r="U230" s="180">
        <f t="shared" si="59"/>
        <v>51.765584602371298</v>
      </c>
      <c r="V230" s="180">
        <f t="shared" si="55"/>
        <v>0</v>
      </c>
      <c r="X230" s="430"/>
      <c r="Y230" s="478">
        <v>2050</v>
      </c>
      <c r="Z230" s="479">
        <f t="shared" si="56"/>
        <v>51.765584602371298</v>
      </c>
      <c r="AA230" s="479">
        <f t="shared" si="56"/>
        <v>0</v>
      </c>
      <c r="AB230" s="430"/>
      <c r="AC230" s="479"/>
      <c r="AD230" s="479"/>
      <c r="AE230" s="430"/>
      <c r="AF230" s="479">
        <f t="shared" si="57"/>
        <v>51.765584602371298</v>
      </c>
      <c r="AG230" s="479">
        <f t="shared" si="50"/>
        <v>0</v>
      </c>
      <c r="AH230" s="516"/>
      <c r="AJ230" s="480">
        <f t="shared" si="51"/>
        <v>0</v>
      </c>
      <c r="AK230" s="480" t="str">
        <f t="shared" si="52"/>
        <v/>
      </c>
    </row>
    <row r="231" spans="1:37" ht="15.6" x14ac:dyDescent="0.3">
      <c r="A231" s="152">
        <v>2051</v>
      </c>
      <c r="B231" s="178"/>
      <c r="C231" s="182"/>
      <c r="D231" s="183"/>
      <c r="E231" s="179">
        <f t="shared" si="53"/>
        <v>2.5479491254616584</v>
      </c>
      <c r="F231" s="183">
        <f t="shared" si="60"/>
        <v>0.11738527443124758</v>
      </c>
      <c r="G231" s="247">
        <f t="shared" si="54"/>
        <v>0.55553424515238059</v>
      </c>
      <c r="H231" s="246"/>
      <c r="I231" s="417"/>
      <c r="J231" s="417"/>
      <c r="K231" s="182"/>
      <c r="L231" s="178"/>
      <c r="M231" s="182"/>
      <c r="N231" s="178"/>
      <c r="O231" s="495"/>
      <c r="P231" s="259">
        <f>IF(P$194="Y",E231*$F$21*'Emissions Factors'!$B48,"")</f>
        <v>54.058222294083137</v>
      </c>
      <c r="Q231" s="441"/>
      <c r="R231" s="180"/>
      <c r="S231" s="180"/>
      <c r="T231" s="496"/>
      <c r="U231" s="180">
        <f t="shared" si="59"/>
        <v>54.058222294083137</v>
      </c>
      <c r="V231" s="180">
        <f t="shared" si="55"/>
        <v>0</v>
      </c>
      <c r="Y231" s="478">
        <v>2051</v>
      </c>
      <c r="Z231" s="479">
        <f t="shared" si="56"/>
        <v>54.058222294083137</v>
      </c>
      <c r="AA231" s="479">
        <f t="shared" si="56"/>
        <v>0</v>
      </c>
      <c r="AB231" s="430"/>
      <c r="AC231" s="479"/>
      <c r="AD231" s="479"/>
      <c r="AE231" s="430"/>
      <c r="AF231" s="479">
        <f t="shared" si="57"/>
        <v>54.058222294083137</v>
      </c>
      <c r="AG231" s="479">
        <f t="shared" si="50"/>
        <v>0</v>
      </c>
      <c r="AH231" s="516"/>
      <c r="AJ231" s="480">
        <f t="shared" si="51"/>
        <v>0</v>
      </c>
      <c r="AK231" s="480" t="str">
        <f t="shared" si="52"/>
        <v/>
      </c>
    </row>
    <row r="232" spans="1:37" ht="15.6" x14ac:dyDescent="0.3">
      <c r="A232" s="152">
        <v>2052</v>
      </c>
      <c r="B232" s="178"/>
      <c r="C232" s="182"/>
      <c r="D232" s="183"/>
      <c r="E232" s="179">
        <f t="shared" si="53"/>
        <v>2.6689994283465248</v>
      </c>
      <c r="F232" s="183">
        <f t="shared" si="60"/>
        <v>0.1210503028848664</v>
      </c>
      <c r="G232" s="247">
        <f t="shared" si="54"/>
        <v>0.55342829232637336</v>
      </c>
      <c r="H232" s="246"/>
      <c r="I232" s="417"/>
      <c r="J232" s="417"/>
      <c r="K232" s="182"/>
      <c r="L232" s="178"/>
      <c r="M232" s="182"/>
      <c r="N232" s="178"/>
      <c r="O232" s="495"/>
      <c r="P232" s="259">
        <f>IF(P$194="Y",E232*$F$21*'Emissions Factors'!$B49,"")</f>
        <v>56.41736956643129</v>
      </c>
      <c r="Q232" s="441"/>
      <c r="R232" s="180"/>
      <c r="S232" s="180"/>
      <c r="T232" s="496"/>
      <c r="U232" s="180">
        <f t="shared" si="59"/>
        <v>56.41736956643129</v>
      </c>
      <c r="V232" s="180">
        <f t="shared" si="55"/>
        <v>0</v>
      </c>
      <c r="Y232" s="478">
        <v>2052</v>
      </c>
      <c r="Z232" s="479">
        <f t="shared" si="56"/>
        <v>56.41736956643129</v>
      </c>
      <c r="AA232" s="479">
        <f t="shared" si="56"/>
        <v>0</v>
      </c>
      <c r="AB232" s="430"/>
      <c r="AC232" s="479"/>
      <c r="AD232" s="479"/>
      <c r="AE232" s="430"/>
      <c r="AF232" s="479">
        <f t="shared" si="57"/>
        <v>56.41736956643129</v>
      </c>
      <c r="AG232" s="479">
        <f t="shared" si="50"/>
        <v>0</v>
      </c>
      <c r="AH232" s="516"/>
      <c r="AJ232" s="480">
        <f t="shared" si="51"/>
        <v>0</v>
      </c>
      <c r="AK232" s="480" t="str">
        <f t="shared" si="52"/>
        <v/>
      </c>
    </row>
    <row r="233" spans="1:37" ht="15.6" x14ac:dyDescent="0.3">
      <c r="A233" s="152">
        <v>2053</v>
      </c>
      <c r="B233" s="178"/>
      <c r="C233" s="182"/>
      <c r="D233" s="183"/>
      <c r="E233" s="179">
        <f t="shared" si="53"/>
        <v>2.7938209222875088</v>
      </c>
      <c r="F233" s="183">
        <f t="shared" si="60"/>
        <v>0.12482149394098396</v>
      </c>
      <c r="G233" s="247">
        <f t="shared" si="54"/>
        <v>0.55135825623389256</v>
      </c>
      <c r="H233" s="246"/>
      <c r="I233" s="417"/>
      <c r="J233" s="417"/>
      <c r="K233" s="182"/>
      <c r="L233" s="178"/>
      <c r="M233" s="182"/>
      <c r="N233" s="178"/>
      <c r="O233" s="495"/>
      <c r="P233" s="259">
        <f>IF(P$194="Y",E233*$F$21*'Emissions Factors'!$B50,"")</f>
        <v>58.832383045817927</v>
      </c>
      <c r="Q233" s="441"/>
      <c r="R233" s="180"/>
      <c r="S233" s="180"/>
      <c r="T233" s="496"/>
      <c r="U233" s="180">
        <f t="shared" si="59"/>
        <v>58.832383045817927</v>
      </c>
      <c r="V233" s="180">
        <f t="shared" si="55"/>
        <v>0</v>
      </c>
      <c r="Y233" s="478">
        <v>2053</v>
      </c>
      <c r="Z233" s="479">
        <f t="shared" si="56"/>
        <v>58.832383045817927</v>
      </c>
      <c r="AA233" s="479">
        <f t="shared" si="56"/>
        <v>0</v>
      </c>
      <c r="AB233" s="430"/>
      <c r="AC233" s="479"/>
      <c r="AD233" s="479"/>
      <c r="AE233" s="430"/>
      <c r="AF233" s="479">
        <f t="shared" si="57"/>
        <v>58.832383045817927</v>
      </c>
      <c r="AG233" s="479">
        <f t="shared" si="50"/>
        <v>0</v>
      </c>
      <c r="AH233" s="516"/>
      <c r="AJ233" s="480">
        <f t="shared" si="51"/>
        <v>0</v>
      </c>
      <c r="AK233" s="480" t="str">
        <f t="shared" si="52"/>
        <v/>
      </c>
    </row>
    <row r="234" spans="1:37" ht="15.6" x14ac:dyDescent="0.3">
      <c r="A234" s="152">
        <v>2054</v>
      </c>
      <c r="B234" s="178"/>
      <c r="C234" s="182"/>
      <c r="D234" s="183"/>
      <c r="E234" s="179">
        <f t="shared" si="53"/>
        <v>2.9224884892076401</v>
      </c>
      <c r="F234" s="183">
        <f t="shared" si="60"/>
        <v>0.12866756692013137</v>
      </c>
      <c r="G234" s="247">
        <f t="shared" si="54"/>
        <v>0.54935052578786803</v>
      </c>
      <c r="H234" s="246"/>
      <c r="I234" s="417"/>
      <c r="J234" s="417"/>
      <c r="K234" s="182"/>
      <c r="L234" s="178"/>
      <c r="M234" s="182"/>
      <c r="N234" s="178"/>
      <c r="O234" s="495"/>
      <c r="P234" s="259">
        <f>IF(P$194="Y",E234*$F$21*'Emissions Factors'!$B51,"")</f>
        <v>61.303072328058839</v>
      </c>
      <c r="Q234" s="441"/>
      <c r="R234" s="180"/>
      <c r="S234" s="180"/>
      <c r="T234" s="496"/>
      <c r="U234" s="180">
        <f t="shared" si="59"/>
        <v>61.303072328058839</v>
      </c>
      <c r="V234" s="180">
        <f t="shared" si="55"/>
        <v>0</v>
      </c>
      <c r="Y234" s="478">
        <v>2054</v>
      </c>
      <c r="Z234" s="479">
        <f t="shared" si="56"/>
        <v>61.303072328058839</v>
      </c>
      <c r="AA234" s="479">
        <f t="shared" si="56"/>
        <v>0</v>
      </c>
      <c r="AB234" s="430"/>
      <c r="AC234" s="479"/>
      <c r="AD234" s="479"/>
      <c r="AE234" s="430"/>
      <c r="AF234" s="479">
        <f t="shared" si="57"/>
        <v>61.303072328058839</v>
      </c>
      <c r="AG234" s="479">
        <f t="shared" si="50"/>
        <v>0</v>
      </c>
      <c r="AH234" s="516"/>
      <c r="AJ234" s="480">
        <f t="shared" si="51"/>
        <v>0</v>
      </c>
      <c r="AK234" s="480" t="str">
        <f t="shared" si="52"/>
        <v/>
      </c>
    </row>
    <row r="235" spans="1:37" ht="15.6" x14ac:dyDescent="0.3">
      <c r="A235" s="152">
        <v>2055</v>
      </c>
      <c r="B235" s="178"/>
      <c r="C235" s="182"/>
      <c r="D235" s="183"/>
      <c r="E235" s="179">
        <f t="shared" si="53"/>
        <v>3.0550579658641679</v>
      </c>
      <c r="F235" s="183">
        <f t="shared" si="60"/>
        <v>0.13256947665652774</v>
      </c>
      <c r="G235" s="247">
        <f t="shared" si="54"/>
        <v>0.54742511319893372</v>
      </c>
      <c r="H235" s="246"/>
      <c r="I235" s="417"/>
      <c r="J235" s="417"/>
      <c r="K235" s="182"/>
      <c r="L235" s="178"/>
      <c r="M235" s="182"/>
      <c r="N235" s="178"/>
      <c r="O235" s="495"/>
      <c r="P235" s="259">
        <f>IF(P$194="Y",E235*$F$21*'Emissions Factors'!$B52,"")</f>
        <v>63.823442672074769</v>
      </c>
      <c r="Q235" s="441"/>
      <c r="R235" s="180"/>
      <c r="S235" s="180"/>
      <c r="T235" s="496"/>
      <c r="U235" s="180">
        <f t="shared" si="59"/>
        <v>63.823442672074769</v>
      </c>
      <c r="V235" s="180">
        <f t="shared" si="55"/>
        <v>0</v>
      </c>
      <c r="Y235" s="478">
        <v>2055</v>
      </c>
      <c r="Z235" s="479">
        <f t="shared" si="56"/>
        <v>63.823442672074769</v>
      </c>
      <c r="AA235" s="479">
        <f t="shared" si="56"/>
        <v>0</v>
      </c>
      <c r="AB235" s="430"/>
      <c r="AC235" s="479"/>
      <c r="AD235" s="479"/>
      <c r="AE235" s="430"/>
      <c r="AF235" s="479">
        <f t="shared" si="57"/>
        <v>63.823442672074769</v>
      </c>
      <c r="AG235" s="479">
        <f t="shared" si="50"/>
        <v>0</v>
      </c>
      <c r="AH235" s="516"/>
      <c r="AJ235" s="480">
        <f t="shared" si="51"/>
        <v>0</v>
      </c>
      <c r="AK235" s="480" t="str">
        <f t="shared" si="52"/>
        <v/>
      </c>
    </row>
    <row r="236" spans="1:37" ht="15.6" x14ac:dyDescent="0.3">
      <c r="A236" s="152">
        <v>2056</v>
      </c>
      <c r="B236" s="178"/>
      <c r="C236" s="182"/>
      <c r="D236" s="183"/>
      <c r="E236" s="179">
        <f t="shared" si="53"/>
        <v>3.1915985622324796</v>
      </c>
      <c r="F236" s="183">
        <f t="shared" si="60"/>
        <v>0.13654059636831173</v>
      </c>
      <c r="G236" s="247">
        <f t="shared" si="54"/>
        <v>0.54558869426545398</v>
      </c>
      <c r="H236" s="246"/>
      <c r="I236" s="417"/>
      <c r="J236" s="417"/>
      <c r="K236" s="182"/>
      <c r="L236" s="178"/>
      <c r="M236" s="182"/>
      <c r="N236" s="178"/>
      <c r="O236" s="495"/>
      <c r="P236" s="259">
        <f>IF(P$194="Y",E236*$F$21*'Emissions Factors'!$B53,"")</f>
        <v>66.40894942747407</v>
      </c>
      <c r="Q236" s="441"/>
      <c r="R236" s="180"/>
      <c r="S236" s="180"/>
      <c r="T236" s="496"/>
      <c r="U236" s="180">
        <f t="shared" si="59"/>
        <v>66.40894942747407</v>
      </c>
      <c r="V236" s="180">
        <f t="shared" si="55"/>
        <v>0</v>
      </c>
      <c r="Y236" s="478">
        <v>2056</v>
      </c>
      <c r="Z236" s="479">
        <f t="shared" si="56"/>
        <v>66.40894942747407</v>
      </c>
      <c r="AA236" s="479">
        <f t="shared" si="56"/>
        <v>0</v>
      </c>
      <c r="AB236" s="430"/>
      <c r="AC236" s="479"/>
      <c r="AD236" s="479"/>
      <c r="AE236" s="430"/>
      <c r="AF236" s="479">
        <f t="shared" si="57"/>
        <v>66.40894942747407</v>
      </c>
      <c r="AG236" s="479">
        <f t="shared" si="50"/>
        <v>0</v>
      </c>
      <c r="AH236" s="516"/>
      <c r="AJ236" s="480">
        <f t="shared" si="51"/>
        <v>0</v>
      </c>
      <c r="AK236" s="480" t="str">
        <f t="shared" si="52"/>
        <v/>
      </c>
    </row>
    <row r="237" spans="1:37" ht="15.6" x14ac:dyDescent="0.3">
      <c r="A237" s="152">
        <v>2057</v>
      </c>
      <c r="B237" s="178"/>
      <c r="C237" s="182"/>
      <c r="D237" s="183"/>
      <c r="E237" s="179">
        <f t="shared" si="53"/>
        <v>3.3321311722218079</v>
      </c>
      <c r="F237" s="183">
        <f t="shared" si="60"/>
        <v>0.14053260998932826</v>
      </c>
      <c r="G237" s="247">
        <f t="shared" si="54"/>
        <v>0.54384717902528423</v>
      </c>
      <c r="H237" s="246"/>
      <c r="I237" s="417"/>
      <c r="J237" s="417"/>
      <c r="K237" s="182"/>
      <c r="L237" s="178"/>
      <c r="M237" s="182"/>
      <c r="N237" s="178"/>
      <c r="O237" s="495"/>
      <c r="P237" s="259">
        <f>IF(P$194="Y",E237*$F$21*'Emissions Factors'!$B54,"")</f>
        <v>69.04206526494572</v>
      </c>
      <c r="Q237" s="441"/>
      <c r="R237" s="180"/>
      <c r="S237" s="180"/>
      <c r="T237" s="496"/>
      <c r="U237" s="180">
        <f t="shared" si="59"/>
        <v>69.04206526494572</v>
      </c>
      <c r="V237" s="180">
        <f t="shared" si="55"/>
        <v>0</v>
      </c>
      <c r="Y237" s="478">
        <v>2057</v>
      </c>
      <c r="Z237" s="479">
        <f t="shared" si="56"/>
        <v>69.04206526494572</v>
      </c>
      <c r="AA237" s="479">
        <f t="shared" si="56"/>
        <v>0</v>
      </c>
      <c r="AB237" s="430"/>
      <c r="AC237" s="479"/>
      <c r="AD237" s="479"/>
      <c r="AE237" s="430"/>
      <c r="AF237" s="479">
        <f t="shared" si="57"/>
        <v>69.04206526494572</v>
      </c>
      <c r="AG237" s="479">
        <f t="shared" si="50"/>
        <v>0</v>
      </c>
      <c r="AH237" s="516"/>
      <c r="AJ237" s="480">
        <f t="shared" si="51"/>
        <v>0</v>
      </c>
      <c r="AK237" s="480" t="str">
        <f t="shared" si="52"/>
        <v/>
      </c>
    </row>
    <row r="238" spans="1:37" ht="15.6" x14ac:dyDescent="0.3">
      <c r="A238" s="152">
        <v>2058</v>
      </c>
      <c r="B238" s="178"/>
      <c r="C238" s="182"/>
      <c r="D238" s="183"/>
      <c r="E238" s="179">
        <f t="shared" si="53"/>
        <v>3.4765688734897853</v>
      </c>
      <c r="F238" s="183">
        <f t="shared" si="60"/>
        <v>0.14443770126797739</v>
      </c>
      <c r="G238" s="247">
        <f t="shared" si="54"/>
        <v>0.54221243548053077</v>
      </c>
      <c r="H238" s="246"/>
      <c r="I238" s="417"/>
      <c r="J238" s="417"/>
      <c r="K238" s="182"/>
      <c r="L238" s="178"/>
      <c r="M238" s="182"/>
      <c r="N238" s="178"/>
      <c r="O238" s="495"/>
      <c r="P238" s="259">
        <f>IF(P$194="Y",E238*$F$21*'Emissions Factors'!$B55,"")</f>
        <v>71.724219877031317</v>
      </c>
      <c r="Q238" s="441"/>
      <c r="R238" s="180"/>
      <c r="S238" s="180"/>
      <c r="T238" s="496"/>
      <c r="U238" s="180">
        <f t="shared" si="59"/>
        <v>71.724219877031317</v>
      </c>
      <c r="V238" s="180">
        <f t="shared" si="55"/>
        <v>0</v>
      </c>
      <c r="Y238" s="478">
        <v>2058</v>
      </c>
      <c r="Z238" s="479">
        <f t="shared" si="56"/>
        <v>71.724219877031317</v>
      </c>
      <c r="AA238" s="479">
        <f t="shared" si="56"/>
        <v>0</v>
      </c>
      <c r="AB238" s="430"/>
      <c r="AC238" s="479"/>
      <c r="AD238" s="479"/>
      <c r="AE238" s="430"/>
      <c r="AF238" s="479">
        <f t="shared" si="57"/>
        <v>71.724219877031317</v>
      </c>
      <c r="AG238" s="479">
        <f t="shared" si="50"/>
        <v>0</v>
      </c>
      <c r="AH238" s="516"/>
      <c r="AJ238" s="480">
        <f t="shared" si="51"/>
        <v>0</v>
      </c>
      <c r="AK238" s="480" t="str">
        <f t="shared" si="52"/>
        <v/>
      </c>
    </row>
    <row r="239" spans="1:37" ht="15.6" x14ac:dyDescent="0.3">
      <c r="A239" s="152">
        <v>2059</v>
      </c>
      <c r="B239" s="178"/>
      <c r="C239" s="182"/>
      <c r="D239" s="183"/>
      <c r="E239" s="179">
        <f t="shared" si="53"/>
        <v>3.6247690904476197</v>
      </c>
      <c r="F239" s="183">
        <f t="shared" si="60"/>
        <v>0.14820021695783447</v>
      </c>
      <c r="G239" s="247">
        <f t="shared" si="54"/>
        <v>0.54069514994819989</v>
      </c>
      <c r="H239" s="246"/>
      <c r="I239" s="417"/>
      <c r="J239" s="417"/>
      <c r="K239" s="182"/>
      <c r="L239" s="178"/>
      <c r="M239" s="182"/>
      <c r="N239" s="178"/>
      <c r="O239" s="495"/>
      <c r="P239" s="259">
        <f>IF(P$194="Y",E239*$F$21*'Emissions Factors'!$B56,"")</f>
        <v>74.450346474815206</v>
      </c>
      <c r="Q239" s="441"/>
      <c r="R239" s="180"/>
      <c r="S239" s="180"/>
      <c r="T239" s="496"/>
      <c r="U239" s="180">
        <f t="shared" si="59"/>
        <v>74.450346474815206</v>
      </c>
      <c r="V239" s="180">
        <f t="shared" si="55"/>
        <v>0</v>
      </c>
      <c r="Y239" s="478">
        <v>2059</v>
      </c>
      <c r="Z239" s="479">
        <f t="shared" si="56"/>
        <v>74.450346474815206</v>
      </c>
      <c r="AA239" s="479">
        <f t="shared" si="56"/>
        <v>0</v>
      </c>
      <c r="AB239" s="430"/>
      <c r="AC239" s="479"/>
      <c r="AD239" s="479"/>
      <c r="AE239" s="430"/>
      <c r="AF239" s="479">
        <f t="shared" si="57"/>
        <v>74.450346474815206</v>
      </c>
      <c r="AG239" s="479">
        <f t="shared" si="50"/>
        <v>0</v>
      </c>
      <c r="AH239" s="516"/>
      <c r="AJ239" s="480">
        <f t="shared" si="51"/>
        <v>0</v>
      </c>
      <c r="AK239" s="480" t="str">
        <f t="shared" si="52"/>
        <v/>
      </c>
    </row>
    <row r="240" spans="1:37" ht="15.6" x14ac:dyDescent="0.3">
      <c r="A240" s="152">
        <v>2060</v>
      </c>
      <c r="B240" s="178"/>
      <c r="C240" s="182"/>
      <c r="D240" s="183"/>
      <c r="E240" s="179">
        <f t="shared" si="53"/>
        <v>3.7766011907639143</v>
      </c>
      <c r="F240" s="183">
        <f t="shared" si="60"/>
        <v>0.15183210031629457</v>
      </c>
      <c r="G240" s="247">
        <f t="shared" si="54"/>
        <v>0.53929962671068754</v>
      </c>
      <c r="H240" s="246"/>
      <c r="I240" s="417"/>
      <c r="J240" s="417"/>
      <c r="K240" s="182"/>
      <c r="L240" s="178"/>
      <c r="M240" s="182"/>
      <c r="N240" s="178"/>
      <c r="O240" s="495"/>
      <c r="P240" s="259">
        <f>IF(P$194="Y",E240*$F$21*'Emissions Factors'!$B57,"")</f>
        <v>77.241449896711714</v>
      </c>
      <c r="Q240" s="441"/>
      <c r="R240" s="180"/>
      <c r="S240" s="180"/>
      <c r="T240" s="496"/>
      <c r="U240" s="180">
        <f t="shared" si="59"/>
        <v>77.241449896711714</v>
      </c>
      <c r="V240" s="180">
        <f t="shared" si="55"/>
        <v>0</v>
      </c>
      <c r="Y240" s="478">
        <v>2060</v>
      </c>
      <c r="Z240" s="479">
        <f t="shared" si="56"/>
        <v>77.241449896711714</v>
      </c>
      <c r="AA240" s="479">
        <f t="shared" si="56"/>
        <v>0</v>
      </c>
      <c r="AB240" s="430"/>
      <c r="AC240" s="479"/>
      <c r="AD240" s="479"/>
      <c r="AE240" s="430"/>
      <c r="AF240" s="479">
        <f t="shared" si="57"/>
        <v>77.241449896711714</v>
      </c>
      <c r="AG240" s="479">
        <f t="shared" si="50"/>
        <v>0</v>
      </c>
      <c r="AH240" s="516"/>
      <c r="AJ240" s="480">
        <f t="shared" si="51"/>
        <v>0</v>
      </c>
      <c r="AK240" s="480" t="str">
        <f t="shared" si="52"/>
        <v/>
      </c>
    </row>
    <row r="241" spans="1:10" x14ac:dyDescent="0.25">
      <c r="A241" s="13"/>
      <c r="B241" s="13"/>
      <c r="C241" s="13"/>
      <c r="D241" s="13"/>
      <c r="E241" s="13"/>
      <c r="F241" s="13"/>
      <c r="G241" s="13"/>
      <c r="H241" s="13"/>
      <c r="I241" s="13"/>
      <c r="J241" s="13"/>
    </row>
    <row r="244" spans="1:10" ht="13.95" customHeight="1" x14ac:dyDescent="0.25"/>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x14ac:dyDescent="0.25">
      <c r="L280" s="170"/>
      <c r="M280" s="170"/>
      <c r="S280" s="170"/>
    </row>
    <row r="281" spans="12:19" x14ac:dyDescent="0.25">
      <c r="L281" s="170"/>
      <c r="M281" s="170"/>
      <c r="S281" s="170"/>
    </row>
    <row r="282" spans="12:19" ht="13.8" thickBot="1" x14ac:dyDescent="0.3">
      <c r="L282" s="209"/>
      <c r="M282" s="209"/>
      <c r="S282" s="209"/>
    </row>
    <row r="293" spans="1:13" x14ac:dyDescent="0.25">
      <c r="A293" s="13"/>
      <c r="B293" s="13"/>
      <c r="C293" s="13"/>
      <c r="D293" s="13"/>
      <c r="E293" s="13"/>
      <c r="F293" s="13"/>
      <c r="G293" s="13"/>
      <c r="H293" s="13"/>
      <c r="I293" s="13"/>
      <c r="J293" s="13"/>
      <c r="K293" s="13"/>
    </row>
    <row r="302" spans="1:13" ht="13.8" thickBot="1" x14ac:dyDescent="0.3"/>
    <row r="303" spans="1:13" x14ac:dyDescent="0.25">
      <c r="L303" s="202"/>
      <c r="M303" s="202"/>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row>
    <row r="311" spans="12:29" x14ac:dyDescent="0.25">
      <c r="L311" s="170"/>
      <c r="M311" s="170"/>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x14ac:dyDescent="0.25">
      <c r="L331" s="170"/>
      <c r="M331" s="170"/>
      <c r="AC331" s="251"/>
    </row>
    <row r="332" spans="12:29" x14ac:dyDescent="0.25">
      <c r="L332" s="170"/>
      <c r="M332" s="170"/>
      <c r="AC332" s="251"/>
    </row>
    <row r="333" spans="12:29" ht="13.8" thickBot="1" x14ac:dyDescent="0.3">
      <c r="L333" s="209"/>
      <c r="M333" s="209"/>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row r="342" spans="29:29" x14ac:dyDescent="0.25">
      <c r="AC342" s="251"/>
    </row>
    <row r="343" spans="29:29" x14ac:dyDescent="0.25">
      <c r="AC343" s="251"/>
    </row>
  </sheetData>
  <mergeCells count="66">
    <mergeCell ref="AC191:AD191"/>
    <mergeCell ref="AF191:AG191"/>
    <mergeCell ref="AJ191:AK191"/>
    <mergeCell ref="K192:N192"/>
    <mergeCell ref="P192:S192"/>
    <mergeCell ref="U192:V192"/>
    <mergeCell ref="Z192:AA192"/>
    <mergeCell ref="AC192:AD192"/>
    <mergeCell ref="AF192:AG192"/>
    <mergeCell ref="AJ192:AK192"/>
    <mergeCell ref="Y191:AA191"/>
    <mergeCell ref="B191:D191"/>
    <mergeCell ref="E191:H191"/>
    <mergeCell ref="K191:N191"/>
    <mergeCell ref="P191:S191"/>
    <mergeCell ref="U191:V191"/>
    <mergeCell ref="AU133:AV133"/>
    <mergeCell ref="AX133:AY133"/>
    <mergeCell ref="BA133:BB133"/>
    <mergeCell ref="BE133:BF133"/>
    <mergeCell ref="B190:H190"/>
    <mergeCell ref="K190:V190"/>
    <mergeCell ref="Y190:AG190"/>
    <mergeCell ref="R133:U133"/>
    <mergeCell ref="W133:Z133"/>
    <mergeCell ref="AB133:AC133"/>
    <mergeCell ref="AE133:AH133"/>
    <mergeCell ref="AJ133:AM133"/>
    <mergeCell ref="AO133:AP133"/>
    <mergeCell ref="BE132:BF132"/>
    <mergeCell ref="AE131:AP131"/>
    <mergeCell ref="AT131:BB131"/>
    <mergeCell ref="B132:D132"/>
    <mergeCell ref="E132:H132"/>
    <mergeCell ref="J132:L132"/>
    <mergeCell ref="M132:P132"/>
    <mergeCell ref="R132:U132"/>
    <mergeCell ref="W132:Z132"/>
    <mergeCell ref="AB132:AC132"/>
    <mergeCell ref="AE132:AH132"/>
    <mergeCell ref="AJ132:AM132"/>
    <mergeCell ref="AO132:AP132"/>
    <mergeCell ref="AT132:AV132"/>
    <mergeCell ref="AX132:AY132"/>
    <mergeCell ref="BA132:BB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dataValidations count="1">
    <dataValidation type="list" allowBlank="1" showInputMessage="1" showErrorMessage="1" sqref="C27:G27 G19 G5:H16 AE135:AH135 AJ135:AM135 R135:U135 W135:Z135 K194:N194 P194:S194">
      <formula1>"Y,N"</formula1>
    </dataValidation>
  </dataValidations>
  <pageMargins left="0.7" right="0.7" top="0.75" bottom="0.75" header="0.3" footer="0.3"/>
  <pageSetup paperSize="0"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6"/>
  </sheetPr>
  <dimension ref="A1:EG183"/>
  <sheetViews>
    <sheetView showGridLines="0" topLeftCell="D1" zoomScale="96" zoomScaleNormal="96" zoomScalePageLayoutView="80" workbookViewId="0">
      <selection activeCell="O15" sqref="O15"/>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45.5" style="153" bestFit="1"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ReslLight_cluster_lldc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315</v>
      </c>
      <c r="E3" s="249">
        <v>0.19116788321167885</v>
      </c>
      <c r="F3" s="167" t="s">
        <v>211</v>
      </c>
      <c r="G3" s="167" t="s">
        <v>213</v>
      </c>
      <c r="I3" s="618"/>
      <c r="J3" s="618"/>
      <c r="K3" s="618"/>
      <c r="L3" s="618"/>
      <c r="M3" s="166"/>
      <c r="N3" s="164">
        <f ca="1">SUM(OFFSET(O27,B3-2015,0,B4-B3+1,4))/1000</f>
        <v>0.49892693028361512</v>
      </c>
      <c r="O3" s="165" t="s">
        <v>209</v>
      </c>
      <c r="Q3" s="165"/>
      <c r="S3" s="671" t="s">
        <v>210</v>
      </c>
      <c r="T3" s="671"/>
      <c r="U3" s="671"/>
      <c r="V3" s="671"/>
      <c r="W3" s="671"/>
    </row>
    <row r="4" spans="1:137" ht="13.8" x14ac:dyDescent="0.25">
      <c r="A4" s="153" t="s">
        <v>215</v>
      </c>
      <c r="B4" s="234">
        <v>2050</v>
      </c>
      <c r="D4" s="248" t="s">
        <v>316</v>
      </c>
      <c r="E4" s="249">
        <v>0.31861313868613139</v>
      </c>
      <c r="F4" s="167" t="s">
        <v>211</v>
      </c>
      <c r="G4" s="167" t="s">
        <v>213</v>
      </c>
      <c r="I4" s="168"/>
      <c r="J4" s="168"/>
      <c r="K4" s="168"/>
      <c r="L4" s="168"/>
      <c r="M4" s="168"/>
      <c r="N4" s="168"/>
      <c r="S4" s="671"/>
      <c r="T4" s="671"/>
      <c r="U4" s="671"/>
      <c r="V4" s="671"/>
      <c r="W4" s="671"/>
    </row>
    <row r="5" spans="1:137" ht="12.75" customHeight="1" x14ac:dyDescent="0.25">
      <c r="D5" s="248" t="s">
        <v>317</v>
      </c>
      <c r="E5" s="249">
        <v>0.14160583941605842</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318</v>
      </c>
      <c r="E6" s="249">
        <v>0.31861313868613139</v>
      </c>
      <c r="F6" s="167" t="s">
        <v>211</v>
      </c>
      <c r="G6" s="167" t="s">
        <v>213</v>
      </c>
      <c r="I6" s="618"/>
      <c r="J6" s="618"/>
      <c r="K6" s="618"/>
      <c r="L6" s="618"/>
      <c r="M6" s="163"/>
      <c r="N6" s="164">
        <f>SUM(O27:R72)/1000</f>
        <v>1.0057455334809262</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319</v>
      </c>
      <c r="P15" s="260" t="s">
        <v>268</v>
      </c>
    </row>
    <row r="16" spans="1:137" ht="13.8" x14ac:dyDescent="0.25">
      <c r="F16" s="153" t="s">
        <v>217</v>
      </c>
      <c r="O16" s="261">
        <v>42.34</v>
      </c>
      <c r="P16" s="261">
        <v>16997.562599850444</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307</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211</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0</v>
      </c>
      <c r="F26" s="183" t="str">
        <f>IFERROR(E26-E25,"")</f>
        <v/>
      </c>
      <c r="G26" s="247">
        <f t="shared" ref="G26:G72" si="1">IFERROR(E26/(B85-B137),"")</f>
        <v>0</v>
      </c>
      <c r="H26" s="245" t="s">
        <v>264</v>
      </c>
      <c r="J26" s="182"/>
      <c r="K26" s="182"/>
      <c r="L26" s="182"/>
      <c r="M26" s="182"/>
      <c r="N26" s="163"/>
      <c r="O26" s="259">
        <f>IF(O$24="Y",E26*$O$16*'Emissions Factors'!B12,"")</f>
        <v>0</v>
      </c>
      <c r="P26" s="259" t="str">
        <f>IF(P$24="Y",E26*$E$5*'Emissions Factors'!$R$36*$P$16/10^6,"")</f>
        <v/>
      </c>
      <c r="Q26" s="259" t="str">
        <f>IF($Q$24="Y",IFERROR($E26*SUM($E$3,$E$4,$E$5)*('Emissions Factors'!$T$143*$P$16)/10^6,""),"")</f>
        <v/>
      </c>
      <c r="R26" s="245" t="s">
        <v>264</v>
      </c>
      <c r="T26" s="180" t="str">
        <f t="shared" ref="T26:T72" si="2">IF(AND(A26&gt;=$B$3,A26&lt;=$B$4),SUM(O26:R26),"")</f>
        <v/>
      </c>
      <c r="U26" s="180" t="str">
        <f t="shared" ref="U26:U72" si="3">IF(AND(A26&gt;=$B$3,A26&lt;=$B$4),SUM(J26:M26),"")</f>
        <v/>
      </c>
      <c r="V26" s="177"/>
      <c r="X26" s="180">
        <f t="shared" ref="X26:X72" si="4">SUM(O26:R26)</f>
        <v>0</v>
      </c>
      <c r="Y26" s="180">
        <f t="shared" ref="Y26:Y72" si="5">SUM(J26:M26)</f>
        <v>0</v>
      </c>
    </row>
    <row r="27" spans="1:26" ht="15.6" x14ac:dyDescent="0.3">
      <c r="A27" s="152">
        <v>2015</v>
      </c>
      <c r="B27" s="178">
        <f t="shared" si="0"/>
        <v>0</v>
      </c>
      <c r="C27" s="182">
        <f>IFERROR(B27-B26,"")</f>
        <v>0</v>
      </c>
      <c r="D27" s="183"/>
      <c r="E27" s="179">
        <f t="shared" ref="E27:E72" si="6">IFERROR(IF($F$17="Y",$E$17,$Y86)*(SUMIF($G$3:$G$14,"Y",$E$3:$E$14))*(B86-B138),0)</f>
        <v>0</v>
      </c>
      <c r="F27" s="183">
        <f>IFERROR(E27-E26,"")</f>
        <v>0</v>
      </c>
      <c r="G27" s="247">
        <f t="shared" si="1"/>
        <v>0</v>
      </c>
      <c r="H27" s="246"/>
      <c r="J27" s="182"/>
      <c r="K27" s="182"/>
      <c r="L27" s="182"/>
      <c r="M27" s="182"/>
      <c r="N27" s="163"/>
      <c r="O27" s="259">
        <f>IF(O$24="Y",E27*$O$16*'Emissions Factors'!B12,"")</f>
        <v>0</v>
      </c>
      <c r="P27" s="259" t="str">
        <f>IF(P$24="Y",E27*$E$5*'Emissions Factors'!$R$36*$P$16/10^6,"")</f>
        <v/>
      </c>
      <c r="Q27" s="259" t="str">
        <f>IF($Q$24="Y",IFERROR($E27*SUM($E$3,$E$4,$E$5)*('Emissions Factors'!$T$143*$P$16)/10^6,""),"")</f>
        <v/>
      </c>
      <c r="R27" s="258"/>
      <c r="T27" s="180" t="str">
        <f t="shared" si="2"/>
        <v/>
      </c>
      <c r="U27" s="180" t="str">
        <f t="shared" si="3"/>
        <v/>
      </c>
      <c r="V27" s="177"/>
      <c r="X27" s="180">
        <f t="shared" si="4"/>
        <v>0</v>
      </c>
      <c r="Y27" s="180">
        <f t="shared" si="5"/>
        <v>0</v>
      </c>
    </row>
    <row r="28" spans="1:26" ht="15.6" x14ac:dyDescent="0.3">
      <c r="A28" s="152">
        <v>2016</v>
      </c>
      <c r="B28" s="178">
        <f t="shared" si="0"/>
        <v>0</v>
      </c>
      <c r="C28" s="182">
        <f t="shared" ref="C28:C72" si="7">IFERROR(B28-B27,"")</f>
        <v>0</v>
      </c>
      <c r="D28" s="183"/>
      <c r="E28" s="179">
        <f t="shared" si="6"/>
        <v>-5.5960608329499458E-5</v>
      </c>
      <c r="F28" s="183">
        <f t="shared" ref="F28:F72" si="8">IFERROR(E28-E27,"")</f>
        <v>-5.5960608329499458E-5</v>
      </c>
      <c r="G28" s="247">
        <f>IFERROR(E28/(B87-B139),"")</f>
        <v>0.97000000000000008</v>
      </c>
      <c r="H28" s="246"/>
      <c r="J28" s="182"/>
      <c r="K28" s="182"/>
      <c r="L28" s="182"/>
      <c r="M28" s="182"/>
      <c r="N28" s="163"/>
      <c r="O28" s="259">
        <f>IF(O$24="Y",E28*$O$16*'Emissions Factors'!B13,"")</f>
        <v>-1.4525523955615451E-3</v>
      </c>
      <c r="P28" s="259" t="str">
        <f>IF(P$24="Y",E28*$E$5*'Emissions Factors'!$R$36*$P$16/10^6,"")</f>
        <v/>
      </c>
      <c r="Q28" s="259" t="str">
        <f>IF($Q$24="Y",IFERROR($E28*SUM($E$3,$E$4,$E$5)*('Emissions Factors'!$T$143*$P$16)/10^6,""),"")</f>
        <v/>
      </c>
      <c r="R28" s="258"/>
      <c r="T28" s="180" t="str">
        <f t="shared" si="2"/>
        <v/>
      </c>
      <c r="U28" s="180" t="str">
        <f t="shared" si="3"/>
        <v/>
      </c>
      <c r="V28" s="177"/>
      <c r="X28" s="180">
        <f t="shared" si="4"/>
        <v>-1.4525523955615451E-3</v>
      </c>
      <c r="Y28" s="180">
        <f t="shared" si="5"/>
        <v>0</v>
      </c>
    </row>
    <row r="29" spans="1:26" ht="15.6" x14ac:dyDescent="0.3">
      <c r="A29" s="152">
        <v>2017</v>
      </c>
      <c r="B29" s="178">
        <f>IFERROR(IF($F$17="Y",$E$17,$Y88)*(IF($F$3="Y",$E$3,0)+IF($F$4="Y",$E$4,0)+IF($F$5="Y",$E$5,0)+IF($F$6="Y",$E$6,0)+IF($F$7="Y",$E$7,0)+IF($F$8="Y",$E$8,0)+IF($F$9="Y",$E$9,0)+IF($F$10="Y",$E$10,0)+IF($F$11="Y",$E$11,0)+IF($F$12="Y",$E$12,0)+IF($F$13="Y",$E$13,0)+IF($F$14="Y",$E$14,0))*(B88-B140),0)</f>
        <v>0</v>
      </c>
      <c r="C29" s="182">
        <f>IFERROR(B29-B28,"")</f>
        <v>0</v>
      </c>
      <c r="D29" s="183"/>
      <c r="E29" s="179">
        <f t="shared" si="6"/>
        <v>-5.509023323824636E-5</v>
      </c>
      <c r="F29" s="183">
        <f>IFERROR(E29-E28,"")</f>
        <v>8.7037509125309823E-7</v>
      </c>
      <c r="G29" s="247">
        <f t="shared" si="1"/>
        <v>0.97000000000000008</v>
      </c>
      <c r="H29" s="246"/>
      <c r="J29" s="182"/>
      <c r="K29" s="182"/>
      <c r="L29" s="182"/>
      <c r="M29" s="182"/>
      <c r="N29" s="163"/>
      <c r="O29" s="259">
        <f>IF(O$24="Y",E29*$O$16*'Emissions Factors'!B14,"")</f>
        <v>-1.4124788157550015E-3</v>
      </c>
      <c r="P29" s="259" t="str">
        <f>IF(P$24="Y",E29*$E$5*'Emissions Factors'!$R$36*$P$16/10^6,"")</f>
        <v/>
      </c>
      <c r="Q29" s="259" t="str">
        <f>IF($Q$24="Y",IFERROR($E29*SUM($E$3,$E$4,$E$5)*('Emissions Factors'!$T$143*$P$16)/10^6,""),"")</f>
        <v/>
      </c>
      <c r="R29" s="258"/>
      <c r="T29" s="180" t="str">
        <f t="shared" si="2"/>
        <v/>
      </c>
      <c r="U29" s="180" t="str">
        <f t="shared" si="3"/>
        <v/>
      </c>
      <c r="V29" s="177"/>
      <c r="X29" s="180">
        <f t="shared" si="4"/>
        <v>-1.4124788157550015E-3</v>
      </c>
      <c r="Y29" s="180">
        <f t="shared" si="5"/>
        <v>0</v>
      </c>
    </row>
    <row r="30" spans="1:26" ht="15.6" x14ac:dyDescent="0.3">
      <c r="A30" s="152">
        <v>2018</v>
      </c>
      <c r="B30" s="178">
        <f t="shared" si="0"/>
        <v>0</v>
      </c>
      <c r="C30" s="182">
        <f t="shared" si="7"/>
        <v>0</v>
      </c>
      <c r="D30" s="183"/>
      <c r="E30" s="179">
        <f t="shared" si="6"/>
        <v>-5.4039743038956097E-5</v>
      </c>
      <c r="F30" s="183">
        <f t="shared" si="8"/>
        <v>1.050490199290263E-6</v>
      </c>
      <c r="G30" s="247">
        <f t="shared" si="1"/>
        <v>0.97000000000000008</v>
      </c>
      <c r="H30" s="246"/>
      <c r="J30" s="182"/>
      <c r="K30" s="182"/>
      <c r="L30" s="182"/>
      <c r="M30" s="182"/>
      <c r="N30" s="163"/>
      <c r="O30" s="259">
        <f>IF(O$24="Y",E30*$O$16*'Emissions Factors'!B15,"")</f>
        <v>-1.3724223967506439E-3</v>
      </c>
      <c r="P30" s="259" t="str">
        <f>IF(P$24="Y",E30*$E$5*'Emissions Factors'!$R$36*$P$16/10^6,"")</f>
        <v/>
      </c>
      <c r="Q30" s="259" t="str">
        <f>IF($Q$24="Y",IFERROR($E30*SUM($E$3,$E$4,$E$5)*('Emissions Factors'!$T$143*$P$16)/10^6,""),"")</f>
        <v/>
      </c>
      <c r="R30" s="258"/>
      <c r="T30" s="180" t="str">
        <f t="shared" si="2"/>
        <v/>
      </c>
      <c r="U30" s="180" t="str">
        <f t="shared" si="3"/>
        <v/>
      </c>
      <c r="V30" s="177"/>
      <c r="X30" s="180">
        <f t="shared" si="4"/>
        <v>-1.3724223967506439E-3</v>
      </c>
      <c r="Y30" s="180">
        <f t="shared" si="5"/>
        <v>0</v>
      </c>
    </row>
    <row r="31" spans="1:26" ht="15.6" x14ac:dyDescent="0.3">
      <c r="A31" s="152">
        <v>2019</v>
      </c>
      <c r="B31" s="178">
        <f t="shared" si="0"/>
        <v>0</v>
      </c>
      <c r="C31" s="182">
        <f t="shared" si="7"/>
        <v>0</v>
      </c>
      <c r="D31" s="183"/>
      <c r="E31" s="179">
        <f t="shared" si="6"/>
        <v>-5.3094007644673987E-5</v>
      </c>
      <c r="F31" s="183">
        <f t="shared" si="8"/>
        <v>9.4573539428210979E-7</v>
      </c>
      <c r="G31" s="247">
        <f t="shared" si="1"/>
        <v>0.97000000000000008</v>
      </c>
      <c r="H31" s="246"/>
      <c r="J31" s="182"/>
      <c r="K31" s="182"/>
      <c r="L31" s="182"/>
      <c r="M31" s="182"/>
      <c r="N31" s="163"/>
      <c r="O31" s="259">
        <f>IF(O$24="Y",E31*$O$16*'Emissions Factors'!B16,"")</f>
        <v>-1.3413640306106239E-3</v>
      </c>
      <c r="P31" s="259" t="str">
        <f>IF(P$24="Y",E31*$E$5*'Emissions Factors'!$R$36*$P$16/10^6,"")</f>
        <v/>
      </c>
      <c r="Q31" s="259" t="str">
        <f>IF($Q$24="Y",IFERROR($E31*SUM($E$3,$E$4,$E$5)*('Emissions Factors'!$T$143*$P$16)/10^6,""),"")</f>
        <v/>
      </c>
      <c r="R31" s="258"/>
      <c r="T31" s="180" t="str">
        <f t="shared" si="2"/>
        <v/>
      </c>
      <c r="U31" s="180" t="str">
        <f t="shared" si="3"/>
        <v/>
      </c>
      <c r="V31" s="177"/>
      <c r="X31" s="180">
        <f t="shared" si="4"/>
        <v>-1.3413640306106239E-3</v>
      </c>
      <c r="Y31" s="180">
        <f t="shared" si="5"/>
        <v>0</v>
      </c>
    </row>
    <row r="32" spans="1:26" ht="15.6" x14ac:dyDescent="0.3">
      <c r="A32" s="152">
        <v>2020</v>
      </c>
      <c r="B32" s="178">
        <f t="shared" si="0"/>
        <v>0</v>
      </c>
      <c r="C32" s="182">
        <f t="shared" si="7"/>
        <v>0</v>
      </c>
      <c r="D32" s="183"/>
      <c r="E32" s="179">
        <f t="shared" si="6"/>
        <v>-5.2264825226941983E-5</v>
      </c>
      <c r="F32" s="183">
        <f t="shared" si="8"/>
        <v>8.2918241773200386E-7</v>
      </c>
      <c r="G32" s="247">
        <f t="shared" si="1"/>
        <v>0.97000000000000008</v>
      </c>
      <c r="H32" s="246"/>
      <c r="J32" s="182"/>
      <c r="K32" s="182"/>
      <c r="L32" s="182"/>
      <c r="M32" s="182"/>
      <c r="N32" s="163"/>
      <c r="O32" s="259">
        <f>IF(O$24="Y",E32*$O$16*'Emissions Factors'!B17,"")</f>
        <v>-1.3121490332667345E-3</v>
      </c>
      <c r="P32" s="259" t="str">
        <f>IF(P$24="Y",E32*$E$5*'Emissions Factors'!$R$36*$P$16/10^6,"")</f>
        <v/>
      </c>
      <c r="Q32" s="259" t="str">
        <f>IF($Q$24="Y",IFERROR($E32*SUM($E$3,$E$4,$E$5)*('Emissions Factors'!$T$143*$P$16)/10^6,""),"")</f>
        <v/>
      </c>
      <c r="R32" s="258"/>
      <c r="T32" s="180">
        <f t="shared" si="2"/>
        <v>-1.3121490332667345E-3</v>
      </c>
      <c r="U32" s="180">
        <f t="shared" si="3"/>
        <v>0</v>
      </c>
      <c r="V32" s="177"/>
      <c r="X32" s="180">
        <f t="shared" si="4"/>
        <v>-1.3121490332667345E-3</v>
      </c>
      <c r="Y32" s="180">
        <f t="shared" si="5"/>
        <v>0</v>
      </c>
    </row>
    <row r="33" spans="1:25" ht="15.6" x14ac:dyDescent="0.3">
      <c r="A33" s="152">
        <v>2021</v>
      </c>
      <c r="B33" s="178">
        <f t="shared" si="0"/>
        <v>0</v>
      </c>
      <c r="C33" s="182">
        <f t="shared" si="7"/>
        <v>0</v>
      </c>
      <c r="D33" s="183"/>
      <c r="E33" s="179">
        <f t="shared" si="6"/>
        <v>1.578403361299973E-2</v>
      </c>
      <c r="F33" s="183">
        <f t="shared" si="8"/>
        <v>1.5836298438226672E-2</v>
      </c>
      <c r="G33" s="247">
        <f t="shared" si="1"/>
        <v>0.33046586372465153</v>
      </c>
      <c r="H33" s="246"/>
      <c r="J33" s="182"/>
      <c r="K33" s="182"/>
      <c r="L33" s="182"/>
      <c r="M33" s="182"/>
      <c r="N33" s="163"/>
      <c r="O33" s="259">
        <f>IF(O$24="Y",E33*$O$16*'Emissions Factors'!B18,"")</f>
        <v>0.39388978338228559</v>
      </c>
      <c r="P33" s="259" t="str">
        <f>IF(P$24="Y",E33*$E$5*'Emissions Factors'!$R$36*$P$16/10^6,"")</f>
        <v/>
      </c>
      <c r="Q33" s="259" t="str">
        <f>IF($Q$24="Y",IFERROR($E33*SUM($E$3,$E$4,$E$5)*('Emissions Factors'!$T$143*$P$16)/10^6,""),"")</f>
        <v/>
      </c>
      <c r="R33" s="258"/>
      <c r="T33" s="180">
        <f t="shared" si="2"/>
        <v>0.39388978338228559</v>
      </c>
      <c r="U33" s="180">
        <f t="shared" si="3"/>
        <v>0</v>
      </c>
      <c r="V33" s="177"/>
      <c r="X33" s="180">
        <f t="shared" si="4"/>
        <v>0.39388978338228559</v>
      </c>
      <c r="Y33" s="180">
        <f t="shared" si="5"/>
        <v>0</v>
      </c>
    </row>
    <row r="34" spans="1:25" ht="15.6" x14ac:dyDescent="0.3">
      <c r="A34" s="152">
        <v>2022</v>
      </c>
      <c r="B34" s="178">
        <f t="shared" si="0"/>
        <v>0</v>
      </c>
      <c r="C34" s="182">
        <f t="shared" si="7"/>
        <v>0</v>
      </c>
      <c r="D34" s="183"/>
      <c r="E34" s="179">
        <f t="shared" si="6"/>
        <v>3.6974859057678985E-2</v>
      </c>
      <c r="F34" s="183">
        <f t="shared" si="8"/>
        <v>2.1190825444679255E-2</v>
      </c>
      <c r="G34" s="247">
        <f t="shared" si="1"/>
        <v>0.34228419027236656</v>
      </c>
      <c r="H34" s="246"/>
      <c r="J34" s="182"/>
      <c r="K34" s="182"/>
      <c r="L34" s="182"/>
      <c r="M34" s="182"/>
      <c r="N34" s="163"/>
      <c r="O34" s="259">
        <f>IF(O$24="Y",E34*$O$16*'Emissions Factors'!B19,"")</f>
        <v>0.91721980266590242</v>
      </c>
      <c r="P34" s="259" t="str">
        <f>IF(P$24="Y",E34*$E$5*'Emissions Factors'!$R$36*$P$16/10^6,"")</f>
        <v/>
      </c>
      <c r="Q34" s="259" t="str">
        <f>IF($Q$24="Y",IFERROR($E34*SUM($E$3,$E$4,$E$5)*('Emissions Factors'!$T$143*$P$16)/10^6,""),"")</f>
        <v/>
      </c>
      <c r="R34" s="258"/>
      <c r="T34" s="180">
        <f t="shared" si="2"/>
        <v>0.91721980266590242</v>
      </c>
      <c r="U34" s="180">
        <f t="shared" si="3"/>
        <v>0</v>
      </c>
      <c r="V34" s="177"/>
      <c r="X34" s="180">
        <f t="shared" si="4"/>
        <v>0.91721980266590242</v>
      </c>
      <c r="Y34" s="180">
        <f t="shared" si="5"/>
        <v>0</v>
      </c>
    </row>
    <row r="35" spans="1:25" ht="15.6" x14ac:dyDescent="0.3">
      <c r="A35" s="152">
        <v>2023</v>
      </c>
      <c r="B35" s="178">
        <f t="shared" si="0"/>
        <v>0</v>
      </c>
      <c r="C35" s="182">
        <f t="shared" si="7"/>
        <v>0</v>
      </c>
      <c r="D35" s="183"/>
      <c r="E35" s="179">
        <f t="shared" si="6"/>
        <v>6.2763632134527167E-2</v>
      </c>
      <c r="F35" s="183">
        <f t="shared" si="8"/>
        <v>2.5788773076848182E-2</v>
      </c>
      <c r="G35" s="247">
        <f t="shared" si="1"/>
        <v>0.35037344429985495</v>
      </c>
      <c r="H35" s="246"/>
      <c r="J35" s="182"/>
      <c r="K35" s="182"/>
      <c r="L35" s="182"/>
      <c r="M35" s="182"/>
      <c r="N35" s="163"/>
      <c r="O35" s="259">
        <f>IF(O$24="Y",E35*$O$16*'Emissions Factors'!B20,"")</f>
        <v>1.5478627860962335</v>
      </c>
      <c r="P35" s="259" t="str">
        <f>IF(P$24="Y",E35*$E$5*'Emissions Factors'!$R$36*$P$16/10^6,"")</f>
        <v/>
      </c>
      <c r="Q35" s="259" t="str">
        <f>IF($Q$24="Y",IFERROR($E35*SUM($E$3,$E$4,$E$5)*('Emissions Factors'!$T$143*$P$16)/10^6,""),"")</f>
        <v/>
      </c>
      <c r="R35" s="258"/>
      <c r="T35" s="180">
        <f t="shared" si="2"/>
        <v>1.5478627860962335</v>
      </c>
      <c r="U35" s="180">
        <f t="shared" si="3"/>
        <v>0</v>
      </c>
      <c r="V35" s="177"/>
      <c r="X35" s="180">
        <f t="shared" si="4"/>
        <v>1.5478627860962335</v>
      </c>
      <c r="Y35" s="180">
        <f t="shared" si="5"/>
        <v>0</v>
      </c>
    </row>
    <row r="36" spans="1:25" ht="15.6" x14ac:dyDescent="0.3">
      <c r="A36" s="152">
        <v>2024</v>
      </c>
      <c r="B36" s="178">
        <f t="shared" si="0"/>
        <v>0</v>
      </c>
      <c r="C36" s="182">
        <f t="shared" si="7"/>
        <v>0</v>
      </c>
      <c r="D36" s="183"/>
      <c r="E36" s="179">
        <f t="shared" si="6"/>
        <v>9.2778402566407223E-2</v>
      </c>
      <c r="F36" s="183">
        <f t="shared" si="8"/>
        <v>3.0014770431880056E-2</v>
      </c>
      <c r="G36" s="247">
        <f t="shared" si="1"/>
        <v>0.35642776863232772</v>
      </c>
      <c r="H36" s="246"/>
      <c r="J36" s="182"/>
      <c r="K36" s="182"/>
      <c r="L36" s="182"/>
      <c r="M36" s="182"/>
      <c r="N36" s="163"/>
      <c r="O36" s="259">
        <f>IF(O$24="Y",E36*$O$16*'Emissions Factors'!B21,"")</f>
        <v>2.2749465047386863</v>
      </c>
      <c r="P36" s="259" t="str">
        <f>IF(P$24="Y",E36*$E$5*'Emissions Factors'!$R$36*$P$16/10^6,"")</f>
        <v/>
      </c>
      <c r="Q36" s="259" t="str">
        <f>IF($Q$24="Y",IFERROR($E36*SUM($E$3,$E$4,$E$5)*('Emissions Factors'!$T$143*$P$16)/10^6,""),"")</f>
        <v/>
      </c>
      <c r="R36" s="258"/>
      <c r="T36" s="180">
        <f t="shared" si="2"/>
        <v>2.2749465047386863</v>
      </c>
      <c r="U36" s="180">
        <f t="shared" si="3"/>
        <v>0</v>
      </c>
      <c r="V36" s="177"/>
      <c r="X36" s="180">
        <f t="shared" si="4"/>
        <v>2.2749465047386863</v>
      </c>
      <c r="Y36" s="180">
        <f t="shared" si="5"/>
        <v>0</v>
      </c>
    </row>
    <row r="37" spans="1:25" ht="15.6" x14ac:dyDescent="0.3">
      <c r="A37" s="152">
        <v>2025</v>
      </c>
      <c r="B37" s="178">
        <f t="shared" si="0"/>
        <v>0</v>
      </c>
      <c r="C37" s="182">
        <f t="shared" si="7"/>
        <v>0</v>
      </c>
      <c r="D37" s="183"/>
      <c r="E37" s="179">
        <f t="shared" si="6"/>
        <v>0.12675869264523865</v>
      </c>
      <c r="F37" s="183">
        <f t="shared" si="8"/>
        <v>3.3980290078831424E-2</v>
      </c>
      <c r="G37" s="247">
        <f t="shared" si="1"/>
        <v>0.36120993751361291</v>
      </c>
      <c r="H37" s="246"/>
      <c r="J37" s="182"/>
      <c r="K37" s="182"/>
      <c r="L37" s="182"/>
      <c r="M37" s="182"/>
      <c r="N37" s="163"/>
      <c r="O37" s="259">
        <f>IF(O$24="Y",E37*$O$16*'Emissions Factors'!B22,"")</f>
        <v>3.0923406527640669</v>
      </c>
      <c r="P37" s="259" t="str">
        <f>IF(P$24="Y",E37*$E$5*'Emissions Factors'!$R$36*$P$16/10^6,"")</f>
        <v/>
      </c>
      <c r="Q37" s="259" t="str">
        <f>IF($Q$24="Y",IFERROR($E37*SUM($E$3,$E$4,$E$5)*('Emissions Factors'!$T$143*$P$16)/10^6,""),"")</f>
        <v/>
      </c>
      <c r="R37" s="258"/>
      <c r="T37" s="180">
        <f t="shared" si="2"/>
        <v>3.0923406527640669</v>
      </c>
      <c r="U37" s="180">
        <f t="shared" si="3"/>
        <v>0</v>
      </c>
      <c r="V37" s="177"/>
      <c r="X37" s="180">
        <f t="shared" si="4"/>
        <v>3.0923406527640669</v>
      </c>
      <c r="Y37" s="180">
        <f t="shared" si="5"/>
        <v>0</v>
      </c>
    </row>
    <row r="38" spans="1:25" ht="15.6" x14ac:dyDescent="0.3">
      <c r="A38" s="152">
        <v>2026</v>
      </c>
      <c r="B38" s="178">
        <f t="shared" si="0"/>
        <v>0</v>
      </c>
      <c r="C38" s="182">
        <f t="shared" si="7"/>
        <v>0</v>
      </c>
      <c r="D38" s="183"/>
      <c r="E38" s="179">
        <f t="shared" si="6"/>
        <v>0.16444749089317495</v>
      </c>
      <c r="F38" s="183">
        <f t="shared" si="8"/>
        <v>3.7688798247936306E-2</v>
      </c>
      <c r="G38" s="247">
        <f t="shared" si="1"/>
        <v>0.36513097567029662</v>
      </c>
      <c r="H38" s="246"/>
      <c r="J38" s="182"/>
      <c r="K38" s="182"/>
      <c r="L38" s="182"/>
      <c r="M38" s="182"/>
      <c r="N38" s="163"/>
      <c r="O38" s="259">
        <f>IF(O$24="Y",E38*$O$16*'Emissions Factors'!B23,"")</f>
        <v>3.9871276958186566</v>
      </c>
      <c r="P38" s="259" t="str">
        <f>IF(P$24="Y",E38*$E$5*'Emissions Factors'!$R$36*$P$16/10^6,"")</f>
        <v/>
      </c>
      <c r="Q38" s="259" t="str">
        <f>IF($Q$24="Y",IFERROR($E38*SUM($E$3,$E$4,$E$5)*('Emissions Factors'!$T$143*$P$16)/10^6,""),"")</f>
        <v/>
      </c>
      <c r="R38" s="258"/>
      <c r="T38" s="180">
        <f t="shared" si="2"/>
        <v>3.9871276958186566</v>
      </c>
      <c r="U38" s="180">
        <f t="shared" si="3"/>
        <v>0</v>
      </c>
      <c r="V38" s="177"/>
      <c r="X38" s="180">
        <f t="shared" si="4"/>
        <v>3.9871276958186566</v>
      </c>
      <c r="Y38" s="180">
        <f t="shared" si="5"/>
        <v>0</v>
      </c>
    </row>
    <row r="39" spans="1:25" ht="15.6" x14ac:dyDescent="0.3">
      <c r="A39" s="152">
        <v>2027</v>
      </c>
      <c r="B39" s="178">
        <f t="shared" si="0"/>
        <v>0</v>
      </c>
      <c r="C39" s="182">
        <f t="shared" si="7"/>
        <v>0</v>
      </c>
      <c r="D39" s="183"/>
      <c r="E39" s="179">
        <f t="shared" si="6"/>
        <v>0.20561603626478681</v>
      </c>
      <c r="F39" s="183">
        <f t="shared" si="8"/>
        <v>4.1168545371611853E-2</v>
      </c>
      <c r="G39" s="247">
        <f t="shared" si="1"/>
        <v>0.36845195767419947</v>
      </c>
      <c r="H39" s="246"/>
      <c r="J39" s="182"/>
      <c r="K39" s="182"/>
      <c r="L39" s="182"/>
      <c r="M39" s="182"/>
      <c r="N39" s="163"/>
      <c r="O39" s="259">
        <f>IF(O$24="Y",E39*$O$16*'Emissions Factors'!B24,"")</f>
        <v>4.9578098039856799</v>
      </c>
      <c r="P39" s="259" t="str">
        <f>IF(P$24="Y",E39*$E$5*'Emissions Factors'!$R$36*$P$16/10^6,"")</f>
        <v/>
      </c>
      <c r="Q39" s="259" t="str">
        <f>IF($Q$24="Y",IFERROR($E39*SUM($E$3,$E$4,$E$5)*('Emissions Factors'!$T$143*$P$16)/10^6,""),"")</f>
        <v/>
      </c>
      <c r="R39" s="258"/>
      <c r="T39" s="180">
        <f t="shared" si="2"/>
        <v>4.9578098039856799</v>
      </c>
      <c r="U39" s="180">
        <f t="shared" si="3"/>
        <v>0</v>
      </c>
      <c r="V39" s="177"/>
      <c r="X39" s="180">
        <f t="shared" si="4"/>
        <v>4.9578098039856799</v>
      </c>
      <c r="Y39" s="180">
        <f t="shared" si="5"/>
        <v>0</v>
      </c>
    </row>
    <row r="40" spans="1:25" ht="15.6" x14ac:dyDescent="0.3">
      <c r="A40" s="152">
        <v>2028</v>
      </c>
      <c r="B40" s="178">
        <f t="shared" si="0"/>
        <v>0</v>
      </c>
      <c r="C40" s="182">
        <f t="shared" si="7"/>
        <v>0</v>
      </c>
      <c r="D40" s="183"/>
      <c r="E40" s="179">
        <f t="shared" si="6"/>
        <v>0.25023061743858244</v>
      </c>
      <c r="F40" s="183">
        <f t="shared" si="8"/>
        <v>4.4614581173795631E-2</v>
      </c>
      <c r="G40" s="247">
        <f t="shared" si="1"/>
        <v>0.37138501529552226</v>
      </c>
      <c r="H40" s="246"/>
      <c r="J40" s="182"/>
      <c r="K40" s="182"/>
      <c r="L40" s="182"/>
      <c r="M40" s="182"/>
      <c r="N40" s="163"/>
      <c r="O40" s="259">
        <f>IF(O$24="Y",E40*$O$16*'Emissions Factors'!B25,"")</f>
        <v>6.0006497841639002</v>
      </c>
      <c r="P40" s="259" t="str">
        <f>IF(P$24="Y",E40*$E$5*'Emissions Factors'!$R$36*$P$16/10^6,"")</f>
        <v/>
      </c>
      <c r="Q40" s="259" t="str">
        <f>IF($Q$24="Y",IFERROR($E40*SUM($E$3,$E$4,$E$5)*('Emissions Factors'!$T$143*$P$16)/10^6,""),"")</f>
        <v/>
      </c>
      <c r="R40" s="258"/>
      <c r="T40" s="180">
        <f t="shared" si="2"/>
        <v>6.0006497841639002</v>
      </c>
      <c r="U40" s="180">
        <f t="shared" si="3"/>
        <v>0</v>
      </c>
      <c r="V40" s="177"/>
      <c r="X40" s="180">
        <f t="shared" si="4"/>
        <v>6.0006497841639002</v>
      </c>
      <c r="Y40" s="180">
        <f t="shared" si="5"/>
        <v>0</v>
      </c>
    </row>
    <row r="41" spans="1:25" ht="15.6" x14ac:dyDescent="0.3">
      <c r="A41" s="152">
        <v>2029</v>
      </c>
      <c r="B41" s="178">
        <f t="shared" si="0"/>
        <v>0</v>
      </c>
      <c r="C41" s="182">
        <f t="shared" si="7"/>
        <v>0</v>
      </c>
      <c r="D41" s="183"/>
      <c r="E41" s="179">
        <f t="shared" si="6"/>
        <v>0.29832595564736469</v>
      </c>
      <c r="F41" s="183">
        <f t="shared" si="8"/>
        <v>4.8095338208782257E-2</v>
      </c>
      <c r="G41" s="247">
        <f t="shared" si="1"/>
        <v>0.37407285905162019</v>
      </c>
      <c r="H41" s="246"/>
      <c r="J41" s="182"/>
      <c r="K41" s="182"/>
      <c r="L41" s="182"/>
      <c r="M41" s="182"/>
      <c r="N41" s="163"/>
      <c r="O41" s="259">
        <f>IF(O$24="Y",E41*$O$16*'Emissions Factors'!B26,"")</f>
        <v>7.115327380897547</v>
      </c>
      <c r="P41" s="259" t="str">
        <f>IF(P$24="Y",E41*$E$5*'Emissions Factors'!$R$36*$P$16/10^6,"")</f>
        <v/>
      </c>
      <c r="Q41" s="259" t="str">
        <f>IF($Q$24="Y",IFERROR($E41*SUM($E$3,$E$4,$E$5)*('Emissions Factors'!$T$143*$P$16)/10^6,""),"")</f>
        <v/>
      </c>
      <c r="R41" s="258"/>
      <c r="T41" s="180">
        <f t="shared" si="2"/>
        <v>7.115327380897547</v>
      </c>
      <c r="U41" s="180">
        <f t="shared" si="3"/>
        <v>0</v>
      </c>
      <c r="V41" s="177"/>
      <c r="X41" s="180">
        <f t="shared" si="4"/>
        <v>7.115327380897547</v>
      </c>
      <c r="Y41" s="180">
        <f t="shared" si="5"/>
        <v>0</v>
      </c>
    </row>
    <row r="42" spans="1:25" ht="15.6" x14ac:dyDescent="0.3">
      <c r="A42" s="152">
        <v>2030</v>
      </c>
      <c r="B42" s="178">
        <f t="shared" si="0"/>
        <v>0</v>
      </c>
      <c r="C42" s="182">
        <f t="shared" si="7"/>
        <v>0</v>
      </c>
      <c r="D42" s="183"/>
      <c r="E42" s="179">
        <f t="shared" si="6"/>
        <v>0.34994654280703769</v>
      </c>
      <c r="F42" s="183">
        <f t="shared" si="8"/>
        <v>5.1620587159672993E-2</v>
      </c>
      <c r="G42" s="247">
        <f t="shared" si="1"/>
        <v>0.3765975685523138</v>
      </c>
      <c r="H42" s="246"/>
      <c r="J42" s="182"/>
      <c r="K42" s="182"/>
      <c r="L42" s="182"/>
      <c r="M42" s="182"/>
      <c r="N42" s="163"/>
      <c r="O42" s="259">
        <f>IF(O$24="Y",E42*$O$16*'Emissions Factors'!B27,"")</f>
        <v>8.3036710508577425</v>
      </c>
      <c r="P42" s="259" t="str">
        <f>IF(P$24="Y",E42*$E$5*'Emissions Factors'!$R$36*$P$16/10^6,"")</f>
        <v/>
      </c>
      <c r="Q42" s="259" t="str">
        <f>IF($Q$24="Y",IFERROR($E42*SUM($E$3,$E$4,$E$5)*('Emissions Factors'!$T$143*$P$16)/10^6,""),"")</f>
        <v/>
      </c>
      <c r="R42" s="258"/>
      <c r="T42" s="180">
        <f t="shared" si="2"/>
        <v>8.3036710508577425</v>
      </c>
      <c r="U42" s="180">
        <f t="shared" si="3"/>
        <v>0</v>
      </c>
      <c r="V42" s="177"/>
      <c r="X42" s="180">
        <f t="shared" si="4"/>
        <v>8.3036710508577425</v>
      </c>
      <c r="Y42" s="180">
        <f t="shared" si="5"/>
        <v>0</v>
      </c>
    </row>
    <row r="43" spans="1:25" ht="15.6" x14ac:dyDescent="0.3">
      <c r="A43" s="152">
        <v>2031</v>
      </c>
      <c r="B43" s="178">
        <f t="shared" si="0"/>
        <v>0</v>
      </c>
      <c r="C43" s="182">
        <f t="shared" si="7"/>
        <v>0</v>
      </c>
      <c r="D43" s="183"/>
      <c r="E43" s="179">
        <f t="shared" si="6"/>
        <v>0.4050297870978673</v>
      </c>
      <c r="F43" s="183">
        <f t="shared" si="8"/>
        <v>5.5083244290829614E-2</v>
      </c>
      <c r="G43" s="247">
        <f t="shared" si="1"/>
        <v>0.37897797554543811</v>
      </c>
      <c r="H43" s="246"/>
      <c r="J43" s="182"/>
      <c r="K43" s="182"/>
      <c r="L43" s="182"/>
      <c r="M43" s="182"/>
      <c r="N43" s="163"/>
      <c r="O43" s="259">
        <f>IF(O$24="Y",E43*$O$16*'Emissions Factors'!B28,"")</f>
        <v>9.5572093607501127</v>
      </c>
      <c r="P43" s="259" t="str">
        <f>IF(P$24="Y",E43*$E$5*'Emissions Factors'!$R$36*$P$16/10^6,"")</f>
        <v/>
      </c>
      <c r="Q43" s="259" t="str">
        <f>IF($Q$24="Y",IFERROR($E43*SUM($E$3,$E$4,$E$5)*('Emissions Factors'!$T$143*$P$16)/10^6,""),"")</f>
        <v/>
      </c>
      <c r="R43" s="258"/>
      <c r="T43" s="180">
        <f t="shared" si="2"/>
        <v>9.5572093607501127</v>
      </c>
      <c r="U43" s="180">
        <f t="shared" si="3"/>
        <v>0</v>
      </c>
      <c r="V43" s="177"/>
      <c r="X43" s="180">
        <f t="shared" si="4"/>
        <v>9.5572093607501127</v>
      </c>
      <c r="Y43" s="180">
        <f t="shared" si="5"/>
        <v>0</v>
      </c>
    </row>
    <row r="44" spans="1:25" ht="15.6" x14ac:dyDescent="0.3">
      <c r="A44" s="152">
        <v>2032</v>
      </c>
      <c r="B44" s="178">
        <f t="shared" si="0"/>
        <v>0</v>
      </c>
      <c r="C44" s="182">
        <f t="shared" si="7"/>
        <v>0</v>
      </c>
      <c r="D44" s="183"/>
      <c r="E44" s="179">
        <f t="shared" si="6"/>
        <v>0.46322141628176117</v>
      </c>
      <c r="F44" s="183">
        <f t="shared" si="8"/>
        <v>5.8191629183893867E-2</v>
      </c>
      <c r="G44" s="247">
        <f t="shared" si="1"/>
        <v>0.38119816453033029</v>
      </c>
      <c r="H44" s="246"/>
      <c r="J44" s="182"/>
      <c r="K44" s="182"/>
      <c r="L44" s="182"/>
      <c r="M44" s="182"/>
      <c r="N44" s="163"/>
      <c r="O44" s="259">
        <f>IF(O$24="Y",E44*$O$16*'Emissions Factors'!B29,"")</f>
        <v>10.872261875254836</v>
      </c>
      <c r="P44" s="259" t="str">
        <f>IF(P$24="Y",E44*$E$5*'Emissions Factors'!$R$36*$P$16/10^6,"")</f>
        <v/>
      </c>
      <c r="Q44" s="259" t="str">
        <f>IF($Q$24="Y",IFERROR($E44*SUM($E$3,$E$4,$E$5)*('Emissions Factors'!$T$143*$P$16)/10^6,""),"")</f>
        <v/>
      </c>
      <c r="R44" s="258"/>
      <c r="T44" s="180">
        <f t="shared" si="2"/>
        <v>10.872261875254836</v>
      </c>
      <c r="U44" s="180">
        <f t="shared" si="3"/>
        <v>0</v>
      </c>
      <c r="V44" s="177"/>
      <c r="X44" s="180">
        <f t="shared" si="4"/>
        <v>10.872261875254836</v>
      </c>
      <c r="Y44" s="180">
        <f t="shared" si="5"/>
        <v>0</v>
      </c>
    </row>
    <row r="45" spans="1:25" ht="15.6" x14ac:dyDescent="0.3">
      <c r="A45" s="152">
        <v>2033</v>
      </c>
      <c r="B45" s="178">
        <f t="shared" si="0"/>
        <v>0</v>
      </c>
      <c r="C45" s="182">
        <f t="shared" si="7"/>
        <v>0</v>
      </c>
      <c r="D45" s="183"/>
      <c r="E45" s="179">
        <f t="shared" si="6"/>
        <v>0.52371686634974612</v>
      </c>
      <c r="F45" s="183">
        <f t="shared" si="8"/>
        <v>6.0495450067984957E-2</v>
      </c>
      <c r="G45" s="247">
        <f t="shared" si="1"/>
        <v>0.38322293005882796</v>
      </c>
      <c r="H45" s="246"/>
      <c r="J45" s="182"/>
      <c r="K45" s="182"/>
      <c r="L45" s="182"/>
      <c r="M45" s="182"/>
      <c r="N45" s="163"/>
      <c r="O45" s="259">
        <f>IF(O$24="Y",E45*$O$16*'Emissions Factors'!B30,"")</f>
        <v>12.227051198799311</v>
      </c>
      <c r="P45" s="259" t="str">
        <f>IF(P$24="Y",E45*$E$5*'Emissions Factors'!$R$36*$P$16/10^6,"")</f>
        <v/>
      </c>
      <c r="Q45" s="259" t="str">
        <f>IF($Q$24="Y",IFERROR($E45*SUM($E$3,$E$4,$E$5)*('Emissions Factors'!$T$143*$P$16)/10^6,""),"")</f>
        <v/>
      </c>
      <c r="R45" s="258"/>
      <c r="T45" s="180">
        <f t="shared" si="2"/>
        <v>12.227051198799311</v>
      </c>
      <c r="U45" s="180">
        <f t="shared" si="3"/>
        <v>0</v>
      </c>
      <c r="V45" s="177"/>
      <c r="X45" s="180">
        <f t="shared" si="4"/>
        <v>12.227051198799311</v>
      </c>
      <c r="Y45" s="180">
        <f t="shared" si="5"/>
        <v>0</v>
      </c>
    </row>
    <row r="46" spans="1:25" ht="15.6" x14ac:dyDescent="0.3">
      <c r="A46" s="152">
        <v>2034</v>
      </c>
      <c r="B46" s="178">
        <f t="shared" si="0"/>
        <v>0</v>
      </c>
      <c r="C46" s="182">
        <f t="shared" si="7"/>
        <v>0</v>
      </c>
      <c r="D46" s="183"/>
      <c r="E46" s="179">
        <f t="shared" si="6"/>
        <v>0.58549182166333102</v>
      </c>
      <c r="F46" s="183">
        <f t="shared" si="8"/>
        <v>6.1774955313584901E-2</v>
      </c>
      <c r="G46" s="247">
        <f t="shared" si="1"/>
        <v>0.38503386096234732</v>
      </c>
      <c r="H46" s="246"/>
      <c r="J46" s="182"/>
      <c r="K46" s="182"/>
      <c r="L46" s="182"/>
      <c r="M46" s="182"/>
      <c r="N46" s="163"/>
      <c r="O46" s="259">
        <f>IF(O$24="Y",E46*$O$16*'Emissions Factors'!B31,"")</f>
        <v>13.597007892808982</v>
      </c>
      <c r="P46" s="259" t="str">
        <f>IF(P$24="Y",E46*$E$5*'Emissions Factors'!$R$36*$P$16/10^6,"")</f>
        <v/>
      </c>
      <c r="Q46" s="259" t="str">
        <f>IF($Q$24="Y",IFERROR($E46*SUM($E$3,$E$4,$E$5)*('Emissions Factors'!$T$143*$P$16)/10^6,""),"")</f>
        <v/>
      </c>
      <c r="R46" s="258"/>
      <c r="T46" s="180">
        <f t="shared" si="2"/>
        <v>13.597007892808982</v>
      </c>
      <c r="U46" s="180">
        <f t="shared" si="3"/>
        <v>0</v>
      </c>
      <c r="V46" s="177"/>
      <c r="X46" s="180">
        <f t="shared" si="4"/>
        <v>13.597007892808982</v>
      </c>
      <c r="Y46" s="180">
        <f t="shared" si="5"/>
        <v>0</v>
      </c>
    </row>
    <row r="47" spans="1:25" ht="15.6" x14ac:dyDescent="0.3">
      <c r="A47" s="152">
        <v>2035</v>
      </c>
      <c r="B47" s="178">
        <f t="shared" si="0"/>
        <v>0</v>
      </c>
      <c r="C47" s="182">
        <f t="shared" si="7"/>
        <v>0</v>
      </c>
      <c r="D47" s="183"/>
      <c r="E47" s="179">
        <f t="shared" si="6"/>
        <v>0.64782081932156477</v>
      </c>
      <c r="F47" s="183">
        <f t="shared" si="8"/>
        <v>6.2328997658233742E-2</v>
      </c>
      <c r="G47" s="247">
        <f t="shared" si="1"/>
        <v>0.38665887186206649</v>
      </c>
      <c r="H47" s="246"/>
      <c r="J47" s="182"/>
      <c r="K47" s="182"/>
      <c r="L47" s="182"/>
      <c r="M47" s="182"/>
      <c r="N47" s="163"/>
      <c r="O47" s="259">
        <f>IF(O$24="Y",E47*$O$16*'Emissions Factors'!B32,"")</f>
        <v>14.962751085329337</v>
      </c>
      <c r="P47" s="259" t="str">
        <f>IF(P$24="Y",E47*$E$5*'Emissions Factors'!$R$36*$P$16/10^6,"")</f>
        <v/>
      </c>
      <c r="Q47" s="259" t="str">
        <f>IF($Q$24="Y",IFERROR($E47*SUM($E$3,$E$4,$E$5)*('Emissions Factors'!$T$143*$P$16)/10^6,""),"")</f>
        <v/>
      </c>
      <c r="R47" s="258"/>
      <c r="T47" s="180">
        <f t="shared" si="2"/>
        <v>14.962751085329337</v>
      </c>
      <c r="U47" s="180">
        <f t="shared" si="3"/>
        <v>0</v>
      </c>
      <c r="V47" s="177"/>
      <c r="X47" s="180">
        <f t="shared" si="4"/>
        <v>14.962751085329337</v>
      </c>
      <c r="Y47" s="180">
        <f t="shared" si="5"/>
        <v>0</v>
      </c>
    </row>
    <row r="48" spans="1:25" ht="15.6" x14ac:dyDescent="0.3">
      <c r="A48" s="152">
        <v>2036</v>
      </c>
      <c r="B48" s="178">
        <f t="shared" si="0"/>
        <v>0</v>
      </c>
      <c r="C48" s="182">
        <f t="shared" si="7"/>
        <v>0</v>
      </c>
      <c r="D48" s="183"/>
      <c r="E48" s="179">
        <f t="shared" si="6"/>
        <v>0.71043382071337502</v>
      </c>
      <c r="F48" s="183">
        <f t="shared" si="8"/>
        <v>6.2613001391810252E-2</v>
      </c>
      <c r="G48" s="247">
        <f t="shared" si="1"/>
        <v>0.3881598538417676</v>
      </c>
      <c r="H48" s="246"/>
      <c r="J48" s="182"/>
      <c r="K48" s="182"/>
      <c r="L48" s="182"/>
      <c r="M48" s="182"/>
      <c r="N48" s="163"/>
      <c r="O48" s="259">
        <f>IF(O$24="Y",E48*$O$16*'Emissions Factors'!B33,"")</f>
        <v>16.323930792853453</v>
      </c>
      <c r="P48" s="259" t="str">
        <f>IF(P$24="Y",E48*$E$5*'Emissions Factors'!$R$36*$P$16/10^6,"")</f>
        <v/>
      </c>
      <c r="Q48" s="259" t="str">
        <f>IF($Q$24="Y",IFERROR($E48*SUM($E$3,$E$4,$E$5)*('Emissions Factors'!$T$143*$P$16)/10^6,""),"")</f>
        <v/>
      </c>
      <c r="R48" s="258"/>
      <c r="T48" s="180">
        <f t="shared" si="2"/>
        <v>16.323930792853453</v>
      </c>
      <c r="U48" s="180">
        <f t="shared" si="3"/>
        <v>0</v>
      </c>
      <c r="V48" s="177"/>
      <c r="X48" s="180">
        <f t="shared" si="4"/>
        <v>16.323930792853453</v>
      </c>
      <c r="Y48" s="180">
        <f t="shared" si="5"/>
        <v>0</v>
      </c>
    </row>
    <row r="49" spans="1:25" ht="15.6" x14ac:dyDescent="0.3">
      <c r="A49" s="152">
        <v>2037</v>
      </c>
      <c r="B49" s="178">
        <f t="shared" si="0"/>
        <v>0</v>
      </c>
      <c r="C49" s="182">
        <f t="shared" si="7"/>
        <v>0</v>
      </c>
      <c r="D49" s="183"/>
      <c r="E49" s="179">
        <f t="shared" si="6"/>
        <v>0.77353233597191584</v>
      </c>
      <c r="F49" s="183">
        <f t="shared" si="8"/>
        <v>6.3098515258540822E-2</v>
      </c>
      <c r="G49" s="247">
        <f t="shared" si="1"/>
        <v>0.38960365668884933</v>
      </c>
      <c r="H49" s="246"/>
      <c r="J49" s="182"/>
      <c r="K49" s="182"/>
      <c r="L49" s="182"/>
      <c r="M49" s="182"/>
      <c r="N49" s="163"/>
      <c r="O49" s="259">
        <f>IF(O$24="Y",E49*$O$16*'Emissions Factors'!B34,"")</f>
        <v>17.679000349794904</v>
      </c>
      <c r="P49" s="259" t="str">
        <f>IF(P$24="Y",E49*$E$5*'Emissions Factors'!$R$36*$P$16/10^6,"")</f>
        <v/>
      </c>
      <c r="Q49" s="259" t="str">
        <f>IF($Q$24="Y",IFERROR($E49*SUM($E$3,$E$4,$E$5)*('Emissions Factors'!$T$143*$P$16)/10^6,""),"")</f>
        <v/>
      </c>
      <c r="R49" s="258"/>
      <c r="T49" s="180">
        <f t="shared" si="2"/>
        <v>17.679000349794904</v>
      </c>
      <c r="U49" s="180">
        <f t="shared" si="3"/>
        <v>0</v>
      </c>
      <c r="V49" s="177"/>
      <c r="X49" s="180">
        <f t="shared" si="4"/>
        <v>17.679000349794904</v>
      </c>
      <c r="Y49" s="180">
        <f t="shared" si="5"/>
        <v>0</v>
      </c>
    </row>
    <row r="50" spans="1:25" ht="15.6" x14ac:dyDescent="0.3">
      <c r="A50" s="152">
        <v>2038</v>
      </c>
      <c r="B50" s="178">
        <f t="shared" si="0"/>
        <v>0</v>
      </c>
      <c r="C50" s="182">
        <f t="shared" si="7"/>
        <v>0</v>
      </c>
      <c r="D50" s="183"/>
      <c r="E50" s="179">
        <f t="shared" si="6"/>
        <v>0.83747097993682029</v>
      </c>
      <c r="F50" s="183">
        <f t="shared" si="8"/>
        <v>6.3938643964904451E-2</v>
      </c>
      <c r="G50" s="247">
        <f t="shared" si="1"/>
        <v>0.39103300773421346</v>
      </c>
      <c r="H50" s="246"/>
      <c r="J50" s="182"/>
      <c r="K50" s="182"/>
      <c r="L50" s="182"/>
      <c r="M50" s="182"/>
      <c r="N50" s="163"/>
      <c r="O50" s="259">
        <f>IF(O$24="Y",E50*$O$16*'Emissions Factors'!B35,"")</f>
        <v>19.037805646824477</v>
      </c>
      <c r="P50" s="259" t="str">
        <f>IF(P$24="Y",E50*$E$5*'Emissions Factors'!$R$36*$P$16/10^6,"")</f>
        <v/>
      </c>
      <c r="Q50" s="259" t="str">
        <f>IF($Q$24="Y",IFERROR($E50*SUM($E$3,$E$4,$E$5)*('Emissions Factors'!$T$143*$P$16)/10^6,""),"")</f>
        <v/>
      </c>
      <c r="R50" s="258"/>
      <c r="T50" s="180">
        <f t="shared" si="2"/>
        <v>19.037805646824477</v>
      </c>
      <c r="U50" s="180">
        <f t="shared" si="3"/>
        <v>0</v>
      </c>
      <c r="V50" s="177"/>
      <c r="X50" s="180">
        <f t="shared" si="4"/>
        <v>19.037805646824477</v>
      </c>
      <c r="Y50" s="180">
        <f t="shared" si="5"/>
        <v>0</v>
      </c>
    </row>
    <row r="51" spans="1:25" ht="15.6" x14ac:dyDescent="0.3">
      <c r="A51" s="152">
        <v>2039</v>
      </c>
      <c r="B51" s="178">
        <f t="shared" si="0"/>
        <v>0</v>
      </c>
      <c r="C51" s="182">
        <f t="shared" si="7"/>
        <v>0</v>
      </c>
      <c r="D51" s="183"/>
      <c r="E51" s="179">
        <f t="shared" si="6"/>
        <v>0.90282769676845964</v>
      </c>
      <c r="F51" s="183">
        <f t="shared" si="8"/>
        <v>6.535671683163935E-2</v>
      </c>
      <c r="G51" s="247">
        <f t="shared" si="1"/>
        <v>0.39248026954510634</v>
      </c>
      <c r="H51" s="246"/>
      <c r="J51" s="182"/>
      <c r="K51" s="182"/>
      <c r="L51" s="182"/>
      <c r="M51" s="182"/>
      <c r="N51" s="163"/>
      <c r="O51" s="259">
        <f>IF(O$24="Y",E51*$O$16*'Emissions Factors'!B36,"")</f>
        <v>20.412473789452573</v>
      </c>
      <c r="P51" s="259" t="str">
        <f>IF(P$24="Y",E51*$E$5*'Emissions Factors'!$R$36*$P$16/10^6,"")</f>
        <v/>
      </c>
      <c r="Q51" s="259" t="str">
        <f>IF($Q$24="Y",IFERROR($E51*SUM($E$3,$E$4,$E$5)*('Emissions Factors'!$T$143*$P$16)/10^6,""),"")</f>
        <v/>
      </c>
      <c r="R51" s="258"/>
      <c r="T51" s="180">
        <f t="shared" si="2"/>
        <v>20.412473789452573</v>
      </c>
      <c r="U51" s="180">
        <f t="shared" si="3"/>
        <v>0</v>
      </c>
      <c r="V51" s="177"/>
      <c r="X51" s="180">
        <f t="shared" si="4"/>
        <v>20.412473789452573</v>
      </c>
      <c r="Y51" s="180">
        <f t="shared" si="5"/>
        <v>0</v>
      </c>
    </row>
    <row r="52" spans="1:25" ht="15.6" x14ac:dyDescent="0.3">
      <c r="A52" s="152">
        <v>2040</v>
      </c>
      <c r="B52" s="178">
        <f t="shared" si="0"/>
        <v>0</v>
      </c>
      <c r="C52" s="182">
        <f t="shared" si="7"/>
        <v>0</v>
      </c>
      <c r="D52" s="183"/>
      <c r="E52" s="179">
        <f t="shared" si="6"/>
        <v>0.97009148732999839</v>
      </c>
      <c r="F52" s="183">
        <f t="shared" si="8"/>
        <v>6.726379056153875E-2</v>
      </c>
      <c r="G52" s="247">
        <f t="shared" si="1"/>
        <v>0.3939655207778105</v>
      </c>
      <c r="H52" s="246"/>
      <c r="J52" s="182"/>
      <c r="K52" s="182"/>
      <c r="L52" s="182"/>
      <c r="M52" s="182"/>
      <c r="N52" s="163"/>
      <c r="O52" s="259">
        <f>IF(O$24="Y",E52*$O$16*'Emissions Factors'!B37,"")</f>
        <v>21.805199392829394</v>
      </c>
      <c r="P52" s="259" t="str">
        <f>IF(P$24="Y",E52*$E$5*'Emissions Factors'!$R$36*$P$16/10^6,"")</f>
        <v/>
      </c>
      <c r="Q52" s="259" t="str">
        <f>IF($Q$24="Y",IFERROR($E52*SUM($E$3,$E$4,$E$5)*('Emissions Factors'!$T$143*$P$16)/10^6,""),"")</f>
        <v/>
      </c>
      <c r="R52" s="258"/>
      <c r="T52" s="180">
        <f t="shared" si="2"/>
        <v>21.805199392829394</v>
      </c>
      <c r="U52" s="180">
        <f t="shared" si="3"/>
        <v>0</v>
      </c>
      <c r="V52" s="177"/>
      <c r="X52" s="180">
        <f t="shared" si="4"/>
        <v>21.805199392829394</v>
      </c>
      <c r="Y52" s="180">
        <f t="shared" si="5"/>
        <v>0</v>
      </c>
    </row>
    <row r="53" spans="1:25" ht="15.6" x14ac:dyDescent="0.3">
      <c r="A53" s="152">
        <v>2041</v>
      </c>
      <c r="B53" s="178">
        <f t="shared" si="0"/>
        <v>0</v>
      </c>
      <c r="C53" s="182">
        <f t="shared" si="7"/>
        <v>0</v>
      </c>
      <c r="D53" s="183"/>
      <c r="E53" s="179">
        <f t="shared" si="6"/>
        <v>1.0393866330856787</v>
      </c>
      <c r="F53" s="183">
        <f t="shared" si="8"/>
        <v>6.9295145755680299E-2</v>
      </c>
      <c r="G53" s="247">
        <f t="shared" si="1"/>
        <v>0.39548973747849631</v>
      </c>
      <c r="H53" s="246"/>
      <c r="J53" s="182"/>
      <c r="K53" s="182"/>
      <c r="L53" s="182"/>
      <c r="M53" s="182"/>
      <c r="N53" s="163"/>
      <c r="O53" s="259">
        <f>IF(O$24="Y",E53*$O$16*'Emissions Factors'!B38,"")</f>
        <v>23.24417247775342</v>
      </c>
      <c r="P53" s="259" t="str">
        <f>IF(P$24="Y",E53*$E$5*'Emissions Factors'!$R$36*$P$16/10^6,"")</f>
        <v/>
      </c>
      <c r="Q53" s="259" t="str">
        <f>IF($Q$24="Y",IFERROR($E53*SUM($E$3,$E$4,$E$5)*('Emissions Factors'!$T$143*$P$16)/10^6,""),"")</f>
        <v/>
      </c>
      <c r="R53" s="258"/>
      <c r="T53" s="180">
        <f t="shared" si="2"/>
        <v>23.24417247775342</v>
      </c>
      <c r="U53" s="180">
        <f t="shared" si="3"/>
        <v>0</v>
      </c>
      <c r="V53" s="177"/>
      <c r="X53" s="180">
        <f t="shared" si="4"/>
        <v>23.24417247775342</v>
      </c>
      <c r="Y53" s="180">
        <f t="shared" si="5"/>
        <v>0</v>
      </c>
    </row>
    <row r="54" spans="1:25" ht="15.6" x14ac:dyDescent="0.3">
      <c r="A54" s="152">
        <v>2042</v>
      </c>
      <c r="B54" s="178">
        <f t="shared" si="0"/>
        <v>0</v>
      </c>
      <c r="C54" s="182">
        <f t="shared" si="7"/>
        <v>0</v>
      </c>
      <c r="D54" s="183"/>
      <c r="E54" s="179">
        <f t="shared" si="6"/>
        <v>1.1107760134433238</v>
      </c>
      <c r="F54" s="183">
        <f t="shared" si="8"/>
        <v>7.1389380357645082E-2</v>
      </c>
      <c r="G54" s="247">
        <f t="shared" si="1"/>
        <v>0.39706160570290633</v>
      </c>
      <c r="H54" s="246"/>
      <c r="J54" s="182"/>
      <c r="K54" s="182"/>
      <c r="L54" s="182"/>
      <c r="M54" s="182"/>
      <c r="N54" s="163"/>
      <c r="O54" s="259">
        <f>IF(O$24="Y",E54*$O$16*'Emissions Factors'!B39,"")</f>
        <v>24.703510938131206</v>
      </c>
      <c r="P54" s="259" t="str">
        <f>IF(P$24="Y",E54*$E$5*'Emissions Factors'!$R$36*$P$16/10^6,"")</f>
        <v/>
      </c>
      <c r="Q54" s="259" t="str">
        <f>IF($Q$24="Y",IFERROR($E54*SUM($E$3,$E$4,$E$5)*('Emissions Factors'!$T$143*$P$16)/10^6,""),"")</f>
        <v/>
      </c>
      <c r="R54" s="258"/>
      <c r="T54" s="180">
        <f t="shared" si="2"/>
        <v>24.703510938131206</v>
      </c>
      <c r="U54" s="180">
        <f t="shared" si="3"/>
        <v>0</v>
      </c>
      <c r="V54" s="177"/>
      <c r="X54" s="180">
        <f t="shared" si="4"/>
        <v>24.703510938131206</v>
      </c>
      <c r="Y54" s="180">
        <f t="shared" si="5"/>
        <v>0</v>
      </c>
    </row>
    <row r="55" spans="1:25" ht="15.6" x14ac:dyDescent="0.3">
      <c r="A55" s="152">
        <v>2043</v>
      </c>
      <c r="B55" s="178">
        <f t="shared" si="0"/>
        <v>0</v>
      </c>
      <c r="C55" s="182">
        <f t="shared" si="7"/>
        <v>0</v>
      </c>
      <c r="D55" s="183"/>
      <c r="E55" s="179">
        <f t="shared" si="6"/>
        <v>1.1846344436348326</v>
      </c>
      <c r="F55" s="183">
        <f t="shared" si="8"/>
        <v>7.3858430191508839E-2</v>
      </c>
      <c r="G55" s="247">
        <f t="shared" si="1"/>
        <v>0.39870313027898235</v>
      </c>
      <c r="H55" s="246"/>
      <c r="J55" s="182"/>
      <c r="K55" s="182"/>
      <c r="L55" s="182"/>
      <c r="M55" s="182"/>
      <c r="N55" s="163"/>
      <c r="O55" s="259">
        <f>IF(O$24="Y",E55*$O$16*'Emissions Factors'!B40,"")</f>
        <v>26.19912057727807</v>
      </c>
      <c r="P55" s="259" t="str">
        <f>IF(P$24="Y",E55*$E$5*'Emissions Factors'!$R$36*$P$16/10^6,"")</f>
        <v/>
      </c>
      <c r="Q55" s="259" t="str">
        <f>IF($Q$24="Y",IFERROR($E55*SUM($E$3,$E$4,$E$5)*('Emissions Factors'!$T$143*$P$16)/10^6,""),"")</f>
        <v/>
      </c>
      <c r="R55" s="258"/>
      <c r="T55" s="180">
        <f t="shared" si="2"/>
        <v>26.19912057727807</v>
      </c>
      <c r="U55" s="180">
        <f t="shared" si="3"/>
        <v>0</v>
      </c>
      <c r="V55" s="177"/>
      <c r="X55" s="180">
        <f t="shared" si="4"/>
        <v>26.19912057727807</v>
      </c>
      <c r="Y55" s="180">
        <f t="shared" si="5"/>
        <v>0</v>
      </c>
    </row>
    <row r="56" spans="1:25" ht="15.6" x14ac:dyDescent="0.3">
      <c r="A56" s="152">
        <v>2044</v>
      </c>
      <c r="B56" s="178">
        <f t="shared" si="0"/>
        <v>0</v>
      </c>
      <c r="C56" s="182">
        <f t="shared" si="7"/>
        <v>0</v>
      </c>
      <c r="D56" s="183"/>
      <c r="E56" s="179">
        <f t="shared" si="6"/>
        <v>1.261397111770505</v>
      </c>
      <c r="F56" s="183">
        <f t="shared" si="8"/>
        <v>7.6762668135672341E-2</v>
      </c>
      <c r="G56" s="247">
        <f t="shared" si="1"/>
        <v>0.40043569659308953</v>
      </c>
      <c r="H56" s="246"/>
      <c r="J56" s="182"/>
      <c r="K56" s="182"/>
      <c r="L56" s="182"/>
      <c r="M56" s="182"/>
      <c r="N56" s="163"/>
      <c r="O56" s="259">
        <f>IF(O$24="Y",E56*$O$16*'Emissions Factors'!B41,"")</f>
        <v>27.739356132590707</v>
      </c>
      <c r="P56" s="259" t="str">
        <f>IF(P$24="Y",E56*$E$5*'Emissions Factors'!$R$36*$P$16/10^6,"")</f>
        <v/>
      </c>
      <c r="Q56" s="259" t="str">
        <f>IF($Q$24="Y",IFERROR($E56*SUM($E$3,$E$4,$E$5)*('Emissions Factors'!$T$143*$P$16)/10^6,""),"")</f>
        <v/>
      </c>
      <c r="R56" s="258"/>
      <c r="T56" s="180">
        <f t="shared" si="2"/>
        <v>27.739356132590707</v>
      </c>
      <c r="U56" s="180">
        <f t="shared" si="3"/>
        <v>0</v>
      </c>
      <c r="V56" s="177"/>
      <c r="X56" s="180">
        <f t="shared" si="4"/>
        <v>27.739356132590707</v>
      </c>
      <c r="Y56" s="180">
        <f t="shared" si="5"/>
        <v>0</v>
      </c>
    </row>
    <row r="57" spans="1:25" ht="15.6" x14ac:dyDescent="0.3">
      <c r="A57" s="152">
        <v>2045</v>
      </c>
      <c r="B57" s="178">
        <f t="shared" si="0"/>
        <v>0</v>
      </c>
      <c r="C57" s="182">
        <f t="shared" si="7"/>
        <v>0</v>
      </c>
      <c r="D57" s="183"/>
      <c r="E57" s="179">
        <f t="shared" si="6"/>
        <v>1.3414313258503416</v>
      </c>
      <c r="F57" s="183">
        <f t="shared" si="8"/>
        <v>8.0034214079836685E-2</v>
      </c>
      <c r="G57" s="247">
        <f t="shared" si="1"/>
        <v>0.4022650439358908</v>
      </c>
      <c r="H57" s="246"/>
      <c r="J57" s="182"/>
      <c r="K57" s="182"/>
      <c r="L57" s="182"/>
      <c r="M57" s="182"/>
      <c r="N57" s="163"/>
      <c r="O57" s="259">
        <f>IF(O$24="Y",E57*$O$16*'Emissions Factors'!B42,"")</f>
        <v>29.324798376257252</v>
      </c>
      <c r="P57" s="259" t="str">
        <f>IF(P$24="Y",E57*$E$5*'Emissions Factors'!$R$36*$P$16/10^6,"")</f>
        <v/>
      </c>
      <c r="Q57" s="259" t="str">
        <f>IF($Q$24="Y",IFERROR($E57*SUM($E$3,$E$4,$E$5)*('Emissions Factors'!$T$143*$P$16)/10^6,""),"")</f>
        <v/>
      </c>
      <c r="R57" s="258"/>
      <c r="T57" s="180">
        <f t="shared" si="2"/>
        <v>29.324798376257252</v>
      </c>
      <c r="U57" s="180">
        <f t="shared" si="3"/>
        <v>0</v>
      </c>
      <c r="V57" s="177"/>
      <c r="X57" s="180">
        <f t="shared" si="4"/>
        <v>29.324798376257252</v>
      </c>
      <c r="Y57" s="180">
        <f t="shared" si="5"/>
        <v>0</v>
      </c>
    </row>
    <row r="58" spans="1:25" ht="15.6" x14ac:dyDescent="0.3">
      <c r="A58" s="152">
        <v>2046</v>
      </c>
      <c r="B58" s="178">
        <f t="shared" si="0"/>
        <v>0</v>
      </c>
      <c r="C58" s="182">
        <f t="shared" si="7"/>
        <v>0</v>
      </c>
      <c r="D58" s="183"/>
      <c r="E58" s="179">
        <f t="shared" si="6"/>
        <v>1.4249229901236218</v>
      </c>
      <c r="F58" s="183">
        <f t="shared" si="8"/>
        <v>8.3491664273280142E-2</v>
      </c>
      <c r="G58" s="247">
        <f t="shared" si="1"/>
        <v>0.40417590489130995</v>
      </c>
      <c r="H58" s="246"/>
      <c r="J58" s="182"/>
      <c r="K58" s="182"/>
      <c r="L58" s="182"/>
      <c r="M58" s="182"/>
      <c r="N58" s="163"/>
      <c r="O58" s="259">
        <f>IF(O$24="Y",E58*$O$16*'Emissions Factors'!B43,"")</f>
        <v>30.975947712176762</v>
      </c>
      <c r="P58" s="259" t="str">
        <f>IF(P$24="Y",E58*$E$5*'Emissions Factors'!$R$36*$P$16/10^6,"")</f>
        <v/>
      </c>
      <c r="Q58" s="259" t="str">
        <f>IF($Q$24="Y",IFERROR($E58*SUM($E$3,$E$4,$E$5)*('Emissions Factors'!$T$143*$P$16)/10^6,""),"")</f>
        <v/>
      </c>
      <c r="R58" s="258"/>
      <c r="T58" s="180">
        <f t="shared" si="2"/>
        <v>30.975947712176762</v>
      </c>
      <c r="U58" s="180">
        <f t="shared" si="3"/>
        <v>0</v>
      </c>
      <c r="V58" s="177"/>
      <c r="X58" s="180">
        <f t="shared" si="4"/>
        <v>30.975947712176762</v>
      </c>
      <c r="Y58" s="180">
        <f t="shared" si="5"/>
        <v>0</v>
      </c>
    </row>
    <row r="59" spans="1:25" ht="15.6" x14ac:dyDescent="0.3">
      <c r="A59" s="152">
        <v>2047</v>
      </c>
      <c r="B59" s="178">
        <f t="shared" si="0"/>
        <v>0</v>
      </c>
      <c r="C59" s="182">
        <f t="shared" si="7"/>
        <v>0</v>
      </c>
      <c r="D59" s="183"/>
      <c r="E59" s="179">
        <f t="shared" si="6"/>
        <v>1.512009751149215</v>
      </c>
      <c r="F59" s="183">
        <f t="shared" si="8"/>
        <v>8.7086761025593207E-2</v>
      </c>
      <c r="G59" s="247">
        <f t="shared" si="1"/>
        <v>0.40614925366098692</v>
      </c>
      <c r="H59" s="246"/>
      <c r="J59" s="182"/>
      <c r="K59" s="182"/>
      <c r="L59" s="182"/>
      <c r="M59" s="182"/>
      <c r="N59" s="163"/>
      <c r="O59" s="259">
        <f>IF(O$24="Y",E59*$O$16*'Emissions Factors'!B44,"")</f>
        <v>32.67595990710219</v>
      </c>
      <c r="P59" s="259" t="str">
        <f>IF(P$24="Y",E59*$E$5*'Emissions Factors'!$R$36*$P$16/10^6,"")</f>
        <v/>
      </c>
      <c r="Q59" s="259" t="str">
        <f>IF($Q$24="Y",IFERROR($E59*SUM($E$3,$E$4,$E$5)*('Emissions Factors'!$T$143*$P$16)/10^6,""),"")</f>
        <v/>
      </c>
      <c r="R59" s="258"/>
      <c r="T59" s="180">
        <f t="shared" si="2"/>
        <v>32.67595990710219</v>
      </c>
      <c r="U59" s="180">
        <f t="shared" si="3"/>
        <v>0</v>
      </c>
      <c r="V59" s="177"/>
      <c r="X59" s="180">
        <f t="shared" si="4"/>
        <v>32.67595990710219</v>
      </c>
      <c r="Y59" s="180">
        <f t="shared" si="5"/>
        <v>0</v>
      </c>
    </row>
    <row r="60" spans="1:25" ht="15.6" x14ac:dyDescent="0.3">
      <c r="A60" s="152">
        <v>2048</v>
      </c>
      <c r="B60" s="178">
        <f t="shared" si="0"/>
        <v>0</v>
      </c>
      <c r="C60" s="182">
        <f t="shared" si="7"/>
        <v>0</v>
      </c>
      <c r="D60" s="183"/>
      <c r="E60" s="179">
        <f t="shared" si="6"/>
        <v>1.6029417447086745</v>
      </c>
      <c r="F60" s="183">
        <f t="shared" si="8"/>
        <v>9.0931993559459467E-2</v>
      </c>
      <c r="G60" s="247">
        <f t="shared" si="1"/>
        <v>0.40817676493643529</v>
      </c>
      <c r="H60" s="246"/>
      <c r="J60" s="182"/>
      <c r="K60" s="182"/>
      <c r="L60" s="182"/>
      <c r="M60" s="182"/>
      <c r="N60" s="163"/>
      <c r="O60" s="259">
        <f>IF(O$24="Y",E60*$O$16*'Emissions Factors'!B45,"")</f>
        <v>34.43437500976539</v>
      </c>
      <c r="P60" s="259" t="str">
        <f>IF(P$24="Y",E60*$E$5*'Emissions Factors'!$R$36*$P$16/10^6,"")</f>
        <v/>
      </c>
      <c r="Q60" s="259" t="str">
        <f>IF($Q$24="Y",IFERROR($E60*SUM($E$3,$E$4,$E$5)*('Emissions Factors'!$T$143*$P$16)/10^6,""),"")</f>
        <v/>
      </c>
      <c r="R60" s="258"/>
      <c r="T60" s="180">
        <f t="shared" si="2"/>
        <v>34.43437500976539</v>
      </c>
      <c r="U60" s="180">
        <f t="shared" si="3"/>
        <v>0</v>
      </c>
      <c r="V60" s="177"/>
      <c r="X60" s="180">
        <f t="shared" si="4"/>
        <v>34.43437500976539</v>
      </c>
      <c r="Y60" s="180">
        <f t="shared" si="5"/>
        <v>0</v>
      </c>
    </row>
    <row r="61" spans="1:25" ht="15.6" x14ac:dyDescent="0.3">
      <c r="A61" s="152">
        <v>2049</v>
      </c>
      <c r="B61" s="178">
        <f t="shared" si="0"/>
        <v>0</v>
      </c>
      <c r="C61" s="182">
        <f t="shared" si="7"/>
        <v>0</v>
      </c>
      <c r="D61" s="183"/>
      <c r="E61" s="179">
        <f t="shared" si="6"/>
        <v>1.6979670081530196</v>
      </c>
      <c r="F61" s="183">
        <f t="shared" si="8"/>
        <v>9.5025263444345143E-2</v>
      </c>
      <c r="G61" s="247">
        <f t="shared" si="1"/>
        <v>0.41024869823711196</v>
      </c>
      <c r="H61" s="246"/>
      <c r="J61" s="182"/>
      <c r="K61" s="182"/>
      <c r="L61" s="182"/>
      <c r="M61" s="182"/>
      <c r="N61" s="163"/>
      <c r="O61" s="259">
        <f>IF(O$24="Y",E61*$O$16*'Emissions Factors'!B46,"")</f>
        <v>36.287697772987514</v>
      </c>
      <c r="P61" s="259" t="str">
        <f>IF(P$24="Y",E61*$E$5*'Emissions Factors'!$R$36*$P$16/10^6,"")</f>
        <v/>
      </c>
      <c r="Q61" s="259" t="str">
        <f>IF($Q$24="Y",IFERROR($E61*SUM($E$3,$E$4,$E$5)*('Emissions Factors'!$T$143*$P$16)/10^6,""),"")</f>
        <v/>
      </c>
      <c r="R61" s="258"/>
      <c r="T61" s="180">
        <f t="shared" si="2"/>
        <v>36.287697772987514</v>
      </c>
      <c r="U61" s="180">
        <f t="shared" si="3"/>
        <v>0</v>
      </c>
      <c r="V61" s="177"/>
      <c r="X61" s="180">
        <f t="shared" si="4"/>
        <v>36.287697772987514</v>
      </c>
      <c r="Y61" s="180">
        <f t="shared" si="5"/>
        <v>0</v>
      </c>
    </row>
    <row r="62" spans="1:25" ht="15.6" x14ac:dyDescent="0.3">
      <c r="A62" s="152">
        <v>2050</v>
      </c>
      <c r="B62" s="178">
        <f t="shared" si="0"/>
        <v>0</v>
      </c>
      <c r="C62" s="182">
        <f t="shared" si="7"/>
        <v>0</v>
      </c>
      <c r="D62" s="183"/>
      <c r="E62" s="179">
        <f t="shared" si="6"/>
        <v>1.7972666055333704</v>
      </c>
      <c r="F62" s="183">
        <f t="shared" si="8"/>
        <v>9.9299597380350768E-2</v>
      </c>
      <c r="G62" s="247">
        <f t="shared" si="1"/>
        <v>0.41235064302561852</v>
      </c>
      <c r="H62" s="246"/>
      <c r="J62" s="182"/>
      <c r="K62" s="182"/>
      <c r="L62" s="182"/>
      <c r="M62" s="182"/>
      <c r="N62" s="163"/>
      <c r="O62" s="259">
        <f>IF(O$24="Y",E62*$O$16*'Emissions Factors'!B47,"")</f>
        <v>38.277766898537777</v>
      </c>
      <c r="P62" s="259" t="str">
        <f>IF(P$24="Y",E62*$E$5*'Emissions Factors'!$R$36*$P$16/10^6,"")</f>
        <v/>
      </c>
      <c r="Q62" s="259" t="str">
        <f>IF($Q$24="Y",IFERROR($E62*SUM($E$3,$E$4,$E$5)*('Emissions Factors'!$T$143*$P$16)/10^6,""),"")</f>
        <v/>
      </c>
      <c r="R62" s="258"/>
      <c r="T62" s="180">
        <f t="shared" si="2"/>
        <v>38.277766898537777</v>
      </c>
      <c r="U62" s="180">
        <f t="shared" si="3"/>
        <v>0</v>
      </c>
      <c r="V62" s="177"/>
      <c r="X62" s="180">
        <f t="shared" si="4"/>
        <v>38.277766898537777</v>
      </c>
      <c r="Y62" s="180">
        <f t="shared" si="5"/>
        <v>0</v>
      </c>
    </row>
    <row r="63" spans="1:25" ht="15.6" x14ac:dyDescent="0.3">
      <c r="A63" s="152">
        <v>2051</v>
      </c>
      <c r="B63" s="178">
        <f t="shared" si="0"/>
        <v>0</v>
      </c>
      <c r="C63" s="182">
        <f t="shared" si="7"/>
        <v>0</v>
      </c>
      <c r="D63" s="183"/>
      <c r="E63" s="179">
        <f t="shared" si="6"/>
        <v>1.9009407013389998</v>
      </c>
      <c r="F63" s="183">
        <f t="shared" si="8"/>
        <v>0.10367409580562947</v>
      </c>
      <c r="G63" s="247">
        <f t="shared" si="1"/>
        <v>0.41446575484761949</v>
      </c>
      <c r="H63" s="246"/>
      <c r="J63" s="182"/>
      <c r="K63" s="182"/>
      <c r="L63" s="182"/>
      <c r="M63" s="182"/>
      <c r="N63" s="163"/>
      <c r="O63" s="259">
        <f>IF(O$24="Y",E63*$O$16*'Emissions Factors'!B48,"")</f>
        <v>40.331054483764383</v>
      </c>
      <c r="P63" s="259" t="str">
        <f>IF(P$24="Y",E63*$E$5*'Emissions Factors'!$R$36*$P$16/10^6,"")</f>
        <v/>
      </c>
      <c r="Q63" s="259" t="str">
        <f>IF($Q$24="Y",IFERROR($E63*SUM($E$3,$E$4,$E$5)*('Emissions Factors'!$T$143*$P$16)/10^6,""),"")</f>
        <v/>
      </c>
      <c r="R63" s="258"/>
      <c r="T63" s="180" t="str">
        <f t="shared" si="2"/>
        <v/>
      </c>
      <c r="U63" s="180" t="str">
        <f t="shared" si="3"/>
        <v/>
      </c>
      <c r="V63" s="177"/>
      <c r="X63" s="180">
        <f t="shared" si="4"/>
        <v>40.331054483764383</v>
      </c>
      <c r="Y63" s="180">
        <f t="shared" si="5"/>
        <v>0</v>
      </c>
    </row>
    <row r="64" spans="1:25" ht="15.6" x14ac:dyDescent="0.3">
      <c r="A64" s="152">
        <v>2052</v>
      </c>
      <c r="B64" s="178">
        <f t="shared" si="0"/>
        <v>0</v>
      </c>
      <c r="C64" s="182">
        <f t="shared" si="7"/>
        <v>0</v>
      </c>
      <c r="D64" s="183"/>
      <c r="E64" s="179">
        <f t="shared" si="6"/>
        <v>2.0089859247574662</v>
      </c>
      <c r="F64" s="183">
        <f t="shared" si="8"/>
        <v>0.10804522341846634</v>
      </c>
      <c r="G64" s="247">
        <f t="shared" si="1"/>
        <v>0.41657170767362639</v>
      </c>
      <c r="H64" s="246"/>
      <c r="J64" s="182"/>
      <c r="K64" s="182"/>
      <c r="L64" s="182"/>
      <c r="M64" s="182"/>
      <c r="N64" s="163"/>
      <c r="O64" s="259">
        <f>IF(O$24="Y",E64*$O$16*'Emissions Factors'!B49,"")</f>
        <v>42.465989376781977</v>
      </c>
      <c r="P64" s="259" t="str">
        <f>IF(P$24="Y",E64*$E$5*'Emissions Factors'!$R$36*$P$16/10^6,"")</f>
        <v/>
      </c>
      <c r="Q64" s="259" t="str">
        <f>IF($Q$24="Y",IFERROR($E64*SUM($E$3,$E$4,$E$5)*('Emissions Factors'!$T$143*$P$16)/10^6,""),"")</f>
        <v/>
      </c>
      <c r="R64" s="258"/>
      <c r="T64" s="180" t="str">
        <f t="shared" si="2"/>
        <v/>
      </c>
      <c r="U64" s="180" t="str">
        <f t="shared" si="3"/>
        <v/>
      </c>
      <c r="V64" s="177"/>
      <c r="X64" s="180">
        <f t="shared" si="4"/>
        <v>42.465989376781977</v>
      </c>
      <c r="Y64" s="180">
        <f t="shared" si="5"/>
        <v>0</v>
      </c>
    </row>
    <row r="65" spans="1:25" ht="15.6" x14ac:dyDescent="0.3">
      <c r="A65" s="152">
        <v>2053</v>
      </c>
      <c r="B65" s="178">
        <f t="shared" si="0"/>
        <v>0</v>
      </c>
      <c r="C65" s="182">
        <f t="shared" si="7"/>
        <v>0</v>
      </c>
      <c r="D65" s="183"/>
      <c r="E65" s="179">
        <f t="shared" si="6"/>
        <v>2.1213250177222593</v>
      </c>
      <c r="F65" s="183">
        <f t="shared" si="8"/>
        <v>0.11233909296479316</v>
      </c>
      <c r="G65" s="247">
        <f t="shared" si="1"/>
        <v>0.41864174376610708</v>
      </c>
      <c r="H65" s="246"/>
      <c r="J65" s="182"/>
      <c r="K65" s="182"/>
      <c r="L65" s="182"/>
      <c r="M65" s="182"/>
      <c r="N65" s="163"/>
      <c r="O65" s="259">
        <f>IF(O$24="Y",E65*$O$16*'Emissions Factors'!B50,"")</f>
        <v>44.67093971976103</v>
      </c>
      <c r="P65" s="259" t="str">
        <f>IF(P$24="Y",E65*$E$5*'Emissions Factors'!$R$36*$P$16/10^6,"")</f>
        <v/>
      </c>
      <c r="Q65" s="259" t="str">
        <f>IF($Q$24="Y",IFERROR($E65*SUM($E$3,$E$4,$E$5)*('Emissions Factors'!$T$143*$P$16)/10^6,""),"")</f>
        <v/>
      </c>
      <c r="R65" s="258"/>
      <c r="T65" s="180" t="str">
        <f t="shared" si="2"/>
        <v/>
      </c>
      <c r="U65" s="180" t="str">
        <f t="shared" si="3"/>
        <v/>
      </c>
      <c r="V65" s="177"/>
      <c r="X65" s="180">
        <f t="shared" si="4"/>
        <v>44.67093971976103</v>
      </c>
      <c r="Y65" s="180">
        <f t="shared" si="5"/>
        <v>0</v>
      </c>
    </row>
    <row r="66" spans="1:25" ht="15.6" x14ac:dyDescent="0.3">
      <c r="A66" s="152">
        <v>2054</v>
      </c>
      <c r="B66" s="178">
        <f t="shared" si="0"/>
        <v>0</v>
      </c>
      <c r="C66" s="182">
        <f t="shared" si="7"/>
        <v>0</v>
      </c>
      <c r="D66" s="183"/>
      <c r="E66" s="179">
        <f t="shared" si="6"/>
        <v>2.2378120865782409</v>
      </c>
      <c r="F66" s="183">
        <f t="shared" si="8"/>
        <v>0.11648706885598159</v>
      </c>
      <c r="G66" s="247">
        <f t="shared" si="1"/>
        <v>0.42064947421213228</v>
      </c>
      <c r="H66" s="246"/>
      <c r="J66" s="182"/>
      <c r="K66" s="182"/>
      <c r="L66" s="182"/>
      <c r="M66" s="182"/>
      <c r="N66" s="163"/>
      <c r="O66" s="259">
        <f>IF(O$24="Y",E66*$O$16*'Emissions Factors'!B51,"")</f>
        <v>46.941076656662695</v>
      </c>
      <c r="P66" s="259" t="str">
        <f>IF(P$24="Y",E66*$E$5*'Emissions Factors'!$R$36*$P$16/10^6,"")</f>
        <v/>
      </c>
      <c r="Q66" s="259" t="str">
        <f>IF($Q$24="Y",IFERROR($E66*SUM($E$3,$E$4,$E$5)*('Emissions Factors'!$T$143*$P$16)/10^6,""),"")</f>
        <v/>
      </c>
      <c r="R66" s="258"/>
      <c r="T66" s="180" t="str">
        <f t="shared" si="2"/>
        <v/>
      </c>
      <c r="U66" s="180" t="str">
        <f t="shared" si="3"/>
        <v/>
      </c>
      <c r="V66" s="177"/>
      <c r="X66" s="180">
        <f t="shared" si="4"/>
        <v>46.941076656662695</v>
      </c>
      <c r="Y66" s="180">
        <f t="shared" si="5"/>
        <v>0</v>
      </c>
    </row>
    <row r="67" spans="1:25" ht="15.6" x14ac:dyDescent="0.3">
      <c r="A67" s="152">
        <v>2055</v>
      </c>
      <c r="B67" s="178">
        <f t="shared" si="0"/>
        <v>0</v>
      </c>
      <c r="C67" s="182">
        <f t="shared" si="7"/>
        <v>0</v>
      </c>
      <c r="D67" s="183"/>
      <c r="E67" s="179">
        <f t="shared" si="6"/>
        <v>2.3582965833476481</v>
      </c>
      <c r="F67" s="183">
        <f t="shared" si="8"/>
        <v>0.1204844967694072</v>
      </c>
      <c r="G67" s="247">
        <f t="shared" si="1"/>
        <v>0.42257488680106625</v>
      </c>
      <c r="H67" s="246"/>
      <c r="J67" s="182"/>
      <c r="K67" s="182"/>
      <c r="L67" s="182"/>
      <c r="M67" s="182"/>
      <c r="N67" s="163"/>
      <c r="O67" s="259">
        <f>IF(O$24="Y",E67*$O$16*'Emissions Factors'!B52,"")</f>
        <v>49.267348925231659</v>
      </c>
      <c r="P67" s="259" t="str">
        <f>IF(P$24="Y",E67*$E$5*'Emissions Factors'!$R$36*$P$16/10^6,"")</f>
        <v/>
      </c>
      <c r="Q67" s="259" t="str">
        <f>IF($Q$24="Y",IFERROR($E67*SUM($E$3,$E$4,$E$5)*('Emissions Factors'!$T$143*$P$16)/10^6,""),"")</f>
        <v/>
      </c>
      <c r="R67" s="258"/>
      <c r="T67" s="180" t="str">
        <f t="shared" si="2"/>
        <v/>
      </c>
      <c r="U67" s="180" t="str">
        <f t="shared" si="3"/>
        <v/>
      </c>
      <c r="V67" s="177"/>
      <c r="X67" s="180">
        <f t="shared" si="4"/>
        <v>49.267348925231659</v>
      </c>
      <c r="Y67" s="180">
        <f t="shared" si="5"/>
        <v>0</v>
      </c>
    </row>
    <row r="68" spans="1:25" ht="15.6" x14ac:dyDescent="0.3">
      <c r="A68" s="152">
        <v>2056</v>
      </c>
      <c r="B68" s="178">
        <f t="shared" si="0"/>
        <v>0</v>
      </c>
      <c r="C68" s="182">
        <f t="shared" si="7"/>
        <v>0</v>
      </c>
      <c r="D68" s="183"/>
      <c r="E68" s="179">
        <f t="shared" si="6"/>
        <v>2.4827320056572404</v>
      </c>
      <c r="F68" s="183">
        <f t="shared" si="8"/>
        <v>0.12443542230959226</v>
      </c>
      <c r="G68" s="247">
        <f t="shared" si="1"/>
        <v>0.42441130573454577</v>
      </c>
      <c r="H68" s="246"/>
      <c r="J68" s="182"/>
      <c r="K68" s="182"/>
      <c r="L68" s="182"/>
      <c r="M68" s="182"/>
      <c r="N68" s="163"/>
      <c r="O68" s="259">
        <f>IF(O$24="Y",E68*$O$16*'Emissions Factors'!B53,"")</f>
        <v>51.659261335903949</v>
      </c>
      <c r="P68" s="259" t="str">
        <f>IF(P$24="Y",E68*$E$5*'Emissions Factors'!$R$36*$P$16/10^6,"")</f>
        <v/>
      </c>
      <c r="Q68" s="259" t="str">
        <f>IF($Q$24="Y",IFERROR($E68*SUM($E$3,$E$4,$E$5)*('Emissions Factors'!$T$143*$P$16)/10^6,""),"")</f>
        <v/>
      </c>
      <c r="R68" s="258"/>
      <c r="T68" s="180" t="str">
        <f t="shared" si="2"/>
        <v/>
      </c>
      <c r="U68" s="180" t="str">
        <f t="shared" si="3"/>
        <v/>
      </c>
      <c r="V68" s="177"/>
      <c r="X68" s="180">
        <f t="shared" si="4"/>
        <v>51.659261335903949</v>
      </c>
      <c r="Y68" s="180">
        <f t="shared" si="5"/>
        <v>0</v>
      </c>
    </row>
    <row r="69" spans="1:25" ht="15.6" x14ac:dyDescent="0.3">
      <c r="A69" s="152">
        <v>2057</v>
      </c>
      <c r="B69" s="178">
        <f t="shared" si="0"/>
        <v>0</v>
      </c>
      <c r="C69" s="182">
        <f t="shared" si="7"/>
        <v>0</v>
      </c>
      <c r="D69" s="183"/>
      <c r="E69" s="179">
        <f t="shared" si="6"/>
        <v>2.6110222754949532</v>
      </c>
      <c r="F69" s="183">
        <f t="shared" si="8"/>
        <v>0.12829026983771286</v>
      </c>
      <c r="G69" s="247">
        <f t="shared" si="1"/>
        <v>0.42615282097471546</v>
      </c>
      <c r="H69" s="246"/>
      <c r="J69" s="182"/>
      <c r="K69" s="182"/>
      <c r="L69" s="182"/>
      <c r="M69" s="182"/>
      <c r="N69" s="163"/>
      <c r="O69" s="259">
        <f>IF(O$24="Y",E69*$O$16*'Emissions Factors'!B54,"")</f>
        <v>54.100622405194343</v>
      </c>
      <c r="P69" s="259" t="str">
        <f>IF(P$24="Y",E69*$E$5*'Emissions Factors'!$R$36*$P$16/10^6,"")</f>
        <v/>
      </c>
      <c r="Q69" s="259" t="str">
        <f>IF($Q$24="Y",IFERROR($E69*SUM($E$3,$E$4,$E$5)*('Emissions Factors'!$T$143*$P$16)/10^6,""),"")</f>
        <v/>
      </c>
      <c r="R69" s="258"/>
      <c r="T69" s="180" t="str">
        <f t="shared" si="2"/>
        <v/>
      </c>
      <c r="U69" s="180" t="str">
        <f t="shared" si="3"/>
        <v/>
      </c>
      <c r="V69" s="177"/>
      <c r="X69" s="180">
        <f t="shared" si="4"/>
        <v>54.100622405194343</v>
      </c>
      <c r="Y69" s="180">
        <f t="shared" si="5"/>
        <v>0</v>
      </c>
    </row>
    <row r="70" spans="1:25" ht="15.6" x14ac:dyDescent="0.3">
      <c r="A70" s="152">
        <v>2058</v>
      </c>
      <c r="B70" s="178">
        <f t="shared" si="0"/>
        <v>0</v>
      </c>
      <c r="C70" s="182">
        <f t="shared" si="7"/>
        <v>0</v>
      </c>
      <c r="D70" s="183"/>
      <c r="E70" s="179">
        <f t="shared" si="6"/>
        <v>2.7428971265779678</v>
      </c>
      <c r="F70" s="183">
        <f t="shared" si="8"/>
        <v>0.13187485108301455</v>
      </c>
      <c r="G70" s="247">
        <f t="shared" si="1"/>
        <v>0.42778756451946914</v>
      </c>
      <c r="H70" s="246"/>
      <c r="J70" s="182"/>
      <c r="K70" s="182"/>
      <c r="L70" s="182"/>
      <c r="M70" s="182"/>
      <c r="N70" s="163"/>
      <c r="O70" s="259">
        <f>IF(O$24="Y",E70*$O$16*'Emissions Factors'!B55,"")</f>
        <v>56.588022203994349</v>
      </c>
      <c r="P70" s="259" t="str">
        <f>IF(P$24="Y",E70*$E$5*'Emissions Factors'!$R$36*$P$16/10^6,"")</f>
        <v/>
      </c>
      <c r="Q70" s="259" t="str">
        <f>IF($Q$24="Y",IFERROR($E70*SUM($E$3,$E$4,$E$5)*('Emissions Factors'!$T$143*$P$16)/10^6,""),"")</f>
        <v/>
      </c>
      <c r="R70" s="258"/>
      <c r="T70" s="180" t="str">
        <f t="shared" si="2"/>
        <v/>
      </c>
      <c r="U70" s="180" t="str">
        <f t="shared" si="3"/>
        <v/>
      </c>
      <c r="V70" s="177"/>
      <c r="X70" s="180">
        <f t="shared" si="4"/>
        <v>56.588022203994349</v>
      </c>
      <c r="Y70" s="180">
        <f t="shared" si="5"/>
        <v>0</v>
      </c>
    </row>
    <row r="71" spans="1:25" ht="15.6" x14ac:dyDescent="0.3">
      <c r="A71" s="152">
        <v>2059</v>
      </c>
      <c r="B71" s="178">
        <f t="shared" si="0"/>
        <v>0</v>
      </c>
      <c r="C71" s="182">
        <f t="shared" si="7"/>
        <v>0</v>
      </c>
      <c r="D71" s="183"/>
      <c r="E71" s="179">
        <f t="shared" si="6"/>
        <v>2.8780190667441672</v>
      </c>
      <c r="F71" s="183">
        <f t="shared" si="8"/>
        <v>0.13512194016619938</v>
      </c>
      <c r="G71" s="247">
        <f t="shared" si="1"/>
        <v>0.42930485005180025</v>
      </c>
      <c r="H71" s="246"/>
      <c r="J71" s="182"/>
      <c r="K71" s="182"/>
      <c r="L71" s="182"/>
      <c r="M71" s="182"/>
      <c r="N71" s="163"/>
      <c r="O71" s="259">
        <f>IF(O$24="Y",E71*$O$16*'Emissions Factors'!B56,"")</f>
        <v>59.112597612050266</v>
      </c>
      <c r="P71" s="259" t="str">
        <f>IF(P$24="Y",E71*$E$5*'Emissions Factors'!$R$36*$P$16/10^6,"")</f>
        <v/>
      </c>
      <c r="Q71" s="259" t="str">
        <f>IF($Q$24="Y",IFERROR($E71*SUM($E$3,$E$4,$E$5)*('Emissions Factors'!$T$143*$P$16)/10^6,""),"")</f>
        <v/>
      </c>
      <c r="R71" s="258"/>
      <c r="T71" s="180" t="str">
        <f t="shared" si="2"/>
        <v/>
      </c>
      <c r="U71" s="180" t="str">
        <f t="shared" si="3"/>
        <v/>
      </c>
      <c r="V71" s="177"/>
      <c r="X71" s="180">
        <f t="shared" si="4"/>
        <v>59.112597612050266</v>
      </c>
      <c r="Y71" s="180">
        <f t="shared" si="5"/>
        <v>0</v>
      </c>
    </row>
    <row r="72" spans="1:25" ht="15.6" x14ac:dyDescent="0.3">
      <c r="A72" s="152">
        <v>2060</v>
      </c>
      <c r="B72" s="178">
        <f t="shared" si="0"/>
        <v>0</v>
      </c>
      <c r="C72" s="182">
        <f t="shared" si="7"/>
        <v>0</v>
      </c>
      <c r="D72" s="183"/>
      <c r="E72" s="179">
        <f t="shared" si="6"/>
        <v>3.0161035944856631</v>
      </c>
      <c r="F72" s="183">
        <f t="shared" si="8"/>
        <v>0.13808452774149593</v>
      </c>
      <c r="G72" s="247">
        <f t="shared" si="1"/>
        <v>0.43070037328931282</v>
      </c>
      <c r="H72" s="246"/>
      <c r="J72" s="182"/>
      <c r="K72" s="182"/>
      <c r="L72" s="182"/>
      <c r="M72" s="182"/>
      <c r="N72" s="163"/>
      <c r="O72" s="259">
        <f>IF(O$24="Y",E72*$O$16*'Emissions Factors'!B57,"")</f>
        <v>61.687269295605091</v>
      </c>
      <c r="P72" s="259" t="str">
        <f>IF(P$24="Y",E72*$E$5*'Emissions Factors'!$R$36*$P$16/10^6,"")</f>
        <v/>
      </c>
      <c r="Q72" s="259" t="str">
        <f>IF($Q$24="Y",IFERROR($E72*SUM($E$3,$E$4,$E$5)*('Emissions Factors'!$T$143*$P$16)/10^6,""),"")</f>
        <v/>
      </c>
      <c r="R72" s="258"/>
      <c r="T72" s="180" t="str">
        <f t="shared" si="2"/>
        <v/>
      </c>
      <c r="U72" s="180" t="str">
        <f t="shared" si="3"/>
        <v/>
      </c>
      <c r="V72" s="177"/>
      <c r="X72" s="180">
        <f t="shared" si="4"/>
        <v>61.687269295605091</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35.454662128489659</v>
      </c>
      <c r="C85" s="253">
        <f>(C137/Population_Tables!P3)*Population_Tables!D3</f>
        <v>9.7943735518175075</v>
      </c>
      <c r="D85" s="253">
        <f>(D137/Population_Tables!Q3)*Population_Tables!E3</f>
        <v>1.9645185842965271</v>
      </c>
      <c r="E85" s="253">
        <f>(E137/Population_Tables!R3)*Population_Tables!F3</f>
        <v>13.192624214902676</v>
      </c>
      <c r="F85" s="253">
        <f>(F137/Population_Tables!S3)*Population_Tables!G3</f>
        <v>3.5816663142033103</v>
      </c>
      <c r="G85" s="253">
        <f>(G137/Population_Tables!T3)*Population_Tables!H3</f>
        <v>1.5610525101865356</v>
      </c>
      <c r="H85" s="253">
        <f>(H137/Population_Tables!U3)*Population_Tables!I3</f>
        <v>8.6417044213682868</v>
      </c>
      <c r="I85" s="253">
        <f>(I137/Population_Tables!V3)*Population_Tables!J3</f>
        <v>2.5300727439549324</v>
      </c>
      <c r="J85" s="253">
        <f>(J137/Population_Tables!W3)*Population_Tables!K3</f>
        <v>3.8710853310135813</v>
      </c>
      <c r="K85" s="253">
        <f>(K137/Population_Tables!X3)*Population_Tables!L3</f>
        <v>4.0309506620726951</v>
      </c>
      <c r="N85" s="195">
        <f t="shared" ref="N85:N131" si="9">SUMIF($C$83:$G$83,"Y",C85:G85)-H85</f>
        <v>8.1325861077376995</v>
      </c>
      <c r="O85" s="195">
        <f>H85</f>
        <v>8.6417044213682868</v>
      </c>
      <c r="P85" s="195">
        <f t="shared" ref="P85:P131" si="10">SUMIF($C$83:$G$83,"N",C85:G85)-(IF($E$83="N",H85))</f>
        <v>13.31994464630057</v>
      </c>
      <c r="Q85" s="195">
        <f>N85+P85+O85</f>
        <v>30.09423517540656</v>
      </c>
      <c r="R85" s="196">
        <f>N85/Q85</f>
        <v>0.27023734148205786</v>
      </c>
      <c r="U85" s="197">
        <v>0</v>
      </c>
      <c r="V85" s="195">
        <f>O85-O137</f>
        <v>0</v>
      </c>
      <c r="W85" s="197">
        <v>0</v>
      </c>
      <c r="X85" s="195">
        <f>U85+V85+W85</f>
        <v>0</v>
      </c>
      <c r="Y85" s="196">
        <v>0</v>
      </c>
      <c r="AC85" s="251">
        <f>(B85-B137)/((SUM(C85:G85)-SUM(C137:G137)))</f>
        <v>1.4576883580295306</v>
      </c>
      <c r="AF85" s="250">
        <f>B85</f>
        <v>35.454662128489659</v>
      </c>
      <c r="AG85" s="250">
        <f>SUM(C85:G85)</f>
        <v>30.094235175406556</v>
      </c>
      <c r="AH85" s="250">
        <f>AG85-AF85</f>
        <v>-5.3604269530831026</v>
      </c>
      <c r="AI85" s="251">
        <f>AH85/AG85</f>
        <v>-0.17812138842670178</v>
      </c>
    </row>
    <row r="86" spans="1:35" ht="15.6" x14ac:dyDescent="0.3">
      <c r="A86" s="194">
        <v>2015</v>
      </c>
      <c r="B86" s="253">
        <f>(B138/Population_Tables!O4)*Population_Tables!C4</f>
        <v>35.136807877963442</v>
      </c>
      <c r="C86" s="253">
        <f>(C138/Population_Tables!P4)*Population_Tables!D4</f>
        <v>10.017663025633121</v>
      </c>
      <c r="D86" s="253">
        <f>(D138/Population_Tables!Q4)*Population_Tables!E4</f>
        <v>1.9511542632618775</v>
      </c>
      <c r="E86" s="253">
        <f>(E138/Population_Tables!R4)*Population_Tables!F4</f>
        <v>13.851468915773765</v>
      </c>
      <c r="F86" s="253">
        <f>(F138/Population_Tables!S4)*Population_Tables!G4</f>
        <v>3.7471343978821472</v>
      </c>
      <c r="G86" s="253">
        <f>(G138/Population_Tables!T4)*Population_Tables!H4</f>
        <v>1.6544892880555262</v>
      </c>
      <c r="H86" s="253">
        <f>(H138/Population_Tables!U4)*Population_Tables!I4</f>
        <v>8.9164784427673069</v>
      </c>
      <c r="I86" s="253">
        <f>(I138/Population_Tables!V4)*Population_Tables!J4</f>
        <v>2.6707501717703717</v>
      </c>
      <c r="J86" s="253">
        <f>(J138/Population_Tables!W4)*Population_Tables!K4</f>
        <v>3.8807299629414507</v>
      </c>
      <c r="K86" s="253">
        <f>(K138/Population_Tables!X4)*Population_Tables!L4</f>
        <v>4.1175655043358903</v>
      </c>
      <c r="N86" s="195">
        <f t="shared" si="9"/>
        <v>8.6821248708886039</v>
      </c>
      <c r="O86" s="195">
        <f t="shared" ref="O86:O131" si="11">H86</f>
        <v>8.9164784427673069</v>
      </c>
      <c r="P86" s="195">
        <f t="shared" si="10"/>
        <v>13.623306576950524</v>
      </c>
      <c r="Q86" s="195">
        <f t="shared" ref="Q86:Q131" si="12">N86+P86+O86</f>
        <v>31.221909890606433</v>
      </c>
      <c r="R86" s="196">
        <f t="shared" ref="R86:R130" si="13">N86/Q86</f>
        <v>0.27807795555456227</v>
      </c>
      <c r="U86" s="197">
        <v>0</v>
      </c>
      <c r="V86" s="195">
        <f t="shared" ref="V86:W131" si="14">O86-O138</f>
        <v>0</v>
      </c>
      <c r="W86" s="197">
        <v>0</v>
      </c>
      <c r="X86" s="195">
        <f>U86+V86+W86</f>
        <v>0</v>
      </c>
      <c r="Y86" s="196">
        <v>0</v>
      </c>
      <c r="AC86" s="251">
        <f t="shared" ref="AC86:AC131" si="15">(B86-B138)/((SUM(C86:G86)-SUM(C138:G138)))</f>
        <v>1.3734098604838298</v>
      </c>
    </row>
    <row r="87" spans="1:35" ht="15.6" x14ac:dyDescent="0.3">
      <c r="A87" s="194">
        <v>2016</v>
      </c>
      <c r="B87" s="253">
        <f>(B139/Population_Tables!O5)*Population_Tables!C5</f>
        <v>35.590391096666345</v>
      </c>
      <c r="C87" s="253">
        <f>(C139/Population_Tables!P5)*Population_Tables!D5</f>
        <v>10.050682713905339</v>
      </c>
      <c r="D87" s="253">
        <f>(D139/Population_Tables!Q5)*Population_Tables!E5</f>
        <v>1.9641034298876612</v>
      </c>
      <c r="E87" s="253">
        <f>(E139/Population_Tables!R5)*Population_Tables!F5</f>
        <v>13.926859270644471</v>
      </c>
      <c r="F87" s="253">
        <f>(F139/Population_Tables!S5)*Population_Tables!G5</f>
        <v>3.8355730994121444</v>
      </c>
      <c r="G87" s="253">
        <f>(G139/Population_Tables!T5)*Population_Tables!H5</f>
        <v>1.6677974676174945</v>
      </c>
      <c r="H87" s="253">
        <f>(H139/Population_Tables!U5)*Population_Tables!I5</f>
        <v>8.9456052168574072</v>
      </c>
      <c r="I87" s="253">
        <f>(I139/Population_Tables!V5)*Population_Tables!J5</f>
        <v>2.7069120597509149</v>
      </c>
      <c r="J87" s="253">
        <f>(J139/Population_Tables!W5)*Population_Tables!K5</f>
        <v>3.8918123622255814</v>
      </c>
      <c r="K87" s="253">
        <f>(K139/Population_Tables!X5)*Population_Tables!L5</f>
        <v>4.1404158000030398</v>
      </c>
      <c r="N87" s="195">
        <f t="shared" si="9"/>
        <v>8.816827153199208</v>
      </c>
      <c r="O87" s="195">
        <f t="shared" si="11"/>
        <v>8.9456052168574072</v>
      </c>
      <c r="P87" s="195">
        <f t="shared" si="10"/>
        <v>13.682583611410495</v>
      </c>
      <c r="Q87" s="195">
        <f t="shared" si="12"/>
        <v>31.445015981467108</v>
      </c>
      <c r="R87" s="196">
        <f t="shared" si="13"/>
        <v>0.28038870002151123</v>
      </c>
      <c r="U87" s="195">
        <f>N87-N139</f>
        <v>-4.1773927051735882E-5</v>
      </c>
      <c r="V87" s="195">
        <f>O87-O139</f>
        <v>0</v>
      </c>
      <c r="W87" s="195">
        <f>P87-P139</f>
        <v>0</v>
      </c>
      <c r="X87" s="195">
        <f>U87+V87+W87</f>
        <v>-4.1773927051735882E-5</v>
      </c>
      <c r="Y87" s="196">
        <f t="shared" ref="Y87:Y131" si="16">U87/X87</f>
        <v>1</v>
      </c>
      <c r="AC87" s="251">
        <f>(B87-B139)/((SUM(C87:G87)-SUM(C139:G139)))</f>
        <v>1.3810372368617103</v>
      </c>
    </row>
    <row r="88" spans="1:35" ht="15.6" x14ac:dyDescent="0.3">
      <c r="A88" s="194">
        <v>2017</v>
      </c>
      <c r="B88" s="253">
        <f>(B140/Population_Tables!O6)*Population_Tables!C6</f>
        <v>36.03809803603118</v>
      </c>
      <c r="C88" s="253">
        <f>(C140/Population_Tables!P6)*Population_Tables!D6</f>
        <v>10.085595724596224</v>
      </c>
      <c r="D88" s="253">
        <f>(D140/Population_Tables!Q6)*Population_Tables!E6</f>
        <v>1.976302368890678</v>
      </c>
      <c r="E88" s="253">
        <f>(E140/Population_Tables!R6)*Population_Tables!F6</f>
        <v>14.008606474014412</v>
      </c>
      <c r="F88" s="253">
        <f>(F140/Population_Tables!S6)*Population_Tables!G6</f>
        <v>3.9254811291747607</v>
      </c>
      <c r="G88" s="253">
        <f>(G140/Population_Tables!T6)*Population_Tables!H6</f>
        <v>1.6820355143686367</v>
      </c>
      <c r="H88" s="253">
        <f>(H140/Population_Tables!U6)*Population_Tables!I6</f>
        <v>8.9766402577029183</v>
      </c>
      <c r="I88" s="253">
        <f>(I140/Population_Tables!V6)*Population_Tables!J6</f>
        <v>2.744266292933347</v>
      </c>
      <c r="J88" s="253">
        <f>(J140/Population_Tables!W6)*Population_Tables!K6</f>
        <v>3.9025268581563557</v>
      </c>
      <c r="K88" s="253">
        <f>(K140/Population_Tables!X6)*Population_Tables!L6</f>
        <v>4.163828968424288</v>
      </c>
      <c r="N88" s="195">
        <f t="shared" si="9"/>
        <v>8.9574473454862549</v>
      </c>
      <c r="O88" s="195">
        <f>H88</f>
        <v>8.9766402577029183</v>
      </c>
      <c r="P88" s="195">
        <f t="shared" si="10"/>
        <v>13.74393360785554</v>
      </c>
      <c r="Q88" s="195">
        <f t="shared" si="12"/>
        <v>31.678021211044715</v>
      </c>
      <c r="R88" s="196">
        <f t="shared" si="13"/>
        <v>0.28276536863872015</v>
      </c>
      <c r="U88" s="195">
        <f>N88-N140</f>
        <v>-4.0929486498697543E-5</v>
      </c>
      <c r="V88" s="195">
        <f t="shared" si="14"/>
        <v>0</v>
      </c>
      <c r="W88" s="195">
        <f t="shared" si="14"/>
        <v>0</v>
      </c>
      <c r="X88" s="195">
        <f t="shared" ref="X88:X131" si="17">U88+V88+W88</f>
        <v>-4.0929486498697543E-5</v>
      </c>
      <c r="Y88" s="196">
        <f t="shared" si="16"/>
        <v>1</v>
      </c>
      <c r="AC88" s="251">
        <f t="shared" si="15"/>
        <v>1.3876073154887334</v>
      </c>
    </row>
    <row r="89" spans="1:35" ht="15.6" x14ac:dyDescent="0.3">
      <c r="A89" s="194">
        <v>2018</v>
      </c>
      <c r="B89" s="253">
        <f>(B141/Population_Tables!O7)*Population_Tables!C7</f>
        <v>36.479928680196515</v>
      </c>
      <c r="C89" s="253">
        <f>(C141/Population_Tables!P7)*Population_Tables!D7</f>
        <v>10.122298304475681</v>
      </c>
      <c r="D89" s="253">
        <f>(D141/Population_Tables!Q7)*Population_Tables!E7</f>
        <v>1.9877818469641781</v>
      </c>
      <c r="E89" s="253">
        <f>(E141/Population_Tables!R7)*Population_Tables!F7</f>
        <v>14.096382868283182</v>
      </c>
      <c r="F89" s="253">
        <f>(F141/Population_Tables!S7)*Population_Tables!G7</f>
        <v>4.0168003754743644</v>
      </c>
      <c r="G89" s="253">
        <f>(G141/Population_Tables!T7)*Population_Tables!H7</f>
        <v>1.6971566221554775</v>
      </c>
      <c r="H89" s="253">
        <f>(H141/Population_Tables!U7)*Population_Tables!I7</f>
        <v>9.0094577377045777</v>
      </c>
      <c r="I89" s="253">
        <f>(I141/Population_Tables!V7)*Population_Tables!J7</f>
        <v>2.7827515176899413</v>
      </c>
      <c r="J89" s="253">
        <f>(J141/Population_Tables!W7)*Population_Tables!K7</f>
        <v>3.912879003262979</v>
      </c>
      <c r="K89" s="253">
        <f>(K141/Population_Tables!X7)*Population_Tables!L7</f>
        <v>4.1877683530625349</v>
      </c>
      <c r="N89" s="195">
        <f t="shared" si="9"/>
        <v>9.1037255060529692</v>
      </c>
      <c r="O89" s="195">
        <f t="shared" si="11"/>
        <v>9.0094577377045777</v>
      </c>
      <c r="P89" s="195">
        <f t="shared" si="10"/>
        <v>13.807236773595337</v>
      </c>
      <c r="Q89" s="195">
        <f t="shared" si="12"/>
        <v>31.920420017352882</v>
      </c>
      <c r="R89" s="196">
        <f t="shared" si="13"/>
        <v>0.28520068035144636</v>
      </c>
      <c r="U89" s="195">
        <f t="shared" ref="U89:U131" si="18">N89-N141</f>
        <v>-3.9989545875585009E-5</v>
      </c>
      <c r="V89" s="195">
        <f t="shared" si="14"/>
        <v>0</v>
      </c>
      <c r="W89" s="195">
        <f t="shared" si="14"/>
        <v>0</v>
      </c>
      <c r="X89" s="195">
        <f t="shared" si="17"/>
        <v>-3.9989545875585009E-5</v>
      </c>
      <c r="Y89" s="196">
        <f t="shared" si="16"/>
        <v>1</v>
      </c>
      <c r="AC89" s="251">
        <f t="shared" si="15"/>
        <v>1.3931409843004952</v>
      </c>
    </row>
    <row r="90" spans="1:35" ht="16.2" thickBot="1" x14ac:dyDescent="0.35">
      <c r="A90" s="198">
        <v>2019</v>
      </c>
      <c r="B90" s="253">
        <f>(B142/Population_Tables!O8)*Population_Tables!C8</f>
        <v>36.915882735482043</v>
      </c>
      <c r="C90" s="253">
        <f>(C142/Population_Tables!P8)*Population_Tables!D8</f>
        <v>10.160686700313617</v>
      </c>
      <c r="D90" s="253">
        <f>(D142/Population_Tables!Q8)*Population_Tables!E8</f>
        <v>1.9985726308014102</v>
      </c>
      <c r="E90" s="253">
        <f>(E142/Population_Tables!R8)*Population_Tables!F8</f>
        <v>14.189860597466634</v>
      </c>
      <c r="F90" s="253">
        <f>(F142/Population_Tables!S8)*Population_Tables!G8</f>
        <v>4.1094727266153281</v>
      </c>
      <c r="G90" s="253">
        <f>(G142/Population_Tables!T8)*Population_Tables!H8</f>
        <v>1.713113984824542</v>
      </c>
      <c r="H90" s="253">
        <f>(H142/Population_Tables!U8)*Population_Tables!I8</f>
        <v>9.0439318292631263</v>
      </c>
      <c r="I90" s="253">
        <f>(I142/Population_Tables!V8)*Population_Tables!J8</f>
        <v>2.8223063803929667</v>
      </c>
      <c r="J90" s="253">
        <f>(J142/Population_Tables!W8)*Population_Tables!K8</f>
        <v>3.9228743500746557</v>
      </c>
      <c r="K90" s="253">
        <f>(K142/Population_Tables!X8)*Population_Tables!L8</f>
        <v>4.2121972973806798</v>
      </c>
      <c r="N90" s="195">
        <f t="shared" si="9"/>
        <v>9.2554014948188374</v>
      </c>
      <c r="O90" s="195">
        <f t="shared" si="11"/>
        <v>9.0439318292631263</v>
      </c>
      <c r="P90" s="195">
        <f t="shared" si="10"/>
        <v>13.872373315939569</v>
      </c>
      <c r="Q90" s="195">
        <f t="shared" si="12"/>
        <v>32.171706640021533</v>
      </c>
      <c r="R90" s="199">
        <f t="shared" si="13"/>
        <v>0.28768761316830915</v>
      </c>
      <c r="U90" s="200">
        <f t="shared" si="18"/>
        <v>-3.9162849965634905E-5</v>
      </c>
      <c r="V90" s="195">
        <f t="shared" si="14"/>
        <v>0</v>
      </c>
      <c r="W90" s="200">
        <f t="shared" si="14"/>
        <v>0</v>
      </c>
      <c r="X90" s="195">
        <f t="shared" si="17"/>
        <v>-3.9162849965634905E-5</v>
      </c>
      <c r="Y90" s="199">
        <f t="shared" si="16"/>
        <v>1</v>
      </c>
      <c r="AC90" s="251">
        <f t="shared" si="15"/>
        <v>1.3976533986511321</v>
      </c>
    </row>
    <row r="91" spans="1:35" ht="15.6" x14ac:dyDescent="0.3">
      <c r="A91" s="201">
        <v>2020</v>
      </c>
      <c r="B91" s="253">
        <f>(B143/Population_Tables!O9)*Population_Tables!C9</f>
        <v>37.345960189724693</v>
      </c>
      <c r="C91" s="253">
        <f>(C143/Population_Tables!P9)*Population_Tables!D9</f>
        <v>10.200657158879935</v>
      </c>
      <c r="D91" s="253">
        <f>(D143/Population_Tables!Q9)*Population_Tables!E9</f>
        <v>2.0087054870956242</v>
      </c>
      <c r="E91" s="253">
        <f>(E143/Population_Tables!R9)*Population_Tables!F9</f>
        <v>14.28871200616565</v>
      </c>
      <c r="F91" s="253">
        <f>(F143/Population_Tables!S9)*Population_Tables!G9</f>
        <v>4.2034400709020217</v>
      </c>
      <c r="G91" s="253">
        <f>(G143/Population_Tables!T9)*Population_Tables!H9</f>
        <v>1.7298607962223549</v>
      </c>
      <c r="H91" s="253">
        <f>(H143/Population_Tables!U9)*Population_Tables!I9</f>
        <v>9.0799367047793034</v>
      </c>
      <c r="I91" s="253">
        <f>(I143/Population_Tables!V9)*Population_Tables!J9</f>
        <v>2.8628695274146962</v>
      </c>
      <c r="J91" s="253">
        <f>(J143/Population_Tables!W9)*Population_Tables!K9</f>
        <v>3.9325184511205902</v>
      </c>
      <c r="K91" s="253">
        <f>(K143/Population_Tables!X9)*Population_Tables!L9</f>
        <v>4.2370791448416254</v>
      </c>
      <c r="L91" s="202"/>
      <c r="M91" s="202"/>
      <c r="N91" s="195">
        <f t="shared" si="9"/>
        <v>9.4122153722883688</v>
      </c>
      <c r="O91" s="195">
        <f t="shared" si="11"/>
        <v>9.0799367047793034</v>
      </c>
      <c r="P91" s="195">
        <f t="shared" si="10"/>
        <v>13.939223442197914</v>
      </c>
      <c r="Q91" s="195">
        <f t="shared" si="12"/>
        <v>32.431375519265586</v>
      </c>
      <c r="R91" s="203">
        <f t="shared" si="13"/>
        <v>0.29021943169499925</v>
      </c>
      <c r="S91" s="202"/>
      <c r="T91" s="202"/>
      <c r="U91" s="204">
        <f>N91-N143</f>
        <v>-3.8457558542148718E-5</v>
      </c>
      <c r="V91" s="195">
        <f t="shared" si="14"/>
        <v>0</v>
      </c>
      <c r="W91" s="204">
        <f t="shared" si="14"/>
        <v>0</v>
      </c>
      <c r="X91" s="195">
        <f t="shared" si="17"/>
        <v>-3.8457558542148718E-5</v>
      </c>
      <c r="Y91" s="205">
        <f>U91/X91</f>
        <v>1</v>
      </c>
      <c r="AC91" s="251">
        <f t="shared" si="15"/>
        <v>1.4010578195318455</v>
      </c>
    </row>
    <row r="92" spans="1:35" ht="15.6" x14ac:dyDescent="0.3">
      <c r="A92" s="206">
        <v>2021</v>
      </c>
      <c r="B92" s="253">
        <f>(B144/Population_Tables!O10)*Population_Tables!C10</f>
        <v>37.817977167016245</v>
      </c>
      <c r="C92" s="253">
        <f>(C144/Population_Tables!P10)*Population_Tables!D10</f>
        <v>10.252729336276692</v>
      </c>
      <c r="D92" s="253">
        <f>(D144/Population_Tables!Q10)*Population_Tables!E10</f>
        <v>2.0206055141167769</v>
      </c>
      <c r="E92" s="253">
        <f>(E144/Population_Tables!R10)*Population_Tables!F10</f>
        <v>14.409831560278697</v>
      </c>
      <c r="F92" s="253">
        <f>(F144/Population_Tables!S10)*Population_Tables!G10</f>
        <v>4.3044076553743347</v>
      </c>
      <c r="G92" s="253">
        <f>(G144/Population_Tables!T10)*Population_Tables!H10</f>
        <v>1.7506593521688321</v>
      </c>
      <c r="H92" s="253">
        <f>(H144/Population_Tables!U10)*Population_Tables!I10</f>
        <v>9.1269138646544317</v>
      </c>
      <c r="I92" s="253">
        <f>(I144/Population_Tables!V10)*Population_Tables!J10</f>
        <v>2.9077209415113749</v>
      </c>
      <c r="J92" s="253">
        <f>(J144/Population_Tables!W10)*Population_Tables!K10</f>
        <v>3.9458950128498689</v>
      </c>
      <c r="K92" s="253">
        <f>(K144/Population_Tables!X10)*Population_Tables!L10</f>
        <v>4.2668803356704075</v>
      </c>
      <c r="L92" s="170"/>
      <c r="M92" s="170"/>
      <c r="N92" s="195">
        <f t="shared" si="9"/>
        <v>9.5873253509985989</v>
      </c>
      <c r="O92" s="195">
        <f t="shared" si="11"/>
        <v>9.1269138646544317</v>
      </c>
      <c r="P92" s="195">
        <f t="shared" si="10"/>
        <v>14.023994202562301</v>
      </c>
      <c r="Q92" s="195">
        <f t="shared" si="12"/>
        <v>32.73823341821533</v>
      </c>
      <c r="R92" s="196">
        <f t="shared" si="13"/>
        <v>0.29284797467612522</v>
      </c>
      <c r="S92" s="170"/>
      <c r="T92" s="170"/>
      <c r="U92" s="195">
        <f t="shared" si="18"/>
        <v>1.3380270201160727E-2</v>
      </c>
      <c r="V92" s="195">
        <f t="shared" si="14"/>
        <v>9.5673280005854622E-3</v>
      </c>
      <c r="W92" s="195">
        <f t="shared" si="14"/>
        <v>1.6326842882250503E-2</v>
      </c>
      <c r="X92" s="195">
        <f t="shared" si="17"/>
        <v>3.9274441083996692E-2</v>
      </c>
      <c r="Y92" s="207">
        <f t="shared" si="16"/>
        <v>0.34068645744809434</v>
      </c>
      <c r="AC92" s="251">
        <f t="shared" si="15"/>
        <v>1.2161338565210027</v>
      </c>
    </row>
    <row r="93" spans="1:35" ht="15.6" x14ac:dyDescent="0.3">
      <c r="A93" s="206">
        <v>2022</v>
      </c>
      <c r="B93" s="253">
        <f>(B145/Population_Tables!O11)*Population_Tables!C11</f>
        <v>38.296561686016382</v>
      </c>
      <c r="C93" s="253">
        <f>(C145/Population_Tables!P11)*Population_Tables!D11</f>
        <v>10.309212440763497</v>
      </c>
      <c r="D93" s="253">
        <f>(D145/Population_Tables!Q11)*Population_Tables!E11</f>
        <v>2.032340036146556</v>
      </c>
      <c r="E93" s="253">
        <f>(E145/Population_Tables!R11)*Population_Tables!F11</f>
        <v>14.541473290318635</v>
      </c>
      <c r="F93" s="253">
        <f>(F145/Population_Tables!S11)*Population_Tables!G11</f>
        <v>4.4077197713156187</v>
      </c>
      <c r="G93" s="253">
        <f>(G145/Population_Tables!T11)*Population_Tables!H11</f>
        <v>1.772326751096909</v>
      </c>
      <c r="H93" s="253">
        <f>(H145/Population_Tables!U11)*Population_Tables!I11</f>
        <v>9.1774635971441523</v>
      </c>
      <c r="I93" s="253">
        <f>(I145/Population_Tables!V11)*Population_Tables!J11</f>
        <v>2.9549213172712991</v>
      </c>
      <c r="J93" s="253">
        <f>(J145/Population_Tables!W11)*Population_Tables!K11</f>
        <v>3.9599133157808342</v>
      </c>
      <c r="K93" s="253">
        <f>(K145/Population_Tables!X11)*Population_Tables!L11</f>
        <v>4.2985399711766306</v>
      </c>
      <c r="L93" s="170"/>
      <c r="M93" s="170"/>
      <c r="N93" s="195">
        <f t="shared" si="9"/>
        <v>9.771729464490102</v>
      </c>
      <c r="O93" s="195">
        <f t="shared" si="11"/>
        <v>9.1774635971441523</v>
      </c>
      <c r="P93" s="195">
        <f t="shared" si="10"/>
        <v>14.113879228006962</v>
      </c>
      <c r="Q93" s="195">
        <f t="shared" si="12"/>
        <v>33.063072289641219</v>
      </c>
      <c r="R93" s="196">
        <f t="shared" si="13"/>
        <v>0.29554813838493832</v>
      </c>
      <c r="S93" s="170"/>
      <c r="T93" s="170"/>
      <c r="U93" s="195">
        <f t="shared" si="18"/>
        <v>3.1474985305440129E-2</v>
      </c>
      <c r="V93" s="195">
        <f t="shared" si="14"/>
        <v>2.1428099856660054E-2</v>
      </c>
      <c r="W93" s="195">
        <f t="shared" si="14"/>
        <v>3.6293952311300615E-2</v>
      </c>
      <c r="X93" s="195">
        <f t="shared" si="17"/>
        <v>8.9197037473400798E-2</v>
      </c>
      <c r="Y93" s="207">
        <f t="shared" si="16"/>
        <v>0.35287029924986241</v>
      </c>
      <c r="AC93" s="251">
        <f t="shared" si="15"/>
        <v>1.2110700300495185</v>
      </c>
    </row>
    <row r="94" spans="1:35" ht="15.6" x14ac:dyDescent="0.3">
      <c r="A94" s="206">
        <v>2023</v>
      </c>
      <c r="B94" s="253">
        <f>(B146/Population_Tables!O12)*Population_Tables!C12</f>
        <v>38.780118514604709</v>
      </c>
      <c r="C94" s="253">
        <f>(C146/Population_Tables!P12)*Population_Tables!D12</f>
        <v>10.369542400365953</v>
      </c>
      <c r="D94" s="253">
        <f>(D146/Population_Tables!Q12)*Population_Tables!E12</f>
        <v>2.0438977119609301</v>
      </c>
      <c r="E94" s="253">
        <f>(E146/Population_Tables!R12)*Population_Tables!F12</f>
        <v>14.682312847415725</v>
      </c>
      <c r="F94" s="253">
        <f>(F146/Population_Tables!S12)*Population_Tables!G12</f>
        <v>4.5132763329786032</v>
      </c>
      <c r="G94" s="253">
        <f>(G146/Population_Tables!T12)*Population_Tables!H12</f>
        <v>1.7949095206554146</v>
      </c>
      <c r="H94" s="253">
        <f>(H146/Population_Tables!U12)*Population_Tables!I12</f>
        <v>9.2311063424138133</v>
      </c>
      <c r="I94" s="253">
        <f>(I146/Population_Tables!V12)*Population_Tables!J12</f>
        <v>3.0041337546174596</v>
      </c>
      <c r="J94" s="253">
        <f>(J146/Population_Tables!W12)*Population_Tables!K12</f>
        <v>3.9744302573391548</v>
      </c>
      <c r="K94" s="253">
        <f>(K146/Population_Tables!X12)*Population_Tables!L12</f>
        <v>4.3317930575265153</v>
      </c>
      <c r="L94" s="170"/>
      <c r="M94" s="170"/>
      <c r="N94" s="195">
        <f t="shared" si="9"/>
        <v>9.9644828379805155</v>
      </c>
      <c r="O94" s="195">
        <f t="shared" si="11"/>
        <v>9.2311063424138133</v>
      </c>
      <c r="P94" s="195">
        <f t="shared" si="10"/>
        <v>14.208349632982298</v>
      </c>
      <c r="Q94" s="195">
        <f t="shared" si="12"/>
        <v>33.403938813376627</v>
      </c>
      <c r="R94" s="196">
        <f t="shared" si="13"/>
        <v>0.29830263112535199</v>
      </c>
      <c r="S94" s="170"/>
      <c r="T94" s="170"/>
      <c r="U94" s="195">
        <f>N94-N146</f>
        <v>5.3560744307660002E-2</v>
      </c>
      <c r="V94" s="195">
        <f t="shared" si="14"/>
        <v>3.5228583332830965E-2</v>
      </c>
      <c r="W94" s="195">
        <f t="shared" si="14"/>
        <v>5.9492235427876849E-2</v>
      </c>
      <c r="X94" s="195">
        <f t="shared" si="17"/>
        <v>0.14828156306836782</v>
      </c>
      <c r="Y94" s="207">
        <f t="shared" si="16"/>
        <v>0.36120973639160303</v>
      </c>
      <c r="AC94" s="251">
        <f t="shared" si="15"/>
        <v>1.2080634097380676</v>
      </c>
    </row>
    <row r="95" spans="1:35" ht="15.6" x14ac:dyDescent="0.3">
      <c r="A95" s="206">
        <v>2024</v>
      </c>
      <c r="B95" s="253">
        <f>(B147/Population_Tables!O13)*Population_Tables!C13</f>
        <v>39.267856373522797</v>
      </c>
      <c r="C95" s="253">
        <f>(C147/Population_Tables!P13)*Population_Tables!D13</f>
        <v>10.43324514528047</v>
      </c>
      <c r="D95" s="253">
        <f>(D147/Population_Tables!Q13)*Population_Tables!E13</f>
        <v>2.0552632317626736</v>
      </c>
      <c r="E95" s="253">
        <f>(E147/Population_Tables!R13)*Population_Tables!F13</f>
        <v>14.831270093507591</v>
      </c>
      <c r="F95" s="253">
        <f>(F147/Population_Tables!S13)*Population_Tables!G13</f>
        <v>4.6210982488985719</v>
      </c>
      <c r="G95" s="253">
        <f>(G147/Population_Tables!T13)*Population_Tables!H13</f>
        <v>1.8185799896755586</v>
      </c>
      <c r="H95" s="253">
        <f>(H147/Population_Tables!U13)*Population_Tables!I13</f>
        <v>9.2874367965128961</v>
      </c>
      <c r="I95" s="253">
        <f>(I147/Population_Tables!V13)*Population_Tables!J13</f>
        <v>3.0550961321748664</v>
      </c>
      <c r="J95" s="253">
        <f>(J147/Population_Tables!W13)*Population_Tables!K13</f>
        <v>3.9893306162411757</v>
      </c>
      <c r="K95" s="253">
        <f>(K147/Population_Tables!X13)*Population_Tables!L13</f>
        <v>4.3664208912305504</v>
      </c>
      <c r="L95" s="170"/>
      <c r="M95" s="170"/>
      <c r="N95" s="195">
        <f t="shared" si="9"/>
        <v>10.164931545893268</v>
      </c>
      <c r="O95" s="195">
        <f t="shared" si="11"/>
        <v>9.2874367965128961</v>
      </c>
      <c r="P95" s="195">
        <f t="shared" si="10"/>
        <v>14.307088366718702</v>
      </c>
      <c r="Q95" s="195">
        <f t="shared" si="12"/>
        <v>33.759456709124862</v>
      </c>
      <c r="R95" s="196">
        <f t="shared" si="13"/>
        <v>0.30109878939923174</v>
      </c>
      <c r="S95" s="170"/>
      <c r="T95" s="170"/>
      <c r="U95" s="195">
        <f t="shared" si="18"/>
        <v>7.9243552966969943E-2</v>
      </c>
      <c r="V95" s="195">
        <f t="shared" si="14"/>
        <v>5.0689302077840281E-2</v>
      </c>
      <c r="W95" s="195">
        <f t="shared" si="14"/>
        <v>8.5724434152687934E-2</v>
      </c>
      <c r="X95" s="195">
        <f t="shared" si="17"/>
        <v>0.21565728919749816</v>
      </c>
      <c r="Y95" s="207">
        <f t="shared" si="16"/>
        <v>0.36745130786837904</v>
      </c>
      <c r="AC95" s="251">
        <f t="shared" si="15"/>
        <v>1.2070109695510023</v>
      </c>
    </row>
    <row r="96" spans="1:35" ht="15.6" x14ac:dyDescent="0.3">
      <c r="A96" s="206">
        <v>2025</v>
      </c>
      <c r="B96" s="253">
        <f>(B148/Population_Tables!O14)*Population_Tables!C14</f>
        <v>39.759177887160391</v>
      </c>
      <c r="C96" s="253">
        <f>(C148/Population_Tables!P14)*Population_Tables!D14</f>
        <v>10.499934264157675</v>
      </c>
      <c r="D96" s="253">
        <f>(D148/Population_Tables!Q14)*Population_Tables!E14</f>
        <v>2.0664347455390826</v>
      </c>
      <c r="E96" s="253">
        <f>(E148/Population_Tables!R14)*Population_Tables!F14</f>
        <v>14.987463352892604</v>
      </c>
      <c r="F96" s="253">
        <f>(F148/Population_Tables!S14)*Population_Tables!G14</f>
        <v>4.7311981987557052</v>
      </c>
      <c r="G96" s="253">
        <f>(G148/Population_Tables!T14)*Population_Tables!H14</f>
        <v>1.8434534874017894</v>
      </c>
      <c r="H96" s="253">
        <f>(H148/Population_Tables!U14)*Population_Tables!I14</f>
        <v>9.3461225675993518</v>
      </c>
      <c r="I96" s="253">
        <f>(I148/Population_Tables!V14)*Population_Tables!J14</f>
        <v>3.1076003255614415</v>
      </c>
      <c r="J96" s="253">
        <f>(J148/Population_Tables!W14)*Population_Tables!K14</f>
        <v>4.0045260588429219</v>
      </c>
      <c r="K96" s="253">
        <f>(K148/Population_Tables!X14)*Population_Tables!L14</f>
        <v>4.4022504410860774</v>
      </c>
      <c r="L96" s="170"/>
      <c r="M96" s="170"/>
      <c r="N96" s="195">
        <f t="shared" si="9"/>
        <v>10.372538984048958</v>
      </c>
      <c r="O96" s="195">
        <f t="shared" si="11"/>
        <v>9.3461225675993518</v>
      </c>
      <c r="P96" s="195">
        <f t="shared" si="10"/>
        <v>14.409822497098546</v>
      </c>
      <c r="Q96" s="195">
        <f t="shared" si="12"/>
        <v>34.128484048746856</v>
      </c>
      <c r="R96" s="196">
        <f t="shared" si="13"/>
        <v>0.30392615649829374</v>
      </c>
      <c r="S96" s="170"/>
      <c r="T96" s="170"/>
      <c r="U96" s="195">
        <f t="shared" si="18"/>
        <v>0.1082467384396999</v>
      </c>
      <c r="V96" s="195">
        <f t="shared" si="14"/>
        <v>6.7603691848901803E-2</v>
      </c>
      <c r="W96" s="195">
        <f t="shared" si="14"/>
        <v>0.11483740905843121</v>
      </c>
      <c r="X96" s="195">
        <f t="shared" si="17"/>
        <v>0.29068783934703291</v>
      </c>
      <c r="Y96" s="207">
        <f t="shared" si="16"/>
        <v>0.37238137888001327</v>
      </c>
      <c r="AC96" s="251">
        <f t="shared" si="15"/>
        <v>1.2072332752595416</v>
      </c>
    </row>
    <row r="97" spans="1:29" ht="15.6" x14ac:dyDescent="0.3">
      <c r="A97" s="206">
        <v>2026</v>
      </c>
      <c r="B97" s="253">
        <f>(B149/Population_Tables!O15)*Population_Tables!C15</f>
        <v>40.253447026814456</v>
      </c>
      <c r="C97" s="253">
        <f>(C149/Population_Tables!P15)*Population_Tables!D15</f>
        <v>10.569317256979446</v>
      </c>
      <c r="D97" s="253">
        <f>(D149/Population_Tables!Q15)*Population_Tables!E15</f>
        <v>2.0774470553148001</v>
      </c>
      <c r="E97" s="253">
        <f>(E149/Population_Tables!R15)*Population_Tables!F15</f>
        <v>15.150191423996301</v>
      </c>
      <c r="F97" s="253">
        <f>(F149/Population_Tables!S15)*Population_Tables!G15</f>
        <v>4.8435411061516556</v>
      </c>
      <c r="G97" s="253">
        <f>(G149/Population_Tables!T15)*Population_Tables!H15</f>
        <v>1.8694976388279458</v>
      </c>
      <c r="H97" s="253">
        <f>(H149/Population_Tables!U15)*Population_Tables!I15</f>
        <v>9.4069071295899231</v>
      </c>
      <c r="I97" s="253">
        <f>(I149/Population_Tables!V15)*Population_Tables!J15</f>
        <v>3.1614804307398998</v>
      </c>
      <c r="J97" s="253">
        <f>(J149/Population_Tables!W15)*Population_Tables!K15</f>
        <v>4.0199575887633818</v>
      </c>
      <c r="K97" s="253">
        <f>(K149/Population_Tables!X15)*Population_Tables!L15</f>
        <v>4.4391567182901142</v>
      </c>
      <c r="L97" s="170"/>
      <c r="M97" s="170"/>
      <c r="N97" s="195">
        <f t="shared" si="9"/>
        <v>10.586825400558032</v>
      </c>
      <c r="O97" s="195">
        <f t="shared" si="11"/>
        <v>9.4069071295899231</v>
      </c>
      <c r="P97" s="195">
        <f t="shared" si="10"/>
        <v>14.516261951122191</v>
      </c>
      <c r="Q97" s="195">
        <f t="shared" si="12"/>
        <v>34.509994481270148</v>
      </c>
      <c r="R97" s="196">
        <f t="shared" si="13"/>
        <v>0.30677563296348526</v>
      </c>
      <c r="S97" s="170"/>
      <c r="T97" s="170"/>
      <c r="U97" s="195">
        <f>N97-N149</f>
        <v>0.14035048017201035</v>
      </c>
      <c r="V97" s="195">
        <f t="shared" si="14"/>
        <v>8.5841054162020924E-2</v>
      </c>
      <c r="W97" s="195">
        <f t="shared" si="14"/>
        <v>0.14666087983578358</v>
      </c>
      <c r="X97" s="195">
        <f t="shared" si="17"/>
        <v>0.37285241416981485</v>
      </c>
      <c r="Y97" s="207">
        <f t="shared" si="16"/>
        <v>0.37642368625803779</v>
      </c>
      <c r="AC97" s="251">
        <f t="shared" si="15"/>
        <v>1.2079295742941594</v>
      </c>
    </row>
    <row r="98" spans="1:29" ht="15.6" x14ac:dyDescent="0.3">
      <c r="A98" s="206">
        <v>2027</v>
      </c>
      <c r="B98" s="253">
        <f>(B150/Population_Tables!O16)*Population_Tables!C16</f>
        <v>40.750062659560164</v>
      </c>
      <c r="C98" s="253">
        <f>(C150/Population_Tables!P16)*Population_Tables!D16</f>
        <v>10.641189442208907</v>
      </c>
      <c r="D98" s="253">
        <f>(D150/Population_Tables!Q16)*Population_Tables!E16</f>
        <v>2.0883428546014775</v>
      </c>
      <c r="E98" s="253">
        <f>(E150/Population_Tables!R16)*Population_Tables!F16</f>
        <v>15.318945317388787</v>
      </c>
      <c r="F98" s="253">
        <f>(F150/Population_Tables!S16)*Population_Tables!G16</f>
        <v>4.9580398818093245</v>
      </c>
      <c r="G98" s="253">
        <f>(G150/Population_Tables!T16)*Population_Tables!H16</f>
        <v>1.8965815864620434</v>
      </c>
      <c r="H98" s="253">
        <f>(H150/Population_Tables!U16)*Population_Tables!I16</f>
        <v>9.4696078850899248</v>
      </c>
      <c r="I98" s="253">
        <f>(I150/Population_Tables!V16)*Population_Tables!J16</f>
        <v>3.2166255769955021</v>
      </c>
      <c r="J98" s="253">
        <f>(J150/Population_Tables!W16)*Population_Tables!K16</f>
        <v>4.0355939463741963</v>
      </c>
      <c r="K98" s="253">
        <f>(K150/Population_Tables!X16)*Population_Tables!L16</f>
        <v>4.4770605284750919</v>
      </c>
      <c r="L98" s="170"/>
      <c r="M98" s="170"/>
      <c r="N98" s="195">
        <f t="shared" si="9"/>
        <v>10.807377314108187</v>
      </c>
      <c r="O98" s="195">
        <f t="shared" si="11"/>
        <v>9.4696078850899248</v>
      </c>
      <c r="P98" s="195">
        <f t="shared" si="10"/>
        <v>14.626113883272426</v>
      </c>
      <c r="Q98" s="195">
        <f t="shared" si="12"/>
        <v>34.903099082470533</v>
      </c>
      <c r="R98" s="196">
        <f t="shared" si="13"/>
        <v>0.309639476098442</v>
      </c>
      <c r="S98" s="170"/>
      <c r="T98" s="170"/>
      <c r="U98" s="195">
        <f t="shared" si="18"/>
        <v>0.17540122818734183</v>
      </c>
      <c r="V98" s="195">
        <f t="shared" si="14"/>
        <v>0.10534461922176952</v>
      </c>
      <c r="W98" s="195">
        <f t="shared" si="14"/>
        <v>0.18102179365785709</v>
      </c>
      <c r="X98" s="195">
        <f t="shared" si="17"/>
        <v>0.46176764106696844</v>
      </c>
      <c r="Y98" s="207">
        <f t="shared" si="16"/>
        <v>0.37984737904556642</v>
      </c>
      <c r="AC98" s="251">
        <f t="shared" si="15"/>
        <v>1.2085165954022306</v>
      </c>
    </row>
    <row r="99" spans="1:29" ht="15.6" x14ac:dyDescent="0.3">
      <c r="A99" s="206">
        <v>2028</v>
      </c>
      <c r="B99" s="253">
        <f>(B151/Population_Tables!O17)*Population_Tables!C17</f>
        <v>41.248850382084328</v>
      </c>
      <c r="C99" s="253">
        <f>(C151/Population_Tables!P17)*Population_Tables!D17</f>
        <v>10.71542687082853</v>
      </c>
      <c r="D99" s="253">
        <f>(D151/Population_Tables!Q17)*Population_Tables!E17</f>
        <v>2.0991418507077739</v>
      </c>
      <c r="E99" s="253">
        <f>(E151/Population_Tables!R17)*Population_Tables!F17</f>
        <v>15.49341752253264</v>
      </c>
      <c r="F99" s="253">
        <f>(F151/Population_Tables!S17)*Population_Tables!G17</f>
        <v>5.0746301480959604</v>
      </c>
      <c r="G99" s="253">
        <f>(G151/Population_Tables!T17)*Population_Tables!H17</f>
        <v>1.9246249707030856</v>
      </c>
      <c r="H99" s="253">
        <f>(H151/Population_Tables!U17)*Population_Tables!I17</f>
        <v>9.5341061496374166</v>
      </c>
      <c r="I99" s="253">
        <f>(I151/Population_Tables!V17)*Population_Tables!J17</f>
        <v>3.2729956597136112</v>
      </c>
      <c r="J99" s="253">
        <f>(J151/Population_Tables!W17)*Population_Tables!K17</f>
        <v>4.0514309625982294</v>
      </c>
      <c r="K99" s="253">
        <f>(K151/Population_Tables!X17)*Population_Tables!L17</f>
        <v>4.5159214482828309</v>
      </c>
      <c r="L99" s="170"/>
      <c r="M99" s="170"/>
      <c r="N99" s="195">
        <f t="shared" si="9"/>
        <v>11.033941520991185</v>
      </c>
      <c r="O99" s="195">
        <f t="shared" si="11"/>
        <v>9.5341061496374166</v>
      </c>
      <c r="P99" s="195">
        <f t="shared" si="10"/>
        <v>14.73919369223939</v>
      </c>
      <c r="Q99" s="195">
        <f t="shared" si="12"/>
        <v>35.307241362867991</v>
      </c>
      <c r="R99" s="196">
        <f t="shared" si="13"/>
        <v>0.31251213901393576</v>
      </c>
      <c r="S99" s="170"/>
      <c r="T99" s="170"/>
      <c r="U99" s="195">
        <f t="shared" si="18"/>
        <v>0.21340571011316278</v>
      </c>
      <c r="V99" s="195">
        <f t="shared" si="14"/>
        <v>0.1261215301654719</v>
      </c>
      <c r="W99" s="195">
        <f t="shared" si="14"/>
        <v>0.21785534190511058</v>
      </c>
      <c r="X99" s="195">
        <f t="shared" si="17"/>
        <v>0.55738258218374526</v>
      </c>
      <c r="Y99" s="207">
        <f t="shared" si="16"/>
        <v>0.38287114978919817</v>
      </c>
      <c r="AC99" s="251">
        <f t="shared" si="15"/>
        <v>1.2088228968323953</v>
      </c>
    </row>
    <row r="100" spans="1:29" ht="15.6" x14ac:dyDescent="0.3">
      <c r="A100" s="206">
        <v>2029</v>
      </c>
      <c r="B100" s="253">
        <f>(B152/Population_Tables!O18)*Population_Tables!C18</f>
        <v>41.749769446210756</v>
      </c>
      <c r="C100" s="253">
        <f>(C152/Population_Tables!P18)*Population_Tables!D18</f>
        <v>10.791959074691663</v>
      </c>
      <c r="D100" s="253">
        <f>(D152/Population_Tables!Q18)*Population_Tables!E18</f>
        <v>2.109858401277843</v>
      </c>
      <c r="E100" s="253">
        <f>(E152/Population_Tables!R18)*Population_Tables!F18</f>
        <v>15.673436514830399</v>
      </c>
      <c r="F100" s="253">
        <f>(F152/Population_Tables!S18)*Population_Tables!G18</f>
        <v>5.1932320180205398</v>
      </c>
      <c r="G100" s="253">
        <f>(G152/Population_Tables!T18)*Population_Tables!H18</f>
        <v>1.9535234392954601</v>
      </c>
      <c r="H100" s="253">
        <f>(H152/Population_Tables!U18)*Population_Tables!I18</f>
        <v>9.6003311999857264</v>
      </c>
      <c r="I100" s="253">
        <f>(I152/Population_Tables!V18)*Population_Tables!J18</f>
        <v>3.3305942939595354</v>
      </c>
      <c r="J100" s="253">
        <f>(J152/Population_Tables!W18)*Population_Tables!K18</f>
        <v>4.0674803606880294</v>
      </c>
      <c r="K100" s="253">
        <f>(K152/Population_Tables!X18)*Population_Tables!L18</f>
        <v>4.5557274989637282</v>
      </c>
      <c r="L100" s="170"/>
      <c r="M100" s="170"/>
      <c r="N100" s="195">
        <f t="shared" si="9"/>
        <v>11.266337332865211</v>
      </c>
      <c r="O100" s="195">
        <f t="shared" si="11"/>
        <v>9.6003311999857264</v>
      </c>
      <c r="P100" s="195">
        <f t="shared" si="10"/>
        <v>14.855340915264964</v>
      </c>
      <c r="Q100" s="195">
        <f t="shared" si="12"/>
        <v>35.722009448115898</v>
      </c>
      <c r="R100" s="196">
        <f t="shared" si="13"/>
        <v>0.31538923780950506</v>
      </c>
      <c r="S100" s="170"/>
      <c r="T100" s="170"/>
      <c r="U100" s="195">
        <f t="shared" si="18"/>
        <v>0.25444316894339458</v>
      </c>
      <c r="V100" s="195">
        <f t="shared" si="14"/>
        <v>0.14822689134571654</v>
      </c>
      <c r="W100" s="195">
        <f t="shared" si="14"/>
        <v>0.25712085450974698</v>
      </c>
      <c r="X100" s="195">
        <f t="shared" si="17"/>
        <v>0.6597909147988581</v>
      </c>
      <c r="Y100" s="207">
        <f t="shared" si="16"/>
        <v>0.38564212273362897</v>
      </c>
      <c r="AC100" s="251">
        <f t="shared" si="15"/>
        <v>1.2087277991088068</v>
      </c>
    </row>
    <row r="101" spans="1:29" ht="15.6" x14ac:dyDescent="0.3">
      <c r="A101" s="206">
        <v>2030</v>
      </c>
      <c r="B101" s="253">
        <f>(B153/Population_Tables!O19)*Population_Tables!C19</f>
        <v>42.252805698736566</v>
      </c>
      <c r="C101" s="253">
        <f>(C153/Population_Tables!P19)*Population_Tables!D19</f>
        <v>10.870708263775121</v>
      </c>
      <c r="D101" s="253">
        <f>(D153/Population_Tables!Q19)*Population_Tables!E19</f>
        <v>2.1205129737968891</v>
      </c>
      <c r="E101" s="253">
        <f>(E153/Population_Tables!R19)*Population_Tables!F19</f>
        <v>15.858816121912355</v>
      </c>
      <c r="F101" s="253">
        <f>(F153/Population_Tables!S19)*Population_Tables!G19</f>
        <v>5.313778254483152</v>
      </c>
      <c r="G101" s="253">
        <f>(G153/Population_Tables!T19)*Population_Tables!H19</f>
        <v>1.9831858241158831</v>
      </c>
      <c r="H101" s="253">
        <f>(H153/Population_Tables!U19)*Population_Tables!I19</f>
        <v>9.6682054379885045</v>
      </c>
      <c r="I101" s="253">
        <f>(I153/Population_Tables!V19)*Population_Tables!J19</f>
        <v>3.3894208440144946</v>
      </c>
      <c r="J101" s="253">
        <f>(J153/Population_Tables!W19)*Population_Tables!K19</f>
        <v>4.0837539928322091</v>
      </c>
      <c r="K101" s="253">
        <f>(K153/Population_Tables!X19)*Population_Tables!L19</f>
        <v>4.5964596105878863</v>
      </c>
      <c r="L101" s="170"/>
      <c r="M101" s="170"/>
      <c r="N101" s="195">
        <f t="shared" si="9"/>
        <v>11.504388938407004</v>
      </c>
      <c r="O101" s="195">
        <f t="shared" si="11"/>
        <v>9.6682054379885045</v>
      </c>
      <c r="P101" s="195">
        <f t="shared" si="10"/>
        <v>14.974407061687893</v>
      </c>
      <c r="Q101" s="195">
        <f t="shared" si="12"/>
        <v>36.1470014380834</v>
      </c>
      <c r="R101" s="196">
        <f t="shared" si="13"/>
        <v>0.31826675742697497</v>
      </c>
      <c r="S101" s="170"/>
      <c r="T101" s="170"/>
      <c r="U101" s="195">
        <f t="shared" si="18"/>
        <v>0.29859772469049872</v>
      </c>
      <c r="V101" s="195">
        <f t="shared" si="14"/>
        <v>0.17170893221541306</v>
      </c>
      <c r="W101" s="195">
        <f t="shared" si="14"/>
        <v>0.29878963350083154</v>
      </c>
      <c r="X101" s="195">
        <f t="shared" si="17"/>
        <v>0.76909629040674332</v>
      </c>
      <c r="Y101" s="207">
        <f t="shared" si="16"/>
        <v>0.38824491603331318</v>
      </c>
      <c r="AC101" s="251">
        <f t="shared" si="15"/>
        <v>1.2082129297327346</v>
      </c>
    </row>
    <row r="102" spans="1:29" ht="15.6" x14ac:dyDescent="0.3">
      <c r="A102" s="206">
        <v>2031</v>
      </c>
      <c r="B102" s="253">
        <f>(B154/Population_Tables!O20)*Population_Tables!C20</f>
        <v>42.757751209945553</v>
      </c>
      <c r="C102" s="253">
        <f>(C154/Population_Tables!P20)*Population_Tables!D20</f>
        <v>10.951512305838145</v>
      </c>
      <c r="D102" s="253">
        <f>(D154/Population_Tables!Q20)*Population_Tables!E20</f>
        <v>2.1311328553902458</v>
      </c>
      <c r="E102" s="253">
        <f>(E154/Population_Tables!R20)*Population_Tables!F20</f>
        <v>16.049168486047623</v>
      </c>
      <c r="F102" s="253">
        <f>(F154/Population_Tables!S20)*Population_Tables!G20</f>
        <v>5.4362245274394443</v>
      </c>
      <c r="G102" s="253">
        <f>(G154/Population_Tables!T20)*Population_Tables!H20</f>
        <v>2.0135634016719703</v>
      </c>
      <c r="H102" s="253">
        <f>(H154/Population_Tables!U20)*Population_Tables!I20</f>
        <v>9.7375837708322255</v>
      </c>
      <c r="I102" s="253">
        <f>(I154/Population_Tables!V20)*Population_Tables!J20</f>
        <v>3.4494001160617849</v>
      </c>
      <c r="J102" s="253">
        <f>(J154/Population_Tables!W20)*Population_Tables!K20</f>
        <v>4.100237007912054</v>
      </c>
      <c r="K102" s="253">
        <f>(K154/Population_Tables!X20)*Population_Tables!L20</f>
        <v>4.6380537185925252</v>
      </c>
      <c r="L102" s="170"/>
      <c r="M102" s="170"/>
      <c r="N102" s="195">
        <f t="shared" si="9"/>
        <v>11.747809242654844</v>
      </c>
      <c r="O102" s="195">
        <f t="shared" si="11"/>
        <v>9.7375837708322255</v>
      </c>
      <c r="P102" s="195">
        <f t="shared" si="10"/>
        <v>15.096208562900362</v>
      </c>
      <c r="Q102" s="195">
        <f t="shared" si="12"/>
        <v>36.581601576387428</v>
      </c>
      <c r="R102" s="196">
        <f t="shared" si="13"/>
        <v>0.3211398281216255</v>
      </c>
      <c r="S102" s="170"/>
      <c r="T102" s="170"/>
      <c r="U102" s="195">
        <f t="shared" si="18"/>
        <v>0.34584221372847956</v>
      </c>
      <c r="V102" s="195">
        <f t="shared" si="14"/>
        <v>0.19654838756030024</v>
      </c>
      <c r="W102" s="195">
        <f t="shared" si="14"/>
        <v>0.3427979029608661</v>
      </c>
      <c r="X102" s="195">
        <f t="shared" si="17"/>
        <v>0.8851885042496459</v>
      </c>
      <c r="Y102" s="207">
        <f t="shared" si="16"/>
        <v>0.39069894386127635</v>
      </c>
      <c r="AC102" s="251">
        <f t="shared" si="15"/>
        <v>1.2073612328656196</v>
      </c>
    </row>
    <row r="103" spans="1:29" ht="15.6" x14ac:dyDescent="0.3">
      <c r="A103" s="206">
        <v>2032</v>
      </c>
      <c r="B103" s="253">
        <f>(B155/Population_Tables!O21)*Population_Tables!C21</f>
        <v>43.263739965563133</v>
      </c>
      <c r="C103" s="253">
        <f>(C155/Population_Tables!P21)*Population_Tables!D21</f>
        <v>11.034056844566672</v>
      </c>
      <c r="D103" s="253">
        <f>(D155/Population_Tables!Q21)*Population_Tables!E21</f>
        <v>2.1417287916924206</v>
      </c>
      <c r="E103" s="253">
        <f>(E155/Population_Tables!R21)*Population_Tables!F21</f>
        <v>16.243806123569595</v>
      </c>
      <c r="F103" s="253">
        <f>(F155/Population_Tables!S21)*Population_Tables!G21</f>
        <v>5.5604482847579249</v>
      </c>
      <c r="G103" s="253">
        <f>(G155/Population_Tables!T21)*Population_Tables!H21</f>
        <v>2.0445972679834536</v>
      </c>
      <c r="H103" s="253">
        <f>(H155/Population_Tables!U21)*Population_Tables!I21</f>
        <v>9.8081966028294705</v>
      </c>
      <c r="I103" s="253">
        <f>(I155/Population_Tables!V21)*Population_Tables!J21</f>
        <v>3.510370300627244</v>
      </c>
      <c r="J103" s="253">
        <f>(J155/Population_Tables!W21)*Population_Tables!K21</f>
        <v>4.1168670329233388</v>
      </c>
      <c r="K103" s="253">
        <f>(K155/Population_Tables!X21)*Population_Tables!L21</f>
        <v>4.6803673327903841</v>
      </c>
      <c r="L103" s="170"/>
      <c r="M103" s="170"/>
      <c r="N103" s="195">
        <f t="shared" si="9"/>
        <v>11.996057805498049</v>
      </c>
      <c r="O103" s="195">
        <f t="shared" si="11"/>
        <v>9.8081966028294705</v>
      </c>
      <c r="P103" s="195">
        <f t="shared" si="10"/>
        <v>15.220382904242546</v>
      </c>
      <c r="Q103" s="195">
        <f t="shared" si="12"/>
        <v>37.024637312570064</v>
      </c>
      <c r="R103" s="196">
        <f t="shared" si="13"/>
        <v>0.32400203421912582</v>
      </c>
      <c r="S103" s="170"/>
      <c r="T103" s="170"/>
      <c r="U103" s="195">
        <f t="shared" si="18"/>
        <v>0.39589612728237711</v>
      </c>
      <c r="V103" s="195">
        <f t="shared" si="14"/>
        <v>0.22260148929222012</v>
      </c>
      <c r="W103" s="195">
        <f t="shared" si="14"/>
        <v>0.38890294092035127</v>
      </c>
      <c r="X103" s="195">
        <f t="shared" si="17"/>
        <v>1.0074005574949485</v>
      </c>
      <c r="Y103" s="207">
        <f t="shared" si="16"/>
        <v>0.39298779848487653</v>
      </c>
      <c r="AC103" s="251">
        <f t="shared" si="15"/>
        <v>1.2062453227693448</v>
      </c>
    </row>
    <row r="104" spans="1:29" ht="15.6" x14ac:dyDescent="0.3">
      <c r="A104" s="206">
        <v>2033</v>
      </c>
      <c r="B104" s="253">
        <f>(B156/Population_Tables!O22)*Population_Tables!C22</f>
        <v>43.768861610842713</v>
      </c>
      <c r="C104" s="253">
        <f>(C156/Population_Tables!P22)*Population_Tables!D22</f>
        <v>11.117845180462369</v>
      </c>
      <c r="D104" s="253">
        <f>(D156/Population_Tables!Q22)*Population_Tables!E22</f>
        <v>2.1522676914518906</v>
      </c>
      <c r="E104" s="253">
        <f>(E156/Population_Tables!R22)*Population_Tables!F22</f>
        <v>16.441701965932886</v>
      </c>
      <c r="F104" s="253">
        <f>(F156/Population_Tables!S22)*Population_Tables!G22</f>
        <v>5.6861459562650634</v>
      </c>
      <c r="G104" s="253">
        <f>(G156/Population_Tables!T22)*Population_Tables!H22</f>
        <v>2.0761559365193478</v>
      </c>
      <c r="H104" s="253">
        <f>(H156/Population_Tables!U22)*Population_Tables!I22</f>
        <v>9.8796202090669336</v>
      </c>
      <c r="I104" s="253">
        <f>(I156/Population_Tables!V22)*Population_Tables!J22</f>
        <v>3.5720832804426754</v>
      </c>
      <c r="J104" s="253">
        <f>(J156/Population_Tables!W22)*Population_Tables!K22</f>
        <v>4.1335248807646492</v>
      </c>
      <c r="K104" s="253">
        <f>(K156/Population_Tables!X22)*Population_Tables!L22</f>
        <v>4.7231633514826026</v>
      </c>
      <c r="L104" s="170"/>
      <c r="M104" s="170"/>
      <c r="N104" s="195">
        <f t="shared" si="9"/>
        <v>12.248227713131017</v>
      </c>
      <c r="O104" s="195">
        <f t="shared" si="11"/>
        <v>9.8796202090669336</v>
      </c>
      <c r="P104" s="195">
        <f t="shared" si="10"/>
        <v>15.346268808433608</v>
      </c>
      <c r="Q104" s="195">
        <f t="shared" si="12"/>
        <v>37.474116730631557</v>
      </c>
      <c r="R104" s="196">
        <f t="shared" si="13"/>
        <v>0.32684500080876477</v>
      </c>
      <c r="S104" s="170"/>
      <c r="T104" s="170"/>
      <c r="U104" s="195">
        <f t="shared" si="18"/>
        <v>0.44811248288232086</v>
      </c>
      <c r="V104" s="195">
        <f t="shared" si="14"/>
        <v>0.24957034009712409</v>
      </c>
      <c r="W104" s="195">
        <f t="shared" si="14"/>
        <v>0.43656326278876811</v>
      </c>
      <c r="X104" s="195">
        <f t="shared" si="17"/>
        <v>1.1342460857682131</v>
      </c>
      <c r="Y104" s="207">
        <f t="shared" si="16"/>
        <v>0.39507518562765764</v>
      </c>
      <c r="AC104" s="251">
        <f t="shared" si="15"/>
        <v>1.2048633230056927</v>
      </c>
    </row>
    <row r="105" spans="1:29" ht="15.6" x14ac:dyDescent="0.3">
      <c r="A105" s="206">
        <v>2034</v>
      </c>
      <c r="B105" s="253">
        <f>(B157/Population_Tables!O23)*Population_Tables!C23</f>
        <v>44.270680208466707</v>
      </c>
      <c r="C105" s="253">
        <f>(C157/Population_Tables!P23)*Population_Tables!D23</f>
        <v>11.202267271606987</v>
      </c>
      <c r="D105" s="253">
        <f>(D157/Population_Tables!Q23)*Population_Tables!E23</f>
        <v>2.1626966021093526</v>
      </c>
      <c r="E105" s="253">
        <f>(E157/Population_Tables!R23)*Population_Tables!F23</f>
        <v>16.641615018210022</v>
      </c>
      <c r="F105" s="253">
        <f>(F157/Population_Tables!S23)*Population_Tables!G23</f>
        <v>5.8129389006073877</v>
      </c>
      <c r="G105" s="253">
        <f>(G157/Population_Tables!T23)*Population_Tables!H23</f>
        <v>2.1080818907422816</v>
      </c>
      <c r="H105" s="253">
        <f>(H157/Population_Tables!U23)*Population_Tables!I23</f>
        <v>9.951334481497927</v>
      </c>
      <c r="I105" s="253">
        <f>(I157/Population_Tables!V23)*Population_Tables!J23</f>
        <v>3.63423207931893</v>
      </c>
      <c r="J105" s="253">
        <f>(J157/Population_Tables!W23)*Population_Tables!K23</f>
        <v>4.1500538110069254</v>
      </c>
      <c r="K105" s="253">
        <f>(K157/Population_Tables!X23)*Population_Tables!L23</f>
        <v>4.7661488713983413</v>
      </c>
      <c r="L105" s="170"/>
      <c r="M105" s="170"/>
      <c r="N105" s="195">
        <f t="shared" si="9"/>
        <v>12.503219437319483</v>
      </c>
      <c r="O105" s="195">
        <f t="shared" si="11"/>
        <v>9.951334481497927</v>
      </c>
      <c r="P105" s="195">
        <f t="shared" si="10"/>
        <v>15.473045764458622</v>
      </c>
      <c r="Q105" s="195">
        <f t="shared" si="12"/>
        <v>37.927599683276028</v>
      </c>
      <c r="R105" s="196">
        <f t="shared" si="13"/>
        <v>0.32966018260398144</v>
      </c>
      <c r="S105" s="170"/>
      <c r="T105" s="170"/>
      <c r="U105" s="195">
        <f t="shared" si="18"/>
        <v>0.50165168362976864</v>
      </c>
      <c r="V105" s="195">
        <f t="shared" si="14"/>
        <v>0.2770606595275904</v>
      </c>
      <c r="W105" s="195">
        <f t="shared" si="14"/>
        <v>0.4850781502415078</v>
      </c>
      <c r="X105" s="195">
        <f t="shared" si="17"/>
        <v>1.2637904933988668</v>
      </c>
      <c r="Y105" s="207">
        <f t="shared" si="16"/>
        <v>0.3969421247034508</v>
      </c>
      <c r="AC105" s="251">
        <f t="shared" si="15"/>
        <v>1.2032249384280742</v>
      </c>
    </row>
    <row r="106" spans="1:29" ht="15.6" x14ac:dyDescent="0.3">
      <c r="A106" s="206">
        <v>2035</v>
      </c>
      <c r="B106" s="253">
        <f>(B158/Population_Tables!O24)*Population_Tables!C24</f>
        <v>44.767417801662809</v>
      </c>
      <c r="C106" s="253">
        <f>(C158/Population_Tables!P24)*Population_Tables!D24</f>
        <v>11.286833968713466</v>
      </c>
      <c r="D106" s="253">
        <f>(D158/Population_Tables!Q24)*Population_Tables!E24</f>
        <v>2.1729841550357394</v>
      </c>
      <c r="E106" s="253">
        <f>(E158/Population_Tables!R24)*Population_Tables!F24</f>
        <v>16.84254405487733</v>
      </c>
      <c r="F106" s="253">
        <f>(F158/Population_Tables!S24)*Population_Tables!G24</f>
        <v>5.9405434245260551</v>
      </c>
      <c r="G106" s="253">
        <f>(G158/Population_Tables!T24)*Population_Tables!H24</f>
        <v>2.1402456134004813</v>
      </c>
      <c r="H106" s="253">
        <f>(H158/Population_Tables!U24)*Population_Tables!I24</f>
        <v>10.022914599813499</v>
      </c>
      <c r="I106" s="253">
        <f>(I158/Population_Tables!V24)*Population_Tables!J24</f>
        <v>3.6965731969709532</v>
      </c>
      <c r="J106" s="253">
        <f>(J158/Population_Tables!W24)*Population_Tables!K24</f>
        <v>4.1663371379783545</v>
      </c>
      <c r="K106" s="253">
        <f>(K158/Population_Tables!X24)*Population_Tables!L24</f>
        <v>4.8090938539403183</v>
      </c>
      <c r="L106" s="170"/>
      <c r="M106" s="170"/>
      <c r="N106" s="195">
        <f t="shared" si="9"/>
        <v>12.760172879589886</v>
      </c>
      <c r="O106" s="195">
        <f t="shared" si="11"/>
        <v>10.022914599813499</v>
      </c>
      <c r="P106" s="195">
        <f t="shared" si="10"/>
        <v>15.600063737149686</v>
      </c>
      <c r="Q106" s="195">
        <f t="shared" si="12"/>
        <v>38.383151216553067</v>
      </c>
      <c r="R106" s="196">
        <f t="shared" si="13"/>
        <v>0.33244203446451137</v>
      </c>
      <c r="S106" s="170"/>
      <c r="T106" s="170"/>
      <c r="U106" s="195">
        <f t="shared" si="18"/>
        <v>0.55591356238688228</v>
      </c>
      <c r="V106" s="195">
        <f t="shared" si="14"/>
        <v>0.30477345487392604</v>
      </c>
      <c r="W106" s="195">
        <f t="shared" si="14"/>
        <v>0.53391736080099506</v>
      </c>
      <c r="X106" s="195">
        <f t="shared" si="17"/>
        <v>1.3946043780618034</v>
      </c>
      <c r="Y106" s="207">
        <f t="shared" si="16"/>
        <v>0.39861739367223353</v>
      </c>
      <c r="AC106" s="251">
        <f t="shared" si="15"/>
        <v>1.2013675505540318</v>
      </c>
    </row>
    <row r="107" spans="1:29" ht="15.6" x14ac:dyDescent="0.3">
      <c r="A107" s="206">
        <v>2036</v>
      </c>
      <c r="B107" s="253">
        <f>(B159/Population_Tables!O25)*Population_Tables!C25</f>
        <v>45.258299205761674</v>
      </c>
      <c r="C107" s="253">
        <f>(C159/Population_Tables!P25)*Population_Tables!D25</f>
        <v>11.371245177504315</v>
      </c>
      <c r="D107" s="253">
        <f>(D159/Population_Tables!Q25)*Population_Tables!E25</f>
        <v>2.1831300486226652</v>
      </c>
      <c r="E107" s="253">
        <f>(E159/Population_Tables!R25)*Population_Tables!F25</f>
        <v>17.043869980642675</v>
      </c>
      <c r="F107" s="253">
        <f>(F159/Population_Tables!S25)*Population_Tables!G25</f>
        <v>6.0688209510492204</v>
      </c>
      <c r="G107" s="253">
        <f>(G159/Population_Tables!T25)*Population_Tables!H25</f>
        <v>2.1725591358948373</v>
      </c>
      <c r="H107" s="253">
        <f>(H159/Population_Tables!U25)*Population_Tables!I25</f>
        <v>10.094090551193572</v>
      </c>
      <c r="I107" s="253">
        <f>(I159/Population_Tables!V25)*Population_Tables!J25</f>
        <v>3.7589747045254827</v>
      </c>
      <c r="J107" s="253">
        <f>(J159/Population_Tables!W25)*Population_Tables!K25</f>
        <v>4.1823145938931816</v>
      </c>
      <c r="K107" s="253">
        <f>(K159/Population_Tables!X25)*Population_Tables!L25</f>
        <v>4.851870072583762</v>
      </c>
      <c r="L107" s="170"/>
      <c r="M107" s="170"/>
      <c r="N107" s="195">
        <f t="shared" si="9"/>
        <v>13.018600380498322</v>
      </c>
      <c r="O107" s="195">
        <f t="shared" si="11"/>
        <v>10.094090551193572</v>
      </c>
      <c r="P107" s="195">
        <f t="shared" si="10"/>
        <v>15.726934362021819</v>
      </c>
      <c r="Q107" s="195">
        <f t="shared" si="12"/>
        <v>38.839625293713716</v>
      </c>
      <c r="R107" s="196">
        <f t="shared" si="13"/>
        <v>0.33518861940734052</v>
      </c>
      <c r="S107" s="170"/>
      <c r="T107" s="170"/>
      <c r="U107" s="195">
        <f t="shared" si="18"/>
        <v>0.61067039104548293</v>
      </c>
      <c r="V107" s="195">
        <f t="shared" si="14"/>
        <v>0.33256454091531573</v>
      </c>
      <c r="W107" s="195">
        <f t="shared" si="14"/>
        <v>0.58281232267256833</v>
      </c>
      <c r="X107" s="195">
        <f t="shared" si="17"/>
        <v>1.526047254633367</v>
      </c>
      <c r="Y107" s="207">
        <f t="shared" si="16"/>
        <v>0.40016479777501812</v>
      </c>
      <c r="AC107" s="251">
        <f t="shared" si="15"/>
        <v>1.1993474900290211</v>
      </c>
    </row>
    <row r="108" spans="1:29" ht="15.6" x14ac:dyDescent="0.3">
      <c r="A108" s="206">
        <v>2037</v>
      </c>
      <c r="B108" s="253">
        <f>(B160/Population_Tables!O26)*Population_Tables!C26</f>
        <v>45.743648658559579</v>
      </c>
      <c r="C108" s="253">
        <f>(C160/Population_Tables!P26)*Population_Tables!D26</f>
        <v>11.455416875996256</v>
      </c>
      <c r="D108" s="253">
        <f>(D160/Population_Tables!Q26)*Population_Tables!E26</f>
        <v>2.1931763536149864</v>
      </c>
      <c r="E108" s="253">
        <f>(E160/Population_Tables!R26)*Population_Tables!F26</f>
        <v>17.245392898985319</v>
      </c>
      <c r="F108" s="253">
        <f>(F160/Population_Tables!S26)*Population_Tables!G26</f>
        <v>6.1977870138523494</v>
      </c>
      <c r="G108" s="253">
        <f>(G160/Population_Tables!T26)*Population_Tables!H26</f>
        <v>2.2049871412280635</v>
      </c>
      <c r="H108" s="253">
        <f>(H160/Population_Tables!U26)*Population_Tables!I26</f>
        <v>10.16477316040762</v>
      </c>
      <c r="I108" s="253">
        <f>(I160/Population_Tables!V26)*Population_Tables!J26</f>
        <v>3.8214107649227378</v>
      </c>
      <c r="J108" s="253">
        <f>(J160/Population_Tables!W26)*Population_Tables!K26</f>
        <v>4.1980003667484249</v>
      </c>
      <c r="K108" s="253">
        <f>(K160/Population_Tables!X26)*Population_Tables!L26</f>
        <v>4.8944546559434849</v>
      </c>
      <c r="L108" s="170"/>
      <c r="M108" s="170"/>
      <c r="N108" s="195">
        <f t="shared" si="9"/>
        <v>13.278406752430048</v>
      </c>
      <c r="O108" s="195">
        <f t="shared" si="11"/>
        <v>10.16477316040762</v>
      </c>
      <c r="P108" s="195">
        <f t="shared" si="10"/>
        <v>15.853580370839307</v>
      </c>
      <c r="Q108" s="195">
        <f t="shared" si="12"/>
        <v>39.296760283676974</v>
      </c>
      <c r="R108" s="196">
        <f t="shared" si="13"/>
        <v>0.33790080038597003</v>
      </c>
      <c r="S108" s="170"/>
      <c r="T108" s="170"/>
      <c r="U108" s="195">
        <f t="shared" si="18"/>
        <v>0.66608691332655745</v>
      </c>
      <c r="V108" s="195">
        <f t="shared" si="14"/>
        <v>0.36047057002049421</v>
      </c>
      <c r="W108" s="195">
        <f t="shared" si="14"/>
        <v>0.63180556031083057</v>
      </c>
      <c r="X108" s="195">
        <f t="shared" si="17"/>
        <v>1.6583630436578822</v>
      </c>
      <c r="Y108" s="207">
        <f t="shared" si="16"/>
        <v>0.40165325431840132</v>
      </c>
      <c r="AC108" s="251">
        <f t="shared" si="15"/>
        <v>1.1972251676335286</v>
      </c>
    </row>
    <row r="109" spans="1:29" ht="15.6" x14ac:dyDescent="0.3">
      <c r="A109" s="206">
        <v>2038</v>
      </c>
      <c r="B109" s="253">
        <f>(B161/Population_Tables!O27)*Population_Tables!C27</f>
        <v>46.224203344305835</v>
      </c>
      <c r="C109" s="253">
        <f>(C161/Population_Tables!P27)*Population_Tables!D27</f>
        <v>11.539350077634596</v>
      </c>
      <c r="D109" s="253">
        <f>(D161/Population_Tables!Q27)*Population_Tables!E27</f>
        <v>2.2031851589367148</v>
      </c>
      <c r="E109" s="253">
        <f>(E161/Population_Tables!R27)*Population_Tables!F27</f>
        <v>17.447062111881845</v>
      </c>
      <c r="F109" s="253">
        <f>(F161/Population_Tables!S27)*Population_Tables!G27</f>
        <v>6.3275096430612159</v>
      </c>
      <c r="G109" s="253">
        <f>(G161/Population_Tables!T27)*Population_Tables!H27</f>
        <v>2.2375243579986783</v>
      </c>
      <c r="H109" s="253">
        <f>(H161/Population_Tables!U27)*Population_Tables!I27</f>
        <v>10.234946174736431</v>
      </c>
      <c r="I109" s="253">
        <f>(I161/Population_Tables!V27)*Population_Tables!J27</f>
        <v>3.8838792167022937</v>
      </c>
      <c r="J109" s="253">
        <f>(J161/Population_Tables!W27)*Population_Tables!K27</f>
        <v>4.2134414354429204</v>
      </c>
      <c r="K109" s="253">
        <f>(K161/Population_Tables!X27)*Population_Tables!L27</f>
        <v>4.9368574669307375</v>
      </c>
      <c r="L109" s="170"/>
      <c r="M109" s="170"/>
      <c r="N109" s="195">
        <f t="shared" si="9"/>
        <v>13.53962558020663</v>
      </c>
      <c r="O109" s="195">
        <f t="shared" si="11"/>
        <v>10.234946174736431</v>
      </c>
      <c r="P109" s="195">
        <f t="shared" si="10"/>
        <v>15.980059594569989</v>
      </c>
      <c r="Q109" s="195">
        <f t="shared" si="12"/>
        <v>39.754631349513048</v>
      </c>
      <c r="R109" s="196">
        <f t="shared" si="13"/>
        <v>0.34057982983591362</v>
      </c>
      <c r="S109" s="170"/>
      <c r="T109" s="170"/>
      <c r="U109" s="195">
        <f t="shared" si="18"/>
        <v>0.72245664538739263</v>
      </c>
      <c r="V109" s="195">
        <f t="shared" si="14"/>
        <v>0.38860111706950917</v>
      </c>
      <c r="W109" s="195">
        <f t="shared" si="14"/>
        <v>0.68107469737394588</v>
      </c>
      <c r="X109" s="195">
        <f t="shared" si="17"/>
        <v>1.7921324598308477</v>
      </c>
      <c r="Y109" s="207">
        <f t="shared" si="16"/>
        <v>0.40312681209712725</v>
      </c>
      <c r="AC109" s="251">
        <f t="shared" si="15"/>
        <v>1.1950504570441229</v>
      </c>
    </row>
    <row r="110" spans="1:29" ht="15.6" x14ac:dyDescent="0.3">
      <c r="A110" s="206">
        <v>2039</v>
      </c>
      <c r="B110" s="253">
        <f>(B162/Population_Tables!O28)*Population_Tables!C28</f>
        <v>46.70125167896466</v>
      </c>
      <c r="C110" s="253">
        <f>(C162/Population_Tables!P28)*Population_Tables!D28</f>
        <v>11.6231598233089</v>
      </c>
      <c r="D110" s="253">
        <f>(D162/Population_Tables!Q28)*Population_Tables!E28</f>
        <v>2.2132434449435725</v>
      </c>
      <c r="E110" s="253">
        <f>(E162/Population_Tables!R28)*Population_Tables!F28</f>
        <v>17.649045414447215</v>
      </c>
      <c r="F110" s="253">
        <f>(F162/Population_Tables!S28)*Population_Tables!G28</f>
        <v>6.4581296002485864</v>
      </c>
      <c r="G110" s="253">
        <f>(G162/Population_Tables!T28)*Population_Tables!H28</f>
        <v>2.2701941651241011</v>
      </c>
      <c r="H110" s="253">
        <f>(H162/Population_Tables!U28)*Population_Tables!I28</f>
        <v>10.304692727211654</v>
      </c>
      <c r="I110" s="253">
        <f>(I162/Population_Tables!V28)*Population_Tables!J28</f>
        <v>3.9464303301875505</v>
      </c>
      <c r="J110" s="253">
        <f>(J162/Population_Tables!W28)*Population_Tables!K28</f>
        <v>4.2287265403345682</v>
      </c>
      <c r="K110" s="253">
        <f>(K162/Population_Tables!X28)*Population_Tables!L28</f>
        <v>4.9791406310860209</v>
      </c>
      <c r="L110" s="170"/>
      <c r="M110" s="170"/>
      <c r="N110" s="195">
        <f t="shared" si="9"/>
        <v>13.802482287484148</v>
      </c>
      <c r="O110" s="195">
        <f t="shared" si="11"/>
        <v>10.304692727211654</v>
      </c>
      <c r="P110" s="195">
        <f t="shared" si="10"/>
        <v>16.106597433376571</v>
      </c>
      <c r="Q110" s="195">
        <f t="shared" si="12"/>
        <v>40.213772448072369</v>
      </c>
      <c r="R110" s="196">
        <f t="shared" si="13"/>
        <v>0.34322774132437217</v>
      </c>
      <c r="S110" s="170"/>
      <c r="T110" s="170"/>
      <c r="U110" s="195">
        <f t="shared" si="18"/>
        <v>0.78026494221979092</v>
      </c>
      <c r="V110" s="195">
        <f t="shared" si="14"/>
        <v>0.41716514269327476</v>
      </c>
      <c r="W110" s="195">
        <f t="shared" si="14"/>
        <v>0.73096492671493785</v>
      </c>
      <c r="X110" s="195">
        <f t="shared" si="17"/>
        <v>1.9283950116280035</v>
      </c>
      <c r="Y110" s="207">
        <f t="shared" si="16"/>
        <v>0.4046188345825838</v>
      </c>
      <c r="AC110" s="251">
        <f t="shared" si="15"/>
        <v>1.1928643111994348</v>
      </c>
    </row>
    <row r="111" spans="1:29" ht="15.6" x14ac:dyDescent="0.3">
      <c r="A111" s="206">
        <v>2040</v>
      </c>
      <c r="B111" s="253">
        <f>(B163/Population_Tables!O29)*Population_Tables!C29</f>
        <v>47.175861693107535</v>
      </c>
      <c r="C111" s="253">
        <f>(C163/Population_Tables!P29)*Population_Tables!D29</f>
        <v>11.706914548574193</v>
      </c>
      <c r="D111" s="253">
        <f>(D163/Population_Tables!Q29)*Population_Tables!E29</f>
        <v>2.2234273352204657</v>
      </c>
      <c r="E111" s="253">
        <f>(E163/Population_Tables!R29)*Population_Tables!F29</f>
        <v>17.851435419315195</v>
      </c>
      <c r="F111" s="253">
        <f>(F163/Population_Tables!S29)*Population_Tables!G29</f>
        <v>6.5897538399784246</v>
      </c>
      <c r="G111" s="253">
        <f>(G163/Population_Tables!T29)*Population_Tables!H29</f>
        <v>2.3030087168329221</v>
      </c>
      <c r="H111" s="253">
        <f>(H163/Population_Tables!U29)*Population_Tables!I29</f>
        <v>10.374060786329297</v>
      </c>
      <c r="I111" s="253">
        <f>(I163/Population_Tables!V29)*Population_Tables!J29</f>
        <v>4.0091031533206616</v>
      </c>
      <c r="J111" s="253">
        <f>(J163/Population_Tables!W29)*Population_Tables!K29</f>
        <v>4.2439258463219849</v>
      </c>
      <c r="K111" s="253">
        <f>(K163/Population_Tables!X29)*Population_Tables!L29</f>
        <v>5.0213470656855943</v>
      </c>
      <c r="L111" s="170"/>
      <c r="M111" s="170"/>
      <c r="N111" s="195">
        <f t="shared" si="9"/>
        <v>14.067128472964322</v>
      </c>
      <c r="O111" s="195">
        <f t="shared" si="11"/>
        <v>10.374060786329297</v>
      </c>
      <c r="P111" s="195">
        <f t="shared" si="10"/>
        <v>16.233350600627581</v>
      </c>
      <c r="Q111" s="195">
        <f t="shared" si="12"/>
        <v>40.674539859921197</v>
      </c>
      <c r="R111" s="196">
        <f>N111/Q111</f>
        <v>0.34584603836724453</v>
      </c>
      <c r="S111" s="170"/>
      <c r="T111" s="170"/>
      <c r="U111" s="195">
        <f t="shared" si="18"/>
        <v>0.83992333386120066</v>
      </c>
      <c r="V111" s="195">
        <f t="shared" si="14"/>
        <v>0.44633644298705732</v>
      </c>
      <c r="W111" s="195">
        <f t="shared" si="14"/>
        <v>0.7817527543926559</v>
      </c>
      <c r="X111" s="195">
        <f t="shared" si="17"/>
        <v>2.0680125312409139</v>
      </c>
      <c r="Y111" s="207">
        <f t="shared" si="16"/>
        <v>0.40615002142042317</v>
      </c>
      <c r="AC111" s="251">
        <f t="shared" si="15"/>
        <v>1.1906971464139837</v>
      </c>
    </row>
    <row r="112" spans="1:29" ht="15.6" x14ac:dyDescent="0.3">
      <c r="A112" s="206">
        <v>2041</v>
      </c>
      <c r="B112" s="253">
        <f>(B164/Population_Tables!O30)*Population_Tables!C30</f>
        <v>47.64825571082369</v>
      </c>
      <c r="C112" s="253">
        <f>(C164/Population_Tables!P30)*Population_Tables!D30</f>
        <v>11.79054038098413</v>
      </c>
      <c r="D112" s="253">
        <f>(D164/Population_Tables!Q30)*Population_Tables!E30</f>
        <v>2.2337783987601187</v>
      </c>
      <c r="E112" s="253">
        <f>(E164/Population_Tables!R30)*Population_Tables!F30</f>
        <v>18.05399209031086</v>
      </c>
      <c r="F112" s="253">
        <f>(F164/Population_Tables!S30)*Population_Tables!G30</f>
        <v>6.7223694742212796</v>
      </c>
      <c r="G112" s="253">
        <f>(G164/Population_Tables!T30)*Population_Tables!H30</f>
        <v>2.3359330800907623</v>
      </c>
      <c r="H112" s="253">
        <f>(H164/Population_Tables!U30)*Population_Tables!I30</f>
        <v>10.442947731270571</v>
      </c>
      <c r="I112" s="253">
        <f>(I164/Population_Tables!V30)*Population_Tables!J30</f>
        <v>4.0718607002902978</v>
      </c>
      <c r="J112" s="253">
        <f>(J164/Population_Tables!W30)*Population_Tables!K30</f>
        <v>4.2590577750016481</v>
      </c>
      <c r="K112" s="253">
        <f>(K164/Population_Tables!X30)*Population_Tables!L30</f>
        <v>5.0634520095863502</v>
      </c>
      <c r="L112" s="170"/>
      <c r="M112" s="170"/>
      <c r="N112" s="195">
        <f t="shared" si="9"/>
        <v>14.333413833261567</v>
      </c>
      <c r="O112" s="195">
        <f t="shared" si="11"/>
        <v>10.442947731270571</v>
      </c>
      <c r="P112" s="195">
        <f t="shared" si="10"/>
        <v>16.36025185983501</v>
      </c>
      <c r="Q112" s="195">
        <f t="shared" si="12"/>
        <v>41.136613424367148</v>
      </c>
      <c r="R112" s="196">
        <f t="shared" si="13"/>
        <v>0.34843446361024977</v>
      </c>
      <c r="S112" s="170"/>
      <c r="T112" s="170"/>
      <c r="U112" s="195">
        <f t="shared" si="18"/>
        <v>0.90154144826176719</v>
      </c>
      <c r="V112" s="195">
        <f t="shared" si="14"/>
        <v>0.47613822473132927</v>
      </c>
      <c r="W112" s="195">
        <f t="shared" si="14"/>
        <v>0.83349073660940931</v>
      </c>
      <c r="X112" s="195">
        <f t="shared" si="17"/>
        <v>2.2111704096025058</v>
      </c>
      <c r="Y112" s="207">
        <f t="shared" si="16"/>
        <v>0.40772137884381066</v>
      </c>
      <c r="AC112" s="251">
        <f t="shared" si="15"/>
        <v>1.1885561262818478</v>
      </c>
    </row>
    <row r="113" spans="1:29" ht="15.6" x14ac:dyDescent="0.3">
      <c r="A113" s="206">
        <v>2042</v>
      </c>
      <c r="B113" s="253">
        <f>(B165/Population_Tables!O31)*Population_Tables!C31</f>
        <v>48.118439952072009</v>
      </c>
      <c r="C113" s="253">
        <f>(C165/Population_Tables!P31)*Population_Tables!D31</f>
        <v>11.87389345881699</v>
      </c>
      <c r="D113" s="253">
        <f>(D165/Population_Tables!Q31)*Population_Tables!E31</f>
        <v>2.2443247452303501</v>
      </c>
      <c r="E113" s="253">
        <f>(E165/Population_Tables!R31)*Population_Tables!F31</f>
        <v>18.256408082250449</v>
      </c>
      <c r="F113" s="253">
        <f>(F165/Population_Tables!S31)*Population_Tables!G31</f>
        <v>6.8559307355717589</v>
      </c>
      <c r="G113" s="253">
        <f>(G165/Population_Tables!T31)*Population_Tables!H31</f>
        <v>2.3689155321994453</v>
      </c>
      <c r="H113" s="253">
        <f>(H165/Population_Tables!U31)*Population_Tables!I31</f>
        <v>10.511211479817131</v>
      </c>
      <c r="I113" s="253">
        <f>(I165/Population_Tables!V31)*Population_Tables!J31</f>
        <v>4.1346639907056151</v>
      </c>
      <c r="J113" s="253">
        <f>(J165/Population_Tables!W31)*Population_Tables!K31</f>
        <v>4.2741141872086841</v>
      </c>
      <c r="K113" s="253">
        <f>(K165/Population_Tables!X31)*Population_Tables!L31</f>
        <v>5.1054043134772948</v>
      </c>
      <c r="L113" s="170"/>
      <c r="M113" s="170"/>
      <c r="N113" s="195">
        <f t="shared" si="9"/>
        <v>14.601127338005075</v>
      </c>
      <c r="O113" s="195">
        <f t="shared" si="11"/>
        <v>10.511211479817131</v>
      </c>
      <c r="P113" s="195">
        <f t="shared" si="10"/>
        <v>16.487133736246786</v>
      </c>
      <c r="Q113" s="195">
        <f t="shared" si="12"/>
        <v>41.599472554068996</v>
      </c>
      <c r="R113" s="196">
        <f t="shared" si="13"/>
        <v>0.35099308817022212</v>
      </c>
      <c r="S113" s="170"/>
      <c r="T113" s="170"/>
      <c r="U113" s="195">
        <f t="shared" si="18"/>
        <v>0.9651681863863999</v>
      </c>
      <c r="V113" s="195">
        <f t="shared" si="14"/>
        <v>0.506554233307007</v>
      </c>
      <c r="W113" s="195">
        <f t="shared" si="14"/>
        <v>0.88613119130345019</v>
      </c>
      <c r="X113" s="195">
        <f t="shared" si="17"/>
        <v>2.3578536109968571</v>
      </c>
      <c r="Y113" s="207">
        <f t="shared" si="16"/>
        <v>0.40934186154938795</v>
      </c>
      <c r="AC113" s="251">
        <f t="shared" si="15"/>
        <v>1.1864563367486129</v>
      </c>
    </row>
    <row r="114" spans="1:29" ht="15.6" x14ac:dyDescent="0.3">
      <c r="A114" s="206">
        <v>2043</v>
      </c>
      <c r="B114" s="253">
        <f>(B166/Population_Tables!O32)*Population_Tables!C32</f>
        <v>48.587086453249363</v>
      </c>
      <c r="C114" s="253">
        <f>(C166/Population_Tables!P32)*Population_Tables!D32</f>
        <v>11.956923304204608</v>
      </c>
      <c r="D114" s="253">
        <f>(D166/Population_Tables!Q32)*Population_Tables!E32</f>
        <v>2.2551155233146734</v>
      </c>
      <c r="E114" s="253">
        <f>(E166/Population_Tables!R32)*Population_Tables!F32</f>
        <v>18.458664451932204</v>
      </c>
      <c r="F114" s="253">
        <f>(F166/Population_Tables!S32)*Population_Tables!G32</f>
        <v>6.9904818337136083</v>
      </c>
      <c r="G114" s="253">
        <f>(G166/Population_Tables!T32)*Population_Tables!H32</f>
        <v>2.4019339761157243</v>
      </c>
      <c r="H114" s="253">
        <f>(H166/Population_Tables!U32)*Population_Tables!I32</f>
        <v>10.578833022291573</v>
      </c>
      <c r="I114" s="253">
        <f>(I166/Population_Tables!V32)*Population_Tables!J32</f>
        <v>4.1975595859653012</v>
      </c>
      <c r="J114" s="253">
        <f>(J166/Population_Tables!W32)*Population_Tables!K32</f>
        <v>4.2891189055347052</v>
      </c>
      <c r="K114" s="253">
        <f>(K166/Population_Tables!X32)*Population_Tables!L32</f>
        <v>5.1471982077929335</v>
      </c>
      <c r="L114" s="170"/>
      <c r="M114" s="170"/>
      <c r="N114" s="195">
        <f t="shared" si="9"/>
        <v>14.870313263354241</v>
      </c>
      <c r="O114" s="195">
        <f t="shared" si="11"/>
        <v>10.578833022291573</v>
      </c>
      <c r="P114" s="195">
        <f t="shared" si="10"/>
        <v>16.613972803635004</v>
      </c>
      <c r="Q114" s="195">
        <f t="shared" si="12"/>
        <v>42.063119089280818</v>
      </c>
      <c r="R114" s="196">
        <f t="shared" si="13"/>
        <v>0.35352378961225744</v>
      </c>
      <c r="S114" s="170"/>
      <c r="T114" s="170"/>
      <c r="U114" s="195">
        <f t="shared" si="18"/>
        <v>1.0311077557302255</v>
      </c>
      <c r="V114" s="195">
        <f t="shared" si="14"/>
        <v>0.53769128663594756</v>
      </c>
      <c r="W114" s="195">
        <f t="shared" si="14"/>
        <v>0.93977048493719195</v>
      </c>
      <c r="X114" s="195">
        <f t="shared" si="17"/>
        <v>2.508569527303365</v>
      </c>
      <c r="Y114" s="207">
        <f t="shared" si="16"/>
        <v>0.41103415492678591</v>
      </c>
      <c r="AC114" s="251">
        <f t="shared" si="15"/>
        <v>1.1844277336843925</v>
      </c>
    </row>
    <row r="115" spans="1:29" ht="15.6" x14ac:dyDescent="0.3">
      <c r="A115" s="206">
        <v>2044</v>
      </c>
      <c r="B115" s="253">
        <f>(B167/Population_Tables!O33)*Population_Tables!C33</f>
        <v>49.05496979306367</v>
      </c>
      <c r="C115" s="253">
        <f>(C167/Population_Tables!P33)*Population_Tables!D33</f>
        <v>12.039580510170079</v>
      </c>
      <c r="D115" s="253">
        <f>(D167/Population_Tables!Q33)*Population_Tables!E33</f>
        <v>2.2662003062885234</v>
      </c>
      <c r="E115" s="253">
        <f>(E167/Population_Tables!R33)*Population_Tables!F33</f>
        <v>18.660803827469973</v>
      </c>
      <c r="F115" s="253">
        <f>(F167/Population_Tables!S33)*Population_Tables!G33</f>
        <v>7.1260768022770788</v>
      </c>
      <c r="G115" s="253">
        <f>(G167/Population_Tables!T33)*Population_Tables!H33</f>
        <v>2.4349683730733087</v>
      </c>
      <c r="H115" s="253">
        <f>(H167/Population_Tables!U33)*Population_Tables!I33</f>
        <v>10.645816889364482</v>
      </c>
      <c r="I115" s="253">
        <f>(I167/Population_Tables!V33)*Population_Tables!J33</f>
        <v>4.2606191907444444</v>
      </c>
      <c r="J115" s="253">
        <f>(J167/Population_Tables!W33)*Population_Tables!K33</f>
        <v>4.3040951281344899</v>
      </c>
      <c r="K115" s="253">
        <f>(K167/Population_Tables!X33)*Population_Tables!L33</f>
        <v>5.1888323582735421</v>
      </c>
      <c r="L115" s="170"/>
      <c r="M115" s="170"/>
      <c r="N115" s="195">
        <f t="shared" si="9"/>
        <v>15.14106374038257</v>
      </c>
      <c r="O115" s="195">
        <f t="shared" si="11"/>
        <v>10.645816889364482</v>
      </c>
      <c r="P115" s="195">
        <f t="shared" si="10"/>
        <v>16.740749189531911</v>
      </c>
      <c r="Q115" s="195">
        <f t="shared" si="12"/>
        <v>42.527629819278964</v>
      </c>
      <c r="R115" s="196">
        <f t="shared" si="13"/>
        <v>0.35602886416958751</v>
      </c>
      <c r="S115" s="170"/>
      <c r="T115" s="170"/>
      <c r="U115" s="195">
        <f t="shared" si="18"/>
        <v>1.0997122187024697</v>
      </c>
      <c r="V115" s="195">
        <f t="shared" si="14"/>
        <v>0.56967974298799895</v>
      </c>
      <c r="W115" s="195">
        <f t="shared" si="14"/>
        <v>0.99450853773319992</v>
      </c>
      <c r="X115" s="195">
        <f t="shared" si="17"/>
        <v>2.6639004994236686</v>
      </c>
      <c r="Y115" s="207">
        <f t="shared" si="16"/>
        <v>0.41282030576607159</v>
      </c>
      <c r="AC115" s="251">
        <f t="shared" si="15"/>
        <v>1.1824997226203136</v>
      </c>
    </row>
    <row r="116" spans="1:29" ht="15.6" x14ac:dyDescent="0.3">
      <c r="A116" s="206">
        <v>2045</v>
      </c>
      <c r="B116" s="253">
        <f>(B168/Population_Tables!O34)*Population_Tables!C34</f>
        <v>49.522768005260033</v>
      </c>
      <c r="C116" s="253">
        <f>(C168/Population_Tables!P34)*Population_Tables!D34</f>
        <v>12.121828366832441</v>
      </c>
      <c r="D116" s="253">
        <f>(D168/Population_Tables!Q34)*Population_Tables!E34</f>
        <v>2.2776293771082932</v>
      </c>
      <c r="E116" s="253">
        <f>(E168/Population_Tables!R34)*Population_Tables!F34</f>
        <v>18.862817666274132</v>
      </c>
      <c r="F116" s="253">
        <f>(F168/Population_Tables!S34)*Population_Tables!G34</f>
        <v>7.2627545363330075</v>
      </c>
      <c r="G116" s="253">
        <f>(G168/Population_Tables!T34)*Population_Tables!H34</f>
        <v>2.4679963260755295</v>
      </c>
      <c r="H116" s="253">
        <f>(H168/Population_Tables!U34)*Population_Tables!I34</f>
        <v>10.712149606826371</v>
      </c>
      <c r="I116" s="253">
        <f>(I168/Population_Tables!V34)*Population_Tables!J34</f>
        <v>4.3238982684982759</v>
      </c>
      <c r="J116" s="253">
        <f>(J168/Population_Tables!W34)*Population_Tables!K34</f>
        <v>4.3190702586149348</v>
      </c>
      <c r="K116" s="253">
        <f>(K168/Population_Tables!X34)*Population_Tables!L34</f>
        <v>5.2303086138055939</v>
      </c>
      <c r="L116" s="170"/>
      <c r="M116" s="170"/>
      <c r="N116" s="195">
        <f t="shared" si="9"/>
        <v>15.413422595780768</v>
      </c>
      <c r="O116" s="195">
        <f t="shared" si="11"/>
        <v>10.712149606826371</v>
      </c>
      <c r="P116" s="195">
        <f t="shared" si="10"/>
        <v>16.867454070016262</v>
      </c>
      <c r="Q116" s="195">
        <f t="shared" si="12"/>
        <v>42.993026272623403</v>
      </c>
      <c r="R116" s="196">
        <f t="shared" si="13"/>
        <v>0.35850983129316361</v>
      </c>
      <c r="S116" s="170"/>
      <c r="T116" s="170"/>
      <c r="U116" s="195">
        <f t="shared" si="18"/>
        <v>1.1712853333295623</v>
      </c>
      <c r="V116" s="195">
        <f t="shared" si="14"/>
        <v>0.6026319557529316</v>
      </c>
      <c r="W116" s="195">
        <f t="shared" si="14"/>
        <v>1.0504563184605562</v>
      </c>
      <c r="X116" s="195">
        <f t="shared" si="17"/>
        <v>2.8243736075430501</v>
      </c>
      <c r="Y116" s="207">
        <f t="shared" si="16"/>
        <v>0.41470623086174307</v>
      </c>
      <c r="AC116" s="251">
        <f t="shared" si="15"/>
        <v>1.1806848880264298</v>
      </c>
    </row>
    <row r="117" spans="1:29" ht="15.6" x14ac:dyDescent="0.3">
      <c r="A117" s="206">
        <v>2046</v>
      </c>
      <c r="B117" s="253">
        <f>(B169/Population_Tables!O35)*Population_Tables!C35</f>
        <v>49.990862937036958</v>
      </c>
      <c r="C117" s="253">
        <f>(C169/Population_Tables!P35)*Population_Tables!D35</f>
        <v>12.203612132810433</v>
      </c>
      <c r="D117" s="253">
        <f>(D169/Population_Tables!Q35)*Population_Tables!E35</f>
        <v>2.289450368380098</v>
      </c>
      <c r="E117" s="253">
        <f>(E169/Population_Tables!R35)*Population_Tables!F35</f>
        <v>19.064543185593436</v>
      </c>
      <c r="F117" s="253">
        <f>(F169/Population_Tables!S35)*Population_Tables!G35</f>
        <v>7.4005176360696172</v>
      </c>
      <c r="G117" s="253">
        <f>(G169/Population_Tables!T35)*Population_Tables!H35</f>
        <v>2.5009858950989239</v>
      </c>
      <c r="H117" s="253">
        <f>(H169/Population_Tables!U35)*Population_Tables!I35</f>
        <v>10.777773222025385</v>
      </c>
      <c r="I117" s="253">
        <f>(I169/Population_Tables!V35)*Population_Tables!J35</f>
        <v>4.3873911591809005</v>
      </c>
      <c r="J117" s="253">
        <f>(J169/Population_Tables!W35)*Population_Tables!K35</f>
        <v>4.3340691379146312</v>
      </c>
      <c r="K117" s="253">
        <f>(K169/Population_Tables!X35)*Population_Tables!L35</f>
        <v>5.2716131134557722</v>
      </c>
      <c r="L117" s="170"/>
      <c r="M117" s="170"/>
      <c r="N117" s="195">
        <f t="shared" si="9"/>
        <v>15.687287599637667</v>
      </c>
      <c r="O117" s="195">
        <f t="shared" si="11"/>
        <v>10.777773222025385</v>
      </c>
      <c r="P117" s="195">
        <f t="shared" si="10"/>
        <v>16.994048396289454</v>
      </c>
      <c r="Q117" s="195">
        <f t="shared" si="12"/>
        <v>43.459109217952502</v>
      </c>
      <c r="R117" s="196">
        <f t="shared" si="13"/>
        <v>0.36096661624986581</v>
      </c>
      <c r="S117" s="170"/>
      <c r="T117" s="170"/>
      <c r="U117" s="195">
        <f t="shared" si="18"/>
        <v>1.2459848010360606</v>
      </c>
      <c r="V117" s="195">
        <f t="shared" si="14"/>
        <v>0.63661579987815564</v>
      </c>
      <c r="W117" s="195">
        <f t="shared" si="14"/>
        <v>1.107694571010974</v>
      </c>
      <c r="X117" s="195">
        <f t="shared" si="17"/>
        <v>2.9902951719251902</v>
      </c>
      <c r="Y117" s="207">
        <f t="shared" si="16"/>
        <v>0.41667619060959782</v>
      </c>
      <c r="AC117" s="251">
        <f t="shared" si="15"/>
        <v>1.1789812942355544</v>
      </c>
    </row>
    <row r="118" spans="1:29" ht="15.6" x14ac:dyDescent="0.3">
      <c r="A118" s="206">
        <v>2047</v>
      </c>
      <c r="B118" s="253">
        <f>(B170/Population_Tables!O36)*Population_Tables!C36</f>
        <v>50.459565856493789</v>
      </c>
      <c r="C118" s="253">
        <f>(C170/Population_Tables!P36)*Population_Tables!D36</f>
        <v>12.284908495059517</v>
      </c>
      <c r="D118" s="253">
        <f>(D170/Population_Tables!Q36)*Population_Tables!E36</f>
        <v>2.3017111599738671</v>
      </c>
      <c r="E118" s="253">
        <f>(E170/Population_Tables!R36)*Population_Tables!F36</f>
        <v>19.265775947479895</v>
      </c>
      <c r="F118" s="253">
        <f>(F170/Population_Tables!S36)*Population_Tables!G36</f>
        <v>7.539352301566085</v>
      </c>
      <c r="G118" s="253">
        <f>(G170/Population_Tables!T36)*Population_Tables!H36</f>
        <v>2.5339043118008058</v>
      </c>
      <c r="H118" s="253">
        <f>(H170/Population_Tables!U36)*Population_Tables!I36</f>
        <v>10.84260054559484</v>
      </c>
      <c r="I118" s="253">
        <f>(I170/Population_Tables!V36)*Population_Tables!J36</f>
        <v>4.4510835003582212</v>
      </c>
      <c r="J118" s="253">
        <f>(J170/Population_Tables!W36)*Population_Tables!K36</f>
        <v>4.3491246468641087</v>
      </c>
      <c r="K118" s="253">
        <f>(K170/Population_Tables!X36)*Population_Tables!L36</f>
        <v>5.3127476555856976</v>
      </c>
      <c r="L118" s="170"/>
      <c r="M118" s="170"/>
      <c r="N118" s="195">
        <f t="shared" si="9"/>
        <v>15.962527703451139</v>
      </c>
      <c r="O118" s="195">
        <f t="shared" si="11"/>
        <v>10.84260054559484</v>
      </c>
      <c r="P118" s="195">
        <f t="shared" si="10"/>
        <v>17.120523966834192</v>
      </c>
      <c r="Q118" s="195">
        <f t="shared" si="12"/>
        <v>43.92565221588017</v>
      </c>
      <c r="R118" s="196">
        <f t="shared" si="13"/>
        <v>0.36339876355166117</v>
      </c>
      <c r="S118" s="170"/>
      <c r="T118" s="170"/>
      <c r="U118" s="195">
        <f t="shared" si="18"/>
        <v>1.32393950465557</v>
      </c>
      <c r="V118" s="195">
        <f t="shared" si="14"/>
        <v>0.67166991359624717</v>
      </c>
      <c r="W118" s="195">
        <f t="shared" si="14"/>
        <v>1.1663348865574772</v>
      </c>
      <c r="X118" s="195">
        <f t="shared" si="17"/>
        <v>3.1619443048092943</v>
      </c>
      <c r="Y118" s="207">
        <f t="shared" si="16"/>
        <v>0.41871057078452256</v>
      </c>
      <c r="AC118" s="251">
        <f t="shared" si="15"/>
        <v>1.1773747469939042</v>
      </c>
    </row>
    <row r="119" spans="1:29" ht="15.6" x14ac:dyDescent="0.3">
      <c r="A119" s="206">
        <v>2048</v>
      </c>
      <c r="B119" s="253">
        <f>(B171/Population_Tables!O37)*Population_Tables!C37</f>
        <v>50.929385005249273</v>
      </c>
      <c r="C119" s="253">
        <f>(C171/Population_Tables!P37)*Population_Tables!D37</f>
        <v>12.365757703991573</v>
      </c>
      <c r="D119" s="253">
        <f>(D171/Population_Tables!Q37)*Population_Tables!E37</f>
        <v>2.3144609233718501</v>
      </c>
      <c r="E119" s="253">
        <f>(E171/Population_Tables!R37)*Population_Tables!F37</f>
        <v>19.466413978376426</v>
      </c>
      <c r="F119" s="253">
        <f>(F171/Population_Tables!S37)*Population_Tables!G37</f>
        <v>7.6792580376628337</v>
      </c>
      <c r="G119" s="253">
        <f>(G171/Population_Tables!T37)*Population_Tables!H37</f>
        <v>2.5667242562473169</v>
      </c>
      <c r="H119" s="253">
        <f>(H171/Population_Tables!U37)*Population_Tables!I37</f>
        <v>10.906553821405808</v>
      </c>
      <c r="I119" s="253">
        <f>(I171/Population_Tables!V37)*Population_Tables!J37</f>
        <v>4.515011579477985</v>
      </c>
      <c r="J119" s="253">
        <f>(J171/Population_Tables!W37)*Population_Tables!K37</f>
        <v>4.3642830557834724</v>
      </c>
      <c r="K119" s="253">
        <f>(K171/Population_Tables!X37)*Population_Tables!L37</f>
        <v>5.3537501068586337</v>
      </c>
      <c r="L119" s="170"/>
      <c r="M119" s="170"/>
      <c r="N119" s="195">
        <f t="shared" si="9"/>
        <v>16.239118194633452</v>
      </c>
      <c r="O119" s="195">
        <f t="shared" si="11"/>
        <v>10.906553821405808</v>
      </c>
      <c r="P119" s="195">
        <f t="shared" si="10"/>
        <v>17.246942883610739</v>
      </c>
      <c r="Q119" s="195">
        <f t="shared" si="12"/>
        <v>44.392614899649999</v>
      </c>
      <c r="R119" s="196">
        <f t="shared" si="13"/>
        <v>0.36580675031966825</v>
      </c>
      <c r="S119" s="170"/>
      <c r="T119" s="170"/>
      <c r="U119" s="195">
        <f t="shared" si="18"/>
        <v>1.4053846629360738</v>
      </c>
      <c r="V119" s="195">
        <f t="shared" si="14"/>
        <v>0.70784236837753944</v>
      </c>
      <c r="W119" s="195">
        <f t="shared" si="14"/>
        <v>1.2265591597506535</v>
      </c>
      <c r="X119" s="195">
        <f t="shared" si="17"/>
        <v>3.3397861910642668</v>
      </c>
      <c r="Y119" s="207">
        <f t="shared" si="16"/>
        <v>0.42080078859426312</v>
      </c>
      <c r="AC119" s="251">
        <f t="shared" si="15"/>
        <v>1.1758469450875371</v>
      </c>
    </row>
    <row r="120" spans="1:29" ht="15.6" x14ac:dyDescent="0.3">
      <c r="A120" s="206">
        <v>2049</v>
      </c>
      <c r="B120" s="253">
        <f>(B172/Population_Tables!O38)*Population_Tables!C38</f>
        <v>51.400838654077091</v>
      </c>
      <c r="C120" s="253">
        <f>(C172/Population_Tables!P38)*Population_Tables!D38</f>
        <v>12.446232037925673</v>
      </c>
      <c r="D120" s="253">
        <f>(D172/Population_Tables!Q38)*Population_Tables!E38</f>
        <v>2.3277508332518853</v>
      </c>
      <c r="E120" s="253">
        <f>(E172/Population_Tables!R38)*Population_Tables!F38</f>
        <v>19.66635704117709</v>
      </c>
      <c r="F120" s="253">
        <f>(F172/Population_Tables!S38)*Population_Tables!G38</f>
        <v>7.8202289943597787</v>
      </c>
      <c r="G120" s="253">
        <f>(G172/Population_Tables!T38)*Population_Tables!H38</f>
        <v>2.5994196489889605</v>
      </c>
      <c r="H120" s="253">
        <f>(H172/Population_Tables!U38)*Population_Tables!I38</f>
        <v>10.969543524429959</v>
      </c>
      <c r="I120" s="253">
        <f>(I172/Population_Tables!V38)*Population_Tables!J38</f>
        <v>4.579219641127839</v>
      </c>
      <c r="J120" s="253">
        <f>(J172/Population_Tables!W38)*Population_Tables!K38</f>
        <v>4.3795995891352568</v>
      </c>
      <c r="K120" s="253">
        <f>(K172/Population_Tables!X38)*Population_Tables!L38</f>
        <v>5.3946728208821764</v>
      </c>
      <c r="L120" s="170"/>
      <c r="M120" s="170"/>
      <c r="N120" s="195">
        <f t="shared" si="9"/>
        <v>16.517042511106908</v>
      </c>
      <c r="O120" s="195">
        <f t="shared" si="11"/>
        <v>10.969543524429959</v>
      </c>
      <c r="P120" s="195">
        <f t="shared" si="10"/>
        <v>17.373402520166518</v>
      </c>
      <c r="Q120" s="195">
        <f t="shared" si="12"/>
        <v>44.859988555703389</v>
      </c>
      <c r="R120" s="196">
        <f t="shared" si="13"/>
        <v>0.36819096577783167</v>
      </c>
      <c r="S120" s="170"/>
      <c r="T120" s="170"/>
      <c r="U120" s="195">
        <f t="shared" si="18"/>
        <v>1.4905636451356017</v>
      </c>
      <c r="V120" s="195">
        <f t="shared" si="14"/>
        <v>0.74516946679296225</v>
      </c>
      <c r="W120" s="195">
        <f t="shared" si="14"/>
        <v>1.2885845568282441</v>
      </c>
      <c r="X120" s="195">
        <f t="shared" si="17"/>
        <v>3.5243176687568081</v>
      </c>
      <c r="Y120" s="207">
        <f t="shared" si="16"/>
        <v>0.42293680230630099</v>
      </c>
      <c r="AC120" s="251">
        <f t="shared" si="15"/>
        <v>1.1743755172191233</v>
      </c>
    </row>
    <row r="121" spans="1:29" ht="16.2" thickBot="1" x14ac:dyDescent="0.35">
      <c r="A121" s="208">
        <v>2050</v>
      </c>
      <c r="B121" s="253">
        <f>(B173/Population_Tables!O39)*Population_Tables!C39</f>
        <v>51.874336541396957</v>
      </c>
      <c r="C121" s="253">
        <f>(C173/Population_Tables!P39)*Population_Tables!D39</f>
        <v>12.526374614341435</v>
      </c>
      <c r="D121" s="253">
        <f>(D173/Population_Tables!Q39)*Population_Tables!E39</f>
        <v>2.34163097899012</v>
      </c>
      <c r="E121" s="253">
        <f>(E173/Population_Tables!R39)*Population_Tables!F39</f>
        <v>19.865447215762714</v>
      </c>
      <c r="F121" s="253">
        <f>(F173/Population_Tables!S39)*Population_Tables!G39</f>
        <v>7.9622500676395882</v>
      </c>
      <c r="G121" s="253">
        <f>(G173/Population_Tables!T39)*Population_Tables!H39</f>
        <v>2.6319598995863522</v>
      </c>
      <c r="H121" s="253">
        <f>(H173/Population_Tables!U39)*Population_Tables!I39</f>
        <v>11.031475564050924</v>
      </c>
      <c r="I121" s="253">
        <f>(I173/Population_Tables!V39)*Population_Tables!J39</f>
        <v>4.6437270153035337</v>
      </c>
      <c r="J121" s="253">
        <f>(J173/Population_Tables!W39)*Population_Tables!K39</f>
        <v>4.3951226326494268</v>
      </c>
      <c r="K121" s="253">
        <f>(K173/Population_Tables!X39)*Population_Tables!L39</f>
        <v>5.435552181053307</v>
      </c>
      <c r="L121" s="209"/>
      <c r="M121" s="209"/>
      <c r="N121" s="195">
        <f t="shared" si="9"/>
        <v>16.796221719351379</v>
      </c>
      <c r="O121" s="195">
        <f t="shared" si="11"/>
        <v>11.031475564050924</v>
      </c>
      <c r="P121" s="195">
        <f t="shared" si="10"/>
        <v>17.499965492917909</v>
      </c>
      <c r="Q121" s="195">
        <f t="shared" si="12"/>
        <v>45.32766277632021</v>
      </c>
      <c r="R121" s="210">
        <f t="shared" si="13"/>
        <v>0.37055124157263974</v>
      </c>
      <c r="S121" s="209"/>
      <c r="T121" s="209"/>
      <c r="U121" s="211">
        <f t="shared" si="18"/>
        <v>1.579657449069753</v>
      </c>
      <c r="V121" s="195">
        <f t="shared" si="14"/>
        <v>0.78368294582540976</v>
      </c>
      <c r="W121" s="211">
        <f t="shared" si="14"/>
        <v>1.35259348689695</v>
      </c>
      <c r="X121" s="195">
        <f t="shared" si="17"/>
        <v>3.7159338817921128</v>
      </c>
      <c r="Y121" s="212">
        <f t="shared" si="16"/>
        <v>0.42510375569651393</v>
      </c>
      <c r="AC121" s="251">
        <f t="shared" si="15"/>
        <v>1.1729455469881074</v>
      </c>
    </row>
    <row r="122" spans="1:29" ht="15.6" x14ac:dyDescent="0.3">
      <c r="A122" s="213">
        <v>2051</v>
      </c>
      <c r="B122" s="253">
        <f>(B174/Population_Tables!O40)*Population_Tables!C40</f>
        <v>52.350138491348289</v>
      </c>
      <c r="C122" s="253">
        <f>(C174/Population_Tables!P40)*Population_Tables!D40</f>
        <v>12.606151654912681</v>
      </c>
      <c r="D122" s="253">
        <f>(D174/Population_Tables!Q40)*Population_Tables!E40</f>
        <v>2.35615108439494</v>
      </c>
      <c r="E122" s="253">
        <f>(E174/Population_Tables!R40)*Population_Tables!F40</f>
        <v>20.063455037906301</v>
      </c>
      <c r="F122" s="253">
        <f>(F174/Population_Tables!S40)*Population_Tables!G40</f>
        <v>8.1052956896495427</v>
      </c>
      <c r="G122" s="253">
        <f>(G174/Population_Tables!T40)*Population_Tables!H40</f>
        <v>2.6643059086741809</v>
      </c>
      <c r="H122" s="253">
        <f>(H174/Population_Tables!U40)*Population_Tables!I40</f>
        <v>11.092261826510457</v>
      </c>
      <c r="I122" s="253">
        <f>(I174/Population_Tables!V40)*Population_Tables!J40</f>
        <v>4.7085180344998099</v>
      </c>
      <c r="J122" s="253">
        <f>(J174/Population_Tables!W40)*Population_Tables!K40</f>
        <v>4.4108852774459422</v>
      </c>
      <c r="K122" s="253">
        <f>(K174/Population_Tables!X40)*Population_Tables!L40</f>
        <v>5.4763832675849278</v>
      </c>
      <c r="N122" s="195">
        <f t="shared" si="9"/>
        <v>17.076488901045387</v>
      </c>
      <c r="O122" s="195">
        <f t="shared" si="11"/>
        <v>11.092261826510457</v>
      </c>
      <c r="P122" s="195">
        <f t="shared" si="10"/>
        <v>17.626608647981801</v>
      </c>
      <c r="Q122" s="195">
        <f t="shared" si="12"/>
        <v>45.79535937553765</v>
      </c>
      <c r="R122" s="214">
        <f t="shared" si="13"/>
        <v>0.3728868849136508</v>
      </c>
      <c r="U122" s="215">
        <f t="shared" si="18"/>
        <v>1.6727590877527696</v>
      </c>
      <c r="V122" s="195">
        <f t="shared" si="14"/>
        <v>0.82342051931589744</v>
      </c>
      <c r="W122" s="215">
        <f t="shared" si="14"/>
        <v>1.4186825887639785</v>
      </c>
      <c r="X122" s="195">
        <f t="shared" si="17"/>
        <v>3.9148621958326455</v>
      </c>
      <c r="Y122" s="214">
        <f t="shared" si="16"/>
        <v>0.42728428334806129</v>
      </c>
      <c r="AC122" s="251">
        <f t="shared" si="15"/>
        <v>1.1715570377952877</v>
      </c>
    </row>
    <row r="123" spans="1:29" ht="15.6" x14ac:dyDescent="0.3">
      <c r="A123" s="194">
        <v>2052</v>
      </c>
      <c r="B123" s="253">
        <f>(B175/Population_Tables!O41)*Population_Tables!C41</f>
        <v>52.828348657390187</v>
      </c>
      <c r="C123" s="253">
        <f>(C175/Population_Tables!P41)*Population_Tables!D41</f>
        <v>12.685503518560051</v>
      </c>
      <c r="D123" s="253">
        <f>(D175/Population_Tables!Q41)*Population_Tables!E41</f>
        <v>2.3713591036447204</v>
      </c>
      <c r="E123" s="253">
        <f>(E175/Population_Tables!R41)*Population_Tables!F41</f>
        <v>20.260058076250154</v>
      </c>
      <c r="F123" s="253">
        <f>(F175/Population_Tables!S41)*Population_Tables!G41</f>
        <v>8.2493267422640297</v>
      </c>
      <c r="G123" s="253">
        <f>(G175/Population_Tables!T41)*Population_Tables!H41</f>
        <v>2.696412554334727</v>
      </c>
      <c r="H123" s="253">
        <f>(H175/Population_Tables!U41)*Population_Tables!I41</f>
        <v>11.151802167852393</v>
      </c>
      <c r="I123" s="253">
        <f>(I175/Population_Tables!V41)*Population_Tables!J41</f>
        <v>4.7735371846101069</v>
      </c>
      <c r="J123" s="253">
        <f>(J175/Population_Tables!W41)*Population_Tables!K41</f>
        <v>4.4269125195228654</v>
      </c>
      <c r="K123" s="253">
        <f>(K175/Population_Tables!X41)*Population_Tables!L41</f>
        <v>5.5171438802153654</v>
      </c>
      <c r="N123" s="195">
        <f t="shared" si="9"/>
        <v>17.35758265066179</v>
      </c>
      <c r="O123" s="195">
        <f t="shared" si="11"/>
        <v>11.151802167852393</v>
      </c>
      <c r="P123" s="195">
        <f t="shared" si="10"/>
        <v>17.7532751765395</v>
      </c>
      <c r="Q123" s="195">
        <f t="shared" si="12"/>
        <v>46.262659995053681</v>
      </c>
      <c r="R123" s="196">
        <f t="shared" si="13"/>
        <v>0.37519638197452615</v>
      </c>
      <c r="U123" s="195">
        <f t="shared" si="18"/>
        <v>1.7698670869932478</v>
      </c>
      <c r="V123" s="195">
        <f t="shared" si="14"/>
        <v>0.86440787090751847</v>
      </c>
      <c r="W123" s="195">
        <f t="shared" si="14"/>
        <v>1.4869148463009587</v>
      </c>
      <c r="X123" s="195">
        <f t="shared" si="17"/>
        <v>4.121189804201725</v>
      </c>
      <c r="Y123" s="196">
        <f t="shared" si="16"/>
        <v>0.42945536873569728</v>
      </c>
      <c r="AC123" s="251">
        <f t="shared" si="15"/>
        <v>1.170211890644161</v>
      </c>
    </row>
    <row r="124" spans="1:29" ht="15.6" x14ac:dyDescent="0.3">
      <c r="A124" s="194">
        <v>2053</v>
      </c>
      <c r="B124" s="253">
        <f>(B176/Population_Tables!O42)*Population_Tables!C42</f>
        <v>53.30899683801335</v>
      </c>
      <c r="C124" s="253">
        <f>(C176/Population_Tables!P42)*Population_Tables!D42</f>
        <v>12.764424876842392</v>
      </c>
      <c r="D124" s="253">
        <f>(D176/Population_Tables!Q42)*Population_Tables!E42</f>
        <v>2.387304101976087</v>
      </c>
      <c r="E124" s="253">
        <f>(E176/Population_Tables!R42)*Population_Tables!F42</f>
        <v>20.454869429576686</v>
      </c>
      <c r="F124" s="253">
        <f>(F176/Population_Tables!S42)*Population_Tables!G42</f>
        <v>8.3942914991573883</v>
      </c>
      <c r="G124" s="253">
        <f>(G176/Population_Tables!T42)*Population_Tables!H42</f>
        <v>2.7282325205876701</v>
      </c>
      <c r="H124" s="253">
        <f>(H176/Population_Tables!U42)*Population_Tables!I42</f>
        <v>11.20996778394348</v>
      </c>
      <c r="I124" s="253">
        <f>(I176/Population_Tables!V42)*Population_Tables!J42</f>
        <v>4.8387072655147891</v>
      </c>
      <c r="J124" s="253">
        <f>(J176/Population_Tables!W42)*Population_Tables!K42</f>
        <v>4.4432477600992346</v>
      </c>
      <c r="K124" s="253">
        <f>(K176/Population_Tables!X42)*Population_Tables!L42</f>
        <v>5.5578289148394395</v>
      </c>
      <c r="N124" s="195">
        <f t="shared" si="9"/>
        <v>17.639193144790593</v>
      </c>
      <c r="O124" s="195">
        <f t="shared" si="11"/>
        <v>11.20996778394348</v>
      </c>
      <c r="P124" s="195">
        <f t="shared" si="10"/>
        <v>17.87996149940615</v>
      </c>
      <c r="Q124" s="195">
        <f t="shared" si="12"/>
        <v>46.729122428140229</v>
      </c>
      <c r="R124" s="196">
        <f t="shared" si="13"/>
        <v>0.37747751783517958</v>
      </c>
      <c r="U124" s="195">
        <f t="shared" si="18"/>
        <v>1.8709315547168988</v>
      </c>
      <c r="V124" s="195">
        <f t="shared" si="14"/>
        <v>0.90664202406628469</v>
      </c>
      <c r="W124" s="195">
        <f t="shared" si="14"/>
        <v>1.557406473013355</v>
      </c>
      <c r="X124" s="195">
        <f t="shared" si="17"/>
        <v>4.3349800517965384</v>
      </c>
      <c r="Y124" s="196">
        <f t="shared" si="16"/>
        <v>0.43158942656299693</v>
      </c>
      <c r="AC124" s="251">
        <f t="shared" si="15"/>
        <v>1.1689005952395788</v>
      </c>
    </row>
    <row r="125" spans="1:29" ht="15.6" x14ac:dyDescent="0.3">
      <c r="A125" s="194">
        <v>2054</v>
      </c>
      <c r="B125" s="253">
        <f>(B177/Population_Tables!O43)*Population_Tables!C43</f>
        <v>53.792009825246538</v>
      </c>
      <c r="C125" s="253">
        <f>(C177/Population_Tables!P43)*Population_Tables!D43</f>
        <v>12.842905822073995</v>
      </c>
      <c r="D125" s="253">
        <f>(D177/Population_Tables!Q43)*Population_Tables!E43</f>
        <v>2.4040353956571376</v>
      </c>
      <c r="E125" s="253">
        <f>(E177/Population_Tables!R43)*Population_Tables!F43</f>
        <v>20.647433754858866</v>
      </c>
      <c r="F125" s="253">
        <f>(F177/Population_Tables!S43)*Population_Tables!G43</f>
        <v>8.5401278034139789</v>
      </c>
      <c r="G125" s="253">
        <f>(G177/Population_Tables!T43)*Population_Tables!H43</f>
        <v>2.7597122908473892</v>
      </c>
      <c r="H125" s="253">
        <f>(H177/Population_Tables!U43)*Population_Tables!I43</f>
        <v>11.266612329636875</v>
      </c>
      <c r="I125" s="253">
        <f>(I177/Population_Tables!V43)*Population_Tables!J43</f>
        <v>4.9039253481426766</v>
      </c>
      <c r="J125" s="253">
        <f>(J177/Population_Tables!W43)*Population_Tables!K43</f>
        <v>4.4599332686847655</v>
      </c>
      <c r="K125" s="253">
        <f>(K177/Population_Tables!X43)*Population_Tables!L43</f>
        <v>5.5984277526936257</v>
      </c>
      <c r="N125" s="195">
        <f t="shared" si="9"/>
        <v>17.920949228635973</v>
      </c>
      <c r="O125" s="195">
        <f t="shared" si="11"/>
        <v>11.266612329636875</v>
      </c>
      <c r="P125" s="195">
        <f t="shared" si="10"/>
        <v>18.006653508578523</v>
      </c>
      <c r="Q125" s="195">
        <f t="shared" si="12"/>
        <v>47.19421506685137</v>
      </c>
      <c r="R125" s="196">
        <f t="shared" si="13"/>
        <v>0.37972766796207241</v>
      </c>
      <c r="U125" s="195">
        <f t="shared" si="18"/>
        <v>1.9758412674636361</v>
      </c>
      <c r="V125" s="195">
        <f t="shared" si="14"/>
        <v>0.95010246124461517</v>
      </c>
      <c r="W125" s="195">
        <f t="shared" si="14"/>
        <v>1.6302631535882632</v>
      </c>
      <c r="X125" s="195">
        <f t="shared" si="17"/>
        <v>4.5562068822965145</v>
      </c>
      <c r="Y125" s="196">
        <f t="shared" si="16"/>
        <v>0.43365925176508474</v>
      </c>
      <c r="AC125" s="251">
        <f t="shared" si="15"/>
        <v>1.1676154393868812</v>
      </c>
    </row>
    <row r="126" spans="1:29" ht="15.6" x14ac:dyDescent="0.3">
      <c r="A126" s="194">
        <v>2055</v>
      </c>
      <c r="B126" s="253">
        <f>(B178/Population_Tables!O44)*Population_Tables!C44</f>
        <v>54.277289978656221</v>
      </c>
      <c r="C126" s="253">
        <f>(C178/Population_Tables!P44)*Population_Tables!D44</f>
        <v>12.920910972255866</v>
      </c>
      <c r="D126" s="253">
        <f>(D178/Population_Tables!Q44)*Population_Tables!E44</f>
        <v>2.4216022992479092</v>
      </c>
      <c r="E126" s="253">
        <f>(E178/Population_Tables!R44)*Population_Tables!F44</f>
        <v>20.837280421711633</v>
      </c>
      <c r="F126" s="253">
        <f>(F178/Population_Tables!S44)*Population_Tables!G44</f>
        <v>8.6867697303862901</v>
      </c>
      <c r="G126" s="253">
        <f>(G178/Population_Tables!T44)*Population_Tables!H44</f>
        <v>2.7907959138837786</v>
      </c>
      <c r="H126" s="253">
        <f>(H178/Population_Tables!U44)*Population_Tables!I44</f>
        <v>11.32158616289365</v>
      </c>
      <c r="I126" s="253">
        <f>(I178/Population_Tables!V44)*Population_Tables!J44</f>
        <v>4.9690850023594813</v>
      </c>
      <c r="J126" s="253">
        <f>(J178/Population_Tables!W44)*Population_Tables!K44</f>
        <v>4.4770060628333557</v>
      </c>
      <c r="K126" s="253">
        <f>(K178/Population_Tables!X44)*Population_Tables!L44</f>
        <v>5.6389181498795944</v>
      </c>
      <c r="N126" s="195">
        <f t="shared" si="9"/>
        <v>18.202463989204269</v>
      </c>
      <c r="O126" s="195">
        <f t="shared" si="11"/>
        <v>11.32158616289365</v>
      </c>
      <c r="P126" s="195">
        <f t="shared" si="10"/>
        <v>18.133309185387553</v>
      </c>
      <c r="Q126" s="195">
        <f t="shared" si="12"/>
        <v>47.657359337485474</v>
      </c>
      <c r="R126" s="196">
        <f t="shared" si="13"/>
        <v>0.38194445185902065</v>
      </c>
      <c r="U126" s="195">
        <f t="shared" si="18"/>
        <v>2.0844692435755263</v>
      </c>
      <c r="V126" s="195">
        <f t="shared" si="14"/>
        <v>0.99476536800284165</v>
      </c>
      <c r="W126" s="195">
        <f t="shared" si="14"/>
        <v>1.7055626620469297</v>
      </c>
      <c r="X126" s="195">
        <f t="shared" si="17"/>
        <v>4.7847972736252977</v>
      </c>
      <c r="Y126" s="196">
        <f t="shared" si="16"/>
        <v>0.43564421319697549</v>
      </c>
      <c r="AC126" s="251">
        <f t="shared" si="15"/>
        <v>1.1663561832698028</v>
      </c>
    </row>
    <row r="127" spans="1:29" ht="15.6" x14ac:dyDescent="0.3">
      <c r="A127" s="194">
        <v>2056</v>
      </c>
      <c r="B127" s="253">
        <f>(B179/Population_Tables!O45)*Population_Tables!C45</f>
        <v>54.764860708141541</v>
      </c>
      <c r="C127" s="253">
        <f>(C179/Population_Tables!P45)*Population_Tables!D45</f>
        <v>12.998370875870938</v>
      </c>
      <c r="D127" s="253">
        <f>(D179/Population_Tables!Q45)*Population_Tables!E45</f>
        <v>2.4400551666026375</v>
      </c>
      <c r="E127" s="253">
        <f>(E179/Population_Tables!R45)*Population_Tables!F45</f>
        <v>21.024012312778051</v>
      </c>
      <c r="F127" s="253">
        <f>(F179/Population_Tables!S45)*Population_Tables!G45</f>
        <v>8.8341630958398181</v>
      </c>
      <c r="G127" s="253">
        <f>(G179/Population_Tables!T45)*Population_Tables!H45</f>
        <v>2.8214296591266095</v>
      </c>
      <c r="H127" s="253">
        <f>(H179/Population_Tables!U45)*Population_Tables!I45</f>
        <v>11.374754944237404</v>
      </c>
      <c r="I127" s="253">
        <f>(I179/Population_Tables!V45)*Population_Tables!J45</f>
        <v>5.0341142250521802</v>
      </c>
      <c r="J127" s="253">
        <f>(J179/Population_Tables!W45)*Population_Tables!K45</f>
        <v>4.4944937257555715</v>
      </c>
      <c r="K127" s="253">
        <f>(K179/Population_Tables!X45)*Population_Tables!L45</f>
        <v>5.6792708913571808</v>
      </c>
      <c r="N127" s="195">
        <f t="shared" si="9"/>
        <v>18.483420464380465</v>
      </c>
      <c r="O127" s="195">
        <f t="shared" si="11"/>
        <v>11.374754944237404</v>
      </c>
      <c r="P127" s="195">
        <f t="shared" si="10"/>
        <v>18.259855701600188</v>
      </c>
      <c r="Q127" s="195">
        <f t="shared" si="12"/>
        <v>48.118031110218055</v>
      </c>
      <c r="R127" s="196">
        <f t="shared" si="13"/>
        <v>0.38412669924176174</v>
      </c>
      <c r="U127" s="195">
        <f t="shared" si="18"/>
        <v>2.1967584522732686</v>
      </c>
      <c r="V127" s="195">
        <f t="shared" si="14"/>
        <v>1.0406222324638232</v>
      </c>
      <c r="W127" s="195">
        <f t="shared" si="14"/>
        <v>1.7833519628466306</v>
      </c>
      <c r="X127" s="195">
        <f t="shared" si="17"/>
        <v>5.0207326475837224</v>
      </c>
      <c r="Y127" s="196">
        <f t="shared" si="16"/>
        <v>0.4375374285923152</v>
      </c>
      <c r="AC127" s="251">
        <f t="shared" si="15"/>
        <v>1.1651338038357113</v>
      </c>
    </row>
    <row r="128" spans="1:29" ht="15.6" x14ac:dyDescent="0.3">
      <c r="A128" s="194">
        <v>2057</v>
      </c>
      <c r="B128" s="253">
        <f>(B180/Population_Tables!O46)*Population_Tables!C46</f>
        <v>55.254644504318115</v>
      </c>
      <c r="C128" s="253">
        <f>(C180/Population_Tables!P46)*Population_Tables!D46</f>
        <v>13.075168762949563</v>
      </c>
      <c r="D128" s="253">
        <f>(D180/Population_Tables!Q46)*Population_Tables!E46</f>
        <v>2.45944428620402</v>
      </c>
      <c r="E128" s="253">
        <f>(E180/Population_Tables!R46)*Population_Tables!F46</f>
        <v>21.207176699572685</v>
      </c>
      <c r="F128" s="253">
        <f>(F180/Population_Tables!S46)*Population_Tables!G46</f>
        <v>8.9822433708122311</v>
      </c>
      <c r="G128" s="253">
        <f>(G180/Population_Tables!T46)*Population_Tables!H46</f>
        <v>2.8515534318991205</v>
      </c>
      <c r="H128" s="253">
        <f>(H180/Population_Tables!U46)*Population_Tables!I46</f>
        <v>11.42597739356977</v>
      </c>
      <c r="I128" s="253">
        <f>(I180/Population_Tables!V46)*Population_Tables!J46</f>
        <v>5.0989220353497773</v>
      </c>
      <c r="J128" s="253">
        <f>(J180/Population_Tables!W46)*Population_Tables!K46</f>
        <v>4.5124135297321128</v>
      </c>
      <c r="K128" s="253">
        <f>(K180/Population_Tables!X46)*Population_Tables!L46</f>
        <v>5.7194347495222919</v>
      </c>
      <c r="N128" s="195">
        <f t="shared" si="9"/>
        <v>18.763442676815146</v>
      </c>
      <c r="O128" s="195">
        <f t="shared" si="11"/>
        <v>11.42597739356977</v>
      </c>
      <c r="P128" s="195">
        <f t="shared" si="10"/>
        <v>18.386166481052705</v>
      </c>
      <c r="Q128" s="195">
        <f t="shared" si="12"/>
        <v>48.575586551437624</v>
      </c>
      <c r="R128" s="196">
        <f t="shared" si="13"/>
        <v>0.38627310566690071</v>
      </c>
      <c r="U128" s="195">
        <f t="shared" si="18"/>
        <v>2.3125928475431863</v>
      </c>
      <c r="V128" s="195">
        <f t="shared" si="14"/>
        <v>1.0876576021284556</v>
      </c>
      <c r="W128" s="195">
        <f t="shared" si="14"/>
        <v>1.8636242725139596</v>
      </c>
      <c r="X128" s="195">
        <f t="shared" si="17"/>
        <v>5.2638747221856015</v>
      </c>
      <c r="Y128" s="196">
        <f t="shared" si="16"/>
        <v>0.43933280512857265</v>
      </c>
      <c r="AC128" s="251">
        <f t="shared" si="15"/>
        <v>1.1639643115765128</v>
      </c>
    </row>
    <row r="129" spans="1:29" ht="15.6" x14ac:dyDescent="0.3">
      <c r="A129" s="194">
        <v>2058</v>
      </c>
      <c r="B129" s="253">
        <f>(B181/Population_Tables!O47)*Population_Tables!C47</f>
        <v>55.746273131489886</v>
      </c>
      <c r="C129" s="253">
        <f>(C181/Population_Tables!P47)*Population_Tables!D47</f>
        <v>13.151135784120891</v>
      </c>
      <c r="D129" s="253">
        <f>(D181/Population_Tables!Q47)*Population_Tables!E47</f>
        <v>2.4798124084076649</v>
      </c>
      <c r="E129" s="253">
        <f>(E181/Population_Tables!R47)*Population_Tables!F47</f>
        <v>21.38615041176892</v>
      </c>
      <c r="F129" s="253">
        <f>(F181/Population_Tables!S47)*Population_Tables!G47</f>
        <v>9.1309180467541005</v>
      </c>
      <c r="G129" s="253">
        <f>(G181/Population_Tables!T47)*Population_Tables!H47</f>
        <v>2.8810944914127248</v>
      </c>
      <c r="H129" s="253">
        <f>(H181/Population_Tables!U47)*Population_Tables!I47</f>
        <v>11.475078142053468</v>
      </c>
      <c r="I129" s="253">
        <f>(I181/Population_Tables!V47)*Population_Tables!J47</f>
        <v>5.1633510307964041</v>
      </c>
      <c r="J129" s="253">
        <f>(J181/Population_Tables!W47)*Population_Tables!K47</f>
        <v>4.5307663026766027</v>
      </c>
      <c r="K129" s="253">
        <f>(K181/Population_Tables!X47)*Population_Tables!L47</f>
        <v>5.7593307968961538</v>
      </c>
      <c r="N129" s="195">
        <f t="shared" si="9"/>
        <v>19.041990316469551</v>
      </c>
      <c r="O129" s="195">
        <f t="shared" si="11"/>
        <v>11.475078142053468</v>
      </c>
      <c r="P129" s="195">
        <f t="shared" si="10"/>
        <v>18.512042683941281</v>
      </c>
      <c r="Q129" s="195">
        <f t="shared" si="12"/>
        <v>49.029111142464302</v>
      </c>
      <c r="R129" s="196">
        <f t="shared" si="13"/>
        <v>0.38838130801798709</v>
      </c>
      <c r="U129" s="195">
        <f t="shared" si="18"/>
        <v>2.4316920506822335</v>
      </c>
      <c r="V129" s="195">
        <f t="shared" si="14"/>
        <v>1.1358219357587185</v>
      </c>
      <c r="W129" s="195">
        <f t="shared" si="14"/>
        <v>1.9463005439354149</v>
      </c>
      <c r="X129" s="195">
        <f t="shared" si="17"/>
        <v>5.5138145303763668</v>
      </c>
      <c r="Y129" s="196">
        <f t="shared" si="16"/>
        <v>0.44101810775203004</v>
      </c>
      <c r="AC129" s="251">
        <f t="shared" si="15"/>
        <v>1.1628647614646697</v>
      </c>
    </row>
    <row r="130" spans="1:29" ht="15.6" x14ac:dyDescent="0.3">
      <c r="A130" s="194">
        <v>2059</v>
      </c>
      <c r="B130" s="253">
        <f>(B182/Population_Tables!O48)*Population_Tables!C48</f>
        <v>56.239251674449712</v>
      </c>
      <c r="C130" s="253">
        <f>(C182/Population_Tables!P48)*Population_Tables!D48</f>
        <v>13.226064201228377</v>
      </c>
      <c r="D130" s="253">
        <f>(D182/Population_Tables!Q48)*Population_Tables!E48</f>
        <v>2.5012008096397804</v>
      </c>
      <c r="E130" s="253">
        <f>(E182/Population_Tables!R48)*Population_Tables!F48</f>
        <v>21.560230669839363</v>
      </c>
      <c r="F130" s="253">
        <f>(F182/Population_Tables!S48)*Population_Tables!G48</f>
        <v>9.280081722030852</v>
      </c>
      <c r="G130" s="253">
        <f>(G182/Population_Tables!T48)*Population_Tables!H48</f>
        <v>2.9099731905779156</v>
      </c>
      <c r="H130" s="253">
        <f>(H182/Population_Tables!U48)*Population_Tables!I48</f>
        <v>11.521863541743196</v>
      </c>
      <c r="I130" s="253">
        <f>(I182/Population_Tables!V48)*Population_Tables!J48</f>
        <v>5.2272158118817593</v>
      </c>
      <c r="J130" s="253">
        <f>(J182/Population_Tables!W48)*Population_Tables!K48</f>
        <v>4.5495442372751853</v>
      </c>
      <c r="K130" s="253">
        <f>(K182/Population_Tables!X48)*Population_Tables!L48</f>
        <v>5.798861135827666</v>
      </c>
      <c r="N130" s="195">
        <f t="shared" si="9"/>
        <v>19.31844885012702</v>
      </c>
      <c r="O130" s="195">
        <f t="shared" si="11"/>
        <v>11.521863541743196</v>
      </c>
      <c r="P130" s="195">
        <f t="shared" si="10"/>
        <v>18.637238201446074</v>
      </c>
      <c r="Q130" s="195">
        <f t="shared" si="12"/>
        <v>49.477550593316288</v>
      </c>
      <c r="R130" s="196">
        <f t="shared" si="13"/>
        <v>0.3904487715836254</v>
      </c>
      <c r="U130" s="195">
        <f t="shared" si="18"/>
        <v>2.5537014598094778</v>
      </c>
      <c r="V130" s="195">
        <f t="shared" si="14"/>
        <v>1.185047413008574</v>
      </c>
      <c r="W130" s="195">
        <f t="shared" si="14"/>
        <v>2.0312544609814758</v>
      </c>
      <c r="X130" s="195">
        <f t="shared" si="17"/>
        <v>5.7700033337995276</v>
      </c>
      <c r="Y130" s="196">
        <f t="shared" si="16"/>
        <v>0.44258231964103112</v>
      </c>
      <c r="AC130" s="251">
        <f t="shared" si="15"/>
        <v>1.1618546695497436</v>
      </c>
    </row>
    <row r="131" spans="1:29" ht="15.6" x14ac:dyDescent="0.3">
      <c r="A131" s="194">
        <v>2060</v>
      </c>
      <c r="B131" s="253">
        <f>(B183/Population_Tables!O49)*Population_Tables!C49</f>
        <v>56.733152160167428</v>
      </c>
      <c r="C131" s="253">
        <f>(C183/Population_Tables!P49)*Population_Tables!D49</f>
        <v>13.299742771678817</v>
      </c>
      <c r="D131" s="253">
        <f>(D183/Population_Tables!Q49)*Population_Tables!E49</f>
        <v>2.5236523374307147</v>
      </c>
      <c r="E131" s="253">
        <f>(E183/Population_Tables!R49)*Population_Tables!F49</f>
        <v>21.728739650126151</v>
      </c>
      <c r="F131" s="253">
        <f>(F183/Population_Tables!S49)*Population_Tables!G49</f>
        <v>9.4296353014914853</v>
      </c>
      <c r="G131" s="253">
        <f>(G183/Population_Tables!T49)*Population_Tables!H49</f>
        <v>2.9381100275280922</v>
      </c>
      <c r="H131" s="253">
        <f>(H183/Population_Tables!U49)*Population_Tables!I49</f>
        <v>11.566137679733103</v>
      </c>
      <c r="I131" s="253">
        <f>(I183/Population_Tables!V49)*Population_Tables!J49</f>
        <v>5.2903459569590119</v>
      </c>
      <c r="J131" s="253">
        <f>(J183/Population_Tables!W49)*Population_Tables!K49</f>
        <v>4.568738892860142</v>
      </c>
      <c r="K131" s="253">
        <f>(K183/Population_Tables!X49)*Population_Tables!L49</f>
        <v>5.8379296594223513</v>
      </c>
      <c r="N131" s="195">
        <f t="shared" si="9"/>
        <v>19.592237271884535</v>
      </c>
      <c r="O131" s="195">
        <f t="shared" si="11"/>
        <v>11.566137679733103</v>
      </c>
      <c r="P131" s="195">
        <f t="shared" si="10"/>
        <v>18.761505136637624</v>
      </c>
      <c r="Q131" s="195">
        <f t="shared" si="12"/>
        <v>49.919880088255262</v>
      </c>
      <c r="R131" s="196">
        <f>N131/Q131</f>
        <v>0.3924736445129009</v>
      </c>
      <c r="U131" s="195">
        <f t="shared" si="18"/>
        <v>2.6783000003576198</v>
      </c>
      <c r="V131" s="195">
        <f t="shared" si="14"/>
        <v>1.2352639485714327</v>
      </c>
      <c r="W131" s="195">
        <f t="shared" si="14"/>
        <v>2.1183579194130004</v>
      </c>
      <c r="X131" s="195">
        <f t="shared" si="17"/>
        <v>6.031921868342053</v>
      </c>
      <c r="Y131" s="196">
        <f t="shared" si="16"/>
        <v>0.44402100339104411</v>
      </c>
      <c r="AC131" s="251">
        <f t="shared" si="15"/>
        <v>1.1609547655375092</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35.45472209566551</v>
      </c>
      <c r="C137" s="229">
        <v>9.7943735518175075</v>
      </c>
      <c r="D137" s="229">
        <v>1.9645185842965271</v>
      </c>
      <c r="E137" s="229">
        <v>13.192665353446126</v>
      </c>
      <c r="F137" s="229">
        <v>3.5816663142033107</v>
      </c>
      <c r="G137" s="229">
        <v>1.5610525101865356</v>
      </c>
      <c r="H137" s="229">
        <v>8.6417044213682868</v>
      </c>
      <c r="I137" s="229">
        <v>2.5300727439549324</v>
      </c>
      <c r="J137" s="229">
        <v>3.8710853310135809</v>
      </c>
      <c r="K137" s="229">
        <v>4.0309506620726951</v>
      </c>
      <c r="N137" s="195">
        <f t="shared" ref="N137:N183" si="19">SUMIF($C$83:$G$83,"Y",C137:G137)-H137</f>
        <v>8.1326272462811477</v>
      </c>
      <c r="O137" s="195">
        <f>H137</f>
        <v>8.6417044213682868</v>
      </c>
      <c r="P137" s="195">
        <f t="shared" ref="P137:P183" si="20">SUMIF($C$83:$G$83,"N",C137:G137)-(IF($E$83="N",H137))</f>
        <v>13.31994464630057</v>
      </c>
      <c r="Q137" s="195">
        <f>N137+P137+O137</f>
        <v>30.094276313950004</v>
      </c>
      <c r="R137" s="196">
        <f>N137/Q137</f>
        <v>0.27023833905955469</v>
      </c>
      <c r="AC137" s="251"/>
    </row>
    <row r="138" spans="1:29" ht="15.6" x14ac:dyDescent="0.3">
      <c r="A138" s="194">
        <v>2015</v>
      </c>
      <c r="B138" s="229">
        <v>35.136866265059048</v>
      </c>
      <c r="C138" s="229">
        <v>10.017663025633121</v>
      </c>
      <c r="D138" s="229">
        <v>1.9511542632618777</v>
      </c>
      <c r="E138" s="229">
        <v>13.851511428280253</v>
      </c>
      <c r="F138" s="229">
        <v>3.7471343978821472</v>
      </c>
      <c r="G138" s="229">
        <v>1.654489288055526</v>
      </c>
      <c r="H138" s="229">
        <v>8.9164784427673069</v>
      </c>
      <c r="I138" s="229">
        <v>2.6707501717703717</v>
      </c>
      <c r="J138" s="229">
        <v>3.8807299629414511</v>
      </c>
      <c r="K138" s="229">
        <v>4.1175655043358903</v>
      </c>
      <c r="N138" s="195">
        <f t="shared" si="19"/>
        <v>8.6821673833950932</v>
      </c>
      <c r="O138" s="195">
        <f t="shared" ref="O138:O183" si="21">H138</f>
        <v>8.9164784427673069</v>
      </c>
      <c r="P138" s="195">
        <f t="shared" si="20"/>
        <v>13.623306576950524</v>
      </c>
      <c r="Q138" s="195">
        <f t="shared" ref="Q138:Q183" si="22">N138+P138+O138</f>
        <v>31.221952403112923</v>
      </c>
      <c r="R138" s="196">
        <f t="shared" ref="R138:R182" si="23">N138/Q138</f>
        <v>0.27807893853971333</v>
      </c>
      <c r="AC138" s="251"/>
    </row>
    <row r="139" spans="1:29" ht="15.6" x14ac:dyDescent="0.3">
      <c r="A139" s="194">
        <v>2016</v>
      </c>
      <c r="B139" s="229">
        <v>35.590448788015138</v>
      </c>
      <c r="C139" s="229">
        <v>10.050682713905339</v>
      </c>
      <c r="D139" s="229">
        <v>1.9641034298876612</v>
      </c>
      <c r="E139" s="229">
        <v>13.926901044571524</v>
      </c>
      <c r="F139" s="229">
        <v>3.8355730994121444</v>
      </c>
      <c r="G139" s="229">
        <v>1.6677974676174945</v>
      </c>
      <c r="H139" s="229">
        <v>8.9456052168574072</v>
      </c>
      <c r="I139" s="229">
        <v>2.7069120597509144</v>
      </c>
      <c r="J139" s="229">
        <v>3.8918123622255814</v>
      </c>
      <c r="K139" s="229">
        <v>4.1404158000030398</v>
      </c>
      <c r="N139" s="195">
        <f t="shared" si="19"/>
        <v>8.8168689271262597</v>
      </c>
      <c r="O139" s="195">
        <f t="shared" si="21"/>
        <v>8.9456052168574072</v>
      </c>
      <c r="P139" s="195">
        <f t="shared" si="20"/>
        <v>13.682583611410495</v>
      </c>
      <c r="Q139" s="195">
        <f t="shared" si="22"/>
        <v>31.44505775539416</v>
      </c>
      <c r="R139" s="196">
        <f t="shared" si="23"/>
        <v>0.28038965600607912</v>
      </c>
      <c r="AC139" s="251"/>
    </row>
    <row r="140" spans="1:29" ht="15.6" x14ac:dyDescent="0.3">
      <c r="A140" s="194">
        <v>2017</v>
      </c>
      <c r="B140" s="229">
        <v>36.038154830086064</v>
      </c>
      <c r="C140" s="229">
        <v>10.085595724596224</v>
      </c>
      <c r="D140" s="229">
        <v>1.976302368890678</v>
      </c>
      <c r="E140" s="229">
        <v>14.008647403500913</v>
      </c>
      <c r="F140" s="229">
        <v>3.9254811291747602</v>
      </c>
      <c r="G140" s="229">
        <v>1.6820355143686367</v>
      </c>
      <c r="H140" s="229">
        <v>8.9766402577029183</v>
      </c>
      <c r="I140" s="229">
        <v>2.744266292933347</v>
      </c>
      <c r="J140" s="229">
        <v>3.9025268581563557</v>
      </c>
      <c r="K140" s="229">
        <v>4.163828968424288</v>
      </c>
      <c r="N140" s="195">
        <f t="shared" si="19"/>
        <v>8.9574882749727536</v>
      </c>
      <c r="O140" s="195">
        <f t="shared" si="21"/>
        <v>8.9766402577029183</v>
      </c>
      <c r="P140" s="195">
        <f t="shared" si="20"/>
        <v>13.74393360785554</v>
      </c>
      <c r="Q140" s="195">
        <f t="shared" si="22"/>
        <v>31.67806214053121</v>
      </c>
      <c r="R140" s="196">
        <f t="shared" si="23"/>
        <v>0.28276629533824588</v>
      </c>
      <c r="AC140" s="251"/>
    </row>
    <row r="141" spans="1:29" ht="15.6" x14ac:dyDescent="0.3">
      <c r="A141" s="194">
        <v>2018</v>
      </c>
      <c r="B141" s="229">
        <v>36.479984391271813</v>
      </c>
      <c r="C141" s="229">
        <v>10.122298304475681</v>
      </c>
      <c r="D141" s="229">
        <v>1.9877818469641781</v>
      </c>
      <c r="E141" s="229">
        <v>14.096422857829056</v>
      </c>
      <c r="F141" s="229">
        <v>4.0168003754743644</v>
      </c>
      <c r="G141" s="229">
        <v>1.6971566221554775</v>
      </c>
      <c r="H141" s="229">
        <v>9.0094577377045777</v>
      </c>
      <c r="I141" s="229">
        <v>2.7827515176899409</v>
      </c>
      <c r="J141" s="229">
        <v>3.912879003262979</v>
      </c>
      <c r="K141" s="229">
        <v>4.1877683530625349</v>
      </c>
      <c r="N141" s="195">
        <f t="shared" si="19"/>
        <v>9.1037654955988447</v>
      </c>
      <c r="O141" s="195">
        <f t="shared" si="21"/>
        <v>9.0094577377045777</v>
      </c>
      <c r="P141" s="195">
        <f t="shared" si="20"/>
        <v>13.807236773595337</v>
      </c>
      <c r="Q141" s="195">
        <f t="shared" si="22"/>
        <v>31.920460006898757</v>
      </c>
      <c r="R141" s="196">
        <f t="shared" si="23"/>
        <v>0.28520157584293299</v>
      </c>
      <c r="AC141" s="251"/>
    </row>
    <row r="142" spans="1:29" ht="16.2" thickBot="1" x14ac:dyDescent="0.35">
      <c r="A142" s="198">
        <v>2019</v>
      </c>
      <c r="B142" s="230">
        <v>36.915937471572398</v>
      </c>
      <c r="C142" s="230">
        <v>10.160686700313617</v>
      </c>
      <c r="D142" s="230">
        <v>1.9985726308014102</v>
      </c>
      <c r="E142" s="230">
        <v>14.189899760316601</v>
      </c>
      <c r="F142" s="230">
        <v>4.1094727266153281</v>
      </c>
      <c r="G142" s="230">
        <v>1.7131139848245418</v>
      </c>
      <c r="H142" s="230">
        <v>9.0439318292631263</v>
      </c>
      <c r="I142" s="230">
        <v>2.8223063803929667</v>
      </c>
      <c r="J142" s="230">
        <v>3.9228743500746557</v>
      </c>
      <c r="K142" s="230">
        <v>4.2121972973806798</v>
      </c>
      <c r="N142" s="195">
        <f t="shared" si="19"/>
        <v>9.2554406576688031</v>
      </c>
      <c r="O142" s="195">
        <f t="shared" si="21"/>
        <v>9.0439318292631263</v>
      </c>
      <c r="P142" s="195">
        <f t="shared" si="20"/>
        <v>13.872373315939569</v>
      </c>
      <c r="Q142" s="195">
        <f t="shared" si="22"/>
        <v>32.171745802871499</v>
      </c>
      <c r="R142" s="199">
        <f t="shared" si="23"/>
        <v>0.28768848027024713</v>
      </c>
      <c r="AC142" s="251"/>
    </row>
    <row r="143" spans="1:29" ht="15.6" x14ac:dyDescent="0.3">
      <c r="A143" s="201">
        <v>2020</v>
      </c>
      <c r="B143" s="228">
        <v>37.346014070987813</v>
      </c>
      <c r="C143" s="228">
        <v>10.200657158879935</v>
      </c>
      <c r="D143" s="228">
        <v>2.0087054870956242</v>
      </c>
      <c r="E143" s="228">
        <v>14.288750463724192</v>
      </c>
      <c r="F143" s="228">
        <v>4.2034400709020217</v>
      </c>
      <c r="G143" s="228">
        <v>1.7298607962223549</v>
      </c>
      <c r="H143" s="228">
        <v>9.0799367047793034</v>
      </c>
      <c r="I143" s="228">
        <v>2.8628695274146962</v>
      </c>
      <c r="J143" s="228">
        <v>3.9325184511205902</v>
      </c>
      <c r="K143" s="228">
        <v>4.2370791448416254</v>
      </c>
      <c r="L143" s="202"/>
      <c r="M143" s="202"/>
      <c r="N143" s="195">
        <f t="shared" si="19"/>
        <v>9.4122538298469109</v>
      </c>
      <c r="O143" s="195">
        <f t="shared" si="21"/>
        <v>9.0799367047793034</v>
      </c>
      <c r="P143" s="195">
        <f t="shared" si="20"/>
        <v>13.939223442197914</v>
      </c>
      <c r="Q143" s="195">
        <f t="shared" si="22"/>
        <v>32.431413976824132</v>
      </c>
      <c r="R143" s="220">
        <f t="shared" si="23"/>
        <v>0.29022027336128536</v>
      </c>
      <c r="AC143" s="251"/>
    </row>
    <row r="144" spans="1:29" ht="15.6" x14ac:dyDescent="0.3">
      <c r="A144" s="206">
        <v>2021</v>
      </c>
      <c r="B144" s="229">
        <v>37.770214189518057</v>
      </c>
      <c r="C144" s="229">
        <v>10.242105926944539</v>
      </c>
      <c r="D144" s="229">
        <v>2.0182111825400693</v>
      </c>
      <c r="E144" s="229">
        <v>14.392647320812468</v>
      </c>
      <c r="F144" s="229">
        <v>4.2986442966388152</v>
      </c>
      <c r="G144" s="229">
        <v>1.7473502501954419</v>
      </c>
      <c r="H144" s="229">
        <v>9.1173465366538462</v>
      </c>
      <c r="I144" s="229">
        <v>2.9043796051274002</v>
      </c>
      <c r="J144" s="229">
        <v>3.9418168589299869</v>
      </c>
      <c r="K144" s="229">
        <v>4.2623772389082699</v>
      </c>
      <c r="L144" s="170"/>
      <c r="M144" s="170"/>
      <c r="N144" s="195">
        <f t="shared" si="19"/>
        <v>9.5739450807974382</v>
      </c>
      <c r="O144" s="195">
        <f t="shared" si="21"/>
        <v>9.1173465366538462</v>
      </c>
      <c r="P144" s="195">
        <f t="shared" si="20"/>
        <v>14.007667359680051</v>
      </c>
      <c r="Q144" s="195">
        <f t="shared" si="22"/>
        <v>32.698958977131333</v>
      </c>
      <c r="R144" s="221">
        <f t="shared" si="23"/>
        <v>0.29279051628197605</v>
      </c>
      <c r="AC144" s="251"/>
    </row>
    <row r="145" spans="1:29" ht="15.6" x14ac:dyDescent="0.3">
      <c r="A145" s="206">
        <v>2022</v>
      </c>
      <c r="B145" s="229">
        <v>38.188537827163138</v>
      </c>
      <c r="C145" s="229">
        <v>10.284929251277338</v>
      </c>
      <c r="D145" s="229">
        <v>2.0271204838279946</v>
      </c>
      <c r="E145" s="229">
        <v>14.501262684342073</v>
      </c>
      <c r="F145" s="229">
        <v>4.3950272921300799</v>
      </c>
      <c r="G145" s="229">
        <v>1.7655355405903279</v>
      </c>
      <c r="H145" s="229">
        <v>9.1560354972874922</v>
      </c>
      <c r="I145" s="229">
        <v>2.9467752599033505</v>
      </c>
      <c r="J145" s="229">
        <v>3.9507751260320512</v>
      </c>
      <c r="K145" s="229">
        <v>4.2880549230435152</v>
      </c>
      <c r="L145" s="170"/>
      <c r="M145" s="170"/>
      <c r="N145" s="195">
        <f t="shared" si="19"/>
        <v>9.7402544791846619</v>
      </c>
      <c r="O145" s="195">
        <f t="shared" si="21"/>
        <v>9.1560354972874922</v>
      </c>
      <c r="P145" s="195">
        <f t="shared" si="20"/>
        <v>14.077585275695661</v>
      </c>
      <c r="Q145" s="195">
        <f t="shared" si="22"/>
        <v>32.973875252167815</v>
      </c>
      <c r="R145" s="221">
        <f t="shared" si="23"/>
        <v>0.29539307723754138</v>
      </c>
      <c r="AC145" s="251"/>
    </row>
    <row r="146" spans="1:29" ht="15.6" x14ac:dyDescent="0.3">
      <c r="A146" s="206">
        <v>2023</v>
      </c>
      <c r="B146" s="229">
        <v>38.600984983923048</v>
      </c>
      <c r="C146" s="229">
        <v>10.329023378648234</v>
      </c>
      <c r="D146" s="229">
        <v>2.0354641576526493</v>
      </c>
      <c r="E146" s="229">
        <v>14.614268907073653</v>
      </c>
      <c r="F146" s="229">
        <v>4.4925309456801861</v>
      </c>
      <c r="G146" s="229">
        <v>1.7843698612535377</v>
      </c>
      <c r="H146" s="229">
        <v>9.1958777590809824</v>
      </c>
      <c r="I146" s="229">
        <v>2.9899951381148178</v>
      </c>
      <c r="J146" s="229">
        <v>3.959398804955987</v>
      </c>
      <c r="K146" s="229">
        <v>4.3140755407102604</v>
      </c>
      <c r="L146" s="170"/>
      <c r="M146" s="170"/>
      <c r="N146" s="195">
        <f t="shared" si="19"/>
        <v>9.9109220936728555</v>
      </c>
      <c r="O146" s="195">
        <f t="shared" si="21"/>
        <v>9.1958777590809824</v>
      </c>
      <c r="P146" s="195">
        <f t="shared" si="20"/>
        <v>14.148857397554421</v>
      </c>
      <c r="Q146" s="195">
        <f>N146+P146+O146</f>
        <v>33.255657250308261</v>
      </c>
      <c r="R146" s="221">
        <f t="shared" si="23"/>
        <v>0.29802213858157883</v>
      </c>
      <c r="AC146" s="251"/>
    </row>
    <row r="147" spans="1:29" ht="15.6" x14ac:dyDescent="0.3">
      <c r="A147" s="206">
        <v>2024</v>
      </c>
      <c r="B147" s="229">
        <v>39.007555659797788</v>
      </c>
      <c r="C147" s="229">
        <v>10.374284555827133</v>
      </c>
      <c r="D147" s="229">
        <v>2.0432729707072834</v>
      </c>
      <c r="E147" s="229">
        <v>14.731338341767849</v>
      </c>
      <c r="F147" s="229">
        <v>4.5910971455935048</v>
      </c>
      <c r="G147" s="229">
        <v>1.8038064060315966</v>
      </c>
      <c r="H147" s="229">
        <v>9.2367474944350558</v>
      </c>
      <c r="I147" s="229">
        <v>3.0339778861340734</v>
      </c>
      <c r="J147" s="229">
        <v>3.9676934482309991</v>
      </c>
      <c r="K147" s="229">
        <v>4.3404024353714066</v>
      </c>
      <c r="L147" s="170"/>
      <c r="M147" s="170"/>
      <c r="N147" s="195">
        <f t="shared" si="19"/>
        <v>10.085687992926298</v>
      </c>
      <c r="O147" s="195">
        <f t="shared" si="21"/>
        <v>9.2367474944350558</v>
      </c>
      <c r="P147" s="195">
        <f t="shared" si="20"/>
        <v>14.221363932566014</v>
      </c>
      <c r="Q147" s="195">
        <f t="shared" si="22"/>
        <v>33.543799419927367</v>
      </c>
      <c r="R147" s="221">
        <f t="shared" si="23"/>
        <v>0.30067220074463874</v>
      </c>
      <c r="AC147" s="251"/>
    </row>
    <row r="148" spans="1:29" ht="15.6" x14ac:dyDescent="0.3">
      <c r="A148" s="206">
        <v>2025</v>
      </c>
      <c r="B148" s="229">
        <v>39.408249854787357</v>
      </c>
      <c r="C148" s="229">
        <v>10.42060902958394</v>
      </c>
      <c r="D148" s="229">
        <v>2.050577689685146</v>
      </c>
      <c r="E148" s="229">
        <v>14.852143341185304</v>
      </c>
      <c r="F148" s="229">
        <v>4.6906677801744054</v>
      </c>
      <c r="G148" s="229">
        <v>1.8237983687710297</v>
      </c>
      <c r="H148" s="229">
        <v>9.27851887575045</v>
      </c>
      <c r="I148" s="229">
        <v>3.0786621503333889</v>
      </c>
      <c r="J148" s="229">
        <v>3.9756646083862921</v>
      </c>
      <c r="K148" s="229">
        <v>4.3669989504898545</v>
      </c>
      <c r="L148" s="170"/>
      <c r="M148" s="170"/>
      <c r="N148" s="195">
        <f t="shared" si="19"/>
        <v>10.264292245609258</v>
      </c>
      <c r="O148" s="195">
        <f t="shared" si="21"/>
        <v>9.27851887575045</v>
      </c>
      <c r="P148" s="195">
        <f t="shared" si="20"/>
        <v>14.294985088040114</v>
      </c>
      <c r="Q148" s="195">
        <f t="shared" si="22"/>
        <v>33.837796209399826</v>
      </c>
      <c r="R148" s="221">
        <f t="shared" si="23"/>
        <v>0.30333808331045903</v>
      </c>
      <c r="AC148" s="251"/>
    </row>
    <row r="149" spans="1:29" ht="15.6" x14ac:dyDescent="0.3">
      <c r="A149" s="206">
        <v>2026</v>
      </c>
      <c r="B149" s="229">
        <v>39.803067568891755</v>
      </c>
      <c r="C149" s="229">
        <v>10.467893046688559</v>
      </c>
      <c r="D149" s="229">
        <v>2.0574090812794865</v>
      </c>
      <c r="E149" s="229">
        <v>14.976356258086662</v>
      </c>
      <c r="F149" s="229">
        <v>4.7911847377272601</v>
      </c>
      <c r="G149" s="229">
        <v>1.8442989433183621</v>
      </c>
      <c r="H149" s="229">
        <v>9.3210660754279022</v>
      </c>
      <c r="I149" s="229">
        <v>3.1239865770850352</v>
      </c>
      <c r="J149" s="229">
        <v>3.9833178379510703</v>
      </c>
      <c r="K149" s="229">
        <v>4.3938284295285035</v>
      </c>
      <c r="L149" s="170"/>
      <c r="M149" s="170"/>
      <c r="N149" s="195">
        <f t="shared" si="19"/>
        <v>10.446474920386022</v>
      </c>
      <c r="O149" s="195">
        <f t="shared" si="21"/>
        <v>9.3210660754279022</v>
      </c>
      <c r="P149" s="195">
        <f t="shared" si="20"/>
        <v>14.369601071286407</v>
      </c>
      <c r="Q149" s="195">
        <f t="shared" si="22"/>
        <v>34.137142067100328</v>
      </c>
      <c r="R149" s="221">
        <f t="shared" si="23"/>
        <v>0.30601492356484677</v>
      </c>
      <c r="AC149" s="251"/>
    </row>
    <row r="150" spans="1:29" ht="15.6" x14ac:dyDescent="0.3">
      <c r="A150" s="206">
        <v>2027</v>
      </c>
      <c r="B150" s="229">
        <v>40.19200880211099</v>
      </c>
      <c r="C150" s="229">
        <v>10.516032853910897</v>
      </c>
      <c r="D150" s="229">
        <v>2.0637979121835541</v>
      </c>
      <c r="E150" s="229">
        <v>15.103649445232564</v>
      </c>
      <c r="F150" s="229">
        <v>4.8925899065564371</v>
      </c>
      <c r="G150" s="229">
        <v>1.8652613235201185</v>
      </c>
      <c r="H150" s="229">
        <v>9.3642632658681553</v>
      </c>
      <c r="I150" s="229">
        <v>3.1698898127612836</v>
      </c>
      <c r="J150" s="229">
        <v>3.9906586894545391</v>
      </c>
      <c r="K150" s="229">
        <v>4.4208542159502553</v>
      </c>
      <c r="L150" s="170"/>
      <c r="M150" s="170"/>
      <c r="N150" s="195">
        <f t="shared" si="19"/>
        <v>10.631976085920845</v>
      </c>
      <c r="O150" s="195">
        <f t="shared" si="21"/>
        <v>9.3642632658681553</v>
      </c>
      <c r="P150" s="195">
        <f t="shared" si="20"/>
        <v>14.445092089614569</v>
      </c>
      <c r="Q150" s="195">
        <f t="shared" si="22"/>
        <v>34.44133144140357</v>
      </c>
      <c r="R150" s="221">
        <f t="shared" si="23"/>
        <v>0.30869817283369128</v>
      </c>
      <c r="AC150" s="251"/>
    </row>
    <row r="151" spans="1:29" ht="15.6" x14ac:dyDescent="0.3">
      <c r="A151" s="206">
        <v>2028</v>
      </c>
      <c r="B151" s="229">
        <v>40.575073554445048</v>
      </c>
      <c r="C151" s="229">
        <v>10.564924698020857</v>
      </c>
      <c r="D151" s="229">
        <v>2.0697749490905979</v>
      </c>
      <c r="E151" s="229">
        <v>15.233695255383656</v>
      </c>
      <c r="F151" s="229">
        <v>4.9948251749663086</v>
      </c>
      <c r="G151" s="229">
        <v>1.8866387032228245</v>
      </c>
      <c r="H151" s="229">
        <v>9.4079846194719448</v>
      </c>
      <c r="I151" s="229">
        <v>3.2163105037344053</v>
      </c>
      <c r="J151" s="229">
        <v>3.9976927154259023</v>
      </c>
      <c r="K151" s="229">
        <v>4.4480396532180091</v>
      </c>
      <c r="L151" s="170"/>
      <c r="M151" s="170"/>
      <c r="N151" s="195">
        <f t="shared" si="19"/>
        <v>10.820535810878022</v>
      </c>
      <c r="O151" s="195">
        <f t="shared" si="21"/>
        <v>9.4079846194719448</v>
      </c>
      <c r="P151" s="195">
        <f t="shared" si="20"/>
        <v>14.521338350334279</v>
      </c>
      <c r="Q151" s="195">
        <f t="shared" si="22"/>
        <v>34.749858780684249</v>
      </c>
      <c r="R151" s="221">
        <f t="shared" si="23"/>
        <v>0.31138359091383216</v>
      </c>
      <c r="AC151" s="251"/>
    </row>
    <row r="152" spans="1:29" ht="15.6" x14ac:dyDescent="0.3">
      <c r="A152" s="206">
        <v>2029</v>
      </c>
      <c r="B152" s="229">
        <v>40.952261825893942</v>
      </c>
      <c r="C152" s="229">
        <v>10.614464825788344</v>
      </c>
      <c r="D152" s="229">
        <v>2.0753709586938678</v>
      </c>
      <c r="E152" s="229">
        <v>15.366166041300581</v>
      </c>
      <c r="F152" s="229">
        <v>5.0978324312612457</v>
      </c>
      <c r="G152" s="229">
        <v>1.9083842762730048</v>
      </c>
      <c r="H152" s="229">
        <v>9.4521043086400098</v>
      </c>
      <c r="I152" s="229">
        <v>3.263187296376671</v>
      </c>
      <c r="J152" s="229">
        <v>4.0044254683943645</v>
      </c>
      <c r="K152" s="229">
        <v>4.4753480847946649</v>
      </c>
      <c r="L152" s="170"/>
      <c r="M152" s="170"/>
      <c r="N152" s="195">
        <f t="shared" si="19"/>
        <v>11.011894163921816</v>
      </c>
      <c r="O152" s="195">
        <f t="shared" si="21"/>
        <v>9.4521043086400098</v>
      </c>
      <c r="P152" s="195">
        <f t="shared" si="20"/>
        <v>14.598220060755217</v>
      </c>
      <c r="Q152" s="195">
        <f t="shared" si="22"/>
        <v>35.062218533317044</v>
      </c>
      <c r="R152" s="221">
        <f t="shared" si="23"/>
        <v>0.31406723888444266</v>
      </c>
      <c r="AC152" s="251"/>
    </row>
    <row r="153" spans="1:29" ht="15.6" x14ac:dyDescent="0.3">
      <c r="A153" s="206">
        <v>2030</v>
      </c>
      <c r="B153" s="229">
        <v>41.323573616457665</v>
      </c>
      <c r="C153" s="229">
        <v>10.664549483983265</v>
      </c>
      <c r="D153" s="229">
        <v>2.0806167076866129</v>
      </c>
      <c r="E153" s="229">
        <v>15.500734155743979</v>
      </c>
      <c r="F153" s="229">
        <v>5.2015535637456178</v>
      </c>
      <c r="G153" s="229">
        <v>1.9304512365171846</v>
      </c>
      <c r="H153" s="229">
        <v>9.4964965057730915</v>
      </c>
      <c r="I153" s="229">
        <v>3.3104588370603532</v>
      </c>
      <c r="J153" s="229">
        <v>4.0108625008891305</v>
      </c>
      <c r="K153" s="229">
        <v>4.5027428541431256</v>
      </c>
      <c r="L153" s="170"/>
      <c r="M153" s="170"/>
      <c r="N153" s="195">
        <f t="shared" si="19"/>
        <v>11.205791213716505</v>
      </c>
      <c r="O153" s="195">
        <f t="shared" si="21"/>
        <v>9.4964965057730915</v>
      </c>
      <c r="P153" s="195">
        <f t="shared" si="20"/>
        <v>14.675617428187062</v>
      </c>
      <c r="Q153" s="195">
        <f t="shared" si="22"/>
        <v>35.377905147676657</v>
      </c>
      <c r="R153" s="221">
        <f t="shared" si="23"/>
        <v>0.31674547056815811</v>
      </c>
      <c r="AC153" s="251"/>
    </row>
    <row r="154" spans="1:29" ht="15.6" x14ac:dyDescent="0.3">
      <c r="A154" s="206">
        <v>2031</v>
      </c>
      <c r="B154" s="229">
        <v>41.689008926136225</v>
      </c>
      <c r="C154" s="229">
        <v>10.715074919375525</v>
      </c>
      <c r="D154" s="229">
        <v>2.0855429627620823</v>
      </c>
      <c r="E154" s="229">
        <v>15.637071951474496</v>
      </c>
      <c r="F154" s="229">
        <v>5.3059304607237952</v>
      </c>
      <c r="G154" s="229">
        <v>1.9527927778018892</v>
      </c>
      <c r="H154" s="229">
        <v>9.5410353832719252</v>
      </c>
      <c r="I154" s="229">
        <v>3.3580637721577222</v>
      </c>
      <c r="J154" s="229">
        <v>4.0170093654394057</v>
      </c>
      <c r="K154" s="229">
        <v>4.5301873047262884</v>
      </c>
      <c r="L154" s="170"/>
      <c r="M154" s="170"/>
      <c r="N154" s="195">
        <f t="shared" si="19"/>
        <v>11.401967028926364</v>
      </c>
      <c r="O154" s="195">
        <f t="shared" si="21"/>
        <v>9.5410353832719252</v>
      </c>
      <c r="P154" s="195">
        <f t="shared" si="20"/>
        <v>14.753410659939496</v>
      </c>
      <c r="Q154" s="195">
        <f t="shared" si="22"/>
        <v>35.696413072137787</v>
      </c>
      <c r="R154" s="221">
        <f t="shared" si="23"/>
        <v>0.31941492289111734</v>
      </c>
      <c r="AC154" s="251"/>
    </row>
    <row r="155" spans="1:29" ht="15.6" x14ac:dyDescent="0.3">
      <c r="A155" s="206">
        <v>2032</v>
      </c>
      <c r="B155" s="229">
        <v>42.048567754929614</v>
      </c>
      <c r="C155" s="229">
        <v>10.765937378735027</v>
      </c>
      <c r="D155" s="229">
        <v>2.090180490613526</v>
      </c>
      <c r="E155" s="229">
        <v>15.774851781252773</v>
      </c>
      <c r="F155" s="229">
        <v>5.4109050105001488</v>
      </c>
      <c r="G155" s="229">
        <v>1.9753620939736434</v>
      </c>
      <c r="H155" s="229">
        <v>9.5855951135372504</v>
      </c>
      <c r="I155" s="229">
        <v>3.4059407480410493</v>
      </c>
      <c r="J155" s="229">
        <v>4.0228716145743935</v>
      </c>
      <c r="K155" s="229">
        <v>4.5576447800070561</v>
      </c>
      <c r="L155" s="170"/>
      <c r="M155" s="170"/>
      <c r="N155" s="195">
        <f t="shared" si="19"/>
        <v>11.600161678215672</v>
      </c>
      <c r="O155" s="195">
        <f t="shared" si="21"/>
        <v>9.5855951135372504</v>
      </c>
      <c r="P155" s="195">
        <f t="shared" si="20"/>
        <v>14.831479963322195</v>
      </c>
      <c r="Q155" s="195">
        <f t="shared" si="22"/>
        <v>36.017236755075118</v>
      </c>
      <c r="R155" s="221">
        <f t="shared" si="23"/>
        <v>0.32207250537011606</v>
      </c>
      <c r="AC155" s="251"/>
    </row>
    <row r="156" spans="1:29" ht="15.6" x14ac:dyDescent="0.3">
      <c r="A156" s="206">
        <v>2033</v>
      </c>
      <c r="B156" s="229">
        <v>42.402250102837826</v>
      </c>
      <c r="C156" s="229">
        <v>10.817033108831676</v>
      </c>
      <c r="D156" s="229">
        <v>2.0945600579341925</v>
      </c>
      <c r="E156" s="229">
        <v>15.913745997839454</v>
      </c>
      <c r="F156" s="229">
        <v>5.51641910137905</v>
      </c>
      <c r="G156" s="229">
        <v>1.9981123788789721</v>
      </c>
      <c r="H156" s="229">
        <v>9.6300498689698095</v>
      </c>
      <c r="I156" s="229">
        <v>3.4540284110826058</v>
      </c>
      <c r="J156" s="229">
        <v>4.0284548008232983</v>
      </c>
      <c r="K156" s="229">
        <v>4.5850786234483278</v>
      </c>
      <c r="L156" s="170"/>
      <c r="M156" s="170"/>
      <c r="N156" s="195">
        <f t="shared" si="19"/>
        <v>11.800115230248696</v>
      </c>
      <c r="O156" s="195">
        <f t="shared" si="21"/>
        <v>9.6300498689698095</v>
      </c>
      <c r="P156" s="195">
        <f t="shared" si="20"/>
        <v>14.90970554564484</v>
      </c>
      <c r="Q156" s="195">
        <f t="shared" si="22"/>
        <v>36.339870644863346</v>
      </c>
      <c r="R156" s="221">
        <f t="shared" si="23"/>
        <v>0.32471538893374258</v>
      </c>
      <c r="AC156" s="251"/>
    </row>
    <row r="157" spans="1:29" ht="15.6" x14ac:dyDescent="0.3">
      <c r="A157" s="206">
        <v>2034</v>
      </c>
      <c r="B157" s="229">
        <v>42.750055969860881</v>
      </c>
      <c r="C157" s="229">
        <v>10.86825835643538</v>
      </c>
      <c r="D157" s="229">
        <v>2.098712431417332</v>
      </c>
      <c r="E157" s="229">
        <v>16.053426953995185</v>
      </c>
      <c r="F157" s="229">
        <v>5.6224146216648681</v>
      </c>
      <c r="G157" s="229">
        <v>2.0209968263644011</v>
      </c>
      <c r="H157" s="229">
        <v>9.6742738219703366</v>
      </c>
      <c r="I157" s="229">
        <v>3.5022654076546633</v>
      </c>
      <c r="J157" s="229">
        <v>4.0337644767153265</v>
      </c>
      <c r="K157" s="229">
        <v>4.6124521785130046</v>
      </c>
      <c r="L157" s="170"/>
      <c r="M157" s="170"/>
      <c r="N157" s="195">
        <f t="shared" si="19"/>
        <v>12.001567753689715</v>
      </c>
      <c r="O157" s="195">
        <f t="shared" si="21"/>
        <v>9.6742738219703366</v>
      </c>
      <c r="P157" s="195">
        <f t="shared" si="20"/>
        <v>14.987967614217114</v>
      </c>
      <c r="Q157" s="195">
        <f t="shared" si="22"/>
        <v>36.663809189877163</v>
      </c>
      <c r="R157" s="221">
        <f t="shared" si="23"/>
        <v>0.32734099426317476</v>
      </c>
      <c r="AC157" s="251"/>
    </row>
    <row r="158" spans="1:29" ht="15.6" x14ac:dyDescent="0.3">
      <c r="A158" s="206">
        <v>2035</v>
      </c>
      <c r="B158" s="229">
        <v>43.091985355998759</v>
      </c>
      <c r="C158" s="229">
        <v>10.919509368316042</v>
      </c>
      <c r="D158" s="229">
        <v>2.1026683777561934</v>
      </c>
      <c r="E158" s="229">
        <v>16.193567002480602</v>
      </c>
      <c r="F158" s="229">
        <v>5.7288334596619741</v>
      </c>
      <c r="G158" s="229">
        <v>2.0439686302764546</v>
      </c>
      <c r="H158" s="229">
        <v>9.7181411449395725</v>
      </c>
      <c r="I158" s="229">
        <v>3.5505903841294923</v>
      </c>
      <c r="J158" s="229">
        <v>4.0388061947796805</v>
      </c>
      <c r="K158" s="229">
        <v>4.6397287886639855</v>
      </c>
      <c r="L158" s="170"/>
      <c r="M158" s="170"/>
      <c r="N158" s="195">
        <f t="shared" si="19"/>
        <v>12.204259317203004</v>
      </c>
      <c r="O158" s="195">
        <f t="shared" si="21"/>
        <v>9.7181411449395725</v>
      </c>
      <c r="P158" s="195">
        <f t="shared" si="20"/>
        <v>15.066146376348691</v>
      </c>
      <c r="Q158" s="195">
        <f t="shared" si="22"/>
        <v>36.988546838491267</v>
      </c>
      <c r="R158" s="221">
        <f t="shared" si="23"/>
        <v>0.32994697981762633</v>
      </c>
      <c r="AC158" s="251"/>
    </row>
    <row r="159" spans="1:29" ht="15.6" x14ac:dyDescent="0.3">
      <c r="A159" s="206">
        <v>2036</v>
      </c>
      <c r="B159" s="229">
        <v>43.428038261251473</v>
      </c>
      <c r="C159" s="229">
        <v>10.970682391243566</v>
      </c>
      <c r="D159" s="229">
        <v>2.1064586636440263</v>
      </c>
      <c r="E159" s="229">
        <v>16.333838496056355</v>
      </c>
      <c r="F159" s="229">
        <v>5.8356175036747393</v>
      </c>
      <c r="G159" s="229">
        <v>2.066980984461658</v>
      </c>
      <c r="H159" s="229">
        <v>9.7615260102782564</v>
      </c>
      <c r="I159" s="229">
        <v>3.5989419868793644</v>
      </c>
      <c r="J159" s="229">
        <v>4.0435855075455667</v>
      </c>
      <c r="K159" s="229">
        <v>4.6668717973641733</v>
      </c>
      <c r="L159" s="170"/>
      <c r="M159" s="170"/>
      <c r="N159" s="195">
        <f t="shared" si="19"/>
        <v>12.407929989452839</v>
      </c>
      <c r="O159" s="195">
        <f t="shared" si="21"/>
        <v>9.7615260102782564</v>
      </c>
      <c r="P159" s="195">
        <f t="shared" si="20"/>
        <v>15.14412203934925</v>
      </c>
      <c r="Q159" s="195">
        <f t="shared" si="22"/>
        <v>37.31357803908034</v>
      </c>
      <c r="R159" s="221">
        <f t="shared" si="23"/>
        <v>0.3325312296895625</v>
      </c>
      <c r="AC159" s="251"/>
    </row>
    <row r="160" spans="1:29" ht="15.6" x14ac:dyDescent="0.3">
      <c r="A160" s="206">
        <v>2037</v>
      </c>
      <c r="B160" s="229">
        <v>43.758214685619009</v>
      </c>
      <c r="C160" s="229">
        <v>11.021673671987859</v>
      </c>
      <c r="D160" s="229">
        <v>2.1101140557740798</v>
      </c>
      <c r="E160" s="229">
        <v>16.473913787483085</v>
      </c>
      <c r="F160" s="229">
        <v>5.942708642007533</v>
      </c>
      <c r="G160" s="229">
        <v>2.0899870827665366</v>
      </c>
      <c r="H160" s="229">
        <v>9.8043025903871257</v>
      </c>
      <c r="I160" s="229">
        <v>3.6472588622765509</v>
      </c>
      <c r="J160" s="229">
        <v>4.0481079675421885</v>
      </c>
      <c r="K160" s="229">
        <v>4.6938445480764663</v>
      </c>
      <c r="L160" s="170"/>
      <c r="M160" s="170"/>
      <c r="N160" s="195">
        <f t="shared" si="19"/>
        <v>12.61231983910349</v>
      </c>
      <c r="O160" s="195">
        <f t="shared" si="21"/>
        <v>9.8043025903871257</v>
      </c>
      <c r="P160" s="195">
        <f t="shared" si="20"/>
        <v>15.221774810528476</v>
      </c>
      <c r="Q160" s="195">
        <f t="shared" si="22"/>
        <v>37.638397240019088</v>
      </c>
      <c r="R160" s="221">
        <f t="shared" si="23"/>
        <v>0.33509184141596282</v>
      </c>
      <c r="AC160" s="251"/>
    </row>
    <row r="161" spans="1:29" ht="15.6" x14ac:dyDescent="0.3">
      <c r="A161" s="206">
        <v>2038</v>
      </c>
      <c r="B161" s="229">
        <v>44.082514629101382</v>
      </c>
      <c r="C161" s="229">
        <v>11.072379457318824</v>
      </c>
      <c r="D161" s="229">
        <v>2.113665320839603</v>
      </c>
      <c r="E161" s="229">
        <v>16.613465229521434</v>
      </c>
      <c r="F161" s="229">
        <v>6.0500487629647264</v>
      </c>
      <c r="G161" s="229">
        <v>2.1129401190376154</v>
      </c>
      <c r="H161" s="229">
        <v>9.8463450576669214</v>
      </c>
      <c r="I161" s="229">
        <v>3.695479656693323</v>
      </c>
      <c r="J161" s="229">
        <v>4.0523791272987504</v>
      </c>
      <c r="K161" s="229">
        <v>4.7206103842637654</v>
      </c>
      <c r="L161" s="170"/>
      <c r="M161" s="170"/>
      <c r="N161" s="195">
        <f t="shared" si="19"/>
        <v>12.817168934819238</v>
      </c>
      <c r="O161" s="195">
        <f t="shared" si="21"/>
        <v>9.8463450576669214</v>
      </c>
      <c r="P161" s="195">
        <f t="shared" si="20"/>
        <v>15.298984897196043</v>
      </c>
      <c r="Q161" s="195">
        <f t="shared" si="22"/>
        <v>37.962498889682202</v>
      </c>
      <c r="R161" s="221">
        <f t="shared" si="23"/>
        <v>0.33762711385426752</v>
      </c>
      <c r="AC161" s="251"/>
    </row>
    <row r="162" spans="1:29" ht="15.6" x14ac:dyDescent="0.3">
      <c r="A162" s="206">
        <v>2039</v>
      </c>
      <c r="B162" s="229">
        <v>44.400938091698585</v>
      </c>
      <c r="C162" s="229">
        <v>11.122695994006367</v>
      </c>
      <c r="D162" s="229">
        <v>2.1171432255338463</v>
      </c>
      <c r="E162" s="229">
        <v>16.752165174932045</v>
      </c>
      <c r="F162" s="229">
        <v>6.1575797548506896</v>
      </c>
      <c r="G162" s="229">
        <v>2.1357932871214191</v>
      </c>
      <c r="H162" s="229">
        <v>9.887527584518379</v>
      </c>
      <c r="I162" s="229">
        <v>3.7435430165019516</v>
      </c>
      <c r="J162" s="229">
        <v>4.0564045393444577</v>
      </c>
      <c r="K162" s="229">
        <v>4.7471326493889707</v>
      </c>
      <c r="L162" s="170"/>
      <c r="M162" s="170"/>
      <c r="N162" s="195">
        <f t="shared" si="19"/>
        <v>13.022217345264357</v>
      </c>
      <c r="O162" s="195">
        <f t="shared" si="21"/>
        <v>9.887527584518379</v>
      </c>
      <c r="P162" s="195">
        <f t="shared" si="20"/>
        <v>15.375632506661633</v>
      </c>
      <c r="Q162" s="195">
        <f t="shared" si="22"/>
        <v>38.285377436444371</v>
      </c>
      <c r="R162" s="221">
        <f t="shared" si="23"/>
        <v>0.34013553521528905</v>
      </c>
      <c r="AC162" s="251"/>
    </row>
    <row r="163" spans="1:29" ht="15.6" x14ac:dyDescent="0.3">
      <c r="A163" s="206">
        <v>2040</v>
      </c>
      <c r="B163" s="229">
        <v>44.713485073410624</v>
      </c>
      <c r="C163" s="229">
        <v>11.172519528820395</v>
      </c>
      <c r="D163" s="229">
        <v>2.1205785365500578</v>
      </c>
      <c r="E163" s="229">
        <v>16.889685976475565</v>
      </c>
      <c r="F163" s="229">
        <v>6.265243505969794</v>
      </c>
      <c r="G163" s="229">
        <v>2.1584997808644735</v>
      </c>
      <c r="H163" s="229">
        <v>9.9277243433422395</v>
      </c>
      <c r="I163" s="229">
        <v>3.7913875880747088</v>
      </c>
      <c r="J163" s="229">
        <v>4.0601897562085156</v>
      </c>
      <c r="K163" s="229">
        <v>4.773374686914984</v>
      </c>
      <c r="L163" s="170"/>
      <c r="M163" s="170"/>
      <c r="N163" s="195">
        <f t="shared" si="19"/>
        <v>13.227205139103122</v>
      </c>
      <c r="O163" s="195">
        <f t="shared" si="21"/>
        <v>9.9277243433422395</v>
      </c>
      <c r="P163" s="195">
        <f t="shared" si="20"/>
        <v>15.451597846234925</v>
      </c>
      <c r="Q163" s="195">
        <f t="shared" si="22"/>
        <v>38.606527328680286</v>
      </c>
      <c r="R163" s="221">
        <f t="shared" si="23"/>
        <v>0.34261577133037818</v>
      </c>
      <c r="AC163" s="251"/>
    </row>
    <row r="164" spans="1:29" ht="15.6" x14ac:dyDescent="0.3">
      <c r="A164" s="206">
        <v>2041</v>
      </c>
      <c r="B164" s="229">
        <v>45.020155574237485</v>
      </c>
      <c r="C164" s="229">
        <v>11.221746308530811</v>
      </c>
      <c r="D164" s="229">
        <v>2.1240020205814876</v>
      </c>
      <c r="E164" s="229">
        <v>17.025699986912631</v>
      </c>
      <c r="F164" s="229">
        <v>6.3729819046264096</v>
      </c>
      <c r="G164" s="229">
        <v>2.1810127941133031</v>
      </c>
      <c r="H164" s="229">
        <v>9.9668095065392421</v>
      </c>
      <c r="I164" s="229">
        <v>3.838952017783865</v>
      </c>
      <c r="J164" s="229">
        <v>4.0637403304201269</v>
      </c>
      <c r="K164" s="229">
        <v>4.7992998403047045</v>
      </c>
      <c r="L164" s="170"/>
      <c r="M164" s="170"/>
      <c r="N164" s="195">
        <f t="shared" si="19"/>
        <v>13.431872384999799</v>
      </c>
      <c r="O164" s="195">
        <f t="shared" si="21"/>
        <v>9.9668095065392421</v>
      </c>
      <c r="P164" s="195">
        <f t="shared" si="20"/>
        <v>15.526761123225601</v>
      </c>
      <c r="Q164" s="195">
        <f>N164+P164+O164</f>
        <v>38.925443014764639</v>
      </c>
      <c r="R164" s="221">
        <f>N164/Q164</f>
        <v>0.34506665421649829</v>
      </c>
      <c r="AC164" s="251"/>
    </row>
    <row r="165" spans="1:29" ht="15.6" x14ac:dyDescent="0.3">
      <c r="A165" s="206">
        <v>2042</v>
      </c>
      <c r="B165" s="229">
        <v>45.320949594179183</v>
      </c>
      <c r="C165" s="229">
        <v>11.27027257990752</v>
      </c>
      <c r="D165" s="229">
        <v>2.1274444443213847</v>
      </c>
      <c r="E165" s="229">
        <v>17.15987955900389</v>
      </c>
      <c r="F165" s="229">
        <v>6.4807368391249067</v>
      </c>
      <c r="G165" s="229">
        <v>2.2032855207144326</v>
      </c>
      <c r="H165" s="229">
        <v>10.004657246510124</v>
      </c>
      <c r="I165" s="229">
        <v>3.8861749520016913</v>
      </c>
      <c r="J165" s="229">
        <v>4.0670618145084978</v>
      </c>
      <c r="K165" s="229">
        <v>4.8248714530210322</v>
      </c>
      <c r="L165" s="170"/>
      <c r="M165" s="170"/>
      <c r="N165" s="195">
        <f t="shared" si="19"/>
        <v>13.635959151618675</v>
      </c>
      <c r="O165" s="195">
        <f t="shared" si="21"/>
        <v>10.004657246510124</v>
      </c>
      <c r="P165" s="195">
        <f t="shared" si="20"/>
        <v>15.601002544943336</v>
      </c>
      <c r="Q165" s="195">
        <f t="shared" si="22"/>
        <v>39.24161894307214</v>
      </c>
      <c r="R165" s="221">
        <f t="shared" si="23"/>
        <v>0.34748717099058468</v>
      </c>
      <c r="AC165" s="251"/>
    </row>
    <row r="166" spans="1:29" ht="15.6" x14ac:dyDescent="0.3">
      <c r="A166" s="206">
        <v>2043</v>
      </c>
      <c r="B166" s="229">
        <v>45.61586713323571</v>
      </c>
      <c r="C166" s="229">
        <v>11.317994589720426</v>
      </c>
      <c r="D166" s="229">
        <v>2.1309365744629991</v>
      </c>
      <c r="E166" s="229">
        <v>17.291897045509984</v>
      </c>
      <c r="F166" s="229">
        <v>6.5884501977696557</v>
      </c>
      <c r="G166" s="229">
        <v>2.2252711545143882</v>
      </c>
      <c r="H166" s="229">
        <v>10.041141735655625</v>
      </c>
      <c r="I166" s="229">
        <v>3.9329950371004596</v>
      </c>
      <c r="J166" s="229">
        <v>4.0701597610028317</v>
      </c>
      <c r="K166" s="229">
        <v>4.8500528685268689</v>
      </c>
      <c r="L166" s="170"/>
      <c r="M166" s="170"/>
      <c r="N166" s="195">
        <f t="shared" si="19"/>
        <v>13.839205507624015</v>
      </c>
      <c r="O166" s="195">
        <f t="shared" si="21"/>
        <v>10.041141735655625</v>
      </c>
      <c r="P166" s="195">
        <f t="shared" si="20"/>
        <v>15.674202318697812</v>
      </c>
      <c r="Q166" s="195">
        <f t="shared" si="22"/>
        <v>39.554549561977453</v>
      </c>
      <c r="R166" s="221">
        <f t="shared" si="23"/>
        <v>0.34987645317359928</v>
      </c>
      <c r="AC166" s="251"/>
    </row>
    <row r="167" spans="1:29" ht="15.6" x14ac:dyDescent="0.3">
      <c r="A167" s="206">
        <v>2044</v>
      </c>
      <c r="B167" s="229">
        <v>45.904908191407067</v>
      </c>
      <c r="C167" s="229">
        <v>11.364808584739437</v>
      </c>
      <c r="D167" s="229">
        <v>2.1345091776995795</v>
      </c>
      <c r="E167" s="229">
        <v>17.421424799191556</v>
      </c>
      <c r="F167" s="229">
        <v>6.6960638688650285</v>
      </c>
      <c r="G167" s="229">
        <v>2.246922889359694</v>
      </c>
      <c r="H167" s="229">
        <v>10.076137146376483</v>
      </c>
      <c r="I167" s="229">
        <v>3.9793509194524406</v>
      </c>
      <c r="J167" s="229">
        <v>4.073039722432334</v>
      </c>
      <c r="K167" s="229">
        <v>4.8748074302851139</v>
      </c>
      <c r="L167" s="170"/>
      <c r="M167" s="170"/>
      <c r="N167" s="195">
        <f t="shared" si="19"/>
        <v>14.041351521680101</v>
      </c>
      <c r="O167" s="195">
        <f t="shared" si="21"/>
        <v>10.076137146376483</v>
      </c>
      <c r="P167" s="195">
        <f t="shared" si="20"/>
        <v>15.746240651798711</v>
      </c>
      <c r="Q167" s="195">
        <f t="shared" si="22"/>
        <v>39.863729319855295</v>
      </c>
      <c r="R167" s="221">
        <f t="shared" si="23"/>
        <v>0.35223376641498505</v>
      </c>
      <c r="AC167" s="251"/>
    </row>
    <row r="168" spans="1:29" ht="15.6" x14ac:dyDescent="0.3">
      <c r="A168" s="206">
        <v>2045</v>
      </c>
      <c r="B168" s="229">
        <v>46.188072768693253</v>
      </c>
      <c r="C168" s="229">
        <v>11.410610811734456</v>
      </c>
      <c r="D168" s="229">
        <v>2.1381930207243753</v>
      </c>
      <c r="E168" s="229">
        <v>17.54813517280925</v>
      </c>
      <c r="F168" s="229">
        <v>6.8035197407153936</v>
      </c>
      <c r="G168" s="229">
        <v>2.2681939190968756</v>
      </c>
      <c r="H168" s="229">
        <v>10.109517651073439</v>
      </c>
      <c r="I168" s="229">
        <v>4.0251812454299056</v>
      </c>
      <c r="J168" s="229">
        <v>4.0757072513262091</v>
      </c>
      <c r="K168" s="229">
        <v>4.8990984817586671</v>
      </c>
      <c r="L168" s="170"/>
      <c r="M168" s="170"/>
      <c r="N168" s="195">
        <f t="shared" si="19"/>
        <v>14.242137262451205</v>
      </c>
      <c r="O168" s="195">
        <f t="shared" si="21"/>
        <v>10.109517651073439</v>
      </c>
      <c r="P168" s="195">
        <f t="shared" si="20"/>
        <v>15.816997751555705</v>
      </c>
      <c r="Q168" s="195">
        <f t="shared" si="22"/>
        <v>40.168652665080351</v>
      </c>
      <c r="R168" s="221">
        <f t="shared" si="23"/>
        <v>0.35455850065970135</v>
      </c>
      <c r="AC168" s="251"/>
    </row>
    <row r="169" spans="1:29" ht="15.6" x14ac:dyDescent="0.3">
      <c r="A169" s="206">
        <v>2046</v>
      </c>
      <c r="B169" s="229">
        <v>46.465360865094276</v>
      </c>
      <c r="C169" s="229">
        <v>11.455297517475387</v>
      </c>
      <c r="D169" s="229">
        <v>2.1420188702306358</v>
      </c>
      <c r="E169" s="229">
        <v>17.671700519123711</v>
      </c>
      <c r="F169" s="229">
        <v>6.910759701625123</v>
      </c>
      <c r="G169" s="229">
        <v>2.2890374375724578</v>
      </c>
      <c r="H169" s="229">
        <v>10.141157422147229</v>
      </c>
      <c r="I169" s="229">
        <v>4.0704246614051263</v>
      </c>
      <c r="J169" s="229">
        <v>4.0781679002136615</v>
      </c>
      <c r="K169" s="229">
        <v>4.9228893664104305</v>
      </c>
      <c r="L169" s="170"/>
      <c r="M169" s="170"/>
      <c r="N169" s="195">
        <f t="shared" si="19"/>
        <v>14.441302798601606</v>
      </c>
      <c r="O169" s="195">
        <f t="shared" si="21"/>
        <v>10.141157422147229</v>
      </c>
      <c r="P169" s="195">
        <f t="shared" si="20"/>
        <v>15.88635382527848</v>
      </c>
      <c r="Q169" s="195">
        <f t="shared" si="22"/>
        <v>40.468814046027319</v>
      </c>
      <c r="R169" s="221">
        <f t="shared" si="23"/>
        <v>0.35685016077260751</v>
      </c>
      <c r="AC169" s="251"/>
    </row>
    <row r="170" spans="1:29" ht="15.6" x14ac:dyDescent="0.3">
      <c r="A170" s="206">
        <v>2047</v>
      </c>
      <c r="B170" s="229">
        <v>46.736772480610128</v>
      </c>
      <c r="C170" s="229">
        <v>11.498764948732138</v>
      </c>
      <c r="D170" s="229">
        <v>2.1460174929116107</v>
      </c>
      <c r="E170" s="229">
        <v>17.791793190895575</v>
      </c>
      <c r="F170" s="229">
        <v>7.017725639898587</v>
      </c>
      <c r="G170" s="229">
        <v>2.3094066386329661</v>
      </c>
      <c r="H170" s="229">
        <v>10.170930631998592</v>
      </c>
      <c r="I170" s="229">
        <v>4.1150198137503731</v>
      </c>
      <c r="J170" s="229">
        <v>4.0804272216238955</v>
      </c>
      <c r="K170" s="229">
        <v>4.9461434277033032</v>
      </c>
      <c r="L170" s="170"/>
      <c r="M170" s="170"/>
      <c r="N170" s="195">
        <f t="shared" si="19"/>
        <v>14.638588198795569</v>
      </c>
      <c r="O170" s="195">
        <f t="shared" si="21"/>
        <v>10.170930631998592</v>
      </c>
      <c r="P170" s="195">
        <f t="shared" si="20"/>
        <v>15.954189080276715</v>
      </c>
      <c r="Q170" s="195">
        <f t="shared" si="22"/>
        <v>40.763707911070874</v>
      </c>
      <c r="R170" s="221">
        <f t="shared" si="23"/>
        <v>0.35910835762857396</v>
      </c>
      <c r="AC170" s="251"/>
    </row>
    <row r="171" spans="1:29" ht="15.6" x14ac:dyDescent="0.3">
      <c r="A171" s="206">
        <v>2048</v>
      </c>
      <c r="B171" s="229">
        <v>47.002307615240809</v>
      </c>
      <c r="C171" s="229">
        <v>11.54090935227461</v>
      </c>
      <c r="D171" s="229">
        <v>2.1502196554605493</v>
      </c>
      <c r="E171" s="229">
        <v>17.908085540885491</v>
      </c>
      <c r="F171" s="229">
        <v>7.1243594438401558</v>
      </c>
      <c r="G171" s="229">
        <v>2.3292547161249253</v>
      </c>
      <c r="H171" s="229">
        <v>10.198711453028269</v>
      </c>
      <c r="I171" s="229">
        <v>4.1589053488379184</v>
      </c>
      <c r="J171" s="229">
        <v>4.0824907680861164</v>
      </c>
      <c r="K171" s="229">
        <v>4.9688240091001861</v>
      </c>
      <c r="L171" s="170"/>
      <c r="M171" s="170"/>
      <c r="N171" s="195">
        <f t="shared" si="19"/>
        <v>14.833733531697378</v>
      </c>
      <c r="O171" s="195">
        <f t="shared" si="21"/>
        <v>10.198711453028269</v>
      </c>
      <c r="P171" s="195">
        <f t="shared" si="20"/>
        <v>16.020383723860085</v>
      </c>
      <c r="Q171" s="195">
        <f t="shared" si="22"/>
        <v>41.052828708585729</v>
      </c>
      <c r="R171" s="221">
        <f t="shared" si="23"/>
        <v>0.36133279967124587</v>
      </c>
      <c r="AC171" s="251"/>
    </row>
    <row r="172" spans="1:29" ht="15.6" x14ac:dyDescent="0.3">
      <c r="A172" s="206">
        <v>2049</v>
      </c>
      <c r="B172" s="229">
        <v>47.26196626898632</v>
      </c>
      <c r="C172" s="229">
        <v>11.581626974872714</v>
      </c>
      <c r="D172" s="229">
        <v>2.154656124570701</v>
      </c>
      <c r="E172" s="229">
        <v>18.020249921854102</v>
      </c>
      <c r="F172" s="229">
        <v>7.2306030017542007</v>
      </c>
      <c r="G172" s="229">
        <v>2.34853486389486</v>
      </c>
      <c r="H172" s="229">
        <v>10.224374057636997</v>
      </c>
      <c r="I172" s="229">
        <v>4.202019913040032</v>
      </c>
      <c r="J172" s="229">
        <v>4.0843640921295288</v>
      </c>
      <c r="K172" s="229">
        <v>4.9908944540639801</v>
      </c>
      <c r="L172" s="170"/>
      <c r="M172" s="170"/>
      <c r="N172" s="195">
        <f t="shared" si="19"/>
        <v>15.026478865971306</v>
      </c>
      <c r="O172" s="195">
        <f t="shared" si="21"/>
        <v>10.224374057636997</v>
      </c>
      <c r="P172" s="195">
        <f t="shared" si="20"/>
        <v>16.084817963338274</v>
      </c>
      <c r="Q172" s="195">
        <f t="shared" si="22"/>
        <v>41.335670886946573</v>
      </c>
      <c r="R172" s="221">
        <f t="shared" si="23"/>
        <v>0.36352328493878472</v>
      </c>
      <c r="AC172" s="251"/>
    </row>
    <row r="173" spans="1:29" ht="16.2" thickBot="1" x14ac:dyDescent="0.35">
      <c r="A173" s="208">
        <v>2050</v>
      </c>
      <c r="B173" s="231">
        <v>47.515748441846668</v>
      </c>
      <c r="C173" s="231">
        <v>11.620814063296351</v>
      </c>
      <c r="D173" s="231">
        <v>2.1593576669353149</v>
      </c>
      <c r="E173" s="231">
        <v>18.127958686562049</v>
      </c>
      <c r="F173" s="231">
        <v>7.3363982019450908</v>
      </c>
      <c r="G173" s="231">
        <v>2.3672002757892958</v>
      </c>
      <c r="H173" s="231">
        <v>10.247792618225514</v>
      </c>
      <c r="I173" s="231">
        <v>4.2443021527289861</v>
      </c>
      <c r="J173" s="231">
        <v>4.086052746283336</v>
      </c>
      <c r="K173" s="231">
        <v>5.0123181060575837</v>
      </c>
      <c r="L173" s="209"/>
      <c r="M173" s="209"/>
      <c r="N173" s="195">
        <f t="shared" si="19"/>
        <v>15.216564270281626</v>
      </c>
      <c r="O173" s="195">
        <f t="shared" si="21"/>
        <v>10.247792618225514</v>
      </c>
      <c r="P173" s="195">
        <f t="shared" si="20"/>
        <v>16.147372006020959</v>
      </c>
      <c r="Q173" s="195">
        <f t="shared" si="22"/>
        <v>41.611728894528099</v>
      </c>
      <c r="R173" s="222">
        <f t="shared" si="23"/>
        <v>0.36567969355107927</v>
      </c>
      <c r="AC173" s="251"/>
    </row>
    <row r="174" spans="1:29" ht="15.6" x14ac:dyDescent="0.3">
      <c r="A174" s="213">
        <v>2051</v>
      </c>
      <c r="B174" s="227">
        <v>47.763654133821838</v>
      </c>
      <c r="C174" s="227">
        <v>11.658366864315424</v>
      </c>
      <c r="D174" s="227">
        <v>2.1643550492476407</v>
      </c>
      <c r="E174" s="227">
        <v>18.230884187769977</v>
      </c>
      <c r="F174" s="227">
        <v>7.4416869327171984</v>
      </c>
      <c r="G174" s="227">
        <v>2.3852041456547584</v>
      </c>
      <c r="H174" s="227">
        <v>10.26884130719456</v>
      </c>
      <c r="I174" s="227">
        <v>4.2856907142770524</v>
      </c>
      <c r="J174" s="227">
        <v>4.0875622830767444</v>
      </c>
      <c r="K174" s="227">
        <v>5.0330583085438994</v>
      </c>
      <c r="N174" s="195">
        <f t="shared" si="19"/>
        <v>15.403729813292617</v>
      </c>
      <c r="O174" s="195">
        <f t="shared" si="21"/>
        <v>10.26884130719456</v>
      </c>
      <c r="P174" s="195">
        <f t="shared" si="20"/>
        <v>16.207926059217822</v>
      </c>
      <c r="Q174" s="195">
        <f t="shared" si="22"/>
        <v>41.880497179705003</v>
      </c>
      <c r="R174" s="214">
        <f t="shared" si="23"/>
        <v>0.36780198064977027</v>
      </c>
      <c r="AC174" s="251"/>
    </row>
    <row r="175" spans="1:29" ht="15.6" x14ac:dyDescent="0.3">
      <c r="A175" s="194">
        <v>2052</v>
      </c>
      <c r="B175" s="229">
        <v>48.005683344911844</v>
      </c>
      <c r="C175" s="229">
        <v>11.694181624699841</v>
      </c>
      <c r="D175" s="229">
        <v>2.1696790382009272</v>
      </c>
      <c r="E175" s="229">
        <v>18.328698778238525</v>
      </c>
      <c r="F175" s="229">
        <v>7.5464110823748918</v>
      </c>
      <c r="G175" s="229">
        <v>2.4024996673377714</v>
      </c>
      <c r="H175" s="229">
        <v>10.287394296944875</v>
      </c>
      <c r="I175" s="229">
        <v>4.3261242440565004</v>
      </c>
      <c r="J175" s="229">
        <v>4.0888982550389565</v>
      </c>
      <c r="K175" s="229">
        <v>5.0530784049858264</v>
      </c>
      <c r="N175" s="195">
        <f t="shared" si="19"/>
        <v>15.587715563668542</v>
      </c>
      <c r="O175" s="195">
        <f t="shared" si="21"/>
        <v>10.287394296944875</v>
      </c>
      <c r="P175" s="195">
        <f t="shared" si="20"/>
        <v>16.266360330238541</v>
      </c>
      <c r="Q175" s="195">
        <f t="shared" si="22"/>
        <v>42.141470190851962</v>
      </c>
      <c r="R175" s="196">
        <f t="shared" si="23"/>
        <v>0.36989016977989325</v>
      </c>
      <c r="AC175" s="251"/>
    </row>
    <row r="176" spans="1:29" ht="15.6" x14ac:dyDescent="0.3">
      <c r="A176" s="194">
        <v>2053</v>
      </c>
      <c r="B176" s="229">
        <v>48.24183607511668</v>
      </c>
      <c r="C176" s="229">
        <v>11.728154591219509</v>
      </c>
      <c r="D176" s="229">
        <v>2.1753604004884237</v>
      </c>
      <c r="E176" s="229">
        <v>18.421074810728342</v>
      </c>
      <c r="F176" s="229">
        <v>7.6505125392225448</v>
      </c>
      <c r="G176" s="229">
        <v>2.4190400346848606</v>
      </c>
      <c r="H176" s="229">
        <v>10.303325759877195</v>
      </c>
      <c r="I176" s="229">
        <v>4.3655413884396026</v>
      </c>
      <c r="J176" s="229">
        <v>4.0900662146991786</v>
      </c>
      <c r="K176" s="229">
        <v>5.0723417388462657</v>
      </c>
      <c r="N176" s="195">
        <f t="shared" si="19"/>
        <v>15.768261590073694</v>
      </c>
      <c r="O176" s="195">
        <f t="shared" si="21"/>
        <v>10.303325759877195</v>
      </c>
      <c r="P176" s="195">
        <f t="shared" si="20"/>
        <v>16.322555026392795</v>
      </c>
      <c r="Q176" s="195">
        <f t="shared" si="22"/>
        <v>42.394142376343687</v>
      </c>
      <c r="R176" s="196">
        <f t="shared" si="23"/>
        <v>0.37194434669994708</v>
      </c>
      <c r="AC176" s="251"/>
    </row>
    <row r="177" spans="1:29" ht="15.6" x14ac:dyDescent="0.3">
      <c r="A177" s="194">
        <v>2054</v>
      </c>
      <c r="B177" s="229">
        <v>48.472112324436353</v>
      </c>
      <c r="C177" s="229">
        <v>11.760182010644328</v>
      </c>
      <c r="D177" s="229">
        <v>2.1814299028033806</v>
      </c>
      <c r="E177" s="229">
        <v>18.507684638000072</v>
      </c>
      <c r="F177" s="229">
        <v>7.7539331915645242</v>
      </c>
      <c r="G177" s="229">
        <v>2.4347784415425515</v>
      </c>
      <c r="H177" s="229">
        <v>10.316509868392259</v>
      </c>
      <c r="I177" s="229">
        <v>4.4038807937986295</v>
      </c>
      <c r="J177" s="229">
        <v>4.0910717145866151</v>
      </c>
      <c r="K177" s="229">
        <v>5.0908116535881174</v>
      </c>
      <c r="N177" s="195">
        <f t="shared" si="19"/>
        <v>15.945107961172337</v>
      </c>
      <c r="O177" s="195">
        <f t="shared" si="21"/>
        <v>10.316509868392259</v>
      </c>
      <c r="P177" s="195">
        <f t="shared" si="20"/>
        <v>16.37639035499026</v>
      </c>
      <c r="Q177" s="195">
        <f t="shared" si="22"/>
        <v>42.638008184554856</v>
      </c>
      <c r="R177" s="196">
        <f t="shared" si="23"/>
        <v>0.37396465360565961</v>
      </c>
      <c r="AC177" s="251"/>
    </row>
    <row r="178" spans="1:29" ht="15.6" x14ac:dyDescent="0.3">
      <c r="A178" s="194">
        <v>2055</v>
      </c>
      <c r="B178" s="229">
        <v>48.696512092870847</v>
      </c>
      <c r="C178" s="229">
        <v>11.790160129744207</v>
      </c>
      <c r="D178" s="229">
        <v>2.1879183118390464</v>
      </c>
      <c r="E178" s="229">
        <v>18.588200612814347</v>
      </c>
      <c r="F178" s="229">
        <v>7.8566149277052038</v>
      </c>
      <c r="G178" s="229">
        <v>2.4496680817573688</v>
      </c>
      <c r="H178" s="229">
        <v>10.326820794890809</v>
      </c>
      <c r="I178" s="229">
        <v>4.4410811065058535</v>
      </c>
      <c r="J178" s="229">
        <v>4.0919203072304704</v>
      </c>
      <c r="K178" s="229">
        <v>5.1084514926742814</v>
      </c>
      <c r="N178" s="195">
        <f t="shared" si="19"/>
        <v>16.117994745628742</v>
      </c>
      <c r="O178" s="195">
        <f t="shared" si="21"/>
        <v>10.326820794890809</v>
      </c>
      <c r="P178" s="195">
        <f t="shared" si="20"/>
        <v>16.427746523340623</v>
      </c>
      <c r="Q178" s="195">
        <f t="shared" si="22"/>
        <v>42.872562063860173</v>
      </c>
      <c r="R178" s="196">
        <f t="shared" si="23"/>
        <v>0.37595128375160852</v>
      </c>
      <c r="AC178" s="251"/>
    </row>
    <row r="179" spans="1:29" ht="15.6" x14ac:dyDescent="0.3">
      <c r="A179" s="194">
        <v>2056</v>
      </c>
      <c r="B179" s="229">
        <v>48.915035380420179</v>
      </c>
      <c r="C179" s="229">
        <v>11.817985195289049</v>
      </c>
      <c r="D179" s="229">
        <v>2.1948563942886707</v>
      </c>
      <c r="E179" s="229">
        <v>18.662295087931824</v>
      </c>
      <c r="F179" s="229">
        <v>7.9584996359489519</v>
      </c>
      <c r="G179" s="229">
        <v>2.4636621491758373</v>
      </c>
      <c r="H179" s="229">
        <v>10.334132711773581</v>
      </c>
      <c r="I179" s="229">
        <v>4.4770809729335443</v>
      </c>
      <c r="J179" s="229">
        <v>4.092617545159948</v>
      </c>
      <c r="K179" s="229">
        <v>5.1252245995676589</v>
      </c>
      <c r="N179" s="195">
        <f t="shared" si="19"/>
        <v>16.286662012107197</v>
      </c>
      <c r="O179" s="195">
        <f t="shared" si="21"/>
        <v>10.334132711773581</v>
      </c>
      <c r="P179" s="195">
        <f t="shared" si="20"/>
        <v>16.476503738753557</v>
      </c>
      <c r="Q179" s="195">
        <f t="shared" si="22"/>
        <v>43.097298462634328</v>
      </c>
      <c r="R179" s="196">
        <f t="shared" si="23"/>
        <v>0.37790447645408337</v>
      </c>
      <c r="AC179" s="251"/>
    </row>
    <row r="180" spans="1:29" ht="15.6" x14ac:dyDescent="0.3">
      <c r="A180" s="194">
        <v>2057</v>
      </c>
      <c r="B180" s="229">
        <v>49.127682187084339</v>
      </c>
      <c r="C180" s="229">
        <v>11.843553454048759</v>
      </c>
      <c r="D180" s="229">
        <v>2.2022749168455027</v>
      </c>
      <c r="E180" s="229">
        <v>18.729640416113135</v>
      </c>
      <c r="F180" s="229">
        <v>8.059529204600139</v>
      </c>
      <c r="G180" s="229">
        <v>2.4767138376444828</v>
      </c>
      <c r="H180" s="229">
        <v>10.338319791441315</v>
      </c>
      <c r="I180" s="229">
        <v>4.5118190394539752</v>
      </c>
      <c r="J180" s="229">
        <v>4.0931689809042542</v>
      </c>
      <c r="K180" s="229">
        <v>5.1410943177311497</v>
      </c>
      <c r="N180" s="195">
        <f t="shared" si="19"/>
        <v>16.450849829271959</v>
      </c>
      <c r="O180" s="195">
        <f t="shared" si="21"/>
        <v>10.338319791441315</v>
      </c>
      <c r="P180" s="195">
        <f t="shared" si="20"/>
        <v>16.522542208538745</v>
      </c>
      <c r="Q180" s="195">
        <f t="shared" si="22"/>
        <v>43.311711829252019</v>
      </c>
      <c r="R180" s="196">
        <f t="shared" si="23"/>
        <v>0.37982451245811361</v>
      </c>
      <c r="AC180" s="251"/>
    </row>
    <row r="181" spans="1:29" ht="15.6" x14ac:dyDescent="0.3">
      <c r="A181" s="194">
        <v>2058</v>
      </c>
      <c r="B181" s="229">
        <v>49.334452512863336</v>
      </c>
      <c r="C181" s="229">
        <v>11.866761152793245</v>
      </c>
      <c r="D181" s="229">
        <v>2.2102046462027918</v>
      </c>
      <c r="E181" s="229">
        <v>18.789908950118928</v>
      </c>
      <c r="F181" s="229">
        <v>8.1596455219631387</v>
      </c>
      <c r="G181" s="229">
        <v>2.4887763410098294</v>
      </c>
      <c r="H181" s="229">
        <v>10.339256206294749</v>
      </c>
      <c r="I181" s="229">
        <v>4.545233952439415</v>
      </c>
      <c r="J181" s="229">
        <v>4.0935801669925933</v>
      </c>
      <c r="K181" s="229">
        <v>5.1560239906276539</v>
      </c>
      <c r="N181" s="195">
        <f t="shared" si="19"/>
        <v>16.610298265787318</v>
      </c>
      <c r="O181" s="195">
        <f t="shared" si="21"/>
        <v>10.339256206294749</v>
      </c>
      <c r="P181" s="195">
        <f t="shared" si="20"/>
        <v>16.565742140005867</v>
      </c>
      <c r="Q181" s="195">
        <f t="shared" si="22"/>
        <v>43.515296612087937</v>
      </c>
      <c r="R181" s="196">
        <f t="shared" si="23"/>
        <v>0.38171170965138751</v>
      </c>
      <c r="AC181" s="251"/>
    </row>
    <row r="182" spans="1:29" ht="15.6" x14ac:dyDescent="0.3">
      <c r="A182" s="194">
        <v>2059</v>
      </c>
      <c r="B182" s="229">
        <v>49.535346357757149</v>
      </c>
      <c r="C182" s="229">
        <v>11.887504538292408</v>
      </c>
      <c r="D182" s="229">
        <v>2.218676349053788</v>
      </c>
      <c r="E182" s="229">
        <v>18.842773042709847</v>
      </c>
      <c r="F182" s="229">
        <v>8.2587904763423179</v>
      </c>
      <c r="G182" s="229">
        <v>2.4998028531184029</v>
      </c>
      <c r="H182" s="229">
        <v>10.336816128734622</v>
      </c>
      <c r="I182" s="229">
        <v>4.5772643582621368</v>
      </c>
      <c r="J182" s="229">
        <v>4.0938566559541689</v>
      </c>
      <c r="K182" s="229">
        <v>5.1699769617200735</v>
      </c>
      <c r="N182" s="195">
        <f t="shared" si="19"/>
        <v>16.764747390317542</v>
      </c>
      <c r="O182" s="195">
        <f t="shared" si="21"/>
        <v>10.336816128734622</v>
      </c>
      <c r="P182" s="195">
        <f t="shared" si="20"/>
        <v>16.605983740464598</v>
      </c>
      <c r="Q182" s="195">
        <f t="shared" si="22"/>
        <v>43.707547259516758</v>
      </c>
      <c r="R182" s="196">
        <f t="shared" si="23"/>
        <v>0.38356641910779454</v>
      </c>
      <c r="AC182" s="251"/>
    </row>
    <row r="183" spans="1:29" ht="15.6" x14ac:dyDescent="0.3">
      <c r="A183" s="194">
        <v>2060</v>
      </c>
      <c r="B183" s="229">
        <v>49.730363721765805</v>
      </c>
      <c r="C183" s="229">
        <v>11.905679857316155</v>
      </c>
      <c r="D183" s="229">
        <v>2.2277207920917395</v>
      </c>
      <c r="E183" s="229">
        <v>18.887905046646537</v>
      </c>
      <c r="F183" s="229">
        <v>8.3569059560420484</v>
      </c>
      <c r="G183" s="229">
        <v>2.5097465678167281</v>
      </c>
      <c r="H183" s="229">
        <v>10.33087373116167</v>
      </c>
      <c r="I183" s="229">
        <v>4.6078489032944105</v>
      </c>
      <c r="J183" s="229">
        <v>4.0940040003181855</v>
      </c>
      <c r="K183" s="229">
        <v>5.1829165744713075</v>
      </c>
      <c r="N183" s="195">
        <f t="shared" si="19"/>
        <v>16.913937271526915</v>
      </c>
      <c r="O183" s="195">
        <f t="shared" si="21"/>
        <v>10.33087373116167</v>
      </c>
      <c r="P183" s="195">
        <f t="shared" si="20"/>
        <v>16.643147217224623</v>
      </c>
      <c r="Q183" s="195">
        <f t="shared" si="22"/>
        <v>43.887958219913216</v>
      </c>
      <c r="R183" s="196">
        <f>N183/Q183</f>
        <v>0.38538902144353071</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6"/>
  </sheetPr>
  <dimension ref="A1:EG183"/>
  <sheetViews>
    <sheetView showGridLines="0" zoomScale="96" zoomScaleNormal="96" zoomScalePageLayoutView="80" workbookViewId="0">
      <selection activeCell="F159" sqref="F159"/>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45.5" style="153" bestFit="1"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ReslLight_cluster_mdc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315</v>
      </c>
      <c r="E3" s="249">
        <v>0.19116788321167885</v>
      </c>
      <c r="F3" s="167" t="s">
        <v>211</v>
      </c>
      <c r="G3" s="167" t="s">
        <v>213</v>
      </c>
      <c r="I3" s="618"/>
      <c r="J3" s="618"/>
      <c r="K3" s="618"/>
      <c r="L3" s="618"/>
      <c r="M3" s="166"/>
      <c r="N3" s="164">
        <f ca="1">SUM(OFFSET(O27,B3-2015,0,B4-B3+1,4))/1000</f>
        <v>0.72285956125403961</v>
      </c>
      <c r="O3" s="165" t="s">
        <v>209</v>
      </c>
      <c r="Q3" s="165"/>
      <c r="S3" s="671" t="s">
        <v>210</v>
      </c>
      <c r="T3" s="671"/>
      <c r="U3" s="671"/>
      <c r="V3" s="671"/>
      <c r="W3" s="671"/>
    </row>
    <row r="4" spans="1:137" ht="13.8" x14ac:dyDescent="0.25">
      <c r="A4" s="153" t="s">
        <v>215</v>
      </c>
      <c r="B4" s="234">
        <v>2050</v>
      </c>
      <c r="D4" s="248" t="s">
        <v>316</v>
      </c>
      <c r="E4" s="249">
        <v>0.31861313868613139</v>
      </c>
      <c r="F4" s="167" t="s">
        <v>211</v>
      </c>
      <c r="G4" s="167" t="s">
        <v>213</v>
      </c>
      <c r="I4" s="168"/>
      <c r="J4" s="168"/>
      <c r="K4" s="168"/>
      <c r="L4" s="168"/>
      <c r="M4" s="168"/>
      <c r="N4" s="168"/>
      <c r="S4" s="671"/>
      <c r="T4" s="671"/>
      <c r="U4" s="671"/>
      <c r="V4" s="671"/>
      <c r="W4" s="671"/>
    </row>
    <row r="5" spans="1:137" ht="12.75" customHeight="1" x14ac:dyDescent="0.25">
      <c r="D5" s="248" t="s">
        <v>317</v>
      </c>
      <c r="E5" s="249">
        <v>0.14160583941605842</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318</v>
      </c>
      <c r="E6" s="249">
        <v>0.31861313868613139</v>
      </c>
      <c r="F6" s="167" t="s">
        <v>211</v>
      </c>
      <c r="G6" s="167" t="s">
        <v>213</v>
      </c>
      <c r="I6" s="618"/>
      <c r="J6" s="618"/>
      <c r="K6" s="618"/>
      <c r="L6" s="618"/>
      <c r="M6" s="163"/>
      <c r="N6" s="164">
        <f>SUM(O27:R72)/1000</f>
        <v>1.3761596016534701</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319</v>
      </c>
      <c r="P15" s="260" t="s">
        <v>268</v>
      </c>
    </row>
    <row r="16" spans="1:137" ht="13.8" x14ac:dyDescent="0.25">
      <c r="F16" s="153" t="s">
        <v>217</v>
      </c>
      <c r="O16" s="261">
        <v>42.34</v>
      </c>
      <c r="P16" s="261">
        <v>16997.562599850444</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307</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211</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IFERROR(IF($F$17="Y",$E$17,1-$Y85)*(SUMIF($G$3:$G$14,"Y",$E$3:$E$14))*(B85-B137),0)</f>
        <v>-5.8168160575249321E-5</v>
      </c>
      <c r="F26" s="183" t="str">
        <f>IFERROR(E26-E25,"")</f>
        <v/>
      </c>
      <c r="G26" s="247">
        <f t="shared" ref="G26:G72" si="1">IFERROR(E26/(B85-B137),"")</f>
        <v>0.97000000000000008</v>
      </c>
      <c r="H26" s="245" t="s">
        <v>264</v>
      </c>
      <c r="J26" s="182"/>
      <c r="K26" s="182"/>
      <c r="L26" s="182"/>
      <c r="M26" s="182"/>
      <c r="N26" s="163"/>
      <c r="O26" s="259">
        <f>IF(O$24="Y",E26*$O$16*'Emissions Factors'!B12,"")</f>
        <v>-1.5205121173708556E-3</v>
      </c>
      <c r="P26" s="259" t="str">
        <f>IF(P$24="Y",E26*$E$5*'Emissions Factors'!$R$36*$P$16/10^6,"")</f>
        <v/>
      </c>
      <c r="Q26" s="259" t="str">
        <f>IF($Q$24="Y",IFERROR($E26*SUM($E$3,$E$4,$E$5)*('Emissions Factors'!$T$143*$P$16)/10^6,""),"")</f>
        <v/>
      </c>
      <c r="R26" s="245" t="s">
        <v>264</v>
      </c>
      <c r="T26" s="180" t="str">
        <f t="shared" ref="T26:T72" si="2">IF(AND(A26&gt;=$B$3,A26&lt;=$B$4),SUM(O26:R26),"")</f>
        <v/>
      </c>
      <c r="U26" s="180" t="str">
        <f t="shared" ref="U26:U72" si="3">IF(AND(A26&gt;=$B$3,A26&lt;=$B$4),SUM(J26:M26),"")</f>
        <v/>
      </c>
      <c r="V26" s="177"/>
      <c r="X26" s="180">
        <f t="shared" ref="X26:X72" si="4">SUM(O26:R26)</f>
        <v>-1.5205121173708556E-3</v>
      </c>
      <c r="Y26" s="180">
        <f t="shared" ref="Y26:Y72" si="5">SUM(J26:M26)</f>
        <v>0</v>
      </c>
    </row>
    <row r="27" spans="1:26" ht="15.6" x14ac:dyDescent="0.3">
      <c r="A27" s="152">
        <v>2015</v>
      </c>
      <c r="B27" s="178">
        <f t="shared" si="0"/>
        <v>0</v>
      </c>
      <c r="C27" s="182">
        <f>IFERROR(B27-B26,"")</f>
        <v>0</v>
      </c>
      <c r="D27" s="183"/>
      <c r="E27" s="179">
        <f t="shared" ref="E27:E72" si="6">IFERROR(IF($F$17="Y",$E$17,1-$Y86)*(SUMIF($G$3:$G$14,"Y",$E$3:$E$14))*(B86-B138),0)</f>
        <v>-5.6635482738158775E-5</v>
      </c>
      <c r="F27" s="183">
        <f>IFERROR(E27-E26,"")</f>
        <v>1.5326778370905458E-6</v>
      </c>
      <c r="G27" s="247">
        <f t="shared" si="1"/>
        <v>0.97000000000000008</v>
      </c>
      <c r="H27" s="246"/>
      <c r="J27" s="182"/>
      <c r="K27" s="182"/>
      <c r="L27" s="182"/>
      <c r="M27" s="182"/>
      <c r="N27" s="163"/>
      <c r="O27" s="259">
        <f>IF(O$24="Y",E27*$O$16*'Emissions Factors'!B12,"")</f>
        <v>-1.4804480135677599E-3</v>
      </c>
      <c r="P27" s="259" t="str">
        <f>IF(P$24="Y",E27*$E$5*'Emissions Factors'!$R$36*$P$16/10^6,"")</f>
        <v/>
      </c>
      <c r="Q27" s="259" t="str">
        <f>IF($Q$24="Y",IFERROR($E27*SUM($E$3,$E$4,$E$5)*('Emissions Factors'!$T$143*$P$16)/10^6,""),"")</f>
        <v/>
      </c>
      <c r="R27" s="258"/>
      <c r="T27" s="180" t="str">
        <f t="shared" si="2"/>
        <v/>
      </c>
      <c r="U27" s="180" t="str">
        <f t="shared" si="3"/>
        <v/>
      </c>
      <c r="V27" s="177"/>
      <c r="X27" s="180">
        <f t="shared" si="4"/>
        <v>-1.4804480135677599E-3</v>
      </c>
      <c r="Y27" s="180">
        <f t="shared" si="5"/>
        <v>0</v>
      </c>
    </row>
    <row r="28" spans="1:26" ht="15.6" x14ac:dyDescent="0.3">
      <c r="A28" s="152">
        <v>2016</v>
      </c>
      <c r="B28" s="178">
        <f t="shared" si="0"/>
        <v>0</v>
      </c>
      <c r="C28" s="182">
        <f t="shared" ref="C28:C72" si="7">IFERROR(B28-B27,"")</f>
        <v>0</v>
      </c>
      <c r="D28" s="183"/>
      <c r="E28" s="179">
        <f t="shared" si="6"/>
        <v>0</v>
      </c>
      <c r="F28" s="183">
        <f t="shared" ref="F28:F72" si="8">IFERROR(E28-E27,"")</f>
        <v>5.6635482738158775E-5</v>
      </c>
      <c r="G28" s="247">
        <f>IFERROR(E28/(B87-B139),"")</f>
        <v>0</v>
      </c>
      <c r="H28" s="246"/>
      <c r="J28" s="182"/>
      <c r="K28" s="182"/>
      <c r="L28" s="182"/>
      <c r="M28" s="182"/>
      <c r="N28" s="163"/>
      <c r="O28" s="259">
        <f>IF(O$24="Y",E28*$O$16*'Emissions Factors'!B13,"")</f>
        <v>0</v>
      </c>
      <c r="P28" s="259" t="str">
        <f>IF(P$24="Y",E28*$E$5*'Emissions Factors'!$R$36*$P$16/10^6,"")</f>
        <v/>
      </c>
      <c r="Q28" s="259" t="str">
        <f>IF($Q$24="Y",IFERROR($E28*SUM($E$3,$E$4,$E$5)*('Emissions Factors'!$T$143*$P$16)/10^6,""),"")</f>
        <v/>
      </c>
      <c r="R28" s="258"/>
      <c r="T28" s="180" t="str">
        <f t="shared" si="2"/>
        <v/>
      </c>
      <c r="U28" s="180" t="str">
        <f t="shared" si="3"/>
        <v/>
      </c>
      <c r="V28" s="177"/>
      <c r="X28" s="180">
        <f t="shared" si="4"/>
        <v>0</v>
      </c>
      <c r="Y28" s="180">
        <f t="shared" si="5"/>
        <v>0</v>
      </c>
    </row>
    <row r="29" spans="1:26" ht="15.6" x14ac:dyDescent="0.3">
      <c r="A29" s="152">
        <v>2017</v>
      </c>
      <c r="B29" s="178">
        <f>IFERROR(IF($F$17="Y",$E$17,$Y88)*(IF($F$3="Y",$E$3,0)+IF($F$4="Y",$E$4,0)+IF($F$5="Y",$E$5,0)+IF($F$6="Y",$E$6,0)+IF($F$7="Y",$E$7,0)+IF($F$8="Y",$E$8,0)+IF($F$9="Y",$E$9,0)+IF($F$10="Y",$E$10,0)+IF($F$11="Y",$E$11,0)+IF($F$12="Y",$E$12,0)+IF($F$13="Y",$E$13,0)+IF($F$14="Y",$E$14,0))*(B88-B140),0)</f>
        <v>0</v>
      </c>
      <c r="C29" s="182">
        <f>IFERROR(B29-B28,"")</f>
        <v>0</v>
      </c>
      <c r="D29" s="183"/>
      <c r="E29" s="179">
        <f t="shared" si="6"/>
        <v>0</v>
      </c>
      <c r="F29" s="183">
        <f>IFERROR(E29-E28,"")</f>
        <v>0</v>
      </c>
      <c r="G29" s="247">
        <f t="shared" si="1"/>
        <v>0</v>
      </c>
      <c r="H29" s="246"/>
      <c r="J29" s="182"/>
      <c r="K29" s="182"/>
      <c r="L29" s="182"/>
      <c r="M29" s="182"/>
      <c r="N29" s="163"/>
      <c r="O29" s="259">
        <f>IF(O$24="Y",E29*$O$16*'Emissions Factors'!B14,"")</f>
        <v>0</v>
      </c>
      <c r="P29" s="259" t="str">
        <f>IF(P$24="Y",E29*$E$5*'Emissions Factors'!$R$36*$P$16/10^6,"")</f>
        <v/>
      </c>
      <c r="Q29" s="259" t="str">
        <f>IF($Q$24="Y",IFERROR($E29*SUM($E$3,$E$4,$E$5)*('Emissions Factors'!$T$143*$P$16)/10^6,""),"")</f>
        <v/>
      </c>
      <c r="R29" s="258"/>
      <c r="T29" s="180" t="str">
        <f t="shared" si="2"/>
        <v/>
      </c>
      <c r="U29" s="180" t="str">
        <f t="shared" si="3"/>
        <v/>
      </c>
      <c r="V29" s="177"/>
      <c r="X29" s="180">
        <f t="shared" si="4"/>
        <v>0</v>
      </c>
      <c r="Y29" s="180">
        <f t="shared" si="5"/>
        <v>0</v>
      </c>
    </row>
    <row r="30" spans="1:26" ht="15.6" x14ac:dyDescent="0.3">
      <c r="A30" s="152">
        <v>2018</v>
      </c>
      <c r="B30" s="178">
        <f t="shared" si="0"/>
        <v>0</v>
      </c>
      <c r="C30" s="182">
        <f t="shared" si="7"/>
        <v>0</v>
      </c>
      <c r="D30" s="183"/>
      <c r="E30" s="179">
        <f t="shared" si="6"/>
        <v>0</v>
      </c>
      <c r="F30" s="183">
        <f t="shared" si="8"/>
        <v>0</v>
      </c>
      <c r="G30" s="247">
        <f t="shared" si="1"/>
        <v>0</v>
      </c>
      <c r="H30" s="246"/>
      <c r="J30" s="182"/>
      <c r="K30" s="182"/>
      <c r="L30" s="182"/>
      <c r="M30" s="182"/>
      <c r="N30" s="163"/>
      <c r="O30" s="259">
        <f>IF(O$24="Y",E30*$O$16*'Emissions Factors'!B15,"")</f>
        <v>0</v>
      </c>
      <c r="P30" s="259" t="str">
        <f>IF(P$24="Y",E30*$E$5*'Emissions Factors'!$R$36*$P$16/10^6,"")</f>
        <v/>
      </c>
      <c r="Q30" s="259" t="str">
        <f>IF($Q$24="Y",IFERROR($E30*SUM($E$3,$E$4,$E$5)*('Emissions Factors'!$T$143*$P$16)/10^6,""),"")</f>
        <v/>
      </c>
      <c r="R30" s="258"/>
      <c r="T30" s="180" t="str">
        <f t="shared" si="2"/>
        <v/>
      </c>
      <c r="U30" s="180" t="str">
        <f t="shared" si="3"/>
        <v/>
      </c>
      <c r="V30" s="177"/>
      <c r="X30" s="180">
        <f t="shared" si="4"/>
        <v>0</v>
      </c>
      <c r="Y30" s="180">
        <f t="shared" si="5"/>
        <v>0</v>
      </c>
    </row>
    <row r="31" spans="1:26" ht="15.6" x14ac:dyDescent="0.3">
      <c r="A31" s="152">
        <v>2019</v>
      </c>
      <c r="B31" s="178">
        <f t="shared" si="0"/>
        <v>0</v>
      </c>
      <c r="C31" s="182">
        <f t="shared" si="7"/>
        <v>0</v>
      </c>
      <c r="D31" s="183"/>
      <c r="E31" s="179">
        <f t="shared" si="6"/>
        <v>0</v>
      </c>
      <c r="F31" s="183">
        <f t="shared" si="8"/>
        <v>0</v>
      </c>
      <c r="G31" s="247">
        <f t="shared" si="1"/>
        <v>0</v>
      </c>
      <c r="H31" s="246"/>
      <c r="J31" s="182"/>
      <c r="K31" s="182"/>
      <c r="L31" s="182"/>
      <c r="M31" s="182"/>
      <c r="N31" s="163"/>
      <c r="O31" s="259">
        <f>IF(O$24="Y",E31*$O$16*'Emissions Factors'!B16,"")</f>
        <v>0</v>
      </c>
      <c r="P31" s="259" t="str">
        <f>IF(P$24="Y",E31*$E$5*'Emissions Factors'!$R$36*$P$16/10^6,"")</f>
        <v/>
      </c>
      <c r="Q31" s="259" t="str">
        <f>IF($Q$24="Y",IFERROR($E31*SUM($E$3,$E$4,$E$5)*('Emissions Factors'!$T$143*$P$16)/10^6,""),"")</f>
        <v/>
      </c>
      <c r="R31" s="258"/>
      <c r="T31" s="180" t="str">
        <f t="shared" si="2"/>
        <v/>
      </c>
      <c r="U31" s="180" t="str">
        <f t="shared" si="3"/>
        <v/>
      </c>
      <c r="V31" s="177"/>
      <c r="X31" s="180">
        <f t="shared" si="4"/>
        <v>0</v>
      </c>
      <c r="Y31" s="180">
        <f t="shared" si="5"/>
        <v>0</v>
      </c>
    </row>
    <row r="32" spans="1:26" ht="15.6" x14ac:dyDescent="0.3">
      <c r="A32" s="152">
        <v>2020</v>
      </c>
      <c r="B32" s="178">
        <f t="shared" si="0"/>
        <v>0</v>
      </c>
      <c r="C32" s="182">
        <f t="shared" si="7"/>
        <v>0</v>
      </c>
      <c r="D32" s="183"/>
      <c r="E32" s="179">
        <f t="shared" si="6"/>
        <v>0</v>
      </c>
      <c r="F32" s="183">
        <f t="shared" si="8"/>
        <v>0</v>
      </c>
      <c r="G32" s="247">
        <f t="shared" si="1"/>
        <v>0</v>
      </c>
      <c r="H32" s="246"/>
      <c r="J32" s="182"/>
      <c r="K32" s="182"/>
      <c r="L32" s="182"/>
      <c r="M32" s="182"/>
      <c r="N32" s="163"/>
      <c r="O32" s="259">
        <f>IF(O$24="Y",E32*$O$16*'Emissions Factors'!B17,"")</f>
        <v>0</v>
      </c>
      <c r="P32" s="259" t="str">
        <f>IF(P$24="Y",E32*$E$5*'Emissions Factors'!$R$36*$P$16/10^6,"")</f>
        <v/>
      </c>
      <c r="Q32" s="259" t="str">
        <f>IF($Q$24="Y",IFERROR($E32*SUM($E$3,$E$4,$E$5)*('Emissions Factors'!$T$143*$P$16)/10^6,""),"")</f>
        <v/>
      </c>
      <c r="R32" s="258"/>
      <c r="T32" s="180">
        <f t="shared" si="2"/>
        <v>0</v>
      </c>
      <c r="U32" s="180">
        <f t="shared" si="3"/>
        <v>0</v>
      </c>
      <c r="V32" s="177"/>
      <c r="X32" s="180">
        <f t="shared" si="4"/>
        <v>0</v>
      </c>
      <c r="Y32" s="180">
        <f t="shared" si="5"/>
        <v>0</v>
      </c>
    </row>
    <row r="33" spans="1:25" ht="15.6" x14ac:dyDescent="0.3">
      <c r="A33" s="152">
        <v>2021</v>
      </c>
      <c r="B33" s="178">
        <f t="shared" si="0"/>
        <v>0</v>
      </c>
      <c r="C33" s="182">
        <f t="shared" si="7"/>
        <v>0</v>
      </c>
      <c r="D33" s="183"/>
      <c r="E33" s="179">
        <f t="shared" si="6"/>
        <v>3.0546054560242446E-2</v>
      </c>
      <c r="F33" s="183">
        <f t="shared" si="8"/>
        <v>3.0546054560242446E-2</v>
      </c>
      <c r="G33" s="247">
        <f t="shared" si="1"/>
        <v>0.6395341362753485</v>
      </c>
      <c r="H33" s="246"/>
      <c r="J33" s="182"/>
      <c r="K33" s="182"/>
      <c r="L33" s="182"/>
      <c r="M33" s="182"/>
      <c r="N33" s="163"/>
      <c r="O33" s="259">
        <f>IF(O$24="Y",E33*$O$16*'Emissions Factors'!B18,"")</f>
        <v>0.76227529089953283</v>
      </c>
      <c r="P33" s="259" t="str">
        <f>IF(P$24="Y",E33*$E$5*'Emissions Factors'!$R$36*$P$16/10^6,"")</f>
        <v/>
      </c>
      <c r="Q33" s="259" t="str">
        <f>IF($Q$24="Y",IFERROR($E33*SUM($E$3,$E$4,$E$5)*('Emissions Factors'!$T$143*$P$16)/10^6,""),"")</f>
        <v/>
      </c>
      <c r="R33" s="258"/>
      <c r="T33" s="180">
        <f t="shared" si="2"/>
        <v>0.76227529089953283</v>
      </c>
      <c r="U33" s="180">
        <f t="shared" si="3"/>
        <v>0</v>
      </c>
      <c r="V33" s="177"/>
      <c r="X33" s="180">
        <f t="shared" si="4"/>
        <v>0.76227529089953283</v>
      </c>
      <c r="Y33" s="180">
        <f t="shared" si="5"/>
        <v>0</v>
      </c>
    </row>
    <row r="34" spans="1:25" ht="15.6" x14ac:dyDescent="0.3">
      <c r="A34" s="152">
        <v>2022</v>
      </c>
      <c r="B34" s="178">
        <f t="shared" si="0"/>
        <v>0</v>
      </c>
      <c r="C34" s="182">
        <f t="shared" si="7"/>
        <v>0</v>
      </c>
      <c r="D34" s="183"/>
      <c r="E34" s="179">
        <f t="shared" si="6"/>
        <v>6.7808284029967539E-2</v>
      </c>
      <c r="F34" s="183">
        <f t="shared" si="8"/>
        <v>3.7262229469725093E-2</v>
      </c>
      <c r="G34" s="247">
        <f t="shared" si="1"/>
        <v>0.62771580972763341</v>
      </c>
      <c r="H34" s="246"/>
      <c r="J34" s="182"/>
      <c r="K34" s="182"/>
      <c r="L34" s="182"/>
      <c r="M34" s="182"/>
      <c r="N34" s="163"/>
      <c r="O34" s="259">
        <f>IF(O$24="Y",E34*$O$16*'Emissions Factors'!B19,"")</f>
        <v>1.6820916288026668</v>
      </c>
      <c r="P34" s="259" t="str">
        <f>IF(P$24="Y",E34*$E$5*'Emissions Factors'!$R$36*$P$16/10^6,"")</f>
        <v/>
      </c>
      <c r="Q34" s="259" t="str">
        <f>IF($Q$24="Y",IFERROR($E34*SUM($E$3,$E$4,$E$5)*('Emissions Factors'!$T$143*$P$16)/10^6,""),"")</f>
        <v/>
      </c>
      <c r="R34" s="258"/>
      <c r="T34" s="180">
        <f t="shared" si="2"/>
        <v>1.6820916288026668</v>
      </c>
      <c r="U34" s="180">
        <f t="shared" si="3"/>
        <v>0</v>
      </c>
      <c r="V34" s="177"/>
      <c r="X34" s="180">
        <f t="shared" si="4"/>
        <v>1.6820916288026668</v>
      </c>
      <c r="Y34" s="180">
        <f t="shared" si="5"/>
        <v>0</v>
      </c>
    </row>
    <row r="35" spans="1:25" ht="15.6" x14ac:dyDescent="0.3">
      <c r="A35" s="152">
        <v>2023</v>
      </c>
      <c r="B35" s="178">
        <f t="shared" si="0"/>
        <v>0</v>
      </c>
      <c r="C35" s="182">
        <f t="shared" si="7"/>
        <v>0</v>
      </c>
      <c r="D35" s="183"/>
      <c r="E35" s="179">
        <f t="shared" si="6"/>
        <v>0.11099589262668363</v>
      </c>
      <c r="F35" s="183">
        <f t="shared" si="8"/>
        <v>4.3187608596716096E-2</v>
      </c>
      <c r="G35" s="247">
        <f t="shared" si="1"/>
        <v>0.61962655570014513</v>
      </c>
      <c r="H35" s="246"/>
      <c r="J35" s="182"/>
      <c r="K35" s="182"/>
      <c r="L35" s="182"/>
      <c r="M35" s="182"/>
      <c r="N35" s="163"/>
      <c r="O35" s="259">
        <f>IF(O$24="Y",E35*$O$16*'Emissions Factors'!B20,"")</f>
        <v>2.7373561051745403</v>
      </c>
      <c r="P35" s="259" t="str">
        <f>IF(P$24="Y",E35*$E$5*'Emissions Factors'!$R$36*$P$16/10^6,"")</f>
        <v/>
      </c>
      <c r="Q35" s="259" t="str">
        <f>IF($Q$24="Y",IFERROR($E35*SUM($E$3,$E$4,$E$5)*('Emissions Factors'!$T$143*$P$16)/10^6,""),"")</f>
        <v/>
      </c>
      <c r="R35" s="258"/>
      <c r="T35" s="180">
        <f t="shared" si="2"/>
        <v>2.7373561051745403</v>
      </c>
      <c r="U35" s="180">
        <f t="shared" si="3"/>
        <v>0</v>
      </c>
      <c r="V35" s="177"/>
      <c r="X35" s="180">
        <f t="shared" si="4"/>
        <v>2.7373561051745403</v>
      </c>
      <c r="Y35" s="180">
        <f t="shared" si="5"/>
        <v>0</v>
      </c>
    </row>
    <row r="36" spans="1:25" ht="15.6" x14ac:dyDescent="0.3">
      <c r="A36" s="152">
        <v>2024</v>
      </c>
      <c r="B36" s="178">
        <f t="shared" si="0"/>
        <v>0</v>
      </c>
      <c r="C36" s="182">
        <f t="shared" si="7"/>
        <v>0</v>
      </c>
      <c r="D36" s="183"/>
      <c r="E36" s="179">
        <f t="shared" si="6"/>
        <v>0.15971328974685139</v>
      </c>
      <c r="F36" s="183">
        <f t="shared" si="8"/>
        <v>4.871739712016776E-2</v>
      </c>
      <c r="G36" s="247">
        <f t="shared" si="1"/>
        <v>0.61357223136767247</v>
      </c>
      <c r="H36" s="246"/>
      <c r="J36" s="182"/>
      <c r="K36" s="182"/>
      <c r="L36" s="182"/>
      <c r="M36" s="182"/>
      <c r="N36" s="163"/>
      <c r="O36" s="259">
        <f>IF(O$24="Y",E36*$O$16*'Emissions Factors'!B21,"")</f>
        <v>3.9162044206339122</v>
      </c>
      <c r="P36" s="259" t="str">
        <f>IF(P$24="Y",E36*$E$5*'Emissions Factors'!$R$36*$P$16/10^6,"")</f>
        <v/>
      </c>
      <c r="Q36" s="259" t="str">
        <f>IF($Q$24="Y",IFERROR($E36*SUM($E$3,$E$4,$E$5)*('Emissions Factors'!$T$143*$P$16)/10^6,""),"")</f>
        <v/>
      </c>
      <c r="R36" s="258"/>
      <c r="T36" s="180">
        <f t="shared" si="2"/>
        <v>3.9162044206339122</v>
      </c>
      <c r="U36" s="180">
        <f t="shared" si="3"/>
        <v>0</v>
      </c>
      <c r="V36" s="177"/>
      <c r="X36" s="180">
        <f t="shared" si="4"/>
        <v>3.9162044206339122</v>
      </c>
      <c r="Y36" s="180">
        <f t="shared" si="5"/>
        <v>0</v>
      </c>
    </row>
    <row r="37" spans="1:25" ht="15.6" x14ac:dyDescent="0.3">
      <c r="A37" s="152">
        <v>2025</v>
      </c>
      <c r="B37" s="178">
        <f t="shared" si="0"/>
        <v>0</v>
      </c>
      <c r="C37" s="182">
        <f t="shared" si="7"/>
        <v>0</v>
      </c>
      <c r="D37" s="183"/>
      <c r="E37" s="179">
        <f t="shared" si="6"/>
        <v>0.21364149875660413</v>
      </c>
      <c r="F37" s="183">
        <f t="shared" si="8"/>
        <v>5.3928209009752731E-2</v>
      </c>
      <c r="G37" s="247">
        <f t="shared" si="1"/>
        <v>0.60879006248638723</v>
      </c>
      <c r="H37" s="246"/>
      <c r="J37" s="182"/>
      <c r="K37" s="182"/>
      <c r="L37" s="182"/>
      <c r="M37" s="182"/>
      <c r="N37" s="163"/>
      <c r="O37" s="259">
        <f>IF(O$24="Y",E37*$O$16*'Emissions Factors'!B22,"")</f>
        <v>5.2118894407618086</v>
      </c>
      <c r="P37" s="259" t="str">
        <f>IF(P$24="Y",E37*$E$5*'Emissions Factors'!$R$36*$P$16/10^6,"")</f>
        <v/>
      </c>
      <c r="Q37" s="259" t="str">
        <f>IF($Q$24="Y",IFERROR($E37*SUM($E$3,$E$4,$E$5)*('Emissions Factors'!$T$143*$P$16)/10^6,""),"")</f>
        <v/>
      </c>
      <c r="R37" s="258"/>
      <c r="T37" s="180">
        <f t="shared" si="2"/>
        <v>5.2118894407618086</v>
      </c>
      <c r="U37" s="180">
        <f t="shared" si="3"/>
        <v>0</v>
      </c>
      <c r="V37" s="177"/>
      <c r="X37" s="180">
        <f t="shared" si="4"/>
        <v>5.2118894407618086</v>
      </c>
      <c r="Y37" s="180">
        <f t="shared" si="5"/>
        <v>0</v>
      </c>
    </row>
    <row r="38" spans="1:25" ht="15.6" x14ac:dyDescent="0.3">
      <c r="A38" s="152">
        <v>2026</v>
      </c>
      <c r="B38" s="178">
        <f t="shared" si="0"/>
        <v>0</v>
      </c>
      <c r="C38" s="182">
        <f t="shared" si="7"/>
        <v>0</v>
      </c>
      <c r="D38" s="183"/>
      <c r="E38" s="179">
        <f t="shared" si="6"/>
        <v>0.27242058329184454</v>
      </c>
      <c r="F38" s="183">
        <f t="shared" si="8"/>
        <v>5.8779084535240417E-2</v>
      </c>
      <c r="G38" s="247">
        <f t="shared" si="1"/>
        <v>0.60486902432970335</v>
      </c>
      <c r="H38" s="246"/>
      <c r="J38" s="182"/>
      <c r="K38" s="182"/>
      <c r="L38" s="182"/>
      <c r="M38" s="182"/>
      <c r="N38" s="163"/>
      <c r="O38" s="259">
        <f>IF(O$24="Y",E38*$O$16*'Emissions Factors'!B23,"")</f>
        <v>6.6049998492197481</v>
      </c>
      <c r="P38" s="259" t="str">
        <f>IF(P$24="Y",E38*$E$5*'Emissions Factors'!$R$36*$P$16/10^6,"")</f>
        <v/>
      </c>
      <c r="Q38" s="259" t="str">
        <f>IF($Q$24="Y",IFERROR($E38*SUM($E$3,$E$4,$E$5)*('Emissions Factors'!$T$143*$P$16)/10^6,""),"")</f>
        <v/>
      </c>
      <c r="R38" s="258"/>
      <c r="T38" s="180">
        <f t="shared" si="2"/>
        <v>6.6049998492197481</v>
      </c>
      <c r="U38" s="180">
        <f t="shared" si="3"/>
        <v>0</v>
      </c>
      <c r="V38" s="177"/>
      <c r="X38" s="180">
        <f t="shared" si="4"/>
        <v>6.6049998492197481</v>
      </c>
      <c r="Y38" s="180">
        <f t="shared" si="5"/>
        <v>0</v>
      </c>
    </row>
    <row r="39" spans="1:25" ht="15.6" x14ac:dyDescent="0.3">
      <c r="A39" s="152">
        <v>2027</v>
      </c>
      <c r="B39" s="178">
        <f t="shared" si="0"/>
        <v>0</v>
      </c>
      <c r="C39" s="182">
        <f t="shared" si="7"/>
        <v>0</v>
      </c>
      <c r="D39" s="183"/>
      <c r="E39" s="179">
        <f t="shared" si="6"/>
        <v>0.33569620546091206</v>
      </c>
      <c r="F39" s="183">
        <f t="shared" si="8"/>
        <v>6.3275622169067514E-2</v>
      </c>
      <c r="G39" s="247">
        <f t="shared" si="1"/>
        <v>0.60154804232580061</v>
      </c>
      <c r="H39" s="246"/>
      <c r="J39" s="182"/>
      <c r="K39" s="182"/>
      <c r="L39" s="182"/>
      <c r="M39" s="182"/>
      <c r="N39" s="163"/>
      <c r="O39" s="259">
        <f>IF(O$24="Y",E39*$O$16*'Emissions Factors'!B24,"")</f>
        <v>8.0943002736014087</v>
      </c>
      <c r="P39" s="259" t="str">
        <f>IF(P$24="Y",E39*$E$5*'Emissions Factors'!$R$36*$P$16/10^6,"")</f>
        <v/>
      </c>
      <c r="Q39" s="259" t="str">
        <f>IF($Q$24="Y",IFERROR($E39*SUM($E$3,$E$4,$E$5)*('Emissions Factors'!$T$143*$P$16)/10^6,""),"")</f>
        <v/>
      </c>
      <c r="R39" s="258"/>
      <c r="T39" s="180">
        <f t="shared" si="2"/>
        <v>8.0943002736014087</v>
      </c>
      <c r="U39" s="180">
        <f t="shared" si="3"/>
        <v>0</v>
      </c>
      <c r="V39" s="177"/>
      <c r="X39" s="180">
        <f t="shared" si="4"/>
        <v>8.0943002736014087</v>
      </c>
      <c r="Y39" s="180">
        <f t="shared" si="5"/>
        <v>0</v>
      </c>
    </row>
    <row r="40" spans="1:25" ht="15.6" x14ac:dyDescent="0.3">
      <c r="A40" s="152">
        <v>2028</v>
      </c>
      <c r="B40" s="178">
        <f t="shared" si="0"/>
        <v>0</v>
      </c>
      <c r="C40" s="182">
        <f t="shared" si="7"/>
        <v>0</v>
      </c>
      <c r="D40" s="183"/>
      <c r="E40" s="179">
        <f t="shared" si="6"/>
        <v>0.40333290537151917</v>
      </c>
      <c r="F40" s="183">
        <f t="shared" si="8"/>
        <v>6.7636699910607112E-2</v>
      </c>
      <c r="G40" s="247">
        <f t="shared" si="1"/>
        <v>0.59861498470447783</v>
      </c>
      <c r="H40" s="246"/>
      <c r="J40" s="182"/>
      <c r="K40" s="182"/>
      <c r="L40" s="182"/>
      <c r="M40" s="182"/>
      <c r="N40" s="163"/>
      <c r="O40" s="259">
        <f>IF(O$24="Y",E40*$O$16*'Emissions Factors'!B25,"")</f>
        <v>9.6721158119583155</v>
      </c>
      <c r="P40" s="259" t="str">
        <f>IF(P$24="Y",E40*$E$5*'Emissions Factors'!$R$36*$P$16/10^6,"")</f>
        <v/>
      </c>
      <c r="Q40" s="259" t="str">
        <f>IF($Q$24="Y",IFERROR($E40*SUM($E$3,$E$4,$E$5)*('Emissions Factors'!$T$143*$P$16)/10^6,""),"")</f>
        <v/>
      </c>
      <c r="R40" s="258"/>
      <c r="T40" s="180">
        <f t="shared" si="2"/>
        <v>9.6721158119583155</v>
      </c>
      <c r="U40" s="180">
        <f t="shared" si="3"/>
        <v>0</v>
      </c>
      <c r="V40" s="177"/>
      <c r="X40" s="180">
        <f t="shared" si="4"/>
        <v>9.6721158119583155</v>
      </c>
      <c r="Y40" s="180">
        <f t="shared" si="5"/>
        <v>0</v>
      </c>
    </row>
    <row r="41" spans="1:25" ht="15.6" x14ac:dyDescent="0.3">
      <c r="A41" s="152">
        <v>2029</v>
      </c>
      <c r="B41" s="178">
        <f t="shared" si="0"/>
        <v>0</v>
      </c>
      <c r="C41" s="182">
        <f t="shared" si="7"/>
        <v>0</v>
      </c>
      <c r="D41" s="183"/>
      <c r="E41" s="179">
        <f t="shared" si="6"/>
        <v>0.47525643605994528</v>
      </c>
      <c r="F41" s="183">
        <f t="shared" si="8"/>
        <v>7.1923530688426107E-2</v>
      </c>
      <c r="G41" s="247">
        <f t="shared" si="1"/>
        <v>0.59592714094837995</v>
      </c>
      <c r="H41" s="246"/>
      <c r="J41" s="182"/>
      <c r="K41" s="182"/>
      <c r="L41" s="182"/>
      <c r="M41" s="182"/>
      <c r="N41" s="163"/>
      <c r="O41" s="259">
        <f>IF(O$24="Y",E41*$O$16*'Emissions Factors'!B26,"")</f>
        <v>11.335269588283255</v>
      </c>
      <c r="P41" s="259" t="str">
        <f>IF(P$24="Y",E41*$E$5*'Emissions Factors'!$R$36*$P$16/10^6,"")</f>
        <v/>
      </c>
      <c r="Q41" s="259" t="str">
        <f>IF($Q$24="Y",IFERROR($E41*SUM($E$3,$E$4,$E$5)*('Emissions Factors'!$T$143*$P$16)/10^6,""),"")</f>
        <v/>
      </c>
      <c r="R41" s="258"/>
      <c r="T41" s="180">
        <f t="shared" si="2"/>
        <v>11.335269588283255</v>
      </c>
      <c r="U41" s="180">
        <f t="shared" si="3"/>
        <v>0</v>
      </c>
      <c r="V41" s="177"/>
      <c r="X41" s="180">
        <f t="shared" si="4"/>
        <v>11.335269588283255</v>
      </c>
      <c r="Y41" s="180">
        <f t="shared" si="5"/>
        <v>0</v>
      </c>
    </row>
    <row r="42" spans="1:25" ht="15.6" x14ac:dyDescent="0.3">
      <c r="A42" s="152">
        <v>2030</v>
      </c>
      <c r="B42" s="178">
        <f t="shared" si="0"/>
        <v>0</v>
      </c>
      <c r="C42" s="182">
        <f t="shared" si="7"/>
        <v>0</v>
      </c>
      <c r="D42" s="183"/>
      <c r="E42" s="179">
        <f t="shared" si="6"/>
        <v>0.55140857700349621</v>
      </c>
      <c r="F42" s="183">
        <f t="shared" si="8"/>
        <v>7.6152140943550939E-2</v>
      </c>
      <c r="G42" s="247">
        <f t="shared" si="1"/>
        <v>0.59340243144768623</v>
      </c>
      <c r="H42" s="246"/>
      <c r="J42" s="182"/>
      <c r="K42" s="182"/>
      <c r="L42" s="182"/>
      <c r="M42" s="182"/>
      <c r="N42" s="163"/>
      <c r="O42" s="259">
        <f>IF(O$24="Y",E42*$O$16*'Emissions Factors'!B27,"")</f>
        <v>13.084042497837508</v>
      </c>
      <c r="P42" s="259" t="str">
        <f>IF(P$24="Y",E42*$E$5*'Emissions Factors'!$R$36*$P$16/10^6,"")</f>
        <v/>
      </c>
      <c r="Q42" s="259" t="str">
        <f>IF($Q$24="Y",IFERROR($E42*SUM($E$3,$E$4,$E$5)*('Emissions Factors'!$T$143*$P$16)/10^6,""),"")</f>
        <v/>
      </c>
      <c r="R42" s="258"/>
      <c r="T42" s="180">
        <f t="shared" si="2"/>
        <v>13.084042497837508</v>
      </c>
      <c r="U42" s="180">
        <f t="shared" si="3"/>
        <v>0</v>
      </c>
      <c r="V42" s="177"/>
      <c r="X42" s="180">
        <f t="shared" si="4"/>
        <v>13.084042497837508</v>
      </c>
      <c r="Y42" s="180">
        <f t="shared" si="5"/>
        <v>0</v>
      </c>
    </row>
    <row r="43" spans="1:25" ht="15.6" x14ac:dyDescent="0.3">
      <c r="A43" s="152">
        <v>2031</v>
      </c>
      <c r="B43" s="178">
        <f t="shared" si="0"/>
        <v>0</v>
      </c>
      <c r="C43" s="182">
        <f t="shared" si="7"/>
        <v>0</v>
      </c>
      <c r="D43" s="183"/>
      <c r="E43" s="179">
        <f t="shared" si="6"/>
        <v>0.63165022819718131</v>
      </c>
      <c r="F43" s="183">
        <f t="shared" si="8"/>
        <v>8.0241651193685093E-2</v>
      </c>
      <c r="G43" s="247">
        <f t="shared" si="1"/>
        <v>0.59102202445456198</v>
      </c>
      <c r="H43" s="246"/>
      <c r="J43" s="182"/>
      <c r="K43" s="182"/>
      <c r="L43" s="182"/>
      <c r="M43" s="182"/>
      <c r="N43" s="163"/>
      <c r="O43" s="259">
        <f>IF(O$24="Y",E43*$O$16*'Emissions Factors'!B28,"")</f>
        <v>14.90461607009504</v>
      </c>
      <c r="P43" s="259" t="str">
        <f>IF(P$24="Y",E43*$E$5*'Emissions Factors'!$R$36*$P$16/10^6,"")</f>
        <v/>
      </c>
      <c r="Q43" s="259" t="str">
        <f>IF($Q$24="Y",IFERROR($E43*SUM($E$3,$E$4,$E$5)*('Emissions Factors'!$T$143*$P$16)/10^6,""),"")</f>
        <v/>
      </c>
      <c r="R43" s="258"/>
      <c r="T43" s="180">
        <f t="shared" si="2"/>
        <v>14.90461607009504</v>
      </c>
      <c r="U43" s="180">
        <f t="shared" si="3"/>
        <v>0</v>
      </c>
      <c r="V43" s="177"/>
      <c r="X43" s="180">
        <f t="shared" si="4"/>
        <v>14.90461607009504</v>
      </c>
      <c r="Y43" s="180">
        <f t="shared" si="5"/>
        <v>0</v>
      </c>
    </row>
    <row r="44" spans="1:25" ht="15.6" x14ac:dyDescent="0.3">
      <c r="A44" s="152">
        <v>2032</v>
      </c>
      <c r="B44" s="178">
        <f t="shared" si="0"/>
        <v>0</v>
      </c>
      <c r="C44" s="182">
        <f t="shared" si="7"/>
        <v>0</v>
      </c>
      <c r="D44" s="183"/>
      <c r="E44" s="179">
        <f t="shared" si="6"/>
        <v>0.71549562803275191</v>
      </c>
      <c r="F44" s="183">
        <f t="shared" si="8"/>
        <v>8.38453998355706E-2</v>
      </c>
      <c r="G44" s="247">
        <f t="shared" si="1"/>
        <v>0.5888018354696698</v>
      </c>
      <c r="H44" s="246"/>
      <c r="J44" s="182"/>
      <c r="K44" s="182"/>
      <c r="L44" s="182"/>
      <c r="M44" s="182"/>
      <c r="N44" s="163"/>
      <c r="O44" s="259">
        <f>IF(O$24="Y",E44*$O$16*'Emissions Factors'!B29,"")</f>
        <v>16.793385549860414</v>
      </c>
      <c r="P44" s="259" t="str">
        <f>IF(P$24="Y",E44*$E$5*'Emissions Factors'!$R$36*$P$16/10^6,"")</f>
        <v/>
      </c>
      <c r="Q44" s="259" t="str">
        <f>IF($Q$24="Y",IFERROR($E44*SUM($E$3,$E$4,$E$5)*('Emissions Factors'!$T$143*$P$16)/10^6,""),"")</f>
        <v/>
      </c>
      <c r="R44" s="258"/>
      <c r="T44" s="180">
        <f t="shared" si="2"/>
        <v>16.793385549860414</v>
      </c>
      <c r="U44" s="180">
        <f t="shared" si="3"/>
        <v>0</v>
      </c>
      <c r="V44" s="177"/>
      <c r="X44" s="180">
        <f t="shared" si="4"/>
        <v>16.793385549860414</v>
      </c>
      <c r="Y44" s="180">
        <f t="shared" si="5"/>
        <v>0</v>
      </c>
    </row>
    <row r="45" spans="1:25" ht="15.6" x14ac:dyDescent="0.3">
      <c r="A45" s="152">
        <v>2033</v>
      </c>
      <c r="B45" s="178">
        <f t="shared" si="0"/>
        <v>0</v>
      </c>
      <c r="C45" s="182">
        <f t="shared" si="7"/>
        <v>0</v>
      </c>
      <c r="D45" s="183"/>
      <c r="E45" s="179">
        <f t="shared" si="6"/>
        <v>0.80189629641499427</v>
      </c>
      <c r="F45" s="183">
        <f t="shared" si="8"/>
        <v>8.6400668382242363E-2</v>
      </c>
      <c r="G45" s="247">
        <f t="shared" si="1"/>
        <v>0.58677706994117218</v>
      </c>
      <c r="H45" s="246"/>
      <c r="J45" s="182"/>
      <c r="K45" s="182"/>
      <c r="L45" s="182"/>
      <c r="M45" s="182"/>
      <c r="N45" s="163"/>
      <c r="O45" s="259">
        <f>IF(O$24="Y",E45*$O$16*'Emissions Factors'!B30,"")</f>
        <v>18.72161792445667</v>
      </c>
      <c r="P45" s="259" t="str">
        <f>IF(P$24="Y",E45*$E$5*'Emissions Factors'!$R$36*$P$16/10^6,"")</f>
        <v/>
      </c>
      <c r="Q45" s="259" t="str">
        <f>IF($Q$24="Y",IFERROR($E45*SUM($E$3,$E$4,$E$5)*('Emissions Factors'!$T$143*$P$16)/10^6,""),"")</f>
        <v/>
      </c>
      <c r="R45" s="258"/>
      <c r="T45" s="180">
        <f t="shared" si="2"/>
        <v>18.72161792445667</v>
      </c>
      <c r="U45" s="180">
        <f t="shared" si="3"/>
        <v>0</v>
      </c>
      <c r="V45" s="177"/>
      <c r="X45" s="180">
        <f t="shared" si="4"/>
        <v>18.72161792445667</v>
      </c>
      <c r="Y45" s="180">
        <f t="shared" si="5"/>
        <v>0</v>
      </c>
    </row>
    <row r="46" spans="1:25" ht="15.6" x14ac:dyDescent="0.3">
      <c r="A46" s="152">
        <v>2034</v>
      </c>
      <c r="B46" s="178">
        <f t="shared" si="0"/>
        <v>0</v>
      </c>
      <c r="C46" s="182">
        <f t="shared" si="7"/>
        <v>0</v>
      </c>
      <c r="D46" s="183"/>
      <c r="E46" s="179">
        <f t="shared" si="6"/>
        <v>0.88951368978432077</v>
      </c>
      <c r="F46" s="183">
        <f t="shared" si="8"/>
        <v>8.7617393369326502E-2</v>
      </c>
      <c r="G46" s="247">
        <f t="shared" si="1"/>
        <v>0.58496613903765282</v>
      </c>
      <c r="H46" s="246"/>
      <c r="J46" s="182"/>
      <c r="K46" s="182"/>
      <c r="L46" s="182"/>
      <c r="M46" s="182"/>
      <c r="N46" s="163"/>
      <c r="O46" s="259">
        <f>IF(O$24="Y",E46*$O$16*'Emissions Factors'!B31,"")</f>
        <v>20.657375924396341</v>
      </c>
      <c r="P46" s="259" t="str">
        <f>IF(P$24="Y",E46*$E$5*'Emissions Factors'!$R$36*$P$16/10^6,"")</f>
        <v/>
      </c>
      <c r="Q46" s="259" t="str">
        <f>IF($Q$24="Y",IFERROR($E46*SUM($E$3,$E$4,$E$5)*('Emissions Factors'!$T$143*$P$16)/10^6,""),"")</f>
        <v/>
      </c>
      <c r="R46" s="258"/>
      <c r="T46" s="180">
        <f t="shared" si="2"/>
        <v>20.657375924396341</v>
      </c>
      <c r="U46" s="180">
        <f t="shared" si="3"/>
        <v>0</v>
      </c>
      <c r="V46" s="177"/>
      <c r="X46" s="180">
        <f t="shared" si="4"/>
        <v>20.657375924396341</v>
      </c>
      <c r="Y46" s="180">
        <f t="shared" si="5"/>
        <v>0</v>
      </c>
    </row>
    <row r="47" spans="1:25" ht="15.6" x14ac:dyDescent="0.3">
      <c r="A47" s="152">
        <v>2035</v>
      </c>
      <c r="B47" s="178">
        <f t="shared" si="0"/>
        <v>0</v>
      </c>
      <c r="C47" s="182">
        <f t="shared" si="7"/>
        <v>0</v>
      </c>
      <c r="D47" s="183"/>
      <c r="E47" s="179">
        <f t="shared" si="6"/>
        <v>0.97734865297256424</v>
      </c>
      <c r="F47" s="183">
        <f t="shared" si="8"/>
        <v>8.7834963188243464E-2</v>
      </c>
      <c r="G47" s="247">
        <f t="shared" si="1"/>
        <v>0.5833411281379336</v>
      </c>
      <c r="H47" s="246"/>
      <c r="J47" s="182"/>
      <c r="K47" s="182"/>
      <c r="L47" s="182"/>
      <c r="M47" s="182"/>
      <c r="N47" s="163"/>
      <c r="O47" s="259">
        <f>IF(O$24="Y",E47*$O$16*'Emissions Factors'!B32,"")</f>
        <v>22.573872561436527</v>
      </c>
      <c r="P47" s="259" t="str">
        <f>IF(P$24="Y",E47*$E$5*'Emissions Factors'!$R$36*$P$16/10^6,"")</f>
        <v/>
      </c>
      <c r="Q47" s="259" t="str">
        <f>IF($Q$24="Y",IFERROR($E47*SUM($E$3,$E$4,$E$5)*('Emissions Factors'!$T$143*$P$16)/10^6,""),"")</f>
        <v/>
      </c>
      <c r="R47" s="258"/>
      <c r="T47" s="180">
        <f t="shared" si="2"/>
        <v>22.573872561436527</v>
      </c>
      <c r="U47" s="180">
        <f t="shared" si="3"/>
        <v>0</v>
      </c>
      <c r="V47" s="177"/>
      <c r="X47" s="180">
        <f t="shared" si="4"/>
        <v>22.573872561436527</v>
      </c>
      <c r="Y47" s="180">
        <f t="shared" si="5"/>
        <v>0</v>
      </c>
    </row>
    <row r="48" spans="1:25" ht="15.6" x14ac:dyDescent="0.3">
      <c r="A48" s="152">
        <v>2036</v>
      </c>
      <c r="B48" s="178">
        <f t="shared" si="0"/>
        <v>0</v>
      </c>
      <c r="C48" s="182">
        <f t="shared" si="7"/>
        <v>0</v>
      </c>
      <c r="D48" s="183"/>
      <c r="E48" s="179">
        <f t="shared" si="6"/>
        <v>1.0649192954615196</v>
      </c>
      <c r="F48" s="183">
        <f t="shared" si="8"/>
        <v>8.7570642488955408E-2</v>
      </c>
      <c r="G48" s="247">
        <f t="shared" si="1"/>
        <v>0.58184014615823243</v>
      </c>
      <c r="H48" s="246"/>
      <c r="J48" s="182"/>
      <c r="K48" s="182"/>
      <c r="L48" s="182"/>
      <c r="M48" s="182"/>
      <c r="N48" s="163"/>
      <c r="O48" s="259">
        <f>IF(O$24="Y",E48*$O$16*'Emissions Factors'!B33,"")</f>
        <v>24.469089691749851</v>
      </c>
      <c r="P48" s="259" t="str">
        <f>IF(P$24="Y",E48*$E$5*'Emissions Factors'!$R$36*$P$16/10^6,"")</f>
        <v/>
      </c>
      <c r="Q48" s="259" t="str">
        <f>IF($Q$24="Y",IFERROR($E48*SUM($E$3,$E$4,$E$5)*('Emissions Factors'!$T$143*$P$16)/10^6,""),"")</f>
        <v/>
      </c>
      <c r="R48" s="258"/>
      <c r="T48" s="180">
        <f t="shared" si="2"/>
        <v>24.469089691749851</v>
      </c>
      <c r="U48" s="180">
        <f t="shared" si="3"/>
        <v>0</v>
      </c>
      <c r="V48" s="177"/>
      <c r="X48" s="180">
        <f t="shared" si="4"/>
        <v>24.469089691749851</v>
      </c>
      <c r="Y48" s="180">
        <f t="shared" si="5"/>
        <v>0</v>
      </c>
    </row>
    <row r="49" spans="1:25" ht="15.6" x14ac:dyDescent="0.3">
      <c r="A49" s="152">
        <v>2037</v>
      </c>
      <c r="B49" s="178">
        <f t="shared" si="0"/>
        <v>0</v>
      </c>
      <c r="C49" s="182">
        <f t="shared" si="7"/>
        <v>0</v>
      </c>
      <c r="D49" s="183"/>
      <c r="E49" s="179">
        <f t="shared" si="6"/>
        <v>1.1523386177804369</v>
      </c>
      <c r="F49" s="183">
        <f t="shared" si="8"/>
        <v>8.7419322318917247E-2</v>
      </c>
      <c r="G49" s="247">
        <f t="shared" si="1"/>
        <v>0.58039634331115086</v>
      </c>
      <c r="H49" s="246"/>
      <c r="J49" s="182"/>
      <c r="K49" s="182"/>
      <c r="L49" s="182"/>
      <c r="M49" s="182"/>
      <c r="N49" s="163"/>
      <c r="O49" s="259">
        <f>IF(O$24="Y",E49*$O$16*'Emissions Factors'!B34,"")</f>
        <v>26.336578161565264</v>
      </c>
      <c r="P49" s="259" t="str">
        <f>IF(P$24="Y",E49*$E$5*'Emissions Factors'!$R$36*$P$16/10^6,"")</f>
        <v/>
      </c>
      <c r="Q49" s="259" t="str">
        <f>IF($Q$24="Y",IFERROR($E49*SUM($E$3,$E$4,$E$5)*('Emissions Factors'!$T$143*$P$16)/10^6,""),"")</f>
        <v/>
      </c>
      <c r="R49" s="258"/>
      <c r="T49" s="180">
        <f t="shared" si="2"/>
        <v>26.336578161565264</v>
      </c>
      <c r="U49" s="180">
        <f t="shared" si="3"/>
        <v>0</v>
      </c>
      <c r="V49" s="177"/>
      <c r="X49" s="180">
        <f t="shared" si="4"/>
        <v>26.336578161565264</v>
      </c>
      <c r="Y49" s="180">
        <f t="shared" si="5"/>
        <v>0</v>
      </c>
    </row>
    <row r="50" spans="1:25" ht="15.6" x14ac:dyDescent="0.3">
      <c r="A50" s="152">
        <v>2038</v>
      </c>
      <c r="B50" s="178">
        <f t="shared" si="0"/>
        <v>0</v>
      </c>
      <c r="C50" s="182">
        <f t="shared" si="7"/>
        <v>0</v>
      </c>
      <c r="D50" s="183"/>
      <c r="E50" s="179">
        <f t="shared" si="6"/>
        <v>1.2399670738114987</v>
      </c>
      <c r="F50" s="183">
        <f t="shared" si="8"/>
        <v>8.7628456031061841E-2</v>
      </c>
      <c r="G50" s="247">
        <f t="shared" si="1"/>
        <v>0.57896699226578663</v>
      </c>
      <c r="H50" s="246"/>
      <c r="J50" s="182"/>
      <c r="K50" s="182"/>
      <c r="L50" s="182"/>
      <c r="M50" s="182"/>
      <c r="N50" s="163"/>
      <c r="O50" s="259">
        <f>IF(O$24="Y",E50*$O$16*'Emissions Factors'!B35,"")</f>
        <v>28.187546464554337</v>
      </c>
      <c r="P50" s="259" t="str">
        <f>IF(P$24="Y",E50*$E$5*'Emissions Factors'!$R$36*$P$16/10^6,"")</f>
        <v/>
      </c>
      <c r="Q50" s="259" t="str">
        <f>IF($Q$24="Y",IFERROR($E50*SUM($E$3,$E$4,$E$5)*('Emissions Factors'!$T$143*$P$16)/10^6,""),"")</f>
        <v/>
      </c>
      <c r="R50" s="258"/>
      <c r="T50" s="180">
        <f t="shared" si="2"/>
        <v>28.187546464554337</v>
      </c>
      <c r="U50" s="180">
        <f t="shared" si="3"/>
        <v>0</v>
      </c>
      <c r="V50" s="177"/>
      <c r="X50" s="180">
        <f t="shared" si="4"/>
        <v>28.187546464554337</v>
      </c>
      <c r="Y50" s="180">
        <f t="shared" si="5"/>
        <v>0</v>
      </c>
    </row>
    <row r="51" spans="1:25" ht="15.6" x14ac:dyDescent="0.3">
      <c r="A51" s="152">
        <v>2039</v>
      </c>
      <c r="B51" s="178">
        <f t="shared" si="0"/>
        <v>0</v>
      </c>
      <c r="C51" s="182">
        <f t="shared" si="7"/>
        <v>0</v>
      </c>
      <c r="D51" s="183"/>
      <c r="E51" s="179">
        <f t="shared" si="6"/>
        <v>1.3284764828796332</v>
      </c>
      <c r="F51" s="183">
        <f t="shared" si="8"/>
        <v>8.8509409068134426E-2</v>
      </c>
      <c r="G51" s="247">
        <f t="shared" si="1"/>
        <v>0.57751973045489369</v>
      </c>
      <c r="H51" s="246"/>
      <c r="J51" s="182"/>
      <c r="K51" s="182"/>
      <c r="L51" s="182"/>
      <c r="M51" s="182"/>
      <c r="N51" s="163"/>
      <c r="O51" s="259">
        <f>IF(O$24="Y",E51*$O$16*'Emissions Factors'!B36,"")</f>
        <v>30.036175766148698</v>
      </c>
      <c r="P51" s="259" t="str">
        <f>IF(P$24="Y",E51*$E$5*'Emissions Factors'!$R$36*$P$16/10^6,"")</f>
        <v/>
      </c>
      <c r="Q51" s="259" t="str">
        <f>IF($Q$24="Y",IFERROR($E51*SUM($E$3,$E$4,$E$5)*('Emissions Factors'!$T$143*$P$16)/10^6,""),"")</f>
        <v/>
      </c>
      <c r="R51" s="258"/>
      <c r="T51" s="180">
        <f t="shared" si="2"/>
        <v>30.036175766148698</v>
      </c>
      <c r="U51" s="180">
        <f t="shared" si="3"/>
        <v>0</v>
      </c>
      <c r="V51" s="177"/>
      <c r="X51" s="180">
        <f t="shared" si="4"/>
        <v>30.036175766148698</v>
      </c>
      <c r="Y51" s="180">
        <f t="shared" si="5"/>
        <v>0</v>
      </c>
    </row>
    <row r="52" spans="1:25" ht="15.6" x14ac:dyDescent="0.3">
      <c r="A52" s="152">
        <v>2040</v>
      </c>
      <c r="B52" s="178">
        <f t="shared" si="0"/>
        <v>0</v>
      </c>
      <c r="C52" s="182">
        <f t="shared" si="7"/>
        <v>0</v>
      </c>
      <c r="D52" s="183"/>
      <c r="E52" s="179">
        <f t="shared" si="6"/>
        <v>1.4184138337760059</v>
      </c>
      <c r="F52" s="183">
        <f t="shared" si="8"/>
        <v>8.9937350896372781E-2</v>
      </c>
      <c r="G52" s="247">
        <f t="shared" si="1"/>
        <v>0.57603447922218953</v>
      </c>
      <c r="H52" s="246"/>
      <c r="J52" s="182"/>
      <c r="K52" s="182"/>
      <c r="L52" s="182"/>
      <c r="M52" s="182"/>
      <c r="N52" s="163"/>
      <c r="O52" s="259">
        <f>IF(O$24="Y",E52*$O$16*'Emissions Factors'!B37,"")</f>
        <v>31.88235014014947</v>
      </c>
      <c r="P52" s="259" t="str">
        <f>IF(P$24="Y",E52*$E$5*'Emissions Factors'!$R$36*$P$16/10^6,"")</f>
        <v/>
      </c>
      <c r="Q52" s="259" t="str">
        <f>IF($Q$24="Y",IFERROR($E52*SUM($E$3,$E$4,$E$5)*('Emissions Factors'!$T$143*$P$16)/10^6,""),"")</f>
        <v/>
      </c>
      <c r="R52" s="258"/>
      <c r="T52" s="180">
        <f t="shared" si="2"/>
        <v>31.88235014014947</v>
      </c>
      <c r="U52" s="180">
        <f t="shared" si="3"/>
        <v>0</v>
      </c>
      <c r="V52" s="177"/>
      <c r="X52" s="180">
        <f t="shared" si="4"/>
        <v>31.88235014014947</v>
      </c>
      <c r="Y52" s="180">
        <f t="shared" si="5"/>
        <v>0</v>
      </c>
    </row>
    <row r="53" spans="1:25" ht="15.6" x14ac:dyDescent="0.3">
      <c r="A53" s="152">
        <v>2041</v>
      </c>
      <c r="B53" s="178">
        <f t="shared" si="0"/>
        <v>0</v>
      </c>
      <c r="C53" s="182">
        <f t="shared" si="7"/>
        <v>0</v>
      </c>
      <c r="D53" s="183"/>
      <c r="E53" s="179">
        <f t="shared" si="6"/>
        <v>1.5098704994029406</v>
      </c>
      <c r="F53" s="183">
        <f t="shared" si="8"/>
        <v>9.1456665626934663E-2</v>
      </c>
      <c r="G53" s="247">
        <f t="shared" si="1"/>
        <v>0.57451026252150372</v>
      </c>
      <c r="H53" s="246"/>
      <c r="J53" s="182"/>
      <c r="K53" s="182"/>
      <c r="L53" s="182"/>
      <c r="M53" s="182"/>
      <c r="N53" s="163"/>
      <c r="O53" s="259">
        <f>IF(O$24="Y",E53*$O$16*'Emissions Factors'!B38,"")</f>
        <v>33.76577030147417</v>
      </c>
      <c r="P53" s="259" t="str">
        <f>IF(P$24="Y",E53*$E$5*'Emissions Factors'!$R$36*$P$16/10^6,"")</f>
        <v/>
      </c>
      <c r="Q53" s="259" t="str">
        <f>IF($Q$24="Y",IFERROR($E53*SUM($E$3,$E$4,$E$5)*('Emissions Factors'!$T$143*$P$16)/10^6,""),"")</f>
        <v/>
      </c>
      <c r="R53" s="258"/>
      <c r="T53" s="180">
        <f t="shared" si="2"/>
        <v>33.76577030147417</v>
      </c>
      <c r="U53" s="180">
        <f t="shared" si="3"/>
        <v>0</v>
      </c>
      <c r="V53" s="177"/>
      <c r="X53" s="180">
        <f t="shared" si="4"/>
        <v>33.76577030147417</v>
      </c>
      <c r="Y53" s="180">
        <f t="shared" si="5"/>
        <v>0</v>
      </c>
    </row>
    <row r="54" spans="1:25" ht="15.6" x14ac:dyDescent="0.3">
      <c r="A54" s="152">
        <v>2042</v>
      </c>
      <c r="B54" s="178">
        <f t="shared" si="0"/>
        <v>0</v>
      </c>
      <c r="C54" s="182">
        <f t="shared" si="7"/>
        <v>0</v>
      </c>
      <c r="D54" s="183"/>
      <c r="E54" s="179">
        <f t="shared" si="6"/>
        <v>1.6027896337127179</v>
      </c>
      <c r="F54" s="183">
        <f t="shared" si="8"/>
        <v>9.2919134309777274E-2</v>
      </c>
      <c r="G54" s="247">
        <f t="shared" si="1"/>
        <v>0.5729383942970937</v>
      </c>
      <c r="H54" s="246"/>
      <c r="J54" s="182"/>
      <c r="K54" s="182"/>
      <c r="L54" s="182"/>
      <c r="M54" s="182"/>
      <c r="N54" s="163"/>
      <c r="O54" s="259">
        <f>IF(O$24="Y",E54*$O$16*'Emissions Factors'!B39,"")</f>
        <v>35.645828473740004</v>
      </c>
      <c r="P54" s="259" t="str">
        <f>IF(P$24="Y",E54*$E$5*'Emissions Factors'!$R$36*$P$16/10^6,"")</f>
        <v/>
      </c>
      <c r="Q54" s="259" t="str">
        <f>IF($Q$24="Y",IFERROR($E54*SUM($E$3,$E$4,$E$5)*('Emissions Factors'!$T$143*$P$16)/10^6,""),"")</f>
        <v/>
      </c>
      <c r="R54" s="258"/>
      <c r="T54" s="180">
        <f t="shared" si="2"/>
        <v>35.645828473740004</v>
      </c>
      <c r="U54" s="180">
        <f t="shared" si="3"/>
        <v>0</v>
      </c>
      <c r="V54" s="177"/>
      <c r="X54" s="180">
        <f t="shared" si="4"/>
        <v>35.645828473740004</v>
      </c>
      <c r="Y54" s="180">
        <f t="shared" si="5"/>
        <v>0</v>
      </c>
    </row>
    <row r="55" spans="1:25" ht="15.6" x14ac:dyDescent="0.3">
      <c r="A55" s="152">
        <v>2043</v>
      </c>
      <c r="B55" s="178">
        <f t="shared" si="0"/>
        <v>0</v>
      </c>
      <c r="C55" s="182">
        <f t="shared" si="7"/>
        <v>0</v>
      </c>
      <c r="D55" s="183"/>
      <c r="E55" s="179">
        <f t="shared" si="6"/>
        <v>1.6974482967784104</v>
      </c>
      <c r="F55" s="183">
        <f t="shared" si="8"/>
        <v>9.4658663065692483E-2</v>
      </c>
      <c r="G55" s="247">
        <f t="shared" si="1"/>
        <v>0.57129686972101767</v>
      </c>
      <c r="H55" s="246"/>
      <c r="J55" s="182"/>
      <c r="K55" s="182"/>
      <c r="L55" s="182"/>
      <c r="M55" s="182"/>
      <c r="N55" s="163"/>
      <c r="O55" s="259">
        <f>IF(O$24="Y",E55*$O$16*'Emissions Factors'!B40,"")</f>
        <v>37.540401463036808</v>
      </c>
      <c r="P55" s="259" t="str">
        <f>IF(P$24="Y",E55*$E$5*'Emissions Factors'!$R$36*$P$16/10^6,"")</f>
        <v/>
      </c>
      <c r="Q55" s="259" t="str">
        <f>IF($Q$24="Y",IFERROR($E55*SUM($E$3,$E$4,$E$5)*('Emissions Factors'!$T$143*$P$16)/10^6,""),"")</f>
        <v/>
      </c>
      <c r="R55" s="258"/>
      <c r="T55" s="180">
        <f t="shared" si="2"/>
        <v>37.540401463036808</v>
      </c>
      <c r="U55" s="180">
        <f t="shared" si="3"/>
        <v>0</v>
      </c>
      <c r="V55" s="177"/>
      <c r="X55" s="180">
        <f t="shared" si="4"/>
        <v>37.540401463036808</v>
      </c>
      <c r="Y55" s="180">
        <f t="shared" si="5"/>
        <v>0</v>
      </c>
    </row>
    <row r="56" spans="1:25" ht="15.6" x14ac:dyDescent="0.3">
      <c r="A56" s="152">
        <v>2044</v>
      </c>
      <c r="B56" s="178">
        <f t="shared" si="0"/>
        <v>0</v>
      </c>
      <c r="C56" s="182">
        <f t="shared" si="7"/>
        <v>0</v>
      </c>
      <c r="D56" s="183"/>
      <c r="E56" s="179">
        <f t="shared" si="6"/>
        <v>1.7941626418364003</v>
      </c>
      <c r="F56" s="183">
        <f t="shared" si="8"/>
        <v>9.6714345057989926E-2</v>
      </c>
      <c r="G56" s="247">
        <f t="shared" si="1"/>
        <v>0.56956430340691067</v>
      </c>
      <c r="H56" s="246"/>
      <c r="J56" s="182"/>
      <c r="K56" s="182"/>
      <c r="L56" s="182"/>
      <c r="M56" s="182"/>
      <c r="N56" s="163"/>
      <c r="O56" s="259">
        <f>IF(O$24="Y",E56*$O$16*'Emissions Factors'!B41,"")</f>
        <v>39.455391182744769</v>
      </c>
      <c r="P56" s="259" t="str">
        <f>IF(P$24="Y",E56*$E$5*'Emissions Factors'!$R$36*$P$16/10^6,"")</f>
        <v/>
      </c>
      <c r="Q56" s="259" t="str">
        <f>IF($Q$24="Y",IFERROR($E56*SUM($E$3,$E$4,$E$5)*('Emissions Factors'!$T$143*$P$16)/10^6,""),"")</f>
        <v/>
      </c>
      <c r="R56" s="258"/>
      <c r="T56" s="180">
        <f t="shared" si="2"/>
        <v>39.455391182744769</v>
      </c>
      <c r="U56" s="180">
        <f t="shared" si="3"/>
        <v>0</v>
      </c>
      <c r="V56" s="177"/>
      <c r="X56" s="180">
        <f t="shared" si="4"/>
        <v>39.455391182744769</v>
      </c>
      <c r="Y56" s="180">
        <f t="shared" si="5"/>
        <v>0</v>
      </c>
    </row>
    <row r="57" spans="1:25" ht="15.6" x14ac:dyDescent="0.3">
      <c r="A57" s="152">
        <v>2045</v>
      </c>
      <c r="B57" s="178">
        <f t="shared" si="0"/>
        <v>0</v>
      </c>
      <c r="C57" s="182">
        <f t="shared" si="7"/>
        <v>0</v>
      </c>
      <c r="D57" s="183"/>
      <c r="E57" s="179">
        <f t="shared" si="6"/>
        <v>1.8932230536194357</v>
      </c>
      <c r="F57" s="183">
        <f t="shared" si="8"/>
        <v>9.9060411783035374E-2</v>
      </c>
      <c r="G57" s="247">
        <f t="shared" si="1"/>
        <v>0.56773495606410929</v>
      </c>
      <c r="H57" s="246"/>
      <c r="J57" s="182"/>
      <c r="K57" s="182"/>
      <c r="L57" s="182"/>
      <c r="M57" s="182"/>
      <c r="N57" s="163"/>
      <c r="O57" s="259">
        <f>IF(O$24="Y",E57*$O$16*'Emissions Factors'!B42,"")</f>
        <v>41.387421971436794</v>
      </c>
      <c r="P57" s="259" t="str">
        <f>IF(P$24="Y",E57*$E$5*'Emissions Factors'!$R$36*$P$16/10^6,"")</f>
        <v/>
      </c>
      <c r="Q57" s="259" t="str">
        <f>IF($Q$24="Y",IFERROR($E57*SUM($E$3,$E$4,$E$5)*('Emissions Factors'!$T$143*$P$16)/10^6,""),"")</f>
        <v/>
      </c>
      <c r="R57" s="258"/>
      <c r="T57" s="180">
        <f t="shared" si="2"/>
        <v>41.387421971436794</v>
      </c>
      <c r="U57" s="180">
        <f t="shared" si="3"/>
        <v>0</v>
      </c>
      <c r="V57" s="177"/>
      <c r="X57" s="180">
        <f t="shared" si="4"/>
        <v>41.387421971436794</v>
      </c>
      <c r="Y57" s="180">
        <f t="shared" si="5"/>
        <v>0</v>
      </c>
    </row>
    <row r="58" spans="1:25" ht="15.6" x14ac:dyDescent="0.3">
      <c r="A58" s="152">
        <v>2046</v>
      </c>
      <c r="B58" s="178">
        <f t="shared" si="0"/>
        <v>0</v>
      </c>
      <c r="C58" s="182">
        <f t="shared" si="7"/>
        <v>0</v>
      </c>
      <c r="D58" s="183"/>
      <c r="E58" s="179">
        <f t="shared" si="6"/>
        <v>1.9948140196607804</v>
      </c>
      <c r="F58" s="183">
        <f t="shared" si="8"/>
        <v>0.10159096604134477</v>
      </c>
      <c r="G58" s="247">
        <f t="shared" si="1"/>
        <v>0.56582409510869014</v>
      </c>
      <c r="H58" s="246"/>
      <c r="J58" s="182"/>
      <c r="K58" s="182"/>
      <c r="L58" s="182"/>
      <c r="M58" s="182"/>
      <c r="N58" s="163"/>
      <c r="O58" s="259">
        <f>IF(O$24="Y",E58*$O$16*'Emissions Factors'!B43,"")</f>
        <v>43.364627560096189</v>
      </c>
      <c r="P58" s="259" t="str">
        <f>IF(P$24="Y",E58*$E$5*'Emissions Factors'!$R$36*$P$16/10^6,"")</f>
        <v/>
      </c>
      <c r="Q58" s="259" t="str">
        <f>IF($Q$24="Y",IFERROR($E58*SUM($E$3,$E$4,$E$5)*('Emissions Factors'!$T$143*$P$16)/10^6,""),"")</f>
        <v/>
      </c>
      <c r="R58" s="258"/>
      <c r="T58" s="180">
        <f t="shared" si="2"/>
        <v>43.364627560096189</v>
      </c>
      <c r="U58" s="180">
        <f t="shared" si="3"/>
        <v>0</v>
      </c>
      <c r="V58" s="177"/>
      <c r="X58" s="180">
        <f t="shared" si="4"/>
        <v>43.364627560096189</v>
      </c>
      <c r="Y58" s="180">
        <f t="shared" si="5"/>
        <v>0</v>
      </c>
    </row>
    <row r="59" spans="1:25" ht="15.6" x14ac:dyDescent="0.3">
      <c r="A59" s="152">
        <v>2047</v>
      </c>
      <c r="B59" s="178">
        <f t="shared" si="0"/>
        <v>0</v>
      </c>
      <c r="C59" s="182">
        <f t="shared" si="7"/>
        <v>0</v>
      </c>
      <c r="D59" s="183"/>
      <c r="E59" s="179">
        <f t="shared" si="6"/>
        <v>2.0990998234579368</v>
      </c>
      <c r="F59" s="183">
        <f t="shared" si="8"/>
        <v>0.10428580379715635</v>
      </c>
      <c r="G59" s="247">
        <f t="shared" si="1"/>
        <v>0.56385074633901311</v>
      </c>
      <c r="H59" s="246"/>
      <c r="J59" s="182"/>
      <c r="K59" s="182"/>
      <c r="L59" s="182"/>
      <c r="M59" s="182"/>
      <c r="N59" s="163"/>
      <c r="O59" s="259">
        <f>IF(O$24="Y",E59*$O$16*'Emissions Factors'!B44,"")</f>
        <v>45.36353130010199</v>
      </c>
      <c r="P59" s="259" t="str">
        <f>IF(P$24="Y",E59*$E$5*'Emissions Factors'!$R$36*$P$16/10^6,"")</f>
        <v/>
      </c>
      <c r="Q59" s="259" t="str">
        <f>IF($Q$24="Y",IFERROR($E59*SUM($E$3,$E$4,$E$5)*('Emissions Factors'!$T$143*$P$16)/10^6,""),"")</f>
        <v/>
      </c>
      <c r="R59" s="258"/>
      <c r="T59" s="180">
        <f t="shared" si="2"/>
        <v>45.36353130010199</v>
      </c>
      <c r="U59" s="180">
        <f t="shared" si="3"/>
        <v>0</v>
      </c>
      <c r="V59" s="177"/>
      <c r="X59" s="180">
        <f t="shared" si="4"/>
        <v>45.36353130010199</v>
      </c>
      <c r="Y59" s="180">
        <f t="shared" si="5"/>
        <v>0</v>
      </c>
    </row>
    <row r="60" spans="1:25" ht="15.6" x14ac:dyDescent="0.3">
      <c r="A60" s="152">
        <v>2048</v>
      </c>
      <c r="B60" s="178">
        <f t="shared" si="0"/>
        <v>0</v>
      </c>
      <c r="C60" s="182">
        <f t="shared" si="7"/>
        <v>0</v>
      </c>
      <c r="D60" s="183"/>
      <c r="E60" s="179">
        <f t="shared" si="6"/>
        <v>2.2063233235995359</v>
      </c>
      <c r="F60" s="183">
        <f t="shared" si="8"/>
        <v>0.10722350014159909</v>
      </c>
      <c r="G60" s="247">
        <f t="shared" si="1"/>
        <v>0.56182323506356491</v>
      </c>
      <c r="H60" s="246"/>
      <c r="J60" s="182"/>
      <c r="K60" s="182"/>
      <c r="L60" s="182"/>
      <c r="M60" s="182"/>
      <c r="N60" s="163"/>
      <c r="O60" s="259">
        <f>IF(O$24="Y",E60*$O$16*'Emissions Factors'!B45,"")</f>
        <v>47.396210728435484</v>
      </c>
      <c r="P60" s="259" t="str">
        <f>IF(P$24="Y",E60*$E$5*'Emissions Factors'!$R$36*$P$16/10^6,"")</f>
        <v/>
      </c>
      <c r="Q60" s="259" t="str">
        <f>IF($Q$24="Y",IFERROR($E60*SUM($E$3,$E$4,$E$5)*('Emissions Factors'!$T$143*$P$16)/10^6,""),"")</f>
        <v/>
      </c>
      <c r="R60" s="258"/>
      <c r="T60" s="180">
        <f t="shared" si="2"/>
        <v>47.396210728435484</v>
      </c>
      <c r="U60" s="180">
        <f t="shared" si="3"/>
        <v>0</v>
      </c>
      <c r="V60" s="177"/>
      <c r="X60" s="180">
        <f t="shared" si="4"/>
        <v>47.396210728435484</v>
      </c>
      <c r="Y60" s="180">
        <f t="shared" si="5"/>
        <v>0</v>
      </c>
    </row>
    <row r="61" spans="1:25" ht="15.6" x14ac:dyDescent="0.3">
      <c r="A61" s="152">
        <v>2049</v>
      </c>
      <c r="B61" s="178">
        <f t="shared" si="0"/>
        <v>0</v>
      </c>
      <c r="C61" s="182">
        <f t="shared" si="7"/>
        <v>0</v>
      </c>
      <c r="D61" s="183"/>
      <c r="E61" s="179">
        <f t="shared" si="6"/>
        <v>2.3167392053850286</v>
      </c>
      <c r="F61" s="183">
        <f t="shared" si="8"/>
        <v>0.11041588178549278</v>
      </c>
      <c r="G61" s="247">
        <f t="shared" si="1"/>
        <v>0.55975130176288812</v>
      </c>
      <c r="H61" s="246"/>
      <c r="J61" s="182"/>
      <c r="K61" s="182"/>
      <c r="L61" s="182"/>
      <c r="M61" s="182"/>
      <c r="N61" s="163"/>
      <c r="O61" s="259">
        <f>IF(O$24="Y",E61*$O$16*'Emissions Factors'!B46,"")</f>
        <v>49.511640509016829</v>
      </c>
      <c r="P61" s="259" t="str">
        <f>IF(P$24="Y",E61*$E$5*'Emissions Factors'!$R$36*$P$16/10^6,"")</f>
        <v/>
      </c>
      <c r="Q61" s="259" t="str">
        <f>IF($Q$24="Y",IFERROR($E61*SUM($E$3,$E$4,$E$5)*('Emissions Factors'!$T$143*$P$16)/10^6,""),"")</f>
        <v/>
      </c>
      <c r="R61" s="258"/>
      <c r="T61" s="180">
        <f t="shared" si="2"/>
        <v>49.511640509016829</v>
      </c>
      <c r="U61" s="180">
        <f t="shared" si="3"/>
        <v>0</v>
      </c>
      <c r="V61" s="177"/>
      <c r="X61" s="180">
        <f t="shared" si="4"/>
        <v>49.511640509016829</v>
      </c>
      <c r="Y61" s="180">
        <f t="shared" si="5"/>
        <v>0</v>
      </c>
    </row>
    <row r="62" spans="1:25" ht="15.6" x14ac:dyDescent="0.3">
      <c r="A62" s="152">
        <v>2050</v>
      </c>
      <c r="B62" s="178">
        <f t="shared" si="0"/>
        <v>0</v>
      </c>
      <c r="C62" s="182">
        <f t="shared" si="7"/>
        <v>0</v>
      </c>
      <c r="D62" s="183"/>
      <c r="E62" s="179">
        <f t="shared" si="6"/>
        <v>2.4305638510304104</v>
      </c>
      <c r="F62" s="183">
        <f t="shared" si="8"/>
        <v>0.11382464564538175</v>
      </c>
      <c r="G62" s="247">
        <f t="shared" si="1"/>
        <v>0.55764935697438156</v>
      </c>
      <c r="H62" s="246"/>
      <c r="J62" s="182"/>
      <c r="K62" s="182"/>
      <c r="L62" s="182"/>
      <c r="M62" s="182"/>
      <c r="N62" s="163"/>
      <c r="O62" s="259">
        <f>IF(O$24="Y",E62*$O$16*'Emissions Factors'!B47,"")</f>
        <v>51.765584602371291</v>
      </c>
      <c r="P62" s="259" t="str">
        <f>IF(P$24="Y",E62*$E$5*'Emissions Factors'!$R$36*$P$16/10^6,"")</f>
        <v/>
      </c>
      <c r="Q62" s="259" t="str">
        <f>IF($Q$24="Y",IFERROR($E62*SUM($E$3,$E$4,$E$5)*('Emissions Factors'!$T$143*$P$16)/10^6,""),"")</f>
        <v/>
      </c>
      <c r="R62" s="258"/>
      <c r="T62" s="180">
        <f t="shared" si="2"/>
        <v>51.765584602371291</v>
      </c>
      <c r="U62" s="180">
        <f t="shared" si="3"/>
        <v>0</v>
      </c>
      <c r="V62" s="177"/>
      <c r="X62" s="180">
        <f t="shared" si="4"/>
        <v>51.765584602371291</v>
      </c>
      <c r="Y62" s="180">
        <f t="shared" si="5"/>
        <v>0</v>
      </c>
    </row>
    <row r="63" spans="1:25" ht="15.6" x14ac:dyDescent="0.3">
      <c r="A63" s="152">
        <v>2051</v>
      </c>
      <c r="B63" s="178">
        <f t="shared" si="0"/>
        <v>0</v>
      </c>
      <c r="C63" s="182">
        <f t="shared" si="7"/>
        <v>0</v>
      </c>
      <c r="D63" s="183"/>
      <c r="E63" s="179">
        <f t="shared" si="6"/>
        <v>2.5479491254616589</v>
      </c>
      <c r="F63" s="183">
        <f t="shared" si="8"/>
        <v>0.11738527443124847</v>
      </c>
      <c r="G63" s="247">
        <f t="shared" si="1"/>
        <v>0.5555342451523807</v>
      </c>
      <c r="H63" s="246"/>
      <c r="J63" s="182"/>
      <c r="K63" s="182"/>
      <c r="L63" s="182"/>
      <c r="M63" s="182"/>
      <c r="N63" s="163"/>
      <c r="O63" s="259">
        <f>IF(O$24="Y",E63*$O$16*'Emissions Factors'!B48,"")</f>
        <v>54.058222294083144</v>
      </c>
      <c r="P63" s="259" t="str">
        <f>IF(P$24="Y",E63*$E$5*'Emissions Factors'!$R$36*$P$16/10^6,"")</f>
        <v/>
      </c>
      <c r="Q63" s="259" t="str">
        <f>IF($Q$24="Y",IFERROR($E63*SUM($E$3,$E$4,$E$5)*('Emissions Factors'!$T$143*$P$16)/10^6,""),"")</f>
        <v/>
      </c>
      <c r="R63" s="258"/>
      <c r="T63" s="180" t="str">
        <f t="shared" si="2"/>
        <v/>
      </c>
      <c r="U63" s="180" t="str">
        <f t="shared" si="3"/>
        <v/>
      </c>
      <c r="V63" s="177"/>
      <c r="X63" s="180">
        <f t="shared" si="4"/>
        <v>54.058222294083144</v>
      </c>
      <c r="Y63" s="180">
        <f t="shared" si="5"/>
        <v>0</v>
      </c>
    </row>
    <row r="64" spans="1:25" ht="15.6" x14ac:dyDescent="0.3">
      <c r="A64" s="152">
        <v>2052</v>
      </c>
      <c r="B64" s="178">
        <f t="shared" si="0"/>
        <v>0</v>
      </c>
      <c r="C64" s="182">
        <f t="shared" si="7"/>
        <v>0</v>
      </c>
      <c r="D64" s="183"/>
      <c r="E64" s="179">
        <f t="shared" si="6"/>
        <v>2.6689994283465266</v>
      </c>
      <c r="F64" s="183">
        <f t="shared" si="8"/>
        <v>0.12105030288486773</v>
      </c>
      <c r="G64" s="247">
        <f t="shared" si="1"/>
        <v>0.55342829232637369</v>
      </c>
      <c r="H64" s="246"/>
      <c r="J64" s="182"/>
      <c r="K64" s="182"/>
      <c r="L64" s="182"/>
      <c r="M64" s="182"/>
      <c r="N64" s="163"/>
      <c r="O64" s="259">
        <f>IF(O$24="Y",E64*$O$16*'Emissions Factors'!B49,"")</f>
        <v>56.417369566431326</v>
      </c>
      <c r="P64" s="259" t="str">
        <f>IF(P$24="Y",E64*$E$5*'Emissions Factors'!$R$36*$P$16/10^6,"")</f>
        <v/>
      </c>
      <c r="Q64" s="259" t="str">
        <f>IF($Q$24="Y",IFERROR($E64*SUM($E$3,$E$4,$E$5)*('Emissions Factors'!$T$143*$P$16)/10^6,""),"")</f>
        <v/>
      </c>
      <c r="R64" s="258"/>
      <c r="T64" s="180" t="str">
        <f t="shared" si="2"/>
        <v/>
      </c>
      <c r="U64" s="180" t="str">
        <f t="shared" si="3"/>
        <v/>
      </c>
      <c r="V64" s="177"/>
      <c r="X64" s="180">
        <f t="shared" si="4"/>
        <v>56.417369566431326</v>
      </c>
      <c r="Y64" s="180">
        <f t="shared" si="5"/>
        <v>0</v>
      </c>
    </row>
    <row r="65" spans="1:25" ht="15.6" x14ac:dyDescent="0.3">
      <c r="A65" s="152">
        <v>2053</v>
      </c>
      <c r="B65" s="178">
        <f t="shared" si="0"/>
        <v>0</v>
      </c>
      <c r="C65" s="182">
        <f t="shared" si="7"/>
        <v>0</v>
      </c>
      <c r="D65" s="183"/>
      <c r="E65" s="179">
        <f t="shared" si="6"/>
        <v>2.793820922287511</v>
      </c>
      <c r="F65" s="183">
        <f t="shared" si="8"/>
        <v>0.12482149394098441</v>
      </c>
      <c r="G65" s="247">
        <f t="shared" si="1"/>
        <v>0.55135825623389301</v>
      </c>
      <c r="H65" s="246"/>
      <c r="J65" s="182"/>
      <c r="K65" s="182"/>
      <c r="L65" s="182"/>
      <c r="M65" s="182"/>
      <c r="N65" s="163"/>
      <c r="O65" s="259">
        <f>IF(O$24="Y",E65*$O$16*'Emissions Factors'!B50,"")</f>
        <v>58.832383045817977</v>
      </c>
      <c r="P65" s="259" t="str">
        <f>IF(P$24="Y",E65*$E$5*'Emissions Factors'!$R$36*$P$16/10^6,"")</f>
        <v/>
      </c>
      <c r="Q65" s="259" t="str">
        <f>IF($Q$24="Y",IFERROR($E65*SUM($E$3,$E$4,$E$5)*('Emissions Factors'!$T$143*$P$16)/10^6,""),"")</f>
        <v/>
      </c>
      <c r="R65" s="258"/>
      <c r="T65" s="180" t="str">
        <f t="shared" si="2"/>
        <v/>
      </c>
      <c r="U65" s="180" t="str">
        <f t="shared" si="3"/>
        <v/>
      </c>
      <c r="V65" s="177"/>
      <c r="X65" s="180">
        <f t="shared" si="4"/>
        <v>58.832383045817977</v>
      </c>
      <c r="Y65" s="180">
        <f t="shared" si="5"/>
        <v>0</v>
      </c>
    </row>
    <row r="66" spans="1:25" ht="15.6" x14ac:dyDescent="0.3">
      <c r="A66" s="152">
        <v>2054</v>
      </c>
      <c r="B66" s="178">
        <f t="shared" si="0"/>
        <v>0</v>
      </c>
      <c r="C66" s="182">
        <f t="shared" si="7"/>
        <v>0</v>
      </c>
      <c r="D66" s="183"/>
      <c r="E66" s="179">
        <f t="shared" si="6"/>
        <v>2.9224884892076393</v>
      </c>
      <c r="F66" s="183">
        <f t="shared" si="8"/>
        <v>0.12866756692012826</v>
      </c>
      <c r="G66" s="247">
        <f t="shared" si="1"/>
        <v>0.5493505257878678</v>
      </c>
      <c r="H66" s="246"/>
      <c r="J66" s="182"/>
      <c r="K66" s="182"/>
      <c r="L66" s="182"/>
      <c r="M66" s="182"/>
      <c r="N66" s="163"/>
      <c r="O66" s="259">
        <f>IF(O$24="Y",E66*$O$16*'Emissions Factors'!B51,"")</f>
        <v>61.303072328058825</v>
      </c>
      <c r="P66" s="259" t="str">
        <f>IF(P$24="Y",E66*$E$5*'Emissions Factors'!$R$36*$P$16/10^6,"")</f>
        <v/>
      </c>
      <c r="Q66" s="259" t="str">
        <f>IF($Q$24="Y",IFERROR($E66*SUM($E$3,$E$4,$E$5)*('Emissions Factors'!$T$143*$P$16)/10^6,""),"")</f>
        <v/>
      </c>
      <c r="R66" s="258"/>
      <c r="T66" s="180" t="str">
        <f t="shared" si="2"/>
        <v/>
      </c>
      <c r="U66" s="180" t="str">
        <f t="shared" si="3"/>
        <v/>
      </c>
      <c r="V66" s="177"/>
      <c r="X66" s="180">
        <f t="shared" si="4"/>
        <v>61.303072328058825</v>
      </c>
      <c r="Y66" s="180">
        <f t="shared" si="5"/>
        <v>0</v>
      </c>
    </row>
    <row r="67" spans="1:25" ht="15.6" x14ac:dyDescent="0.3">
      <c r="A67" s="152">
        <v>2055</v>
      </c>
      <c r="B67" s="178">
        <f t="shared" si="0"/>
        <v>0</v>
      </c>
      <c r="C67" s="182">
        <f t="shared" si="7"/>
        <v>0</v>
      </c>
      <c r="D67" s="183"/>
      <c r="E67" s="179">
        <f t="shared" si="6"/>
        <v>3.0550579658641639</v>
      </c>
      <c r="F67" s="183">
        <f t="shared" si="8"/>
        <v>0.13256947665652463</v>
      </c>
      <c r="G67" s="247">
        <f t="shared" si="1"/>
        <v>0.54742511319893372</v>
      </c>
      <c r="H67" s="246"/>
      <c r="J67" s="182"/>
      <c r="K67" s="182"/>
      <c r="L67" s="182"/>
      <c r="M67" s="182"/>
      <c r="N67" s="163"/>
      <c r="O67" s="259">
        <f>IF(O$24="Y",E67*$O$16*'Emissions Factors'!B52,"")</f>
        <v>63.823442672074684</v>
      </c>
      <c r="P67" s="259" t="str">
        <f>IF(P$24="Y",E67*$E$5*'Emissions Factors'!$R$36*$P$16/10^6,"")</f>
        <v/>
      </c>
      <c r="Q67" s="259" t="str">
        <f>IF($Q$24="Y",IFERROR($E67*SUM($E$3,$E$4,$E$5)*('Emissions Factors'!$T$143*$P$16)/10^6,""),"")</f>
        <v/>
      </c>
      <c r="R67" s="258"/>
      <c r="T67" s="180" t="str">
        <f t="shared" si="2"/>
        <v/>
      </c>
      <c r="U67" s="180" t="str">
        <f t="shared" si="3"/>
        <v/>
      </c>
      <c r="V67" s="177"/>
      <c r="X67" s="180">
        <f t="shared" si="4"/>
        <v>63.823442672074684</v>
      </c>
      <c r="Y67" s="180">
        <f t="shared" si="5"/>
        <v>0</v>
      </c>
    </row>
    <row r="68" spans="1:25" ht="15.6" x14ac:dyDescent="0.3">
      <c r="A68" s="152">
        <v>2056</v>
      </c>
      <c r="B68" s="178">
        <f t="shared" si="0"/>
        <v>0</v>
      </c>
      <c r="C68" s="182">
        <f t="shared" si="7"/>
        <v>0</v>
      </c>
      <c r="D68" s="183"/>
      <c r="E68" s="179">
        <f t="shared" si="6"/>
        <v>3.1915985622324805</v>
      </c>
      <c r="F68" s="183">
        <f t="shared" si="8"/>
        <v>0.13654059636831661</v>
      </c>
      <c r="G68" s="247">
        <f t="shared" si="1"/>
        <v>0.5455886942654542</v>
      </c>
      <c r="H68" s="246"/>
      <c r="J68" s="182"/>
      <c r="K68" s="182"/>
      <c r="L68" s="182"/>
      <c r="M68" s="182"/>
      <c r="N68" s="163"/>
      <c r="O68" s="259">
        <f>IF(O$24="Y",E68*$O$16*'Emissions Factors'!B53,"")</f>
        <v>66.408949427474099</v>
      </c>
      <c r="P68" s="259" t="str">
        <f>IF(P$24="Y",E68*$E$5*'Emissions Factors'!$R$36*$P$16/10^6,"")</f>
        <v/>
      </c>
      <c r="Q68" s="259" t="str">
        <f>IF($Q$24="Y",IFERROR($E68*SUM($E$3,$E$4,$E$5)*('Emissions Factors'!$T$143*$P$16)/10^6,""),"")</f>
        <v/>
      </c>
      <c r="R68" s="258"/>
      <c r="T68" s="180" t="str">
        <f t="shared" si="2"/>
        <v/>
      </c>
      <c r="U68" s="180" t="str">
        <f t="shared" si="3"/>
        <v/>
      </c>
      <c r="V68" s="177"/>
      <c r="X68" s="180">
        <f t="shared" si="4"/>
        <v>66.408949427474099</v>
      </c>
      <c r="Y68" s="180">
        <f t="shared" si="5"/>
        <v>0</v>
      </c>
    </row>
    <row r="69" spans="1:25" ht="15.6" x14ac:dyDescent="0.3">
      <c r="A69" s="152">
        <v>2057</v>
      </c>
      <c r="B69" s="178">
        <f t="shared" si="0"/>
        <v>0</v>
      </c>
      <c r="C69" s="182">
        <f t="shared" si="7"/>
        <v>0</v>
      </c>
      <c r="D69" s="183"/>
      <c r="E69" s="179">
        <f t="shared" si="6"/>
        <v>3.3321311722218097</v>
      </c>
      <c r="F69" s="183">
        <f t="shared" si="8"/>
        <v>0.14053260998932915</v>
      </c>
      <c r="G69" s="247">
        <f t="shared" si="1"/>
        <v>0.54384717902528457</v>
      </c>
      <c r="H69" s="246"/>
      <c r="J69" s="182"/>
      <c r="K69" s="182"/>
      <c r="L69" s="182"/>
      <c r="M69" s="182"/>
      <c r="N69" s="163"/>
      <c r="O69" s="259">
        <f>IF(O$24="Y",E69*$O$16*'Emissions Factors'!B54,"")</f>
        <v>69.042065264945762</v>
      </c>
      <c r="P69" s="259" t="str">
        <f>IF(P$24="Y",E69*$E$5*'Emissions Factors'!$R$36*$P$16/10^6,"")</f>
        <v/>
      </c>
      <c r="Q69" s="259" t="str">
        <f>IF($Q$24="Y",IFERROR($E69*SUM($E$3,$E$4,$E$5)*('Emissions Factors'!$T$143*$P$16)/10^6,""),"")</f>
        <v/>
      </c>
      <c r="R69" s="258"/>
      <c r="T69" s="180" t="str">
        <f t="shared" si="2"/>
        <v/>
      </c>
      <c r="U69" s="180" t="str">
        <f t="shared" si="3"/>
        <v/>
      </c>
      <c r="V69" s="177"/>
      <c r="X69" s="180">
        <f t="shared" si="4"/>
        <v>69.042065264945762</v>
      </c>
      <c r="Y69" s="180">
        <f t="shared" si="5"/>
        <v>0</v>
      </c>
    </row>
    <row r="70" spans="1:25" ht="15.6" x14ac:dyDescent="0.3">
      <c r="A70" s="152">
        <v>2058</v>
      </c>
      <c r="B70" s="178">
        <f t="shared" si="0"/>
        <v>0</v>
      </c>
      <c r="C70" s="182">
        <f t="shared" si="7"/>
        <v>0</v>
      </c>
      <c r="D70" s="183"/>
      <c r="E70" s="179">
        <f t="shared" si="6"/>
        <v>3.4765688734897857</v>
      </c>
      <c r="F70" s="183">
        <f t="shared" si="8"/>
        <v>0.14443770126797606</v>
      </c>
      <c r="G70" s="247">
        <f t="shared" si="1"/>
        <v>0.54221243548053089</v>
      </c>
      <c r="H70" s="246"/>
      <c r="J70" s="182"/>
      <c r="K70" s="182"/>
      <c r="L70" s="182"/>
      <c r="M70" s="182"/>
      <c r="N70" s="163"/>
      <c r="O70" s="259">
        <f>IF(O$24="Y",E70*$O$16*'Emissions Factors'!B55,"")</f>
        <v>71.724219877031331</v>
      </c>
      <c r="P70" s="259" t="str">
        <f>IF(P$24="Y",E70*$E$5*'Emissions Factors'!$R$36*$P$16/10^6,"")</f>
        <v/>
      </c>
      <c r="Q70" s="259" t="str">
        <f>IF($Q$24="Y",IFERROR($E70*SUM($E$3,$E$4,$E$5)*('Emissions Factors'!$T$143*$P$16)/10^6,""),"")</f>
        <v/>
      </c>
      <c r="R70" s="258"/>
      <c r="T70" s="180" t="str">
        <f t="shared" si="2"/>
        <v/>
      </c>
      <c r="U70" s="180" t="str">
        <f t="shared" si="3"/>
        <v/>
      </c>
      <c r="V70" s="177"/>
      <c r="X70" s="180">
        <f t="shared" si="4"/>
        <v>71.724219877031331</v>
      </c>
      <c r="Y70" s="180">
        <f t="shared" si="5"/>
        <v>0</v>
      </c>
    </row>
    <row r="71" spans="1:25" ht="15.6" x14ac:dyDescent="0.3">
      <c r="A71" s="152">
        <v>2059</v>
      </c>
      <c r="B71" s="178">
        <f t="shared" si="0"/>
        <v>0</v>
      </c>
      <c r="C71" s="182">
        <f t="shared" si="7"/>
        <v>0</v>
      </c>
      <c r="D71" s="183"/>
      <c r="E71" s="179">
        <f t="shared" si="6"/>
        <v>3.6247690904476197</v>
      </c>
      <c r="F71" s="183">
        <f t="shared" si="8"/>
        <v>0.14820021695783403</v>
      </c>
      <c r="G71" s="247">
        <f t="shared" si="1"/>
        <v>0.54069514994819989</v>
      </c>
      <c r="H71" s="246"/>
      <c r="J71" s="182"/>
      <c r="K71" s="182"/>
      <c r="L71" s="182"/>
      <c r="M71" s="182"/>
      <c r="N71" s="163"/>
      <c r="O71" s="259">
        <f>IF(O$24="Y",E71*$O$16*'Emissions Factors'!B56,"")</f>
        <v>74.450346474815206</v>
      </c>
      <c r="P71" s="259" t="str">
        <f>IF(P$24="Y",E71*$E$5*'Emissions Factors'!$R$36*$P$16/10^6,"")</f>
        <v/>
      </c>
      <c r="Q71" s="259" t="str">
        <f>IF($Q$24="Y",IFERROR($E71*SUM($E$3,$E$4,$E$5)*('Emissions Factors'!$T$143*$P$16)/10^6,""),"")</f>
        <v/>
      </c>
      <c r="R71" s="258"/>
      <c r="T71" s="180" t="str">
        <f t="shared" si="2"/>
        <v/>
      </c>
      <c r="U71" s="180" t="str">
        <f t="shared" si="3"/>
        <v/>
      </c>
      <c r="V71" s="177"/>
      <c r="X71" s="180">
        <f t="shared" si="4"/>
        <v>74.450346474815206</v>
      </c>
      <c r="Y71" s="180">
        <f t="shared" si="5"/>
        <v>0</v>
      </c>
    </row>
    <row r="72" spans="1:25" ht="15.6" x14ac:dyDescent="0.3">
      <c r="A72" s="152">
        <v>2060</v>
      </c>
      <c r="B72" s="178">
        <f t="shared" si="0"/>
        <v>0</v>
      </c>
      <c r="C72" s="182">
        <f t="shared" si="7"/>
        <v>0</v>
      </c>
      <c r="D72" s="183"/>
      <c r="E72" s="179">
        <f t="shared" si="6"/>
        <v>3.7766011907639117</v>
      </c>
      <c r="F72" s="183">
        <f t="shared" si="8"/>
        <v>0.15183210031629191</v>
      </c>
      <c r="G72" s="247">
        <f t="shared" si="1"/>
        <v>0.53929962671068721</v>
      </c>
      <c r="H72" s="246"/>
      <c r="J72" s="182"/>
      <c r="K72" s="182"/>
      <c r="L72" s="182"/>
      <c r="M72" s="182"/>
      <c r="N72" s="163"/>
      <c r="O72" s="259">
        <f>IF(O$24="Y",E72*$O$16*'Emissions Factors'!B57,"")</f>
        <v>77.241449896711657</v>
      </c>
      <c r="P72" s="259" t="str">
        <f>IF(P$24="Y",E72*$E$5*'Emissions Factors'!$R$36*$P$16/10^6,"")</f>
        <v/>
      </c>
      <c r="Q72" s="259" t="str">
        <f>IF($Q$24="Y",IFERROR($E72*SUM($E$3,$E$4,$E$5)*('Emissions Factors'!$T$143*$P$16)/10^6,""),"")</f>
        <v/>
      </c>
      <c r="R72" s="258"/>
      <c r="T72" s="180" t="str">
        <f t="shared" si="2"/>
        <v/>
      </c>
      <c r="U72" s="180" t="str">
        <f t="shared" si="3"/>
        <v/>
      </c>
      <c r="V72" s="177"/>
      <c r="X72" s="180">
        <f t="shared" si="4"/>
        <v>77.241449896711657</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35.454662128489659</v>
      </c>
      <c r="C85" s="253">
        <f>(C137/Population_Tables!P3)*Population_Tables!D3</f>
        <v>9.7943735518175075</v>
      </c>
      <c r="D85" s="253">
        <f>(D137/Population_Tables!Q3)*Population_Tables!E3</f>
        <v>1.9645185842965271</v>
      </c>
      <c r="E85" s="253">
        <f>(E137/Population_Tables!R3)*Population_Tables!F3</f>
        <v>13.192624214902676</v>
      </c>
      <c r="F85" s="253">
        <f>(F137/Population_Tables!S3)*Population_Tables!G3</f>
        <v>3.5816663142033103</v>
      </c>
      <c r="G85" s="253">
        <f>(G137/Population_Tables!T3)*Population_Tables!H3</f>
        <v>1.5610525101865356</v>
      </c>
      <c r="H85" s="253">
        <f>(H137/Population_Tables!U3)*Population_Tables!I3</f>
        <v>8.6417044213682868</v>
      </c>
      <c r="I85" s="253">
        <f>(I137/Population_Tables!V3)*Population_Tables!J3</f>
        <v>2.5300727439549324</v>
      </c>
      <c r="J85" s="253">
        <f>(J137/Population_Tables!W3)*Population_Tables!K3</f>
        <v>3.8710853310135813</v>
      </c>
      <c r="K85" s="253">
        <f>(K137/Population_Tables!X3)*Population_Tables!L3</f>
        <v>4.0309506620726951</v>
      </c>
      <c r="N85" s="195">
        <f t="shared" ref="N85:N131" si="9">SUMIF($C$83:$G$83,"Y",C85:G85)-H85</f>
        <v>8.1325861077376995</v>
      </c>
      <c r="O85" s="195">
        <f>H85</f>
        <v>8.6417044213682868</v>
      </c>
      <c r="P85" s="195">
        <f t="shared" ref="P85:P131" si="10">SUMIF($C$83:$G$83,"N",C85:G85)-(IF($E$83="N",H85))</f>
        <v>13.31994464630057</v>
      </c>
      <c r="Q85" s="195">
        <f>N85+P85+O85</f>
        <v>30.09423517540656</v>
      </c>
      <c r="R85" s="196">
        <f>N85/Q85</f>
        <v>0.27023734148205786</v>
      </c>
      <c r="U85" s="197">
        <v>0</v>
      </c>
      <c r="V85" s="195">
        <f>O85-O137</f>
        <v>0</v>
      </c>
      <c r="W85" s="197">
        <v>0</v>
      </c>
      <c r="X85" s="195">
        <f>U85+V85+W85</f>
        <v>0</v>
      </c>
      <c r="Y85" s="196">
        <v>0</v>
      </c>
      <c r="AC85" s="251">
        <f>(B85-B137)/((SUM(C85:G85)-SUM(C137:G137)))</f>
        <v>1.4576883580295306</v>
      </c>
      <c r="AF85" s="250">
        <f>B85</f>
        <v>35.454662128489659</v>
      </c>
      <c r="AG85" s="250">
        <f>SUM(C85:G85)</f>
        <v>30.094235175406556</v>
      </c>
      <c r="AH85" s="250">
        <f>AG85-AF85</f>
        <v>-5.3604269530831026</v>
      </c>
      <c r="AI85" s="251">
        <f>AH85/AG85</f>
        <v>-0.17812138842670178</v>
      </c>
    </row>
    <row r="86" spans="1:35" ht="15.6" x14ac:dyDescent="0.3">
      <c r="A86" s="194">
        <v>2015</v>
      </c>
      <c r="B86" s="253">
        <f>(B138/Population_Tables!O4)*Population_Tables!C4</f>
        <v>35.136807877963442</v>
      </c>
      <c r="C86" s="253">
        <f>(C138/Population_Tables!P4)*Population_Tables!D4</f>
        <v>10.017663025633121</v>
      </c>
      <c r="D86" s="253">
        <f>(D138/Population_Tables!Q4)*Population_Tables!E4</f>
        <v>1.9511542632618775</v>
      </c>
      <c r="E86" s="253">
        <f>(E138/Population_Tables!R4)*Population_Tables!F4</f>
        <v>13.851468915773765</v>
      </c>
      <c r="F86" s="253">
        <f>(F138/Population_Tables!S4)*Population_Tables!G4</f>
        <v>3.7471343978821472</v>
      </c>
      <c r="G86" s="253">
        <f>(G138/Population_Tables!T4)*Population_Tables!H4</f>
        <v>1.6544892880555262</v>
      </c>
      <c r="H86" s="253">
        <f>(H138/Population_Tables!U4)*Population_Tables!I4</f>
        <v>8.9164784427673069</v>
      </c>
      <c r="I86" s="253">
        <f>(I138/Population_Tables!V4)*Population_Tables!J4</f>
        <v>2.6707501717703717</v>
      </c>
      <c r="J86" s="253">
        <f>(J138/Population_Tables!W4)*Population_Tables!K4</f>
        <v>3.8807299629414507</v>
      </c>
      <c r="K86" s="253">
        <f>(K138/Population_Tables!X4)*Population_Tables!L4</f>
        <v>4.1175655043358903</v>
      </c>
      <c r="N86" s="195">
        <f t="shared" si="9"/>
        <v>8.6821248708886039</v>
      </c>
      <c r="O86" s="195">
        <f t="shared" ref="O86:O131" si="11">H86</f>
        <v>8.9164784427673069</v>
      </c>
      <c r="P86" s="195">
        <f t="shared" si="10"/>
        <v>13.623306576950524</v>
      </c>
      <c r="Q86" s="195">
        <f t="shared" ref="Q86:Q131" si="12">N86+P86+O86</f>
        <v>31.221909890606433</v>
      </c>
      <c r="R86" s="196">
        <f t="shared" ref="R86:R130" si="13">N86/Q86</f>
        <v>0.27807795555456227</v>
      </c>
      <c r="U86" s="197">
        <v>0</v>
      </c>
      <c r="V86" s="195">
        <f t="shared" ref="V86:W131" si="14">O86-O138</f>
        <v>0</v>
      </c>
      <c r="W86" s="197">
        <v>0</v>
      </c>
      <c r="X86" s="195">
        <f>U86+V86+W86</f>
        <v>0</v>
      </c>
      <c r="Y86" s="196">
        <v>0</v>
      </c>
      <c r="AC86" s="251">
        <f t="shared" ref="AC86:AC131" si="15">(B86-B138)/((SUM(C86:G86)-SUM(C138:G138)))</f>
        <v>1.3734098604838298</v>
      </c>
    </row>
    <row r="87" spans="1:35" ht="15.6" x14ac:dyDescent="0.3">
      <c r="A87" s="194">
        <v>2016</v>
      </c>
      <c r="B87" s="253">
        <f>(B139/Population_Tables!O5)*Population_Tables!C5</f>
        <v>35.590391096666345</v>
      </c>
      <c r="C87" s="253">
        <f>(C139/Population_Tables!P5)*Population_Tables!D5</f>
        <v>10.050682713905339</v>
      </c>
      <c r="D87" s="253">
        <f>(D139/Population_Tables!Q5)*Population_Tables!E5</f>
        <v>1.9641034298876612</v>
      </c>
      <c r="E87" s="253">
        <f>(E139/Population_Tables!R5)*Population_Tables!F5</f>
        <v>13.926859270644471</v>
      </c>
      <c r="F87" s="253">
        <f>(F139/Population_Tables!S5)*Population_Tables!G5</f>
        <v>3.8355730994121444</v>
      </c>
      <c r="G87" s="253">
        <f>(G139/Population_Tables!T5)*Population_Tables!H5</f>
        <v>1.6677974676174945</v>
      </c>
      <c r="H87" s="253">
        <f>(H139/Population_Tables!U5)*Population_Tables!I5</f>
        <v>8.9456052168574072</v>
      </c>
      <c r="I87" s="253">
        <f>(I139/Population_Tables!V5)*Population_Tables!J5</f>
        <v>2.7069120597509149</v>
      </c>
      <c r="J87" s="253">
        <f>(J139/Population_Tables!W5)*Population_Tables!K5</f>
        <v>3.8918123622255814</v>
      </c>
      <c r="K87" s="253">
        <f>(K139/Population_Tables!X5)*Population_Tables!L5</f>
        <v>4.1404158000030398</v>
      </c>
      <c r="N87" s="195">
        <f t="shared" si="9"/>
        <v>8.816827153199208</v>
      </c>
      <c r="O87" s="195">
        <f t="shared" si="11"/>
        <v>8.9456052168574072</v>
      </c>
      <c r="P87" s="195">
        <f t="shared" si="10"/>
        <v>13.682583611410495</v>
      </c>
      <c r="Q87" s="195">
        <f t="shared" si="12"/>
        <v>31.445015981467108</v>
      </c>
      <c r="R87" s="196">
        <f t="shared" si="13"/>
        <v>0.28038870002151123</v>
      </c>
      <c r="U87" s="195">
        <f>N87-N139</f>
        <v>-4.1773927051735882E-5</v>
      </c>
      <c r="V87" s="195">
        <f>O87-O139</f>
        <v>0</v>
      </c>
      <c r="W87" s="195">
        <f>P87-P139</f>
        <v>0</v>
      </c>
      <c r="X87" s="195">
        <f>U87+V87+W87</f>
        <v>-4.1773927051735882E-5</v>
      </c>
      <c r="Y87" s="196">
        <f t="shared" ref="Y87:Y131" si="16">U87/X87</f>
        <v>1</v>
      </c>
      <c r="AC87" s="251">
        <f>(B87-B139)/((SUM(C87:G87)-SUM(C139:G139)))</f>
        <v>1.3810372368617103</v>
      </c>
    </row>
    <row r="88" spans="1:35" ht="15.6" x14ac:dyDescent="0.3">
      <c r="A88" s="194">
        <v>2017</v>
      </c>
      <c r="B88" s="253">
        <f>(B140/Population_Tables!O6)*Population_Tables!C6</f>
        <v>36.03809803603118</v>
      </c>
      <c r="C88" s="253">
        <f>(C140/Population_Tables!P6)*Population_Tables!D6</f>
        <v>10.085595724596224</v>
      </c>
      <c r="D88" s="253">
        <f>(D140/Population_Tables!Q6)*Population_Tables!E6</f>
        <v>1.976302368890678</v>
      </c>
      <c r="E88" s="253">
        <f>(E140/Population_Tables!R6)*Population_Tables!F6</f>
        <v>14.008606474014412</v>
      </c>
      <c r="F88" s="253">
        <f>(F140/Population_Tables!S6)*Population_Tables!G6</f>
        <v>3.9254811291747607</v>
      </c>
      <c r="G88" s="253">
        <f>(G140/Population_Tables!T6)*Population_Tables!H6</f>
        <v>1.6820355143686367</v>
      </c>
      <c r="H88" s="253">
        <f>(H140/Population_Tables!U6)*Population_Tables!I6</f>
        <v>8.9766402577029183</v>
      </c>
      <c r="I88" s="253">
        <f>(I140/Population_Tables!V6)*Population_Tables!J6</f>
        <v>2.744266292933347</v>
      </c>
      <c r="J88" s="253">
        <f>(J140/Population_Tables!W6)*Population_Tables!K6</f>
        <v>3.9025268581563557</v>
      </c>
      <c r="K88" s="253">
        <f>(K140/Population_Tables!X6)*Population_Tables!L6</f>
        <v>4.163828968424288</v>
      </c>
      <c r="N88" s="195">
        <f t="shared" si="9"/>
        <v>8.9574473454862549</v>
      </c>
      <c r="O88" s="195">
        <f>H88</f>
        <v>8.9766402577029183</v>
      </c>
      <c r="P88" s="195">
        <f t="shared" si="10"/>
        <v>13.74393360785554</v>
      </c>
      <c r="Q88" s="195">
        <f t="shared" si="12"/>
        <v>31.678021211044715</v>
      </c>
      <c r="R88" s="196">
        <f t="shared" si="13"/>
        <v>0.28276536863872015</v>
      </c>
      <c r="U88" s="195">
        <f>N88-N140</f>
        <v>-4.0929486498697543E-5</v>
      </c>
      <c r="V88" s="195">
        <f t="shared" si="14"/>
        <v>0</v>
      </c>
      <c r="W88" s="195">
        <f t="shared" si="14"/>
        <v>0</v>
      </c>
      <c r="X88" s="195">
        <f t="shared" ref="X88:X131" si="17">U88+V88+W88</f>
        <v>-4.0929486498697543E-5</v>
      </c>
      <c r="Y88" s="196">
        <f t="shared" si="16"/>
        <v>1</v>
      </c>
      <c r="AC88" s="251">
        <f t="shared" si="15"/>
        <v>1.3876073154887334</v>
      </c>
    </row>
    <row r="89" spans="1:35" ht="15.6" x14ac:dyDescent="0.3">
      <c r="A89" s="194">
        <v>2018</v>
      </c>
      <c r="B89" s="253">
        <f>(B141/Population_Tables!O7)*Population_Tables!C7</f>
        <v>36.479928680196515</v>
      </c>
      <c r="C89" s="253">
        <f>(C141/Population_Tables!P7)*Population_Tables!D7</f>
        <v>10.122298304475681</v>
      </c>
      <c r="D89" s="253">
        <f>(D141/Population_Tables!Q7)*Population_Tables!E7</f>
        <v>1.9877818469641781</v>
      </c>
      <c r="E89" s="253">
        <f>(E141/Population_Tables!R7)*Population_Tables!F7</f>
        <v>14.096382868283182</v>
      </c>
      <c r="F89" s="253">
        <f>(F141/Population_Tables!S7)*Population_Tables!G7</f>
        <v>4.0168003754743644</v>
      </c>
      <c r="G89" s="253">
        <f>(G141/Population_Tables!T7)*Population_Tables!H7</f>
        <v>1.6971566221554775</v>
      </c>
      <c r="H89" s="253">
        <f>(H141/Population_Tables!U7)*Population_Tables!I7</f>
        <v>9.0094577377045777</v>
      </c>
      <c r="I89" s="253">
        <f>(I141/Population_Tables!V7)*Population_Tables!J7</f>
        <v>2.7827515176899413</v>
      </c>
      <c r="J89" s="253">
        <f>(J141/Population_Tables!W7)*Population_Tables!K7</f>
        <v>3.912879003262979</v>
      </c>
      <c r="K89" s="253">
        <f>(K141/Population_Tables!X7)*Population_Tables!L7</f>
        <v>4.1877683530625349</v>
      </c>
      <c r="N89" s="195">
        <f t="shared" si="9"/>
        <v>9.1037255060529692</v>
      </c>
      <c r="O89" s="195">
        <f t="shared" si="11"/>
        <v>9.0094577377045777</v>
      </c>
      <c r="P89" s="195">
        <f t="shared" si="10"/>
        <v>13.807236773595337</v>
      </c>
      <c r="Q89" s="195">
        <f t="shared" si="12"/>
        <v>31.920420017352882</v>
      </c>
      <c r="R89" s="196">
        <f t="shared" si="13"/>
        <v>0.28520068035144636</v>
      </c>
      <c r="U89" s="195">
        <f t="shared" ref="U89:U131" si="18">N89-N141</f>
        <v>-3.9989545875585009E-5</v>
      </c>
      <c r="V89" s="195">
        <f t="shared" si="14"/>
        <v>0</v>
      </c>
      <c r="W89" s="195">
        <f t="shared" si="14"/>
        <v>0</v>
      </c>
      <c r="X89" s="195">
        <f t="shared" si="17"/>
        <v>-3.9989545875585009E-5</v>
      </c>
      <c r="Y89" s="196">
        <f t="shared" si="16"/>
        <v>1</v>
      </c>
      <c r="AC89" s="251">
        <f t="shared" si="15"/>
        <v>1.3931409843004952</v>
      </c>
    </row>
    <row r="90" spans="1:35" ht="16.2" thickBot="1" x14ac:dyDescent="0.35">
      <c r="A90" s="198">
        <v>2019</v>
      </c>
      <c r="B90" s="253">
        <f>(B142/Population_Tables!O8)*Population_Tables!C8</f>
        <v>36.915882735482043</v>
      </c>
      <c r="C90" s="253">
        <f>(C142/Population_Tables!P8)*Population_Tables!D8</f>
        <v>10.160686700313617</v>
      </c>
      <c r="D90" s="253">
        <f>(D142/Population_Tables!Q8)*Population_Tables!E8</f>
        <v>1.9985726308014102</v>
      </c>
      <c r="E90" s="253">
        <f>(E142/Population_Tables!R8)*Population_Tables!F8</f>
        <v>14.189860597466634</v>
      </c>
      <c r="F90" s="253">
        <f>(F142/Population_Tables!S8)*Population_Tables!G8</f>
        <v>4.1094727266153281</v>
      </c>
      <c r="G90" s="253">
        <f>(G142/Population_Tables!T8)*Population_Tables!H8</f>
        <v>1.713113984824542</v>
      </c>
      <c r="H90" s="253">
        <f>(H142/Population_Tables!U8)*Population_Tables!I8</f>
        <v>9.0439318292631263</v>
      </c>
      <c r="I90" s="253">
        <f>(I142/Population_Tables!V8)*Population_Tables!J8</f>
        <v>2.8223063803929667</v>
      </c>
      <c r="J90" s="253">
        <f>(J142/Population_Tables!W8)*Population_Tables!K8</f>
        <v>3.9228743500746557</v>
      </c>
      <c r="K90" s="253">
        <f>(K142/Population_Tables!X8)*Population_Tables!L8</f>
        <v>4.2121972973806798</v>
      </c>
      <c r="N90" s="195">
        <f t="shared" si="9"/>
        <v>9.2554014948188374</v>
      </c>
      <c r="O90" s="195">
        <f t="shared" si="11"/>
        <v>9.0439318292631263</v>
      </c>
      <c r="P90" s="195">
        <f t="shared" si="10"/>
        <v>13.872373315939569</v>
      </c>
      <c r="Q90" s="195">
        <f t="shared" si="12"/>
        <v>32.171706640021533</v>
      </c>
      <c r="R90" s="199">
        <f t="shared" si="13"/>
        <v>0.28768761316830915</v>
      </c>
      <c r="U90" s="200">
        <f t="shared" si="18"/>
        <v>-3.9162849965634905E-5</v>
      </c>
      <c r="V90" s="195">
        <f t="shared" si="14"/>
        <v>0</v>
      </c>
      <c r="W90" s="200">
        <f t="shared" si="14"/>
        <v>0</v>
      </c>
      <c r="X90" s="195">
        <f t="shared" si="17"/>
        <v>-3.9162849965634905E-5</v>
      </c>
      <c r="Y90" s="199">
        <f t="shared" si="16"/>
        <v>1</v>
      </c>
      <c r="AC90" s="251">
        <f t="shared" si="15"/>
        <v>1.3976533986511321</v>
      </c>
    </row>
    <row r="91" spans="1:35" ht="15.6" x14ac:dyDescent="0.3">
      <c r="A91" s="201">
        <v>2020</v>
      </c>
      <c r="B91" s="253">
        <f>(B143/Population_Tables!O9)*Population_Tables!C9</f>
        <v>37.345960189724693</v>
      </c>
      <c r="C91" s="253">
        <f>(C143/Population_Tables!P9)*Population_Tables!D9</f>
        <v>10.200657158879935</v>
      </c>
      <c r="D91" s="253">
        <f>(D143/Population_Tables!Q9)*Population_Tables!E9</f>
        <v>2.0087054870956242</v>
      </c>
      <c r="E91" s="253">
        <f>(E143/Population_Tables!R9)*Population_Tables!F9</f>
        <v>14.28871200616565</v>
      </c>
      <c r="F91" s="253">
        <f>(F143/Population_Tables!S9)*Population_Tables!G9</f>
        <v>4.2034400709020217</v>
      </c>
      <c r="G91" s="253">
        <f>(G143/Population_Tables!T9)*Population_Tables!H9</f>
        <v>1.7298607962223549</v>
      </c>
      <c r="H91" s="253">
        <f>(H143/Population_Tables!U9)*Population_Tables!I9</f>
        <v>9.0799367047793034</v>
      </c>
      <c r="I91" s="253">
        <f>(I143/Population_Tables!V9)*Population_Tables!J9</f>
        <v>2.8628695274146962</v>
      </c>
      <c r="J91" s="253">
        <f>(J143/Population_Tables!W9)*Population_Tables!K9</f>
        <v>3.9325184511205902</v>
      </c>
      <c r="K91" s="253">
        <f>(K143/Population_Tables!X9)*Population_Tables!L9</f>
        <v>4.2370791448416254</v>
      </c>
      <c r="L91" s="202"/>
      <c r="M91" s="202"/>
      <c r="N91" s="195">
        <f t="shared" si="9"/>
        <v>9.4122153722883688</v>
      </c>
      <c r="O91" s="195">
        <f t="shared" si="11"/>
        <v>9.0799367047793034</v>
      </c>
      <c r="P91" s="195">
        <f t="shared" si="10"/>
        <v>13.939223442197914</v>
      </c>
      <c r="Q91" s="195">
        <f t="shared" si="12"/>
        <v>32.431375519265586</v>
      </c>
      <c r="R91" s="203">
        <f t="shared" si="13"/>
        <v>0.29021943169499925</v>
      </c>
      <c r="S91" s="202"/>
      <c r="T91" s="202"/>
      <c r="U91" s="204">
        <f>N91-N143</f>
        <v>-3.8457558542148718E-5</v>
      </c>
      <c r="V91" s="195">
        <f t="shared" si="14"/>
        <v>0</v>
      </c>
      <c r="W91" s="204">
        <f t="shared" si="14"/>
        <v>0</v>
      </c>
      <c r="X91" s="195">
        <f t="shared" si="17"/>
        <v>-3.8457558542148718E-5</v>
      </c>
      <c r="Y91" s="205">
        <f>U91/X91</f>
        <v>1</v>
      </c>
      <c r="AC91" s="251">
        <f t="shared" si="15"/>
        <v>1.4010578195318455</v>
      </c>
    </row>
    <row r="92" spans="1:35" ht="15.6" x14ac:dyDescent="0.3">
      <c r="A92" s="206">
        <v>2021</v>
      </c>
      <c r="B92" s="253">
        <f>(B144/Population_Tables!O10)*Population_Tables!C10</f>
        <v>37.817977167016245</v>
      </c>
      <c r="C92" s="253">
        <f>(C144/Population_Tables!P10)*Population_Tables!D10</f>
        <v>10.252729336276692</v>
      </c>
      <c r="D92" s="253">
        <f>(D144/Population_Tables!Q10)*Population_Tables!E10</f>
        <v>2.0206055141167769</v>
      </c>
      <c r="E92" s="253">
        <f>(E144/Population_Tables!R10)*Population_Tables!F10</f>
        <v>14.409831560278697</v>
      </c>
      <c r="F92" s="253">
        <f>(F144/Population_Tables!S10)*Population_Tables!G10</f>
        <v>4.3044076553743347</v>
      </c>
      <c r="G92" s="253">
        <f>(G144/Population_Tables!T10)*Population_Tables!H10</f>
        <v>1.7506593521688321</v>
      </c>
      <c r="H92" s="253">
        <f>(H144/Population_Tables!U10)*Population_Tables!I10</f>
        <v>9.1269138646544317</v>
      </c>
      <c r="I92" s="253">
        <f>(I144/Population_Tables!V10)*Population_Tables!J10</f>
        <v>2.9077209415113749</v>
      </c>
      <c r="J92" s="253">
        <f>(J144/Population_Tables!W10)*Population_Tables!K10</f>
        <v>3.9458950128498689</v>
      </c>
      <c r="K92" s="253">
        <f>(K144/Population_Tables!X10)*Population_Tables!L10</f>
        <v>4.2668803356704075</v>
      </c>
      <c r="L92" s="170"/>
      <c r="M92" s="170"/>
      <c r="N92" s="195">
        <f t="shared" si="9"/>
        <v>9.5873253509985989</v>
      </c>
      <c r="O92" s="195">
        <f t="shared" si="11"/>
        <v>9.1269138646544317</v>
      </c>
      <c r="P92" s="195">
        <f t="shared" si="10"/>
        <v>14.023994202562301</v>
      </c>
      <c r="Q92" s="195">
        <f t="shared" si="12"/>
        <v>32.73823341821533</v>
      </c>
      <c r="R92" s="196">
        <f t="shared" si="13"/>
        <v>0.29284797467612522</v>
      </c>
      <c r="S92" s="170"/>
      <c r="T92" s="170"/>
      <c r="U92" s="195">
        <f t="shared" si="18"/>
        <v>1.3380270201160727E-2</v>
      </c>
      <c r="V92" s="195">
        <f t="shared" si="14"/>
        <v>9.5673280005854622E-3</v>
      </c>
      <c r="W92" s="195">
        <f t="shared" si="14"/>
        <v>1.6326842882250503E-2</v>
      </c>
      <c r="X92" s="195">
        <f t="shared" si="17"/>
        <v>3.9274441083996692E-2</v>
      </c>
      <c r="Y92" s="207">
        <f t="shared" si="16"/>
        <v>0.34068645744809434</v>
      </c>
      <c r="AC92" s="251">
        <f t="shared" si="15"/>
        <v>1.2161338565210027</v>
      </c>
    </row>
    <row r="93" spans="1:35" ht="15.6" x14ac:dyDescent="0.3">
      <c r="A93" s="206">
        <v>2022</v>
      </c>
      <c r="B93" s="253">
        <f>(B145/Population_Tables!O11)*Population_Tables!C11</f>
        <v>38.296561686016382</v>
      </c>
      <c r="C93" s="253">
        <f>(C145/Population_Tables!P11)*Population_Tables!D11</f>
        <v>10.309212440763497</v>
      </c>
      <c r="D93" s="253">
        <f>(D145/Population_Tables!Q11)*Population_Tables!E11</f>
        <v>2.032340036146556</v>
      </c>
      <c r="E93" s="253">
        <f>(E145/Population_Tables!R11)*Population_Tables!F11</f>
        <v>14.541473290318635</v>
      </c>
      <c r="F93" s="253">
        <f>(F145/Population_Tables!S11)*Population_Tables!G11</f>
        <v>4.4077197713156187</v>
      </c>
      <c r="G93" s="253">
        <f>(G145/Population_Tables!T11)*Population_Tables!H11</f>
        <v>1.772326751096909</v>
      </c>
      <c r="H93" s="253">
        <f>(H145/Population_Tables!U11)*Population_Tables!I11</f>
        <v>9.1774635971441523</v>
      </c>
      <c r="I93" s="253">
        <f>(I145/Population_Tables!V11)*Population_Tables!J11</f>
        <v>2.9549213172712991</v>
      </c>
      <c r="J93" s="253">
        <f>(J145/Population_Tables!W11)*Population_Tables!K11</f>
        <v>3.9599133157808342</v>
      </c>
      <c r="K93" s="253">
        <f>(K145/Population_Tables!X11)*Population_Tables!L11</f>
        <v>4.2985399711766306</v>
      </c>
      <c r="L93" s="170"/>
      <c r="M93" s="170"/>
      <c r="N93" s="195">
        <f t="shared" si="9"/>
        <v>9.771729464490102</v>
      </c>
      <c r="O93" s="195">
        <f t="shared" si="11"/>
        <v>9.1774635971441523</v>
      </c>
      <c r="P93" s="195">
        <f t="shared" si="10"/>
        <v>14.113879228006962</v>
      </c>
      <c r="Q93" s="195">
        <f t="shared" si="12"/>
        <v>33.063072289641219</v>
      </c>
      <c r="R93" s="196">
        <f t="shared" si="13"/>
        <v>0.29554813838493832</v>
      </c>
      <c r="S93" s="170"/>
      <c r="T93" s="170"/>
      <c r="U93" s="195">
        <f t="shared" si="18"/>
        <v>3.1474985305440129E-2</v>
      </c>
      <c r="V93" s="195">
        <f t="shared" si="14"/>
        <v>2.1428099856660054E-2</v>
      </c>
      <c r="W93" s="195">
        <f t="shared" si="14"/>
        <v>3.6293952311300615E-2</v>
      </c>
      <c r="X93" s="195">
        <f t="shared" si="17"/>
        <v>8.9197037473400798E-2</v>
      </c>
      <c r="Y93" s="207">
        <f t="shared" si="16"/>
        <v>0.35287029924986241</v>
      </c>
      <c r="AC93" s="251">
        <f t="shared" si="15"/>
        <v>1.2110700300495185</v>
      </c>
    </row>
    <row r="94" spans="1:35" ht="15.6" x14ac:dyDescent="0.3">
      <c r="A94" s="206">
        <v>2023</v>
      </c>
      <c r="B94" s="253">
        <f>(B146/Population_Tables!O12)*Population_Tables!C12</f>
        <v>38.780118514604709</v>
      </c>
      <c r="C94" s="253">
        <f>(C146/Population_Tables!P12)*Population_Tables!D12</f>
        <v>10.369542400365953</v>
      </c>
      <c r="D94" s="253">
        <f>(D146/Population_Tables!Q12)*Population_Tables!E12</f>
        <v>2.0438977119609301</v>
      </c>
      <c r="E94" s="253">
        <f>(E146/Population_Tables!R12)*Population_Tables!F12</f>
        <v>14.682312847415725</v>
      </c>
      <c r="F94" s="253">
        <f>(F146/Population_Tables!S12)*Population_Tables!G12</f>
        <v>4.5132763329786032</v>
      </c>
      <c r="G94" s="253">
        <f>(G146/Population_Tables!T12)*Population_Tables!H12</f>
        <v>1.7949095206554146</v>
      </c>
      <c r="H94" s="253">
        <f>(H146/Population_Tables!U12)*Population_Tables!I12</f>
        <v>9.2311063424138133</v>
      </c>
      <c r="I94" s="253">
        <f>(I146/Population_Tables!V12)*Population_Tables!J12</f>
        <v>3.0041337546174596</v>
      </c>
      <c r="J94" s="253">
        <f>(J146/Population_Tables!W12)*Population_Tables!K12</f>
        <v>3.9744302573391548</v>
      </c>
      <c r="K94" s="253">
        <f>(K146/Population_Tables!X12)*Population_Tables!L12</f>
        <v>4.3317930575265153</v>
      </c>
      <c r="L94" s="170"/>
      <c r="M94" s="170"/>
      <c r="N94" s="195">
        <f t="shared" si="9"/>
        <v>9.9644828379805155</v>
      </c>
      <c r="O94" s="195">
        <f t="shared" si="11"/>
        <v>9.2311063424138133</v>
      </c>
      <c r="P94" s="195">
        <f t="shared" si="10"/>
        <v>14.208349632982298</v>
      </c>
      <c r="Q94" s="195">
        <f t="shared" si="12"/>
        <v>33.403938813376627</v>
      </c>
      <c r="R94" s="196">
        <f t="shared" si="13"/>
        <v>0.29830263112535199</v>
      </c>
      <c r="S94" s="170"/>
      <c r="T94" s="170"/>
      <c r="U94" s="195">
        <f>N94-N146</f>
        <v>5.3560744307660002E-2</v>
      </c>
      <c r="V94" s="195">
        <f t="shared" si="14"/>
        <v>3.5228583332830965E-2</v>
      </c>
      <c r="W94" s="195">
        <f t="shared" si="14"/>
        <v>5.9492235427876849E-2</v>
      </c>
      <c r="X94" s="195">
        <f t="shared" si="17"/>
        <v>0.14828156306836782</v>
      </c>
      <c r="Y94" s="207">
        <f t="shared" si="16"/>
        <v>0.36120973639160303</v>
      </c>
      <c r="AC94" s="251">
        <f t="shared" si="15"/>
        <v>1.2080634097380676</v>
      </c>
    </row>
    <row r="95" spans="1:35" ht="15.6" x14ac:dyDescent="0.3">
      <c r="A95" s="206">
        <v>2024</v>
      </c>
      <c r="B95" s="253">
        <f>(B147/Population_Tables!O13)*Population_Tables!C13</f>
        <v>39.267856373522797</v>
      </c>
      <c r="C95" s="253">
        <f>(C147/Population_Tables!P13)*Population_Tables!D13</f>
        <v>10.43324514528047</v>
      </c>
      <c r="D95" s="253">
        <f>(D147/Population_Tables!Q13)*Population_Tables!E13</f>
        <v>2.0552632317626736</v>
      </c>
      <c r="E95" s="253">
        <f>(E147/Population_Tables!R13)*Population_Tables!F13</f>
        <v>14.831270093507591</v>
      </c>
      <c r="F95" s="253">
        <f>(F147/Population_Tables!S13)*Population_Tables!G13</f>
        <v>4.6210982488985719</v>
      </c>
      <c r="G95" s="253">
        <f>(G147/Population_Tables!T13)*Population_Tables!H13</f>
        <v>1.8185799896755586</v>
      </c>
      <c r="H95" s="253">
        <f>(H147/Population_Tables!U13)*Population_Tables!I13</f>
        <v>9.2874367965128961</v>
      </c>
      <c r="I95" s="253">
        <f>(I147/Population_Tables!V13)*Population_Tables!J13</f>
        <v>3.0550961321748664</v>
      </c>
      <c r="J95" s="253">
        <f>(J147/Population_Tables!W13)*Population_Tables!K13</f>
        <v>3.9893306162411757</v>
      </c>
      <c r="K95" s="253">
        <f>(K147/Population_Tables!X13)*Population_Tables!L13</f>
        <v>4.3664208912305504</v>
      </c>
      <c r="L95" s="170"/>
      <c r="M95" s="170"/>
      <c r="N95" s="195">
        <f t="shared" si="9"/>
        <v>10.164931545893268</v>
      </c>
      <c r="O95" s="195">
        <f t="shared" si="11"/>
        <v>9.2874367965128961</v>
      </c>
      <c r="P95" s="195">
        <f t="shared" si="10"/>
        <v>14.307088366718702</v>
      </c>
      <c r="Q95" s="195">
        <f t="shared" si="12"/>
        <v>33.759456709124862</v>
      </c>
      <c r="R95" s="196">
        <f t="shared" si="13"/>
        <v>0.30109878939923174</v>
      </c>
      <c r="S95" s="170"/>
      <c r="T95" s="170"/>
      <c r="U95" s="195">
        <f t="shared" si="18"/>
        <v>7.9243552966969943E-2</v>
      </c>
      <c r="V95" s="195">
        <f t="shared" si="14"/>
        <v>5.0689302077840281E-2</v>
      </c>
      <c r="W95" s="195">
        <f t="shared" si="14"/>
        <v>8.5724434152687934E-2</v>
      </c>
      <c r="X95" s="195">
        <f t="shared" si="17"/>
        <v>0.21565728919749816</v>
      </c>
      <c r="Y95" s="207">
        <f t="shared" si="16"/>
        <v>0.36745130786837904</v>
      </c>
      <c r="AC95" s="251">
        <f t="shared" si="15"/>
        <v>1.2070109695510023</v>
      </c>
    </row>
    <row r="96" spans="1:35" ht="15.6" x14ac:dyDescent="0.3">
      <c r="A96" s="206">
        <v>2025</v>
      </c>
      <c r="B96" s="253">
        <f>(B148/Population_Tables!O14)*Population_Tables!C14</f>
        <v>39.759177887160391</v>
      </c>
      <c r="C96" s="253">
        <f>(C148/Population_Tables!P14)*Population_Tables!D14</f>
        <v>10.499934264157675</v>
      </c>
      <c r="D96" s="253">
        <f>(D148/Population_Tables!Q14)*Population_Tables!E14</f>
        <v>2.0664347455390826</v>
      </c>
      <c r="E96" s="253">
        <f>(E148/Population_Tables!R14)*Population_Tables!F14</f>
        <v>14.987463352892604</v>
      </c>
      <c r="F96" s="253">
        <f>(F148/Population_Tables!S14)*Population_Tables!G14</f>
        <v>4.7311981987557052</v>
      </c>
      <c r="G96" s="253">
        <f>(G148/Population_Tables!T14)*Population_Tables!H14</f>
        <v>1.8434534874017894</v>
      </c>
      <c r="H96" s="253">
        <f>(H148/Population_Tables!U14)*Population_Tables!I14</f>
        <v>9.3461225675993518</v>
      </c>
      <c r="I96" s="253">
        <f>(I148/Population_Tables!V14)*Population_Tables!J14</f>
        <v>3.1076003255614415</v>
      </c>
      <c r="J96" s="253">
        <f>(J148/Population_Tables!W14)*Population_Tables!K14</f>
        <v>4.0045260588429219</v>
      </c>
      <c r="K96" s="253">
        <f>(K148/Population_Tables!X14)*Population_Tables!L14</f>
        <v>4.4022504410860774</v>
      </c>
      <c r="L96" s="170"/>
      <c r="M96" s="170"/>
      <c r="N96" s="195">
        <f t="shared" si="9"/>
        <v>10.372538984048958</v>
      </c>
      <c r="O96" s="195">
        <f t="shared" si="11"/>
        <v>9.3461225675993518</v>
      </c>
      <c r="P96" s="195">
        <f t="shared" si="10"/>
        <v>14.409822497098546</v>
      </c>
      <c r="Q96" s="195">
        <f t="shared" si="12"/>
        <v>34.128484048746856</v>
      </c>
      <c r="R96" s="196">
        <f t="shared" si="13"/>
        <v>0.30392615649829374</v>
      </c>
      <c r="S96" s="170"/>
      <c r="T96" s="170"/>
      <c r="U96" s="195">
        <f t="shared" si="18"/>
        <v>0.1082467384396999</v>
      </c>
      <c r="V96" s="195">
        <f t="shared" si="14"/>
        <v>6.7603691848901803E-2</v>
      </c>
      <c r="W96" s="195">
        <f t="shared" si="14"/>
        <v>0.11483740905843121</v>
      </c>
      <c r="X96" s="195">
        <f t="shared" si="17"/>
        <v>0.29068783934703291</v>
      </c>
      <c r="Y96" s="207">
        <f t="shared" si="16"/>
        <v>0.37238137888001327</v>
      </c>
      <c r="AC96" s="251">
        <f t="shared" si="15"/>
        <v>1.2072332752595416</v>
      </c>
    </row>
    <row r="97" spans="1:29" ht="15.6" x14ac:dyDescent="0.3">
      <c r="A97" s="206">
        <v>2026</v>
      </c>
      <c r="B97" s="253">
        <f>(B149/Population_Tables!O15)*Population_Tables!C15</f>
        <v>40.253447026814456</v>
      </c>
      <c r="C97" s="253">
        <f>(C149/Population_Tables!P15)*Population_Tables!D15</f>
        <v>10.569317256979446</v>
      </c>
      <c r="D97" s="253">
        <f>(D149/Population_Tables!Q15)*Population_Tables!E15</f>
        <v>2.0774470553148001</v>
      </c>
      <c r="E97" s="253">
        <f>(E149/Population_Tables!R15)*Population_Tables!F15</f>
        <v>15.150191423996301</v>
      </c>
      <c r="F97" s="253">
        <f>(F149/Population_Tables!S15)*Population_Tables!G15</f>
        <v>4.8435411061516556</v>
      </c>
      <c r="G97" s="253">
        <f>(G149/Population_Tables!T15)*Population_Tables!H15</f>
        <v>1.8694976388279458</v>
      </c>
      <c r="H97" s="253">
        <f>(H149/Population_Tables!U15)*Population_Tables!I15</f>
        <v>9.4069071295899231</v>
      </c>
      <c r="I97" s="253">
        <f>(I149/Population_Tables!V15)*Population_Tables!J15</f>
        <v>3.1614804307398998</v>
      </c>
      <c r="J97" s="253">
        <f>(J149/Population_Tables!W15)*Population_Tables!K15</f>
        <v>4.0199575887633818</v>
      </c>
      <c r="K97" s="253">
        <f>(K149/Population_Tables!X15)*Population_Tables!L15</f>
        <v>4.4391567182901142</v>
      </c>
      <c r="L97" s="170"/>
      <c r="M97" s="170"/>
      <c r="N97" s="195">
        <f t="shared" si="9"/>
        <v>10.586825400558032</v>
      </c>
      <c r="O97" s="195">
        <f t="shared" si="11"/>
        <v>9.4069071295899231</v>
      </c>
      <c r="P97" s="195">
        <f t="shared" si="10"/>
        <v>14.516261951122191</v>
      </c>
      <c r="Q97" s="195">
        <f t="shared" si="12"/>
        <v>34.509994481270148</v>
      </c>
      <c r="R97" s="196">
        <f t="shared" si="13"/>
        <v>0.30677563296348526</v>
      </c>
      <c r="S97" s="170"/>
      <c r="T97" s="170"/>
      <c r="U97" s="195">
        <f>N97-N149</f>
        <v>0.14035048017201035</v>
      </c>
      <c r="V97" s="195">
        <f t="shared" si="14"/>
        <v>8.5841054162020924E-2</v>
      </c>
      <c r="W97" s="195">
        <f t="shared" si="14"/>
        <v>0.14666087983578358</v>
      </c>
      <c r="X97" s="195">
        <f t="shared" si="17"/>
        <v>0.37285241416981485</v>
      </c>
      <c r="Y97" s="207">
        <f t="shared" si="16"/>
        <v>0.37642368625803779</v>
      </c>
      <c r="AC97" s="251">
        <f t="shared" si="15"/>
        <v>1.2079295742941594</v>
      </c>
    </row>
    <row r="98" spans="1:29" ht="15.6" x14ac:dyDescent="0.3">
      <c r="A98" s="206">
        <v>2027</v>
      </c>
      <c r="B98" s="253">
        <f>(B150/Population_Tables!O16)*Population_Tables!C16</f>
        <v>40.750062659560164</v>
      </c>
      <c r="C98" s="253">
        <f>(C150/Population_Tables!P16)*Population_Tables!D16</f>
        <v>10.641189442208907</v>
      </c>
      <c r="D98" s="253">
        <f>(D150/Population_Tables!Q16)*Population_Tables!E16</f>
        <v>2.0883428546014775</v>
      </c>
      <c r="E98" s="253">
        <f>(E150/Population_Tables!R16)*Population_Tables!F16</f>
        <v>15.318945317388787</v>
      </c>
      <c r="F98" s="253">
        <f>(F150/Population_Tables!S16)*Population_Tables!G16</f>
        <v>4.9580398818093245</v>
      </c>
      <c r="G98" s="253">
        <f>(G150/Population_Tables!T16)*Population_Tables!H16</f>
        <v>1.8965815864620434</v>
      </c>
      <c r="H98" s="253">
        <f>(H150/Population_Tables!U16)*Population_Tables!I16</f>
        <v>9.4696078850899248</v>
      </c>
      <c r="I98" s="253">
        <f>(I150/Population_Tables!V16)*Population_Tables!J16</f>
        <v>3.2166255769955021</v>
      </c>
      <c r="J98" s="253">
        <f>(J150/Population_Tables!W16)*Population_Tables!K16</f>
        <v>4.0355939463741963</v>
      </c>
      <c r="K98" s="253">
        <f>(K150/Population_Tables!X16)*Population_Tables!L16</f>
        <v>4.4770605284750919</v>
      </c>
      <c r="L98" s="170"/>
      <c r="M98" s="170"/>
      <c r="N98" s="195">
        <f t="shared" si="9"/>
        <v>10.807377314108187</v>
      </c>
      <c r="O98" s="195">
        <f t="shared" si="11"/>
        <v>9.4696078850899248</v>
      </c>
      <c r="P98" s="195">
        <f t="shared" si="10"/>
        <v>14.626113883272426</v>
      </c>
      <c r="Q98" s="195">
        <f t="shared" si="12"/>
        <v>34.903099082470533</v>
      </c>
      <c r="R98" s="196">
        <f t="shared" si="13"/>
        <v>0.309639476098442</v>
      </c>
      <c r="S98" s="170"/>
      <c r="T98" s="170"/>
      <c r="U98" s="195">
        <f t="shared" si="18"/>
        <v>0.17540122818734183</v>
      </c>
      <c r="V98" s="195">
        <f t="shared" si="14"/>
        <v>0.10534461922176952</v>
      </c>
      <c r="W98" s="195">
        <f t="shared" si="14"/>
        <v>0.18102179365785709</v>
      </c>
      <c r="X98" s="195">
        <f t="shared" si="17"/>
        <v>0.46176764106696844</v>
      </c>
      <c r="Y98" s="207">
        <f t="shared" si="16"/>
        <v>0.37984737904556642</v>
      </c>
      <c r="AC98" s="251">
        <f t="shared" si="15"/>
        <v>1.2085165954022306</v>
      </c>
    </row>
    <row r="99" spans="1:29" ht="15.6" x14ac:dyDescent="0.3">
      <c r="A99" s="206">
        <v>2028</v>
      </c>
      <c r="B99" s="253">
        <f>(B151/Population_Tables!O17)*Population_Tables!C17</f>
        <v>41.248850382084328</v>
      </c>
      <c r="C99" s="253">
        <f>(C151/Population_Tables!P17)*Population_Tables!D17</f>
        <v>10.71542687082853</v>
      </c>
      <c r="D99" s="253">
        <f>(D151/Population_Tables!Q17)*Population_Tables!E17</f>
        <v>2.0991418507077739</v>
      </c>
      <c r="E99" s="253">
        <f>(E151/Population_Tables!R17)*Population_Tables!F17</f>
        <v>15.49341752253264</v>
      </c>
      <c r="F99" s="253">
        <f>(F151/Population_Tables!S17)*Population_Tables!G17</f>
        <v>5.0746301480959604</v>
      </c>
      <c r="G99" s="253">
        <f>(G151/Population_Tables!T17)*Population_Tables!H17</f>
        <v>1.9246249707030856</v>
      </c>
      <c r="H99" s="253">
        <f>(H151/Population_Tables!U17)*Population_Tables!I17</f>
        <v>9.5341061496374166</v>
      </c>
      <c r="I99" s="253">
        <f>(I151/Population_Tables!V17)*Population_Tables!J17</f>
        <v>3.2729956597136112</v>
      </c>
      <c r="J99" s="253">
        <f>(J151/Population_Tables!W17)*Population_Tables!K17</f>
        <v>4.0514309625982294</v>
      </c>
      <c r="K99" s="253">
        <f>(K151/Population_Tables!X17)*Population_Tables!L17</f>
        <v>4.5159214482828309</v>
      </c>
      <c r="L99" s="170"/>
      <c r="M99" s="170"/>
      <c r="N99" s="195">
        <f t="shared" si="9"/>
        <v>11.033941520991185</v>
      </c>
      <c r="O99" s="195">
        <f t="shared" si="11"/>
        <v>9.5341061496374166</v>
      </c>
      <c r="P99" s="195">
        <f t="shared" si="10"/>
        <v>14.73919369223939</v>
      </c>
      <c r="Q99" s="195">
        <f t="shared" si="12"/>
        <v>35.307241362867991</v>
      </c>
      <c r="R99" s="196">
        <f t="shared" si="13"/>
        <v>0.31251213901393576</v>
      </c>
      <c r="S99" s="170"/>
      <c r="T99" s="170"/>
      <c r="U99" s="195">
        <f t="shared" si="18"/>
        <v>0.21340571011316278</v>
      </c>
      <c r="V99" s="195">
        <f t="shared" si="14"/>
        <v>0.1261215301654719</v>
      </c>
      <c r="W99" s="195">
        <f t="shared" si="14"/>
        <v>0.21785534190511058</v>
      </c>
      <c r="X99" s="195">
        <f t="shared" si="17"/>
        <v>0.55738258218374526</v>
      </c>
      <c r="Y99" s="207">
        <f t="shared" si="16"/>
        <v>0.38287114978919817</v>
      </c>
      <c r="AC99" s="251">
        <f t="shared" si="15"/>
        <v>1.2088228968323953</v>
      </c>
    </row>
    <row r="100" spans="1:29" ht="15.6" x14ac:dyDescent="0.3">
      <c r="A100" s="206">
        <v>2029</v>
      </c>
      <c r="B100" s="253">
        <f>(B152/Population_Tables!O18)*Population_Tables!C18</f>
        <v>41.749769446210756</v>
      </c>
      <c r="C100" s="253">
        <f>(C152/Population_Tables!P18)*Population_Tables!D18</f>
        <v>10.791959074691663</v>
      </c>
      <c r="D100" s="253">
        <f>(D152/Population_Tables!Q18)*Population_Tables!E18</f>
        <v>2.109858401277843</v>
      </c>
      <c r="E100" s="253">
        <f>(E152/Population_Tables!R18)*Population_Tables!F18</f>
        <v>15.673436514830399</v>
      </c>
      <c r="F100" s="253">
        <f>(F152/Population_Tables!S18)*Population_Tables!G18</f>
        <v>5.1932320180205398</v>
      </c>
      <c r="G100" s="253">
        <f>(G152/Population_Tables!T18)*Population_Tables!H18</f>
        <v>1.9535234392954601</v>
      </c>
      <c r="H100" s="253">
        <f>(H152/Population_Tables!U18)*Population_Tables!I18</f>
        <v>9.6003311999857264</v>
      </c>
      <c r="I100" s="253">
        <f>(I152/Population_Tables!V18)*Population_Tables!J18</f>
        <v>3.3305942939595354</v>
      </c>
      <c r="J100" s="253">
        <f>(J152/Population_Tables!W18)*Population_Tables!K18</f>
        <v>4.0674803606880294</v>
      </c>
      <c r="K100" s="253">
        <f>(K152/Population_Tables!X18)*Population_Tables!L18</f>
        <v>4.5557274989637282</v>
      </c>
      <c r="L100" s="170"/>
      <c r="M100" s="170"/>
      <c r="N100" s="195">
        <f t="shared" si="9"/>
        <v>11.266337332865211</v>
      </c>
      <c r="O100" s="195">
        <f t="shared" si="11"/>
        <v>9.6003311999857264</v>
      </c>
      <c r="P100" s="195">
        <f t="shared" si="10"/>
        <v>14.855340915264964</v>
      </c>
      <c r="Q100" s="195">
        <f t="shared" si="12"/>
        <v>35.722009448115898</v>
      </c>
      <c r="R100" s="196">
        <f t="shared" si="13"/>
        <v>0.31538923780950506</v>
      </c>
      <c r="S100" s="170"/>
      <c r="T100" s="170"/>
      <c r="U100" s="195">
        <f t="shared" si="18"/>
        <v>0.25444316894339458</v>
      </c>
      <c r="V100" s="195">
        <f t="shared" si="14"/>
        <v>0.14822689134571654</v>
      </c>
      <c r="W100" s="195">
        <f t="shared" si="14"/>
        <v>0.25712085450974698</v>
      </c>
      <c r="X100" s="195">
        <f t="shared" si="17"/>
        <v>0.6597909147988581</v>
      </c>
      <c r="Y100" s="207">
        <f t="shared" si="16"/>
        <v>0.38564212273362897</v>
      </c>
      <c r="AC100" s="251">
        <f t="shared" si="15"/>
        <v>1.2087277991088068</v>
      </c>
    </row>
    <row r="101" spans="1:29" ht="15.6" x14ac:dyDescent="0.3">
      <c r="A101" s="206">
        <v>2030</v>
      </c>
      <c r="B101" s="253">
        <f>(B153/Population_Tables!O19)*Population_Tables!C19</f>
        <v>42.252805698736566</v>
      </c>
      <c r="C101" s="253">
        <f>(C153/Population_Tables!P19)*Population_Tables!D19</f>
        <v>10.870708263775121</v>
      </c>
      <c r="D101" s="253">
        <f>(D153/Population_Tables!Q19)*Population_Tables!E19</f>
        <v>2.1205129737968891</v>
      </c>
      <c r="E101" s="253">
        <f>(E153/Population_Tables!R19)*Population_Tables!F19</f>
        <v>15.858816121912355</v>
      </c>
      <c r="F101" s="253">
        <f>(F153/Population_Tables!S19)*Population_Tables!G19</f>
        <v>5.313778254483152</v>
      </c>
      <c r="G101" s="253">
        <f>(G153/Population_Tables!T19)*Population_Tables!H19</f>
        <v>1.9831858241158831</v>
      </c>
      <c r="H101" s="253">
        <f>(H153/Population_Tables!U19)*Population_Tables!I19</f>
        <v>9.6682054379885045</v>
      </c>
      <c r="I101" s="253">
        <f>(I153/Population_Tables!V19)*Population_Tables!J19</f>
        <v>3.3894208440144946</v>
      </c>
      <c r="J101" s="253">
        <f>(J153/Population_Tables!W19)*Population_Tables!K19</f>
        <v>4.0837539928322091</v>
      </c>
      <c r="K101" s="253">
        <f>(K153/Population_Tables!X19)*Population_Tables!L19</f>
        <v>4.5964596105878863</v>
      </c>
      <c r="L101" s="170"/>
      <c r="M101" s="170"/>
      <c r="N101" s="195">
        <f t="shared" si="9"/>
        <v>11.504388938407004</v>
      </c>
      <c r="O101" s="195">
        <f t="shared" si="11"/>
        <v>9.6682054379885045</v>
      </c>
      <c r="P101" s="195">
        <f t="shared" si="10"/>
        <v>14.974407061687893</v>
      </c>
      <c r="Q101" s="195">
        <f t="shared" si="12"/>
        <v>36.1470014380834</v>
      </c>
      <c r="R101" s="196">
        <f t="shared" si="13"/>
        <v>0.31826675742697497</v>
      </c>
      <c r="S101" s="170"/>
      <c r="T101" s="170"/>
      <c r="U101" s="195">
        <f t="shared" si="18"/>
        <v>0.29859772469049872</v>
      </c>
      <c r="V101" s="195">
        <f t="shared" si="14"/>
        <v>0.17170893221541306</v>
      </c>
      <c r="W101" s="195">
        <f t="shared" si="14"/>
        <v>0.29878963350083154</v>
      </c>
      <c r="X101" s="195">
        <f t="shared" si="17"/>
        <v>0.76909629040674332</v>
      </c>
      <c r="Y101" s="207">
        <f t="shared" si="16"/>
        <v>0.38824491603331318</v>
      </c>
      <c r="AC101" s="251">
        <f t="shared" si="15"/>
        <v>1.2082129297327346</v>
      </c>
    </row>
    <row r="102" spans="1:29" ht="15.6" x14ac:dyDescent="0.3">
      <c r="A102" s="206">
        <v>2031</v>
      </c>
      <c r="B102" s="253">
        <f>(B154/Population_Tables!O20)*Population_Tables!C20</f>
        <v>42.757751209945553</v>
      </c>
      <c r="C102" s="253">
        <f>(C154/Population_Tables!P20)*Population_Tables!D20</f>
        <v>10.951512305838145</v>
      </c>
      <c r="D102" s="253">
        <f>(D154/Population_Tables!Q20)*Population_Tables!E20</f>
        <v>2.1311328553902458</v>
      </c>
      <c r="E102" s="253">
        <f>(E154/Population_Tables!R20)*Population_Tables!F20</f>
        <v>16.049168486047623</v>
      </c>
      <c r="F102" s="253">
        <f>(F154/Population_Tables!S20)*Population_Tables!G20</f>
        <v>5.4362245274394443</v>
      </c>
      <c r="G102" s="253">
        <f>(G154/Population_Tables!T20)*Population_Tables!H20</f>
        <v>2.0135634016719703</v>
      </c>
      <c r="H102" s="253">
        <f>(H154/Population_Tables!U20)*Population_Tables!I20</f>
        <v>9.7375837708322255</v>
      </c>
      <c r="I102" s="253">
        <f>(I154/Population_Tables!V20)*Population_Tables!J20</f>
        <v>3.4494001160617849</v>
      </c>
      <c r="J102" s="253">
        <f>(J154/Population_Tables!W20)*Population_Tables!K20</f>
        <v>4.100237007912054</v>
      </c>
      <c r="K102" s="253">
        <f>(K154/Population_Tables!X20)*Population_Tables!L20</f>
        <v>4.6380537185925252</v>
      </c>
      <c r="L102" s="170"/>
      <c r="M102" s="170"/>
      <c r="N102" s="195">
        <f t="shared" si="9"/>
        <v>11.747809242654844</v>
      </c>
      <c r="O102" s="195">
        <f t="shared" si="11"/>
        <v>9.7375837708322255</v>
      </c>
      <c r="P102" s="195">
        <f t="shared" si="10"/>
        <v>15.096208562900362</v>
      </c>
      <c r="Q102" s="195">
        <f t="shared" si="12"/>
        <v>36.581601576387428</v>
      </c>
      <c r="R102" s="196">
        <f t="shared" si="13"/>
        <v>0.3211398281216255</v>
      </c>
      <c r="S102" s="170"/>
      <c r="T102" s="170"/>
      <c r="U102" s="195">
        <f t="shared" si="18"/>
        <v>0.34584221372847956</v>
      </c>
      <c r="V102" s="195">
        <f t="shared" si="14"/>
        <v>0.19654838756030024</v>
      </c>
      <c r="W102" s="195">
        <f t="shared" si="14"/>
        <v>0.3427979029608661</v>
      </c>
      <c r="X102" s="195">
        <f t="shared" si="17"/>
        <v>0.8851885042496459</v>
      </c>
      <c r="Y102" s="207">
        <f t="shared" si="16"/>
        <v>0.39069894386127635</v>
      </c>
      <c r="AC102" s="251">
        <f t="shared" si="15"/>
        <v>1.2073612328656196</v>
      </c>
    </row>
    <row r="103" spans="1:29" ht="15.6" x14ac:dyDescent="0.3">
      <c r="A103" s="206">
        <v>2032</v>
      </c>
      <c r="B103" s="253">
        <f>(B155/Population_Tables!O21)*Population_Tables!C21</f>
        <v>43.263739965563133</v>
      </c>
      <c r="C103" s="253">
        <f>(C155/Population_Tables!P21)*Population_Tables!D21</f>
        <v>11.034056844566672</v>
      </c>
      <c r="D103" s="253">
        <f>(D155/Population_Tables!Q21)*Population_Tables!E21</f>
        <v>2.1417287916924206</v>
      </c>
      <c r="E103" s="253">
        <f>(E155/Population_Tables!R21)*Population_Tables!F21</f>
        <v>16.243806123569595</v>
      </c>
      <c r="F103" s="253">
        <f>(F155/Population_Tables!S21)*Population_Tables!G21</f>
        <v>5.5604482847579249</v>
      </c>
      <c r="G103" s="253">
        <f>(G155/Population_Tables!T21)*Population_Tables!H21</f>
        <v>2.0445972679834536</v>
      </c>
      <c r="H103" s="253">
        <f>(H155/Population_Tables!U21)*Population_Tables!I21</f>
        <v>9.8081966028294705</v>
      </c>
      <c r="I103" s="253">
        <f>(I155/Population_Tables!V21)*Population_Tables!J21</f>
        <v>3.510370300627244</v>
      </c>
      <c r="J103" s="253">
        <f>(J155/Population_Tables!W21)*Population_Tables!K21</f>
        <v>4.1168670329233388</v>
      </c>
      <c r="K103" s="253">
        <f>(K155/Population_Tables!X21)*Population_Tables!L21</f>
        <v>4.6803673327903841</v>
      </c>
      <c r="L103" s="170"/>
      <c r="M103" s="170"/>
      <c r="N103" s="195">
        <f t="shared" si="9"/>
        <v>11.996057805498049</v>
      </c>
      <c r="O103" s="195">
        <f t="shared" si="11"/>
        <v>9.8081966028294705</v>
      </c>
      <c r="P103" s="195">
        <f t="shared" si="10"/>
        <v>15.220382904242546</v>
      </c>
      <c r="Q103" s="195">
        <f t="shared" si="12"/>
        <v>37.024637312570064</v>
      </c>
      <c r="R103" s="196">
        <f t="shared" si="13"/>
        <v>0.32400203421912582</v>
      </c>
      <c r="S103" s="170"/>
      <c r="T103" s="170"/>
      <c r="U103" s="195">
        <f t="shared" si="18"/>
        <v>0.39589612728237711</v>
      </c>
      <c r="V103" s="195">
        <f t="shared" si="14"/>
        <v>0.22260148929222012</v>
      </c>
      <c r="W103" s="195">
        <f t="shared" si="14"/>
        <v>0.38890294092035127</v>
      </c>
      <c r="X103" s="195">
        <f t="shared" si="17"/>
        <v>1.0074005574949485</v>
      </c>
      <c r="Y103" s="207">
        <f t="shared" si="16"/>
        <v>0.39298779848487653</v>
      </c>
      <c r="AC103" s="251">
        <f t="shared" si="15"/>
        <v>1.2062453227693448</v>
      </c>
    </row>
    <row r="104" spans="1:29" ht="15.6" x14ac:dyDescent="0.3">
      <c r="A104" s="206">
        <v>2033</v>
      </c>
      <c r="B104" s="253">
        <f>(B156/Population_Tables!O22)*Population_Tables!C22</f>
        <v>43.768861610842713</v>
      </c>
      <c r="C104" s="253">
        <f>(C156/Population_Tables!P22)*Population_Tables!D22</f>
        <v>11.117845180462369</v>
      </c>
      <c r="D104" s="253">
        <f>(D156/Population_Tables!Q22)*Population_Tables!E22</f>
        <v>2.1522676914518906</v>
      </c>
      <c r="E104" s="253">
        <f>(E156/Population_Tables!R22)*Population_Tables!F22</f>
        <v>16.441701965932886</v>
      </c>
      <c r="F104" s="253">
        <f>(F156/Population_Tables!S22)*Population_Tables!G22</f>
        <v>5.6861459562650634</v>
      </c>
      <c r="G104" s="253">
        <f>(G156/Population_Tables!T22)*Population_Tables!H22</f>
        <v>2.0761559365193478</v>
      </c>
      <c r="H104" s="253">
        <f>(H156/Population_Tables!U22)*Population_Tables!I22</f>
        <v>9.8796202090669336</v>
      </c>
      <c r="I104" s="253">
        <f>(I156/Population_Tables!V22)*Population_Tables!J22</f>
        <v>3.5720832804426754</v>
      </c>
      <c r="J104" s="253">
        <f>(J156/Population_Tables!W22)*Population_Tables!K22</f>
        <v>4.1335248807646492</v>
      </c>
      <c r="K104" s="253">
        <f>(K156/Population_Tables!X22)*Population_Tables!L22</f>
        <v>4.7231633514826026</v>
      </c>
      <c r="L104" s="170"/>
      <c r="M104" s="170"/>
      <c r="N104" s="195">
        <f t="shared" si="9"/>
        <v>12.248227713131017</v>
      </c>
      <c r="O104" s="195">
        <f t="shared" si="11"/>
        <v>9.8796202090669336</v>
      </c>
      <c r="P104" s="195">
        <f t="shared" si="10"/>
        <v>15.346268808433608</v>
      </c>
      <c r="Q104" s="195">
        <f t="shared" si="12"/>
        <v>37.474116730631557</v>
      </c>
      <c r="R104" s="196">
        <f t="shared" si="13"/>
        <v>0.32684500080876477</v>
      </c>
      <c r="S104" s="170"/>
      <c r="T104" s="170"/>
      <c r="U104" s="195">
        <f t="shared" si="18"/>
        <v>0.44811248288232086</v>
      </c>
      <c r="V104" s="195">
        <f t="shared" si="14"/>
        <v>0.24957034009712409</v>
      </c>
      <c r="W104" s="195">
        <f t="shared" si="14"/>
        <v>0.43656326278876811</v>
      </c>
      <c r="X104" s="195">
        <f t="shared" si="17"/>
        <v>1.1342460857682131</v>
      </c>
      <c r="Y104" s="207">
        <f t="shared" si="16"/>
        <v>0.39507518562765764</v>
      </c>
      <c r="AC104" s="251">
        <f t="shared" si="15"/>
        <v>1.2048633230056927</v>
      </c>
    </row>
    <row r="105" spans="1:29" ht="15.6" x14ac:dyDescent="0.3">
      <c r="A105" s="206">
        <v>2034</v>
      </c>
      <c r="B105" s="253">
        <f>(B157/Population_Tables!O23)*Population_Tables!C23</f>
        <v>44.270680208466707</v>
      </c>
      <c r="C105" s="253">
        <f>(C157/Population_Tables!P23)*Population_Tables!D23</f>
        <v>11.202267271606987</v>
      </c>
      <c r="D105" s="253">
        <f>(D157/Population_Tables!Q23)*Population_Tables!E23</f>
        <v>2.1626966021093526</v>
      </c>
      <c r="E105" s="253">
        <f>(E157/Population_Tables!R23)*Population_Tables!F23</f>
        <v>16.641615018210022</v>
      </c>
      <c r="F105" s="253">
        <f>(F157/Population_Tables!S23)*Population_Tables!G23</f>
        <v>5.8129389006073877</v>
      </c>
      <c r="G105" s="253">
        <f>(G157/Population_Tables!T23)*Population_Tables!H23</f>
        <v>2.1080818907422816</v>
      </c>
      <c r="H105" s="253">
        <f>(H157/Population_Tables!U23)*Population_Tables!I23</f>
        <v>9.951334481497927</v>
      </c>
      <c r="I105" s="253">
        <f>(I157/Population_Tables!V23)*Population_Tables!J23</f>
        <v>3.63423207931893</v>
      </c>
      <c r="J105" s="253">
        <f>(J157/Population_Tables!W23)*Population_Tables!K23</f>
        <v>4.1500538110069254</v>
      </c>
      <c r="K105" s="253">
        <f>(K157/Population_Tables!X23)*Population_Tables!L23</f>
        <v>4.7661488713983413</v>
      </c>
      <c r="L105" s="170"/>
      <c r="M105" s="170"/>
      <c r="N105" s="195">
        <f t="shared" si="9"/>
        <v>12.503219437319483</v>
      </c>
      <c r="O105" s="195">
        <f t="shared" si="11"/>
        <v>9.951334481497927</v>
      </c>
      <c r="P105" s="195">
        <f t="shared" si="10"/>
        <v>15.473045764458622</v>
      </c>
      <c r="Q105" s="195">
        <f t="shared" si="12"/>
        <v>37.927599683276028</v>
      </c>
      <c r="R105" s="196">
        <f t="shared" si="13"/>
        <v>0.32966018260398144</v>
      </c>
      <c r="S105" s="170"/>
      <c r="T105" s="170"/>
      <c r="U105" s="195">
        <f t="shared" si="18"/>
        <v>0.50165168362976864</v>
      </c>
      <c r="V105" s="195">
        <f t="shared" si="14"/>
        <v>0.2770606595275904</v>
      </c>
      <c r="W105" s="195">
        <f t="shared" si="14"/>
        <v>0.4850781502415078</v>
      </c>
      <c r="X105" s="195">
        <f t="shared" si="17"/>
        <v>1.2637904933988668</v>
      </c>
      <c r="Y105" s="207">
        <f t="shared" si="16"/>
        <v>0.3969421247034508</v>
      </c>
      <c r="AC105" s="251">
        <f t="shared" si="15"/>
        <v>1.2032249384280742</v>
      </c>
    </row>
    <row r="106" spans="1:29" ht="15.6" x14ac:dyDescent="0.3">
      <c r="A106" s="206">
        <v>2035</v>
      </c>
      <c r="B106" s="253">
        <f>(B158/Population_Tables!O24)*Population_Tables!C24</f>
        <v>44.767417801662809</v>
      </c>
      <c r="C106" s="253">
        <f>(C158/Population_Tables!P24)*Population_Tables!D24</f>
        <v>11.286833968713466</v>
      </c>
      <c r="D106" s="253">
        <f>(D158/Population_Tables!Q24)*Population_Tables!E24</f>
        <v>2.1729841550357394</v>
      </c>
      <c r="E106" s="253">
        <f>(E158/Population_Tables!R24)*Population_Tables!F24</f>
        <v>16.84254405487733</v>
      </c>
      <c r="F106" s="253">
        <f>(F158/Population_Tables!S24)*Population_Tables!G24</f>
        <v>5.9405434245260551</v>
      </c>
      <c r="G106" s="253">
        <f>(G158/Population_Tables!T24)*Population_Tables!H24</f>
        <v>2.1402456134004813</v>
      </c>
      <c r="H106" s="253">
        <f>(H158/Population_Tables!U24)*Population_Tables!I24</f>
        <v>10.022914599813499</v>
      </c>
      <c r="I106" s="253">
        <f>(I158/Population_Tables!V24)*Population_Tables!J24</f>
        <v>3.6965731969709532</v>
      </c>
      <c r="J106" s="253">
        <f>(J158/Population_Tables!W24)*Population_Tables!K24</f>
        <v>4.1663371379783545</v>
      </c>
      <c r="K106" s="253">
        <f>(K158/Population_Tables!X24)*Population_Tables!L24</f>
        <v>4.8090938539403183</v>
      </c>
      <c r="L106" s="170"/>
      <c r="M106" s="170"/>
      <c r="N106" s="195">
        <f t="shared" si="9"/>
        <v>12.760172879589886</v>
      </c>
      <c r="O106" s="195">
        <f t="shared" si="11"/>
        <v>10.022914599813499</v>
      </c>
      <c r="P106" s="195">
        <f t="shared" si="10"/>
        <v>15.600063737149686</v>
      </c>
      <c r="Q106" s="195">
        <f t="shared" si="12"/>
        <v>38.383151216553067</v>
      </c>
      <c r="R106" s="196">
        <f t="shared" si="13"/>
        <v>0.33244203446451137</v>
      </c>
      <c r="S106" s="170"/>
      <c r="T106" s="170"/>
      <c r="U106" s="195">
        <f t="shared" si="18"/>
        <v>0.55591356238688228</v>
      </c>
      <c r="V106" s="195">
        <f t="shared" si="14"/>
        <v>0.30477345487392604</v>
      </c>
      <c r="W106" s="195">
        <f t="shared" si="14"/>
        <v>0.53391736080099506</v>
      </c>
      <c r="X106" s="195">
        <f t="shared" si="17"/>
        <v>1.3946043780618034</v>
      </c>
      <c r="Y106" s="207">
        <f t="shared" si="16"/>
        <v>0.39861739367223353</v>
      </c>
      <c r="AC106" s="251">
        <f t="shared" si="15"/>
        <v>1.2013675505540318</v>
      </c>
    </row>
    <row r="107" spans="1:29" ht="15.6" x14ac:dyDescent="0.3">
      <c r="A107" s="206">
        <v>2036</v>
      </c>
      <c r="B107" s="253">
        <f>(B159/Population_Tables!O25)*Population_Tables!C25</f>
        <v>45.258299205761674</v>
      </c>
      <c r="C107" s="253">
        <f>(C159/Population_Tables!P25)*Population_Tables!D25</f>
        <v>11.371245177504315</v>
      </c>
      <c r="D107" s="253">
        <f>(D159/Population_Tables!Q25)*Population_Tables!E25</f>
        <v>2.1831300486226652</v>
      </c>
      <c r="E107" s="253">
        <f>(E159/Population_Tables!R25)*Population_Tables!F25</f>
        <v>17.043869980642675</v>
      </c>
      <c r="F107" s="253">
        <f>(F159/Population_Tables!S25)*Population_Tables!G25</f>
        <v>6.0688209510492204</v>
      </c>
      <c r="G107" s="253">
        <f>(G159/Population_Tables!T25)*Population_Tables!H25</f>
        <v>2.1725591358948373</v>
      </c>
      <c r="H107" s="253">
        <f>(H159/Population_Tables!U25)*Population_Tables!I25</f>
        <v>10.094090551193572</v>
      </c>
      <c r="I107" s="253">
        <f>(I159/Population_Tables!V25)*Population_Tables!J25</f>
        <v>3.7589747045254827</v>
      </c>
      <c r="J107" s="253">
        <f>(J159/Population_Tables!W25)*Population_Tables!K25</f>
        <v>4.1823145938931816</v>
      </c>
      <c r="K107" s="253">
        <f>(K159/Population_Tables!X25)*Population_Tables!L25</f>
        <v>4.851870072583762</v>
      </c>
      <c r="L107" s="170"/>
      <c r="M107" s="170"/>
      <c r="N107" s="195">
        <f t="shared" si="9"/>
        <v>13.018600380498322</v>
      </c>
      <c r="O107" s="195">
        <f t="shared" si="11"/>
        <v>10.094090551193572</v>
      </c>
      <c r="P107" s="195">
        <f t="shared" si="10"/>
        <v>15.726934362021819</v>
      </c>
      <c r="Q107" s="195">
        <f t="shared" si="12"/>
        <v>38.839625293713716</v>
      </c>
      <c r="R107" s="196">
        <f t="shared" si="13"/>
        <v>0.33518861940734052</v>
      </c>
      <c r="S107" s="170"/>
      <c r="T107" s="170"/>
      <c r="U107" s="195">
        <f t="shared" si="18"/>
        <v>0.61067039104548293</v>
      </c>
      <c r="V107" s="195">
        <f t="shared" si="14"/>
        <v>0.33256454091531573</v>
      </c>
      <c r="W107" s="195">
        <f t="shared" si="14"/>
        <v>0.58281232267256833</v>
      </c>
      <c r="X107" s="195">
        <f t="shared" si="17"/>
        <v>1.526047254633367</v>
      </c>
      <c r="Y107" s="207">
        <f t="shared" si="16"/>
        <v>0.40016479777501812</v>
      </c>
      <c r="AC107" s="251">
        <f t="shared" si="15"/>
        <v>1.1993474900290211</v>
      </c>
    </row>
    <row r="108" spans="1:29" ht="15.6" x14ac:dyDescent="0.3">
      <c r="A108" s="206">
        <v>2037</v>
      </c>
      <c r="B108" s="253">
        <f>(B160/Population_Tables!O26)*Population_Tables!C26</f>
        <v>45.743648658559579</v>
      </c>
      <c r="C108" s="253">
        <f>(C160/Population_Tables!P26)*Population_Tables!D26</f>
        <v>11.455416875996256</v>
      </c>
      <c r="D108" s="253">
        <f>(D160/Population_Tables!Q26)*Population_Tables!E26</f>
        <v>2.1931763536149864</v>
      </c>
      <c r="E108" s="253">
        <f>(E160/Population_Tables!R26)*Population_Tables!F26</f>
        <v>17.245392898985319</v>
      </c>
      <c r="F108" s="253">
        <f>(F160/Population_Tables!S26)*Population_Tables!G26</f>
        <v>6.1977870138523494</v>
      </c>
      <c r="G108" s="253">
        <f>(G160/Population_Tables!T26)*Population_Tables!H26</f>
        <v>2.2049871412280635</v>
      </c>
      <c r="H108" s="253">
        <f>(H160/Population_Tables!U26)*Population_Tables!I26</f>
        <v>10.16477316040762</v>
      </c>
      <c r="I108" s="253">
        <f>(I160/Population_Tables!V26)*Population_Tables!J26</f>
        <v>3.8214107649227378</v>
      </c>
      <c r="J108" s="253">
        <f>(J160/Population_Tables!W26)*Population_Tables!K26</f>
        <v>4.1980003667484249</v>
      </c>
      <c r="K108" s="253">
        <f>(K160/Population_Tables!X26)*Population_Tables!L26</f>
        <v>4.8944546559434849</v>
      </c>
      <c r="L108" s="170"/>
      <c r="M108" s="170"/>
      <c r="N108" s="195">
        <f t="shared" si="9"/>
        <v>13.278406752430048</v>
      </c>
      <c r="O108" s="195">
        <f t="shared" si="11"/>
        <v>10.16477316040762</v>
      </c>
      <c r="P108" s="195">
        <f t="shared" si="10"/>
        <v>15.853580370839307</v>
      </c>
      <c r="Q108" s="195">
        <f t="shared" si="12"/>
        <v>39.296760283676974</v>
      </c>
      <c r="R108" s="196">
        <f t="shared" si="13"/>
        <v>0.33790080038597003</v>
      </c>
      <c r="S108" s="170"/>
      <c r="T108" s="170"/>
      <c r="U108" s="195">
        <f t="shared" si="18"/>
        <v>0.66608691332655745</v>
      </c>
      <c r="V108" s="195">
        <f t="shared" si="14"/>
        <v>0.36047057002049421</v>
      </c>
      <c r="W108" s="195">
        <f t="shared" si="14"/>
        <v>0.63180556031083057</v>
      </c>
      <c r="X108" s="195">
        <f t="shared" si="17"/>
        <v>1.6583630436578822</v>
      </c>
      <c r="Y108" s="207">
        <f t="shared" si="16"/>
        <v>0.40165325431840132</v>
      </c>
      <c r="AC108" s="251">
        <f t="shared" si="15"/>
        <v>1.1972251676335286</v>
      </c>
    </row>
    <row r="109" spans="1:29" ht="15.6" x14ac:dyDescent="0.3">
      <c r="A109" s="206">
        <v>2038</v>
      </c>
      <c r="B109" s="253">
        <f>(B161/Population_Tables!O27)*Population_Tables!C27</f>
        <v>46.224203344305835</v>
      </c>
      <c r="C109" s="253">
        <f>(C161/Population_Tables!P27)*Population_Tables!D27</f>
        <v>11.539350077634596</v>
      </c>
      <c r="D109" s="253">
        <f>(D161/Population_Tables!Q27)*Population_Tables!E27</f>
        <v>2.2031851589367148</v>
      </c>
      <c r="E109" s="253">
        <f>(E161/Population_Tables!R27)*Population_Tables!F27</f>
        <v>17.447062111881845</v>
      </c>
      <c r="F109" s="253">
        <f>(F161/Population_Tables!S27)*Population_Tables!G27</f>
        <v>6.3275096430612159</v>
      </c>
      <c r="G109" s="253">
        <f>(G161/Population_Tables!T27)*Population_Tables!H27</f>
        <v>2.2375243579986783</v>
      </c>
      <c r="H109" s="253">
        <f>(H161/Population_Tables!U27)*Population_Tables!I27</f>
        <v>10.234946174736431</v>
      </c>
      <c r="I109" s="253">
        <f>(I161/Population_Tables!V27)*Population_Tables!J27</f>
        <v>3.8838792167022937</v>
      </c>
      <c r="J109" s="253">
        <f>(J161/Population_Tables!W27)*Population_Tables!K27</f>
        <v>4.2134414354429204</v>
      </c>
      <c r="K109" s="253">
        <f>(K161/Population_Tables!X27)*Population_Tables!L27</f>
        <v>4.9368574669307375</v>
      </c>
      <c r="L109" s="170"/>
      <c r="M109" s="170"/>
      <c r="N109" s="195">
        <f t="shared" si="9"/>
        <v>13.53962558020663</v>
      </c>
      <c r="O109" s="195">
        <f t="shared" si="11"/>
        <v>10.234946174736431</v>
      </c>
      <c r="P109" s="195">
        <f t="shared" si="10"/>
        <v>15.980059594569989</v>
      </c>
      <c r="Q109" s="195">
        <f t="shared" si="12"/>
        <v>39.754631349513048</v>
      </c>
      <c r="R109" s="196">
        <f t="shared" si="13"/>
        <v>0.34057982983591362</v>
      </c>
      <c r="S109" s="170"/>
      <c r="T109" s="170"/>
      <c r="U109" s="195">
        <f t="shared" si="18"/>
        <v>0.72245664538739263</v>
      </c>
      <c r="V109" s="195">
        <f t="shared" si="14"/>
        <v>0.38860111706950917</v>
      </c>
      <c r="W109" s="195">
        <f t="shared" si="14"/>
        <v>0.68107469737394588</v>
      </c>
      <c r="X109" s="195">
        <f t="shared" si="17"/>
        <v>1.7921324598308477</v>
      </c>
      <c r="Y109" s="207">
        <f t="shared" si="16"/>
        <v>0.40312681209712725</v>
      </c>
      <c r="AC109" s="251">
        <f t="shared" si="15"/>
        <v>1.1950504570441229</v>
      </c>
    </row>
    <row r="110" spans="1:29" ht="15.6" x14ac:dyDescent="0.3">
      <c r="A110" s="206">
        <v>2039</v>
      </c>
      <c r="B110" s="253">
        <f>(B162/Population_Tables!O28)*Population_Tables!C28</f>
        <v>46.70125167896466</v>
      </c>
      <c r="C110" s="253">
        <f>(C162/Population_Tables!P28)*Population_Tables!D28</f>
        <v>11.6231598233089</v>
      </c>
      <c r="D110" s="253">
        <f>(D162/Population_Tables!Q28)*Population_Tables!E28</f>
        <v>2.2132434449435725</v>
      </c>
      <c r="E110" s="253">
        <f>(E162/Population_Tables!R28)*Population_Tables!F28</f>
        <v>17.649045414447215</v>
      </c>
      <c r="F110" s="253">
        <f>(F162/Population_Tables!S28)*Population_Tables!G28</f>
        <v>6.4581296002485864</v>
      </c>
      <c r="G110" s="253">
        <f>(G162/Population_Tables!T28)*Population_Tables!H28</f>
        <v>2.2701941651241011</v>
      </c>
      <c r="H110" s="253">
        <f>(H162/Population_Tables!U28)*Population_Tables!I28</f>
        <v>10.304692727211654</v>
      </c>
      <c r="I110" s="253">
        <f>(I162/Population_Tables!V28)*Population_Tables!J28</f>
        <v>3.9464303301875505</v>
      </c>
      <c r="J110" s="253">
        <f>(J162/Population_Tables!W28)*Population_Tables!K28</f>
        <v>4.2287265403345682</v>
      </c>
      <c r="K110" s="253">
        <f>(K162/Population_Tables!X28)*Population_Tables!L28</f>
        <v>4.9791406310860209</v>
      </c>
      <c r="L110" s="170"/>
      <c r="M110" s="170"/>
      <c r="N110" s="195">
        <f t="shared" si="9"/>
        <v>13.802482287484148</v>
      </c>
      <c r="O110" s="195">
        <f t="shared" si="11"/>
        <v>10.304692727211654</v>
      </c>
      <c r="P110" s="195">
        <f t="shared" si="10"/>
        <v>16.106597433376571</v>
      </c>
      <c r="Q110" s="195">
        <f t="shared" si="12"/>
        <v>40.213772448072369</v>
      </c>
      <c r="R110" s="196">
        <f t="shared" si="13"/>
        <v>0.34322774132437217</v>
      </c>
      <c r="S110" s="170"/>
      <c r="T110" s="170"/>
      <c r="U110" s="195">
        <f t="shared" si="18"/>
        <v>0.78026494221979092</v>
      </c>
      <c r="V110" s="195">
        <f t="shared" si="14"/>
        <v>0.41716514269327476</v>
      </c>
      <c r="W110" s="195">
        <f t="shared" si="14"/>
        <v>0.73096492671493785</v>
      </c>
      <c r="X110" s="195">
        <f t="shared" si="17"/>
        <v>1.9283950116280035</v>
      </c>
      <c r="Y110" s="207">
        <f t="shared" si="16"/>
        <v>0.4046188345825838</v>
      </c>
      <c r="AC110" s="251">
        <f t="shared" si="15"/>
        <v>1.1928643111994348</v>
      </c>
    </row>
    <row r="111" spans="1:29" ht="15.6" x14ac:dyDescent="0.3">
      <c r="A111" s="206">
        <v>2040</v>
      </c>
      <c r="B111" s="253">
        <f>(B163/Population_Tables!O29)*Population_Tables!C29</f>
        <v>47.175861693107535</v>
      </c>
      <c r="C111" s="253">
        <f>(C163/Population_Tables!P29)*Population_Tables!D29</f>
        <v>11.706914548574193</v>
      </c>
      <c r="D111" s="253">
        <f>(D163/Population_Tables!Q29)*Population_Tables!E29</f>
        <v>2.2234273352204657</v>
      </c>
      <c r="E111" s="253">
        <f>(E163/Population_Tables!R29)*Population_Tables!F29</f>
        <v>17.851435419315195</v>
      </c>
      <c r="F111" s="253">
        <f>(F163/Population_Tables!S29)*Population_Tables!G29</f>
        <v>6.5897538399784246</v>
      </c>
      <c r="G111" s="253">
        <f>(G163/Population_Tables!T29)*Population_Tables!H29</f>
        <v>2.3030087168329221</v>
      </c>
      <c r="H111" s="253">
        <f>(H163/Population_Tables!U29)*Population_Tables!I29</f>
        <v>10.374060786329297</v>
      </c>
      <c r="I111" s="253">
        <f>(I163/Population_Tables!V29)*Population_Tables!J29</f>
        <v>4.0091031533206616</v>
      </c>
      <c r="J111" s="253">
        <f>(J163/Population_Tables!W29)*Population_Tables!K29</f>
        <v>4.2439258463219849</v>
      </c>
      <c r="K111" s="253">
        <f>(K163/Population_Tables!X29)*Population_Tables!L29</f>
        <v>5.0213470656855943</v>
      </c>
      <c r="L111" s="170"/>
      <c r="M111" s="170"/>
      <c r="N111" s="195">
        <f t="shared" si="9"/>
        <v>14.067128472964322</v>
      </c>
      <c r="O111" s="195">
        <f t="shared" si="11"/>
        <v>10.374060786329297</v>
      </c>
      <c r="P111" s="195">
        <f t="shared" si="10"/>
        <v>16.233350600627581</v>
      </c>
      <c r="Q111" s="195">
        <f t="shared" si="12"/>
        <v>40.674539859921197</v>
      </c>
      <c r="R111" s="196">
        <f>N111/Q111</f>
        <v>0.34584603836724453</v>
      </c>
      <c r="S111" s="170"/>
      <c r="T111" s="170"/>
      <c r="U111" s="195">
        <f t="shared" si="18"/>
        <v>0.83992333386120066</v>
      </c>
      <c r="V111" s="195">
        <f t="shared" si="14"/>
        <v>0.44633644298705732</v>
      </c>
      <c r="W111" s="195">
        <f t="shared" si="14"/>
        <v>0.7817527543926559</v>
      </c>
      <c r="X111" s="195">
        <f t="shared" si="17"/>
        <v>2.0680125312409139</v>
      </c>
      <c r="Y111" s="207">
        <f t="shared" si="16"/>
        <v>0.40615002142042317</v>
      </c>
      <c r="AC111" s="251">
        <f t="shared" si="15"/>
        <v>1.1906971464139837</v>
      </c>
    </row>
    <row r="112" spans="1:29" ht="15.6" x14ac:dyDescent="0.3">
      <c r="A112" s="206">
        <v>2041</v>
      </c>
      <c r="B112" s="253">
        <f>(B164/Population_Tables!O30)*Population_Tables!C30</f>
        <v>47.64825571082369</v>
      </c>
      <c r="C112" s="253">
        <f>(C164/Population_Tables!P30)*Population_Tables!D30</f>
        <v>11.79054038098413</v>
      </c>
      <c r="D112" s="253">
        <f>(D164/Population_Tables!Q30)*Population_Tables!E30</f>
        <v>2.2337783987601187</v>
      </c>
      <c r="E112" s="253">
        <f>(E164/Population_Tables!R30)*Population_Tables!F30</f>
        <v>18.05399209031086</v>
      </c>
      <c r="F112" s="253">
        <f>(F164/Population_Tables!S30)*Population_Tables!G30</f>
        <v>6.7223694742212796</v>
      </c>
      <c r="G112" s="253">
        <f>(G164/Population_Tables!T30)*Population_Tables!H30</f>
        <v>2.3359330800907623</v>
      </c>
      <c r="H112" s="253">
        <f>(H164/Population_Tables!U30)*Population_Tables!I30</f>
        <v>10.442947731270571</v>
      </c>
      <c r="I112" s="253">
        <f>(I164/Population_Tables!V30)*Population_Tables!J30</f>
        <v>4.0718607002902978</v>
      </c>
      <c r="J112" s="253">
        <f>(J164/Population_Tables!W30)*Population_Tables!K30</f>
        <v>4.2590577750016481</v>
      </c>
      <c r="K112" s="253">
        <f>(K164/Population_Tables!X30)*Population_Tables!L30</f>
        <v>5.0634520095863502</v>
      </c>
      <c r="L112" s="170"/>
      <c r="M112" s="170"/>
      <c r="N112" s="195">
        <f t="shared" si="9"/>
        <v>14.333413833261567</v>
      </c>
      <c r="O112" s="195">
        <f t="shared" si="11"/>
        <v>10.442947731270571</v>
      </c>
      <c r="P112" s="195">
        <f t="shared" si="10"/>
        <v>16.36025185983501</v>
      </c>
      <c r="Q112" s="195">
        <f t="shared" si="12"/>
        <v>41.136613424367148</v>
      </c>
      <c r="R112" s="196">
        <f t="shared" si="13"/>
        <v>0.34843446361024977</v>
      </c>
      <c r="S112" s="170"/>
      <c r="T112" s="170"/>
      <c r="U112" s="195">
        <f t="shared" si="18"/>
        <v>0.90154144826176719</v>
      </c>
      <c r="V112" s="195">
        <f t="shared" si="14"/>
        <v>0.47613822473132927</v>
      </c>
      <c r="W112" s="195">
        <f t="shared" si="14"/>
        <v>0.83349073660940931</v>
      </c>
      <c r="X112" s="195">
        <f t="shared" si="17"/>
        <v>2.2111704096025058</v>
      </c>
      <c r="Y112" s="207">
        <f t="shared" si="16"/>
        <v>0.40772137884381066</v>
      </c>
      <c r="AC112" s="251">
        <f t="shared" si="15"/>
        <v>1.1885561262818478</v>
      </c>
    </row>
    <row r="113" spans="1:29" ht="15.6" x14ac:dyDescent="0.3">
      <c r="A113" s="206">
        <v>2042</v>
      </c>
      <c r="B113" s="253">
        <f>(B165/Population_Tables!O31)*Population_Tables!C31</f>
        <v>48.118439952072009</v>
      </c>
      <c r="C113" s="253">
        <f>(C165/Population_Tables!P31)*Population_Tables!D31</f>
        <v>11.87389345881699</v>
      </c>
      <c r="D113" s="253">
        <f>(D165/Population_Tables!Q31)*Population_Tables!E31</f>
        <v>2.2443247452303501</v>
      </c>
      <c r="E113" s="253">
        <f>(E165/Population_Tables!R31)*Population_Tables!F31</f>
        <v>18.256408082250449</v>
      </c>
      <c r="F113" s="253">
        <f>(F165/Population_Tables!S31)*Population_Tables!G31</f>
        <v>6.8559307355717589</v>
      </c>
      <c r="G113" s="253">
        <f>(G165/Population_Tables!T31)*Population_Tables!H31</f>
        <v>2.3689155321994453</v>
      </c>
      <c r="H113" s="253">
        <f>(H165/Population_Tables!U31)*Population_Tables!I31</f>
        <v>10.511211479817131</v>
      </c>
      <c r="I113" s="253">
        <f>(I165/Population_Tables!V31)*Population_Tables!J31</f>
        <v>4.1346639907056151</v>
      </c>
      <c r="J113" s="253">
        <f>(J165/Population_Tables!W31)*Population_Tables!K31</f>
        <v>4.2741141872086841</v>
      </c>
      <c r="K113" s="253">
        <f>(K165/Population_Tables!X31)*Population_Tables!L31</f>
        <v>5.1054043134772948</v>
      </c>
      <c r="L113" s="170"/>
      <c r="M113" s="170"/>
      <c r="N113" s="195">
        <f t="shared" si="9"/>
        <v>14.601127338005075</v>
      </c>
      <c r="O113" s="195">
        <f t="shared" si="11"/>
        <v>10.511211479817131</v>
      </c>
      <c r="P113" s="195">
        <f t="shared" si="10"/>
        <v>16.487133736246786</v>
      </c>
      <c r="Q113" s="195">
        <f t="shared" si="12"/>
        <v>41.599472554068996</v>
      </c>
      <c r="R113" s="196">
        <f t="shared" si="13"/>
        <v>0.35099308817022212</v>
      </c>
      <c r="S113" s="170"/>
      <c r="T113" s="170"/>
      <c r="U113" s="195">
        <f t="shared" si="18"/>
        <v>0.9651681863863999</v>
      </c>
      <c r="V113" s="195">
        <f t="shared" si="14"/>
        <v>0.506554233307007</v>
      </c>
      <c r="W113" s="195">
        <f t="shared" si="14"/>
        <v>0.88613119130345019</v>
      </c>
      <c r="X113" s="195">
        <f t="shared" si="17"/>
        <v>2.3578536109968571</v>
      </c>
      <c r="Y113" s="207">
        <f t="shared" si="16"/>
        <v>0.40934186154938795</v>
      </c>
      <c r="AC113" s="251">
        <f t="shared" si="15"/>
        <v>1.1864563367486129</v>
      </c>
    </row>
    <row r="114" spans="1:29" ht="15.6" x14ac:dyDescent="0.3">
      <c r="A114" s="206">
        <v>2043</v>
      </c>
      <c r="B114" s="253">
        <f>(B166/Population_Tables!O32)*Population_Tables!C32</f>
        <v>48.587086453249363</v>
      </c>
      <c r="C114" s="253">
        <f>(C166/Population_Tables!P32)*Population_Tables!D32</f>
        <v>11.956923304204608</v>
      </c>
      <c r="D114" s="253">
        <f>(D166/Population_Tables!Q32)*Population_Tables!E32</f>
        <v>2.2551155233146734</v>
      </c>
      <c r="E114" s="253">
        <f>(E166/Population_Tables!R32)*Population_Tables!F32</f>
        <v>18.458664451932204</v>
      </c>
      <c r="F114" s="253">
        <f>(F166/Population_Tables!S32)*Population_Tables!G32</f>
        <v>6.9904818337136083</v>
      </c>
      <c r="G114" s="253">
        <f>(G166/Population_Tables!T32)*Population_Tables!H32</f>
        <v>2.4019339761157243</v>
      </c>
      <c r="H114" s="253">
        <f>(H166/Population_Tables!U32)*Population_Tables!I32</f>
        <v>10.578833022291573</v>
      </c>
      <c r="I114" s="253">
        <f>(I166/Population_Tables!V32)*Population_Tables!J32</f>
        <v>4.1975595859653012</v>
      </c>
      <c r="J114" s="253">
        <f>(J166/Population_Tables!W32)*Population_Tables!K32</f>
        <v>4.2891189055347052</v>
      </c>
      <c r="K114" s="253">
        <f>(K166/Population_Tables!X32)*Population_Tables!L32</f>
        <v>5.1471982077929335</v>
      </c>
      <c r="L114" s="170"/>
      <c r="M114" s="170"/>
      <c r="N114" s="195">
        <f t="shared" si="9"/>
        <v>14.870313263354241</v>
      </c>
      <c r="O114" s="195">
        <f t="shared" si="11"/>
        <v>10.578833022291573</v>
      </c>
      <c r="P114" s="195">
        <f t="shared" si="10"/>
        <v>16.613972803635004</v>
      </c>
      <c r="Q114" s="195">
        <f t="shared" si="12"/>
        <v>42.063119089280818</v>
      </c>
      <c r="R114" s="196">
        <f t="shared" si="13"/>
        <v>0.35352378961225744</v>
      </c>
      <c r="S114" s="170"/>
      <c r="T114" s="170"/>
      <c r="U114" s="195">
        <f t="shared" si="18"/>
        <v>1.0311077557302255</v>
      </c>
      <c r="V114" s="195">
        <f t="shared" si="14"/>
        <v>0.53769128663594756</v>
      </c>
      <c r="W114" s="195">
        <f t="shared" si="14"/>
        <v>0.93977048493719195</v>
      </c>
      <c r="X114" s="195">
        <f t="shared" si="17"/>
        <v>2.508569527303365</v>
      </c>
      <c r="Y114" s="207">
        <f t="shared" si="16"/>
        <v>0.41103415492678591</v>
      </c>
      <c r="AC114" s="251">
        <f t="shared" si="15"/>
        <v>1.1844277336843925</v>
      </c>
    </row>
    <row r="115" spans="1:29" ht="15.6" x14ac:dyDescent="0.3">
      <c r="A115" s="206">
        <v>2044</v>
      </c>
      <c r="B115" s="253">
        <f>(B167/Population_Tables!O33)*Population_Tables!C33</f>
        <v>49.05496979306367</v>
      </c>
      <c r="C115" s="253">
        <f>(C167/Population_Tables!P33)*Population_Tables!D33</f>
        <v>12.039580510170079</v>
      </c>
      <c r="D115" s="253">
        <f>(D167/Population_Tables!Q33)*Population_Tables!E33</f>
        <v>2.2662003062885234</v>
      </c>
      <c r="E115" s="253">
        <f>(E167/Population_Tables!R33)*Population_Tables!F33</f>
        <v>18.660803827469973</v>
      </c>
      <c r="F115" s="253">
        <f>(F167/Population_Tables!S33)*Population_Tables!G33</f>
        <v>7.1260768022770788</v>
      </c>
      <c r="G115" s="253">
        <f>(G167/Population_Tables!T33)*Population_Tables!H33</f>
        <v>2.4349683730733087</v>
      </c>
      <c r="H115" s="253">
        <f>(H167/Population_Tables!U33)*Population_Tables!I33</f>
        <v>10.645816889364482</v>
      </c>
      <c r="I115" s="253">
        <f>(I167/Population_Tables!V33)*Population_Tables!J33</f>
        <v>4.2606191907444444</v>
      </c>
      <c r="J115" s="253">
        <f>(J167/Population_Tables!W33)*Population_Tables!K33</f>
        <v>4.3040951281344899</v>
      </c>
      <c r="K115" s="253">
        <f>(K167/Population_Tables!X33)*Population_Tables!L33</f>
        <v>5.1888323582735421</v>
      </c>
      <c r="L115" s="170"/>
      <c r="M115" s="170"/>
      <c r="N115" s="195">
        <f t="shared" si="9"/>
        <v>15.14106374038257</v>
      </c>
      <c r="O115" s="195">
        <f t="shared" si="11"/>
        <v>10.645816889364482</v>
      </c>
      <c r="P115" s="195">
        <f t="shared" si="10"/>
        <v>16.740749189531911</v>
      </c>
      <c r="Q115" s="195">
        <f t="shared" si="12"/>
        <v>42.527629819278964</v>
      </c>
      <c r="R115" s="196">
        <f t="shared" si="13"/>
        <v>0.35602886416958751</v>
      </c>
      <c r="S115" s="170"/>
      <c r="T115" s="170"/>
      <c r="U115" s="195">
        <f t="shared" si="18"/>
        <v>1.0997122187024697</v>
      </c>
      <c r="V115" s="195">
        <f t="shared" si="14"/>
        <v>0.56967974298799895</v>
      </c>
      <c r="W115" s="195">
        <f t="shared" si="14"/>
        <v>0.99450853773319992</v>
      </c>
      <c r="X115" s="195">
        <f t="shared" si="17"/>
        <v>2.6639004994236686</v>
      </c>
      <c r="Y115" s="207">
        <f t="shared" si="16"/>
        <v>0.41282030576607159</v>
      </c>
      <c r="AC115" s="251">
        <f t="shared" si="15"/>
        <v>1.1824997226203136</v>
      </c>
    </row>
    <row r="116" spans="1:29" ht="15.6" x14ac:dyDescent="0.3">
      <c r="A116" s="206">
        <v>2045</v>
      </c>
      <c r="B116" s="253">
        <f>(B168/Population_Tables!O34)*Population_Tables!C34</f>
        <v>49.522768005260033</v>
      </c>
      <c r="C116" s="253">
        <f>(C168/Population_Tables!P34)*Population_Tables!D34</f>
        <v>12.121828366832441</v>
      </c>
      <c r="D116" s="253">
        <f>(D168/Population_Tables!Q34)*Population_Tables!E34</f>
        <v>2.2776293771082932</v>
      </c>
      <c r="E116" s="253">
        <f>(E168/Population_Tables!R34)*Population_Tables!F34</f>
        <v>18.862817666274132</v>
      </c>
      <c r="F116" s="253">
        <f>(F168/Population_Tables!S34)*Population_Tables!G34</f>
        <v>7.2627545363330075</v>
      </c>
      <c r="G116" s="253">
        <f>(G168/Population_Tables!T34)*Population_Tables!H34</f>
        <v>2.4679963260755295</v>
      </c>
      <c r="H116" s="253">
        <f>(H168/Population_Tables!U34)*Population_Tables!I34</f>
        <v>10.712149606826371</v>
      </c>
      <c r="I116" s="253">
        <f>(I168/Population_Tables!V34)*Population_Tables!J34</f>
        <v>4.3238982684982759</v>
      </c>
      <c r="J116" s="253">
        <f>(J168/Population_Tables!W34)*Population_Tables!K34</f>
        <v>4.3190702586149348</v>
      </c>
      <c r="K116" s="253">
        <f>(K168/Population_Tables!X34)*Population_Tables!L34</f>
        <v>5.2303086138055939</v>
      </c>
      <c r="L116" s="170"/>
      <c r="M116" s="170"/>
      <c r="N116" s="195">
        <f t="shared" si="9"/>
        <v>15.413422595780768</v>
      </c>
      <c r="O116" s="195">
        <f t="shared" si="11"/>
        <v>10.712149606826371</v>
      </c>
      <c r="P116" s="195">
        <f t="shared" si="10"/>
        <v>16.867454070016262</v>
      </c>
      <c r="Q116" s="195">
        <f t="shared" si="12"/>
        <v>42.993026272623403</v>
      </c>
      <c r="R116" s="196">
        <f t="shared" si="13"/>
        <v>0.35850983129316361</v>
      </c>
      <c r="S116" s="170"/>
      <c r="T116" s="170"/>
      <c r="U116" s="195">
        <f t="shared" si="18"/>
        <v>1.1712853333295623</v>
      </c>
      <c r="V116" s="195">
        <f t="shared" si="14"/>
        <v>0.6026319557529316</v>
      </c>
      <c r="W116" s="195">
        <f t="shared" si="14"/>
        <v>1.0504563184605562</v>
      </c>
      <c r="X116" s="195">
        <f t="shared" si="17"/>
        <v>2.8243736075430501</v>
      </c>
      <c r="Y116" s="207">
        <f t="shared" si="16"/>
        <v>0.41470623086174307</v>
      </c>
      <c r="AC116" s="251">
        <f t="shared" si="15"/>
        <v>1.1806848880264298</v>
      </c>
    </row>
    <row r="117" spans="1:29" ht="15.6" x14ac:dyDescent="0.3">
      <c r="A117" s="206">
        <v>2046</v>
      </c>
      <c r="B117" s="253">
        <f>(B169/Population_Tables!O35)*Population_Tables!C35</f>
        <v>49.990862937036958</v>
      </c>
      <c r="C117" s="253">
        <f>(C169/Population_Tables!P35)*Population_Tables!D35</f>
        <v>12.203612132810433</v>
      </c>
      <c r="D117" s="253">
        <f>(D169/Population_Tables!Q35)*Population_Tables!E35</f>
        <v>2.289450368380098</v>
      </c>
      <c r="E117" s="253">
        <f>(E169/Population_Tables!R35)*Population_Tables!F35</f>
        <v>19.064543185593436</v>
      </c>
      <c r="F117" s="253">
        <f>(F169/Population_Tables!S35)*Population_Tables!G35</f>
        <v>7.4005176360696172</v>
      </c>
      <c r="G117" s="253">
        <f>(G169/Population_Tables!T35)*Population_Tables!H35</f>
        <v>2.5009858950989239</v>
      </c>
      <c r="H117" s="253">
        <f>(H169/Population_Tables!U35)*Population_Tables!I35</f>
        <v>10.777773222025385</v>
      </c>
      <c r="I117" s="253">
        <f>(I169/Population_Tables!V35)*Population_Tables!J35</f>
        <v>4.3873911591809005</v>
      </c>
      <c r="J117" s="253">
        <f>(J169/Population_Tables!W35)*Population_Tables!K35</f>
        <v>4.3340691379146312</v>
      </c>
      <c r="K117" s="253">
        <f>(K169/Population_Tables!X35)*Population_Tables!L35</f>
        <v>5.2716131134557722</v>
      </c>
      <c r="L117" s="170"/>
      <c r="M117" s="170"/>
      <c r="N117" s="195">
        <f t="shared" si="9"/>
        <v>15.687287599637667</v>
      </c>
      <c r="O117" s="195">
        <f t="shared" si="11"/>
        <v>10.777773222025385</v>
      </c>
      <c r="P117" s="195">
        <f t="shared" si="10"/>
        <v>16.994048396289454</v>
      </c>
      <c r="Q117" s="195">
        <f t="shared" si="12"/>
        <v>43.459109217952502</v>
      </c>
      <c r="R117" s="196">
        <f t="shared" si="13"/>
        <v>0.36096661624986581</v>
      </c>
      <c r="S117" s="170"/>
      <c r="T117" s="170"/>
      <c r="U117" s="195">
        <f t="shared" si="18"/>
        <v>1.2459848010360606</v>
      </c>
      <c r="V117" s="195">
        <f t="shared" si="14"/>
        <v>0.63661579987815564</v>
      </c>
      <c r="W117" s="195">
        <f t="shared" si="14"/>
        <v>1.107694571010974</v>
      </c>
      <c r="X117" s="195">
        <f t="shared" si="17"/>
        <v>2.9902951719251902</v>
      </c>
      <c r="Y117" s="207">
        <f t="shared" si="16"/>
        <v>0.41667619060959782</v>
      </c>
      <c r="AC117" s="251">
        <f t="shared" si="15"/>
        <v>1.1789812942355544</v>
      </c>
    </row>
    <row r="118" spans="1:29" ht="15.6" x14ac:dyDescent="0.3">
      <c r="A118" s="206">
        <v>2047</v>
      </c>
      <c r="B118" s="253">
        <f>(B170/Population_Tables!O36)*Population_Tables!C36</f>
        <v>50.459565856493789</v>
      </c>
      <c r="C118" s="253">
        <f>(C170/Population_Tables!P36)*Population_Tables!D36</f>
        <v>12.284908495059517</v>
      </c>
      <c r="D118" s="253">
        <f>(D170/Population_Tables!Q36)*Population_Tables!E36</f>
        <v>2.3017111599738671</v>
      </c>
      <c r="E118" s="253">
        <f>(E170/Population_Tables!R36)*Population_Tables!F36</f>
        <v>19.265775947479895</v>
      </c>
      <c r="F118" s="253">
        <f>(F170/Population_Tables!S36)*Population_Tables!G36</f>
        <v>7.539352301566085</v>
      </c>
      <c r="G118" s="253">
        <f>(G170/Population_Tables!T36)*Population_Tables!H36</f>
        <v>2.5339043118008058</v>
      </c>
      <c r="H118" s="253">
        <f>(H170/Population_Tables!U36)*Population_Tables!I36</f>
        <v>10.84260054559484</v>
      </c>
      <c r="I118" s="253">
        <f>(I170/Population_Tables!V36)*Population_Tables!J36</f>
        <v>4.4510835003582212</v>
      </c>
      <c r="J118" s="253">
        <f>(J170/Population_Tables!W36)*Population_Tables!K36</f>
        <v>4.3491246468641087</v>
      </c>
      <c r="K118" s="253">
        <f>(K170/Population_Tables!X36)*Population_Tables!L36</f>
        <v>5.3127476555856976</v>
      </c>
      <c r="L118" s="170"/>
      <c r="M118" s="170"/>
      <c r="N118" s="195">
        <f t="shared" si="9"/>
        <v>15.962527703451139</v>
      </c>
      <c r="O118" s="195">
        <f t="shared" si="11"/>
        <v>10.84260054559484</v>
      </c>
      <c r="P118" s="195">
        <f t="shared" si="10"/>
        <v>17.120523966834192</v>
      </c>
      <c r="Q118" s="195">
        <f t="shared" si="12"/>
        <v>43.92565221588017</v>
      </c>
      <c r="R118" s="196">
        <f t="shared" si="13"/>
        <v>0.36339876355166117</v>
      </c>
      <c r="S118" s="170"/>
      <c r="T118" s="170"/>
      <c r="U118" s="195">
        <f t="shared" si="18"/>
        <v>1.32393950465557</v>
      </c>
      <c r="V118" s="195">
        <f t="shared" si="14"/>
        <v>0.67166991359624717</v>
      </c>
      <c r="W118" s="195">
        <f t="shared" si="14"/>
        <v>1.1663348865574772</v>
      </c>
      <c r="X118" s="195">
        <f t="shared" si="17"/>
        <v>3.1619443048092943</v>
      </c>
      <c r="Y118" s="207">
        <f t="shared" si="16"/>
        <v>0.41871057078452256</v>
      </c>
      <c r="AC118" s="251">
        <f t="shared" si="15"/>
        <v>1.1773747469939042</v>
      </c>
    </row>
    <row r="119" spans="1:29" ht="15.6" x14ac:dyDescent="0.3">
      <c r="A119" s="206">
        <v>2048</v>
      </c>
      <c r="B119" s="253">
        <f>(B171/Population_Tables!O37)*Population_Tables!C37</f>
        <v>50.929385005249273</v>
      </c>
      <c r="C119" s="253">
        <f>(C171/Population_Tables!P37)*Population_Tables!D37</f>
        <v>12.365757703991573</v>
      </c>
      <c r="D119" s="253">
        <f>(D171/Population_Tables!Q37)*Population_Tables!E37</f>
        <v>2.3144609233718501</v>
      </c>
      <c r="E119" s="253">
        <f>(E171/Population_Tables!R37)*Population_Tables!F37</f>
        <v>19.466413978376426</v>
      </c>
      <c r="F119" s="253">
        <f>(F171/Population_Tables!S37)*Population_Tables!G37</f>
        <v>7.6792580376628337</v>
      </c>
      <c r="G119" s="253">
        <f>(G171/Population_Tables!T37)*Population_Tables!H37</f>
        <v>2.5667242562473169</v>
      </c>
      <c r="H119" s="253">
        <f>(H171/Population_Tables!U37)*Population_Tables!I37</f>
        <v>10.906553821405808</v>
      </c>
      <c r="I119" s="253">
        <f>(I171/Population_Tables!V37)*Population_Tables!J37</f>
        <v>4.515011579477985</v>
      </c>
      <c r="J119" s="253">
        <f>(J171/Population_Tables!W37)*Population_Tables!K37</f>
        <v>4.3642830557834724</v>
      </c>
      <c r="K119" s="253">
        <f>(K171/Population_Tables!X37)*Population_Tables!L37</f>
        <v>5.3537501068586337</v>
      </c>
      <c r="L119" s="170"/>
      <c r="M119" s="170"/>
      <c r="N119" s="195">
        <f t="shared" si="9"/>
        <v>16.239118194633452</v>
      </c>
      <c r="O119" s="195">
        <f t="shared" si="11"/>
        <v>10.906553821405808</v>
      </c>
      <c r="P119" s="195">
        <f t="shared" si="10"/>
        <v>17.246942883610739</v>
      </c>
      <c r="Q119" s="195">
        <f t="shared" si="12"/>
        <v>44.392614899649999</v>
      </c>
      <c r="R119" s="196">
        <f t="shared" si="13"/>
        <v>0.36580675031966825</v>
      </c>
      <c r="S119" s="170"/>
      <c r="T119" s="170"/>
      <c r="U119" s="195">
        <f t="shared" si="18"/>
        <v>1.4053846629360738</v>
      </c>
      <c r="V119" s="195">
        <f t="shared" si="14"/>
        <v>0.70784236837753944</v>
      </c>
      <c r="W119" s="195">
        <f t="shared" si="14"/>
        <v>1.2265591597506535</v>
      </c>
      <c r="X119" s="195">
        <f t="shared" si="17"/>
        <v>3.3397861910642668</v>
      </c>
      <c r="Y119" s="207">
        <f t="shared" si="16"/>
        <v>0.42080078859426312</v>
      </c>
      <c r="AC119" s="251">
        <f t="shared" si="15"/>
        <v>1.1758469450875371</v>
      </c>
    </row>
    <row r="120" spans="1:29" ht="15.6" x14ac:dyDescent="0.3">
      <c r="A120" s="206">
        <v>2049</v>
      </c>
      <c r="B120" s="253">
        <f>(B172/Population_Tables!O38)*Population_Tables!C38</f>
        <v>51.400838654077091</v>
      </c>
      <c r="C120" s="253">
        <f>(C172/Population_Tables!P38)*Population_Tables!D38</f>
        <v>12.446232037925673</v>
      </c>
      <c r="D120" s="253">
        <f>(D172/Population_Tables!Q38)*Population_Tables!E38</f>
        <v>2.3277508332518853</v>
      </c>
      <c r="E120" s="253">
        <f>(E172/Population_Tables!R38)*Population_Tables!F38</f>
        <v>19.66635704117709</v>
      </c>
      <c r="F120" s="253">
        <f>(F172/Population_Tables!S38)*Population_Tables!G38</f>
        <v>7.8202289943597787</v>
      </c>
      <c r="G120" s="253">
        <f>(G172/Population_Tables!T38)*Population_Tables!H38</f>
        <v>2.5994196489889605</v>
      </c>
      <c r="H120" s="253">
        <f>(H172/Population_Tables!U38)*Population_Tables!I38</f>
        <v>10.969543524429959</v>
      </c>
      <c r="I120" s="253">
        <f>(I172/Population_Tables!V38)*Population_Tables!J38</f>
        <v>4.579219641127839</v>
      </c>
      <c r="J120" s="253">
        <f>(J172/Population_Tables!W38)*Population_Tables!K38</f>
        <v>4.3795995891352568</v>
      </c>
      <c r="K120" s="253">
        <f>(K172/Population_Tables!X38)*Population_Tables!L38</f>
        <v>5.3946728208821764</v>
      </c>
      <c r="L120" s="170"/>
      <c r="M120" s="170"/>
      <c r="N120" s="195">
        <f t="shared" si="9"/>
        <v>16.517042511106908</v>
      </c>
      <c r="O120" s="195">
        <f t="shared" si="11"/>
        <v>10.969543524429959</v>
      </c>
      <c r="P120" s="195">
        <f t="shared" si="10"/>
        <v>17.373402520166518</v>
      </c>
      <c r="Q120" s="195">
        <f t="shared" si="12"/>
        <v>44.859988555703389</v>
      </c>
      <c r="R120" s="196">
        <f t="shared" si="13"/>
        <v>0.36819096577783167</v>
      </c>
      <c r="S120" s="170"/>
      <c r="T120" s="170"/>
      <c r="U120" s="195">
        <f t="shared" si="18"/>
        <v>1.4905636451356017</v>
      </c>
      <c r="V120" s="195">
        <f t="shared" si="14"/>
        <v>0.74516946679296225</v>
      </c>
      <c r="W120" s="195">
        <f t="shared" si="14"/>
        <v>1.2885845568282441</v>
      </c>
      <c r="X120" s="195">
        <f t="shared" si="17"/>
        <v>3.5243176687568081</v>
      </c>
      <c r="Y120" s="207">
        <f t="shared" si="16"/>
        <v>0.42293680230630099</v>
      </c>
      <c r="AC120" s="251">
        <f t="shared" si="15"/>
        <v>1.1743755172191233</v>
      </c>
    </row>
    <row r="121" spans="1:29" ht="16.2" thickBot="1" x14ac:dyDescent="0.35">
      <c r="A121" s="208">
        <v>2050</v>
      </c>
      <c r="B121" s="253">
        <f>(B173/Population_Tables!O39)*Population_Tables!C39</f>
        <v>51.874336541396957</v>
      </c>
      <c r="C121" s="253">
        <f>(C173/Population_Tables!P39)*Population_Tables!D39</f>
        <v>12.526374614341435</v>
      </c>
      <c r="D121" s="253">
        <f>(D173/Population_Tables!Q39)*Population_Tables!E39</f>
        <v>2.34163097899012</v>
      </c>
      <c r="E121" s="253">
        <f>(E173/Population_Tables!R39)*Population_Tables!F39</f>
        <v>19.865447215762714</v>
      </c>
      <c r="F121" s="253">
        <f>(F173/Population_Tables!S39)*Population_Tables!G39</f>
        <v>7.9622500676395882</v>
      </c>
      <c r="G121" s="253">
        <f>(G173/Population_Tables!T39)*Population_Tables!H39</f>
        <v>2.6319598995863522</v>
      </c>
      <c r="H121" s="253">
        <f>(H173/Population_Tables!U39)*Population_Tables!I39</f>
        <v>11.031475564050924</v>
      </c>
      <c r="I121" s="253">
        <f>(I173/Population_Tables!V39)*Population_Tables!J39</f>
        <v>4.6437270153035337</v>
      </c>
      <c r="J121" s="253">
        <f>(J173/Population_Tables!W39)*Population_Tables!K39</f>
        <v>4.3951226326494268</v>
      </c>
      <c r="K121" s="253">
        <f>(K173/Population_Tables!X39)*Population_Tables!L39</f>
        <v>5.435552181053307</v>
      </c>
      <c r="L121" s="209"/>
      <c r="M121" s="209"/>
      <c r="N121" s="195">
        <f t="shared" si="9"/>
        <v>16.796221719351379</v>
      </c>
      <c r="O121" s="195">
        <f t="shared" si="11"/>
        <v>11.031475564050924</v>
      </c>
      <c r="P121" s="195">
        <f t="shared" si="10"/>
        <v>17.499965492917909</v>
      </c>
      <c r="Q121" s="195">
        <f t="shared" si="12"/>
        <v>45.32766277632021</v>
      </c>
      <c r="R121" s="210">
        <f t="shared" si="13"/>
        <v>0.37055124157263974</v>
      </c>
      <c r="S121" s="209"/>
      <c r="T121" s="209"/>
      <c r="U121" s="211">
        <f t="shared" si="18"/>
        <v>1.579657449069753</v>
      </c>
      <c r="V121" s="195">
        <f t="shared" si="14"/>
        <v>0.78368294582540976</v>
      </c>
      <c r="W121" s="211">
        <f t="shared" si="14"/>
        <v>1.35259348689695</v>
      </c>
      <c r="X121" s="195">
        <f t="shared" si="17"/>
        <v>3.7159338817921128</v>
      </c>
      <c r="Y121" s="212">
        <f t="shared" si="16"/>
        <v>0.42510375569651393</v>
      </c>
      <c r="AC121" s="251">
        <f t="shared" si="15"/>
        <v>1.1729455469881074</v>
      </c>
    </row>
    <row r="122" spans="1:29" ht="15.6" x14ac:dyDescent="0.3">
      <c r="A122" s="213">
        <v>2051</v>
      </c>
      <c r="B122" s="253">
        <f>(B174/Population_Tables!O40)*Population_Tables!C40</f>
        <v>52.350138491348289</v>
      </c>
      <c r="C122" s="253">
        <f>(C174/Population_Tables!P40)*Population_Tables!D40</f>
        <v>12.606151654912681</v>
      </c>
      <c r="D122" s="253">
        <f>(D174/Population_Tables!Q40)*Population_Tables!E40</f>
        <v>2.35615108439494</v>
      </c>
      <c r="E122" s="253">
        <f>(E174/Population_Tables!R40)*Population_Tables!F40</f>
        <v>20.063455037906301</v>
      </c>
      <c r="F122" s="253">
        <f>(F174/Population_Tables!S40)*Population_Tables!G40</f>
        <v>8.1052956896495427</v>
      </c>
      <c r="G122" s="253">
        <f>(G174/Population_Tables!T40)*Population_Tables!H40</f>
        <v>2.6643059086741809</v>
      </c>
      <c r="H122" s="253">
        <f>(H174/Population_Tables!U40)*Population_Tables!I40</f>
        <v>11.092261826510457</v>
      </c>
      <c r="I122" s="253">
        <f>(I174/Population_Tables!V40)*Population_Tables!J40</f>
        <v>4.7085180344998099</v>
      </c>
      <c r="J122" s="253">
        <f>(J174/Population_Tables!W40)*Population_Tables!K40</f>
        <v>4.4108852774459422</v>
      </c>
      <c r="K122" s="253">
        <f>(K174/Population_Tables!X40)*Population_Tables!L40</f>
        <v>5.4763832675849278</v>
      </c>
      <c r="N122" s="195">
        <f t="shared" si="9"/>
        <v>17.076488901045387</v>
      </c>
      <c r="O122" s="195">
        <f t="shared" si="11"/>
        <v>11.092261826510457</v>
      </c>
      <c r="P122" s="195">
        <f t="shared" si="10"/>
        <v>17.626608647981801</v>
      </c>
      <c r="Q122" s="195">
        <f t="shared" si="12"/>
        <v>45.79535937553765</v>
      </c>
      <c r="R122" s="214">
        <f t="shared" si="13"/>
        <v>0.3728868849136508</v>
      </c>
      <c r="U122" s="215">
        <f t="shared" si="18"/>
        <v>1.6727590877527696</v>
      </c>
      <c r="V122" s="195">
        <f t="shared" si="14"/>
        <v>0.82342051931589744</v>
      </c>
      <c r="W122" s="215">
        <f t="shared" si="14"/>
        <v>1.4186825887639785</v>
      </c>
      <c r="X122" s="195">
        <f t="shared" si="17"/>
        <v>3.9148621958326455</v>
      </c>
      <c r="Y122" s="214">
        <f t="shared" si="16"/>
        <v>0.42728428334806129</v>
      </c>
      <c r="AC122" s="251">
        <f t="shared" si="15"/>
        <v>1.1715570377952877</v>
      </c>
    </row>
    <row r="123" spans="1:29" ht="15.6" x14ac:dyDescent="0.3">
      <c r="A123" s="194">
        <v>2052</v>
      </c>
      <c r="B123" s="253">
        <f>(B175/Population_Tables!O41)*Population_Tables!C41</f>
        <v>52.828348657390187</v>
      </c>
      <c r="C123" s="253">
        <f>(C175/Population_Tables!P41)*Population_Tables!D41</f>
        <v>12.685503518560051</v>
      </c>
      <c r="D123" s="253">
        <f>(D175/Population_Tables!Q41)*Population_Tables!E41</f>
        <v>2.3713591036447204</v>
      </c>
      <c r="E123" s="253">
        <f>(E175/Population_Tables!R41)*Population_Tables!F41</f>
        <v>20.260058076250154</v>
      </c>
      <c r="F123" s="253">
        <f>(F175/Population_Tables!S41)*Population_Tables!G41</f>
        <v>8.2493267422640297</v>
      </c>
      <c r="G123" s="253">
        <f>(G175/Population_Tables!T41)*Population_Tables!H41</f>
        <v>2.696412554334727</v>
      </c>
      <c r="H123" s="253">
        <f>(H175/Population_Tables!U41)*Population_Tables!I41</f>
        <v>11.151802167852393</v>
      </c>
      <c r="I123" s="253">
        <f>(I175/Population_Tables!V41)*Population_Tables!J41</f>
        <v>4.7735371846101069</v>
      </c>
      <c r="J123" s="253">
        <f>(J175/Population_Tables!W41)*Population_Tables!K41</f>
        <v>4.4269125195228654</v>
      </c>
      <c r="K123" s="253">
        <f>(K175/Population_Tables!X41)*Population_Tables!L41</f>
        <v>5.5171438802153654</v>
      </c>
      <c r="N123" s="195">
        <f t="shared" si="9"/>
        <v>17.35758265066179</v>
      </c>
      <c r="O123" s="195">
        <f t="shared" si="11"/>
        <v>11.151802167852393</v>
      </c>
      <c r="P123" s="195">
        <f t="shared" si="10"/>
        <v>17.7532751765395</v>
      </c>
      <c r="Q123" s="195">
        <f t="shared" si="12"/>
        <v>46.262659995053681</v>
      </c>
      <c r="R123" s="196">
        <f t="shared" si="13"/>
        <v>0.37519638197452615</v>
      </c>
      <c r="U123" s="195">
        <f t="shared" si="18"/>
        <v>1.7698670869932478</v>
      </c>
      <c r="V123" s="195">
        <f t="shared" si="14"/>
        <v>0.86440787090751847</v>
      </c>
      <c r="W123" s="195">
        <f t="shared" si="14"/>
        <v>1.4869148463009587</v>
      </c>
      <c r="X123" s="195">
        <f t="shared" si="17"/>
        <v>4.121189804201725</v>
      </c>
      <c r="Y123" s="196">
        <f t="shared" si="16"/>
        <v>0.42945536873569728</v>
      </c>
      <c r="AC123" s="251">
        <f t="shared" si="15"/>
        <v>1.170211890644161</v>
      </c>
    </row>
    <row r="124" spans="1:29" ht="15.6" x14ac:dyDescent="0.3">
      <c r="A124" s="194">
        <v>2053</v>
      </c>
      <c r="B124" s="253">
        <f>(B176/Population_Tables!O42)*Population_Tables!C42</f>
        <v>53.30899683801335</v>
      </c>
      <c r="C124" s="253">
        <f>(C176/Population_Tables!P42)*Population_Tables!D42</f>
        <v>12.764424876842392</v>
      </c>
      <c r="D124" s="253">
        <f>(D176/Population_Tables!Q42)*Population_Tables!E42</f>
        <v>2.387304101976087</v>
      </c>
      <c r="E124" s="253">
        <f>(E176/Population_Tables!R42)*Population_Tables!F42</f>
        <v>20.454869429576686</v>
      </c>
      <c r="F124" s="253">
        <f>(F176/Population_Tables!S42)*Population_Tables!G42</f>
        <v>8.3942914991573883</v>
      </c>
      <c r="G124" s="253">
        <f>(G176/Population_Tables!T42)*Population_Tables!H42</f>
        <v>2.7282325205876701</v>
      </c>
      <c r="H124" s="253">
        <f>(H176/Population_Tables!U42)*Population_Tables!I42</f>
        <v>11.20996778394348</v>
      </c>
      <c r="I124" s="253">
        <f>(I176/Population_Tables!V42)*Population_Tables!J42</f>
        <v>4.8387072655147891</v>
      </c>
      <c r="J124" s="253">
        <f>(J176/Population_Tables!W42)*Population_Tables!K42</f>
        <v>4.4432477600992346</v>
      </c>
      <c r="K124" s="253">
        <f>(K176/Population_Tables!X42)*Population_Tables!L42</f>
        <v>5.5578289148394395</v>
      </c>
      <c r="N124" s="195">
        <f t="shared" si="9"/>
        <v>17.639193144790593</v>
      </c>
      <c r="O124" s="195">
        <f t="shared" si="11"/>
        <v>11.20996778394348</v>
      </c>
      <c r="P124" s="195">
        <f t="shared" si="10"/>
        <v>17.87996149940615</v>
      </c>
      <c r="Q124" s="195">
        <f t="shared" si="12"/>
        <v>46.729122428140229</v>
      </c>
      <c r="R124" s="196">
        <f t="shared" si="13"/>
        <v>0.37747751783517958</v>
      </c>
      <c r="U124" s="195">
        <f t="shared" si="18"/>
        <v>1.8709315547168988</v>
      </c>
      <c r="V124" s="195">
        <f t="shared" si="14"/>
        <v>0.90664202406628469</v>
      </c>
      <c r="W124" s="195">
        <f t="shared" si="14"/>
        <v>1.557406473013355</v>
      </c>
      <c r="X124" s="195">
        <f t="shared" si="17"/>
        <v>4.3349800517965384</v>
      </c>
      <c r="Y124" s="196">
        <f t="shared" si="16"/>
        <v>0.43158942656299693</v>
      </c>
      <c r="AC124" s="251">
        <f t="shared" si="15"/>
        <v>1.1689005952395788</v>
      </c>
    </row>
    <row r="125" spans="1:29" ht="15.6" x14ac:dyDescent="0.3">
      <c r="A125" s="194">
        <v>2054</v>
      </c>
      <c r="B125" s="253">
        <f>(B177/Population_Tables!O43)*Population_Tables!C43</f>
        <v>53.792009825246538</v>
      </c>
      <c r="C125" s="253">
        <f>(C177/Population_Tables!P43)*Population_Tables!D43</f>
        <v>12.842905822073995</v>
      </c>
      <c r="D125" s="253">
        <f>(D177/Population_Tables!Q43)*Population_Tables!E43</f>
        <v>2.4040353956571376</v>
      </c>
      <c r="E125" s="253">
        <f>(E177/Population_Tables!R43)*Population_Tables!F43</f>
        <v>20.647433754858866</v>
      </c>
      <c r="F125" s="253">
        <f>(F177/Population_Tables!S43)*Population_Tables!G43</f>
        <v>8.5401278034139789</v>
      </c>
      <c r="G125" s="253">
        <f>(G177/Population_Tables!T43)*Population_Tables!H43</f>
        <v>2.7597122908473892</v>
      </c>
      <c r="H125" s="253">
        <f>(H177/Population_Tables!U43)*Population_Tables!I43</f>
        <v>11.266612329636875</v>
      </c>
      <c r="I125" s="253">
        <f>(I177/Population_Tables!V43)*Population_Tables!J43</f>
        <v>4.9039253481426766</v>
      </c>
      <c r="J125" s="253">
        <f>(J177/Population_Tables!W43)*Population_Tables!K43</f>
        <v>4.4599332686847655</v>
      </c>
      <c r="K125" s="253">
        <f>(K177/Population_Tables!X43)*Population_Tables!L43</f>
        <v>5.5984277526936257</v>
      </c>
      <c r="N125" s="195">
        <f t="shared" si="9"/>
        <v>17.920949228635973</v>
      </c>
      <c r="O125" s="195">
        <f t="shared" si="11"/>
        <v>11.266612329636875</v>
      </c>
      <c r="P125" s="195">
        <f t="shared" si="10"/>
        <v>18.006653508578523</v>
      </c>
      <c r="Q125" s="195">
        <f t="shared" si="12"/>
        <v>47.19421506685137</v>
      </c>
      <c r="R125" s="196">
        <f t="shared" si="13"/>
        <v>0.37972766796207241</v>
      </c>
      <c r="U125" s="195">
        <f t="shared" si="18"/>
        <v>1.9758412674636361</v>
      </c>
      <c r="V125" s="195">
        <f t="shared" si="14"/>
        <v>0.95010246124461517</v>
      </c>
      <c r="W125" s="195">
        <f t="shared" si="14"/>
        <v>1.6302631535882632</v>
      </c>
      <c r="X125" s="195">
        <f t="shared" si="17"/>
        <v>4.5562068822965145</v>
      </c>
      <c r="Y125" s="196">
        <f t="shared" si="16"/>
        <v>0.43365925176508474</v>
      </c>
      <c r="AC125" s="251">
        <f t="shared" si="15"/>
        <v>1.1676154393868812</v>
      </c>
    </row>
    <row r="126" spans="1:29" ht="15.6" x14ac:dyDescent="0.3">
      <c r="A126" s="194">
        <v>2055</v>
      </c>
      <c r="B126" s="253">
        <f>(B178/Population_Tables!O44)*Population_Tables!C44</f>
        <v>54.277289978656221</v>
      </c>
      <c r="C126" s="253">
        <f>(C178/Population_Tables!P44)*Population_Tables!D44</f>
        <v>12.920910972255866</v>
      </c>
      <c r="D126" s="253">
        <f>(D178/Population_Tables!Q44)*Population_Tables!E44</f>
        <v>2.4216022992479092</v>
      </c>
      <c r="E126" s="253">
        <f>(E178/Population_Tables!R44)*Population_Tables!F44</f>
        <v>20.837280421711633</v>
      </c>
      <c r="F126" s="253">
        <f>(F178/Population_Tables!S44)*Population_Tables!G44</f>
        <v>8.6867697303862901</v>
      </c>
      <c r="G126" s="253">
        <f>(G178/Population_Tables!T44)*Population_Tables!H44</f>
        <v>2.7907959138837786</v>
      </c>
      <c r="H126" s="253">
        <f>(H178/Population_Tables!U44)*Population_Tables!I44</f>
        <v>11.32158616289365</v>
      </c>
      <c r="I126" s="253">
        <f>(I178/Population_Tables!V44)*Population_Tables!J44</f>
        <v>4.9690850023594813</v>
      </c>
      <c r="J126" s="253">
        <f>(J178/Population_Tables!W44)*Population_Tables!K44</f>
        <v>4.4770060628333557</v>
      </c>
      <c r="K126" s="253">
        <f>(K178/Population_Tables!X44)*Population_Tables!L44</f>
        <v>5.6389181498795944</v>
      </c>
      <c r="N126" s="195">
        <f t="shared" si="9"/>
        <v>18.202463989204269</v>
      </c>
      <c r="O126" s="195">
        <f t="shared" si="11"/>
        <v>11.32158616289365</v>
      </c>
      <c r="P126" s="195">
        <f t="shared" si="10"/>
        <v>18.133309185387553</v>
      </c>
      <c r="Q126" s="195">
        <f t="shared" si="12"/>
        <v>47.657359337485474</v>
      </c>
      <c r="R126" s="196">
        <f t="shared" si="13"/>
        <v>0.38194445185902065</v>
      </c>
      <c r="U126" s="195">
        <f t="shared" si="18"/>
        <v>2.0844692435755263</v>
      </c>
      <c r="V126" s="195">
        <f t="shared" si="14"/>
        <v>0.99476536800284165</v>
      </c>
      <c r="W126" s="195">
        <f t="shared" si="14"/>
        <v>1.7055626620469297</v>
      </c>
      <c r="X126" s="195">
        <f t="shared" si="17"/>
        <v>4.7847972736252977</v>
      </c>
      <c r="Y126" s="196">
        <f t="shared" si="16"/>
        <v>0.43564421319697549</v>
      </c>
      <c r="AC126" s="251">
        <f t="shared" si="15"/>
        <v>1.1663561832698028</v>
      </c>
    </row>
    <row r="127" spans="1:29" ht="15.6" x14ac:dyDescent="0.3">
      <c r="A127" s="194">
        <v>2056</v>
      </c>
      <c r="B127" s="253">
        <f>(B179/Population_Tables!O45)*Population_Tables!C45</f>
        <v>54.764860708141541</v>
      </c>
      <c r="C127" s="253">
        <f>(C179/Population_Tables!P45)*Population_Tables!D45</f>
        <v>12.998370875870938</v>
      </c>
      <c r="D127" s="253">
        <f>(D179/Population_Tables!Q45)*Population_Tables!E45</f>
        <v>2.4400551666026375</v>
      </c>
      <c r="E127" s="253">
        <f>(E179/Population_Tables!R45)*Population_Tables!F45</f>
        <v>21.024012312778051</v>
      </c>
      <c r="F127" s="253">
        <f>(F179/Population_Tables!S45)*Population_Tables!G45</f>
        <v>8.8341630958398181</v>
      </c>
      <c r="G127" s="253">
        <f>(G179/Population_Tables!T45)*Population_Tables!H45</f>
        <v>2.8214296591266095</v>
      </c>
      <c r="H127" s="253">
        <f>(H179/Population_Tables!U45)*Population_Tables!I45</f>
        <v>11.374754944237404</v>
      </c>
      <c r="I127" s="253">
        <f>(I179/Population_Tables!V45)*Population_Tables!J45</f>
        <v>5.0341142250521802</v>
      </c>
      <c r="J127" s="253">
        <f>(J179/Population_Tables!W45)*Population_Tables!K45</f>
        <v>4.4944937257555715</v>
      </c>
      <c r="K127" s="253">
        <f>(K179/Population_Tables!X45)*Population_Tables!L45</f>
        <v>5.6792708913571808</v>
      </c>
      <c r="N127" s="195">
        <f t="shared" si="9"/>
        <v>18.483420464380465</v>
      </c>
      <c r="O127" s="195">
        <f t="shared" si="11"/>
        <v>11.374754944237404</v>
      </c>
      <c r="P127" s="195">
        <f t="shared" si="10"/>
        <v>18.259855701600188</v>
      </c>
      <c r="Q127" s="195">
        <f t="shared" si="12"/>
        <v>48.118031110218055</v>
      </c>
      <c r="R127" s="196">
        <f t="shared" si="13"/>
        <v>0.38412669924176174</v>
      </c>
      <c r="U127" s="195">
        <f t="shared" si="18"/>
        <v>2.1967584522732686</v>
      </c>
      <c r="V127" s="195">
        <f t="shared" si="14"/>
        <v>1.0406222324638232</v>
      </c>
      <c r="W127" s="195">
        <f t="shared" si="14"/>
        <v>1.7833519628466306</v>
      </c>
      <c r="X127" s="195">
        <f t="shared" si="17"/>
        <v>5.0207326475837224</v>
      </c>
      <c r="Y127" s="196">
        <f t="shared" si="16"/>
        <v>0.4375374285923152</v>
      </c>
      <c r="AC127" s="251">
        <f t="shared" si="15"/>
        <v>1.1651338038357113</v>
      </c>
    </row>
    <row r="128" spans="1:29" ht="15.6" x14ac:dyDescent="0.3">
      <c r="A128" s="194">
        <v>2057</v>
      </c>
      <c r="B128" s="253">
        <f>(B180/Population_Tables!O46)*Population_Tables!C46</f>
        <v>55.254644504318115</v>
      </c>
      <c r="C128" s="253">
        <f>(C180/Population_Tables!P46)*Population_Tables!D46</f>
        <v>13.075168762949563</v>
      </c>
      <c r="D128" s="253">
        <f>(D180/Population_Tables!Q46)*Population_Tables!E46</f>
        <v>2.45944428620402</v>
      </c>
      <c r="E128" s="253">
        <f>(E180/Population_Tables!R46)*Population_Tables!F46</f>
        <v>21.207176699572685</v>
      </c>
      <c r="F128" s="253">
        <f>(F180/Population_Tables!S46)*Population_Tables!G46</f>
        <v>8.9822433708122311</v>
      </c>
      <c r="G128" s="253">
        <f>(G180/Population_Tables!T46)*Population_Tables!H46</f>
        <v>2.8515534318991205</v>
      </c>
      <c r="H128" s="253">
        <f>(H180/Population_Tables!U46)*Population_Tables!I46</f>
        <v>11.42597739356977</v>
      </c>
      <c r="I128" s="253">
        <f>(I180/Population_Tables!V46)*Population_Tables!J46</f>
        <v>5.0989220353497773</v>
      </c>
      <c r="J128" s="253">
        <f>(J180/Population_Tables!W46)*Population_Tables!K46</f>
        <v>4.5124135297321128</v>
      </c>
      <c r="K128" s="253">
        <f>(K180/Population_Tables!X46)*Population_Tables!L46</f>
        <v>5.7194347495222919</v>
      </c>
      <c r="N128" s="195">
        <f t="shared" si="9"/>
        <v>18.763442676815146</v>
      </c>
      <c r="O128" s="195">
        <f t="shared" si="11"/>
        <v>11.42597739356977</v>
      </c>
      <c r="P128" s="195">
        <f t="shared" si="10"/>
        <v>18.386166481052705</v>
      </c>
      <c r="Q128" s="195">
        <f t="shared" si="12"/>
        <v>48.575586551437624</v>
      </c>
      <c r="R128" s="196">
        <f t="shared" si="13"/>
        <v>0.38627310566690071</v>
      </c>
      <c r="U128" s="195">
        <f t="shared" si="18"/>
        <v>2.3125928475431863</v>
      </c>
      <c r="V128" s="195">
        <f t="shared" si="14"/>
        <v>1.0876576021284556</v>
      </c>
      <c r="W128" s="195">
        <f t="shared" si="14"/>
        <v>1.8636242725139596</v>
      </c>
      <c r="X128" s="195">
        <f t="shared" si="17"/>
        <v>5.2638747221856015</v>
      </c>
      <c r="Y128" s="196">
        <f t="shared" si="16"/>
        <v>0.43933280512857265</v>
      </c>
      <c r="AC128" s="251">
        <f t="shared" si="15"/>
        <v>1.1639643115765128</v>
      </c>
    </row>
    <row r="129" spans="1:29" ht="15.6" x14ac:dyDescent="0.3">
      <c r="A129" s="194">
        <v>2058</v>
      </c>
      <c r="B129" s="253">
        <f>(B181/Population_Tables!O47)*Population_Tables!C47</f>
        <v>55.746273131489886</v>
      </c>
      <c r="C129" s="253">
        <f>(C181/Population_Tables!P47)*Population_Tables!D47</f>
        <v>13.151135784120891</v>
      </c>
      <c r="D129" s="253">
        <f>(D181/Population_Tables!Q47)*Population_Tables!E47</f>
        <v>2.4798124084076649</v>
      </c>
      <c r="E129" s="253">
        <f>(E181/Population_Tables!R47)*Population_Tables!F47</f>
        <v>21.38615041176892</v>
      </c>
      <c r="F129" s="253">
        <f>(F181/Population_Tables!S47)*Population_Tables!G47</f>
        <v>9.1309180467541005</v>
      </c>
      <c r="G129" s="253">
        <f>(G181/Population_Tables!T47)*Population_Tables!H47</f>
        <v>2.8810944914127248</v>
      </c>
      <c r="H129" s="253">
        <f>(H181/Population_Tables!U47)*Population_Tables!I47</f>
        <v>11.475078142053468</v>
      </c>
      <c r="I129" s="253">
        <f>(I181/Population_Tables!V47)*Population_Tables!J47</f>
        <v>5.1633510307964041</v>
      </c>
      <c r="J129" s="253">
        <f>(J181/Population_Tables!W47)*Population_Tables!K47</f>
        <v>4.5307663026766027</v>
      </c>
      <c r="K129" s="253">
        <f>(K181/Population_Tables!X47)*Population_Tables!L47</f>
        <v>5.7593307968961538</v>
      </c>
      <c r="N129" s="195">
        <f t="shared" si="9"/>
        <v>19.041990316469551</v>
      </c>
      <c r="O129" s="195">
        <f t="shared" si="11"/>
        <v>11.475078142053468</v>
      </c>
      <c r="P129" s="195">
        <f t="shared" si="10"/>
        <v>18.512042683941281</v>
      </c>
      <c r="Q129" s="195">
        <f t="shared" si="12"/>
        <v>49.029111142464302</v>
      </c>
      <c r="R129" s="196">
        <f t="shared" si="13"/>
        <v>0.38838130801798709</v>
      </c>
      <c r="U129" s="195">
        <f t="shared" si="18"/>
        <v>2.4316920506822335</v>
      </c>
      <c r="V129" s="195">
        <f t="shared" si="14"/>
        <v>1.1358219357587185</v>
      </c>
      <c r="W129" s="195">
        <f t="shared" si="14"/>
        <v>1.9463005439354149</v>
      </c>
      <c r="X129" s="195">
        <f t="shared" si="17"/>
        <v>5.5138145303763668</v>
      </c>
      <c r="Y129" s="196">
        <f t="shared" si="16"/>
        <v>0.44101810775203004</v>
      </c>
      <c r="AC129" s="251">
        <f t="shared" si="15"/>
        <v>1.1628647614646697</v>
      </c>
    </row>
    <row r="130" spans="1:29" ht="15.6" x14ac:dyDescent="0.3">
      <c r="A130" s="194">
        <v>2059</v>
      </c>
      <c r="B130" s="253">
        <f>(B182/Population_Tables!O48)*Population_Tables!C48</f>
        <v>56.239251674449712</v>
      </c>
      <c r="C130" s="253">
        <f>(C182/Population_Tables!P48)*Population_Tables!D48</f>
        <v>13.226064201228377</v>
      </c>
      <c r="D130" s="253">
        <f>(D182/Population_Tables!Q48)*Population_Tables!E48</f>
        <v>2.5012008096397804</v>
      </c>
      <c r="E130" s="253">
        <f>(E182/Population_Tables!R48)*Population_Tables!F48</f>
        <v>21.560230669839363</v>
      </c>
      <c r="F130" s="253">
        <f>(F182/Population_Tables!S48)*Population_Tables!G48</f>
        <v>9.280081722030852</v>
      </c>
      <c r="G130" s="253">
        <f>(G182/Population_Tables!T48)*Population_Tables!H48</f>
        <v>2.9099731905779156</v>
      </c>
      <c r="H130" s="253">
        <f>(H182/Population_Tables!U48)*Population_Tables!I48</f>
        <v>11.521863541743196</v>
      </c>
      <c r="I130" s="253">
        <f>(I182/Population_Tables!V48)*Population_Tables!J48</f>
        <v>5.2272158118817593</v>
      </c>
      <c r="J130" s="253">
        <f>(J182/Population_Tables!W48)*Population_Tables!K48</f>
        <v>4.5495442372751853</v>
      </c>
      <c r="K130" s="253">
        <f>(K182/Population_Tables!X48)*Population_Tables!L48</f>
        <v>5.798861135827666</v>
      </c>
      <c r="N130" s="195">
        <f t="shared" si="9"/>
        <v>19.31844885012702</v>
      </c>
      <c r="O130" s="195">
        <f t="shared" si="11"/>
        <v>11.521863541743196</v>
      </c>
      <c r="P130" s="195">
        <f t="shared" si="10"/>
        <v>18.637238201446074</v>
      </c>
      <c r="Q130" s="195">
        <f t="shared" si="12"/>
        <v>49.477550593316288</v>
      </c>
      <c r="R130" s="196">
        <f t="shared" si="13"/>
        <v>0.3904487715836254</v>
      </c>
      <c r="U130" s="195">
        <f t="shared" si="18"/>
        <v>2.5537014598094778</v>
      </c>
      <c r="V130" s="195">
        <f t="shared" si="14"/>
        <v>1.185047413008574</v>
      </c>
      <c r="W130" s="195">
        <f t="shared" si="14"/>
        <v>2.0312544609814758</v>
      </c>
      <c r="X130" s="195">
        <f t="shared" si="17"/>
        <v>5.7700033337995276</v>
      </c>
      <c r="Y130" s="196">
        <f t="shared" si="16"/>
        <v>0.44258231964103112</v>
      </c>
      <c r="AC130" s="251">
        <f t="shared" si="15"/>
        <v>1.1618546695497436</v>
      </c>
    </row>
    <row r="131" spans="1:29" ht="15.6" x14ac:dyDescent="0.3">
      <c r="A131" s="194">
        <v>2060</v>
      </c>
      <c r="B131" s="253">
        <f>(B183/Population_Tables!O49)*Population_Tables!C49</f>
        <v>56.733152160167428</v>
      </c>
      <c r="C131" s="253">
        <f>(C183/Population_Tables!P49)*Population_Tables!D49</f>
        <v>13.299742771678817</v>
      </c>
      <c r="D131" s="253">
        <f>(D183/Population_Tables!Q49)*Population_Tables!E49</f>
        <v>2.5236523374307147</v>
      </c>
      <c r="E131" s="253">
        <f>(E183/Population_Tables!R49)*Population_Tables!F49</f>
        <v>21.728739650126151</v>
      </c>
      <c r="F131" s="253">
        <f>(F183/Population_Tables!S49)*Population_Tables!G49</f>
        <v>9.4296353014914853</v>
      </c>
      <c r="G131" s="253">
        <f>(G183/Population_Tables!T49)*Population_Tables!H49</f>
        <v>2.9381100275280922</v>
      </c>
      <c r="H131" s="253">
        <f>(H183/Population_Tables!U49)*Population_Tables!I49</f>
        <v>11.566137679733103</v>
      </c>
      <c r="I131" s="253">
        <f>(I183/Population_Tables!V49)*Population_Tables!J49</f>
        <v>5.2903459569590119</v>
      </c>
      <c r="J131" s="253">
        <f>(J183/Population_Tables!W49)*Population_Tables!K49</f>
        <v>4.568738892860142</v>
      </c>
      <c r="K131" s="253">
        <f>(K183/Population_Tables!X49)*Population_Tables!L49</f>
        <v>5.8379296594223513</v>
      </c>
      <c r="N131" s="195">
        <f t="shared" si="9"/>
        <v>19.592237271884535</v>
      </c>
      <c r="O131" s="195">
        <f t="shared" si="11"/>
        <v>11.566137679733103</v>
      </c>
      <c r="P131" s="195">
        <f t="shared" si="10"/>
        <v>18.761505136637624</v>
      </c>
      <c r="Q131" s="195">
        <f t="shared" si="12"/>
        <v>49.919880088255262</v>
      </c>
      <c r="R131" s="196">
        <f>N131/Q131</f>
        <v>0.3924736445129009</v>
      </c>
      <c r="U131" s="195">
        <f t="shared" si="18"/>
        <v>2.6783000003576198</v>
      </c>
      <c r="V131" s="195">
        <f t="shared" si="14"/>
        <v>1.2352639485714327</v>
      </c>
      <c r="W131" s="195">
        <f t="shared" si="14"/>
        <v>2.1183579194130004</v>
      </c>
      <c r="X131" s="195">
        <f t="shared" si="17"/>
        <v>6.031921868342053</v>
      </c>
      <c r="Y131" s="196">
        <f t="shared" si="16"/>
        <v>0.44402100339104411</v>
      </c>
      <c r="AC131" s="251">
        <f t="shared" si="15"/>
        <v>1.1609547655375092</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35.45472209566551</v>
      </c>
      <c r="C137" s="229">
        <v>9.7943735518175075</v>
      </c>
      <c r="D137" s="229">
        <v>1.9645185842965271</v>
      </c>
      <c r="E137" s="229">
        <v>13.192665353446126</v>
      </c>
      <c r="F137" s="229">
        <v>3.5816663142033107</v>
      </c>
      <c r="G137" s="229">
        <v>1.5610525101865356</v>
      </c>
      <c r="H137" s="229">
        <v>8.6417044213682868</v>
      </c>
      <c r="I137" s="229">
        <v>2.5300727439549324</v>
      </c>
      <c r="J137" s="229">
        <v>3.8710853310135809</v>
      </c>
      <c r="K137" s="229">
        <v>4.0309506620726951</v>
      </c>
      <c r="N137" s="195">
        <f t="shared" ref="N137:N183" si="19">SUMIF($C$83:$G$83,"Y",C137:G137)-H137</f>
        <v>8.1326272462811477</v>
      </c>
      <c r="O137" s="195">
        <f>H137</f>
        <v>8.6417044213682868</v>
      </c>
      <c r="P137" s="195">
        <f t="shared" ref="P137:P183" si="20">SUMIF($C$83:$G$83,"N",C137:G137)-(IF($E$83="N",H137))</f>
        <v>13.31994464630057</v>
      </c>
      <c r="Q137" s="195">
        <f>N137+P137+O137</f>
        <v>30.094276313950004</v>
      </c>
      <c r="R137" s="196">
        <f>N137/Q137</f>
        <v>0.27023833905955469</v>
      </c>
      <c r="AC137" s="251"/>
    </row>
    <row r="138" spans="1:29" ht="15.6" x14ac:dyDescent="0.3">
      <c r="A138" s="194">
        <v>2015</v>
      </c>
      <c r="B138" s="229">
        <v>35.136866265059048</v>
      </c>
      <c r="C138" s="229">
        <v>10.017663025633121</v>
      </c>
      <c r="D138" s="229">
        <v>1.9511542632618777</v>
      </c>
      <c r="E138" s="229">
        <v>13.851511428280253</v>
      </c>
      <c r="F138" s="229">
        <v>3.7471343978821472</v>
      </c>
      <c r="G138" s="229">
        <v>1.654489288055526</v>
      </c>
      <c r="H138" s="229">
        <v>8.9164784427673069</v>
      </c>
      <c r="I138" s="229">
        <v>2.6707501717703717</v>
      </c>
      <c r="J138" s="229">
        <v>3.8807299629414511</v>
      </c>
      <c r="K138" s="229">
        <v>4.1175655043358903</v>
      </c>
      <c r="N138" s="195">
        <f t="shared" si="19"/>
        <v>8.6821673833950932</v>
      </c>
      <c r="O138" s="195">
        <f t="shared" ref="O138:O183" si="21">H138</f>
        <v>8.9164784427673069</v>
      </c>
      <c r="P138" s="195">
        <f t="shared" si="20"/>
        <v>13.623306576950524</v>
      </c>
      <c r="Q138" s="195">
        <f t="shared" ref="Q138:Q183" si="22">N138+P138+O138</f>
        <v>31.221952403112923</v>
      </c>
      <c r="R138" s="196">
        <f t="shared" ref="R138:R182" si="23">N138/Q138</f>
        <v>0.27807893853971333</v>
      </c>
      <c r="AC138" s="251"/>
    </row>
    <row r="139" spans="1:29" ht="15.6" x14ac:dyDescent="0.3">
      <c r="A139" s="194">
        <v>2016</v>
      </c>
      <c r="B139" s="229">
        <v>35.590448788015138</v>
      </c>
      <c r="C139" s="229">
        <v>10.050682713905339</v>
      </c>
      <c r="D139" s="229">
        <v>1.9641034298876612</v>
      </c>
      <c r="E139" s="229">
        <v>13.926901044571524</v>
      </c>
      <c r="F139" s="229">
        <v>3.8355730994121444</v>
      </c>
      <c r="G139" s="229">
        <v>1.6677974676174945</v>
      </c>
      <c r="H139" s="229">
        <v>8.9456052168574072</v>
      </c>
      <c r="I139" s="229">
        <v>2.7069120597509144</v>
      </c>
      <c r="J139" s="229">
        <v>3.8918123622255814</v>
      </c>
      <c r="K139" s="229">
        <v>4.1404158000030398</v>
      </c>
      <c r="N139" s="195">
        <f t="shared" si="19"/>
        <v>8.8168689271262597</v>
      </c>
      <c r="O139" s="195">
        <f t="shared" si="21"/>
        <v>8.9456052168574072</v>
      </c>
      <c r="P139" s="195">
        <f t="shared" si="20"/>
        <v>13.682583611410495</v>
      </c>
      <c r="Q139" s="195">
        <f t="shared" si="22"/>
        <v>31.44505775539416</v>
      </c>
      <c r="R139" s="196">
        <f t="shared" si="23"/>
        <v>0.28038965600607912</v>
      </c>
      <c r="AC139" s="251"/>
    </row>
    <row r="140" spans="1:29" ht="15.6" x14ac:dyDescent="0.3">
      <c r="A140" s="194">
        <v>2017</v>
      </c>
      <c r="B140" s="229">
        <v>36.038154830086064</v>
      </c>
      <c r="C140" s="229">
        <v>10.085595724596224</v>
      </c>
      <c r="D140" s="229">
        <v>1.976302368890678</v>
      </c>
      <c r="E140" s="229">
        <v>14.008647403500913</v>
      </c>
      <c r="F140" s="229">
        <v>3.9254811291747602</v>
      </c>
      <c r="G140" s="229">
        <v>1.6820355143686367</v>
      </c>
      <c r="H140" s="229">
        <v>8.9766402577029183</v>
      </c>
      <c r="I140" s="229">
        <v>2.744266292933347</v>
      </c>
      <c r="J140" s="229">
        <v>3.9025268581563557</v>
      </c>
      <c r="K140" s="229">
        <v>4.163828968424288</v>
      </c>
      <c r="N140" s="195">
        <f t="shared" si="19"/>
        <v>8.9574882749727536</v>
      </c>
      <c r="O140" s="195">
        <f t="shared" si="21"/>
        <v>8.9766402577029183</v>
      </c>
      <c r="P140" s="195">
        <f t="shared" si="20"/>
        <v>13.74393360785554</v>
      </c>
      <c r="Q140" s="195">
        <f t="shared" si="22"/>
        <v>31.67806214053121</v>
      </c>
      <c r="R140" s="196">
        <f t="shared" si="23"/>
        <v>0.28276629533824588</v>
      </c>
      <c r="AC140" s="251"/>
    </row>
    <row r="141" spans="1:29" ht="15.6" x14ac:dyDescent="0.3">
      <c r="A141" s="194">
        <v>2018</v>
      </c>
      <c r="B141" s="229">
        <v>36.479984391271813</v>
      </c>
      <c r="C141" s="229">
        <v>10.122298304475681</v>
      </c>
      <c r="D141" s="229">
        <v>1.9877818469641781</v>
      </c>
      <c r="E141" s="229">
        <v>14.096422857829056</v>
      </c>
      <c r="F141" s="229">
        <v>4.0168003754743644</v>
      </c>
      <c r="G141" s="229">
        <v>1.6971566221554775</v>
      </c>
      <c r="H141" s="229">
        <v>9.0094577377045777</v>
      </c>
      <c r="I141" s="229">
        <v>2.7827515176899409</v>
      </c>
      <c r="J141" s="229">
        <v>3.912879003262979</v>
      </c>
      <c r="K141" s="229">
        <v>4.1877683530625349</v>
      </c>
      <c r="N141" s="195">
        <f t="shared" si="19"/>
        <v>9.1037654955988447</v>
      </c>
      <c r="O141" s="195">
        <f t="shared" si="21"/>
        <v>9.0094577377045777</v>
      </c>
      <c r="P141" s="195">
        <f t="shared" si="20"/>
        <v>13.807236773595337</v>
      </c>
      <c r="Q141" s="195">
        <f t="shared" si="22"/>
        <v>31.920460006898757</v>
      </c>
      <c r="R141" s="196">
        <f t="shared" si="23"/>
        <v>0.28520157584293299</v>
      </c>
      <c r="AC141" s="251"/>
    </row>
    <row r="142" spans="1:29" ht="16.2" thickBot="1" x14ac:dyDescent="0.35">
      <c r="A142" s="198">
        <v>2019</v>
      </c>
      <c r="B142" s="230">
        <v>36.915937471572398</v>
      </c>
      <c r="C142" s="230">
        <v>10.160686700313617</v>
      </c>
      <c r="D142" s="230">
        <v>1.9985726308014102</v>
      </c>
      <c r="E142" s="230">
        <v>14.189899760316601</v>
      </c>
      <c r="F142" s="230">
        <v>4.1094727266153281</v>
      </c>
      <c r="G142" s="230">
        <v>1.7131139848245418</v>
      </c>
      <c r="H142" s="230">
        <v>9.0439318292631263</v>
      </c>
      <c r="I142" s="230">
        <v>2.8223063803929667</v>
      </c>
      <c r="J142" s="230">
        <v>3.9228743500746557</v>
      </c>
      <c r="K142" s="230">
        <v>4.2121972973806798</v>
      </c>
      <c r="N142" s="195">
        <f t="shared" si="19"/>
        <v>9.2554406576688031</v>
      </c>
      <c r="O142" s="195">
        <f t="shared" si="21"/>
        <v>9.0439318292631263</v>
      </c>
      <c r="P142" s="195">
        <f t="shared" si="20"/>
        <v>13.872373315939569</v>
      </c>
      <c r="Q142" s="195">
        <f t="shared" si="22"/>
        <v>32.171745802871499</v>
      </c>
      <c r="R142" s="199">
        <f t="shared" si="23"/>
        <v>0.28768848027024713</v>
      </c>
      <c r="AC142" s="251"/>
    </row>
    <row r="143" spans="1:29" ht="15.6" x14ac:dyDescent="0.3">
      <c r="A143" s="201">
        <v>2020</v>
      </c>
      <c r="B143" s="228">
        <v>37.346014070987813</v>
      </c>
      <c r="C143" s="228">
        <v>10.200657158879935</v>
      </c>
      <c r="D143" s="228">
        <v>2.0087054870956242</v>
      </c>
      <c r="E143" s="228">
        <v>14.288750463724192</v>
      </c>
      <c r="F143" s="228">
        <v>4.2034400709020217</v>
      </c>
      <c r="G143" s="228">
        <v>1.7298607962223549</v>
      </c>
      <c r="H143" s="228">
        <v>9.0799367047793034</v>
      </c>
      <c r="I143" s="228">
        <v>2.8628695274146962</v>
      </c>
      <c r="J143" s="228">
        <v>3.9325184511205902</v>
      </c>
      <c r="K143" s="228">
        <v>4.2370791448416254</v>
      </c>
      <c r="L143" s="202"/>
      <c r="M143" s="202"/>
      <c r="N143" s="195">
        <f t="shared" si="19"/>
        <v>9.4122538298469109</v>
      </c>
      <c r="O143" s="195">
        <f t="shared" si="21"/>
        <v>9.0799367047793034</v>
      </c>
      <c r="P143" s="195">
        <f t="shared" si="20"/>
        <v>13.939223442197914</v>
      </c>
      <c r="Q143" s="195">
        <f t="shared" si="22"/>
        <v>32.431413976824132</v>
      </c>
      <c r="R143" s="220">
        <f t="shared" si="23"/>
        <v>0.29022027336128536</v>
      </c>
      <c r="AC143" s="251"/>
    </row>
    <row r="144" spans="1:29" ht="15.6" x14ac:dyDescent="0.3">
      <c r="A144" s="206">
        <v>2021</v>
      </c>
      <c r="B144" s="229">
        <v>37.770214189518057</v>
      </c>
      <c r="C144" s="229">
        <v>10.242105926944539</v>
      </c>
      <c r="D144" s="229">
        <v>2.0182111825400693</v>
      </c>
      <c r="E144" s="229">
        <v>14.392647320812468</v>
      </c>
      <c r="F144" s="229">
        <v>4.2986442966388152</v>
      </c>
      <c r="G144" s="229">
        <v>1.7473502501954419</v>
      </c>
      <c r="H144" s="229">
        <v>9.1173465366538462</v>
      </c>
      <c r="I144" s="229">
        <v>2.9043796051274002</v>
      </c>
      <c r="J144" s="229">
        <v>3.9418168589299869</v>
      </c>
      <c r="K144" s="229">
        <v>4.2623772389082699</v>
      </c>
      <c r="L144" s="170"/>
      <c r="M144" s="170"/>
      <c r="N144" s="195">
        <f t="shared" si="19"/>
        <v>9.5739450807974382</v>
      </c>
      <c r="O144" s="195">
        <f t="shared" si="21"/>
        <v>9.1173465366538462</v>
      </c>
      <c r="P144" s="195">
        <f t="shared" si="20"/>
        <v>14.007667359680051</v>
      </c>
      <c r="Q144" s="195">
        <f t="shared" si="22"/>
        <v>32.698958977131333</v>
      </c>
      <c r="R144" s="221">
        <f t="shared" si="23"/>
        <v>0.29279051628197605</v>
      </c>
      <c r="AC144" s="251"/>
    </row>
    <row r="145" spans="1:29" ht="15.6" x14ac:dyDescent="0.3">
      <c r="A145" s="206">
        <v>2022</v>
      </c>
      <c r="B145" s="229">
        <v>38.188537827163138</v>
      </c>
      <c r="C145" s="229">
        <v>10.284929251277338</v>
      </c>
      <c r="D145" s="229">
        <v>2.0271204838279946</v>
      </c>
      <c r="E145" s="229">
        <v>14.501262684342073</v>
      </c>
      <c r="F145" s="229">
        <v>4.3950272921300799</v>
      </c>
      <c r="G145" s="229">
        <v>1.7655355405903279</v>
      </c>
      <c r="H145" s="229">
        <v>9.1560354972874922</v>
      </c>
      <c r="I145" s="229">
        <v>2.9467752599033505</v>
      </c>
      <c r="J145" s="229">
        <v>3.9507751260320512</v>
      </c>
      <c r="K145" s="229">
        <v>4.2880549230435152</v>
      </c>
      <c r="L145" s="170"/>
      <c r="M145" s="170"/>
      <c r="N145" s="195">
        <f t="shared" si="19"/>
        <v>9.7402544791846619</v>
      </c>
      <c r="O145" s="195">
        <f t="shared" si="21"/>
        <v>9.1560354972874922</v>
      </c>
      <c r="P145" s="195">
        <f t="shared" si="20"/>
        <v>14.077585275695661</v>
      </c>
      <c r="Q145" s="195">
        <f t="shared" si="22"/>
        <v>32.973875252167815</v>
      </c>
      <c r="R145" s="221">
        <f t="shared" si="23"/>
        <v>0.29539307723754138</v>
      </c>
      <c r="AC145" s="251"/>
    </row>
    <row r="146" spans="1:29" ht="15.6" x14ac:dyDescent="0.3">
      <c r="A146" s="206">
        <v>2023</v>
      </c>
      <c r="B146" s="229">
        <v>38.600984983923048</v>
      </c>
      <c r="C146" s="229">
        <v>10.329023378648234</v>
      </c>
      <c r="D146" s="229">
        <v>2.0354641576526493</v>
      </c>
      <c r="E146" s="229">
        <v>14.614268907073653</v>
      </c>
      <c r="F146" s="229">
        <v>4.4925309456801861</v>
      </c>
      <c r="G146" s="229">
        <v>1.7843698612535377</v>
      </c>
      <c r="H146" s="229">
        <v>9.1958777590809824</v>
      </c>
      <c r="I146" s="229">
        <v>2.9899951381148178</v>
      </c>
      <c r="J146" s="229">
        <v>3.959398804955987</v>
      </c>
      <c r="K146" s="229">
        <v>4.3140755407102604</v>
      </c>
      <c r="L146" s="170"/>
      <c r="M146" s="170"/>
      <c r="N146" s="195">
        <f t="shared" si="19"/>
        <v>9.9109220936728555</v>
      </c>
      <c r="O146" s="195">
        <f t="shared" si="21"/>
        <v>9.1958777590809824</v>
      </c>
      <c r="P146" s="195">
        <f t="shared" si="20"/>
        <v>14.148857397554421</v>
      </c>
      <c r="Q146" s="195">
        <f>N146+P146+O146</f>
        <v>33.255657250308261</v>
      </c>
      <c r="R146" s="221">
        <f t="shared" si="23"/>
        <v>0.29802213858157883</v>
      </c>
      <c r="AC146" s="251"/>
    </row>
    <row r="147" spans="1:29" ht="15.6" x14ac:dyDescent="0.3">
      <c r="A147" s="206">
        <v>2024</v>
      </c>
      <c r="B147" s="229">
        <v>39.007555659797788</v>
      </c>
      <c r="C147" s="229">
        <v>10.374284555827133</v>
      </c>
      <c r="D147" s="229">
        <v>2.0432729707072834</v>
      </c>
      <c r="E147" s="229">
        <v>14.731338341767849</v>
      </c>
      <c r="F147" s="229">
        <v>4.5910971455935048</v>
      </c>
      <c r="G147" s="229">
        <v>1.8038064060315966</v>
      </c>
      <c r="H147" s="229">
        <v>9.2367474944350558</v>
      </c>
      <c r="I147" s="229">
        <v>3.0339778861340734</v>
      </c>
      <c r="J147" s="229">
        <v>3.9676934482309991</v>
      </c>
      <c r="K147" s="229">
        <v>4.3404024353714066</v>
      </c>
      <c r="L147" s="170"/>
      <c r="M147" s="170"/>
      <c r="N147" s="195">
        <f t="shared" si="19"/>
        <v>10.085687992926298</v>
      </c>
      <c r="O147" s="195">
        <f t="shared" si="21"/>
        <v>9.2367474944350558</v>
      </c>
      <c r="P147" s="195">
        <f t="shared" si="20"/>
        <v>14.221363932566014</v>
      </c>
      <c r="Q147" s="195">
        <f t="shared" si="22"/>
        <v>33.543799419927367</v>
      </c>
      <c r="R147" s="221">
        <f t="shared" si="23"/>
        <v>0.30067220074463874</v>
      </c>
      <c r="AC147" s="251"/>
    </row>
    <row r="148" spans="1:29" ht="15.6" x14ac:dyDescent="0.3">
      <c r="A148" s="206">
        <v>2025</v>
      </c>
      <c r="B148" s="229">
        <v>39.408249854787357</v>
      </c>
      <c r="C148" s="229">
        <v>10.42060902958394</v>
      </c>
      <c r="D148" s="229">
        <v>2.050577689685146</v>
      </c>
      <c r="E148" s="229">
        <v>14.852143341185304</v>
      </c>
      <c r="F148" s="229">
        <v>4.6906677801744054</v>
      </c>
      <c r="G148" s="229">
        <v>1.8237983687710297</v>
      </c>
      <c r="H148" s="229">
        <v>9.27851887575045</v>
      </c>
      <c r="I148" s="229">
        <v>3.0786621503333889</v>
      </c>
      <c r="J148" s="229">
        <v>3.9756646083862921</v>
      </c>
      <c r="K148" s="229">
        <v>4.3669989504898545</v>
      </c>
      <c r="L148" s="170"/>
      <c r="M148" s="170"/>
      <c r="N148" s="195">
        <f t="shared" si="19"/>
        <v>10.264292245609258</v>
      </c>
      <c r="O148" s="195">
        <f t="shared" si="21"/>
        <v>9.27851887575045</v>
      </c>
      <c r="P148" s="195">
        <f t="shared" si="20"/>
        <v>14.294985088040114</v>
      </c>
      <c r="Q148" s="195">
        <f t="shared" si="22"/>
        <v>33.837796209399826</v>
      </c>
      <c r="R148" s="221">
        <f t="shared" si="23"/>
        <v>0.30333808331045903</v>
      </c>
      <c r="AC148" s="251"/>
    </row>
    <row r="149" spans="1:29" ht="15.6" x14ac:dyDescent="0.3">
      <c r="A149" s="206">
        <v>2026</v>
      </c>
      <c r="B149" s="229">
        <v>39.803067568891755</v>
      </c>
      <c r="C149" s="229">
        <v>10.467893046688559</v>
      </c>
      <c r="D149" s="229">
        <v>2.0574090812794865</v>
      </c>
      <c r="E149" s="229">
        <v>14.976356258086662</v>
      </c>
      <c r="F149" s="229">
        <v>4.7911847377272601</v>
      </c>
      <c r="G149" s="229">
        <v>1.8442989433183621</v>
      </c>
      <c r="H149" s="229">
        <v>9.3210660754279022</v>
      </c>
      <c r="I149" s="229">
        <v>3.1239865770850352</v>
      </c>
      <c r="J149" s="229">
        <v>3.9833178379510703</v>
      </c>
      <c r="K149" s="229">
        <v>4.3938284295285035</v>
      </c>
      <c r="L149" s="170"/>
      <c r="M149" s="170"/>
      <c r="N149" s="195">
        <f t="shared" si="19"/>
        <v>10.446474920386022</v>
      </c>
      <c r="O149" s="195">
        <f t="shared" si="21"/>
        <v>9.3210660754279022</v>
      </c>
      <c r="P149" s="195">
        <f t="shared" si="20"/>
        <v>14.369601071286407</v>
      </c>
      <c r="Q149" s="195">
        <f t="shared" si="22"/>
        <v>34.137142067100328</v>
      </c>
      <c r="R149" s="221">
        <f t="shared" si="23"/>
        <v>0.30601492356484677</v>
      </c>
      <c r="AC149" s="251"/>
    </row>
    <row r="150" spans="1:29" ht="15.6" x14ac:dyDescent="0.3">
      <c r="A150" s="206">
        <v>2027</v>
      </c>
      <c r="B150" s="229">
        <v>40.19200880211099</v>
      </c>
      <c r="C150" s="229">
        <v>10.516032853910897</v>
      </c>
      <c r="D150" s="229">
        <v>2.0637979121835541</v>
      </c>
      <c r="E150" s="229">
        <v>15.103649445232564</v>
      </c>
      <c r="F150" s="229">
        <v>4.8925899065564371</v>
      </c>
      <c r="G150" s="229">
        <v>1.8652613235201185</v>
      </c>
      <c r="H150" s="229">
        <v>9.3642632658681553</v>
      </c>
      <c r="I150" s="229">
        <v>3.1698898127612836</v>
      </c>
      <c r="J150" s="229">
        <v>3.9906586894545391</v>
      </c>
      <c r="K150" s="229">
        <v>4.4208542159502553</v>
      </c>
      <c r="L150" s="170"/>
      <c r="M150" s="170"/>
      <c r="N150" s="195">
        <f t="shared" si="19"/>
        <v>10.631976085920845</v>
      </c>
      <c r="O150" s="195">
        <f t="shared" si="21"/>
        <v>9.3642632658681553</v>
      </c>
      <c r="P150" s="195">
        <f t="shared" si="20"/>
        <v>14.445092089614569</v>
      </c>
      <c r="Q150" s="195">
        <f t="shared" si="22"/>
        <v>34.44133144140357</v>
      </c>
      <c r="R150" s="221">
        <f t="shared" si="23"/>
        <v>0.30869817283369128</v>
      </c>
      <c r="AC150" s="251"/>
    </row>
    <row r="151" spans="1:29" ht="15.6" x14ac:dyDescent="0.3">
      <c r="A151" s="206">
        <v>2028</v>
      </c>
      <c r="B151" s="229">
        <v>40.575073554445048</v>
      </c>
      <c r="C151" s="229">
        <v>10.564924698020857</v>
      </c>
      <c r="D151" s="229">
        <v>2.0697749490905979</v>
      </c>
      <c r="E151" s="229">
        <v>15.233695255383656</v>
      </c>
      <c r="F151" s="229">
        <v>4.9948251749663086</v>
      </c>
      <c r="G151" s="229">
        <v>1.8866387032228245</v>
      </c>
      <c r="H151" s="229">
        <v>9.4079846194719448</v>
      </c>
      <c r="I151" s="229">
        <v>3.2163105037344053</v>
      </c>
      <c r="J151" s="229">
        <v>3.9976927154259023</v>
      </c>
      <c r="K151" s="229">
        <v>4.4480396532180091</v>
      </c>
      <c r="L151" s="170"/>
      <c r="M151" s="170"/>
      <c r="N151" s="195">
        <f t="shared" si="19"/>
        <v>10.820535810878022</v>
      </c>
      <c r="O151" s="195">
        <f t="shared" si="21"/>
        <v>9.4079846194719448</v>
      </c>
      <c r="P151" s="195">
        <f t="shared" si="20"/>
        <v>14.521338350334279</v>
      </c>
      <c r="Q151" s="195">
        <f t="shared" si="22"/>
        <v>34.749858780684249</v>
      </c>
      <c r="R151" s="221">
        <f t="shared" si="23"/>
        <v>0.31138359091383216</v>
      </c>
      <c r="AC151" s="251"/>
    </row>
    <row r="152" spans="1:29" ht="15.6" x14ac:dyDescent="0.3">
      <c r="A152" s="206">
        <v>2029</v>
      </c>
      <c r="B152" s="229">
        <v>40.952261825893942</v>
      </c>
      <c r="C152" s="229">
        <v>10.614464825788344</v>
      </c>
      <c r="D152" s="229">
        <v>2.0753709586938678</v>
      </c>
      <c r="E152" s="229">
        <v>15.366166041300581</v>
      </c>
      <c r="F152" s="229">
        <v>5.0978324312612457</v>
      </c>
      <c r="G152" s="229">
        <v>1.9083842762730048</v>
      </c>
      <c r="H152" s="229">
        <v>9.4521043086400098</v>
      </c>
      <c r="I152" s="229">
        <v>3.263187296376671</v>
      </c>
      <c r="J152" s="229">
        <v>4.0044254683943645</v>
      </c>
      <c r="K152" s="229">
        <v>4.4753480847946649</v>
      </c>
      <c r="L152" s="170"/>
      <c r="M152" s="170"/>
      <c r="N152" s="195">
        <f t="shared" si="19"/>
        <v>11.011894163921816</v>
      </c>
      <c r="O152" s="195">
        <f t="shared" si="21"/>
        <v>9.4521043086400098</v>
      </c>
      <c r="P152" s="195">
        <f t="shared" si="20"/>
        <v>14.598220060755217</v>
      </c>
      <c r="Q152" s="195">
        <f t="shared" si="22"/>
        <v>35.062218533317044</v>
      </c>
      <c r="R152" s="221">
        <f t="shared" si="23"/>
        <v>0.31406723888444266</v>
      </c>
      <c r="AC152" s="251"/>
    </row>
    <row r="153" spans="1:29" ht="15.6" x14ac:dyDescent="0.3">
      <c r="A153" s="206">
        <v>2030</v>
      </c>
      <c r="B153" s="229">
        <v>41.323573616457665</v>
      </c>
      <c r="C153" s="229">
        <v>10.664549483983265</v>
      </c>
      <c r="D153" s="229">
        <v>2.0806167076866129</v>
      </c>
      <c r="E153" s="229">
        <v>15.500734155743979</v>
      </c>
      <c r="F153" s="229">
        <v>5.2015535637456178</v>
      </c>
      <c r="G153" s="229">
        <v>1.9304512365171846</v>
      </c>
      <c r="H153" s="229">
        <v>9.4964965057730915</v>
      </c>
      <c r="I153" s="229">
        <v>3.3104588370603532</v>
      </c>
      <c r="J153" s="229">
        <v>4.0108625008891305</v>
      </c>
      <c r="K153" s="229">
        <v>4.5027428541431256</v>
      </c>
      <c r="L153" s="170"/>
      <c r="M153" s="170"/>
      <c r="N153" s="195">
        <f t="shared" si="19"/>
        <v>11.205791213716505</v>
      </c>
      <c r="O153" s="195">
        <f t="shared" si="21"/>
        <v>9.4964965057730915</v>
      </c>
      <c r="P153" s="195">
        <f t="shared" si="20"/>
        <v>14.675617428187062</v>
      </c>
      <c r="Q153" s="195">
        <f t="shared" si="22"/>
        <v>35.377905147676657</v>
      </c>
      <c r="R153" s="221">
        <f t="shared" si="23"/>
        <v>0.31674547056815811</v>
      </c>
      <c r="AC153" s="251"/>
    </row>
    <row r="154" spans="1:29" ht="15.6" x14ac:dyDescent="0.3">
      <c r="A154" s="206">
        <v>2031</v>
      </c>
      <c r="B154" s="229">
        <v>41.689008926136225</v>
      </c>
      <c r="C154" s="229">
        <v>10.715074919375525</v>
      </c>
      <c r="D154" s="229">
        <v>2.0855429627620823</v>
      </c>
      <c r="E154" s="229">
        <v>15.637071951474496</v>
      </c>
      <c r="F154" s="229">
        <v>5.3059304607237952</v>
      </c>
      <c r="G154" s="229">
        <v>1.9527927778018892</v>
      </c>
      <c r="H154" s="229">
        <v>9.5410353832719252</v>
      </c>
      <c r="I154" s="229">
        <v>3.3580637721577222</v>
      </c>
      <c r="J154" s="229">
        <v>4.0170093654394057</v>
      </c>
      <c r="K154" s="229">
        <v>4.5301873047262884</v>
      </c>
      <c r="L154" s="170"/>
      <c r="M154" s="170"/>
      <c r="N154" s="195">
        <f t="shared" si="19"/>
        <v>11.401967028926364</v>
      </c>
      <c r="O154" s="195">
        <f t="shared" si="21"/>
        <v>9.5410353832719252</v>
      </c>
      <c r="P154" s="195">
        <f t="shared" si="20"/>
        <v>14.753410659939496</v>
      </c>
      <c r="Q154" s="195">
        <f t="shared" si="22"/>
        <v>35.696413072137787</v>
      </c>
      <c r="R154" s="221">
        <f t="shared" si="23"/>
        <v>0.31941492289111734</v>
      </c>
      <c r="AC154" s="251"/>
    </row>
    <row r="155" spans="1:29" ht="15.6" x14ac:dyDescent="0.3">
      <c r="A155" s="206">
        <v>2032</v>
      </c>
      <c r="B155" s="229">
        <v>42.048567754929614</v>
      </c>
      <c r="C155" s="229">
        <v>10.765937378735027</v>
      </c>
      <c r="D155" s="229">
        <v>2.090180490613526</v>
      </c>
      <c r="E155" s="229">
        <v>15.774851781252773</v>
      </c>
      <c r="F155" s="229">
        <v>5.4109050105001488</v>
      </c>
      <c r="G155" s="229">
        <v>1.9753620939736434</v>
      </c>
      <c r="H155" s="229">
        <v>9.5855951135372504</v>
      </c>
      <c r="I155" s="229">
        <v>3.4059407480410493</v>
      </c>
      <c r="J155" s="229">
        <v>4.0228716145743935</v>
      </c>
      <c r="K155" s="229">
        <v>4.5576447800070561</v>
      </c>
      <c r="L155" s="170"/>
      <c r="M155" s="170"/>
      <c r="N155" s="195">
        <f t="shared" si="19"/>
        <v>11.600161678215672</v>
      </c>
      <c r="O155" s="195">
        <f t="shared" si="21"/>
        <v>9.5855951135372504</v>
      </c>
      <c r="P155" s="195">
        <f t="shared" si="20"/>
        <v>14.831479963322195</v>
      </c>
      <c r="Q155" s="195">
        <f t="shared" si="22"/>
        <v>36.017236755075118</v>
      </c>
      <c r="R155" s="221">
        <f t="shared" si="23"/>
        <v>0.32207250537011606</v>
      </c>
      <c r="AC155" s="251"/>
    </row>
    <row r="156" spans="1:29" ht="15.6" x14ac:dyDescent="0.3">
      <c r="A156" s="206">
        <v>2033</v>
      </c>
      <c r="B156" s="229">
        <v>42.402250102837826</v>
      </c>
      <c r="C156" s="229">
        <v>10.817033108831676</v>
      </c>
      <c r="D156" s="229">
        <v>2.0945600579341925</v>
      </c>
      <c r="E156" s="229">
        <v>15.913745997839454</v>
      </c>
      <c r="F156" s="229">
        <v>5.51641910137905</v>
      </c>
      <c r="G156" s="229">
        <v>1.9981123788789721</v>
      </c>
      <c r="H156" s="229">
        <v>9.6300498689698095</v>
      </c>
      <c r="I156" s="229">
        <v>3.4540284110826058</v>
      </c>
      <c r="J156" s="229">
        <v>4.0284548008232983</v>
      </c>
      <c r="K156" s="229">
        <v>4.5850786234483278</v>
      </c>
      <c r="L156" s="170"/>
      <c r="M156" s="170"/>
      <c r="N156" s="195">
        <f t="shared" si="19"/>
        <v>11.800115230248696</v>
      </c>
      <c r="O156" s="195">
        <f t="shared" si="21"/>
        <v>9.6300498689698095</v>
      </c>
      <c r="P156" s="195">
        <f t="shared" si="20"/>
        <v>14.90970554564484</v>
      </c>
      <c r="Q156" s="195">
        <f t="shared" si="22"/>
        <v>36.339870644863346</v>
      </c>
      <c r="R156" s="221">
        <f t="shared" si="23"/>
        <v>0.32471538893374258</v>
      </c>
      <c r="AC156" s="251"/>
    </row>
    <row r="157" spans="1:29" ht="15.6" x14ac:dyDescent="0.3">
      <c r="A157" s="206">
        <v>2034</v>
      </c>
      <c r="B157" s="229">
        <v>42.750055969860881</v>
      </c>
      <c r="C157" s="229">
        <v>10.86825835643538</v>
      </c>
      <c r="D157" s="229">
        <v>2.098712431417332</v>
      </c>
      <c r="E157" s="229">
        <v>16.053426953995185</v>
      </c>
      <c r="F157" s="229">
        <v>5.6224146216648681</v>
      </c>
      <c r="G157" s="229">
        <v>2.0209968263644011</v>
      </c>
      <c r="H157" s="229">
        <v>9.6742738219703366</v>
      </c>
      <c r="I157" s="229">
        <v>3.5022654076546633</v>
      </c>
      <c r="J157" s="229">
        <v>4.0337644767153265</v>
      </c>
      <c r="K157" s="229">
        <v>4.6124521785130046</v>
      </c>
      <c r="L157" s="170"/>
      <c r="M157" s="170"/>
      <c r="N157" s="195">
        <f t="shared" si="19"/>
        <v>12.001567753689715</v>
      </c>
      <c r="O157" s="195">
        <f t="shared" si="21"/>
        <v>9.6742738219703366</v>
      </c>
      <c r="P157" s="195">
        <f t="shared" si="20"/>
        <v>14.987967614217114</v>
      </c>
      <c r="Q157" s="195">
        <f t="shared" si="22"/>
        <v>36.663809189877163</v>
      </c>
      <c r="R157" s="221">
        <f t="shared" si="23"/>
        <v>0.32734099426317476</v>
      </c>
      <c r="AC157" s="251"/>
    </row>
    <row r="158" spans="1:29" ht="15.6" x14ac:dyDescent="0.3">
      <c r="A158" s="206">
        <v>2035</v>
      </c>
      <c r="B158" s="229">
        <v>43.091985355998759</v>
      </c>
      <c r="C158" s="229">
        <v>10.919509368316042</v>
      </c>
      <c r="D158" s="229">
        <v>2.1026683777561934</v>
      </c>
      <c r="E158" s="229">
        <v>16.193567002480602</v>
      </c>
      <c r="F158" s="229">
        <v>5.7288334596619741</v>
      </c>
      <c r="G158" s="229">
        <v>2.0439686302764546</v>
      </c>
      <c r="H158" s="229">
        <v>9.7181411449395725</v>
      </c>
      <c r="I158" s="229">
        <v>3.5505903841294923</v>
      </c>
      <c r="J158" s="229">
        <v>4.0388061947796805</v>
      </c>
      <c r="K158" s="229">
        <v>4.6397287886639855</v>
      </c>
      <c r="L158" s="170"/>
      <c r="M158" s="170"/>
      <c r="N158" s="195">
        <f t="shared" si="19"/>
        <v>12.204259317203004</v>
      </c>
      <c r="O158" s="195">
        <f t="shared" si="21"/>
        <v>9.7181411449395725</v>
      </c>
      <c r="P158" s="195">
        <f t="shared" si="20"/>
        <v>15.066146376348691</v>
      </c>
      <c r="Q158" s="195">
        <f t="shared" si="22"/>
        <v>36.988546838491267</v>
      </c>
      <c r="R158" s="221">
        <f t="shared" si="23"/>
        <v>0.32994697981762633</v>
      </c>
      <c r="AC158" s="251"/>
    </row>
    <row r="159" spans="1:29" ht="15.6" x14ac:dyDescent="0.3">
      <c r="A159" s="206">
        <v>2036</v>
      </c>
      <c r="B159" s="229">
        <v>43.428038261251473</v>
      </c>
      <c r="C159" s="229">
        <v>10.970682391243566</v>
      </c>
      <c r="D159" s="229">
        <v>2.1064586636440263</v>
      </c>
      <c r="E159" s="229">
        <v>16.333838496056355</v>
      </c>
      <c r="F159" s="229">
        <v>5.8356175036747393</v>
      </c>
      <c r="G159" s="229">
        <v>2.066980984461658</v>
      </c>
      <c r="H159" s="229">
        <v>9.7615260102782564</v>
      </c>
      <c r="I159" s="229">
        <v>3.5989419868793644</v>
      </c>
      <c r="J159" s="229">
        <v>4.0435855075455667</v>
      </c>
      <c r="K159" s="229">
        <v>4.6668717973641733</v>
      </c>
      <c r="L159" s="170"/>
      <c r="M159" s="170"/>
      <c r="N159" s="195">
        <f t="shared" si="19"/>
        <v>12.407929989452839</v>
      </c>
      <c r="O159" s="195">
        <f t="shared" si="21"/>
        <v>9.7615260102782564</v>
      </c>
      <c r="P159" s="195">
        <f t="shared" si="20"/>
        <v>15.14412203934925</v>
      </c>
      <c r="Q159" s="195">
        <f t="shared" si="22"/>
        <v>37.31357803908034</v>
      </c>
      <c r="R159" s="221">
        <f t="shared" si="23"/>
        <v>0.3325312296895625</v>
      </c>
      <c r="AC159" s="251"/>
    </row>
    <row r="160" spans="1:29" ht="15.6" x14ac:dyDescent="0.3">
      <c r="A160" s="206">
        <v>2037</v>
      </c>
      <c r="B160" s="229">
        <v>43.758214685619009</v>
      </c>
      <c r="C160" s="229">
        <v>11.021673671987859</v>
      </c>
      <c r="D160" s="229">
        <v>2.1101140557740798</v>
      </c>
      <c r="E160" s="229">
        <v>16.473913787483085</v>
      </c>
      <c r="F160" s="229">
        <v>5.942708642007533</v>
      </c>
      <c r="G160" s="229">
        <v>2.0899870827665366</v>
      </c>
      <c r="H160" s="229">
        <v>9.8043025903871257</v>
      </c>
      <c r="I160" s="229">
        <v>3.6472588622765509</v>
      </c>
      <c r="J160" s="229">
        <v>4.0481079675421885</v>
      </c>
      <c r="K160" s="229">
        <v>4.6938445480764663</v>
      </c>
      <c r="L160" s="170"/>
      <c r="M160" s="170"/>
      <c r="N160" s="195">
        <f t="shared" si="19"/>
        <v>12.61231983910349</v>
      </c>
      <c r="O160" s="195">
        <f t="shared" si="21"/>
        <v>9.8043025903871257</v>
      </c>
      <c r="P160" s="195">
        <f t="shared" si="20"/>
        <v>15.221774810528476</v>
      </c>
      <c r="Q160" s="195">
        <f t="shared" si="22"/>
        <v>37.638397240019088</v>
      </c>
      <c r="R160" s="221">
        <f t="shared" si="23"/>
        <v>0.33509184141596282</v>
      </c>
      <c r="AC160" s="251"/>
    </row>
    <row r="161" spans="1:29" ht="15.6" x14ac:dyDescent="0.3">
      <c r="A161" s="206">
        <v>2038</v>
      </c>
      <c r="B161" s="229">
        <v>44.082514629101382</v>
      </c>
      <c r="C161" s="229">
        <v>11.072379457318824</v>
      </c>
      <c r="D161" s="229">
        <v>2.113665320839603</v>
      </c>
      <c r="E161" s="229">
        <v>16.613465229521434</v>
      </c>
      <c r="F161" s="229">
        <v>6.0500487629647264</v>
      </c>
      <c r="G161" s="229">
        <v>2.1129401190376154</v>
      </c>
      <c r="H161" s="229">
        <v>9.8463450576669214</v>
      </c>
      <c r="I161" s="229">
        <v>3.695479656693323</v>
      </c>
      <c r="J161" s="229">
        <v>4.0523791272987504</v>
      </c>
      <c r="K161" s="229">
        <v>4.7206103842637654</v>
      </c>
      <c r="L161" s="170"/>
      <c r="M161" s="170"/>
      <c r="N161" s="195">
        <f t="shared" si="19"/>
        <v>12.817168934819238</v>
      </c>
      <c r="O161" s="195">
        <f t="shared" si="21"/>
        <v>9.8463450576669214</v>
      </c>
      <c r="P161" s="195">
        <f t="shared" si="20"/>
        <v>15.298984897196043</v>
      </c>
      <c r="Q161" s="195">
        <f t="shared" si="22"/>
        <v>37.962498889682202</v>
      </c>
      <c r="R161" s="221">
        <f t="shared" si="23"/>
        <v>0.33762711385426752</v>
      </c>
      <c r="AC161" s="251"/>
    </row>
    <row r="162" spans="1:29" ht="15.6" x14ac:dyDescent="0.3">
      <c r="A162" s="206">
        <v>2039</v>
      </c>
      <c r="B162" s="229">
        <v>44.400938091698585</v>
      </c>
      <c r="C162" s="229">
        <v>11.122695994006367</v>
      </c>
      <c r="D162" s="229">
        <v>2.1171432255338463</v>
      </c>
      <c r="E162" s="229">
        <v>16.752165174932045</v>
      </c>
      <c r="F162" s="229">
        <v>6.1575797548506896</v>
      </c>
      <c r="G162" s="229">
        <v>2.1357932871214191</v>
      </c>
      <c r="H162" s="229">
        <v>9.887527584518379</v>
      </c>
      <c r="I162" s="229">
        <v>3.7435430165019516</v>
      </c>
      <c r="J162" s="229">
        <v>4.0564045393444577</v>
      </c>
      <c r="K162" s="229">
        <v>4.7471326493889707</v>
      </c>
      <c r="L162" s="170"/>
      <c r="M162" s="170"/>
      <c r="N162" s="195">
        <f t="shared" si="19"/>
        <v>13.022217345264357</v>
      </c>
      <c r="O162" s="195">
        <f t="shared" si="21"/>
        <v>9.887527584518379</v>
      </c>
      <c r="P162" s="195">
        <f t="shared" si="20"/>
        <v>15.375632506661633</v>
      </c>
      <c r="Q162" s="195">
        <f t="shared" si="22"/>
        <v>38.285377436444371</v>
      </c>
      <c r="R162" s="221">
        <f t="shared" si="23"/>
        <v>0.34013553521528905</v>
      </c>
      <c r="AC162" s="251"/>
    </row>
    <row r="163" spans="1:29" ht="15.6" x14ac:dyDescent="0.3">
      <c r="A163" s="206">
        <v>2040</v>
      </c>
      <c r="B163" s="229">
        <v>44.713485073410624</v>
      </c>
      <c r="C163" s="229">
        <v>11.172519528820395</v>
      </c>
      <c r="D163" s="229">
        <v>2.1205785365500578</v>
      </c>
      <c r="E163" s="229">
        <v>16.889685976475565</v>
      </c>
      <c r="F163" s="229">
        <v>6.265243505969794</v>
      </c>
      <c r="G163" s="229">
        <v>2.1584997808644735</v>
      </c>
      <c r="H163" s="229">
        <v>9.9277243433422395</v>
      </c>
      <c r="I163" s="229">
        <v>3.7913875880747088</v>
      </c>
      <c r="J163" s="229">
        <v>4.0601897562085156</v>
      </c>
      <c r="K163" s="229">
        <v>4.773374686914984</v>
      </c>
      <c r="L163" s="170"/>
      <c r="M163" s="170"/>
      <c r="N163" s="195">
        <f t="shared" si="19"/>
        <v>13.227205139103122</v>
      </c>
      <c r="O163" s="195">
        <f t="shared" si="21"/>
        <v>9.9277243433422395</v>
      </c>
      <c r="P163" s="195">
        <f t="shared" si="20"/>
        <v>15.451597846234925</v>
      </c>
      <c r="Q163" s="195">
        <f t="shared" si="22"/>
        <v>38.606527328680286</v>
      </c>
      <c r="R163" s="221">
        <f t="shared" si="23"/>
        <v>0.34261577133037818</v>
      </c>
      <c r="AC163" s="251"/>
    </row>
    <row r="164" spans="1:29" ht="15.6" x14ac:dyDescent="0.3">
      <c r="A164" s="206">
        <v>2041</v>
      </c>
      <c r="B164" s="229">
        <v>45.020155574237485</v>
      </c>
      <c r="C164" s="229">
        <v>11.221746308530811</v>
      </c>
      <c r="D164" s="229">
        <v>2.1240020205814876</v>
      </c>
      <c r="E164" s="229">
        <v>17.025699986912631</v>
      </c>
      <c r="F164" s="229">
        <v>6.3729819046264096</v>
      </c>
      <c r="G164" s="229">
        <v>2.1810127941133031</v>
      </c>
      <c r="H164" s="229">
        <v>9.9668095065392421</v>
      </c>
      <c r="I164" s="229">
        <v>3.838952017783865</v>
      </c>
      <c r="J164" s="229">
        <v>4.0637403304201269</v>
      </c>
      <c r="K164" s="229">
        <v>4.7992998403047045</v>
      </c>
      <c r="L164" s="170"/>
      <c r="M164" s="170"/>
      <c r="N164" s="195">
        <f t="shared" si="19"/>
        <v>13.431872384999799</v>
      </c>
      <c r="O164" s="195">
        <f t="shared" si="21"/>
        <v>9.9668095065392421</v>
      </c>
      <c r="P164" s="195">
        <f t="shared" si="20"/>
        <v>15.526761123225601</v>
      </c>
      <c r="Q164" s="195">
        <f>N164+P164+O164</f>
        <v>38.925443014764639</v>
      </c>
      <c r="R164" s="221">
        <f>N164/Q164</f>
        <v>0.34506665421649829</v>
      </c>
      <c r="AC164" s="251"/>
    </row>
    <row r="165" spans="1:29" ht="15.6" x14ac:dyDescent="0.3">
      <c r="A165" s="206">
        <v>2042</v>
      </c>
      <c r="B165" s="229">
        <v>45.320949594179183</v>
      </c>
      <c r="C165" s="229">
        <v>11.27027257990752</v>
      </c>
      <c r="D165" s="229">
        <v>2.1274444443213847</v>
      </c>
      <c r="E165" s="229">
        <v>17.15987955900389</v>
      </c>
      <c r="F165" s="229">
        <v>6.4807368391249067</v>
      </c>
      <c r="G165" s="229">
        <v>2.2032855207144326</v>
      </c>
      <c r="H165" s="229">
        <v>10.004657246510124</v>
      </c>
      <c r="I165" s="229">
        <v>3.8861749520016913</v>
      </c>
      <c r="J165" s="229">
        <v>4.0670618145084978</v>
      </c>
      <c r="K165" s="229">
        <v>4.8248714530210322</v>
      </c>
      <c r="L165" s="170"/>
      <c r="M165" s="170"/>
      <c r="N165" s="195">
        <f t="shared" si="19"/>
        <v>13.635959151618675</v>
      </c>
      <c r="O165" s="195">
        <f t="shared" si="21"/>
        <v>10.004657246510124</v>
      </c>
      <c r="P165" s="195">
        <f t="shared" si="20"/>
        <v>15.601002544943336</v>
      </c>
      <c r="Q165" s="195">
        <f t="shared" si="22"/>
        <v>39.24161894307214</v>
      </c>
      <c r="R165" s="221">
        <f t="shared" si="23"/>
        <v>0.34748717099058468</v>
      </c>
      <c r="AC165" s="251"/>
    </row>
    <row r="166" spans="1:29" ht="15.6" x14ac:dyDescent="0.3">
      <c r="A166" s="206">
        <v>2043</v>
      </c>
      <c r="B166" s="229">
        <v>45.61586713323571</v>
      </c>
      <c r="C166" s="229">
        <v>11.317994589720426</v>
      </c>
      <c r="D166" s="229">
        <v>2.1309365744629991</v>
      </c>
      <c r="E166" s="229">
        <v>17.291897045509984</v>
      </c>
      <c r="F166" s="229">
        <v>6.5884501977696557</v>
      </c>
      <c r="G166" s="229">
        <v>2.2252711545143882</v>
      </c>
      <c r="H166" s="229">
        <v>10.041141735655625</v>
      </c>
      <c r="I166" s="229">
        <v>3.9329950371004596</v>
      </c>
      <c r="J166" s="229">
        <v>4.0701597610028317</v>
      </c>
      <c r="K166" s="229">
        <v>4.8500528685268689</v>
      </c>
      <c r="L166" s="170"/>
      <c r="M166" s="170"/>
      <c r="N166" s="195">
        <f t="shared" si="19"/>
        <v>13.839205507624015</v>
      </c>
      <c r="O166" s="195">
        <f t="shared" si="21"/>
        <v>10.041141735655625</v>
      </c>
      <c r="P166" s="195">
        <f t="shared" si="20"/>
        <v>15.674202318697812</v>
      </c>
      <c r="Q166" s="195">
        <f t="shared" si="22"/>
        <v>39.554549561977453</v>
      </c>
      <c r="R166" s="221">
        <f t="shared" si="23"/>
        <v>0.34987645317359928</v>
      </c>
      <c r="AC166" s="251"/>
    </row>
    <row r="167" spans="1:29" ht="15.6" x14ac:dyDescent="0.3">
      <c r="A167" s="206">
        <v>2044</v>
      </c>
      <c r="B167" s="229">
        <v>45.904908191407067</v>
      </c>
      <c r="C167" s="229">
        <v>11.364808584739437</v>
      </c>
      <c r="D167" s="229">
        <v>2.1345091776995795</v>
      </c>
      <c r="E167" s="229">
        <v>17.421424799191556</v>
      </c>
      <c r="F167" s="229">
        <v>6.6960638688650285</v>
      </c>
      <c r="G167" s="229">
        <v>2.246922889359694</v>
      </c>
      <c r="H167" s="229">
        <v>10.076137146376483</v>
      </c>
      <c r="I167" s="229">
        <v>3.9793509194524406</v>
      </c>
      <c r="J167" s="229">
        <v>4.073039722432334</v>
      </c>
      <c r="K167" s="229">
        <v>4.8748074302851139</v>
      </c>
      <c r="L167" s="170"/>
      <c r="M167" s="170"/>
      <c r="N167" s="195">
        <f t="shared" si="19"/>
        <v>14.041351521680101</v>
      </c>
      <c r="O167" s="195">
        <f t="shared" si="21"/>
        <v>10.076137146376483</v>
      </c>
      <c r="P167" s="195">
        <f t="shared" si="20"/>
        <v>15.746240651798711</v>
      </c>
      <c r="Q167" s="195">
        <f t="shared" si="22"/>
        <v>39.863729319855295</v>
      </c>
      <c r="R167" s="221">
        <f t="shared" si="23"/>
        <v>0.35223376641498505</v>
      </c>
      <c r="AC167" s="251"/>
    </row>
    <row r="168" spans="1:29" ht="15.6" x14ac:dyDescent="0.3">
      <c r="A168" s="206">
        <v>2045</v>
      </c>
      <c r="B168" s="229">
        <v>46.188072768693253</v>
      </c>
      <c r="C168" s="229">
        <v>11.410610811734456</v>
      </c>
      <c r="D168" s="229">
        <v>2.1381930207243753</v>
      </c>
      <c r="E168" s="229">
        <v>17.54813517280925</v>
      </c>
      <c r="F168" s="229">
        <v>6.8035197407153936</v>
      </c>
      <c r="G168" s="229">
        <v>2.2681939190968756</v>
      </c>
      <c r="H168" s="229">
        <v>10.109517651073439</v>
      </c>
      <c r="I168" s="229">
        <v>4.0251812454299056</v>
      </c>
      <c r="J168" s="229">
        <v>4.0757072513262091</v>
      </c>
      <c r="K168" s="229">
        <v>4.8990984817586671</v>
      </c>
      <c r="L168" s="170"/>
      <c r="M168" s="170"/>
      <c r="N168" s="195">
        <f t="shared" si="19"/>
        <v>14.242137262451205</v>
      </c>
      <c r="O168" s="195">
        <f t="shared" si="21"/>
        <v>10.109517651073439</v>
      </c>
      <c r="P168" s="195">
        <f t="shared" si="20"/>
        <v>15.816997751555705</v>
      </c>
      <c r="Q168" s="195">
        <f t="shared" si="22"/>
        <v>40.168652665080351</v>
      </c>
      <c r="R168" s="221">
        <f t="shared" si="23"/>
        <v>0.35455850065970135</v>
      </c>
      <c r="AC168" s="251"/>
    </row>
    <row r="169" spans="1:29" ht="15.6" x14ac:dyDescent="0.3">
      <c r="A169" s="206">
        <v>2046</v>
      </c>
      <c r="B169" s="229">
        <v>46.465360865094276</v>
      </c>
      <c r="C169" s="229">
        <v>11.455297517475387</v>
      </c>
      <c r="D169" s="229">
        <v>2.1420188702306358</v>
      </c>
      <c r="E169" s="229">
        <v>17.671700519123711</v>
      </c>
      <c r="F169" s="229">
        <v>6.910759701625123</v>
      </c>
      <c r="G169" s="229">
        <v>2.2890374375724578</v>
      </c>
      <c r="H169" s="229">
        <v>10.141157422147229</v>
      </c>
      <c r="I169" s="229">
        <v>4.0704246614051263</v>
      </c>
      <c r="J169" s="229">
        <v>4.0781679002136615</v>
      </c>
      <c r="K169" s="229">
        <v>4.9228893664104305</v>
      </c>
      <c r="L169" s="170"/>
      <c r="M169" s="170"/>
      <c r="N169" s="195">
        <f t="shared" si="19"/>
        <v>14.441302798601606</v>
      </c>
      <c r="O169" s="195">
        <f t="shared" si="21"/>
        <v>10.141157422147229</v>
      </c>
      <c r="P169" s="195">
        <f t="shared" si="20"/>
        <v>15.88635382527848</v>
      </c>
      <c r="Q169" s="195">
        <f t="shared" si="22"/>
        <v>40.468814046027319</v>
      </c>
      <c r="R169" s="221">
        <f t="shared" si="23"/>
        <v>0.35685016077260751</v>
      </c>
      <c r="AC169" s="251"/>
    </row>
    <row r="170" spans="1:29" ht="15.6" x14ac:dyDescent="0.3">
      <c r="A170" s="206">
        <v>2047</v>
      </c>
      <c r="B170" s="229">
        <v>46.736772480610128</v>
      </c>
      <c r="C170" s="229">
        <v>11.498764948732138</v>
      </c>
      <c r="D170" s="229">
        <v>2.1460174929116107</v>
      </c>
      <c r="E170" s="229">
        <v>17.791793190895575</v>
      </c>
      <c r="F170" s="229">
        <v>7.017725639898587</v>
      </c>
      <c r="G170" s="229">
        <v>2.3094066386329661</v>
      </c>
      <c r="H170" s="229">
        <v>10.170930631998592</v>
      </c>
      <c r="I170" s="229">
        <v>4.1150198137503731</v>
      </c>
      <c r="J170" s="229">
        <v>4.0804272216238955</v>
      </c>
      <c r="K170" s="229">
        <v>4.9461434277033032</v>
      </c>
      <c r="L170" s="170"/>
      <c r="M170" s="170"/>
      <c r="N170" s="195">
        <f t="shared" si="19"/>
        <v>14.638588198795569</v>
      </c>
      <c r="O170" s="195">
        <f t="shared" si="21"/>
        <v>10.170930631998592</v>
      </c>
      <c r="P170" s="195">
        <f t="shared" si="20"/>
        <v>15.954189080276715</v>
      </c>
      <c r="Q170" s="195">
        <f t="shared" si="22"/>
        <v>40.763707911070874</v>
      </c>
      <c r="R170" s="221">
        <f t="shared" si="23"/>
        <v>0.35910835762857396</v>
      </c>
      <c r="AC170" s="251"/>
    </row>
    <row r="171" spans="1:29" ht="15.6" x14ac:dyDescent="0.3">
      <c r="A171" s="206">
        <v>2048</v>
      </c>
      <c r="B171" s="229">
        <v>47.002307615240809</v>
      </c>
      <c r="C171" s="229">
        <v>11.54090935227461</v>
      </c>
      <c r="D171" s="229">
        <v>2.1502196554605493</v>
      </c>
      <c r="E171" s="229">
        <v>17.908085540885491</v>
      </c>
      <c r="F171" s="229">
        <v>7.1243594438401558</v>
      </c>
      <c r="G171" s="229">
        <v>2.3292547161249253</v>
      </c>
      <c r="H171" s="229">
        <v>10.198711453028269</v>
      </c>
      <c r="I171" s="229">
        <v>4.1589053488379184</v>
      </c>
      <c r="J171" s="229">
        <v>4.0824907680861164</v>
      </c>
      <c r="K171" s="229">
        <v>4.9688240091001861</v>
      </c>
      <c r="L171" s="170"/>
      <c r="M171" s="170"/>
      <c r="N171" s="195">
        <f t="shared" si="19"/>
        <v>14.833733531697378</v>
      </c>
      <c r="O171" s="195">
        <f t="shared" si="21"/>
        <v>10.198711453028269</v>
      </c>
      <c r="P171" s="195">
        <f t="shared" si="20"/>
        <v>16.020383723860085</v>
      </c>
      <c r="Q171" s="195">
        <f t="shared" si="22"/>
        <v>41.052828708585729</v>
      </c>
      <c r="R171" s="221">
        <f t="shared" si="23"/>
        <v>0.36133279967124587</v>
      </c>
      <c r="AC171" s="251"/>
    </row>
    <row r="172" spans="1:29" ht="15.6" x14ac:dyDescent="0.3">
      <c r="A172" s="206">
        <v>2049</v>
      </c>
      <c r="B172" s="229">
        <v>47.26196626898632</v>
      </c>
      <c r="C172" s="229">
        <v>11.581626974872714</v>
      </c>
      <c r="D172" s="229">
        <v>2.154656124570701</v>
      </c>
      <c r="E172" s="229">
        <v>18.020249921854102</v>
      </c>
      <c r="F172" s="229">
        <v>7.2306030017542007</v>
      </c>
      <c r="G172" s="229">
        <v>2.34853486389486</v>
      </c>
      <c r="H172" s="229">
        <v>10.224374057636997</v>
      </c>
      <c r="I172" s="229">
        <v>4.202019913040032</v>
      </c>
      <c r="J172" s="229">
        <v>4.0843640921295288</v>
      </c>
      <c r="K172" s="229">
        <v>4.9908944540639801</v>
      </c>
      <c r="L172" s="170"/>
      <c r="M172" s="170"/>
      <c r="N172" s="195">
        <f t="shared" si="19"/>
        <v>15.026478865971306</v>
      </c>
      <c r="O172" s="195">
        <f t="shared" si="21"/>
        <v>10.224374057636997</v>
      </c>
      <c r="P172" s="195">
        <f t="shared" si="20"/>
        <v>16.084817963338274</v>
      </c>
      <c r="Q172" s="195">
        <f t="shared" si="22"/>
        <v>41.335670886946573</v>
      </c>
      <c r="R172" s="221">
        <f t="shared" si="23"/>
        <v>0.36352328493878472</v>
      </c>
      <c r="AC172" s="251"/>
    </row>
    <row r="173" spans="1:29" ht="16.2" thickBot="1" x14ac:dyDescent="0.35">
      <c r="A173" s="208">
        <v>2050</v>
      </c>
      <c r="B173" s="231">
        <v>47.515748441846668</v>
      </c>
      <c r="C173" s="231">
        <v>11.620814063296351</v>
      </c>
      <c r="D173" s="231">
        <v>2.1593576669353149</v>
      </c>
      <c r="E173" s="231">
        <v>18.127958686562049</v>
      </c>
      <c r="F173" s="231">
        <v>7.3363982019450908</v>
      </c>
      <c r="G173" s="231">
        <v>2.3672002757892958</v>
      </c>
      <c r="H173" s="231">
        <v>10.247792618225514</v>
      </c>
      <c r="I173" s="231">
        <v>4.2443021527289861</v>
      </c>
      <c r="J173" s="231">
        <v>4.086052746283336</v>
      </c>
      <c r="K173" s="231">
        <v>5.0123181060575837</v>
      </c>
      <c r="L173" s="209"/>
      <c r="M173" s="209"/>
      <c r="N173" s="195">
        <f t="shared" si="19"/>
        <v>15.216564270281626</v>
      </c>
      <c r="O173" s="195">
        <f t="shared" si="21"/>
        <v>10.247792618225514</v>
      </c>
      <c r="P173" s="195">
        <f t="shared" si="20"/>
        <v>16.147372006020959</v>
      </c>
      <c r="Q173" s="195">
        <f t="shared" si="22"/>
        <v>41.611728894528099</v>
      </c>
      <c r="R173" s="222">
        <f t="shared" si="23"/>
        <v>0.36567969355107927</v>
      </c>
      <c r="AC173" s="251"/>
    </row>
    <row r="174" spans="1:29" ht="15.6" x14ac:dyDescent="0.3">
      <c r="A174" s="213">
        <v>2051</v>
      </c>
      <c r="B174" s="227">
        <v>47.763654133821838</v>
      </c>
      <c r="C174" s="227">
        <v>11.658366864315424</v>
      </c>
      <c r="D174" s="227">
        <v>2.1643550492476407</v>
      </c>
      <c r="E174" s="227">
        <v>18.230884187769977</v>
      </c>
      <c r="F174" s="227">
        <v>7.4416869327171984</v>
      </c>
      <c r="G174" s="227">
        <v>2.3852041456547584</v>
      </c>
      <c r="H174" s="227">
        <v>10.26884130719456</v>
      </c>
      <c r="I174" s="227">
        <v>4.2856907142770524</v>
      </c>
      <c r="J174" s="227">
        <v>4.0875622830767444</v>
      </c>
      <c r="K174" s="227">
        <v>5.0330583085438994</v>
      </c>
      <c r="N174" s="195">
        <f t="shared" si="19"/>
        <v>15.403729813292617</v>
      </c>
      <c r="O174" s="195">
        <f t="shared" si="21"/>
        <v>10.26884130719456</v>
      </c>
      <c r="P174" s="195">
        <f t="shared" si="20"/>
        <v>16.207926059217822</v>
      </c>
      <c r="Q174" s="195">
        <f t="shared" si="22"/>
        <v>41.880497179705003</v>
      </c>
      <c r="R174" s="214">
        <f t="shared" si="23"/>
        <v>0.36780198064977027</v>
      </c>
      <c r="AC174" s="251"/>
    </row>
    <row r="175" spans="1:29" ht="15.6" x14ac:dyDescent="0.3">
      <c r="A175" s="194">
        <v>2052</v>
      </c>
      <c r="B175" s="229">
        <v>48.005683344911844</v>
      </c>
      <c r="C175" s="229">
        <v>11.694181624699841</v>
      </c>
      <c r="D175" s="229">
        <v>2.1696790382009272</v>
      </c>
      <c r="E175" s="229">
        <v>18.328698778238525</v>
      </c>
      <c r="F175" s="229">
        <v>7.5464110823748918</v>
      </c>
      <c r="G175" s="229">
        <v>2.4024996673377714</v>
      </c>
      <c r="H175" s="229">
        <v>10.287394296944875</v>
      </c>
      <c r="I175" s="229">
        <v>4.3261242440565004</v>
      </c>
      <c r="J175" s="229">
        <v>4.0888982550389565</v>
      </c>
      <c r="K175" s="229">
        <v>5.0530784049858264</v>
      </c>
      <c r="N175" s="195">
        <f t="shared" si="19"/>
        <v>15.587715563668542</v>
      </c>
      <c r="O175" s="195">
        <f t="shared" si="21"/>
        <v>10.287394296944875</v>
      </c>
      <c r="P175" s="195">
        <f t="shared" si="20"/>
        <v>16.266360330238541</v>
      </c>
      <c r="Q175" s="195">
        <f t="shared" si="22"/>
        <v>42.141470190851962</v>
      </c>
      <c r="R175" s="196">
        <f t="shared" si="23"/>
        <v>0.36989016977989325</v>
      </c>
      <c r="AC175" s="251"/>
    </row>
    <row r="176" spans="1:29" ht="15.6" x14ac:dyDescent="0.3">
      <c r="A176" s="194">
        <v>2053</v>
      </c>
      <c r="B176" s="229">
        <v>48.24183607511668</v>
      </c>
      <c r="C176" s="229">
        <v>11.728154591219509</v>
      </c>
      <c r="D176" s="229">
        <v>2.1753604004884237</v>
      </c>
      <c r="E176" s="229">
        <v>18.421074810728342</v>
      </c>
      <c r="F176" s="229">
        <v>7.6505125392225448</v>
      </c>
      <c r="G176" s="229">
        <v>2.4190400346848606</v>
      </c>
      <c r="H176" s="229">
        <v>10.303325759877195</v>
      </c>
      <c r="I176" s="229">
        <v>4.3655413884396026</v>
      </c>
      <c r="J176" s="229">
        <v>4.0900662146991786</v>
      </c>
      <c r="K176" s="229">
        <v>5.0723417388462657</v>
      </c>
      <c r="N176" s="195">
        <f t="shared" si="19"/>
        <v>15.768261590073694</v>
      </c>
      <c r="O176" s="195">
        <f t="shared" si="21"/>
        <v>10.303325759877195</v>
      </c>
      <c r="P176" s="195">
        <f t="shared" si="20"/>
        <v>16.322555026392795</v>
      </c>
      <c r="Q176" s="195">
        <f t="shared" si="22"/>
        <v>42.394142376343687</v>
      </c>
      <c r="R176" s="196">
        <f t="shared" si="23"/>
        <v>0.37194434669994708</v>
      </c>
      <c r="AC176" s="251"/>
    </row>
    <row r="177" spans="1:29" ht="15.6" x14ac:dyDescent="0.3">
      <c r="A177" s="194">
        <v>2054</v>
      </c>
      <c r="B177" s="229">
        <v>48.472112324436353</v>
      </c>
      <c r="C177" s="229">
        <v>11.760182010644328</v>
      </c>
      <c r="D177" s="229">
        <v>2.1814299028033806</v>
      </c>
      <c r="E177" s="229">
        <v>18.507684638000072</v>
      </c>
      <c r="F177" s="229">
        <v>7.7539331915645242</v>
      </c>
      <c r="G177" s="229">
        <v>2.4347784415425515</v>
      </c>
      <c r="H177" s="229">
        <v>10.316509868392259</v>
      </c>
      <c r="I177" s="229">
        <v>4.4038807937986295</v>
      </c>
      <c r="J177" s="229">
        <v>4.0910717145866151</v>
      </c>
      <c r="K177" s="229">
        <v>5.0908116535881174</v>
      </c>
      <c r="N177" s="195">
        <f t="shared" si="19"/>
        <v>15.945107961172337</v>
      </c>
      <c r="O177" s="195">
        <f t="shared" si="21"/>
        <v>10.316509868392259</v>
      </c>
      <c r="P177" s="195">
        <f t="shared" si="20"/>
        <v>16.37639035499026</v>
      </c>
      <c r="Q177" s="195">
        <f t="shared" si="22"/>
        <v>42.638008184554856</v>
      </c>
      <c r="R177" s="196">
        <f t="shared" si="23"/>
        <v>0.37396465360565961</v>
      </c>
      <c r="AC177" s="251"/>
    </row>
    <row r="178" spans="1:29" ht="15.6" x14ac:dyDescent="0.3">
      <c r="A178" s="194">
        <v>2055</v>
      </c>
      <c r="B178" s="229">
        <v>48.696512092870847</v>
      </c>
      <c r="C178" s="229">
        <v>11.790160129744207</v>
      </c>
      <c r="D178" s="229">
        <v>2.1879183118390464</v>
      </c>
      <c r="E178" s="229">
        <v>18.588200612814347</v>
      </c>
      <c r="F178" s="229">
        <v>7.8566149277052038</v>
      </c>
      <c r="G178" s="229">
        <v>2.4496680817573688</v>
      </c>
      <c r="H178" s="229">
        <v>10.326820794890809</v>
      </c>
      <c r="I178" s="229">
        <v>4.4410811065058535</v>
      </c>
      <c r="J178" s="229">
        <v>4.0919203072304704</v>
      </c>
      <c r="K178" s="229">
        <v>5.1084514926742814</v>
      </c>
      <c r="N178" s="195">
        <f t="shared" si="19"/>
        <v>16.117994745628742</v>
      </c>
      <c r="O178" s="195">
        <f t="shared" si="21"/>
        <v>10.326820794890809</v>
      </c>
      <c r="P178" s="195">
        <f t="shared" si="20"/>
        <v>16.427746523340623</v>
      </c>
      <c r="Q178" s="195">
        <f t="shared" si="22"/>
        <v>42.872562063860173</v>
      </c>
      <c r="R178" s="196">
        <f t="shared" si="23"/>
        <v>0.37595128375160852</v>
      </c>
      <c r="AC178" s="251"/>
    </row>
    <row r="179" spans="1:29" ht="15.6" x14ac:dyDescent="0.3">
      <c r="A179" s="194">
        <v>2056</v>
      </c>
      <c r="B179" s="229">
        <v>48.915035380420179</v>
      </c>
      <c r="C179" s="229">
        <v>11.817985195289049</v>
      </c>
      <c r="D179" s="229">
        <v>2.1948563942886707</v>
      </c>
      <c r="E179" s="229">
        <v>18.662295087931824</v>
      </c>
      <c r="F179" s="229">
        <v>7.9584996359489519</v>
      </c>
      <c r="G179" s="229">
        <v>2.4636621491758373</v>
      </c>
      <c r="H179" s="229">
        <v>10.334132711773581</v>
      </c>
      <c r="I179" s="229">
        <v>4.4770809729335443</v>
      </c>
      <c r="J179" s="229">
        <v>4.092617545159948</v>
      </c>
      <c r="K179" s="229">
        <v>5.1252245995676589</v>
      </c>
      <c r="N179" s="195">
        <f t="shared" si="19"/>
        <v>16.286662012107197</v>
      </c>
      <c r="O179" s="195">
        <f t="shared" si="21"/>
        <v>10.334132711773581</v>
      </c>
      <c r="P179" s="195">
        <f t="shared" si="20"/>
        <v>16.476503738753557</v>
      </c>
      <c r="Q179" s="195">
        <f t="shared" si="22"/>
        <v>43.097298462634328</v>
      </c>
      <c r="R179" s="196">
        <f t="shared" si="23"/>
        <v>0.37790447645408337</v>
      </c>
      <c r="AC179" s="251"/>
    </row>
    <row r="180" spans="1:29" ht="15.6" x14ac:dyDescent="0.3">
      <c r="A180" s="194">
        <v>2057</v>
      </c>
      <c r="B180" s="229">
        <v>49.127682187084339</v>
      </c>
      <c r="C180" s="229">
        <v>11.843553454048759</v>
      </c>
      <c r="D180" s="229">
        <v>2.2022749168455027</v>
      </c>
      <c r="E180" s="229">
        <v>18.729640416113135</v>
      </c>
      <c r="F180" s="229">
        <v>8.059529204600139</v>
      </c>
      <c r="G180" s="229">
        <v>2.4767138376444828</v>
      </c>
      <c r="H180" s="229">
        <v>10.338319791441315</v>
      </c>
      <c r="I180" s="229">
        <v>4.5118190394539752</v>
      </c>
      <c r="J180" s="229">
        <v>4.0931689809042542</v>
      </c>
      <c r="K180" s="229">
        <v>5.1410943177311497</v>
      </c>
      <c r="N180" s="195">
        <f t="shared" si="19"/>
        <v>16.450849829271959</v>
      </c>
      <c r="O180" s="195">
        <f t="shared" si="21"/>
        <v>10.338319791441315</v>
      </c>
      <c r="P180" s="195">
        <f t="shared" si="20"/>
        <v>16.522542208538745</v>
      </c>
      <c r="Q180" s="195">
        <f t="shared" si="22"/>
        <v>43.311711829252019</v>
      </c>
      <c r="R180" s="196">
        <f t="shared" si="23"/>
        <v>0.37982451245811361</v>
      </c>
      <c r="AC180" s="251"/>
    </row>
    <row r="181" spans="1:29" ht="15.6" x14ac:dyDescent="0.3">
      <c r="A181" s="194">
        <v>2058</v>
      </c>
      <c r="B181" s="229">
        <v>49.334452512863336</v>
      </c>
      <c r="C181" s="229">
        <v>11.866761152793245</v>
      </c>
      <c r="D181" s="229">
        <v>2.2102046462027918</v>
      </c>
      <c r="E181" s="229">
        <v>18.789908950118928</v>
      </c>
      <c r="F181" s="229">
        <v>8.1596455219631387</v>
      </c>
      <c r="G181" s="229">
        <v>2.4887763410098294</v>
      </c>
      <c r="H181" s="229">
        <v>10.339256206294749</v>
      </c>
      <c r="I181" s="229">
        <v>4.545233952439415</v>
      </c>
      <c r="J181" s="229">
        <v>4.0935801669925933</v>
      </c>
      <c r="K181" s="229">
        <v>5.1560239906276539</v>
      </c>
      <c r="N181" s="195">
        <f t="shared" si="19"/>
        <v>16.610298265787318</v>
      </c>
      <c r="O181" s="195">
        <f t="shared" si="21"/>
        <v>10.339256206294749</v>
      </c>
      <c r="P181" s="195">
        <f t="shared" si="20"/>
        <v>16.565742140005867</v>
      </c>
      <c r="Q181" s="195">
        <f t="shared" si="22"/>
        <v>43.515296612087937</v>
      </c>
      <c r="R181" s="196">
        <f t="shared" si="23"/>
        <v>0.38171170965138751</v>
      </c>
      <c r="AC181" s="251"/>
    </row>
    <row r="182" spans="1:29" ht="15.6" x14ac:dyDescent="0.3">
      <c r="A182" s="194">
        <v>2059</v>
      </c>
      <c r="B182" s="229">
        <v>49.535346357757149</v>
      </c>
      <c r="C182" s="229">
        <v>11.887504538292408</v>
      </c>
      <c r="D182" s="229">
        <v>2.218676349053788</v>
      </c>
      <c r="E182" s="229">
        <v>18.842773042709847</v>
      </c>
      <c r="F182" s="229">
        <v>8.2587904763423179</v>
      </c>
      <c r="G182" s="229">
        <v>2.4998028531184029</v>
      </c>
      <c r="H182" s="229">
        <v>10.336816128734622</v>
      </c>
      <c r="I182" s="229">
        <v>4.5772643582621368</v>
      </c>
      <c r="J182" s="229">
        <v>4.0938566559541689</v>
      </c>
      <c r="K182" s="229">
        <v>5.1699769617200735</v>
      </c>
      <c r="N182" s="195">
        <f t="shared" si="19"/>
        <v>16.764747390317542</v>
      </c>
      <c r="O182" s="195">
        <f t="shared" si="21"/>
        <v>10.336816128734622</v>
      </c>
      <c r="P182" s="195">
        <f t="shared" si="20"/>
        <v>16.605983740464598</v>
      </c>
      <c r="Q182" s="195">
        <f t="shared" si="22"/>
        <v>43.707547259516758</v>
      </c>
      <c r="R182" s="196">
        <f t="shared" si="23"/>
        <v>0.38356641910779454</v>
      </c>
      <c r="AC182" s="251"/>
    </row>
    <row r="183" spans="1:29" ht="15.6" x14ac:dyDescent="0.3">
      <c r="A183" s="194">
        <v>2060</v>
      </c>
      <c r="B183" s="229">
        <v>49.730363721765805</v>
      </c>
      <c r="C183" s="229">
        <v>11.905679857316155</v>
      </c>
      <c r="D183" s="229">
        <v>2.2277207920917395</v>
      </c>
      <c r="E183" s="229">
        <v>18.887905046646537</v>
      </c>
      <c r="F183" s="229">
        <v>8.3569059560420484</v>
      </c>
      <c r="G183" s="229">
        <v>2.5097465678167281</v>
      </c>
      <c r="H183" s="229">
        <v>10.33087373116167</v>
      </c>
      <c r="I183" s="229">
        <v>4.6078489032944105</v>
      </c>
      <c r="J183" s="229">
        <v>4.0940040003181855</v>
      </c>
      <c r="K183" s="229">
        <v>5.1829165744713075</v>
      </c>
      <c r="N183" s="195">
        <f t="shared" si="19"/>
        <v>16.913937271526915</v>
      </c>
      <c r="O183" s="195">
        <f t="shared" si="21"/>
        <v>10.33087373116167</v>
      </c>
      <c r="P183" s="195">
        <f t="shared" si="20"/>
        <v>16.643147217224623</v>
      </c>
      <c r="Q183" s="195">
        <f t="shared" si="22"/>
        <v>43.887958219913216</v>
      </c>
      <c r="R183" s="196">
        <f>N183/Q183</f>
        <v>0.38538902144353071</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2" tint="-0.249977111117893"/>
  </sheetPr>
  <dimension ref="A1:EX343"/>
  <sheetViews>
    <sheetView showGridLines="0" topLeftCell="D117" zoomScaleNormal="100" zoomScalePageLayoutView="80" workbookViewId="0">
      <selection activeCell="J131" sqref="J131:P131"/>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8.796875"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9.199218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WaterHeating_cluster</v>
      </c>
      <c r="B1" s="156"/>
      <c r="C1" s="157" t="s">
        <v>530</v>
      </c>
      <c r="D1" s="157" t="s">
        <v>525</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SUM(OFFSET(AV136,J2-2015,0,J3-J2+1,1))/1000</f>
        <v>0</v>
      </c>
      <c r="O4" s="164">
        <f>SUM(AV136:AV181)/1000</f>
        <v>0</v>
      </c>
    </row>
    <row r="5" spans="1:154" ht="12.75" customHeight="1" x14ac:dyDescent="0.25">
      <c r="E5" s="498" t="s">
        <v>61</v>
      </c>
      <c r="F5" s="499">
        <v>1.4999999999999999E-2</v>
      </c>
      <c r="G5" s="167" t="s">
        <v>211</v>
      </c>
      <c r="H5" s="167" t="s">
        <v>213</v>
      </c>
      <c r="L5" s="617"/>
      <c r="M5" s="153" t="s">
        <v>375</v>
      </c>
      <c r="N5" s="164">
        <f ca="1">SUM(OFFSET(AU136,J2-2015,0,J3-J2+1,1))/1000</f>
        <v>0.39359555118689388</v>
      </c>
      <c r="O5" s="164">
        <f>SUM(AU136:AU181)/1000</f>
        <v>0.85213204002763421</v>
      </c>
    </row>
    <row r="6" spans="1:154" ht="13.8" x14ac:dyDescent="0.25">
      <c r="E6" s="498" t="s">
        <v>167</v>
      </c>
      <c r="F6" s="499">
        <v>0.151</v>
      </c>
      <c r="G6" s="167" t="s">
        <v>211</v>
      </c>
      <c r="H6" s="167" t="s">
        <v>213</v>
      </c>
    </row>
    <row r="7" spans="1:154" ht="13.8" x14ac:dyDescent="0.25">
      <c r="A7" s="35" t="s">
        <v>491</v>
      </c>
      <c r="E7" s="498" t="s">
        <v>23</v>
      </c>
      <c r="F7" s="499">
        <v>0.25800000000000001</v>
      </c>
      <c r="G7" s="167" t="s">
        <v>211</v>
      </c>
      <c r="H7" s="167" t="s">
        <v>213</v>
      </c>
      <c r="I7" s="516"/>
      <c r="J7" s="516"/>
      <c r="K7" s="516"/>
      <c r="L7" s="618" t="s">
        <v>369</v>
      </c>
      <c r="M7" s="497" t="s">
        <v>377</v>
      </c>
      <c r="N7" s="164">
        <f ca="1">SUM(OFFSET(AA195,J2-2015,0,J3-J2+1,1))/1000</f>
        <v>0</v>
      </c>
      <c r="O7" s="164">
        <f>SUM(AA195:AA240)/1000</f>
        <v>0</v>
      </c>
      <c r="P7" s="165"/>
    </row>
    <row r="8" spans="1:154" ht="13.8" x14ac:dyDescent="0.25">
      <c r="A8" s="486" t="s">
        <v>368</v>
      </c>
      <c r="B8" s="487" t="s">
        <v>492</v>
      </c>
      <c r="C8" s="487"/>
      <c r="E8" s="498" t="s">
        <v>172</v>
      </c>
      <c r="F8" s="499">
        <v>0.13400000000000001</v>
      </c>
      <c r="G8" s="167" t="s">
        <v>211</v>
      </c>
      <c r="H8" s="167" t="s">
        <v>213</v>
      </c>
      <c r="L8" s="618"/>
      <c r="M8" s="153" t="s">
        <v>375</v>
      </c>
      <c r="N8" s="164">
        <f ca="1">SUM(OFFSET(Z195,J2-2015,0,J3-J2+1,1))/1000</f>
        <v>0.90195274259300429</v>
      </c>
      <c r="O8" s="164">
        <f>SUM(Z195:Z240)/1000</f>
        <v>1.6966492806433942</v>
      </c>
    </row>
    <row r="9" spans="1:154" ht="13.8" x14ac:dyDescent="0.25">
      <c r="A9" s="488" t="s">
        <v>369</v>
      </c>
      <c r="B9" s="489" t="s">
        <v>455</v>
      </c>
      <c r="C9" s="489"/>
      <c r="E9" s="498" t="s">
        <v>195</v>
      </c>
      <c r="F9" s="499">
        <v>0.316</v>
      </c>
      <c r="G9" s="167" t="s">
        <v>213</v>
      </c>
      <c r="H9" s="167" t="s">
        <v>211</v>
      </c>
    </row>
    <row r="10" spans="1:154" ht="39.6" x14ac:dyDescent="0.25">
      <c r="A10" s="527" t="s">
        <v>592</v>
      </c>
      <c r="B10" s="490" t="s">
        <v>509</v>
      </c>
      <c r="C10" s="493" t="s">
        <v>512</v>
      </c>
      <c r="E10" s="498" t="s">
        <v>176</v>
      </c>
      <c r="F10" s="499">
        <v>5.5E-2</v>
      </c>
      <c r="G10" s="167" t="s">
        <v>211</v>
      </c>
      <c r="H10" s="167" t="s">
        <v>213</v>
      </c>
    </row>
    <row r="11" spans="1:154" ht="39.6" x14ac:dyDescent="0.25">
      <c r="A11" s="527" t="s">
        <v>593</v>
      </c>
      <c r="B11" s="490" t="s">
        <v>507</v>
      </c>
      <c r="C11" s="493" t="s">
        <v>512</v>
      </c>
      <c r="E11" s="498"/>
      <c r="F11" s="499"/>
      <c r="G11" s="167"/>
      <c r="H11" s="167"/>
      <c r="L11" s="617" t="s">
        <v>522</v>
      </c>
      <c r="M11" s="497" t="s">
        <v>377</v>
      </c>
      <c r="N11" s="164">
        <f ca="1">N4+N7</f>
        <v>0</v>
      </c>
      <c r="O11" s="164">
        <f>O4+O7</f>
        <v>0</v>
      </c>
    </row>
    <row r="12" spans="1:154" ht="13.8" x14ac:dyDescent="0.25">
      <c r="A12" s="488" t="s">
        <v>493</v>
      </c>
      <c r="B12" s="489" t="s">
        <v>506</v>
      </c>
      <c r="C12" s="489"/>
      <c r="E12" s="498"/>
      <c r="F12" s="499"/>
      <c r="G12" s="167"/>
      <c r="H12" s="167"/>
      <c r="L12" s="617"/>
      <c r="M12" s="153" t="s">
        <v>375</v>
      </c>
      <c r="N12" s="164">
        <f ca="1">N5+N8</f>
        <v>1.2955482937798981</v>
      </c>
      <c r="O12" s="164">
        <f>O5+O8</f>
        <v>2.5487813206710284</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ht="13.8" x14ac:dyDescent="0.25">
      <c r="E21" s="500" t="s">
        <v>326</v>
      </c>
      <c r="F21" s="501">
        <v>0.25807604271849455</v>
      </c>
    </row>
    <row r="22" spans="1:68" ht="13.8" x14ac:dyDescent="0.25">
      <c r="E22" s="500" t="s">
        <v>268</v>
      </c>
      <c r="F22" s="518">
        <v>4559.9356816308</v>
      </c>
    </row>
    <row r="23" spans="1:68" x14ac:dyDescent="0.25">
      <c r="D23" s="443"/>
      <c r="E23" s="443" t="s">
        <v>527</v>
      </c>
      <c r="F23" s="420"/>
    </row>
    <row r="24" spans="1:68" ht="13.8" thickBot="1" x14ac:dyDescent="0.3">
      <c r="E24" s="443" t="s">
        <v>528</v>
      </c>
      <c r="F24" s="420"/>
    </row>
    <row r="25" spans="1:68" ht="15" customHeight="1" thickBot="1" x14ac:dyDescent="0.3">
      <c r="A25" s="646" t="str">
        <f>CONCATENATE("Table 2: REF2, ",C1," TAM ",D1)</f>
        <v>Table 2: REF2, Water Heating TAM (TWh Therms)</v>
      </c>
      <c r="B25" s="647"/>
      <c r="C25" s="647"/>
      <c r="D25" s="647"/>
      <c r="E25" s="647"/>
      <c r="F25" s="699"/>
      <c r="G25" s="647"/>
      <c r="H25" s="647"/>
      <c r="I25" s="647"/>
      <c r="J25" s="647"/>
      <c r="K25" s="648"/>
      <c r="M25" s="638" t="str">
        <f>CONCATENATE("Table 3: REF1 ,",C1," TAM ",D1)</f>
        <v>Table 3: REF1 ,Water Heating TAM (TWh Therms)</v>
      </c>
      <c r="N25" s="639"/>
      <c r="O25" s="639"/>
      <c r="P25" s="639"/>
      <c r="Q25" s="639"/>
      <c r="R25" s="639"/>
      <c r="S25" s="639"/>
      <c r="T25" s="639"/>
      <c r="U25" s="639"/>
      <c r="V25" s="639"/>
      <c r="W25" s="640"/>
      <c r="Y25" s="627" t="str">
        <f>CONCATENATE("Table 3: REF1 ",$C$1," TAM ",$D$1)</f>
        <v>Table 3: REF1 Water Heating TAM (TWh Therms)</v>
      </c>
      <c r="Z25" s="627"/>
      <c r="AA25" s="627"/>
      <c r="AB25" s="627"/>
      <c r="AC25" s="627"/>
      <c r="AD25" s="627"/>
      <c r="AE25" s="627"/>
      <c r="AF25" s="627"/>
      <c r="AG25" s="627"/>
      <c r="AH25" s="627"/>
      <c r="AI25" s="627"/>
      <c r="AK25" s="628" t="str">
        <f>CONCATENATE("Table 3: REF1 ",$C$1," TAM ",$D$1)</f>
        <v>Table 3: REF1 Water Heating TAM (TWh Therms)</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WaterHeating_cluster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528" t="s">
        <v>604</v>
      </c>
      <c r="C27" s="460" t="s">
        <v>211</v>
      </c>
      <c r="D27" s="460" t="s">
        <v>211</v>
      </c>
      <c r="E27" s="460" t="s">
        <v>213</v>
      </c>
      <c r="F27" s="460" t="s">
        <v>213</v>
      </c>
      <c r="G27" s="460" t="s">
        <v>211</v>
      </c>
      <c r="H27" s="435"/>
      <c r="I27" s="435"/>
      <c r="J27" s="435"/>
      <c r="K27" s="435"/>
      <c r="M27" s="455"/>
      <c r="N27" s="461" t="str">
        <f>B27</f>
        <v>Regions included as LLDC:</v>
      </c>
      <c r="O27" s="462" t="str">
        <f>C27</f>
        <v>N</v>
      </c>
      <c r="P27" s="462" t="str">
        <f t="shared" ref="P27:S27" si="0">D27</f>
        <v>N</v>
      </c>
      <c r="Q27" s="462" t="str">
        <f t="shared" si="0"/>
        <v>Y</v>
      </c>
      <c r="R27" s="462" t="str">
        <f t="shared" si="0"/>
        <v>Y</v>
      </c>
      <c r="S27" s="462" t="str">
        <f t="shared" si="0"/>
        <v>N</v>
      </c>
      <c r="T27" s="435"/>
      <c r="U27" s="435"/>
      <c r="V27" s="435"/>
      <c r="W27" s="435"/>
      <c r="Y27" s="455"/>
      <c r="Z27" s="461" t="str">
        <f>B27</f>
        <v>Regions included as LLDC:</v>
      </c>
      <c r="AA27" s="462" t="str">
        <f>O27</f>
        <v>N</v>
      </c>
      <c r="AB27" s="462" t="str">
        <f t="shared" ref="AB27:AE27" si="1">P27</f>
        <v>N</v>
      </c>
      <c r="AC27" s="462" t="str">
        <f t="shared" si="1"/>
        <v>Y</v>
      </c>
      <c r="AD27" s="462" t="str">
        <f t="shared" si="1"/>
        <v>Y</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40.200000000000003" thickBot="1" x14ac:dyDescent="0.3">
      <c r="A28" s="213"/>
      <c r="B28" s="474" t="s">
        <v>4</v>
      </c>
      <c r="C28" s="475" t="s">
        <v>5</v>
      </c>
      <c r="D28" s="475" t="s">
        <v>6</v>
      </c>
      <c r="E28" s="475" t="s">
        <v>7</v>
      </c>
      <c r="F28" s="475" t="s">
        <v>8</v>
      </c>
      <c r="G28" s="475" t="s">
        <v>9</v>
      </c>
      <c r="H28" s="475" t="s">
        <v>10</v>
      </c>
      <c r="I28" s="475" t="s">
        <v>11</v>
      </c>
      <c r="J28" s="475" t="s">
        <v>12</v>
      </c>
      <c r="K28" s="476" t="s">
        <v>13</v>
      </c>
      <c r="M28" s="189"/>
      <c r="N28" s="190" t="s">
        <v>4</v>
      </c>
      <c r="O28" s="191" t="s">
        <v>5</v>
      </c>
      <c r="P28" s="191" t="s">
        <v>6</v>
      </c>
      <c r="Q28" s="191" t="s">
        <v>460</v>
      </c>
      <c r="R28" s="191" t="s">
        <v>8</v>
      </c>
      <c r="S28" s="191" t="s">
        <v>9</v>
      </c>
      <c r="T28" s="191" t="s">
        <v>10</v>
      </c>
      <c r="U28" s="191" t="s">
        <v>11</v>
      </c>
      <c r="V28" s="191" t="s">
        <v>12</v>
      </c>
      <c r="W28" s="192" t="s">
        <v>13</v>
      </c>
      <c r="Y28" s="456"/>
      <c r="Z28" s="457" t="s">
        <v>4</v>
      </c>
      <c r="AA28" s="458" t="s">
        <v>5</v>
      </c>
      <c r="AB28" s="458" t="s">
        <v>6</v>
      </c>
      <c r="AC28" s="458" t="s">
        <v>7</v>
      </c>
      <c r="AD28" s="458" t="s">
        <v>8</v>
      </c>
      <c r="AE28" s="458" t="s">
        <v>9</v>
      </c>
      <c r="AF28" s="458" t="s">
        <v>10</v>
      </c>
      <c r="AG28" s="458" t="s">
        <v>11</v>
      </c>
      <c r="AH28" s="458" t="s">
        <v>12</v>
      </c>
      <c r="AI28" s="458" t="s">
        <v>13</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4732.0653203457377</v>
      </c>
      <c r="C29" s="229">
        <v>1553.6067189846804</v>
      </c>
      <c r="D29" s="229">
        <v>515.63814641175497</v>
      </c>
      <c r="E29" s="229">
        <v>969.59201523607851</v>
      </c>
      <c r="F29" s="229">
        <v>266.1926442063214</v>
      </c>
      <c r="G29" s="229">
        <v>322.43650019573755</v>
      </c>
      <c r="H29" s="229">
        <v>738.30060628367983</v>
      </c>
      <c r="I29" s="229">
        <v>386.78294705354386</v>
      </c>
      <c r="J29" s="229">
        <v>595.84560800759175</v>
      </c>
      <c r="K29" s="229">
        <v>588.8135754148019</v>
      </c>
      <c r="M29" s="194">
        <v>2014</v>
      </c>
      <c r="N29" s="419">
        <f t="shared" ref="N29:N75" si="2">SUM(O29:S29)</f>
        <v>355.30759070349228</v>
      </c>
      <c r="O29" s="418">
        <f>(C29/Population_Tables!P3)*Population_Tables!D62</f>
        <v>0</v>
      </c>
      <c r="P29" s="418">
        <f>(D29/Population_Tables!Q3)*Population_Tables!E62</f>
        <v>0</v>
      </c>
      <c r="Q29" s="418">
        <f>((E29-H29)/Population_Tables!R3)*Population_Tables!F62</f>
        <v>117.42907038739541</v>
      </c>
      <c r="R29" s="418">
        <f>(F29/Population_Tables!S3)*Population_Tables!G62</f>
        <v>152.33715550944271</v>
      </c>
      <c r="S29" s="418">
        <f>(G29/Population_Tables!T3)*Population_Tables!H62</f>
        <v>85.541364806654158</v>
      </c>
      <c r="T29" s="418">
        <f>(H29/Population_Tables!U3)*Population_Tables!I62</f>
        <v>0</v>
      </c>
      <c r="U29" s="418">
        <f>(I29/Population_Tables!V3)*Population_Tables!J62</f>
        <v>0</v>
      </c>
      <c r="V29" s="418">
        <f>(J29/Population_Tables!W3)*Population_Tables!K62</f>
        <v>0</v>
      </c>
      <c r="W29" s="418">
        <f>(K29/Population_Tables!X3)*Population_Tables!L62</f>
        <v>0</v>
      </c>
      <c r="Y29" s="456">
        <v>2014</v>
      </c>
      <c r="Z29" s="459">
        <f>((B29/Population_Tables!O3)*Population_Tables!C3)-N29</f>
        <v>4376.749725952568</v>
      </c>
      <c r="AA29" s="459">
        <f>((C29/Population_Tables!P3)*Population_Tables!D3)-O29</f>
        <v>1553.6067189846804</v>
      </c>
      <c r="AB29" s="459">
        <f>((D29/Population_Tables!Q3)*Population_Tables!E3)-P29</f>
        <v>515.63814641175497</v>
      </c>
      <c r="AC29" s="459">
        <f>((E29/Population_Tables!R3)*Population_Tables!F3)-Q29</f>
        <v>852.15992138055287</v>
      </c>
      <c r="AD29" s="459">
        <f>((F29/Population_Tables!S3)*Population_Tables!G3)-R29</f>
        <v>113.85548869687869</v>
      </c>
      <c r="AE29" s="459">
        <f>((G29/Population_Tables!T3)*Population_Tables!H3)-S29</f>
        <v>236.89513538908341</v>
      </c>
      <c r="AF29" s="459">
        <f>(H29/Population_Tables!U3)*Population_Tables!I3</f>
        <v>738.30060628367983</v>
      </c>
      <c r="AG29" s="459">
        <f>(I29/Population_Tables!V3)*Population_Tables!J3</f>
        <v>386.78294705354386</v>
      </c>
      <c r="AH29" s="459">
        <f>(J29/Population_Tables!W3)*Population_Tables!K3</f>
        <v>595.84560800759175</v>
      </c>
      <c r="AI29" s="459">
        <f>(K29/Population_Tables!X3)*Population_Tables!L3</f>
        <v>588.8135754148019</v>
      </c>
      <c r="AK29" s="456">
        <v>2014</v>
      </c>
      <c r="AL29" s="459">
        <f>Z29+N29</f>
        <v>4732.0573166560607</v>
      </c>
      <c r="AM29" s="459">
        <f t="shared" ref="AM29:AU44" si="3">AA29+O29</f>
        <v>1553.6067189846804</v>
      </c>
      <c r="AN29" s="459">
        <f t="shared" si="3"/>
        <v>515.63814641175497</v>
      </c>
      <c r="AO29" s="459">
        <f t="shared" si="3"/>
        <v>969.5889917679483</v>
      </c>
      <c r="AP29" s="459">
        <f t="shared" si="3"/>
        <v>266.1926442063214</v>
      </c>
      <c r="AQ29" s="459">
        <f t="shared" si="3"/>
        <v>322.43650019573755</v>
      </c>
      <c r="AR29" s="459">
        <f t="shared" si="3"/>
        <v>738.30060628367983</v>
      </c>
      <c r="AS29" s="459">
        <f t="shared" si="3"/>
        <v>386.78294705354386</v>
      </c>
      <c r="AT29" s="459">
        <f t="shared" si="3"/>
        <v>595.84560800759175</v>
      </c>
      <c r="AU29" s="459">
        <f t="shared" si="3"/>
        <v>588.8135754148019</v>
      </c>
      <c r="AW29" s="216">
        <f>(B29/Population_Tables!O3)*Population_Tables!C3</f>
        <v>4732.0573166560607</v>
      </c>
      <c r="AX29" s="153" t="str">
        <f>IF(AW29-AL29=0,"OK")</f>
        <v>OK</v>
      </c>
      <c r="AY29" s="421">
        <f t="shared" ref="AY29:AY75" si="4">SUM(BB29:BF29)</f>
        <v>3627.4630015664425</v>
      </c>
      <c r="AZ29" s="153" t="str">
        <f t="shared" ref="AZ29:AZ75" si="5">IF(AY29-(SUM(AM29:AQ29))=0,"OK")</f>
        <v>OK</v>
      </c>
      <c r="BB29" s="216">
        <f>(C29/Population_Tables!P3)*Population_Tables!D3</f>
        <v>1553.6067189846804</v>
      </c>
      <c r="BC29" s="216">
        <f>(D29/Population_Tables!Q3)*Population_Tables!E3</f>
        <v>515.63814641175497</v>
      </c>
      <c r="BD29" s="216">
        <f>(E29/Population_Tables!R3)*Population_Tables!F3</f>
        <v>969.5889917679483</v>
      </c>
      <c r="BE29" s="216">
        <f>(F29/Population_Tables!S3)*Population_Tables!G3</f>
        <v>266.1926442063214</v>
      </c>
      <c r="BF29" s="216">
        <f>(G29/Population_Tables!T3)*Population_Tables!H3</f>
        <v>322.43650019573755</v>
      </c>
      <c r="BG29" s="216"/>
      <c r="BN29" s="216"/>
      <c r="BO29" s="216"/>
      <c r="BP29" s="216"/>
    </row>
    <row r="30" spans="1:68" ht="15.6" x14ac:dyDescent="0.3">
      <c r="A30" s="194">
        <v>2015</v>
      </c>
      <c r="B30" s="229">
        <v>4770.3360611005028</v>
      </c>
      <c r="C30" s="229">
        <v>1562.2408570262396</v>
      </c>
      <c r="D30" s="229">
        <v>518.14027167939901</v>
      </c>
      <c r="E30" s="229">
        <v>999.2746076725723</v>
      </c>
      <c r="F30" s="229">
        <v>274.62474543531806</v>
      </c>
      <c r="G30" s="229">
        <v>328.7304123445353</v>
      </c>
      <c r="H30" s="229">
        <v>750.79728308202266</v>
      </c>
      <c r="I30" s="229">
        <v>390.07386937529793</v>
      </c>
      <c r="J30" s="229">
        <v>599.08537663246682</v>
      </c>
      <c r="K30" s="229">
        <v>594.24439570538539</v>
      </c>
      <c r="M30" s="194">
        <v>2015</v>
      </c>
      <c r="N30" s="419">
        <f t="shared" si="2"/>
        <v>371.68750448780162</v>
      </c>
      <c r="O30" s="418">
        <f>(C30/Population_Tables!P4)*Population_Tables!D63</f>
        <v>0</v>
      </c>
      <c r="P30" s="418">
        <f>(D30/Population_Tables!Q4)*Population_Tables!E63</f>
        <v>0</v>
      </c>
      <c r="Q30" s="418">
        <f>((E30-H30)/Population_Tables!R4)*Population_Tables!F63</f>
        <v>126.52046667618049</v>
      </c>
      <c r="R30" s="418">
        <f>(F30/Population_Tables!S4)*Population_Tables!G63</f>
        <v>157.70750410952743</v>
      </c>
      <c r="S30" s="418">
        <f>(G30/Population_Tables!T4)*Population_Tables!H63</f>
        <v>87.45953370209368</v>
      </c>
      <c r="T30" s="418">
        <f>(H30/Population_Tables!U4)*Population_Tables!I63</f>
        <v>0</v>
      </c>
      <c r="U30" s="418">
        <f>(I30/Population_Tables!V4)*Population_Tables!J63</f>
        <v>0</v>
      </c>
      <c r="V30" s="418">
        <f>(J30/Population_Tables!W4)*Population_Tables!K63</f>
        <v>0</v>
      </c>
      <c r="W30" s="418">
        <f>(K30/Population_Tables!X4)*Population_Tables!L63</f>
        <v>0</v>
      </c>
      <c r="Y30" s="456">
        <v>2015</v>
      </c>
      <c r="Z30" s="459">
        <f>((B30/Population_Tables!O4)*Population_Tables!C4)-N30</f>
        <v>4398.6406297228759</v>
      </c>
      <c r="AA30" s="459">
        <f>((C30/Population_Tables!P4)*Population_Tables!D4)-O30</f>
        <v>1562.2408570262396</v>
      </c>
      <c r="AB30" s="459">
        <f>((D30/Population_Tables!Q4)*Population_Tables!E4)-P30</f>
        <v>518.14027167939901</v>
      </c>
      <c r="AC30" s="459">
        <f>((E30/Population_Tables!R4)*Population_Tables!F4)-Q30</f>
        <v>872.75107406261623</v>
      </c>
      <c r="AD30" s="459">
        <f>((F30/Population_Tables!S4)*Population_Tables!G4)-R30</f>
        <v>116.91724132579063</v>
      </c>
      <c r="AE30" s="459">
        <f>((G30/Population_Tables!T4)*Population_Tables!H4)-S30</f>
        <v>241.27087864244163</v>
      </c>
      <c r="AF30" s="459">
        <f>(H30/Population_Tables!U4)*Population_Tables!I4</f>
        <v>750.79728308202266</v>
      </c>
      <c r="AG30" s="459">
        <f>(I30/Population_Tables!V4)*Population_Tables!J4</f>
        <v>390.07386937529793</v>
      </c>
      <c r="AH30" s="459">
        <f>(J30/Population_Tables!W4)*Population_Tables!K4</f>
        <v>599.08537663246682</v>
      </c>
      <c r="AI30" s="459">
        <f>(K30/Population_Tables!X4)*Population_Tables!L4</f>
        <v>594.24439570538539</v>
      </c>
      <c r="AK30" s="456">
        <v>2015</v>
      </c>
      <c r="AL30" s="459">
        <f t="shared" ref="AL30:AU68" si="6">Z30+N30</f>
        <v>4770.3281342106775</v>
      </c>
      <c r="AM30" s="459">
        <f t="shared" si="3"/>
        <v>1562.2408570262396</v>
      </c>
      <c r="AN30" s="459">
        <f t="shared" si="3"/>
        <v>518.14027167939901</v>
      </c>
      <c r="AO30" s="459">
        <f t="shared" si="3"/>
        <v>999.27154073879672</v>
      </c>
      <c r="AP30" s="459">
        <f t="shared" si="3"/>
        <v>274.62474543531806</v>
      </c>
      <c r="AQ30" s="459">
        <f t="shared" si="3"/>
        <v>328.7304123445353</v>
      </c>
      <c r="AR30" s="459">
        <f t="shared" si="3"/>
        <v>750.79728308202266</v>
      </c>
      <c r="AS30" s="459">
        <f t="shared" si="3"/>
        <v>390.07386937529793</v>
      </c>
      <c r="AT30" s="459">
        <f t="shared" si="3"/>
        <v>599.08537663246682</v>
      </c>
      <c r="AU30" s="459">
        <f t="shared" si="3"/>
        <v>594.24439570538539</v>
      </c>
      <c r="AW30" s="216">
        <f>(B30/Population_Tables!O4)*Population_Tables!C4</f>
        <v>4770.3281342106775</v>
      </c>
      <c r="AX30" s="153" t="str">
        <f t="shared" ref="AX30:AX75" si="7">IF(AW30-AL30=0,"OK")</f>
        <v>OK</v>
      </c>
      <c r="AY30" s="421">
        <f t="shared" si="4"/>
        <v>3683.0078272242886</v>
      </c>
      <c r="AZ30" s="153" t="str">
        <f t="shared" si="5"/>
        <v>OK</v>
      </c>
      <c r="BB30" s="216">
        <f>(C30/Population_Tables!P4)*Population_Tables!D4</f>
        <v>1562.2408570262396</v>
      </c>
      <c r="BC30" s="216">
        <f>(D30/Population_Tables!Q4)*Population_Tables!E4</f>
        <v>518.14027167939901</v>
      </c>
      <c r="BD30" s="216">
        <f>(E30/Population_Tables!R4)*Population_Tables!F4</f>
        <v>999.27154073879672</v>
      </c>
      <c r="BE30" s="216">
        <f>(F30/Population_Tables!S4)*Population_Tables!G4</f>
        <v>274.62474543531806</v>
      </c>
      <c r="BF30" s="216">
        <f>(G30/Population_Tables!T4)*Population_Tables!H4</f>
        <v>328.7304123445353</v>
      </c>
      <c r="BG30" s="216"/>
      <c r="BN30" s="216"/>
      <c r="BO30" s="216"/>
      <c r="BP30" s="216"/>
    </row>
    <row r="31" spans="1:68" ht="15.6" x14ac:dyDescent="0.3">
      <c r="A31" s="194">
        <v>2016</v>
      </c>
      <c r="B31" s="229">
        <v>4811.5471780611488</v>
      </c>
      <c r="C31" s="229">
        <v>1567.9917748200321</v>
      </c>
      <c r="D31" s="229">
        <v>520.9423578979638</v>
      </c>
      <c r="E31" s="229">
        <v>1021.6362724636348</v>
      </c>
      <c r="F31" s="229">
        <v>282.11156737446487</v>
      </c>
      <c r="G31" s="229">
        <v>333.98540669414859</v>
      </c>
      <c r="H31" s="229">
        <v>760.24316792267769</v>
      </c>
      <c r="I31" s="229">
        <v>394.95426860056079</v>
      </c>
      <c r="J31" s="229">
        <v>601.55934210746784</v>
      </c>
      <c r="K31" s="229">
        <v>598.47677291385935</v>
      </c>
      <c r="M31" s="194">
        <v>2016</v>
      </c>
      <c r="N31" s="419">
        <f t="shared" si="2"/>
        <v>385.13559430038197</v>
      </c>
      <c r="O31" s="418">
        <f>(C31/Population_Tables!P5)*Population_Tables!D64</f>
        <v>0</v>
      </c>
      <c r="P31" s="418">
        <f>(D31/Population_Tables!Q5)*Population_Tables!E64</f>
        <v>0</v>
      </c>
      <c r="Q31" s="418">
        <f>((E31-H31)/Population_Tables!R5)*Population_Tables!F64</f>
        <v>133.47027535137039</v>
      </c>
      <c r="R31" s="418">
        <f>(F31/Population_Tables!S5)*Population_Tables!G64</f>
        <v>162.55606283895503</v>
      </c>
      <c r="S31" s="418">
        <f>(G31/Population_Tables!T5)*Population_Tables!H64</f>
        <v>89.109256110056563</v>
      </c>
      <c r="T31" s="418">
        <f>(H31/Population_Tables!U5)*Population_Tables!I64</f>
        <v>0</v>
      </c>
      <c r="U31" s="418">
        <f>(I31/Population_Tables!V5)*Population_Tables!J64</f>
        <v>0</v>
      </c>
      <c r="V31" s="418">
        <f>(J31/Population_Tables!W5)*Population_Tables!K64</f>
        <v>0</v>
      </c>
      <c r="W31" s="418">
        <f>(K31/Population_Tables!X5)*Population_Tables!L64</f>
        <v>0</v>
      </c>
      <c r="Y31" s="456">
        <v>2016</v>
      </c>
      <c r="Z31" s="459">
        <f>((B31/Population_Tables!O5)*Population_Tables!C5)-N31</f>
        <v>4426.4037843467122</v>
      </c>
      <c r="AA31" s="459">
        <f>((C31/Population_Tables!P5)*Population_Tables!D5)-O31</f>
        <v>1567.9917748200321</v>
      </c>
      <c r="AB31" s="459">
        <f>((D31/Population_Tables!Q5)*Population_Tables!E5)-P31</f>
        <v>520.9423578979638</v>
      </c>
      <c r="AC31" s="459">
        <f>((E31/Population_Tables!R5)*Population_Tables!F5)-Q31</f>
        <v>888.16293270052029</v>
      </c>
      <c r="AD31" s="459">
        <f>((F31/Population_Tables!S5)*Population_Tables!G5)-R31</f>
        <v>119.55550453550984</v>
      </c>
      <c r="AE31" s="459">
        <f>((G31/Population_Tables!T5)*Population_Tables!H5)-S31</f>
        <v>244.8761505840921</v>
      </c>
      <c r="AF31" s="459">
        <f>(H31/Population_Tables!U5)*Population_Tables!I5</f>
        <v>760.24316792267757</v>
      </c>
      <c r="AG31" s="459">
        <f>(I31/Population_Tables!V5)*Population_Tables!J5</f>
        <v>394.95426860056079</v>
      </c>
      <c r="AH31" s="459">
        <f>(J31/Population_Tables!W5)*Population_Tables!K5</f>
        <v>601.55934210746784</v>
      </c>
      <c r="AI31" s="459">
        <f>(K31/Population_Tables!X5)*Population_Tables!L5</f>
        <v>598.47677291385935</v>
      </c>
      <c r="AK31" s="456">
        <v>2016</v>
      </c>
      <c r="AL31" s="459">
        <f t="shared" si="6"/>
        <v>4811.5393786470941</v>
      </c>
      <c r="AM31" s="459">
        <f t="shared" si="3"/>
        <v>1567.9917748200321</v>
      </c>
      <c r="AN31" s="459">
        <f t="shared" si="3"/>
        <v>520.9423578979638</v>
      </c>
      <c r="AO31" s="459">
        <f t="shared" si="3"/>
        <v>1021.6332080518907</v>
      </c>
      <c r="AP31" s="459">
        <f t="shared" si="3"/>
        <v>282.11156737446487</v>
      </c>
      <c r="AQ31" s="459">
        <f t="shared" si="3"/>
        <v>333.98540669414865</v>
      </c>
      <c r="AR31" s="459">
        <f t="shared" si="3"/>
        <v>760.24316792267757</v>
      </c>
      <c r="AS31" s="459">
        <f t="shared" si="3"/>
        <v>394.95426860056079</v>
      </c>
      <c r="AT31" s="459">
        <f t="shared" si="3"/>
        <v>601.55934210746784</v>
      </c>
      <c r="AU31" s="459">
        <f t="shared" si="3"/>
        <v>598.47677291385935</v>
      </c>
      <c r="AW31" s="216">
        <f>(B31/Population_Tables!O5)*Population_Tables!C5</f>
        <v>4811.5393786470941</v>
      </c>
      <c r="AX31" s="153" t="str">
        <f t="shared" si="7"/>
        <v>OK</v>
      </c>
      <c r="AY31" s="421">
        <f t="shared" si="4"/>
        <v>3726.6643148385001</v>
      </c>
      <c r="AZ31" s="153" t="str">
        <f t="shared" si="5"/>
        <v>OK</v>
      </c>
      <c r="BB31" s="216">
        <f>(C31/Population_Tables!P5)*Population_Tables!D5</f>
        <v>1567.9917748200321</v>
      </c>
      <c r="BC31" s="216">
        <f>(D31/Population_Tables!Q5)*Population_Tables!E5</f>
        <v>520.9423578979638</v>
      </c>
      <c r="BD31" s="216">
        <f>(E31/Population_Tables!R5)*Population_Tables!F5</f>
        <v>1021.6332080518906</v>
      </c>
      <c r="BE31" s="216">
        <f>(F31/Population_Tables!S5)*Population_Tables!G5</f>
        <v>282.11156737446487</v>
      </c>
      <c r="BF31" s="216">
        <f>(G31/Population_Tables!T5)*Population_Tables!H5</f>
        <v>333.98540669414865</v>
      </c>
      <c r="BG31" s="216"/>
      <c r="BN31" s="216"/>
      <c r="BO31" s="216"/>
      <c r="BP31" s="216"/>
    </row>
    <row r="32" spans="1:68" ht="15.6" x14ac:dyDescent="0.3">
      <c r="A32" s="194">
        <v>2017</v>
      </c>
      <c r="B32" s="229">
        <v>4851.7249695683213</v>
      </c>
      <c r="C32" s="229">
        <v>1573.4374892408357</v>
      </c>
      <c r="D32" s="229">
        <v>523.7101280899268</v>
      </c>
      <c r="E32" s="229">
        <v>1044.2004745363729</v>
      </c>
      <c r="F32" s="229">
        <v>289.63959434269532</v>
      </c>
      <c r="G32" s="229">
        <v>339.21727526015485</v>
      </c>
      <c r="H32" s="229">
        <v>769.42240299989328</v>
      </c>
      <c r="I32" s="229">
        <v>399.50830142708048</v>
      </c>
      <c r="J32" s="229">
        <v>603.86847548105163</v>
      </c>
      <c r="K32" s="229">
        <v>602.50765098285558</v>
      </c>
      <c r="M32" s="194">
        <v>2017</v>
      </c>
      <c r="N32" s="419">
        <f t="shared" si="2"/>
        <v>398.89525214944473</v>
      </c>
      <c r="O32" s="418">
        <f>(C32/Population_Tables!P6)*Population_Tables!D65</f>
        <v>0</v>
      </c>
      <c r="P32" s="418">
        <f>(D32/Population_Tables!Q6)*Population_Tables!E65</f>
        <v>0</v>
      </c>
      <c r="Q32" s="418">
        <f>((E32-H32)/Population_Tables!R6)*Population_Tables!F65</f>
        <v>140.68756445068595</v>
      </c>
      <c r="R32" s="418">
        <f>(F32/Population_Tables!S6)*Population_Tables!G65</f>
        <v>167.45032885345304</v>
      </c>
      <c r="S32" s="418">
        <f>(G32/Population_Tables!T6)*Population_Tables!H65</f>
        <v>90.75735884530576</v>
      </c>
      <c r="T32" s="418">
        <f>(H32/Population_Tables!U6)*Population_Tables!I65</f>
        <v>0</v>
      </c>
      <c r="U32" s="418">
        <f>(I32/Population_Tables!V6)*Population_Tables!J65</f>
        <v>0</v>
      </c>
      <c r="V32" s="418">
        <f>(J32/Population_Tables!W6)*Population_Tables!K65</f>
        <v>0</v>
      </c>
      <c r="W32" s="418">
        <f>(K32/Population_Tables!X6)*Population_Tables!L65</f>
        <v>0</v>
      </c>
      <c r="Y32" s="456">
        <v>2017</v>
      </c>
      <c r="Z32" s="459">
        <f>((B32/Population_Tables!O6)*Population_Tables!C6)-N32</f>
        <v>4452.8220713799619</v>
      </c>
      <c r="AA32" s="459">
        <f>((C32/Population_Tables!P6)*Population_Tables!D6)-O32</f>
        <v>1573.4374892408357</v>
      </c>
      <c r="AB32" s="459">
        <f>((D32/Population_Tables!Q6)*Population_Tables!E6)-P32</f>
        <v>523.7101280899268</v>
      </c>
      <c r="AC32" s="459">
        <f>((E32/Population_Tables!R6)*Population_Tables!F6)-Q32</f>
        <v>903.5098592137507</v>
      </c>
      <c r="AD32" s="459">
        <f>((F32/Population_Tables!S6)*Population_Tables!G6)-R32</f>
        <v>122.18926548924227</v>
      </c>
      <c r="AE32" s="459">
        <f>((G32/Population_Tables!T6)*Population_Tables!H6)-S32</f>
        <v>248.45991641484909</v>
      </c>
      <c r="AF32" s="459">
        <f>(H32/Population_Tables!U6)*Population_Tables!I6</f>
        <v>769.42240299989328</v>
      </c>
      <c r="AG32" s="459">
        <f>(I32/Population_Tables!V6)*Population_Tables!J6</f>
        <v>399.50830142708048</v>
      </c>
      <c r="AH32" s="459">
        <f>(J32/Population_Tables!W6)*Population_Tables!K6</f>
        <v>603.86847548105163</v>
      </c>
      <c r="AI32" s="459">
        <f>(K32/Population_Tables!X6)*Population_Tables!L6</f>
        <v>602.50765098285558</v>
      </c>
      <c r="AK32" s="456">
        <v>2017</v>
      </c>
      <c r="AL32" s="459">
        <f t="shared" si="6"/>
        <v>4851.7173235294067</v>
      </c>
      <c r="AM32" s="459">
        <f t="shared" si="3"/>
        <v>1573.4374892408357</v>
      </c>
      <c r="AN32" s="459">
        <f t="shared" si="3"/>
        <v>523.7101280899268</v>
      </c>
      <c r="AO32" s="459">
        <f t="shared" si="3"/>
        <v>1044.1974236644367</v>
      </c>
      <c r="AP32" s="459">
        <f t="shared" si="3"/>
        <v>289.63959434269532</v>
      </c>
      <c r="AQ32" s="459">
        <f t="shared" si="3"/>
        <v>339.21727526015485</v>
      </c>
      <c r="AR32" s="459">
        <f t="shared" si="3"/>
        <v>769.42240299989328</v>
      </c>
      <c r="AS32" s="459">
        <f t="shared" si="3"/>
        <v>399.50830142708048</v>
      </c>
      <c r="AT32" s="459">
        <f t="shared" si="3"/>
        <v>603.86847548105163</v>
      </c>
      <c r="AU32" s="459">
        <f t="shared" si="3"/>
        <v>602.50765098285558</v>
      </c>
      <c r="AW32" s="216">
        <f>(B32/Population_Tables!O6)*Population_Tables!C6</f>
        <v>4851.7173235294067</v>
      </c>
      <c r="AX32" s="153" t="str">
        <f t="shared" si="7"/>
        <v>OK</v>
      </c>
      <c r="AY32" s="421">
        <f t="shared" si="4"/>
        <v>3770.2019105980494</v>
      </c>
      <c r="AZ32" s="153" t="str">
        <f t="shared" si="5"/>
        <v>OK</v>
      </c>
      <c r="BB32" s="216">
        <f>(C32/Population_Tables!P6)*Population_Tables!D6</f>
        <v>1573.4374892408357</v>
      </c>
      <c r="BC32" s="216">
        <f>(D32/Population_Tables!Q6)*Population_Tables!E6</f>
        <v>523.7101280899268</v>
      </c>
      <c r="BD32" s="216">
        <f>(E32/Population_Tables!R6)*Population_Tables!F6</f>
        <v>1044.1974236644367</v>
      </c>
      <c r="BE32" s="216">
        <f>(F32/Population_Tables!S6)*Population_Tables!G6</f>
        <v>289.63959434269532</v>
      </c>
      <c r="BF32" s="216">
        <f>(G32/Population_Tables!T6)*Population_Tables!H6</f>
        <v>339.21727526015485</v>
      </c>
      <c r="BG32" s="216"/>
      <c r="BN32" s="216"/>
      <c r="BO32" s="216"/>
      <c r="BP32" s="216"/>
    </row>
    <row r="33" spans="1:68" ht="15.6" x14ac:dyDescent="0.3">
      <c r="A33" s="194">
        <v>2018</v>
      </c>
      <c r="B33" s="229">
        <v>4890.8826914465963</v>
      </c>
      <c r="C33" s="229">
        <v>1578.5897710085712</v>
      </c>
      <c r="D33" s="229">
        <v>526.44397697194279</v>
      </c>
      <c r="E33" s="229">
        <v>1066.9630264646898</v>
      </c>
      <c r="F33" s="229">
        <v>297.2081024095321</v>
      </c>
      <c r="G33" s="229">
        <v>344.42543201772219</v>
      </c>
      <c r="H33" s="229">
        <v>778.33418949738063</v>
      </c>
      <c r="I33" s="229">
        <v>403.74802429475193</v>
      </c>
      <c r="J33" s="229">
        <v>606.01866343958625</v>
      </c>
      <c r="K33" s="229">
        <v>606.34434941183758</v>
      </c>
      <c r="M33" s="194">
        <v>2018</v>
      </c>
      <c r="N33" s="419">
        <f t="shared" si="2"/>
        <v>412.96561987052343</v>
      </c>
      <c r="O33" s="418">
        <f>(C33/Population_Tables!P7)*Population_Tables!D66</f>
        <v>0</v>
      </c>
      <c r="P33" s="418">
        <f>(D33/Population_Tables!Q7)*Population_Tables!E66</f>
        <v>0</v>
      </c>
      <c r="Q33" s="418">
        <f>((E33-H33)/Population_Tables!R7)*Population_Tables!F66</f>
        <v>148.17947449919831</v>
      </c>
      <c r="R33" s="418">
        <f>(F33/Population_Tables!S7)*Population_Tables!G66</f>
        <v>172.38451923613007</v>
      </c>
      <c r="S33" s="418">
        <f>(G33/Population_Tables!T7)*Population_Tables!H66</f>
        <v>92.401626135195059</v>
      </c>
      <c r="T33" s="418">
        <f>(H33/Population_Tables!U7)*Population_Tables!I66</f>
        <v>0</v>
      </c>
      <c r="U33" s="418">
        <f>(I33/Population_Tables!V7)*Population_Tables!J66</f>
        <v>0</v>
      </c>
      <c r="V33" s="418">
        <f>(J33/Population_Tables!W7)*Population_Tables!K66</f>
        <v>0</v>
      </c>
      <c r="W33" s="418">
        <f>(K33/Population_Tables!X7)*Population_Tables!L66</f>
        <v>0</v>
      </c>
      <c r="Y33" s="456">
        <v>2018</v>
      </c>
      <c r="Z33" s="459">
        <f>((B33/Population_Tables!O7)*Population_Tables!C7)-N33</f>
        <v>4477.9096023751281</v>
      </c>
      <c r="AA33" s="459">
        <f>((C33/Population_Tables!P7)*Population_Tables!D7)-O33</f>
        <v>1578.5897710085712</v>
      </c>
      <c r="AB33" s="459">
        <f>((D33/Population_Tables!Q7)*Population_Tables!E7)-P33</f>
        <v>526.44397697194279</v>
      </c>
      <c r="AC33" s="459">
        <f>((E33/Population_Tables!R7)*Population_Tables!F7)-Q33</f>
        <v>918.78052514320325</v>
      </c>
      <c r="AD33" s="459">
        <f>((F33/Population_Tables!S7)*Population_Tables!G7)-R33</f>
        <v>124.82358317340203</v>
      </c>
      <c r="AE33" s="459">
        <f>((G33/Population_Tables!T7)*Population_Tables!H7)-S33</f>
        <v>252.02380588252714</v>
      </c>
      <c r="AF33" s="459">
        <f>(H33/Population_Tables!U7)*Population_Tables!I7</f>
        <v>778.33418949738063</v>
      </c>
      <c r="AG33" s="459">
        <f>(I33/Population_Tables!V7)*Population_Tables!J7</f>
        <v>403.74802429475193</v>
      </c>
      <c r="AH33" s="459">
        <f>(J33/Population_Tables!W7)*Population_Tables!K7</f>
        <v>606.01866343958625</v>
      </c>
      <c r="AI33" s="459">
        <f>(K33/Population_Tables!X7)*Population_Tables!L7</f>
        <v>606.34434941183758</v>
      </c>
      <c r="AK33" s="456">
        <v>2018</v>
      </c>
      <c r="AL33" s="459">
        <f t="shared" si="6"/>
        <v>4890.8752222456515</v>
      </c>
      <c r="AM33" s="459">
        <f t="shared" si="3"/>
        <v>1578.5897710085712</v>
      </c>
      <c r="AN33" s="459">
        <f t="shared" si="3"/>
        <v>526.44397697194279</v>
      </c>
      <c r="AO33" s="459">
        <f t="shared" si="3"/>
        <v>1066.9599996424015</v>
      </c>
      <c r="AP33" s="459">
        <f t="shared" si="3"/>
        <v>297.2081024095321</v>
      </c>
      <c r="AQ33" s="459">
        <f t="shared" si="3"/>
        <v>344.42543201772219</v>
      </c>
      <c r="AR33" s="459">
        <f t="shared" si="3"/>
        <v>778.33418949738063</v>
      </c>
      <c r="AS33" s="459">
        <f t="shared" si="3"/>
        <v>403.74802429475193</v>
      </c>
      <c r="AT33" s="459">
        <f t="shared" si="3"/>
        <v>606.01866343958625</v>
      </c>
      <c r="AU33" s="459">
        <f t="shared" si="3"/>
        <v>606.34434941183758</v>
      </c>
      <c r="AW33" s="216">
        <f>(B33/Population_Tables!O7)*Population_Tables!C7</f>
        <v>4890.8752222456515</v>
      </c>
      <c r="AX33" s="153" t="str">
        <f t="shared" si="7"/>
        <v>OK</v>
      </c>
      <c r="AY33" s="421">
        <f t="shared" si="4"/>
        <v>3813.6272820501699</v>
      </c>
      <c r="AZ33" s="153" t="str">
        <f t="shared" si="5"/>
        <v>OK</v>
      </c>
      <c r="BB33" s="216">
        <f>(C33/Population_Tables!P7)*Population_Tables!D7</f>
        <v>1578.5897710085712</v>
      </c>
      <c r="BC33" s="216">
        <f>(D33/Population_Tables!Q7)*Population_Tables!E7</f>
        <v>526.44397697194279</v>
      </c>
      <c r="BD33" s="216">
        <f>(E33/Population_Tables!R7)*Population_Tables!F7</f>
        <v>1066.9599996424015</v>
      </c>
      <c r="BE33" s="216">
        <f>(F33/Population_Tables!S7)*Population_Tables!G7</f>
        <v>297.2081024095321</v>
      </c>
      <c r="BF33" s="216">
        <f>(G33/Population_Tables!T7)*Population_Tables!H7</f>
        <v>344.42543201772219</v>
      </c>
      <c r="BG33" s="216"/>
      <c r="BN33" s="216"/>
      <c r="BO33" s="216"/>
      <c r="BP33" s="216"/>
    </row>
    <row r="34" spans="1:68" ht="16.2" thickBot="1" x14ac:dyDescent="0.35">
      <c r="A34" s="198">
        <v>2019</v>
      </c>
      <c r="B34" s="230">
        <v>4929.0335995205478</v>
      </c>
      <c r="C34" s="230">
        <v>1583.4603908431595</v>
      </c>
      <c r="D34" s="230">
        <v>529.14429926066657</v>
      </c>
      <c r="E34" s="230">
        <v>1089.9197408224884</v>
      </c>
      <c r="F34" s="230">
        <v>304.81636764449803</v>
      </c>
      <c r="G34" s="230">
        <v>349.60929094201856</v>
      </c>
      <c r="H34" s="230">
        <v>786.9777285988514</v>
      </c>
      <c r="I34" s="230">
        <v>407.68549364347001</v>
      </c>
      <c r="J34" s="230">
        <v>608.01579266943986</v>
      </c>
      <c r="K34" s="230">
        <v>609.99418770026864</v>
      </c>
      <c r="M34" s="198">
        <v>2019</v>
      </c>
      <c r="N34" s="419">
        <f t="shared" si="2"/>
        <v>427.34840316082619</v>
      </c>
      <c r="O34" s="418">
        <f>(C34/Population_Tables!P8)*Population_Tables!D67</f>
        <v>0</v>
      </c>
      <c r="P34" s="418">
        <f>(D34/Population_Tables!Q8)*Population_Tables!E67</f>
        <v>0</v>
      </c>
      <c r="Q34" s="418">
        <f>((E34-H34)/Population_Tables!R8)*Population_Tables!F67</f>
        <v>155.95667682369586</v>
      </c>
      <c r="R34" s="418">
        <f>(F34/Population_Tables!S8)*Population_Tables!G67</f>
        <v>177.35266777279597</v>
      </c>
      <c r="S34" s="418">
        <f>(G34/Population_Tables!T8)*Population_Tables!H67</f>
        <v>94.039058564334383</v>
      </c>
      <c r="T34" s="418">
        <f>(H34/Population_Tables!U8)*Population_Tables!I67</f>
        <v>0</v>
      </c>
      <c r="U34" s="418">
        <f>(I34/Population_Tables!V8)*Population_Tables!J67</f>
        <v>0</v>
      </c>
      <c r="V34" s="418">
        <f>(J34/Population_Tables!W8)*Population_Tables!K67</f>
        <v>0</v>
      </c>
      <c r="W34" s="418">
        <f>(K34/Population_Tables!X8)*Population_Tables!L67</f>
        <v>0</v>
      </c>
      <c r="Y34" s="456">
        <v>2019</v>
      </c>
      <c r="Z34" s="459">
        <f>((B34/Population_Tables!O8)*Population_Tables!C8)-N34</f>
        <v>4501.6778879707999</v>
      </c>
      <c r="AA34" s="459">
        <f>((C34/Population_Tables!P8)*Population_Tables!D8)-O34</f>
        <v>1583.4603908431595</v>
      </c>
      <c r="AB34" s="459">
        <f>((D34/Population_Tables!Q8)*Population_Tables!E8)-P34</f>
        <v>529.14429926066657</v>
      </c>
      <c r="AC34" s="459">
        <f>((E34/Population_Tables!R8)*Population_Tables!F8)-Q34</f>
        <v>933.96005591811479</v>
      </c>
      <c r="AD34" s="459">
        <f>((F34/Population_Tables!S8)*Population_Tables!G8)-R34</f>
        <v>127.46369987170206</v>
      </c>
      <c r="AE34" s="459">
        <f>((G34/Population_Tables!T8)*Population_Tables!H8)-S34</f>
        <v>255.57023237768419</v>
      </c>
      <c r="AF34" s="459">
        <f>(H34/Population_Tables!U8)*Population_Tables!I8</f>
        <v>786.97772859885151</v>
      </c>
      <c r="AG34" s="459">
        <f>(I34/Population_Tables!V8)*Population_Tables!J8</f>
        <v>407.68549364347007</v>
      </c>
      <c r="AH34" s="459">
        <f>(J34/Population_Tables!W8)*Population_Tables!K8</f>
        <v>608.01579266943986</v>
      </c>
      <c r="AI34" s="459">
        <f>(K34/Population_Tables!X8)*Population_Tables!L8</f>
        <v>609.99418770026864</v>
      </c>
      <c r="AK34" s="456">
        <v>2019</v>
      </c>
      <c r="AL34" s="459">
        <f t="shared" si="6"/>
        <v>4929.0262911316258</v>
      </c>
      <c r="AM34" s="459">
        <f t="shared" si="3"/>
        <v>1583.4603908431595</v>
      </c>
      <c r="AN34" s="459">
        <f t="shared" si="3"/>
        <v>529.14429926066657</v>
      </c>
      <c r="AO34" s="459">
        <f t="shared" si="3"/>
        <v>1089.9167327418106</v>
      </c>
      <c r="AP34" s="459">
        <f t="shared" si="3"/>
        <v>304.81636764449803</v>
      </c>
      <c r="AQ34" s="459">
        <f t="shared" si="3"/>
        <v>349.60929094201856</v>
      </c>
      <c r="AR34" s="459">
        <f t="shared" si="3"/>
        <v>786.97772859885151</v>
      </c>
      <c r="AS34" s="459">
        <f t="shared" si="3"/>
        <v>407.68549364347007</v>
      </c>
      <c r="AT34" s="459">
        <f t="shared" si="3"/>
        <v>608.01579266943986</v>
      </c>
      <c r="AU34" s="459">
        <f t="shared" si="3"/>
        <v>609.99418770026864</v>
      </c>
      <c r="AW34" s="216">
        <f>(B34/Population_Tables!O8)*Population_Tables!C8</f>
        <v>4929.0262911316258</v>
      </c>
      <c r="AX34" s="153" t="str">
        <f t="shared" si="7"/>
        <v>OK</v>
      </c>
      <c r="AY34" s="421">
        <f t="shared" si="4"/>
        <v>3856.9470814321535</v>
      </c>
      <c r="AZ34" s="153" t="str">
        <f t="shared" si="5"/>
        <v>OK</v>
      </c>
      <c r="BB34" s="216">
        <f>(C34/Population_Tables!P8)*Population_Tables!D8</f>
        <v>1583.4603908431595</v>
      </c>
      <c r="BC34" s="216">
        <f>(D34/Population_Tables!Q8)*Population_Tables!E8</f>
        <v>529.14429926066657</v>
      </c>
      <c r="BD34" s="216">
        <f>(E34/Population_Tables!R8)*Population_Tables!F8</f>
        <v>1089.9167327418106</v>
      </c>
      <c r="BE34" s="216">
        <f>(F34/Population_Tables!S8)*Population_Tables!G8</f>
        <v>304.81636764449803</v>
      </c>
      <c r="BF34" s="216">
        <f>(G34/Population_Tables!T8)*Population_Tables!H8</f>
        <v>349.60929094201856</v>
      </c>
      <c r="BG34" s="216"/>
      <c r="BN34" s="216"/>
      <c r="BO34" s="216"/>
      <c r="BP34" s="216"/>
    </row>
    <row r="35" spans="1:68" ht="15.6" x14ac:dyDescent="0.3">
      <c r="A35" s="201">
        <v>2020</v>
      </c>
      <c r="B35" s="228">
        <v>4966.1909496147509</v>
      </c>
      <c r="C35" s="228">
        <v>1588.061119464521</v>
      </c>
      <c r="D35" s="228">
        <v>531.81148967275283</v>
      </c>
      <c r="E35" s="228">
        <v>1113.0664301836716</v>
      </c>
      <c r="F35" s="228">
        <v>312.46366611711579</v>
      </c>
      <c r="G35" s="228">
        <v>354.76826600821198</v>
      </c>
      <c r="H35" s="228">
        <v>795.35222148801688</v>
      </c>
      <c r="I35" s="228">
        <v>411.33276591312966</v>
      </c>
      <c r="J35" s="228">
        <v>609.86574985698064</v>
      </c>
      <c r="K35" s="228">
        <v>613.46448534761203</v>
      </c>
      <c r="M35" s="201">
        <v>2020</v>
      </c>
      <c r="N35" s="419">
        <f t="shared" si="2"/>
        <v>442.04689514808172</v>
      </c>
      <c r="O35" s="418">
        <f>(C35/Population_Tables!P9)*Population_Tables!D68</f>
        <v>0</v>
      </c>
      <c r="P35" s="418">
        <f>(D35/Population_Tables!Q9)*Population_Tables!E68</f>
        <v>0</v>
      </c>
      <c r="Q35" s="418">
        <f>((E35-H35)/Population_Tables!R9)*Population_Tables!F68</f>
        <v>164.02847430409798</v>
      </c>
      <c r="R35" s="418">
        <f>(F35/Population_Tables!S9)*Population_Tables!G68</f>
        <v>182.35094836518022</v>
      </c>
      <c r="S35" s="418">
        <f>(G35/Population_Tables!T9)*Population_Tables!H68</f>
        <v>95.667472478803489</v>
      </c>
      <c r="T35" s="418">
        <f>(H35/Population_Tables!U9)*Population_Tables!I68</f>
        <v>0</v>
      </c>
      <c r="U35" s="418">
        <f>(I35/Population_Tables!V9)*Population_Tables!J68</f>
        <v>0</v>
      </c>
      <c r="V35" s="418">
        <f>(J35/Population_Tables!W9)*Population_Tables!K68</f>
        <v>0</v>
      </c>
      <c r="W35" s="418">
        <f>(K35/Population_Tables!X9)*Population_Tables!L68</f>
        <v>0</v>
      </c>
      <c r="Y35" s="456">
        <v>2020</v>
      </c>
      <c r="Z35" s="459">
        <f>((B35/Population_Tables!O9)*Population_Tables!C9)-N35</f>
        <v>4524.1368894546076</v>
      </c>
      <c r="AA35" s="459">
        <f>((C35/Population_Tables!P9)*Population_Tables!D9)-O35</f>
        <v>1588.061119464521</v>
      </c>
      <c r="AB35" s="459">
        <f>((D35/Population_Tables!Q9)*Population_Tables!E9)-P35</f>
        <v>531.81148967275283</v>
      </c>
      <c r="AC35" s="459">
        <f>((E35/Population_Tables!R9)*Population_Tables!F9)-Q35</f>
        <v>949.03496010905405</v>
      </c>
      <c r="AD35" s="459">
        <f>((F35/Population_Tables!S9)*Population_Tables!G9)-R35</f>
        <v>130.11271775193558</v>
      </c>
      <c r="AE35" s="459">
        <f>((G35/Population_Tables!T9)*Population_Tables!H9)-S35</f>
        <v>259.10079352940852</v>
      </c>
      <c r="AF35" s="459">
        <f>(H35/Population_Tables!U9)*Population_Tables!I9</f>
        <v>795.35222148801677</v>
      </c>
      <c r="AG35" s="459">
        <f>(I35/Population_Tables!V9)*Population_Tables!J9</f>
        <v>411.33276591312966</v>
      </c>
      <c r="AH35" s="459">
        <f>(J35/Population_Tables!W9)*Population_Tables!K9</f>
        <v>609.86574985698064</v>
      </c>
      <c r="AI35" s="459">
        <f>(K35/Population_Tables!X9)*Population_Tables!L9</f>
        <v>613.46448534761203</v>
      </c>
      <c r="AK35" s="456">
        <v>2020</v>
      </c>
      <c r="AL35" s="459">
        <f t="shared" si="6"/>
        <v>4966.1837846026892</v>
      </c>
      <c r="AM35" s="459">
        <f t="shared" si="3"/>
        <v>1588.061119464521</v>
      </c>
      <c r="AN35" s="459">
        <f t="shared" si="3"/>
        <v>531.81148967275283</v>
      </c>
      <c r="AO35" s="459">
        <f t="shared" si="3"/>
        <v>1113.063434413152</v>
      </c>
      <c r="AP35" s="459">
        <f t="shared" si="3"/>
        <v>312.46366611711579</v>
      </c>
      <c r="AQ35" s="459">
        <f t="shared" si="3"/>
        <v>354.76826600821198</v>
      </c>
      <c r="AR35" s="459">
        <f t="shared" si="3"/>
        <v>795.35222148801677</v>
      </c>
      <c r="AS35" s="459">
        <f t="shared" si="3"/>
        <v>411.33276591312966</v>
      </c>
      <c r="AT35" s="459">
        <f t="shared" si="3"/>
        <v>609.86574985698064</v>
      </c>
      <c r="AU35" s="459">
        <f t="shared" si="3"/>
        <v>613.46448534761203</v>
      </c>
      <c r="AW35" s="216">
        <f>(B35/Population_Tables!O9)*Population_Tables!C9</f>
        <v>4966.1837846026892</v>
      </c>
      <c r="AX35" s="153" t="str">
        <f t="shared" si="7"/>
        <v>OK</v>
      </c>
      <c r="AY35" s="421">
        <f t="shared" si="4"/>
        <v>3900.1679756757535</v>
      </c>
      <c r="AZ35" s="153" t="str">
        <f t="shared" si="5"/>
        <v>OK</v>
      </c>
      <c r="BB35" s="216">
        <f>(C35/Population_Tables!P9)*Population_Tables!D9</f>
        <v>1588.061119464521</v>
      </c>
      <c r="BC35" s="216">
        <f>(D35/Population_Tables!Q9)*Population_Tables!E9</f>
        <v>531.81148967275283</v>
      </c>
      <c r="BD35" s="216">
        <f>(E35/Population_Tables!R9)*Population_Tables!F9</f>
        <v>1113.063434413152</v>
      </c>
      <c r="BE35" s="216">
        <f>(F35/Population_Tables!S9)*Population_Tables!G9</f>
        <v>312.46366611711579</v>
      </c>
      <c r="BF35" s="216">
        <f>(G35/Population_Tables!T9)*Population_Tables!H9</f>
        <v>354.76826600821198</v>
      </c>
      <c r="BG35" s="216"/>
      <c r="BN35" s="216"/>
      <c r="BO35" s="216"/>
      <c r="BP35" s="216"/>
    </row>
    <row r="36" spans="1:68" ht="15.6" x14ac:dyDescent="0.3">
      <c r="A36" s="206">
        <v>2021</v>
      </c>
      <c r="B36" s="229">
        <v>5002.3679975537825</v>
      </c>
      <c r="C36" s="229">
        <v>1592.4037275925762</v>
      </c>
      <c r="D36" s="229">
        <v>534.44594292485647</v>
      </c>
      <c r="E36" s="229">
        <v>1136.3989071221426</v>
      </c>
      <c r="F36" s="229">
        <v>320.1492738969082</v>
      </c>
      <c r="G36" s="229">
        <v>359.90177119147035</v>
      </c>
      <c r="H36" s="229">
        <v>803.45686934858861</v>
      </c>
      <c r="I36" s="229">
        <v>414.70189754362576</v>
      </c>
      <c r="J36" s="229">
        <v>611.57442168857642</v>
      </c>
      <c r="K36" s="229">
        <v>616.76256185333125</v>
      </c>
      <c r="M36" s="206">
        <v>2021</v>
      </c>
      <c r="N36" s="419">
        <f t="shared" si="2"/>
        <v>457.7791826258553</v>
      </c>
      <c r="O36" s="418">
        <f>(C36/Population_Tables!P10)*Population_Tables!D69</f>
        <v>0</v>
      </c>
      <c r="P36" s="418">
        <f>(D36/Population_Tables!Q10)*Population_Tables!E69</f>
        <v>0</v>
      </c>
      <c r="Q36" s="418">
        <f>((E36-H36)/Population_Tables!R10)*Population_Tables!F69</f>
        <v>172.70404287974273</v>
      </c>
      <c r="R36" s="418">
        <f>(F36/Population_Tables!S10)*Population_Tables!G69</f>
        <v>187.56920630570642</v>
      </c>
      <c r="S36" s="418">
        <f>(G36/Population_Tables!T10)*Population_Tables!H69</f>
        <v>97.505933440406167</v>
      </c>
      <c r="T36" s="418">
        <f>(H36/Population_Tables!U10)*Population_Tables!I69</f>
        <v>0</v>
      </c>
      <c r="U36" s="418">
        <f>(I36/Population_Tables!V10)*Population_Tables!J69</f>
        <v>0</v>
      </c>
      <c r="V36" s="418">
        <f>(J36/Population_Tables!W10)*Population_Tables!K69</f>
        <v>0</v>
      </c>
      <c r="W36" s="418">
        <f>(K36/Population_Tables!X10)*Population_Tables!L69</f>
        <v>0</v>
      </c>
      <c r="Y36" s="456">
        <v>2021</v>
      </c>
      <c r="Z36" s="459">
        <f>((B36/Population_Tables!O10)*Population_Tables!C10)-N36</f>
        <v>4550.9146458831328</v>
      </c>
      <c r="AA36" s="459">
        <f>((C36/Population_Tables!P10)*Population_Tables!D10)-O36</f>
        <v>1594.0554149253303</v>
      </c>
      <c r="AB36" s="459">
        <f>((D36/Population_Tables!Q10)*Population_Tables!E10)-P36</f>
        <v>535.0799899503902</v>
      </c>
      <c r="AC36" s="459">
        <f>((E36/Population_Tables!R10)*Population_Tables!F10)-Q36</f>
        <v>965.05167862920894</v>
      </c>
      <c r="AD36" s="459">
        <f>((F36/Population_Tables!S10)*Population_Tables!G10)-R36</f>
        <v>133.00930411021932</v>
      </c>
      <c r="AE36" s="459">
        <f>((G36/Population_Tables!T10)*Population_Tables!H10)-S36</f>
        <v>263.07741356057522</v>
      </c>
      <c r="AF36" s="459">
        <f>(H36/Population_Tables!U10)*Population_Tables!I10</f>
        <v>804.2999803757366</v>
      </c>
      <c r="AG36" s="459">
        <f>(I36/Population_Tables!V10)*Population_Tables!J10</f>
        <v>415.17899032320582</v>
      </c>
      <c r="AH36" s="459">
        <f>(J36/Population_Tables!W10)*Population_Tables!K10</f>
        <v>612.2071488583988</v>
      </c>
      <c r="AI36" s="459">
        <f>(K36/Population_Tables!X10)*Population_Tables!L10</f>
        <v>617.41415633678923</v>
      </c>
      <c r="AK36" s="456">
        <v>2021</v>
      </c>
      <c r="AL36" s="459">
        <f t="shared" si="6"/>
        <v>5008.6938285089882</v>
      </c>
      <c r="AM36" s="459">
        <f t="shared" si="3"/>
        <v>1594.0554149253303</v>
      </c>
      <c r="AN36" s="459">
        <f t="shared" si="3"/>
        <v>535.0799899503902</v>
      </c>
      <c r="AO36" s="459">
        <f t="shared" si="3"/>
        <v>1137.7557215089516</v>
      </c>
      <c r="AP36" s="459">
        <f t="shared" si="3"/>
        <v>320.57851041592573</v>
      </c>
      <c r="AQ36" s="459">
        <f t="shared" si="3"/>
        <v>360.58334700098141</v>
      </c>
      <c r="AR36" s="459">
        <f t="shared" si="3"/>
        <v>804.2999803757366</v>
      </c>
      <c r="AS36" s="459">
        <f t="shared" si="3"/>
        <v>415.17899032320582</v>
      </c>
      <c r="AT36" s="459">
        <f t="shared" si="3"/>
        <v>612.2071488583988</v>
      </c>
      <c r="AU36" s="459">
        <f t="shared" si="3"/>
        <v>617.41415633678923</v>
      </c>
      <c r="AW36" s="216">
        <f>(B36/Population_Tables!O10)*Population_Tables!C10</f>
        <v>5008.6938285089882</v>
      </c>
      <c r="AX36" s="153" t="str">
        <f t="shared" si="7"/>
        <v>OK</v>
      </c>
      <c r="AY36" s="421">
        <f t="shared" si="4"/>
        <v>3948.0529838015796</v>
      </c>
      <c r="AZ36" s="153" t="str">
        <f t="shared" si="5"/>
        <v>OK</v>
      </c>
      <c r="BB36" s="216">
        <f>(C36/Population_Tables!P10)*Population_Tables!D10</f>
        <v>1594.0554149253303</v>
      </c>
      <c r="BC36" s="216">
        <f>(D36/Population_Tables!Q10)*Population_Tables!E10</f>
        <v>535.0799899503902</v>
      </c>
      <c r="BD36" s="216">
        <f>(E36/Population_Tables!R10)*Population_Tables!F10</f>
        <v>1137.7557215089516</v>
      </c>
      <c r="BE36" s="216">
        <f>(F36/Population_Tables!S10)*Population_Tables!G10</f>
        <v>320.57851041592573</v>
      </c>
      <c r="BF36" s="216">
        <f>(G36/Population_Tables!T10)*Population_Tables!H10</f>
        <v>360.58334700098141</v>
      </c>
      <c r="BG36" s="216"/>
      <c r="BN36" s="216"/>
      <c r="BO36" s="216"/>
      <c r="BP36" s="216"/>
    </row>
    <row r="37" spans="1:68" ht="15.6" x14ac:dyDescent="0.3">
      <c r="A37" s="206">
        <v>2022</v>
      </c>
      <c r="B37" s="229">
        <v>5037.5779991622157</v>
      </c>
      <c r="C37" s="229">
        <v>1596.4999859472459</v>
      </c>
      <c r="D37" s="229">
        <v>537.04805373363217</v>
      </c>
      <c r="E37" s="229">
        <v>1159.9129842118048</v>
      </c>
      <c r="F37" s="229">
        <v>327.87246705339794</v>
      </c>
      <c r="G37" s="229">
        <v>365.00922046696166</v>
      </c>
      <c r="H37" s="229">
        <v>811.29087336427801</v>
      </c>
      <c r="I37" s="229">
        <v>417.80494497485319</v>
      </c>
      <c r="J37" s="229">
        <v>613.1476948505956</v>
      </c>
      <c r="K37" s="229">
        <v>619.89573671688947</v>
      </c>
      <c r="M37" s="206">
        <v>2022</v>
      </c>
      <c r="N37" s="419">
        <f t="shared" si="2"/>
        <v>474.08286245596241</v>
      </c>
      <c r="O37" s="418">
        <f>(C37/Population_Tables!P11)*Population_Tables!D70</f>
        <v>0</v>
      </c>
      <c r="P37" s="418">
        <f>(D37/Population_Tables!Q11)*Population_Tables!E70</f>
        <v>0</v>
      </c>
      <c r="Q37" s="418">
        <f>((E37-H37)/Population_Tables!R11)*Population_Tables!F70</f>
        <v>181.80179115954269</v>
      </c>
      <c r="R37" s="418">
        <f>(F37/Population_Tables!S11)*Population_Tables!G70</f>
        <v>192.91360725523492</v>
      </c>
      <c r="S37" s="418">
        <f>(G37/Population_Tables!T11)*Population_Tables!H70</f>
        <v>99.367464041184789</v>
      </c>
      <c r="T37" s="418">
        <f>(H37/Population_Tables!U11)*Population_Tables!I70</f>
        <v>0</v>
      </c>
      <c r="U37" s="418">
        <f>(I37/Population_Tables!V11)*Population_Tables!J70</f>
        <v>0</v>
      </c>
      <c r="V37" s="418">
        <f>(J37/Population_Tables!W11)*Population_Tables!K70</f>
        <v>0</v>
      </c>
      <c r="W37" s="418">
        <f>(K37/Population_Tables!X11)*Population_Tables!L70</f>
        <v>0</v>
      </c>
      <c r="Y37" s="456">
        <v>2022</v>
      </c>
      <c r="Z37" s="459">
        <f>((B37/Population_Tables!O11)*Population_Tables!C11)-N37</f>
        <v>4577.7449259285222</v>
      </c>
      <c r="AA37" s="459">
        <f>((C37/Population_Tables!P11)*Population_Tables!D11)-O37</f>
        <v>1600.2693956073647</v>
      </c>
      <c r="AB37" s="459">
        <f>((D37/Population_Tables!Q11)*Population_Tables!E11)-P37</f>
        <v>538.43087751564576</v>
      </c>
      <c r="AC37" s="459">
        <f>((E37/Population_Tables!R11)*Population_Tables!F11)-Q37</f>
        <v>981.32752013980598</v>
      </c>
      <c r="AD37" s="459">
        <f>((F37/Population_Tables!S11)*Population_Tables!G11)-R37</f>
        <v>135.90572865402618</v>
      </c>
      <c r="AE37" s="459">
        <f>((G37/Population_Tables!T11)*Population_Tables!H11)-S37</f>
        <v>267.04578052840429</v>
      </c>
      <c r="AF37" s="459">
        <f>(H37/Population_Tables!U11)*Population_Tables!I11</f>
        <v>813.1895577733103</v>
      </c>
      <c r="AG37" s="459">
        <f>(I37/Population_Tables!V11)*Population_Tables!J11</f>
        <v>418.95992380771116</v>
      </c>
      <c r="AH37" s="459">
        <f>(J37/Population_Tables!W11)*Population_Tables!K11</f>
        <v>614.56591274476386</v>
      </c>
      <c r="AI37" s="459">
        <f>(K37/Population_Tables!X11)*Population_Tables!L11</f>
        <v>621.41149077173179</v>
      </c>
      <c r="AK37" s="456">
        <v>2022</v>
      </c>
      <c r="AL37" s="459">
        <f t="shared" si="6"/>
        <v>5051.8277883844848</v>
      </c>
      <c r="AM37" s="459">
        <f t="shared" si="3"/>
        <v>1600.2693956073647</v>
      </c>
      <c r="AN37" s="459">
        <f t="shared" si="3"/>
        <v>538.43087751564576</v>
      </c>
      <c r="AO37" s="459">
        <f t="shared" si="3"/>
        <v>1163.1293112993487</v>
      </c>
      <c r="AP37" s="459">
        <f t="shared" si="3"/>
        <v>328.8193359092611</v>
      </c>
      <c r="AQ37" s="459">
        <f t="shared" si="3"/>
        <v>366.4132445695891</v>
      </c>
      <c r="AR37" s="459">
        <f t="shared" si="3"/>
        <v>813.1895577733103</v>
      </c>
      <c r="AS37" s="459">
        <f t="shared" si="3"/>
        <v>418.95992380771116</v>
      </c>
      <c r="AT37" s="459">
        <f t="shared" si="3"/>
        <v>614.56591274476386</v>
      </c>
      <c r="AU37" s="459">
        <f t="shared" si="3"/>
        <v>621.41149077173179</v>
      </c>
      <c r="AW37" s="216">
        <f>(B37/Population_Tables!O11)*Population_Tables!C11</f>
        <v>5051.8277883844848</v>
      </c>
      <c r="AX37" s="153" t="str">
        <f t="shared" si="7"/>
        <v>OK</v>
      </c>
      <c r="AY37" s="421">
        <f t="shared" si="4"/>
        <v>3997.0621649012096</v>
      </c>
      <c r="AZ37" s="153" t="str">
        <f t="shared" si="5"/>
        <v>OK</v>
      </c>
      <c r="BB37" s="216">
        <f>(C37/Population_Tables!P11)*Population_Tables!D11</f>
        <v>1600.2693956073647</v>
      </c>
      <c r="BC37" s="216">
        <f>(D37/Population_Tables!Q11)*Population_Tables!E11</f>
        <v>538.43087751564576</v>
      </c>
      <c r="BD37" s="216">
        <f>(E37/Population_Tables!R11)*Population_Tables!F11</f>
        <v>1163.1293112993487</v>
      </c>
      <c r="BE37" s="216">
        <f>(F37/Population_Tables!S11)*Population_Tables!G11</f>
        <v>328.8193359092611</v>
      </c>
      <c r="BF37" s="216">
        <f>(G37/Population_Tables!T11)*Population_Tables!H11</f>
        <v>366.4132445695891</v>
      </c>
      <c r="BG37" s="216"/>
      <c r="BN37" s="216"/>
      <c r="BO37" s="216"/>
      <c r="BP37" s="216"/>
    </row>
    <row r="38" spans="1:68" ht="15.6" x14ac:dyDescent="0.3">
      <c r="A38" s="206">
        <v>2023</v>
      </c>
      <c r="B38" s="229">
        <v>5071.8342102646266</v>
      </c>
      <c r="C38" s="229">
        <v>1600.3616652484507</v>
      </c>
      <c r="D38" s="229">
        <v>539.61821681573474</v>
      </c>
      <c r="E38" s="229">
        <v>1183.6044740265604</v>
      </c>
      <c r="F38" s="229">
        <v>335.63252165610783</v>
      </c>
      <c r="G38" s="229">
        <v>370.09002780985406</v>
      </c>
      <c r="H38" s="229">
        <v>818.85343471879651</v>
      </c>
      <c r="I38" s="229">
        <v>420.65396464670687</v>
      </c>
      <c r="J38" s="229">
        <v>614.59145602940612</v>
      </c>
      <c r="K38" s="229">
        <v>622.87132943775032</v>
      </c>
      <c r="M38" s="206">
        <v>2023</v>
      </c>
      <c r="N38" s="419">
        <f t="shared" si="2"/>
        <v>490.94613602741958</v>
      </c>
      <c r="O38" s="418">
        <f>(C38/Population_Tables!P12)*Population_Tables!D71</f>
        <v>0</v>
      </c>
      <c r="P38" s="418">
        <f>(D38/Population_Tables!Q12)*Population_Tables!E71</f>
        <v>0</v>
      </c>
      <c r="Q38" s="418">
        <f>((E38-H38)/Population_Tables!R12)*Population_Tables!F71</f>
        <v>191.31554609374541</v>
      </c>
      <c r="R38" s="418">
        <f>(F38/Population_Tables!S12)*Population_Tables!G71</f>
        <v>198.3767015944066</v>
      </c>
      <c r="S38" s="418">
        <f>(G38/Population_Tables!T12)*Population_Tables!H71</f>
        <v>101.25388833926759</v>
      </c>
      <c r="T38" s="418">
        <f>(H38/Population_Tables!U12)*Population_Tables!I71</f>
        <v>0</v>
      </c>
      <c r="U38" s="418">
        <f>(I38/Population_Tables!V12)*Population_Tables!J71</f>
        <v>0</v>
      </c>
      <c r="V38" s="418">
        <f>(J38/Population_Tables!W12)*Population_Tables!K71</f>
        <v>0</v>
      </c>
      <c r="W38" s="418">
        <f>(K38/Population_Tables!X12)*Population_Tables!L71</f>
        <v>0</v>
      </c>
      <c r="Y38" s="456">
        <v>2023</v>
      </c>
      <c r="Z38" s="459">
        <f>((B38/Population_Tables!O12)*Population_Tables!C12)-N38</f>
        <v>4604.4246645468884</v>
      </c>
      <c r="AA38" s="459">
        <f>((C38/Population_Tables!P12)*Population_Tables!D12)-O38</f>
        <v>1606.6396149338441</v>
      </c>
      <c r="AB38" s="459">
        <f>((D38/Population_Tables!Q12)*Population_Tables!E12)-P38</f>
        <v>541.85402112608983</v>
      </c>
      <c r="AC38" s="459">
        <f>((E38/Population_Tables!R12)*Population_Tables!F12)-Q38</f>
        <v>997.79978261404324</v>
      </c>
      <c r="AD38" s="459">
        <f>((F38/Population_Tables!S12)*Population_Tables!G12)-R38</f>
        <v>138.80568732714437</v>
      </c>
      <c r="AE38" s="459">
        <f>((G38/Population_Tables!T12)*Population_Tables!H12)-S38</f>
        <v>271.02213404819435</v>
      </c>
      <c r="AF38" s="459">
        <f>(H38/Population_Tables!U12)*Population_Tables!I12</f>
        <v>821.99038882128878</v>
      </c>
      <c r="AG38" s="459">
        <f>(I38/Population_Tables!V12)*Population_Tables!J12</f>
        <v>422.64308663912772</v>
      </c>
      <c r="AH38" s="459">
        <f>(J38/Population_Tables!W12)*Population_Tables!K12</f>
        <v>616.92468959881683</v>
      </c>
      <c r="AI38" s="459">
        <f>(K38/Population_Tables!X12)*Population_Tables!L12</f>
        <v>625.4294054727053</v>
      </c>
      <c r="AK38" s="456">
        <v>2023</v>
      </c>
      <c r="AL38" s="459">
        <f t="shared" si="6"/>
        <v>5095.3708005743083</v>
      </c>
      <c r="AM38" s="459">
        <f t="shared" si="3"/>
        <v>1606.6396149338441</v>
      </c>
      <c r="AN38" s="459">
        <f t="shared" si="3"/>
        <v>541.85402112608983</v>
      </c>
      <c r="AO38" s="459">
        <f t="shared" si="3"/>
        <v>1189.1153287077886</v>
      </c>
      <c r="AP38" s="459">
        <f t="shared" si="3"/>
        <v>337.18238892155097</v>
      </c>
      <c r="AQ38" s="459">
        <f t="shared" si="3"/>
        <v>372.27602238746192</v>
      </c>
      <c r="AR38" s="459">
        <f t="shared" si="3"/>
        <v>821.99038882128878</v>
      </c>
      <c r="AS38" s="459">
        <f t="shared" si="3"/>
        <v>422.64308663912772</v>
      </c>
      <c r="AT38" s="459">
        <f t="shared" si="3"/>
        <v>616.92468959881683</v>
      </c>
      <c r="AU38" s="459">
        <f t="shared" si="3"/>
        <v>625.4294054727053</v>
      </c>
      <c r="AW38" s="216">
        <f>(B38/Population_Tables!O12)*Population_Tables!C12</f>
        <v>5095.3708005743083</v>
      </c>
      <c r="AX38" s="153" t="str">
        <f t="shared" si="7"/>
        <v>OK</v>
      </c>
      <c r="AY38" s="421">
        <f t="shared" si="4"/>
        <v>4047.0673760767359</v>
      </c>
      <c r="AZ38" s="153" t="str">
        <f t="shared" si="5"/>
        <v>OK</v>
      </c>
      <c r="BB38" s="216">
        <f>(C38/Population_Tables!P12)*Population_Tables!D12</f>
        <v>1606.6396149338441</v>
      </c>
      <c r="BC38" s="216">
        <f>(D38/Population_Tables!Q12)*Population_Tables!E12</f>
        <v>541.85402112608983</v>
      </c>
      <c r="BD38" s="216">
        <f>(E38/Population_Tables!R12)*Population_Tables!F12</f>
        <v>1189.1153287077886</v>
      </c>
      <c r="BE38" s="216">
        <f>(F38/Population_Tables!S12)*Population_Tables!G12</f>
        <v>337.18238892155097</v>
      </c>
      <c r="BF38" s="216">
        <f>(G38/Population_Tables!T12)*Population_Tables!H12</f>
        <v>372.27602238746192</v>
      </c>
      <c r="BG38" s="216"/>
      <c r="BN38" s="216"/>
      <c r="BO38" s="216"/>
      <c r="BP38" s="216"/>
    </row>
    <row r="39" spans="1:68" ht="15.6" x14ac:dyDescent="0.3">
      <c r="A39" s="206">
        <v>2024</v>
      </c>
      <c r="B39" s="229">
        <v>5105.1498866855909</v>
      </c>
      <c r="C39" s="229">
        <v>1604.0005362161112</v>
      </c>
      <c r="D39" s="229">
        <v>542.15682688781885</v>
      </c>
      <c r="E39" s="229">
        <v>1207.4691891403131</v>
      </c>
      <c r="F39" s="229">
        <v>343.42871377456055</v>
      </c>
      <c r="G39" s="229">
        <v>375.14360719531533</v>
      </c>
      <c r="H39" s="229">
        <v>826.14375459585563</v>
      </c>
      <c r="I39" s="229">
        <v>423.2610129990818</v>
      </c>
      <c r="J39" s="229">
        <v>615.91159191137604</v>
      </c>
      <c r="K39" s="229">
        <v>625.69665951537684</v>
      </c>
      <c r="M39" s="206">
        <v>2024</v>
      </c>
      <c r="N39" s="419">
        <f t="shared" si="2"/>
        <v>508.37358183181743</v>
      </c>
      <c r="O39" s="418">
        <f>(C39/Population_Tables!P13)*Population_Tables!D72</f>
        <v>0</v>
      </c>
      <c r="P39" s="418">
        <f>(D39/Population_Tables!Q13)*Population_Tables!E72</f>
        <v>0</v>
      </c>
      <c r="Q39" s="418">
        <f>((E39-H39)/Population_Tables!R13)*Population_Tables!F72</f>
        <v>201.24103699011704</v>
      </c>
      <c r="R39" s="418">
        <f>(F39/Population_Tables!S13)*Population_Tables!G72</f>
        <v>203.95731898056084</v>
      </c>
      <c r="S39" s="418">
        <f>(G39/Population_Tables!T13)*Population_Tables!H72</f>
        <v>103.17522586113954</v>
      </c>
      <c r="T39" s="418">
        <f>(H39/Population_Tables!U13)*Population_Tables!I72</f>
        <v>0</v>
      </c>
      <c r="U39" s="418">
        <f>(I39/Population_Tables!V13)*Population_Tables!J72</f>
        <v>0</v>
      </c>
      <c r="V39" s="418">
        <f>(J39/Population_Tables!W13)*Population_Tables!K72</f>
        <v>0</v>
      </c>
      <c r="W39" s="418">
        <f>(K39/Population_Tables!X13)*Population_Tables!L72</f>
        <v>0</v>
      </c>
      <c r="Y39" s="456">
        <v>2024</v>
      </c>
      <c r="Z39" s="459">
        <f>((B39/Population_Tables!O13)*Population_Tables!C13)-N39</f>
        <v>4630.8434012585603</v>
      </c>
      <c r="AA39" s="459">
        <f>((C39/Population_Tables!P13)*Population_Tables!D13)-O39</f>
        <v>1613.1166170976257</v>
      </c>
      <c r="AB39" s="459">
        <f>((D39/Population_Tables!Q13)*Population_Tables!E13)-P39</f>
        <v>545.33829210589818</v>
      </c>
      <c r="AC39" s="459">
        <f>((E39/Population_Tables!R13)*Population_Tables!F13)-Q39</f>
        <v>1014.4191602204157</v>
      </c>
      <c r="AD39" s="459">
        <f>((F39/Population_Tables!S13)*Population_Tables!G13)-R39</f>
        <v>141.71557303574434</v>
      </c>
      <c r="AE39" s="459">
        <f>((G39/Population_Tables!T13)*Population_Tables!H13)-S39</f>
        <v>275.04089257532968</v>
      </c>
      <c r="AF39" s="459">
        <f>(H39/Population_Tables!U13)*Population_Tables!I13</f>
        <v>830.67745548587777</v>
      </c>
      <c r="AG39" s="459">
        <f>(I39/Population_Tables!V13)*Population_Tables!J13</f>
        <v>426.20715517527924</v>
      </c>
      <c r="AH39" s="459">
        <f>(J39/Population_Tables!W13)*Population_Tables!K13</f>
        <v>619.27036515519683</v>
      </c>
      <c r="AI39" s="459">
        <f>(K39/Population_Tables!X13)*Population_Tables!L13</f>
        <v>629.44738566559408</v>
      </c>
      <c r="AK39" s="456">
        <v>2024</v>
      </c>
      <c r="AL39" s="459">
        <f t="shared" si="6"/>
        <v>5139.2169830903777</v>
      </c>
      <c r="AM39" s="459">
        <f t="shared" si="3"/>
        <v>1613.1166170976257</v>
      </c>
      <c r="AN39" s="459">
        <f t="shared" si="3"/>
        <v>545.33829210589818</v>
      </c>
      <c r="AO39" s="459">
        <f t="shared" si="3"/>
        <v>1215.6601972105327</v>
      </c>
      <c r="AP39" s="459">
        <f t="shared" si="3"/>
        <v>345.67289201630518</v>
      </c>
      <c r="AQ39" s="459">
        <f t="shared" si="3"/>
        <v>378.21611843646923</v>
      </c>
      <c r="AR39" s="459">
        <f t="shared" si="3"/>
        <v>830.67745548587777</v>
      </c>
      <c r="AS39" s="459">
        <f t="shared" si="3"/>
        <v>426.20715517527924</v>
      </c>
      <c r="AT39" s="459">
        <f t="shared" si="3"/>
        <v>619.27036515519683</v>
      </c>
      <c r="AU39" s="459">
        <f t="shared" si="3"/>
        <v>629.44738566559408</v>
      </c>
      <c r="AW39" s="216">
        <f>(B39/Population_Tables!O13)*Population_Tables!C13</f>
        <v>5139.2169830903777</v>
      </c>
      <c r="AX39" s="153" t="str">
        <f t="shared" si="7"/>
        <v>OK</v>
      </c>
      <c r="AY39" s="421">
        <f t="shared" si="4"/>
        <v>4098.0041168668313</v>
      </c>
      <c r="AZ39" s="153" t="str">
        <f t="shared" si="5"/>
        <v>OK</v>
      </c>
      <c r="BB39" s="216">
        <f>(C39/Population_Tables!P13)*Population_Tables!D13</f>
        <v>1613.1166170976257</v>
      </c>
      <c r="BC39" s="216">
        <f>(D39/Population_Tables!Q13)*Population_Tables!E13</f>
        <v>545.33829210589818</v>
      </c>
      <c r="BD39" s="216">
        <f>(E39/Population_Tables!R13)*Population_Tables!F13</f>
        <v>1215.6601972105327</v>
      </c>
      <c r="BE39" s="216">
        <f>(F39/Population_Tables!S13)*Population_Tables!G13</f>
        <v>345.67289201630518</v>
      </c>
      <c r="BF39" s="216">
        <f>(G39/Population_Tables!T13)*Population_Tables!H13</f>
        <v>378.21611843646923</v>
      </c>
      <c r="BG39" s="216"/>
      <c r="BN39" s="216"/>
      <c r="BO39" s="216"/>
      <c r="BP39" s="216"/>
    </row>
    <row r="40" spans="1:68" ht="15.6" x14ac:dyDescent="0.3">
      <c r="A40" s="206">
        <v>2025</v>
      </c>
      <c r="B40" s="229">
        <v>5137.538284249682</v>
      </c>
      <c r="C40" s="229">
        <v>1607.4283695701483</v>
      </c>
      <c r="D40" s="229">
        <v>544.6642786665393</v>
      </c>
      <c r="E40" s="229">
        <v>1231.5029421269658</v>
      </c>
      <c r="F40" s="229">
        <v>351.26031947827892</v>
      </c>
      <c r="G40" s="229">
        <v>380.16937259851363</v>
      </c>
      <c r="H40" s="229">
        <v>833.16103417916679</v>
      </c>
      <c r="I40" s="229">
        <v>425.63814647187269</v>
      </c>
      <c r="J40" s="229">
        <v>617.11398918287352</v>
      </c>
      <c r="K40" s="229">
        <v>628.37904644923265</v>
      </c>
      <c r="M40" s="206">
        <v>2025</v>
      </c>
      <c r="N40" s="419">
        <f t="shared" si="2"/>
        <v>526.37041903502427</v>
      </c>
      <c r="O40" s="418">
        <f>(C40/Population_Tables!P14)*Population_Tables!D73</f>
        <v>0</v>
      </c>
      <c r="P40" s="418">
        <f>(D40/Population_Tables!Q14)*Population_Tables!E73</f>
        <v>0</v>
      </c>
      <c r="Q40" s="418">
        <f>((E40-H40)/Population_Tables!R14)*Population_Tables!F73</f>
        <v>211.57596526115108</v>
      </c>
      <c r="R40" s="418">
        <f>(F40/Population_Tables!S14)*Population_Tables!G73</f>
        <v>209.65497938385127</v>
      </c>
      <c r="S40" s="418">
        <f>(G40/Population_Tables!T14)*Population_Tables!H73</f>
        <v>105.13947439002195</v>
      </c>
      <c r="T40" s="418">
        <f>(H40/Population_Tables!U14)*Population_Tables!I73</f>
        <v>0</v>
      </c>
      <c r="U40" s="418">
        <f>(I40/Population_Tables!V14)*Population_Tables!J73</f>
        <v>0</v>
      </c>
      <c r="V40" s="418">
        <f>(J40/Population_Tables!W14)*Population_Tables!K73</f>
        <v>0</v>
      </c>
      <c r="W40" s="418">
        <f>(K40/Population_Tables!X14)*Population_Tables!L73</f>
        <v>0</v>
      </c>
      <c r="Y40" s="456">
        <v>2025</v>
      </c>
      <c r="Z40" s="459">
        <f>((B40/Population_Tables!O14)*Population_Tables!C14)-N40</f>
        <v>4656.9173265070585</v>
      </c>
      <c r="AA40" s="459">
        <f>((C40/Population_Tables!P14)*Population_Tables!D14)-O40</f>
        <v>1619.6646632564991</v>
      </c>
      <c r="AB40" s="459">
        <f>((D40/Population_Tables!Q14)*Population_Tables!E14)-P40</f>
        <v>548.87615121928593</v>
      </c>
      <c r="AC40" s="459">
        <f>((E40/Population_Tables!R14)*Population_Tables!F14)-Q40</f>
        <v>1031.1473770947889</v>
      </c>
      <c r="AD40" s="459">
        <f>((F40/Population_Tables!S14)*Population_Tables!G14)-R40</f>
        <v>144.64045757591478</v>
      </c>
      <c r="AE40" s="459">
        <f>((G40/Population_Tables!T14)*Population_Tables!H14)-S40</f>
        <v>279.12699262756416</v>
      </c>
      <c r="AF40" s="459">
        <f>(H40/Population_Tables!U14)*Population_Tables!I14</f>
        <v>839.23148169017702</v>
      </c>
      <c r="AG40" s="459">
        <f>(I40/Population_Tables!V14)*Population_Tables!J14</f>
        <v>429.63897237120449</v>
      </c>
      <c r="AH40" s="459">
        <f>(J40/Population_Tables!W14)*Population_Tables!K14</f>
        <v>621.59394576354794</v>
      </c>
      <c r="AI40" s="459">
        <f>(K40/Population_Tables!X14)*Population_Tables!L14</f>
        <v>633.45147680653417</v>
      </c>
      <c r="AK40" s="456">
        <v>2025</v>
      </c>
      <c r="AL40" s="459">
        <f t="shared" si="6"/>
        <v>5183.287745542083</v>
      </c>
      <c r="AM40" s="459">
        <f t="shared" si="3"/>
        <v>1619.6646632564991</v>
      </c>
      <c r="AN40" s="459">
        <f t="shared" si="3"/>
        <v>548.87615121928593</v>
      </c>
      <c r="AO40" s="459">
        <f t="shared" si="3"/>
        <v>1242.7233423559401</v>
      </c>
      <c r="AP40" s="459">
        <f t="shared" si="3"/>
        <v>354.29543695976605</v>
      </c>
      <c r="AQ40" s="459">
        <f t="shared" si="3"/>
        <v>384.26646701758614</v>
      </c>
      <c r="AR40" s="459">
        <f t="shared" si="3"/>
        <v>839.23148169017702</v>
      </c>
      <c r="AS40" s="459">
        <f t="shared" si="3"/>
        <v>429.63897237120449</v>
      </c>
      <c r="AT40" s="459">
        <f t="shared" si="3"/>
        <v>621.59394576354794</v>
      </c>
      <c r="AU40" s="459">
        <f t="shared" si="3"/>
        <v>633.45147680653417</v>
      </c>
      <c r="AW40" s="216">
        <f>(B40/Population_Tables!O14)*Population_Tables!C14</f>
        <v>5183.287745542083</v>
      </c>
      <c r="AX40" s="153" t="str">
        <f t="shared" si="7"/>
        <v>OK</v>
      </c>
      <c r="AY40" s="421">
        <f t="shared" si="4"/>
        <v>4149.8260608090768</v>
      </c>
      <c r="AZ40" s="153" t="str">
        <f t="shared" si="5"/>
        <v>OK</v>
      </c>
      <c r="BB40" s="216">
        <f>(C40/Population_Tables!P14)*Population_Tables!D14</f>
        <v>1619.6646632564991</v>
      </c>
      <c r="BC40" s="216">
        <f>(D40/Population_Tables!Q14)*Population_Tables!E14</f>
        <v>548.87615121928593</v>
      </c>
      <c r="BD40" s="216">
        <f>(E40/Population_Tables!R14)*Population_Tables!F14</f>
        <v>1242.7233423559401</v>
      </c>
      <c r="BE40" s="216">
        <f>(F40/Population_Tables!S14)*Population_Tables!G14</f>
        <v>354.29543695976605</v>
      </c>
      <c r="BF40" s="216">
        <f>(G40/Population_Tables!T14)*Population_Tables!H14</f>
        <v>384.26646701758608</v>
      </c>
      <c r="BG40" s="216"/>
      <c r="BN40" s="216"/>
      <c r="BO40" s="216"/>
      <c r="BP40" s="216"/>
    </row>
    <row r="41" spans="1:68" ht="15.6" x14ac:dyDescent="0.3">
      <c r="A41" s="206">
        <v>2026</v>
      </c>
      <c r="B41" s="229">
        <v>5169.0126587814775</v>
      </c>
      <c r="C41" s="229">
        <v>1610.656936030482</v>
      </c>
      <c r="D41" s="229">
        <v>547.14096686855089</v>
      </c>
      <c r="E41" s="229">
        <v>1255.7015455604212</v>
      </c>
      <c r="F41" s="229">
        <v>359.12661483678556</v>
      </c>
      <c r="G41" s="229">
        <v>385.16673799461682</v>
      </c>
      <c r="H41" s="229">
        <v>839.90447465244154</v>
      </c>
      <c r="I41" s="229">
        <v>427.79742150497458</v>
      </c>
      <c r="J41" s="229">
        <v>618.20453453026664</v>
      </c>
      <c r="K41" s="229">
        <v>630.92580973878103</v>
      </c>
      <c r="M41" s="206">
        <v>2026</v>
      </c>
      <c r="N41" s="419">
        <f t="shared" si="2"/>
        <v>544.93589316145813</v>
      </c>
      <c r="O41" s="418">
        <f>(C41/Population_Tables!P15)*Population_Tables!D74</f>
        <v>0</v>
      </c>
      <c r="P41" s="418">
        <f>(D41/Population_Tables!Q15)*Population_Tables!E74</f>
        <v>0</v>
      </c>
      <c r="Q41" s="418">
        <f>((E41-H41)/Population_Tables!R15)*Population_Tables!F74</f>
        <v>222.32046922075185</v>
      </c>
      <c r="R41" s="418">
        <f>(F41/Population_Tables!S15)*Population_Tables!G74</f>
        <v>215.46814025959554</v>
      </c>
      <c r="S41" s="418">
        <f>(G41/Population_Tables!T15)*Population_Tables!H74</f>
        <v>107.14728368111065</v>
      </c>
      <c r="T41" s="418">
        <f>(H41/Population_Tables!U15)*Population_Tables!I74</f>
        <v>0</v>
      </c>
      <c r="U41" s="418">
        <f>(I41/Population_Tables!V15)*Population_Tables!J74</f>
        <v>0</v>
      </c>
      <c r="V41" s="418">
        <f>(J41/Population_Tables!W15)*Population_Tables!K74</f>
        <v>0</v>
      </c>
      <c r="W41" s="418">
        <f>(K41/Population_Tables!X15)*Population_Tables!L74</f>
        <v>0</v>
      </c>
      <c r="Y41" s="456">
        <v>2026</v>
      </c>
      <c r="Z41" s="459">
        <f>((B41/Population_Tables!O15)*Population_Tables!C15)-N41</f>
        <v>4682.5651500951162</v>
      </c>
      <c r="AA41" s="459">
        <f>((C41/Population_Tables!P15)*Population_Tables!D15)-O41</f>
        <v>1626.262713339996</v>
      </c>
      <c r="AB41" s="459">
        <f>((D41/Population_Tables!Q15)*Population_Tables!E15)-P41</f>
        <v>552.46980331023224</v>
      </c>
      <c r="AC41" s="459">
        <f>((E41/Population_Tables!R15)*Population_Tables!F15)-Q41</f>
        <v>1047.956389769972</v>
      </c>
      <c r="AD41" s="459">
        <f>((F41/Population_Tables!S15)*Population_Tables!G15)-R41</f>
        <v>147.58288292015027</v>
      </c>
      <c r="AE41" s="459">
        <f>((G41/Population_Tables!T15)*Population_Tables!H15)-S41</f>
        <v>283.28199560937816</v>
      </c>
      <c r="AF41" s="459">
        <f>(H41/Population_Tables!U15)*Population_Tables!I15</f>
        <v>847.63945742331032</v>
      </c>
      <c r="AG41" s="459">
        <f>(I41/Population_Tables!V15)*Population_Tables!J15</f>
        <v>432.93181421763546</v>
      </c>
      <c r="AH41" s="459">
        <f>(J41/Population_Tables!W15)*Population_Tables!K15</f>
        <v>623.89096504314807</v>
      </c>
      <c r="AI41" s="459">
        <f>(K41/Population_Tables!X15)*Population_Tables!L15</f>
        <v>637.43466363457628</v>
      </c>
      <c r="AK41" s="456">
        <v>2026</v>
      </c>
      <c r="AL41" s="459">
        <f t="shared" si="6"/>
        <v>5227.5010432565741</v>
      </c>
      <c r="AM41" s="459">
        <f t="shared" si="3"/>
        <v>1626.262713339996</v>
      </c>
      <c r="AN41" s="459">
        <f t="shared" si="3"/>
        <v>552.46980331023224</v>
      </c>
      <c r="AO41" s="459">
        <f t="shared" si="3"/>
        <v>1270.2768589907239</v>
      </c>
      <c r="AP41" s="459">
        <f t="shared" si="3"/>
        <v>363.05102317974581</v>
      </c>
      <c r="AQ41" s="459">
        <f t="shared" si="3"/>
        <v>390.42927929048881</v>
      </c>
      <c r="AR41" s="459">
        <f t="shared" si="3"/>
        <v>847.63945742331032</v>
      </c>
      <c r="AS41" s="459">
        <f t="shared" si="3"/>
        <v>432.93181421763546</v>
      </c>
      <c r="AT41" s="459">
        <f t="shared" si="3"/>
        <v>623.89096504314807</v>
      </c>
      <c r="AU41" s="459">
        <f t="shared" si="3"/>
        <v>637.43466363457628</v>
      </c>
      <c r="AW41" s="216">
        <f>(B41/Population_Tables!O15)*Population_Tables!C15</f>
        <v>5227.5010432565741</v>
      </c>
      <c r="AX41" s="153" t="str">
        <f t="shared" si="7"/>
        <v>OK</v>
      </c>
      <c r="AY41" s="421">
        <f t="shared" si="4"/>
        <v>4202.4896781111865</v>
      </c>
      <c r="AZ41" s="153" t="str">
        <f t="shared" si="5"/>
        <v>OK</v>
      </c>
      <c r="BB41" s="216">
        <f>(C41/Population_Tables!P15)*Population_Tables!D15</f>
        <v>1626.262713339996</v>
      </c>
      <c r="BC41" s="216">
        <f>(D41/Population_Tables!Q15)*Population_Tables!E15</f>
        <v>552.46980331023224</v>
      </c>
      <c r="BD41" s="216">
        <f>(E41/Population_Tables!R15)*Population_Tables!F15</f>
        <v>1270.2768589907239</v>
      </c>
      <c r="BE41" s="216">
        <f>(F41/Population_Tables!S15)*Population_Tables!G15</f>
        <v>363.05102317974581</v>
      </c>
      <c r="BF41" s="216">
        <f>(G41/Population_Tables!T15)*Population_Tables!H15</f>
        <v>390.42927929048881</v>
      </c>
      <c r="BG41" s="216"/>
      <c r="BN41" s="216"/>
      <c r="BO41" s="216"/>
      <c r="BP41" s="216"/>
    </row>
    <row r="42" spans="1:68" ht="15.6" x14ac:dyDescent="0.3">
      <c r="A42" s="206">
        <v>2027</v>
      </c>
      <c r="B42" s="229">
        <v>5199.5862661055507</v>
      </c>
      <c r="C42" s="229">
        <v>1613.6980063170336</v>
      </c>
      <c r="D42" s="229">
        <v>549.5872862105083</v>
      </c>
      <c r="E42" s="229">
        <v>1280.0608120145828</v>
      </c>
      <c r="F42" s="229">
        <v>367.02687591960336</v>
      </c>
      <c r="G42" s="229">
        <v>390.13511735879297</v>
      </c>
      <c r="H42" s="229">
        <v>846.37327719939117</v>
      </c>
      <c r="I42" s="229">
        <v>429.75089453828235</v>
      </c>
      <c r="J42" s="229">
        <v>619.18911463992367</v>
      </c>
      <c r="K42" s="229">
        <v>633.34426888348514</v>
      </c>
      <c r="M42" s="206">
        <v>2027</v>
      </c>
      <c r="N42" s="419">
        <f t="shared" si="2"/>
        <v>564.06648520450437</v>
      </c>
      <c r="O42" s="418">
        <f>(C42/Population_Tables!P16)*Population_Tables!D75</f>
        <v>0</v>
      </c>
      <c r="P42" s="418">
        <f>(D42/Population_Tables!Q16)*Population_Tables!E75</f>
        <v>0</v>
      </c>
      <c r="Q42" s="418">
        <f>((E42-H42)/Population_Tables!R16)*Population_Tables!F75</f>
        <v>233.47788958342898</v>
      </c>
      <c r="R42" s="418">
        <f>(F42/Population_Tables!S16)*Population_Tables!G75</f>
        <v>221.393899266658</v>
      </c>
      <c r="S42" s="418">
        <f>(G42/Population_Tables!T16)*Population_Tables!H75</f>
        <v>109.19469635441735</v>
      </c>
      <c r="T42" s="418">
        <f>(H42/Population_Tables!U16)*Population_Tables!I75</f>
        <v>0</v>
      </c>
      <c r="U42" s="418">
        <f>(I42/Population_Tables!V16)*Population_Tables!J75</f>
        <v>0</v>
      </c>
      <c r="V42" s="418">
        <f>(J42/Population_Tables!W16)*Population_Tables!K75</f>
        <v>0</v>
      </c>
      <c r="W42" s="418">
        <f>(K42/Population_Tables!X16)*Population_Tables!L75</f>
        <v>0</v>
      </c>
      <c r="Y42" s="456">
        <v>2027</v>
      </c>
      <c r="Z42" s="459">
        <f>((B42/Population_Tables!O16)*Population_Tables!C16)-N42</f>
        <v>4707.7144598788118</v>
      </c>
      <c r="AA42" s="459">
        <f>((C42/Population_Tables!P16)*Population_Tables!D16)-O42</f>
        <v>1632.9034367126633</v>
      </c>
      <c r="AB42" s="459">
        <f>((D42/Population_Tables!Q16)*Population_Tables!E16)-P42</f>
        <v>556.12357942702158</v>
      </c>
      <c r="AC42" s="459">
        <f>((E42/Population_Tables!R16)*Population_Tables!F16)-Q42</f>
        <v>1064.8296256491412</v>
      </c>
      <c r="AD42" s="459">
        <f>((F42/Population_Tables!S16)*Population_Tables!G16)-R42</f>
        <v>150.54283020799019</v>
      </c>
      <c r="AE42" s="459">
        <f>((G42/Population_Tables!T16)*Population_Tables!H16)-S42</f>
        <v>287.49131781678375</v>
      </c>
      <c r="AF42" s="459">
        <f>(H42/Population_Tables!U16)*Population_Tables!I16</f>
        <v>855.89467445987134</v>
      </c>
      <c r="AG42" s="459">
        <f>(I42/Population_Tables!V16)*Population_Tables!J16</f>
        <v>436.08699379502269</v>
      </c>
      <c r="AH42" s="459">
        <f>(J42/Population_Tables!W16)*Population_Tables!K16</f>
        <v>626.16125235285926</v>
      </c>
      <c r="AI42" s="459">
        <f>(K42/Population_Tables!X16)*Population_Tables!L16</f>
        <v>641.39654660489089</v>
      </c>
      <c r="AK42" s="456">
        <v>2027</v>
      </c>
      <c r="AL42" s="459">
        <f t="shared" si="6"/>
        <v>5271.7809450833165</v>
      </c>
      <c r="AM42" s="459">
        <f t="shared" si="3"/>
        <v>1632.9034367126633</v>
      </c>
      <c r="AN42" s="459">
        <f t="shared" si="3"/>
        <v>556.12357942702158</v>
      </c>
      <c r="AO42" s="459">
        <f t="shared" si="3"/>
        <v>1298.3075152325703</v>
      </c>
      <c r="AP42" s="459">
        <f t="shared" si="3"/>
        <v>371.93672947464819</v>
      </c>
      <c r="AQ42" s="459">
        <f t="shared" si="3"/>
        <v>396.68601417120112</v>
      </c>
      <c r="AR42" s="459">
        <f t="shared" si="3"/>
        <v>855.89467445987134</v>
      </c>
      <c r="AS42" s="459">
        <f t="shared" si="3"/>
        <v>436.08699379502269</v>
      </c>
      <c r="AT42" s="459">
        <f t="shared" si="3"/>
        <v>626.16125235285926</v>
      </c>
      <c r="AU42" s="459">
        <f t="shared" si="3"/>
        <v>641.39654660489089</v>
      </c>
      <c r="AW42" s="216">
        <f>(B42/Population_Tables!O16)*Population_Tables!C16</f>
        <v>5271.7809450833165</v>
      </c>
      <c r="AX42" s="153" t="str">
        <f t="shared" si="7"/>
        <v>OK</v>
      </c>
      <c r="AY42" s="421">
        <f t="shared" si="4"/>
        <v>4255.9572750181042</v>
      </c>
      <c r="AZ42" s="153" t="str">
        <f t="shared" si="5"/>
        <v>OK</v>
      </c>
      <c r="BB42" s="216">
        <f>(C42/Population_Tables!P16)*Population_Tables!D16</f>
        <v>1632.9034367126633</v>
      </c>
      <c r="BC42" s="216">
        <f>(D42/Population_Tables!Q16)*Population_Tables!E16</f>
        <v>556.12357942702158</v>
      </c>
      <c r="BD42" s="216">
        <f>(E42/Population_Tables!R16)*Population_Tables!F16</f>
        <v>1298.3075152325703</v>
      </c>
      <c r="BE42" s="216">
        <f>(F42/Population_Tables!S16)*Population_Tables!G16</f>
        <v>371.93672947464819</v>
      </c>
      <c r="BF42" s="216">
        <f>(G42/Population_Tables!T16)*Population_Tables!H16</f>
        <v>396.68601417120107</v>
      </c>
      <c r="BG42" s="216"/>
      <c r="BN42" s="216"/>
      <c r="BO42" s="216"/>
      <c r="BP42" s="216"/>
    </row>
    <row r="43" spans="1:68" ht="15.6" x14ac:dyDescent="0.3">
      <c r="A43" s="206">
        <v>2028</v>
      </c>
      <c r="B43" s="229">
        <v>5229.2723620464767</v>
      </c>
      <c r="C43" s="229">
        <v>1616.5633511497235</v>
      </c>
      <c r="D43" s="229">
        <v>552.00363140906643</v>
      </c>
      <c r="E43" s="229">
        <v>1304.5765540633533</v>
      </c>
      <c r="F43" s="229">
        <v>374.96037879625499</v>
      </c>
      <c r="G43" s="229">
        <v>395.07392466621002</v>
      </c>
      <c r="H43" s="229">
        <v>852.56664300372722</v>
      </c>
      <c r="I43" s="229">
        <v>431.51062201169088</v>
      </c>
      <c r="J43" s="229">
        <v>620.07361619821245</v>
      </c>
      <c r="K43" s="229">
        <v>635.64174338280861</v>
      </c>
      <c r="M43" s="206">
        <v>2028</v>
      </c>
      <c r="N43" s="419">
        <f t="shared" si="2"/>
        <v>583.76787126093973</v>
      </c>
      <c r="O43" s="418">
        <f>(C43/Population_Tables!P17)*Population_Tables!D76</f>
        <v>0</v>
      </c>
      <c r="P43" s="418">
        <f>(D43/Population_Tables!Q17)*Population_Tables!E76</f>
        <v>0</v>
      </c>
      <c r="Q43" s="418">
        <f>((E43-H43)/Population_Tables!R17)*Population_Tables!F76</f>
        <v>245.05544784496018</v>
      </c>
      <c r="R43" s="418">
        <f>(F43/Population_Tables!S17)*Population_Tables!G76</f>
        <v>227.43110065891779</v>
      </c>
      <c r="S43" s="418">
        <f>(G43/Population_Tables!T17)*Population_Tables!H76</f>
        <v>111.28132275706176</v>
      </c>
      <c r="T43" s="418">
        <f>(H43/Population_Tables!U17)*Population_Tables!I76</f>
        <v>0</v>
      </c>
      <c r="U43" s="418">
        <f>(I43/Population_Tables!V17)*Population_Tables!J76</f>
        <v>0</v>
      </c>
      <c r="V43" s="418">
        <f>(J43/Population_Tables!W17)*Population_Tables!K76</f>
        <v>0</v>
      </c>
      <c r="W43" s="418">
        <f>(K43/Population_Tables!X17)*Population_Tables!L76</f>
        <v>0</v>
      </c>
      <c r="Y43" s="456">
        <v>2028</v>
      </c>
      <c r="Z43" s="459">
        <f>((B43/Population_Tables!O17)*Population_Tables!C17)-N43</f>
        <v>4732.3401323336329</v>
      </c>
      <c r="AA43" s="459">
        <f>((C43/Population_Tables!P17)*Population_Tables!D17)-O43</f>
        <v>1639.5920336802167</v>
      </c>
      <c r="AB43" s="459">
        <f>((D43/Population_Tables!Q17)*Population_Tables!E17)-P43</f>
        <v>559.8357081974325</v>
      </c>
      <c r="AC43" s="459">
        <f>((E43/Population_Tables!R17)*Population_Tables!F17)-Q43</f>
        <v>1081.7630885221288</v>
      </c>
      <c r="AD43" s="459">
        <f>((F43/Population_Tables!S17)*Population_Tables!G17)-R43</f>
        <v>153.52021914253879</v>
      </c>
      <c r="AE43" s="459">
        <f>((G43/Population_Tables!T17)*Population_Tables!H17)-S43</f>
        <v>291.74716350656013</v>
      </c>
      <c r="AF43" s="459">
        <f>(H43/Population_Tables!U17)*Population_Tables!I17</f>
        <v>863.99597818366772</v>
      </c>
      <c r="AG43" s="459">
        <f>(I43/Population_Tables!V17)*Population_Tables!J17</f>
        <v>439.11568591550753</v>
      </c>
      <c r="AH43" s="459">
        <f>(J43/Population_Tables!W17)*Population_Tables!K17</f>
        <v>628.40884144544566</v>
      </c>
      <c r="AI43" s="459">
        <f>(K43/Population_Tables!X17)*Population_Tables!L17</f>
        <v>645.34230945751551</v>
      </c>
      <c r="AK43" s="456">
        <v>2028</v>
      </c>
      <c r="AL43" s="459">
        <f t="shared" si="6"/>
        <v>5316.1080035945724</v>
      </c>
      <c r="AM43" s="459">
        <f t="shared" si="3"/>
        <v>1639.5920336802167</v>
      </c>
      <c r="AN43" s="459">
        <f t="shared" si="3"/>
        <v>559.8357081974325</v>
      </c>
      <c r="AO43" s="459">
        <f t="shared" si="3"/>
        <v>1326.8185363670889</v>
      </c>
      <c r="AP43" s="459">
        <f t="shared" si="3"/>
        <v>380.95131980145658</v>
      </c>
      <c r="AQ43" s="459">
        <f t="shared" si="3"/>
        <v>403.02848626362186</v>
      </c>
      <c r="AR43" s="459">
        <f t="shared" si="3"/>
        <v>863.99597818366772</v>
      </c>
      <c r="AS43" s="459">
        <f t="shared" si="3"/>
        <v>439.11568591550753</v>
      </c>
      <c r="AT43" s="459">
        <f t="shared" si="3"/>
        <v>628.40884144544566</v>
      </c>
      <c r="AU43" s="459">
        <f t="shared" si="3"/>
        <v>645.34230945751551</v>
      </c>
      <c r="AW43" s="216">
        <f>(B43/Population_Tables!O17)*Population_Tables!C17</f>
        <v>5316.1080035945724</v>
      </c>
      <c r="AX43" s="153" t="str">
        <f t="shared" si="7"/>
        <v>OK</v>
      </c>
      <c r="AY43" s="421">
        <f t="shared" si="4"/>
        <v>4310.2260843098165</v>
      </c>
      <c r="AZ43" s="153" t="str">
        <f t="shared" si="5"/>
        <v>OK</v>
      </c>
      <c r="BB43" s="216">
        <f>(C43/Population_Tables!P17)*Population_Tables!D17</f>
        <v>1639.5920336802167</v>
      </c>
      <c r="BC43" s="216">
        <f>(D43/Population_Tables!Q17)*Population_Tables!E17</f>
        <v>559.8357081974325</v>
      </c>
      <c r="BD43" s="216">
        <f>(E43/Population_Tables!R17)*Population_Tables!F17</f>
        <v>1326.8185363670889</v>
      </c>
      <c r="BE43" s="216">
        <f>(F43/Population_Tables!S17)*Population_Tables!G17</f>
        <v>380.95131980145658</v>
      </c>
      <c r="BF43" s="216">
        <f>(G43/Population_Tables!T17)*Population_Tables!H17</f>
        <v>403.02848626362186</v>
      </c>
      <c r="BG43" s="216"/>
      <c r="BN43" s="216"/>
      <c r="BO43" s="216"/>
      <c r="BP43" s="216"/>
    </row>
    <row r="44" spans="1:68" ht="15.6" x14ac:dyDescent="0.3">
      <c r="A44" s="206">
        <v>2029</v>
      </c>
      <c r="B44" s="229">
        <v>5258.0842024288322</v>
      </c>
      <c r="C44" s="229">
        <v>1619.2647412484721</v>
      </c>
      <c r="D44" s="229">
        <v>554.39039718087997</v>
      </c>
      <c r="E44" s="229">
        <v>1329.244584280636</v>
      </c>
      <c r="F44" s="229">
        <v>382.92639953626326</v>
      </c>
      <c r="G44" s="229">
        <v>399.98257389203593</v>
      </c>
      <c r="H44" s="229">
        <v>858.483773249161</v>
      </c>
      <c r="I44" s="229">
        <v>433.08866036509505</v>
      </c>
      <c r="J44" s="229">
        <v>620.86392589150114</v>
      </c>
      <c r="K44" s="229">
        <v>637.82555273621472</v>
      </c>
      <c r="M44" s="206">
        <v>2029</v>
      </c>
      <c r="N44" s="419">
        <f t="shared" si="2"/>
        <v>604.04797966237709</v>
      </c>
      <c r="O44" s="418">
        <f>(C44/Population_Tables!P18)*Population_Tables!D77</f>
        <v>0</v>
      </c>
      <c r="P44" s="418">
        <f>(D44/Population_Tables!Q18)*Population_Tables!E77</f>
        <v>0</v>
      </c>
      <c r="Q44" s="418">
        <f>((E44-H44)/Population_Tables!R18)*Population_Tables!F77</f>
        <v>257.06354473030183</v>
      </c>
      <c r="R44" s="418">
        <f>(F44/Population_Tables!S18)*Population_Tables!G77</f>
        <v>233.5784395619321</v>
      </c>
      <c r="S44" s="418">
        <f>(G44/Population_Tables!T18)*Population_Tables!H77</f>
        <v>113.40599537014316</v>
      </c>
      <c r="T44" s="418">
        <f>(H44/Population_Tables!U18)*Population_Tables!I77</f>
        <v>0</v>
      </c>
      <c r="U44" s="418">
        <f>(I44/Population_Tables!V18)*Population_Tables!J77</f>
        <v>0</v>
      </c>
      <c r="V44" s="418">
        <f>(J44/Population_Tables!W18)*Population_Tables!K77</f>
        <v>0</v>
      </c>
      <c r="W44" s="418">
        <f>(K44/Population_Tables!X18)*Population_Tables!L77</f>
        <v>0</v>
      </c>
      <c r="Y44" s="456">
        <v>2029</v>
      </c>
      <c r="Z44" s="459">
        <f>((B44/Population_Tables!O18)*Population_Tables!C18)-N44</f>
        <v>4756.4325748295541</v>
      </c>
      <c r="AA44" s="459">
        <f>((C44/Population_Tables!P18)*Population_Tables!D18)-O44</f>
        <v>1646.3419593410176</v>
      </c>
      <c r="AB44" s="459">
        <f>((D44/Population_Tables!Q18)*Population_Tables!E18)-P44</f>
        <v>563.60297043762228</v>
      </c>
      <c r="AC44" s="459">
        <f>((E44/Population_Tables!R18)*Population_Tables!F18)-Q44</f>
        <v>1098.7613596998806</v>
      </c>
      <c r="AD44" s="459">
        <f>((F44/Population_Tables!S18)*Population_Tables!G18)-R44</f>
        <v>156.51395076896102</v>
      </c>
      <c r="AE44" s="459">
        <f>((G44/Population_Tables!T18)*Population_Tables!H18)-S44</f>
        <v>296.03739772561954</v>
      </c>
      <c r="AF44" s="459">
        <f>(H44/Population_Tables!U18)*Population_Tables!I18</f>
        <v>871.9464241916761</v>
      </c>
      <c r="AG44" s="459">
        <f>(I44/Population_Tables!V18)*Population_Tables!J18</f>
        <v>442.03488490905886</v>
      </c>
      <c r="AH44" s="459">
        <f>(J44/Population_Tables!W18)*Population_Tables!K18</f>
        <v>630.64023669690812</v>
      </c>
      <c r="AI44" s="459">
        <f>(K44/Population_Tables!X18)*Population_Tables!L18</f>
        <v>649.28120787177454</v>
      </c>
      <c r="AK44" s="456">
        <v>2029</v>
      </c>
      <c r="AL44" s="459">
        <f t="shared" si="6"/>
        <v>5360.4805544919309</v>
      </c>
      <c r="AM44" s="459">
        <f t="shared" si="3"/>
        <v>1646.3419593410176</v>
      </c>
      <c r="AN44" s="459">
        <f t="shared" si="3"/>
        <v>563.60297043762228</v>
      </c>
      <c r="AO44" s="459">
        <f t="shared" si="3"/>
        <v>1355.8249044301824</v>
      </c>
      <c r="AP44" s="459">
        <f t="shared" si="3"/>
        <v>390.09239033089312</v>
      </c>
      <c r="AQ44" s="459">
        <f t="shared" si="3"/>
        <v>409.4433930957627</v>
      </c>
      <c r="AR44" s="459">
        <f t="shared" si="3"/>
        <v>871.9464241916761</v>
      </c>
      <c r="AS44" s="459">
        <f t="shared" si="3"/>
        <v>442.03488490905886</v>
      </c>
      <c r="AT44" s="459">
        <f t="shared" si="3"/>
        <v>630.64023669690812</v>
      </c>
      <c r="AU44" s="459">
        <f t="shared" si="3"/>
        <v>649.28120787177454</v>
      </c>
      <c r="AW44" s="216">
        <f>(B44/Population_Tables!O18)*Population_Tables!C18</f>
        <v>5360.4805544919309</v>
      </c>
      <c r="AX44" s="153" t="str">
        <f t="shared" si="7"/>
        <v>OK</v>
      </c>
      <c r="AY44" s="421">
        <f t="shared" si="4"/>
        <v>4365.3056176354785</v>
      </c>
      <c r="AZ44" s="153" t="str">
        <f t="shared" si="5"/>
        <v>OK</v>
      </c>
      <c r="BB44" s="216">
        <f>(C44/Population_Tables!P18)*Population_Tables!D18</f>
        <v>1646.3419593410176</v>
      </c>
      <c r="BC44" s="216">
        <f>(D44/Population_Tables!Q18)*Population_Tables!E18</f>
        <v>563.60297043762228</v>
      </c>
      <c r="BD44" s="216">
        <f>(E44/Population_Tables!R18)*Population_Tables!F18</f>
        <v>1355.8249044301824</v>
      </c>
      <c r="BE44" s="216">
        <f>(F44/Population_Tables!S18)*Population_Tables!G18</f>
        <v>390.09239033089312</v>
      </c>
      <c r="BF44" s="216">
        <f>(G44/Population_Tables!T18)*Population_Tables!H18</f>
        <v>409.4433930957627</v>
      </c>
      <c r="BG44" s="216"/>
      <c r="BN44" s="216"/>
      <c r="BO44" s="216"/>
      <c r="BP44" s="216"/>
    </row>
    <row r="45" spans="1:68" ht="15.6" x14ac:dyDescent="0.3">
      <c r="A45" s="206">
        <v>2030</v>
      </c>
      <c r="B45" s="229">
        <v>5286.0350430771914</v>
      </c>
      <c r="C45" s="229">
        <v>1621.8139473332003</v>
      </c>
      <c r="D45" s="229">
        <v>556.74797824260372</v>
      </c>
      <c r="E45" s="229">
        <v>1354.0607152403336</v>
      </c>
      <c r="F45" s="229">
        <v>390.92421420915088</v>
      </c>
      <c r="G45" s="229">
        <v>404.86047901143883</v>
      </c>
      <c r="H45" s="229">
        <v>864.12386911940428</v>
      </c>
      <c r="I45" s="229">
        <v>434.49706603838979</v>
      </c>
      <c r="J45" s="229">
        <v>621.56593040615803</v>
      </c>
      <c r="K45" s="229">
        <v>639.90301644316673</v>
      </c>
      <c r="M45" s="206">
        <v>2030</v>
      </c>
      <c r="N45" s="419">
        <f t="shared" si="2"/>
        <v>624.91558450646255</v>
      </c>
      <c r="O45" s="418">
        <f>(C45/Population_Tables!P19)*Population_Tables!D78</f>
        <v>0</v>
      </c>
      <c r="P45" s="418">
        <f>(D45/Population_Tables!Q19)*Population_Tables!E78</f>
        <v>0</v>
      </c>
      <c r="Q45" s="418">
        <f>((E45-H45)/Population_Tables!R19)*Population_Tables!F78</f>
        <v>269.51269482336693</v>
      </c>
      <c r="R45" s="418">
        <f>(F45/Population_Tables!S19)*Population_Tables!G78</f>
        <v>239.83494890082437</v>
      </c>
      <c r="S45" s="418">
        <f>(G45/Population_Tables!T19)*Population_Tables!H78</f>
        <v>115.56794078227129</v>
      </c>
      <c r="T45" s="418">
        <f>(H45/Population_Tables!U19)*Population_Tables!I78</f>
        <v>0</v>
      </c>
      <c r="U45" s="418">
        <f>(I45/Population_Tables!V19)*Population_Tables!J78</f>
        <v>0</v>
      </c>
      <c r="V45" s="418">
        <f>(J45/Population_Tables!W19)*Population_Tables!K78</f>
        <v>0</v>
      </c>
      <c r="W45" s="418">
        <f>(K45/Population_Tables!X19)*Population_Tables!L78</f>
        <v>0</v>
      </c>
      <c r="Y45" s="456">
        <v>2030</v>
      </c>
      <c r="Z45" s="459">
        <f>((B45/Population_Tables!O19)*Population_Tables!C19)-N45</f>
        <v>4779.985106437196</v>
      </c>
      <c r="AA45" s="459">
        <f>((C45/Population_Tables!P19)*Population_Tables!D19)-O45</f>
        <v>1653.1655937326827</v>
      </c>
      <c r="AB45" s="459">
        <f>((D45/Population_Tables!Q19)*Population_Tables!E19)-P45</f>
        <v>567.4237386622259</v>
      </c>
      <c r="AC45" s="459">
        <f>((E45/Population_Tables!R19)*Population_Tables!F19)-Q45</f>
        <v>1115.8281338846855</v>
      </c>
      <c r="AD45" s="459">
        <f>((F45/Population_Tables!S19)*Population_Tables!G19)-R45</f>
        <v>159.52354335694935</v>
      </c>
      <c r="AE45" s="459">
        <f>((G45/Population_Tables!T19)*Population_Tables!H19)-S45</f>
        <v>300.35220655531418</v>
      </c>
      <c r="AF45" s="459">
        <f>(H45/Population_Tables!U19)*Population_Tables!I19</f>
        <v>879.74834565958338</v>
      </c>
      <c r="AG45" s="459">
        <f>(I45/Population_Tables!V19)*Population_Tables!J19</f>
        <v>444.86081379625131</v>
      </c>
      <c r="AH45" s="459">
        <f>(J45/Population_Tables!W19)*Population_Tables!K19</f>
        <v>632.86197159386984</v>
      </c>
      <c r="AI45" s="459">
        <f>(K45/Population_Tables!X19)*Population_Tables!L19</f>
        <v>653.22148411561932</v>
      </c>
      <c r="AK45" s="456">
        <v>2030</v>
      </c>
      <c r="AL45" s="459">
        <f t="shared" si="6"/>
        <v>5404.9006909436584</v>
      </c>
      <c r="AM45" s="459">
        <f t="shared" si="6"/>
        <v>1653.1655937326827</v>
      </c>
      <c r="AN45" s="459">
        <f t="shared" si="6"/>
        <v>567.4237386622259</v>
      </c>
      <c r="AO45" s="459">
        <f t="shared" si="6"/>
        <v>1385.3408287080524</v>
      </c>
      <c r="AP45" s="459">
        <f t="shared" si="6"/>
        <v>399.35849225777372</v>
      </c>
      <c r="AQ45" s="459">
        <f t="shared" si="6"/>
        <v>415.92014733758549</v>
      </c>
      <c r="AR45" s="459">
        <f t="shared" si="6"/>
        <v>879.74834565958338</v>
      </c>
      <c r="AS45" s="459">
        <f t="shared" si="6"/>
        <v>444.86081379625131</v>
      </c>
      <c r="AT45" s="459">
        <f t="shared" si="6"/>
        <v>632.86197159386984</v>
      </c>
      <c r="AU45" s="459">
        <f t="shared" si="6"/>
        <v>653.22148411561932</v>
      </c>
      <c r="AW45" s="216">
        <f>(B45/Population_Tables!O19)*Population_Tables!C19</f>
        <v>5404.9006909436584</v>
      </c>
      <c r="AX45" s="153" t="str">
        <f t="shared" si="7"/>
        <v>OK</v>
      </c>
      <c r="AY45" s="421">
        <f t="shared" si="4"/>
        <v>4421.2088006983204</v>
      </c>
      <c r="AZ45" s="153" t="str">
        <f t="shared" si="5"/>
        <v>OK</v>
      </c>
      <c r="BB45" s="216">
        <f>(C45/Population_Tables!P19)*Population_Tables!D19</f>
        <v>1653.1655937326827</v>
      </c>
      <c r="BC45" s="216">
        <f>(D45/Population_Tables!Q19)*Population_Tables!E19</f>
        <v>567.4237386622259</v>
      </c>
      <c r="BD45" s="216">
        <f>(E45/Population_Tables!R19)*Population_Tables!F19</f>
        <v>1385.3408287080524</v>
      </c>
      <c r="BE45" s="216">
        <f>(F45/Population_Tables!S19)*Population_Tables!G19</f>
        <v>399.35849225777372</v>
      </c>
      <c r="BF45" s="216">
        <f>(G45/Population_Tables!T19)*Population_Tables!H19</f>
        <v>415.92014733758549</v>
      </c>
      <c r="BG45" s="216"/>
      <c r="BN45" s="216"/>
      <c r="BO45" s="216"/>
      <c r="BP45" s="216"/>
    </row>
    <row r="46" spans="1:68" ht="15.6" x14ac:dyDescent="0.3">
      <c r="A46" s="206">
        <v>2031</v>
      </c>
      <c r="B46" s="229">
        <v>5313.1381398161293</v>
      </c>
      <c r="C46" s="229">
        <v>1624.2227401238285</v>
      </c>
      <c r="D46" s="229">
        <v>559.07676931089236</v>
      </c>
      <c r="E46" s="229">
        <v>1379.0207595163492</v>
      </c>
      <c r="F46" s="229">
        <v>398.95309888444058</v>
      </c>
      <c r="G46" s="229">
        <v>409.70705399958655</v>
      </c>
      <c r="H46" s="229">
        <v>869.48613179816823</v>
      </c>
      <c r="I46" s="229">
        <v>435.74789547147003</v>
      </c>
      <c r="J46" s="229">
        <v>622.18551642855095</v>
      </c>
      <c r="K46" s="229">
        <v>641.88145400312806</v>
      </c>
      <c r="M46" s="206">
        <v>2031</v>
      </c>
      <c r="N46" s="419">
        <f t="shared" si="2"/>
        <v>646.37636304466162</v>
      </c>
      <c r="O46" s="418">
        <f>(C46/Population_Tables!P20)*Population_Tables!D79</f>
        <v>0</v>
      </c>
      <c r="P46" s="418">
        <f>(D46/Population_Tables!Q20)*Population_Tables!E79</f>
        <v>0</v>
      </c>
      <c r="Q46" s="418">
        <f>((E46-H46)/Population_Tables!R20)*Population_Tables!F79</f>
        <v>282.40899680825993</v>
      </c>
      <c r="R46" s="418">
        <f>(F46/Population_Tables!S20)*Population_Tables!G79</f>
        <v>246.19975552764416</v>
      </c>
      <c r="S46" s="418">
        <f>(G46/Population_Tables!T20)*Population_Tables!H79</f>
        <v>117.76761070875749</v>
      </c>
      <c r="T46" s="418">
        <f>(H46/Population_Tables!U20)*Population_Tables!I79</f>
        <v>0</v>
      </c>
      <c r="U46" s="418">
        <f>(I46/Population_Tables!V20)*Population_Tables!J79</f>
        <v>0</v>
      </c>
      <c r="V46" s="418">
        <f>(J46/Population_Tables!W20)*Population_Tables!K79</f>
        <v>0</v>
      </c>
      <c r="W46" s="418">
        <f>(K46/Population_Tables!X20)*Population_Tables!L79</f>
        <v>0</v>
      </c>
      <c r="Y46" s="456">
        <v>2031</v>
      </c>
      <c r="Z46" s="459">
        <f>((B46/Population_Tables!O20)*Population_Tables!C20)-N46</f>
        <v>4802.9697494724342</v>
      </c>
      <c r="AA46" s="459">
        <f>((C46/Population_Tables!P20)*Population_Tables!D20)-O46</f>
        <v>1660.0626182952462</v>
      </c>
      <c r="AB46" s="459">
        <f>((D46/Population_Tables!Q20)*Population_Tables!E20)-P46</f>
        <v>571.29816697034289</v>
      </c>
      <c r="AC46" s="459">
        <f>((E46/Population_Tables!R20)*Population_Tables!F20)-Q46</f>
        <v>1132.9542236153886</v>
      </c>
      <c r="AD46" s="459">
        <f>((F46/Population_Tables!S20)*Population_Tables!G20)-R46</f>
        <v>162.55015883850049</v>
      </c>
      <c r="AE46" s="459">
        <f>((G46/Population_Tables!T20)*Population_Tables!H20)-S46</f>
        <v>304.68946651835955</v>
      </c>
      <c r="AF46" s="459">
        <f>(H46/Population_Tables!U20)*Population_Tables!I20</f>
        <v>887.39782485305432</v>
      </c>
      <c r="AG46" s="459">
        <f>(I46/Population_Tables!V20)*Population_Tables!J20</f>
        <v>447.59985015030588</v>
      </c>
      <c r="AH46" s="459">
        <f>(J46/Population_Tables!W20)*Population_Tables!K20</f>
        <v>635.0764581720515</v>
      </c>
      <c r="AI46" s="459">
        <f>(K46/Population_Tables!X20)*Population_Tables!L20</f>
        <v>657.1650274876788</v>
      </c>
      <c r="AK46" s="456">
        <v>2031</v>
      </c>
      <c r="AL46" s="459">
        <f t="shared" si="6"/>
        <v>5449.3461125170961</v>
      </c>
      <c r="AM46" s="459">
        <f t="shared" si="6"/>
        <v>1660.0626182952462</v>
      </c>
      <c r="AN46" s="459">
        <f t="shared" si="6"/>
        <v>571.29816697034289</v>
      </c>
      <c r="AO46" s="459">
        <f t="shared" si="6"/>
        <v>1415.3632204236485</v>
      </c>
      <c r="AP46" s="459">
        <f t="shared" si="6"/>
        <v>408.74991436614465</v>
      </c>
      <c r="AQ46" s="459">
        <f t="shared" si="6"/>
        <v>422.45707722711705</v>
      </c>
      <c r="AR46" s="459">
        <f t="shared" si="6"/>
        <v>887.39782485305432</v>
      </c>
      <c r="AS46" s="459">
        <f t="shared" si="6"/>
        <v>447.59985015030588</v>
      </c>
      <c r="AT46" s="459">
        <f t="shared" si="6"/>
        <v>635.0764581720515</v>
      </c>
      <c r="AU46" s="459">
        <f t="shared" si="6"/>
        <v>657.1650274876788</v>
      </c>
      <c r="AW46" s="216">
        <f>(B46/Population_Tables!O20)*Population_Tables!C20</f>
        <v>5449.3461125170961</v>
      </c>
      <c r="AX46" s="153" t="str">
        <f t="shared" si="7"/>
        <v>OK</v>
      </c>
      <c r="AY46" s="421">
        <f t="shared" si="4"/>
        <v>4477.9309972824994</v>
      </c>
      <c r="AZ46" s="153" t="str">
        <f t="shared" si="5"/>
        <v>OK</v>
      </c>
      <c r="BB46" s="216">
        <f>(C46/Population_Tables!P20)*Population_Tables!D20</f>
        <v>1660.0626182952462</v>
      </c>
      <c r="BC46" s="216">
        <f>(D46/Population_Tables!Q20)*Population_Tables!E20</f>
        <v>571.29816697034289</v>
      </c>
      <c r="BD46" s="216">
        <f>(E46/Population_Tables!R20)*Population_Tables!F20</f>
        <v>1415.3632204236485</v>
      </c>
      <c r="BE46" s="216">
        <f>(F46/Population_Tables!S20)*Population_Tables!G20</f>
        <v>408.74991436614465</v>
      </c>
      <c r="BF46" s="216">
        <f>(G46/Population_Tables!T20)*Population_Tables!H20</f>
        <v>422.45707722711705</v>
      </c>
      <c r="BG46" s="216"/>
      <c r="BN46" s="216"/>
      <c r="BO46" s="216"/>
      <c r="BP46" s="216"/>
    </row>
    <row r="47" spans="1:68" ht="15.6" x14ac:dyDescent="0.3">
      <c r="A47" s="206">
        <v>2032</v>
      </c>
      <c r="B47" s="229">
        <v>5339.4067484702209</v>
      </c>
      <c r="C47" s="229">
        <v>1626.5028903402776</v>
      </c>
      <c r="D47" s="229">
        <v>561.37716510240068</v>
      </c>
      <c r="E47" s="229">
        <v>1404.1205296825863</v>
      </c>
      <c r="F47" s="229">
        <v>407.01232963165512</v>
      </c>
      <c r="G47" s="229">
        <v>414.52171283164716</v>
      </c>
      <c r="H47" s="229">
        <v>874.5697624691644</v>
      </c>
      <c r="I47" s="229">
        <v>436.85320510423065</v>
      </c>
      <c r="J47" s="229">
        <v>622.72857064504819</v>
      </c>
      <c r="K47" s="229">
        <v>643.76818491556196</v>
      </c>
      <c r="M47" s="206">
        <v>2032</v>
      </c>
      <c r="N47" s="419">
        <f t="shared" si="2"/>
        <v>668.42021811028428</v>
      </c>
      <c r="O47" s="418">
        <f>(C47/Population_Tables!P21)*Population_Tables!D80</f>
        <v>0</v>
      </c>
      <c r="P47" s="418">
        <f>(D47/Population_Tables!Q21)*Population_Tables!E80</f>
        <v>0</v>
      </c>
      <c r="Q47" s="418">
        <f>((E47-H47)/Population_Tables!R21)*Population_Tables!F80</f>
        <v>295.75051684679869</v>
      </c>
      <c r="R47" s="418">
        <f>(F47/Population_Tables!S21)*Population_Tables!G80</f>
        <v>252.66690288239016</v>
      </c>
      <c r="S47" s="418">
        <f>(G47/Population_Tables!T21)*Population_Tables!H80</f>
        <v>120.00279838109542</v>
      </c>
      <c r="T47" s="418">
        <f>(H47/Population_Tables!U21)*Population_Tables!I80</f>
        <v>0</v>
      </c>
      <c r="U47" s="418">
        <f>(I47/Population_Tables!V21)*Population_Tables!J80</f>
        <v>0</v>
      </c>
      <c r="V47" s="418">
        <f>(J47/Population_Tables!W21)*Population_Tables!K80</f>
        <v>0</v>
      </c>
      <c r="W47" s="418">
        <f>(K47/Population_Tables!X21)*Population_Tables!L80</f>
        <v>0</v>
      </c>
      <c r="Y47" s="456">
        <v>2032</v>
      </c>
      <c r="Z47" s="459">
        <f>((B47/Population_Tables!O21)*Population_Tables!C21)-N47</f>
        <v>4825.2913984787656</v>
      </c>
      <c r="AA47" s="459">
        <f>((C47/Population_Tables!P21)*Population_Tables!D21)-O47</f>
        <v>1667.0100074439911</v>
      </c>
      <c r="AB47" s="459">
        <f>((D47/Population_Tables!Q21)*Population_Tables!E21)-P47</f>
        <v>575.22192121579292</v>
      </c>
      <c r="AC47" s="459">
        <f>((E47/Population_Tables!R21)*Population_Tables!F21)-Q47</f>
        <v>1150.111667759822</v>
      </c>
      <c r="AD47" s="459">
        <f>((F47/Population_Tables!S21)*Population_Tables!G21)-R47</f>
        <v>165.59418390140291</v>
      </c>
      <c r="AE47" s="459">
        <f>((G47/Population_Tables!T21)*Population_Tables!H21)-S47</f>
        <v>309.04763452992302</v>
      </c>
      <c r="AF47" s="459">
        <f>(H47/Population_Tables!U21)*Population_Tables!I21</f>
        <v>894.87945939561212</v>
      </c>
      <c r="AG47" s="459">
        <f>(I47/Population_Tables!V21)*Population_Tables!J21</f>
        <v>450.24756165054424</v>
      </c>
      <c r="AH47" s="459">
        <f>(J47/Population_Tables!W21)*Population_Tables!K21</f>
        <v>637.27878206704884</v>
      </c>
      <c r="AI47" s="459">
        <f>(K47/Population_Tables!X21)*Population_Tables!L21</f>
        <v>661.10276864619777</v>
      </c>
      <c r="AK47" s="456">
        <v>2032</v>
      </c>
      <c r="AL47" s="459">
        <f t="shared" si="6"/>
        <v>5493.7116165890502</v>
      </c>
      <c r="AM47" s="459">
        <f t="shared" si="6"/>
        <v>1667.0100074439911</v>
      </c>
      <c r="AN47" s="459">
        <f t="shared" si="6"/>
        <v>575.22192121579292</v>
      </c>
      <c r="AO47" s="459">
        <f t="shared" si="6"/>
        <v>1445.8621846066208</v>
      </c>
      <c r="AP47" s="459">
        <f t="shared" si="6"/>
        <v>418.26108678379308</v>
      </c>
      <c r="AQ47" s="459">
        <f t="shared" si="6"/>
        <v>429.05043291101845</v>
      </c>
      <c r="AR47" s="459">
        <f t="shared" si="6"/>
        <v>894.87945939561212</v>
      </c>
      <c r="AS47" s="459">
        <f t="shared" si="6"/>
        <v>450.24756165054424</v>
      </c>
      <c r="AT47" s="459">
        <f t="shared" si="6"/>
        <v>637.27878206704884</v>
      </c>
      <c r="AU47" s="459">
        <f t="shared" si="6"/>
        <v>661.10276864619777</v>
      </c>
      <c r="AW47" s="216">
        <f>(B47/Population_Tables!O21)*Population_Tables!C21</f>
        <v>5493.7116165890502</v>
      </c>
      <c r="AX47" s="153" t="str">
        <f t="shared" si="7"/>
        <v>OK</v>
      </c>
      <c r="AY47" s="421">
        <f t="shared" si="4"/>
        <v>4535.4056329612158</v>
      </c>
      <c r="AZ47" s="153" t="str">
        <f t="shared" si="5"/>
        <v>OK</v>
      </c>
      <c r="BB47" s="216">
        <f>(C47/Population_Tables!P21)*Population_Tables!D21</f>
        <v>1667.0100074439911</v>
      </c>
      <c r="BC47" s="216">
        <f>(D47/Population_Tables!Q21)*Population_Tables!E21</f>
        <v>575.22192121579292</v>
      </c>
      <c r="BD47" s="216">
        <f>(E47/Population_Tables!R21)*Population_Tables!F21</f>
        <v>1445.8621846066208</v>
      </c>
      <c r="BE47" s="216">
        <f>(F47/Population_Tables!S21)*Population_Tables!G21</f>
        <v>418.26108678379308</v>
      </c>
      <c r="BF47" s="216">
        <f>(G47/Population_Tables!T21)*Population_Tables!H21</f>
        <v>429.05043291101845</v>
      </c>
      <c r="BG47" s="216"/>
      <c r="BN47" s="216"/>
      <c r="BO47" s="216"/>
      <c r="BP47" s="216"/>
    </row>
    <row r="48" spans="1:68" ht="15.6" x14ac:dyDescent="0.3">
      <c r="A48" s="206">
        <v>2033</v>
      </c>
      <c r="B48" s="229">
        <v>5364.8541248640422</v>
      </c>
      <c r="C48" s="229">
        <v>1628.666168702468</v>
      </c>
      <c r="D48" s="229">
        <v>563.64956033378348</v>
      </c>
      <c r="E48" s="229">
        <v>1429.3558383129475</v>
      </c>
      <c r="F48" s="229">
        <v>415.10118252031725</v>
      </c>
      <c r="G48" s="229">
        <v>419.30386948278863</v>
      </c>
      <c r="H48" s="229">
        <v>879.37396231610433</v>
      </c>
      <c r="I48" s="229">
        <v>437.82505137656653</v>
      </c>
      <c r="J48" s="229">
        <v>623.20097974201781</v>
      </c>
      <c r="K48" s="229">
        <v>645.57052867993207</v>
      </c>
      <c r="M48" s="206">
        <v>2033</v>
      </c>
      <c r="N48" s="419">
        <f t="shared" si="2"/>
        <v>691.00971765240467</v>
      </c>
      <c r="O48" s="418">
        <f>(C48/Population_Tables!P22)*Population_Tables!D81</f>
        <v>0</v>
      </c>
      <c r="P48" s="418">
        <f>(D48/Population_Tables!Q22)*Population_Tables!E81</f>
        <v>0</v>
      </c>
      <c r="Q48" s="418">
        <f>((E48-H48)/Population_Tables!R22)*Population_Tables!F81</f>
        <v>309.52482616178514</v>
      </c>
      <c r="R48" s="418">
        <f>(F48/Population_Tables!S22)*Population_Tables!G81</f>
        <v>259.22039006284314</v>
      </c>
      <c r="S48" s="418">
        <f>(G48/Population_Tables!T22)*Population_Tables!H81</f>
        <v>122.26450142777638</v>
      </c>
      <c r="T48" s="418">
        <f>(H48/Population_Tables!U22)*Population_Tables!I81</f>
        <v>0</v>
      </c>
      <c r="U48" s="418">
        <f>(I48/Population_Tables!V22)*Population_Tables!J81</f>
        <v>0</v>
      </c>
      <c r="V48" s="418">
        <f>(J48/Population_Tables!W22)*Population_Tables!K81</f>
        <v>0</v>
      </c>
      <c r="W48" s="418">
        <f>(K48/Population_Tables!X22)*Population_Tables!L81</f>
        <v>0</v>
      </c>
      <c r="Y48" s="456">
        <v>2033</v>
      </c>
      <c r="Z48" s="459">
        <f>((B48/Population_Tables!O22)*Population_Tables!C22)-N48</f>
        <v>4846.7520092380691</v>
      </c>
      <c r="AA48" s="459">
        <f>((C48/Population_Tables!P22)*Population_Tables!D22)-O48</f>
        <v>1673.957926550765</v>
      </c>
      <c r="AB48" s="459">
        <f>((D48/Population_Tables!Q22)*Population_Tables!E22)-P48</f>
        <v>579.17877953040738</v>
      </c>
      <c r="AC48" s="459">
        <f>((E48/Population_Tables!R22)*Population_Tables!F22)-Q48</f>
        <v>1167.2514589440773</v>
      </c>
      <c r="AD48" s="459">
        <f>((F48/Population_Tables!S22)*Population_Tables!G22)-R48</f>
        <v>168.65245046130957</v>
      </c>
      <c r="AE48" s="459">
        <f>((G48/Population_Tables!T22)*Population_Tables!H22)-S48</f>
        <v>313.41680810929586</v>
      </c>
      <c r="AF48" s="459">
        <f>(H48/Population_Tables!U22)*Population_Tables!I22</f>
        <v>902.16363234210837</v>
      </c>
      <c r="AG48" s="459">
        <f>(I48/Population_Tables!V22)*Population_Tables!J22</f>
        <v>452.78942719842775</v>
      </c>
      <c r="AH48" s="459">
        <f>(J48/Population_Tables!W22)*Population_Tables!K22</f>
        <v>639.45529560219336</v>
      </c>
      <c r="AI48" s="459">
        <f>(K48/Population_Tables!X22)*Population_Tables!L22</f>
        <v>665.01260115036416</v>
      </c>
      <c r="AK48" s="456">
        <v>2033</v>
      </c>
      <c r="AL48" s="459">
        <f t="shared" si="6"/>
        <v>5537.7617268904742</v>
      </c>
      <c r="AM48" s="459">
        <f t="shared" si="6"/>
        <v>1673.957926550765</v>
      </c>
      <c r="AN48" s="459">
        <f t="shared" si="6"/>
        <v>579.17877953040738</v>
      </c>
      <c r="AO48" s="459">
        <f t="shared" si="6"/>
        <v>1476.7762851058624</v>
      </c>
      <c r="AP48" s="459">
        <f t="shared" si="6"/>
        <v>427.87284052415271</v>
      </c>
      <c r="AQ48" s="459">
        <f t="shared" si="6"/>
        <v>435.68130953707225</v>
      </c>
      <c r="AR48" s="459">
        <f t="shared" si="6"/>
        <v>902.16363234210837</v>
      </c>
      <c r="AS48" s="459">
        <f t="shared" si="6"/>
        <v>452.78942719842775</v>
      </c>
      <c r="AT48" s="459">
        <f t="shared" si="6"/>
        <v>639.45529560219336</v>
      </c>
      <c r="AU48" s="459">
        <f t="shared" si="6"/>
        <v>665.01260115036416</v>
      </c>
      <c r="AW48" s="216">
        <f>(B48/Population_Tables!O22)*Population_Tables!C22</f>
        <v>5537.7617268904742</v>
      </c>
      <c r="AX48" s="153" t="str">
        <f t="shared" si="7"/>
        <v>OK</v>
      </c>
      <c r="AY48" s="421">
        <f t="shared" si="4"/>
        <v>4593.4671412482603</v>
      </c>
      <c r="AZ48" s="153" t="str">
        <f t="shared" si="5"/>
        <v>OK</v>
      </c>
      <c r="BB48" s="216">
        <f>(C48/Population_Tables!P22)*Population_Tables!D22</f>
        <v>1673.957926550765</v>
      </c>
      <c r="BC48" s="216">
        <f>(D48/Population_Tables!Q22)*Population_Tables!E22</f>
        <v>579.17877953040738</v>
      </c>
      <c r="BD48" s="216">
        <f>(E48/Population_Tables!R22)*Population_Tables!F22</f>
        <v>1476.7762851058624</v>
      </c>
      <c r="BE48" s="216">
        <f>(F48/Population_Tables!S22)*Population_Tables!G22</f>
        <v>427.87284052415271</v>
      </c>
      <c r="BF48" s="216">
        <f>(G48/Population_Tables!T22)*Population_Tables!H22</f>
        <v>435.68130953707225</v>
      </c>
      <c r="BG48" s="216"/>
      <c r="BN48" s="216"/>
      <c r="BO48" s="216"/>
      <c r="BP48" s="216"/>
    </row>
    <row r="49" spans="1:68" ht="15.6" x14ac:dyDescent="0.3">
      <c r="A49" s="206">
        <v>2034</v>
      </c>
      <c r="B49" s="229">
        <v>5389.4935248221673</v>
      </c>
      <c r="C49" s="229">
        <v>1630.7243459303204</v>
      </c>
      <c r="D49" s="229">
        <v>565.89434972169556</v>
      </c>
      <c r="E49" s="229">
        <v>1454.7224979813359</v>
      </c>
      <c r="F49" s="229">
        <v>423.21893361994978</v>
      </c>
      <c r="G49" s="229">
        <v>424.05293792817895</v>
      </c>
      <c r="H49" s="229">
        <v>883.89793252269931</v>
      </c>
      <c r="I49" s="229">
        <v>438.67549072837261</v>
      </c>
      <c r="J49" s="229">
        <v>623.60863040582785</v>
      </c>
      <c r="K49" s="229">
        <v>647.29580479570143</v>
      </c>
      <c r="M49" s="206">
        <v>2034</v>
      </c>
      <c r="N49" s="419">
        <f t="shared" si="2"/>
        <v>714.09170418028702</v>
      </c>
      <c r="O49" s="418">
        <f>(C49/Population_Tables!P23)*Population_Tables!D82</f>
        <v>0</v>
      </c>
      <c r="P49" s="418">
        <f>(D49/Population_Tables!Q23)*Population_Tables!E82</f>
        <v>0</v>
      </c>
      <c r="Q49" s="418">
        <f>((E49-H49)/Population_Tables!R23)*Population_Tables!F82</f>
        <v>323.71134107528451</v>
      </c>
      <c r="R49" s="418">
        <f>(F49/Population_Tables!S23)*Population_Tables!G82</f>
        <v>265.8397895594988</v>
      </c>
      <c r="S49" s="418">
        <f>(G49/Population_Tables!T23)*Population_Tables!H82</f>
        <v>124.54057354550378</v>
      </c>
      <c r="T49" s="418">
        <f>(H49/Population_Tables!U23)*Population_Tables!I82</f>
        <v>0</v>
      </c>
      <c r="U49" s="418">
        <f>(I49/Population_Tables!V23)*Population_Tables!J82</f>
        <v>0</v>
      </c>
      <c r="V49" s="418">
        <f>(J49/Population_Tables!W23)*Population_Tables!K82</f>
        <v>0</v>
      </c>
      <c r="W49" s="418">
        <f>(K49/Population_Tables!X23)*Population_Tables!L82</f>
        <v>0</v>
      </c>
      <c r="Y49" s="456">
        <v>2034</v>
      </c>
      <c r="Z49" s="459">
        <f>((B49/Population_Tables!O23)*Population_Tables!C23)-N49</f>
        <v>4867.1067038689707</v>
      </c>
      <c r="AA49" s="459">
        <f>((C49/Population_Tables!P23)*Population_Tables!D23)-O49</f>
        <v>1680.840606683875</v>
      </c>
      <c r="AB49" s="459">
        <f>((D49/Population_Tables!Q23)*Population_Tables!E23)-P49</f>
        <v>583.14696619463939</v>
      </c>
      <c r="AC49" s="459">
        <f>((E49/Population_Tables!R23)*Population_Tables!F23)-Q49</f>
        <v>1184.3113284214221</v>
      </c>
      <c r="AD49" s="459">
        <f>((F49/Population_Tables!S23)*Population_Tables!G23)-R49</f>
        <v>171.72057698360425</v>
      </c>
      <c r="AE49" s="459">
        <f>((G49/Population_Tables!T23)*Population_Tables!H23)-S49</f>
        <v>317.78487076039977</v>
      </c>
      <c r="AF49" s="459">
        <f>(H49/Population_Tables!U23)*Population_Tables!I23</f>
        <v>909.21180606467601</v>
      </c>
      <c r="AG49" s="459">
        <f>(I49/Population_Tables!V23)*Population_Tables!J23</f>
        <v>455.20494744104337</v>
      </c>
      <c r="AH49" s="459">
        <f>(J49/Population_Tables!W23)*Population_Tables!K23</f>
        <v>641.58663405651237</v>
      </c>
      <c r="AI49" s="459">
        <f>(K49/Population_Tables!X23)*Population_Tables!L23</f>
        <v>668.86507438707201</v>
      </c>
      <c r="AK49" s="456">
        <v>2034</v>
      </c>
      <c r="AL49" s="459">
        <f t="shared" si="6"/>
        <v>5581.1984080492575</v>
      </c>
      <c r="AM49" s="459">
        <f t="shared" si="6"/>
        <v>1680.840606683875</v>
      </c>
      <c r="AN49" s="459">
        <f t="shared" si="6"/>
        <v>583.14696619463939</v>
      </c>
      <c r="AO49" s="459">
        <f t="shared" si="6"/>
        <v>1508.0226694967066</v>
      </c>
      <c r="AP49" s="459">
        <f t="shared" si="6"/>
        <v>437.56036654310304</v>
      </c>
      <c r="AQ49" s="459">
        <f t="shared" si="6"/>
        <v>442.32544430590355</v>
      </c>
      <c r="AR49" s="459">
        <f t="shared" si="6"/>
        <v>909.21180606467601</v>
      </c>
      <c r="AS49" s="459">
        <f t="shared" si="6"/>
        <v>455.20494744104337</v>
      </c>
      <c r="AT49" s="459">
        <f t="shared" si="6"/>
        <v>641.58663405651237</v>
      </c>
      <c r="AU49" s="459">
        <f t="shared" si="6"/>
        <v>668.86507438707201</v>
      </c>
      <c r="AW49" s="216">
        <f>(B49/Population_Tables!O23)*Population_Tables!C23</f>
        <v>5581.1984080492575</v>
      </c>
      <c r="AX49" s="153" t="str">
        <f t="shared" si="7"/>
        <v>OK</v>
      </c>
      <c r="AY49" s="421">
        <f t="shared" si="4"/>
        <v>4651.8960532242272</v>
      </c>
      <c r="AZ49" s="153" t="str">
        <f t="shared" si="5"/>
        <v>OK</v>
      </c>
      <c r="BB49" s="216">
        <f>(C49/Population_Tables!P23)*Population_Tables!D23</f>
        <v>1680.840606683875</v>
      </c>
      <c r="BC49" s="216">
        <f>(D49/Population_Tables!Q23)*Population_Tables!E23</f>
        <v>583.14696619463939</v>
      </c>
      <c r="BD49" s="216">
        <f>(E49/Population_Tables!R23)*Population_Tables!F23</f>
        <v>1508.0226694967066</v>
      </c>
      <c r="BE49" s="216">
        <f>(F49/Population_Tables!S23)*Population_Tables!G23</f>
        <v>437.56036654310304</v>
      </c>
      <c r="BF49" s="216">
        <f>(G49/Population_Tables!T23)*Population_Tables!H23</f>
        <v>442.32544430590355</v>
      </c>
      <c r="BG49" s="216"/>
      <c r="BN49" s="216"/>
      <c r="BO49" s="216"/>
      <c r="BP49" s="216"/>
    </row>
    <row r="50" spans="1:68" ht="15.6" x14ac:dyDescent="0.3">
      <c r="A50" s="206">
        <v>2035</v>
      </c>
      <c r="B50" s="229">
        <v>5413.338204169173</v>
      </c>
      <c r="C50" s="229">
        <v>1632.6891927437557</v>
      </c>
      <c r="D50" s="229">
        <v>568.11192798279171</v>
      </c>
      <c r="E50" s="229">
        <v>1480.2163212616545</v>
      </c>
      <c r="F50" s="229">
        <v>431.36485900007534</v>
      </c>
      <c r="G50" s="229">
        <v>428.76833214298614</v>
      </c>
      <c r="H50" s="229">
        <v>888.14087427266088</v>
      </c>
      <c r="I50" s="229">
        <v>439.41657959954375</v>
      </c>
      <c r="J50" s="229">
        <v>623.9574093228465</v>
      </c>
      <c r="K50" s="229">
        <v>648.95133276233355</v>
      </c>
      <c r="M50" s="206">
        <v>2035</v>
      </c>
      <c r="N50" s="419">
        <f t="shared" si="2"/>
        <v>737.62561369930575</v>
      </c>
      <c r="O50" s="418">
        <f>(C50/Population_Tables!P24)*Population_Tables!D83</f>
        <v>0</v>
      </c>
      <c r="P50" s="418">
        <f>(D50/Population_Tables!Q24)*Population_Tables!E83</f>
        <v>0</v>
      </c>
      <c r="Q50" s="418">
        <f>((E50-H50)/Population_Tables!R24)*Population_Tables!F83</f>
        <v>338.29359572877985</v>
      </c>
      <c r="R50" s="418">
        <f>(F50/Population_Tables!S24)*Population_Tables!G83</f>
        <v>272.51019055945301</v>
      </c>
      <c r="S50" s="418">
        <f>(G50/Population_Tables!T24)*Population_Tables!H83</f>
        <v>126.82182741107283</v>
      </c>
      <c r="T50" s="418">
        <f>(H50/Population_Tables!U24)*Population_Tables!I83</f>
        <v>0</v>
      </c>
      <c r="U50" s="418">
        <f>(I50/Population_Tables!V24)*Population_Tables!J83</f>
        <v>0</v>
      </c>
      <c r="V50" s="418">
        <f>(J50/Population_Tables!W24)*Population_Tables!K83</f>
        <v>0</v>
      </c>
      <c r="W50" s="418">
        <f>(K50/Population_Tables!X24)*Population_Tables!L83</f>
        <v>0</v>
      </c>
      <c r="Y50" s="456">
        <v>2035</v>
      </c>
      <c r="Z50" s="459">
        <f>((B50/Population_Tables!O24)*Population_Tables!C24)-N50</f>
        <v>4886.1851967257599</v>
      </c>
      <c r="AA50" s="459">
        <f>((C50/Population_Tables!P24)*Population_Tables!D24)-O50</f>
        <v>1687.6117066653021</v>
      </c>
      <c r="AB50" s="459">
        <f>((D50/Population_Tables!Q24)*Population_Tables!E24)-P50</f>
        <v>587.11027894506765</v>
      </c>
      <c r="AC50" s="459">
        <f>((E50/Population_Tables!R24)*Population_Tables!F24)-Q50</f>
        <v>1201.2442094860251</v>
      </c>
      <c r="AD50" s="459">
        <f>((F50/Population_Tables!S24)*Population_Tables!G24)-R50</f>
        <v>174.79582640681912</v>
      </c>
      <c r="AE50" s="459">
        <f>((G50/Population_Tables!T24)*Population_Tables!H24)-S50</f>
        <v>322.14276453080464</v>
      </c>
      <c r="AF50" s="459">
        <f>(H50/Population_Tables!U24)*Population_Tables!I24</f>
        <v>915.99411890347972</v>
      </c>
      <c r="AG50" s="459">
        <f>(I50/Population_Tables!V24)*Population_Tables!J24</f>
        <v>457.48322806055518</v>
      </c>
      <c r="AH50" s="459">
        <f>(J50/Population_Tables!W24)*Population_Tables!K24</f>
        <v>643.65973547793556</v>
      </c>
      <c r="AI50" s="459">
        <f>(K50/Population_Tables!X24)*Population_Tables!L24</f>
        <v>672.64014946709278</v>
      </c>
      <c r="AK50" s="456">
        <v>2035</v>
      </c>
      <c r="AL50" s="459">
        <f t="shared" si="6"/>
        <v>5623.8108104250659</v>
      </c>
      <c r="AM50" s="459">
        <f t="shared" si="6"/>
        <v>1687.6117066653021</v>
      </c>
      <c r="AN50" s="459">
        <f t="shared" si="6"/>
        <v>587.11027894506765</v>
      </c>
      <c r="AO50" s="459">
        <f t="shared" si="6"/>
        <v>1539.5378052148048</v>
      </c>
      <c r="AP50" s="459">
        <f t="shared" si="6"/>
        <v>447.30601696627213</v>
      </c>
      <c r="AQ50" s="459">
        <f t="shared" si="6"/>
        <v>448.96459194187747</v>
      </c>
      <c r="AR50" s="459">
        <f t="shared" si="6"/>
        <v>915.99411890347972</v>
      </c>
      <c r="AS50" s="459">
        <f t="shared" si="6"/>
        <v>457.48322806055518</v>
      </c>
      <c r="AT50" s="459">
        <f t="shared" si="6"/>
        <v>643.65973547793556</v>
      </c>
      <c r="AU50" s="459">
        <f t="shared" si="6"/>
        <v>672.64014946709278</v>
      </c>
      <c r="AW50" s="216">
        <f>(B50/Population_Tables!O24)*Population_Tables!C24</f>
        <v>5623.8108104250659</v>
      </c>
      <c r="AX50" s="153" t="str">
        <f t="shared" si="7"/>
        <v>OK</v>
      </c>
      <c r="AY50" s="421">
        <f t="shared" si="4"/>
        <v>4710.530399733324</v>
      </c>
      <c r="AZ50" s="153" t="str">
        <f t="shared" si="5"/>
        <v>OK</v>
      </c>
      <c r="BB50" s="216">
        <f>(C50/Population_Tables!P24)*Population_Tables!D24</f>
        <v>1687.6117066653021</v>
      </c>
      <c r="BC50" s="216">
        <f>(D50/Population_Tables!Q24)*Population_Tables!E24</f>
        <v>587.11027894506765</v>
      </c>
      <c r="BD50" s="216">
        <f>(E50/Population_Tables!R24)*Population_Tables!F24</f>
        <v>1539.5378052148048</v>
      </c>
      <c r="BE50" s="216">
        <f>(F50/Population_Tables!S24)*Population_Tables!G24</f>
        <v>447.30601696627213</v>
      </c>
      <c r="BF50" s="216">
        <f>(G50/Population_Tables!T24)*Population_Tables!H24</f>
        <v>448.96459194187747</v>
      </c>
      <c r="BG50" s="216"/>
      <c r="BN50" s="216"/>
      <c r="BO50" s="216"/>
      <c r="BP50" s="216"/>
    </row>
    <row r="51" spans="1:68" ht="15.6" x14ac:dyDescent="0.3">
      <c r="A51" s="206">
        <v>2036</v>
      </c>
      <c r="B51" s="229">
        <v>5436.4014187296325</v>
      </c>
      <c r="C51" s="229">
        <v>1634.5724798626941</v>
      </c>
      <c r="D51" s="229">
        <v>570.3026898337265</v>
      </c>
      <c r="E51" s="229">
        <v>1505.8331207278065</v>
      </c>
      <c r="F51" s="229">
        <v>439.5382347302168</v>
      </c>
      <c r="G51" s="229">
        <v>433.4494661023781</v>
      </c>
      <c r="H51" s="229">
        <v>892.10198874970058</v>
      </c>
      <c r="I51" s="229">
        <v>440.06037442997484</v>
      </c>
      <c r="J51" s="229">
        <v>624.25320317944181</v>
      </c>
      <c r="K51" s="229">
        <v>650.54443207929182</v>
      </c>
      <c r="M51" s="206">
        <v>2036</v>
      </c>
      <c r="N51" s="419">
        <f t="shared" si="2"/>
        <v>761.59432658427636</v>
      </c>
      <c r="O51" s="418">
        <f>(C51/Population_Tables!P25)*Population_Tables!D84</f>
        <v>0</v>
      </c>
      <c r="P51" s="418">
        <f>(D51/Population_Tables!Q25)*Population_Tables!E84</f>
        <v>0</v>
      </c>
      <c r="Q51" s="418">
        <f>((E51-H51)/Population_Tables!R25)*Population_Tables!F84</f>
        <v>353.26472332202059</v>
      </c>
      <c r="R51" s="418">
        <f>(F51/Population_Tables!S25)*Population_Tables!G84</f>
        <v>279.22544713459405</v>
      </c>
      <c r="S51" s="418">
        <f>(G51/Population_Tables!T25)*Population_Tables!H84</f>
        <v>129.10415612766172</v>
      </c>
      <c r="T51" s="418">
        <f>(H51/Population_Tables!U25)*Population_Tables!I84</f>
        <v>0</v>
      </c>
      <c r="U51" s="418">
        <f>(I51/Population_Tables!V25)*Population_Tables!J84</f>
        <v>0</v>
      </c>
      <c r="V51" s="418">
        <f>(J51/Population_Tables!W25)*Population_Tables!K84</f>
        <v>0</v>
      </c>
      <c r="W51" s="418">
        <f>(K51/Population_Tables!X25)*Population_Tables!L84</f>
        <v>0</v>
      </c>
      <c r="Y51" s="456">
        <v>2036</v>
      </c>
      <c r="Z51" s="459">
        <f>((B51/Population_Tables!O25)*Population_Tables!C25)-N51</f>
        <v>4903.9225114402361</v>
      </c>
      <c r="AA51" s="459">
        <f>((C51/Population_Tables!P25)*Population_Tables!D25)-O51</f>
        <v>1694.2541736287578</v>
      </c>
      <c r="AB51" s="459">
        <f>((D51/Population_Tables!Q25)*Population_Tables!E25)-P51</f>
        <v>591.06070319580795</v>
      </c>
      <c r="AC51" s="459">
        <f>((E51/Population_Tables!R25)*Population_Tables!F25)-Q51</f>
        <v>1218.0269193880968</v>
      </c>
      <c r="AD51" s="459">
        <f>((F51/Population_Tables!S25)*Population_Tables!G25)-R51</f>
        <v>177.87765224403978</v>
      </c>
      <c r="AE51" s="459">
        <f>((G51/Population_Tables!T25)*Population_Tables!H25)-S51</f>
        <v>326.48522984568041</v>
      </c>
      <c r="AF51" s="459">
        <f>(H51/Population_Tables!U25)*Population_Tables!I25</f>
        <v>922.4949301838368</v>
      </c>
      <c r="AG51" s="459">
        <f>(I51/Population_Tables!V25)*Population_Tables!J25</f>
        <v>459.62836355153939</v>
      </c>
      <c r="AH51" s="459">
        <f>(J51/Population_Tables!W25)*Population_Tables!K25</f>
        <v>645.67035297510006</v>
      </c>
      <c r="AI51" s="459">
        <f>(K51/Population_Tables!X25)*Population_Tables!L25</f>
        <v>676.33249807166567</v>
      </c>
      <c r="AK51" s="456">
        <v>2036</v>
      </c>
      <c r="AL51" s="459">
        <f t="shared" si="6"/>
        <v>5665.5168380245123</v>
      </c>
      <c r="AM51" s="459">
        <f t="shared" si="6"/>
        <v>1694.2541736287578</v>
      </c>
      <c r="AN51" s="459">
        <f t="shared" si="6"/>
        <v>591.06070319580795</v>
      </c>
      <c r="AO51" s="459">
        <f t="shared" si="6"/>
        <v>1571.2916427101172</v>
      </c>
      <c r="AP51" s="459">
        <f t="shared" si="6"/>
        <v>457.10309937863383</v>
      </c>
      <c r="AQ51" s="459">
        <f t="shared" si="6"/>
        <v>455.58938597334213</v>
      </c>
      <c r="AR51" s="459">
        <f t="shared" si="6"/>
        <v>922.4949301838368</v>
      </c>
      <c r="AS51" s="459">
        <f t="shared" si="6"/>
        <v>459.62836355153939</v>
      </c>
      <c r="AT51" s="459">
        <f t="shared" si="6"/>
        <v>645.67035297510006</v>
      </c>
      <c r="AU51" s="459">
        <f t="shared" si="6"/>
        <v>676.33249807166567</v>
      </c>
      <c r="AW51" s="216">
        <f>(B51/Population_Tables!O25)*Population_Tables!C25</f>
        <v>5665.5168380245123</v>
      </c>
      <c r="AX51" s="153" t="str">
        <f t="shared" si="7"/>
        <v>OK</v>
      </c>
      <c r="AY51" s="421">
        <f t="shared" si="4"/>
        <v>4769.2990048866586</v>
      </c>
      <c r="AZ51" s="153" t="str">
        <f t="shared" si="5"/>
        <v>OK</v>
      </c>
      <c r="BB51" s="216">
        <f>(C51/Population_Tables!P25)*Population_Tables!D25</f>
        <v>1694.2541736287578</v>
      </c>
      <c r="BC51" s="216">
        <f>(D51/Population_Tables!Q25)*Population_Tables!E25</f>
        <v>591.06070319580795</v>
      </c>
      <c r="BD51" s="216">
        <f>(E51/Population_Tables!R25)*Population_Tables!F25</f>
        <v>1571.2916427101172</v>
      </c>
      <c r="BE51" s="216">
        <f>(F51/Population_Tables!S25)*Population_Tables!G25</f>
        <v>457.10309937863383</v>
      </c>
      <c r="BF51" s="216">
        <f>(G51/Population_Tables!T25)*Population_Tables!H25</f>
        <v>455.58938597334213</v>
      </c>
      <c r="BG51" s="216"/>
      <c r="BN51" s="216"/>
      <c r="BO51" s="216"/>
      <c r="BP51" s="216"/>
    </row>
    <row r="52" spans="1:68" ht="15.6" x14ac:dyDescent="0.3">
      <c r="A52" s="206">
        <v>2037</v>
      </c>
      <c r="B52" s="229">
        <v>5458.6964243281218</v>
      </c>
      <c r="C52" s="229">
        <v>1636.3859780070563</v>
      </c>
      <c r="D52" s="229">
        <v>572.46702999115485</v>
      </c>
      <c r="E52" s="229">
        <v>1531.5687089536946</v>
      </c>
      <c r="F52" s="229">
        <v>447.73833687989679</v>
      </c>
      <c r="G52" s="229">
        <v>438.09575378152294</v>
      </c>
      <c r="H52" s="229">
        <v>895.78047713752972</v>
      </c>
      <c r="I52" s="229">
        <v>440.61893165956087</v>
      </c>
      <c r="J52" s="229">
        <v>624.50189866198184</v>
      </c>
      <c r="K52" s="229">
        <v>652.08242224603953</v>
      </c>
      <c r="M52" s="206">
        <v>2037</v>
      </c>
      <c r="N52" s="419">
        <f t="shared" si="2"/>
        <v>786.00703045449654</v>
      </c>
      <c r="O52" s="418">
        <f>(C52/Population_Tables!P26)*Population_Tables!D85</f>
        <v>0</v>
      </c>
      <c r="P52" s="418">
        <f>(D52/Population_Tables!Q26)*Population_Tables!E85</f>
        <v>0</v>
      </c>
      <c r="Q52" s="418">
        <f>((E52-H52)/Population_Tables!R26)*Population_Tables!F85</f>
        <v>368.62972067385306</v>
      </c>
      <c r="R52" s="418">
        <f>(F52/Population_Tables!S26)*Population_Tables!G85</f>
        <v>285.98844157523803</v>
      </c>
      <c r="S52" s="418">
        <f>(G52/Population_Tables!T26)*Population_Tables!H85</f>
        <v>131.38886820540552</v>
      </c>
      <c r="T52" s="418">
        <f>(H52/Population_Tables!U26)*Population_Tables!I85</f>
        <v>0</v>
      </c>
      <c r="U52" s="418">
        <f>(I52/Population_Tables!V26)*Population_Tables!J85</f>
        <v>0</v>
      </c>
      <c r="V52" s="418">
        <f>(J52/Population_Tables!W26)*Population_Tables!K85</f>
        <v>0</v>
      </c>
      <c r="W52" s="418">
        <f>(K52/Population_Tables!X26)*Population_Tables!L85</f>
        <v>0</v>
      </c>
      <c r="Y52" s="456">
        <v>2037</v>
      </c>
      <c r="Z52" s="459">
        <f>((B52/Population_Tables!O26)*Population_Tables!C26)-N52</f>
        <v>4920.3658908855596</v>
      </c>
      <c r="AA52" s="459">
        <f>((C52/Population_Tables!P26)*Population_Tables!D26)-O52</f>
        <v>1700.7837562591119</v>
      </c>
      <c r="AB52" s="459">
        <f>((D52/Population_Tables!Q26)*Population_Tables!E26)-P52</f>
        <v>595.00155925942283</v>
      </c>
      <c r="AC52" s="459">
        <f>((E52/Population_Tables!R26)*Population_Tables!F26)-Q52</f>
        <v>1234.6628835260326</v>
      </c>
      <c r="AD52" s="459">
        <f>((F52/Population_Tables!S26)*Population_Tables!G26)-R52</f>
        <v>180.96812942378068</v>
      </c>
      <c r="AE52" s="459">
        <f>((G52/Population_Tables!T26)*Population_Tables!H26)-S52</f>
        <v>330.81279403461951</v>
      </c>
      <c r="AF52" s="459">
        <f>(H52/Population_Tables!U26)*Population_Tables!I26</f>
        <v>928.7152520723215</v>
      </c>
      <c r="AG52" s="459">
        <f>(I52/Population_Tables!V26)*Population_Tables!J26</f>
        <v>461.65791687777659</v>
      </c>
      <c r="AH52" s="459">
        <f>(J52/Population_Tables!W26)*Population_Tables!K26</f>
        <v>647.62580954821465</v>
      </c>
      <c r="AI52" s="459">
        <f>(K52/Population_Tables!X26)*Population_Tables!L26</f>
        <v>679.95175701524749</v>
      </c>
      <c r="AK52" s="456">
        <v>2037</v>
      </c>
      <c r="AL52" s="459">
        <f t="shared" si="6"/>
        <v>5706.3729213400566</v>
      </c>
      <c r="AM52" s="459">
        <f t="shared" si="6"/>
        <v>1700.7837562591119</v>
      </c>
      <c r="AN52" s="459">
        <f t="shared" si="6"/>
        <v>595.00155925942283</v>
      </c>
      <c r="AO52" s="459">
        <f t="shared" si="6"/>
        <v>1603.2926041998858</v>
      </c>
      <c r="AP52" s="459">
        <f t="shared" si="6"/>
        <v>466.95657099901871</v>
      </c>
      <c r="AQ52" s="459">
        <f t="shared" si="6"/>
        <v>462.20166224002503</v>
      </c>
      <c r="AR52" s="459">
        <f t="shared" si="6"/>
        <v>928.7152520723215</v>
      </c>
      <c r="AS52" s="459">
        <f t="shared" si="6"/>
        <v>461.65791687777659</v>
      </c>
      <c r="AT52" s="459">
        <f t="shared" si="6"/>
        <v>647.62580954821465</v>
      </c>
      <c r="AU52" s="459">
        <f t="shared" si="6"/>
        <v>679.95175701524749</v>
      </c>
      <c r="AW52" s="216">
        <f>(B52/Population_Tables!O26)*Population_Tables!C26</f>
        <v>5706.3729213400557</v>
      </c>
      <c r="AX52" s="153" t="b">
        <f t="shared" si="7"/>
        <v>0</v>
      </c>
      <c r="AY52" s="421">
        <f t="shared" si="4"/>
        <v>4828.2361529574637</v>
      </c>
      <c r="AZ52" s="153" t="b">
        <f t="shared" si="5"/>
        <v>0</v>
      </c>
      <c r="BB52" s="216">
        <f>(C52/Population_Tables!P26)*Population_Tables!D26</f>
        <v>1700.7837562591119</v>
      </c>
      <c r="BC52" s="216">
        <f>(D52/Population_Tables!Q26)*Population_Tables!E26</f>
        <v>595.00155925942283</v>
      </c>
      <c r="BD52" s="216">
        <f>(E52/Population_Tables!R26)*Population_Tables!F26</f>
        <v>1603.2926041998855</v>
      </c>
      <c r="BE52" s="216">
        <f>(F52/Population_Tables!S26)*Population_Tables!G26</f>
        <v>466.95657099901871</v>
      </c>
      <c r="BF52" s="216">
        <f>(G52/Population_Tables!T26)*Population_Tables!H26</f>
        <v>462.20166224002503</v>
      </c>
      <c r="BG52" s="216"/>
      <c r="BN52" s="216"/>
      <c r="BO52" s="216"/>
      <c r="BP52" s="216"/>
    </row>
    <row r="53" spans="1:68" ht="15.6" x14ac:dyDescent="0.3">
      <c r="A53" s="206">
        <v>2038</v>
      </c>
      <c r="B53" s="229">
        <v>5480.2364767892168</v>
      </c>
      <c r="C53" s="229">
        <v>1638.1414578967631</v>
      </c>
      <c r="D53" s="229">
        <v>574.60534317173142</v>
      </c>
      <c r="E53" s="229">
        <v>1557.4188985132223</v>
      </c>
      <c r="F53" s="229">
        <v>455.96444151863818</v>
      </c>
      <c r="G53" s="229">
        <v>442.70660915558852</v>
      </c>
      <c r="H53" s="229">
        <v>899.1755406198597</v>
      </c>
      <c r="I53" s="229">
        <v>441.10430772819666</v>
      </c>
      <c r="J53" s="229">
        <v>624.70938245683476</v>
      </c>
      <c r="K53" s="229">
        <v>653.57262276204006</v>
      </c>
      <c r="M53" s="206">
        <v>2038</v>
      </c>
      <c r="N53" s="419">
        <f t="shared" si="2"/>
        <v>810.88275468200288</v>
      </c>
      <c r="O53" s="418">
        <f>(C53/Population_Tables!P27)*Population_Tables!D86</f>
        <v>0</v>
      </c>
      <c r="P53" s="418">
        <f>(D53/Population_Tables!Q27)*Population_Tables!E86</f>
        <v>0</v>
      </c>
      <c r="Q53" s="418">
        <f>((E53-H53)/Population_Tables!R27)*Population_Tables!F86</f>
        <v>384.39840074083514</v>
      </c>
      <c r="R53" s="418">
        <f>(F53/Population_Tables!S27)*Population_Tables!G86</f>
        <v>292.80497516756208</v>
      </c>
      <c r="S53" s="418">
        <f>(G53/Population_Tables!T27)*Population_Tables!H86</f>
        <v>133.67937877360566</v>
      </c>
      <c r="T53" s="418">
        <f>(H53/Population_Tables!U27)*Population_Tables!I86</f>
        <v>0</v>
      </c>
      <c r="U53" s="418">
        <f>(I53/Population_Tables!V27)*Population_Tables!J86</f>
        <v>0</v>
      </c>
      <c r="V53" s="418">
        <f>(J53/Population_Tables!W27)*Population_Tables!K86</f>
        <v>0</v>
      </c>
      <c r="W53" s="418">
        <f>(K53/Population_Tables!X27)*Population_Tables!L86</f>
        <v>0</v>
      </c>
      <c r="Y53" s="456">
        <v>2038</v>
      </c>
      <c r="Z53" s="459">
        <f>((B53/Population_Tables!O27)*Population_Tables!C27)-N53</f>
        <v>4935.6035201902614</v>
      </c>
      <c r="AA53" s="459">
        <f>((C53/Population_Tables!P27)*Population_Tables!D27)-O53</f>
        <v>1707.2290407155938</v>
      </c>
      <c r="AB53" s="459">
        <f>((D53/Population_Tables!Q27)*Population_Tables!E27)-P53</f>
        <v>598.94154095257784</v>
      </c>
      <c r="AC53" s="459">
        <f>((E53/Population_Tables!R27)*Population_Tables!F27)-Q53</f>
        <v>1251.1655157077698</v>
      </c>
      <c r="AD53" s="459">
        <f>((F53/Population_Tables!S27)*Population_Tables!G27)-R53</f>
        <v>184.07042098848473</v>
      </c>
      <c r="AE53" s="459">
        <f>((G53/Population_Tables!T27)*Population_Tables!H27)-S53</f>
        <v>335.13032033126308</v>
      </c>
      <c r="AF53" s="459">
        <f>(H53/Population_Tables!U27)*Population_Tables!I27</f>
        <v>934.66288312918789</v>
      </c>
      <c r="AG53" s="459">
        <f>(I53/Population_Tables!V27)*Population_Tables!J27</f>
        <v>463.59228363777441</v>
      </c>
      <c r="AH53" s="459">
        <f>(J53/Population_Tables!W27)*Population_Tables!K27</f>
        <v>649.5385339002454</v>
      </c>
      <c r="AI53" s="459">
        <f>(K53/Population_Tables!X27)*Population_Tables!L27</f>
        <v>683.51221986465828</v>
      </c>
      <c r="AK53" s="456">
        <v>2038</v>
      </c>
      <c r="AL53" s="459">
        <f t="shared" si="6"/>
        <v>5746.4862748722644</v>
      </c>
      <c r="AM53" s="459">
        <f t="shared" si="6"/>
        <v>1707.2290407155938</v>
      </c>
      <c r="AN53" s="459">
        <f t="shared" si="6"/>
        <v>598.94154095257784</v>
      </c>
      <c r="AO53" s="459">
        <f t="shared" si="6"/>
        <v>1635.5639164486049</v>
      </c>
      <c r="AP53" s="459">
        <f t="shared" si="6"/>
        <v>476.8753961560468</v>
      </c>
      <c r="AQ53" s="459">
        <f t="shared" si="6"/>
        <v>468.80969910486874</v>
      </c>
      <c r="AR53" s="459">
        <f t="shared" si="6"/>
        <v>934.66288312918789</v>
      </c>
      <c r="AS53" s="459">
        <f t="shared" si="6"/>
        <v>463.59228363777441</v>
      </c>
      <c r="AT53" s="459">
        <f t="shared" si="6"/>
        <v>649.5385339002454</v>
      </c>
      <c r="AU53" s="459">
        <f t="shared" si="6"/>
        <v>683.51221986465828</v>
      </c>
      <c r="AW53" s="216">
        <f>(B53/Population_Tables!O27)*Population_Tables!C27</f>
        <v>5746.4862748722644</v>
      </c>
      <c r="AX53" s="153" t="str">
        <f t="shared" si="7"/>
        <v>OK</v>
      </c>
      <c r="AY53" s="421">
        <f t="shared" si="4"/>
        <v>4887.4195933776919</v>
      </c>
      <c r="AZ53" s="153" t="str">
        <f t="shared" si="5"/>
        <v>OK</v>
      </c>
      <c r="BB53" s="216">
        <f>(C53/Population_Tables!P27)*Population_Tables!D27</f>
        <v>1707.2290407155938</v>
      </c>
      <c r="BC53" s="216">
        <f>(D53/Population_Tables!Q27)*Population_Tables!E27</f>
        <v>598.94154095257784</v>
      </c>
      <c r="BD53" s="216">
        <f>(E53/Population_Tables!R27)*Population_Tables!F27</f>
        <v>1635.5639164486049</v>
      </c>
      <c r="BE53" s="216">
        <f>(F53/Population_Tables!S27)*Population_Tables!G27</f>
        <v>476.8753961560468</v>
      </c>
      <c r="BF53" s="216">
        <f>(G53/Population_Tables!T27)*Population_Tables!H27</f>
        <v>468.80969910486874</v>
      </c>
      <c r="BG53" s="216"/>
      <c r="BN53" s="216"/>
      <c r="BO53" s="216"/>
      <c r="BP53" s="216"/>
    </row>
    <row r="54" spans="1:68" ht="15.6" x14ac:dyDescent="0.3">
      <c r="A54" s="206">
        <v>2039</v>
      </c>
      <c r="B54" s="229">
        <v>5501.0348319374916</v>
      </c>
      <c r="C54" s="229">
        <v>1639.8506902517352</v>
      </c>
      <c r="D54" s="229">
        <v>576.71802409211114</v>
      </c>
      <c r="E54" s="229">
        <v>1583.3795019802922</v>
      </c>
      <c r="F54" s="229">
        <v>464.21582471596366</v>
      </c>
      <c r="G54" s="229">
        <v>447.2814461997429</v>
      </c>
      <c r="H54" s="229">
        <v>902.28638038040231</v>
      </c>
      <c r="I54" s="229">
        <v>441.52855907577714</v>
      </c>
      <c r="J54" s="229">
        <v>624.88154125036863</v>
      </c>
      <c r="K54" s="229">
        <v>655.02235312675668</v>
      </c>
      <c r="M54" s="206">
        <v>2039</v>
      </c>
      <c r="N54" s="419">
        <f t="shared" si="2"/>
        <v>836.25559161648107</v>
      </c>
      <c r="O54" s="418">
        <f>(C54/Population_Tables!P28)*Population_Tables!D87</f>
        <v>0</v>
      </c>
      <c r="P54" s="418">
        <f>(D54/Population_Tables!Q28)*Population_Tables!E87</f>
        <v>0</v>
      </c>
      <c r="Q54" s="418">
        <f>((E54-H54)/Population_Tables!R28)*Population_Tables!F87</f>
        <v>400.58853522986846</v>
      </c>
      <c r="R54" s="418">
        <f>(F54/Population_Tables!S28)*Population_Tables!G87</f>
        <v>299.68520365061335</v>
      </c>
      <c r="S54" s="418">
        <f>(G54/Population_Tables!T28)*Population_Tables!H87</f>
        <v>135.9818527359993</v>
      </c>
      <c r="T54" s="418">
        <f>(H54/Population_Tables!U28)*Population_Tables!I87</f>
        <v>0</v>
      </c>
      <c r="U54" s="418">
        <f>(I54/Population_Tables!V28)*Population_Tables!J87</f>
        <v>0</v>
      </c>
      <c r="V54" s="418">
        <f>(J54/Population_Tables!W28)*Population_Tables!K87</f>
        <v>0</v>
      </c>
      <c r="W54" s="418">
        <f>(K54/Population_Tables!X28)*Population_Tables!L87</f>
        <v>0</v>
      </c>
      <c r="Y54" s="456">
        <v>2039</v>
      </c>
      <c r="Z54" s="459">
        <f>((B54/Population_Tables!O28)*Population_Tables!C28)-N54</f>
        <v>4949.7755875107023</v>
      </c>
      <c r="AA54" s="459">
        <f>((C54/Population_Tables!P28)*Population_Tables!D28)-O54</f>
        <v>1713.6354953358643</v>
      </c>
      <c r="AB54" s="459">
        <f>((D54/Population_Tables!Q28)*Population_Tables!E28)-P54</f>
        <v>602.89609649853548</v>
      </c>
      <c r="AC54" s="459">
        <f>((E54/Population_Tables!R28)*Population_Tables!F28)-Q54</f>
        <v>1267.5622051038117</v>
      </c>
      <c r="AD54" s="459">
        <f>((F54/Population_Tables!S28)*Population_Tables!G28)-R54</f>
        <v>187.18887315534261</v>
      </c>
      <c r="AE54" s="459">
        <f>((G54/Population_Tables!T28)*Population_Tables!H28)-S54</f>
        <v>339.44605288284629</v>
      </c>
      <c r="AF54" s="459">
        <f>(H54/Population_Tables!U28)*Population_Tables!I28</f>
        <v>940.35478761407194</v>
      </c>
      <c r="AG54" s="459">
        <f>(I54/Population_Tables!V28)*Population_Tables!J28</f>
        <v>465.45790698802944</v>
      </c>
      <c r="AH54" s="459">
        <f>(J54/Population_Tables!W28)*Population_Tables!K28</f>
        <v>651.4274235768512</v>
      </c>
      <c r="AI54" s="459">
        <f>(K54/Population_Tables!X28)*Population_Tables!L28</f>
        <v>687.0354493133467</v>
      </c>
      <c r="AK54" s="456">
        <v>2039</v>
      </c>
      <c r="AL54" s="459">
        <f t="shared" si="6"/>
        <v>5786.0311791271833</v>
      </c>
      <c r="AM54" s="459">
        <f t="shared" si="6"/>
        <v>1713.6354953358643</v>
      </c>
      <c r="AN54" s="459">
        <f t="shared" si="6"/>
        <v>602.89609649853548</v>
      </c>
      <c r="AO54" s="459">
        <f t="shared" si="6"/>
        <v>1668.1507403336802</v>
      </c>
      <c r="AP54" s="459">
        <f t="shared" si="6"/>
        <v>486.87407680595595</v>
      </c>
      <c r="AQ54" s="459">
        <f t="shared" si="6"/>
        <v>475.42790561884556</v>
      </c>
      <c r="AR54" s="459">
        <f t="shared" si="6"/>
        <v>940.35478761407194</v>
      </c>
      <c r="AS54" s="459">
        <f t="shared" si="6"/>
        <v>465.45790698802944</v>
      </c>
      <c r="AT54" s="459">
        <f t="shared" si="6"/>
        <v>651.4274235768512</v>
      </c>
      <c r="AU54" s="459">
        <f t="shared" si="6"/>
        <v>687.0354493133467</v>
      </c>
      <c r="AW54" s="216">
        <f>(B54/Population_Tables!O28)*Population_Tables!C28</f>
        <v>5786.0311791271833</v>
      </c>
      <c r="AX54" s="153" t="str">
        <f t="shared" si="7"/>
        <v>OK</v>
      </c>
      <c r="AY54" s="421">
        <f t="shared" si="4"/>
        <v>4946.9843145928817</v>
      </c>
      <c r="AZ54" s="153" t="str">
        <f t="shared" si="5"/>
        <v>OK</v>
      </c>
      <c r="BB54" s="216">
        <f>(C54/Population_Tables!P28)*Population_Tables!D28</f>
        <v>1713.6354953358643</v>
      </c>
      <c r="BC54" s="216">
        <f>(D54/Population_Tables!Q28)*Population_Tables!E28</f>
        <v>602.89609649853548</v>
      </c>
      <c r="BD54" s="216">
        <f>(E54/Population_Tables!R28)*Population_Tables!F28</f>
        <v>1668.1507403336802</v>
      </c>
      <c r="BE54" s="216">
        <f>(F54/Population_Tables!S28)*Population_Tables!G28</f>
        <v>486.87407680595595</v>
      </c>
      <c r="BF54" s="216">
        <f>(G54/Population_Tables!T28)*Population_Tables!H28</f>
        <v>475.42790561884556</v>
      </c>
      <c r="BG54" s="216"/>
      <c r="BN54" s="216"/>
      <c r="BO54" s="216"/>
      <c r="BP54" s="216"/>
    </row>
    <row r="55" spans="1:68" ht="15.6" x14ac:dyDescent="0.3">
      <c r="A55" s="206">
        <v>2040</v>
      </c>
      <c r="B55" s="229">
        <v>5521.1047455975213</v>
      </c>
      <c r="C55" s="229">
        <v>1641.5254457918929</v>
      </c>
      <c r="D55" s="229">
        <v>578.80546746894868</v>
      </c>
      <c r="E55" s="229">
        <v>1609.4463319288075</v>
      </c>
      <c r="F55" s="229">
        <v>472.49176254139593</v>
      </c>
      <c r="G55" s="229">
        <v>451.81967888915409</v>
      </c>
      <c r="H55" s="229">
        <v>905.1121976028686</v>
      </c>
      <c r="I55" s="229">
        <v>441.90374214219719</v>
      </c>
      <c r="J55" s="229">
        <v>625.0242617289515</v>
      </c>
      <c r="K55" s="229">
        <v>656.43893283965281</v>
      </c>
      <c r="M55" s="206">
        <v>2040</v>
      </c>
      <c r="N55" s="419">
        <f t="shared" si="2"/>
        <v>862.15646281464262</v>
      </c>
      <c r="O55" s="418">
        <f>(C55/Population_Tables!P29)*Population_Tables!D88</f>
        <v>0</v>
      </c>
      <c r="P55" s="418">
        <f>(D55/Population_Tables!Q29)*Population_Tables!E88</f>
        <v>0</v>
      </c>
      <c r="Q55" s="418">
        <f>((E55-H55)/Population_Tables!R29)*Population_Tables!F88</f>
        <v>417.21760701154278</v>
      </c>
      <c r="R55" s="418">
        <f>(F55/Population_Tables!S29)*Population_Tables!G88</f>
        <v>306.63740775075058</v>
      </c>
      <c r="S55" s="418">
        <f>(G55/Population_Tables!T29)*Population_Tables!H88</f>
        <v>138.30144805234917</v>
      </c>
      <c r="T55" s="418">
        <f>(H55/Population_Tables!U29)*Population_Tables!I88</f>
        <v>0</v>
      </c>
      <c r="U55" s="418">
        <f>(I55/Population_Tables!V29)*Population_Tables!J88</f>
        <v>0</v>
      </c>
      <c r="V55" s="418">
        <f>(J55/Population_Tables!W29)*Population_Tables!K88</f>
        <v>0</v>
      </c>
      <c r="W55" s="418">
        <f>(K55/Population_Tables!X29)*Population_Tables!L88</f>
        <v>0</v>
      </c>
      <c r="Y55" s="456">
        <v>2040</v>
      </c>
      <c r="Z55" s="459">
        <f>((B55/Population_Tables!O29)*Population_Tables!C29)-N55</f>
        <v>4962.9961381029607</v>
      </c>
      <c r="AA55" s="459">
        <f>((C55/Population_Tables!P29)*Population_Tables!D29)-O55</f>
        <v>1720.0415782334121</v>
      </c>
      <c r="AB55" s="459">
        <f>((D55/Population_Tables!Q29)*Population_Tables!E29)-P55</f>
        <v>606.8777345257929</v>
      </c>
      <c r="AC55" s="459">
        <f>((E55/Population_Tables!R29)*Population_Tables!F29)-Q55</f>
        <v>1283.875432568831</v>
      </c>
      <c r="AD55" s="459">
        <f>((F55/Population_Tables!S29)*Population_Tables!G29)-R55</f>
        <v>190.3272199765774</v>
      </c>
      <c r="AE55" s="459">
        <f>((G55/Population_Tables!T29)*Population_Tables!H29)-S55</f>
        <v>343.76700900426363</v>
      </c>
      <c r="AF55" s="459">
        <f>(H55/Population_Tables!U29)*Population_Tables!I29</f>
        <v>945.80476165992604</v>
      </c>
      <c r="AG55" s="459">
        <f>(I55/Population_Tables!V29)*Population_Tables!J29</f>
        <v>467.27949726346293</v>
      </c>
      <c r="AH55" s="459">
        <f>(J55/Population_Tables!W29)*Population_Tables!K29</f>
        <v>653.30853437914755</v>
      </c>
      <c r="AI55" s="459">
        <f>(K55/Population_Tables!X29)*Population_Tables!L29</f>
        <v>690.54032532830593</v>
      </c>
      <c r="AK55" s="456">
        <v>2040</v>
      </c>
      <c r="AL55" s="459">
        <f t="shared" si="6"/>
        <v>5825.1526009176032</v>
      </c>
      <c r="AM55" s="459">
        <f t="shared" si="6"/>
        <v>1720.0415782334121</v>
      </c>
      <c r="AN55" s="459">
        <f t="shared" si="6"/>
        <v>606.8777345257929</v>
      </c>
      <c r="AO55" s="459">
        <f t="shared" si="6"/>
        <v>1701.0930395803739</v>
      </c>
      <c r="AP55" s="459">
        <f t="shared" si="6"/>
        <v>496.96462772732798</v>
      </c>
      <c r="AQ55" s="459">
        <f t="shared" si="6"/>
        <v>482.06845705661283</v>
      </c>
      <c r="AR55" s="459">
        <f t="shared" si="6"/>
        <v>945.80476165992604</v>
      </c>
      <c r="AS55" s="459">
        <f t="shared" si="6"/>
        <v>467.27949726346293</v>
      </c>
      <c r="AT55" s="459">
        <f t="shared" si="6"/>
        <v>653.30853437914755</v>
      </c>
      <c r="AU55" s="459">
        <f t="shared" si="6"/>
        <v>690.54032532830593</v>
      </c>
      <c r="AW55" s="216">
        <f>(B55/Population_Tables!O29)*Population_Tables!C29</f>
        <v>5825.1526009176032</v>
      </c>
      <c r="AX55" s="153" t="str">
        <f t="shared" si="7"/>
        <v>OK</v>
      </c>
      <c r="AY55" s="421">
        <f t="shared" si="4"/>
        <v>5007.0454371235192</v>
      </c>
      <c r="AZ55" s="153" t="b">
        <f t="shared" si="5"/>
        <v>0</v>
      </c>
      <c r="BB55" s="216">
        <f>(C55/Population_Tables!P29)*Population_Tables!D29</f>
        <v>1720.0415782334121</v>
      </c>
      <c r="BC55" s="216">
        <f>(D55/Population_Tables!Q29)*Population_Tables!E29</f>
        <v>606.8777345257929</v>
      </c>
      <c r="BD55" s="216">
        <f>(E55/Population_Tables!R29)*Population_Tables!F29</f>
        <v>1701.0930395803737</v>
      </c>
      <c r="BE55" s="216">
        <f>(F55/Population_Tables!S29)*Population_Tables!G29</f>
        <v>496.96462772732798</v>
      </c>
      <c r="BF55" s="216">
        <f>(G55/Population_Tables!T29)*Population_Tables!H29</f>
        <v>482.06845705661283</v>
      </c>
      <c r="BG55" s="216"/>
      <c r="BN55" s="216"/>
      <c r="BO55" s="216"/>
      <c r="BP55" s="216"/>
    </row>
    <row r="56" spans="1:68" ht="15.6" x14ac:dyDescent="0.3">
      <c r="A56" s="206">
        <v>2041</v>
      </c>
      <c r="B56" s="229">
        <v>5540.4594735938817</v>
      </c>
      <c r="C56" s="229">
        <v>1643.1774952371572</v>
      </c>
      <c r="D56" s="229">
        <v>580.86806801889873</v>
      </c>
      <c r="E56" s="229">
        <v>1635.6152009326715</v>
      </c>
      <c r="F56" s="229">
        <v>480.79153106445784</v>
      </c>
      <c r="G56" s="229">
        <v>456.32072119898999</v>
      </c>
      <c r="H56" s="229">
        <v>907.65219347097025</v>
      </c>
      <c r="I56" s="229">
        <v>442.24191336735174</v>
      </c>
      <c r="J56" s="229">
        <v>625.14343057895155</v>
      </c>
      <c r="K56" s="229">
        <v>657.82968140019182</v>
      </c>
      <c r="M56" s="206">
        <v>2041</v>
      </c>
      <c r="N56" s="419">
        <f t="shared" si="2"/>
        <v>888.59544404924895</v>
      </c>
      <c r="O56" s="418">
        <f>(C56/Population_Tables!P30)*Population_Tables!D89</f>
        <v>0</v>
      </c>
      <c r="P56" s="418">
        <f>(D56/Population_Tables!Q30)*Population_Tables!E89</f>
        <v>0</v>
      </c>
      <c r="Q56" s="418">
        <f>((E56-H56)/Population_Tables!R30)*Population_Tables!F89</f>
        <v>434.29341233917984</v>
      </c>
      <c r="R56" s="418">
        <f>(F56/Population_Tables!S30)*Population_Tables!G89</f>
        <v>313.6630369999786</v>
      </c>
      <c r="S56" s="418">
        <f>(G56/Population_Tables!T30)*Population_Tables!H89</f>
        <v>140.63899471009057</v>
      </c>
      <c r="T56" s="418">
        <f>(H56/Population_Tables!U30)*Population_Tables!I89</f>
        <v>0</v>
      </c>
      <c r="U56" s="418">
        <f>(I56/Population_Tables!V30)*Population_Tables!J89</f>
        <v>0</v>
      </c>
      <c r="V56" s="418">
        <f>(J56/Population_Tables!W30)*Population_Tables!K89</f>
        <v>0</v>
      </c>
      <c r="W56" s="418">
        <f>(K56/Population_Tables!X30)*Population_Tables!L89</f>
        <v>0</v>
      </c>
      <c r="Y56" s="456">
        <v>2041</v>
      </c>
      <c r="Z56" s="459">
        <f>((B56/Population_Tables!O30)*Population_Tables!C30)-N56</f>
        <v>4975.2943267876481</v>
      </c>
      <c r="AA56" s="459">
        <f>((C56/Population_Tables!P30)*Population_Tables!D30)-O56</f>
        <v>1726.4648547606105</v>
      </c>
      <c r="AB56" s="459">
        <f>((D56/Population_Tables!Q30)*Population_Tables!E30)-P56</f>
        <v>610.88950495203142</v>
      </c>
      <c r="AC56" s="459">
        <f>((E56/Population_Tables!R30)*Population_Tables!F30)-Q56</f>
        <v>1300.1071657944299</v>
      </c>
      <c r="AD56" s="459">
        <f>((F56/Population_Tables!S30)*Population_Tables!G30)-R56</f>
        <v>193.48704756962286</v>
      </c>
      <c r="AE56" s="459">
        <f>((G56/Population_Tables!T30)*Population_Tables!H30)-S56</f>
        <v>348.09480394373782</v>
      </c>
      <c r="AF56" s="459">
        <f>(H56/Population_Tables!U30)*Population_Tables!I30</f>
        <v>951.01290020357283</v>
      </c>
      <c r="AG56" s="459">
        <f>(I56/Population_Tables!V30)*Population_Tables!J30</f>
        <v>469.0726684573761</v>
      </c>
      <c r="AH56" s="459">
        <f>(J56/Population_Tables!W30)*Population_Tables!K30</f>
        <v>655.18999050395121</v>
      </c>
      <c r="AI56" s="459">
        <f>(K56/Population_Tables!X30)*Population_Tables!L30</f>
        <v>694.03644970843777</v>
      </c>
      <c r="AK56" s="456">
        <v>2041</v>
      </c>
      <c r="AL56" s="459">
        <f t="shared" si="6"/>
        <v>5863.8897708368968</v>
      </c>
      <c r="AM56" s="459">
        <f t="shared" si="6"/>
        <v>1726.4648547606105</v>
      </c>
      <c r="AN56" s="459">
        <f t="shared" si="6"/>
        <v>610.88950495203142</v>
      </c>
      <c r="AO56" s="459">
        <f t="shared" si="6"/>
        <v>1734.4005781336098</v>
      </c>
      <c r="AP56" s="459">
        <f t="shared" si="6"/>
        <v>507.15008456960146</v>
      </c>
      <c r="AQ56" s="459">
        <f t="shared" si="6"/>
        <v>488.73379865382839</v>
      </c>
      <c r="AR56" s="459">
        <f t="shared" si="6"/>
        <v>951.01290020357283</v>
      </c>
      <c r="AS56" s="459">
        <f t="shared" si="6"/>
        <v>469.0726684573761</v>
      </c>
      <c r="AT56" s="459">
        <f t="shared" si="6"/>
        <v>655.18999050395121</v>
      </c>
      <c r="AU56" s="459">
        <f t="shared" si="6"/>
        <v>694.03644970843777</v>
      </c>
      <c r="AW56" s="216">
        <f>(B56/Population_Tables!O30)*Population_Tables!C30</f>
        <v>5863.8897708368968</v>
      </c>
      <c r="AX56" s="153" t="str">
        <f t="shared" si="7"/>
        <v>OK</v>
      </c>
      <c r="AY56" s="421">
        <f t="shared" si="4"/>
        <v>5067.6388210696823</v>
      </c>
      <c r="AZ56" s="153" t="str">
        <f t="shared" si="5"/>
        <v>OK</v>
      </c>
      <c r="BB56" s="216">
        <f>(C56/Population_Tables!P30)*Population_Tables!D30</f>
        <v>1726.4648547606105</v>
      </c>
      <c r="BC56" s="216">
        <f>(D56/Population_Tables!Q30)*Population_Tables!E30</f>
        <v>610.88950495203142</v>
      </c>
      <c r="BD56" s="216">
        <f>(E56/Population_Tables!R30)*Population_Tables!F30</f>
        <v>1734.4005781336098</v>
      </c>
      <c r="BE56" s="216">
        <f>(F56/Population_Tables!S30)*Population_Tables!G30</f>
        <v>507.15008456960146</v>
      </c>
      <c r="BF56" s="216">
        <f>(G56/Population_Tables!T30)*Population_Tables!H30</f>
        <v>488.73379865382839</v>
      </c>
      <c r="BG56" s="216"/>
      <c r="BN56" s="216"/>
      <c r="BO56" s="216"/>
      <c r="BP56" s="216"/>
    </row>
    <row r="57" spans="1:68" ht="15.6" x14ac:dyDescent="0.3">
      <c r="A57" s="206">
        <v>2042</v>
      </c>
      <c r="B57" s="229">
        <v>5559.112271751148</v>
      </c>
      <c r="C57" s="229">
        <v>1644.8186093074485</v>
      </c>
      <c r="D57" s="229">
        <v>582.90622045861619</v>
      </c>
      <c r="E57" s="229">
        <v>1661.8819215657868</v>
      </c>
      <c r="F57" s="229">
        <v>489.11440635467204</v>
      </c>
      <c r="G57" s="229">
        <v>460.78398710441871</v>
      </c>
      <c r="H57" s="229">
        <v>909.90556916841865</v>
      </c>
      <c r="I57" s="229">
        <v>442.55512919113573</v>
      </c>
      <c r="J57" s="229">
        <v>625.24493448673695</v>
      </c>
      <c r="K57" s="229">
        <v>659.2019183078371</v>
      </c>
      <c r="M57" s="206">
        <v>2042</v>
      </c>
      <c r="N57" s="419">
        <f t="shared" si="2"/>
        <v>915.5788367980274</v>
      </c>
      <c r="O57" s="418">
        <f>(C57/Population_Tables!P31)*Population_Tables!D90</f>
        <v>0</v>
      </c>
      <c r="P57" s="418">
        <f>(D57/Population_Tables!Q31)*Population_Tables!E90</f>
        <v>0</v>
      </c>
      <c r="Q57" s="418">
        <f>((E57-H57)/Population_Tables!R31)*Population_Tables!F90</f>
        <v>451.82303685665562</v>
      </c>
      <c r="R57" s="418">
        <f>(F57/Population_Tables!S31)*Population_Tables!G90</f>
        <v>320.76181487116634</v>
      </c>
      <c r="S57" s="418">
        <f>(G57/Population_Tables!T31)*Population_Tables!H90</f>
        <v>142.99398507020547</v>
      </c>
      <c r="T57" s="418">
        <f>(H57/Population_Tables!U31)*Population_Tables!I90</f>
        <v>0</v>
      </c>
      <c r="U57" s="418">
        <f>(I57/Population_Tables!V31)*Population_Tables!J90</f>
        <v>0</v>
      </c>
      <c r="V57" s="418">
        <f>(J57/Population_Tables!W31)*Population_Tables!K90</f>
        <v>0</v>
      </c>
      <c r="W57" s="418">
        <f>(K57/Population_Tables!X31)*Population_Tables!L90</f>
        <v>0</v>
      </c>
      <c r="Y57" s="456">
        <v>2042</v>
      </c>
      <c r="Z57" s="459">
        <f>((B57/Population_Tables!O31)*Population_Tables!C31)-N57</f>
        <v>4986.6763549034313</v>
      </c>
      <c r="AA57" s="459">
        <f>((C57/Population_Tables!P31)*Population_Tables!D31)-O57</f>
        <v>1732.9129164821345</v>
      </c>
      <c r="AB57" s="459">
        <f>((D57/Population_Tables!Q31)*Population_Tables!E31)-P57</f>
        <v>614.9306780799493</v>
      </c>
      <c r="AC57" s="459">
        <f>((E57/Population_Tables!R31)*Population_Tables!F31)-Q57</f>
        <v>1316.2543229112898</v>
      </c>
      <c r="AD57" s="459">
        <f>((F57/Population_Tables!S31)*Population_Tables!G31)-R57</f>
        <v>196.66923887776687</v>
      </c>
      <c r="AE57" s="459">
        <f>((G57/Population_Tables!T31)*Population_Tables!H31)-S57</f>
        <v>352.42902469318653</v>
      </c>
      <c r="AF57" s="459">
        <f>(H57/Population_Tables!U31)*Population_Tables!I31</f>
        <v>955.97576493975942</v>
      </c>
      <c r="AG57" s="459">
        <f>(I57/Population_Tables!V31)*Population_Tables!J31</f>
        <v>470.85290270479413</v>
      </c>
      <c r="AH57" s="459">
        <f>(J57/Population_Tables!W31)*Population_Tables!K31</f>
        <v>657.07588594718243</v>
      </c>
      <c r="AI57" s="459">
        <f>(K57/Population_Tables!X31)*Population_Tables!L31</f>
        <v>697.52994456962756</v>
      </c>
      <c r="AK57" s="456">
        <v>2042</v>
      </c>
      <c r="AL57" s="459">
        <f t="shared" si="6"/>
        <v>5902.2551917014589</v>
      </c>
      <c r="AM57" s="459">
        <f t="shared" si="6"/>
        <v>1732.9129164821345</v>
      </c>
      <c r="AN57" s="459">
        <f t="shared" si="6"/>
        <v>614.9306780799493</v>
      </c>
      <c r="AO57" s="459">
        <f t="shared" si="6"/>
        <v>1768.0773597679454</v>
      </c>
      <c r="AP57" s="459">
        <f t="shared" si="6"/>
        <v>517.43105374893321</v>
      </c>
      <c r="AQ57" s="459">
        <f t="shared" si="6"/>
        <v>495.42300976339197</v>
      </c>
      <c r="AR57" s="459">
        <f t="shared" si="6"/>
        <v>955.97576493975942</v>
      </c>
      <c r="AS57" s="459">
        <f t="shared" si="6"/>
        <v>470.85290270479413</v>
      </c>
      <c r="AT57" s="459">
        <f t="shared" si="6"/>
        <v>657.07588594718243</v>
      </c>
      <c r="AU57" s="459">
        <f t="shared" si="6"/>
        <v>697.52994456962756</v>
      </c>
      <c r="AW57" s="216">
        <f>(B57/Population_Tables!O31)*Population_Tables!C31</f>
        <v>5902.2551917014589</v>
      </c>
      <c r="AX57" s="153" t="str">
        <f t="shared" si="7"/>
        <v>OK</v>
      </c>
      <c r="AY57" s="421">
        <f t="shared" si="4"/>
        <v>5128.7750178423539</v>
      </c>
      <c r="AZ57" s="153" t="str">
        <f t="shared" si="5"/>
        <v>OK</v>
      </c>
      <c r="BB57" s="216">
        <f>(C57/Population_Tables!P31)*Population_Tables!D31</f>
        <v>1732.9129164821345</v>
      </c>
      <c r="BC57" s="216">
        <f>(D57/Population_Tables!Q31)*Population_Tables!E31</f>
        <v>614.9306780799493</v>
      </c>
      <c r="BD57" s="216">
        <f>(E57/Population_Tables!R31)*Population_Tables!F31</f>
        <v>1768.0773597679454</v>
      </c>
      <c r="BE57" s="216">
        <f>(F57/Population_Tables!S31)*Population_Tables!G31</f>
        <v>517.43105374893321</v>
      </c>
      <c r="BF57" s="216">
        <f>(G57/Population_Tables!T31)*Population_Tables!H31</f>
        <v>495.42300976339197</v>
      </c>
      <c r="BG57" s="216"/>
      <c r="BN57" s="216"/>
      <c r="BO57" s="216"/>
      <c r="BP57" s="216"/>
    </row>
    <row r="58" spans="1:68" ht="15.6" x14ac:dyDescent="0.3">
      <c r="A58" s="206">
        <v>2043</v>
      </c>
      <c r="B58" s="229">
        <v>5577.0763958938951</v>
      </c>
      <c r="C58" s="229">
        <v>1646.4605587226874</v>
      </c>
      <c r="D58" s="229">
        <v>584.92031950475575</v>
      </c>
      <c r="E58" s="229">
        <v>1688.2423064020568</v>
      </c>
      <c r="F58" s="229">
        <v>497.45966448156139</v>
      </c>
      <c r="G58" s="229">
        <v>465.20889058060817</v>
      </c>
      <c r="H58" s="229">
        <v>911.87152587892524</v>
      </c>
      <c r="I58" s="229">
        <v>442.85544605344393</v>
      </c>
      <c r="J58" s="229">
        <v>625.33466013867564</v>
      </c>
      <c r="K58" s="229">
        <v>660.56296306205195</v>
      </c>
      <c r="M58" s="206">
        <v>2043</v>
      </c>
      <c r="N58" s="419">
        <f t="shared" si="2"/>
        <v>943.1335379001581</v>
      </c>
      <c r="O58" s="418">
        <f>(C58/Population_Tables!P32)*Population_Tables!D91</f>
        <v>0</v>
      </c>
      <c r="P58" s="418">
        <f>(D58/Population_Tables!Q32)*Population_Tables!E91</f>
        <v>0</v>
      </c>
      <c r="Q58" s="418">
        <f>((E58-H58)/Population_Tables!R32)*Population_Tables!F91</f>
        <v>469.82575346220102</v>
      </c>
      <c r="R58" s="418">
        <f>(F58/Population_Tables!S32)*Population_Tables!G91</f>
        <v>327.9389045447723</v>
      </c>
      <c r="S58" s="418">
        <f>(G58/Population_Tables!T32)*Population_Tables!H91</f>
        <v>145.36887989318475</v>
      </c>
      <c r="T58" s="418">
        <f>(H58/Population_Tables!U32)*Population_Tables!I91</f>
        <v>0</v>
      </c>
      <c r="U58" s="418">
        <f>(I58/Population_Tables!V32)*Population_Tables!J91</f>
        <v>0</v>
      </c>
      <c r="V58" s="418">
        <f>(J58/Population_Tables!W32)*Population_Tables!K91</f>
        <v>0</v>
      </c>
      <c r="W58" s="418">
        <f>(K58/Population_Tables!X32)*Population_Tables!L91</f>
        <v>0</v>
      </c>
      <c r="Y58" s="456">
        <v>2043</v>
      </c>
      <c r="Z58" s="459">
        <f>((B58/Population_Tables!O32)*Population_Tables!C32)-N58</f>
        <v>4997.2093741880244</v>
      </c>
      <c r="AA58" s="459">
        <f>((C58/Population_Tables!P32)*Population_Tables!D32)-O58</f>
        <v>1739.4073188482885</v>
      </c>
      <c r="AB58" s="459">
        <f>((D58/Population_Tables!Q32)*Population_Tables!E32)-P58</f>
        <v>619.00617232108846</v>
      </c>
      <c r="AC58" s="459">
        <f>((E58/Population_Tables!R32)*Population_Tables!F32)-Q58</f>
        <v>1332.3303758170553</v>
      </c>
      <c r="AD58" s="459">
        <f>((F58/Population_Tables!S32)*Population_Tables!G32)-R58</f>
        <v>199.87608125277245</v>
      </c>
      <c r="AE58" s="459">
        <f>((G58/Population_Tables!T32)*Population_Tables!H32)-S58</f>
        <v>356.77264025810268</v>
      </c>
      <c r="AF58" s="459">
        <f>(H58/Population_Tables!U32)*Population_Tables!I32</f>
        <v>960.70116964896306</v>
      </c>
      <c r="AG58" s="459">
        <f>(I58/Population_Tables!V32)*Population_Tables!J32</f>
        <v>472.64542803721088</v>
      </c>
      <c r="AH58" s="459">
        <f>(J58/Population_Tables!W32)*Population_Tables!K32</f>
        <v>658.97529104019043</v>
      </c>
      <c r="AI58" s="459">
        <f>(K58/Population_Tables!X32)*Population_Tables!L32</f>
        <v>701.03328598149847</v>
      </c>
      <c r="AK58" s="456">
        <v>2043</v>
      </c>
      <c r="AL58" s="459">
        <f t="shared" si="6"/>
        <v>5940.3429120881829</v>
      </c>
      <c r="AM58" s="459">
        <f t="shared" si="6"/>
        <v>1739.4073188482885</v>
      </c>
      <c r="AN58" s="459">
        <f t="shared" si="6"/>
        <v>619.00617232108846</v>
      </c>
      <c r="AO58" s="459">
        <f t="shared" si="6"/>
        <v>1802.1561292792562</v>
      </c>
      <c r="AP58" s="459">
        <f t="shared" si="6"/>
        <v>527.81498579754475</v>
      </c>
      <c r="AQ58" s="459">
        <f t="shared" si="6"/>
        <v>502.14152015128741</v>
      </c>
      <c r="AR58" s="459">
        <f t="shared" si="6"/>
        <v>960.70116964896306</v>
      </c>
      <c r="AS58" s="459">
        <f t="shared" si="6"/>
        <v>472.64542803721088</v>
      </c>
      <c r="AT58" s="459">
        <f t="shared" si="6"/>
        <v>658.97529104019043</v>
      </c>
      <c r="AU58" s="459">
        <f t="shared" si="6"/>
        <v>701.03328598149847</v>
      </c>
      <c r="AW58" s="216">
        <f>(B58/Population_Tables!O32)*Population_Tables!C32</f>
        <v>5940.3429120881829</v>
      </c>
      <c r="AX58" s="153" t="str">
        <f t="shared" si="7"/>
        <v>OK</v>
      </c>
      <c r="AY58" s="421">
        <f t="shared" si="4"/>
        <v>5190.5261263974653</v>
      </c>
      <c r="AZ58" s="153" t="str">
        <f t="shared" si="5"/>
        <v>OK</v>
      </c>
      <c r="BB58" s="216">
        <f>(C58/Population_Tables!P32)*Population_Tables!D32</f>
        <v>1739.4073188482885</v>
      </c>
      <c r="BC58" s="216">
        <f>(D58/Population_Tables!Q32)*Population_Tables!E32</f>
        <v>619.00617232108846</v>
      </c>
      <c r="BD58" s="216">
        <f>(E58/Population_Tables!R32)*Population_Tables!F32</f>
        <v>1802.1561292792562</v>
      </c>
      <c r="BE58" s="216">
        <f>(F58/Population_Tables!S32)*Population_Tables!G32</f>
        <v>527.81498579754475</v>
      </c>
      <c r="BF58" s="216">
        <f>(G58/Population_Tables!T32)*Population_Tables!H32</f>
        <v>502.14152015128741</v>
      </c>
      <c r="BG58" s="216"/>
      <c r="BN58" s="216"/>
      <c r="BO58" s="216"/>
      <c r="BP58" s="216"/>
    </row>
    <row r="59" spans="1:68" ht="15.6" x14ac:dyDescent="0.3">
      <c r="A59" s="206">
        <v>2044</v>
      </c>
      <c r="B59" s="229">
        <v>5594.3651018466981</v>
      </c>
      <c r="C59" s="229">
        <v>1648.1151142027948</v>
      </c>
      <c r="D59" s="229">
        <v>586.91075987397221</v>
      </c>
      <c r="E59" s="229">
        <v>1714.6921680153841</v>
      </c>
      <c r="F59" s="229">
        <v>505.82658151464852</v>
      </c>
      <c r="G59" s="229">
        <v>469.59484560272631</v>
      </c>
      <c r="H59" s="229">
        <v>913.54926478620166</v>
      </c>
      <c r="I59" s="229">
        <v>443.15492039417137</v>
      </c>
      <c r="J59" s="229">
        <v>625.4184942211358</v>
      </c>
      <c r="K59" s="229">
        <v>661.92013516229974</v>
      </c>
      <c r="M59" s="206">
        <v>2044</v>
      </c>
      <c r="N59" s="419">
        <f t="shared" si="2"/>
        <v>971.2922355816138</v>
      </c>
      <c r="O59" s="418">
        <f>(C59/Population_Tables!P33)*Population_Tables!D92</f>
        <v>0</v>
      </c>
      <c r="P59" s="418">
        <f>(D59/Population_Tables!Q33)*Population_Tables!E92</f>
        <v>0</v>
      </c>
      <c r="Q59" s="418">
        <f>((E59-H59)/Population_Tables!R33)*Population_Tables!F92</f>
        <v>488.32554410320745</v>
      </c>
      <c r="R59" s="418">
        <f>(F59/Population_Tables!S33)*Population_Tables!G92</f>
        <v>335.20020549659733</v>
      </c>
      <c r="S59" s="418">
        <f>(G59/Population_Tables!T33)*Population_Tables!H92</f>
        <v>147.76648598180901</v>
      </c>
      <c r="T59" s="418">
        <f>(H59/Population_Tables!U33)*Population_Tables!I92</f>
        <v>0</v>
      </c>
      <c r="U59" s="418">
        <f>(I59/Population_Tables!V33)*Population_Tables!J92</f>
        <v>0</v>
      </c>
      <c r="V59" s="418">
        <f>(J59/Population_Tables!W33)*Population_Tables!K92</f>
        <v>0</v>
      </c>
      <c r="W59" s="418">
        <f>(K59/Population_Tables!X33)*Population_Tables!L92</f>
        <v>0</v>
      </c>
      <c r="Y59" s="456">
        <v>2044</v>
      </c>
      <c r="Z59" s="459">
        <f>((B59/Population_Tables!O33)*Population_Tables!C33)-N59</f>
        <v>5006.9663405640658</v>
      </c>
      <c r="AA59" s="459">
        <f>((C59/Population_Tables!P33)*Population_Tables!D33)-O59</f>
        <v>1745.9699791263697</v>
      </c>
      <c r="AB59" s="459">
        <f>((D59/Population_Tables!Q33)*Population_Tables!E33)-P59</f>
        <v>623.12092994787031</v>
      </c>
      <c r="AC59" s="459">
        <f>((E59/Population_Tables!R33)*Population_Tables!F33)-Q59</f>
        <v>1348.3516818214548</v>
      </c>
      <c r="AD59" s="459">
        <f>((F59/Population_Tables!S33)*Population_Tables!G33)-R59</f>
        <v>203.10993298146042</v>
      </c>
      <c r="AE59" s="459">
        <f>((G59/Population_Tables!T33)*Population_Tables!H33)-S59</f>
        <v>361.12885823124088</v>
      </c>
      <c r="AF59" s="459">
        <f>(H59/Population_Tables!U33)*Population_Tables!I33</f>
        <v>965.19906895321162</v>
      </c>
      <c r="AG59" s="459">
        <f>(I59/Population_Tables!V33)*Population_Tables!J33</f>
        <v>474.47797304693052</v>
      </c>
      <c r="AH59" s="459">
        <f>(J59/Population_Tables!W33)*Population_Tables!K33</f>
        <v>660.89723584008573</v>
      </c>
      <c r="AI59" s="459">
        <f>(K59/Population_Tables!X33)*Population_Tables!L33</f>
        <v>704.55964979975795</v>
      </c>
      <c r="AK59" s="456">
        <v>2044</v>
      </c>
      <c r="AL59" s="459">
        <f t="shared" si="6"/>
        <v>5978.2585761456794</v>
      </c>
      <c r="AM59" s="459">
        <f t="shared" si="6"/>
        <v>1745.9699791263697</v>
      </c>
      <c r="AN59" s="459">
        <f t="shared" si="6"/>
        <v>623.12092994787031</v>
      </c>
      <c r="AO59" s="459">
        <f t="shared" si="6"/>
        <v>1836.6772259246623</v>
      </c>
      <c r="AP59" s="459">
        <f t="shared" si="6"/>
        <v>538.31013847805775</v>
      </c>
      <c r="AQ59" s="459">
        <f t="shared" si="6"/>
        <v>508.8953442130499</v>
      </c>
      <c r="AR59" s="459">
        <f t="shared" si="6"/>
        <v>965.19906895321162</v>
      </c>
      <c r="AS59" s="459">
        <f t="shared" si="6"/>
        <v>474.47797304693052</v>
      </c>
      <c r="AT59" s="459">
        <f t="shared" si="6"/>
        <v>660.89723584008573</v>
      </c>
      <c r="AU59" s="459">
        <f t="shared" si="6"/>
        <v>704.55964979975795</v>
      </c>
      <c r="AW59" s="216">
        <f>(B59/Population_Tables!O33)*Population_Tables!C33</f>
        <v>5978.2585761456794</v>
      </c>
      <c r="AX59" s="153" t="str">
        <f t="shared" si="7"/>
        <v>OK</v>
      </c>
      <c r="AY59" s="421">
        <f t="shared" si="4"/>
        <v>5252.9736176900087</v>
      </c>
      <c r="AZ59" s="153" t="str">
        <f t="shared" si="5"/>
        <v>OK</v>
      </c>
      <c r="BB59" s="216">
        <f>(C59/Population_Tables!P33)*Population_Tables!D33</f>
        <v>1745.9699791263697</v>
      </c>
      <c r="BC59" s="216">
        <f>(D59/Population_Tables!Q33)*Population_Tables!E33</f>
        <v>623.12092994787031</v>
      </c>
      <c r="BD59" s="216">
        <f>(E59/Population_Tables!R33)*Population_Tables!F33</f>
        <v>1836.6772259246623</v>
      </c>
      <c r="BE59" s="216">
        <f>(F59/Population_Tables!S33)*Population_Tables!G33</f>
        <v>538.31013847805775</v>
      </c>
      <c r="BF59" s="216">
        <f>(G59/Population_Tables!T33)*Population_Tables!H33</f>
        <v>508.8953442130499</v>
      </c>
      <c r="BG59" s="216"/>
      <c r="BN59" s="216"/>
      <c r="BO59" s="216"/>
      <c r="BP59" s="216"/>
    </row>
    <row r="60" spans="1:68" ht="15.6" x14ac:dyDescent="0.3">
      <c r="A60" s="206">
        <v>2045</v>
      </c>
      <c r="B60" s="229">
        <v>5610.9916454341319</v>
      </c>
      <c r="C60" s="229">
        <v>1649.7940464676908</v>
      </c>
      <c r="D60" s="229">
        <v>588.87793628292025</v>
      </c>
      <c r="E60" s="229">
        <v>1741.227318979672</v>
      </c>
      <c r="F60" s="229">
        <v>514.21443352345625</v>
      </c>
      <c r="G60" s="229">
        <v>473.9412661459412</v>
      </c>
      <c r="H60" s="229">
        <v>914.93798707395899</v>
      </c>
      <c r="I60" s="229">
        <v>443.46560865321294</v>
      </c>
      <c r="J60" s="229">
        <v>625.50232342048548</v>
      </c>
      <c r="K60" s="229">
        <v>663.28075410804377</v>
      </c>
      <c r="M60" s="206">
        <v>2045</v>
      </c>
      <c r="N60" s="419">
        <f t="shared" si="2"/>
        <v>1000.0860818827167</v>
      </c>
      <c r="O60" s="418">
        <f>(C60/Population_Tables!P34)*Population_Tables!D93</f>
        <v>0</v>
      </c>
      <c r="P60" s="418">
        <f>(D60/Population_Tables!Q34)*Population_Tables!E93</f>
        <v>0</v>
      </c>
      <c r="Q60" s="418">
        <f>((E60-H60)/Population_Tables!R34)*Population_Tables!F93</f>
        <v>507.345930462593</v>
      </c>
      <c r="R60" s="418">
        <f>(F60/Population_Tables!S34)*Population_Tables!G93</f>
        <v>342.55078420301231</v>
      </c>
      <c r="S60" s="418">
        <f>(G60/Population_Tables!T34)*Population_Tables!H93</f>
        <v>150.18936721711148</v>
      </c>
      <c r="T60" s="418">
        <f>(H60/Population_Tables!U34)*Population_Tables!I93</f>
        <v>0</v>
      </c>
      <c r="U60" s="418">
        <f>(I60/Population_Tables!V34)*Population_Tables!J93</f>
        <v>0</v>
      </c>
      <c r="V60" s="418">
        <f>(J60/Population_Tables!W34)*Population_Tables!K93</f>
        <v>0</v>
      </c>
      <c r="W60" s="418">
        <f>(K60/Population_Tables!X34)*Population_Tables!L93</f>
        <v>0</v>
      </c>
      <c r="Y60" s="456">
        <v>2045</v>
      </c>
      <c r="Z60" s="459">
        <f>((B60/Population_Tables!O34)*Population_Tables!C34)-N60</f>
        <v>5016.0090024012743</v>
      </c>
      <c r="AA60" s="459">
        <f>((C60/Population_Tables!P34)*Population_Tables!D34)-O60</f>
        <v>1752.6248683670144</v>
      </c>
      <c r="AB60" s="459">
        <f>((D60/Population_Tables!Q34)*Population_Tables!E34)-P60</f>
        <v>627.27998558076797</v>
      </c>
      <c r="AC60" s="459">
        <f>((E60/Population_Tables!R34)*Population_Tables!F34)-Q60</f>
        <v>1364.3317783084917</v>
      </c>
      <c r="AD60" s="459">
        <f>((F60/Population_Tables!S34)*Population_Tables!G34)-R60</f>
        <v>206.37291294902877</v>
      </c>
      <c r="AE60" s="459">
        <f>((G60/Population_Tables!T34)*Population_Tables!H34)-S60</f>
        <v>365.50080097163845</v>
      </c>
      <c r="AF60" s="459">
        <f>(H60/Population_Tables!U34)*Population_Tables!I34</f>
        <v>969.47776706875266</v>
      </c>
      <c r="AG60" s="459">
        <f>(I60/Population_Tables!V34)*Population_Tables!J34</f>
        <v>476.3761084227562</v>
      </c>
      <c r="AH60" s="459">
        <f>(J60/Population_Tables!W34)*Population_Tables!K34</f>
        <v>662.85145502069099</v>
      </c>
      <c r="AI60" s="459">
        <f>(K60/Population_Tables!X34)*Population_Tables!L34</f>
        <v>708.1227402347339</v>
      </c>
      <c r="AK60" s="456">
        <v>2045</v>
      </c>
      <c r="AL60" s="459">
        <f t="shared" si="6"/>
        <v>6016.0950842839911</v>
      </c>
      <c r="AM60" s="459">
        <f t="shared" si="6"/>
        <v>1752.6248683670144</v>
      </c>
      <c r="AN60" s="459">
        <f t="shared" si="6"/>
        <v>627.27998558076797</v>
      </c>
      <c r="AO60" s="459">
        <f t="shared" si="6"/>
        <v>1871.6777087710848</v>
      </c>
      <c r="AP60" s="459">
        <f t="shared" si="6"/>
        <v>548.92369715204109</v>
      </c>
      <c r="AQ60" s="459">
        <f t="shared" si="6"/>
        <v>515.69016818874991</v>
      </c>
      <c r="AR60" s="459">
        <f t="shared" si="6"/>
        <v>969.47776706875266</v>
      </c>
      <c r="AS60" s="459">
        <f t="shared" si="6"/>
        <v>476.3761084227562</v>
      </c>
      <c r="AT60" s="459">
        <f t="shared" si="6"/>
        <v>662.85145502069099</v>
      </c>
      <c r="AU60" s="459">
        <f t="shared" si="6"/>
        <v>708.1227402347339</v>
      </c>
      <c r="AW60" s="216">
        <f>(B60/Population_Tables!O34)*Population_Tables!C34</f>
        <v>6016.0950842839911</v>
      </c>
      <c r="AX60" s="153" t="str">
        <f t="shared" si="7"/>
        <v>OK</v>
      </c>
      <c r="AY60" s="421">
        <f t="shared" si="4"/>
        <v>5316.1964280596594</v>
      </c>
      <c r="AZ60" s="153" t="str">
        <f t="shared" si="5"/>
        <v>OK</v>
      </c>
      <c r="BB60" s="216">
        <f>(C60/Population_Tables!P34)*Population_Tables!D34</f>
        <v>1752.6248683670144</v>
      </c>
      <c r="BC60" s="216">
        <f>(D60/Population_Tables!Q34)*Population_Tables!E34</f>
        <v>627.27998558076797</v>
      </c>
      <c r="BD60" s="216">
        <f>(E60/Population_Tables!R34)*Population_Tables!F34</f>
        <v>1871.6777087710848</v>
      </c>
      <c r="BE60" s="216">
        <f>(F60/Population_Tables!S34)*Population_Tables!G34</f>
        <v>548.92369715204109</v>
      </c>
      <c r="BF60" s="216">
        <f>(G60/Population_Tables!T34)*Population_Tables!H34</f>
        <v>515.69016818874991</v>
      </c>
      <c r="BG60" s="216"/>
      <c r="BN60" s="216"/>
      <c r="BO60" s="216"/>
      <c r="BP60" s="216"/>
    </row>
    <row r="61" spans="1:68" ht="15.6" x14ac:dyDescent="0.3">
      <c r="A61" s="206">
        <v>2046</v>
      </c>
      <c r="B61" s="229">
        <v>5626.9692824807726</v>
      </c>
      <c r="C61" s="229">
        <v>1651.5091262372966</v>
      </c>
      <c r="D61" s="229">
        <v>590.82224344825477</v>
      </c>
      <c r="E61" s="229">
        <v>1767.8435718688238</v>
      </c>
      <c r="F61" s="229">
        <v>522.62249657750726</v>
      </c>
      <c r="G61" s="229">
        <v>478.24756618542085</v>
      </c>
      <c r="H61" s="229">
        <v>916.036893925909</v>
      </c>
      <c r="I61" s="229">
        <v>443.79956727046346</v>
      </c>
      <c r="J61" s="229">
        <v>625.59203442309285</v>
      </c>
      <c r="K61" s="229">
        <v>664.65213939874752</v>
      </c>
      <c r="M61" s="206">
        <v>2046</v>
      </c>
      <c r="N61" s="419">
        <f t="shared" si="2"/>
        <v>1029.5369287899725</v>
      </c>
      <c r="O61" s="418">
        <f>(C61/Population_Tables!P35)*Population_Tables!D94</f>
        <v>0</v>
      </c>
      <c r="P61" s="418">
        <f>(D61/Population_Tables!Q35)*Population_Tables!E94</f>
        <v>0</v>
      </c>
      <c r="Q61" s="418">
        <f>((E61-H61)/Population_Tables!R35)*Population_Tables!F94</f>
        <v>526.90403635577093</v>
      </c>
      <c r="R61" s="418">
        <f>(F61/Population_Tables!S35)*Population_Tables!G94</f>
        <v>349.9937212032155</v>
      </c>
      <c r="S61" s="418">
        <f>(G61/Population_Tables!T35)*Population_Tables!H94</f>
        <v>152.63917123098608</v>
      </c>
      <c r="T61" s="418">
        <f>(H61/Population_Tables!U35)*Population_Tables!I94</f>
        <v>0</v>
      </c>
      <c r="U61" s="418">
        <f>(I61/Population_Tables!V35)*Population_Tables!J94</f>
        <v>0</v>
      </c>
      <c r="V61" s="418">
        <f>(J61/Population_Tables!W35)*Population_Tables!K94</f>
        <v>0</v>
      </c>
      <c r="W61" s="418">
        <f>(K61/Population_Tables!X35)*Population_Tables!L94</f>
        <v>0</v>
      </c>
      <c r="Y61" s="456">
        <v>2046</v>
      </c>
      <c r="Z61" s="459">
        <f>((B61/Population_Tables!O35)*Population_Tables!C35)-N61</f>
        <v>5024.3717230360708</v>
      </c>
      <c r="AA61" s="459">
        <f>((C61/Population_Tables!P35)*Population_Tables!D35)-O61</f>
        <v>1759.393571371721</v>
      </c>
      <c r="AB61" s="459">
        <f>((D61/Population_Tables!Q35)*Population_Tables!E35)-P61</f>
        <v>631.48752875557966</v>
      </c>
      <c r="AC61" s="459">
        <f>((E61/Population_Tables!R35)*Population_Tables!F35)-Q61</f>
        <v>1380.276887449189</v>
      </c>
      <c r="AD61" s="459">
        <f>((F61/Population_Tables!S35)*Population_Tables!G35)-R61</f>
        <v>209.66645653658622</v>
      </c>
      <c r="AE61" s="459">
        <f>((G61/Population_Tables!T35)*Population_Tables!H35)-S61</f>
        <v>369.89069121791715</v>
      </c>
      <c r="AF61" s="459">
        <f>(H61/Population_Tables!U35)*Population_Tables!I35</f>
        <v>973.54152931111423</v>
      </c>
      <c r="AG61" s="459">
        <f>(I61/Population_Tables!V35)*Population_Tables!J35</f>
        <v>478.35851535416617</v>
      </c>
      <c r="AH61" s="459">
        <f>(J61/Population_Tables!W35)*Population_Tables!K35</f>
        <v>664.84735196319457</v>
      </c>
      <c r="AI61" s="459">
        <f>(K61/Population_Tables!X35)*Population_Tables!L35</f>
        <v>711.73424246494722</v>
      </c>
      <c r="AK61" s="456">
        <v>2046</v>
      </c>
      <c r="AL61" s="459">
        <f t="shared" si="6"/>
        <v>6053.9086518260428</v>
      </c>
      <c r="AM61" s="459">
        <f t="shared" si="6"/>
        <v>1759.393571371721</v>
      </c>
      <c r="AN61" s="459">
        <f t="shared" si="6"/>
        <v>631.48752875557966</v>
      </c>
      <c r="AO61" s="459">
        <f t="shared" si="6"/>
        <v>1907.18092380496</v>
      </c>
      <c r="AP61" s="459">
        <f t="shared" si="6"/>
        <v>559.66017773980172</v>
      </c>
      <c r="AQ61" s="459">
        <f t="shared" si="6"/>
        <v>522.52986244890326</v>
      </c>
      <c r="AR61" s="459">
        <f t="shared" si="6"/>
        <v>973.54152931111423</v>
      </c>
      <c r="AS61" s="459">
        <f t="shared" si="6"/>
        <v>478.35851535416617</v>
      </c>
      <c r="AT61" s="459">
        <f t="shared" si="6"/>
        <v>664.84735196319457</v>
      </c>
      <c r="AU61" s="459">
        <f t="shared" si="6"/>
        <v>711.73424246494722</v>
      </c>
      <c r="AW61" s="216">
        <f>(B61/Population_Tables!O35)*Population_Tables!C35</f>
        <v>6053.9086518260438</v>
      </c>
      <c r="AX61" s="153" t="b">
        <f t="shared" si="7"/>
        <v>0</v>
      </c>
      <c r="AY61" s="421">
        <f t="shared" si="4"/>
        <v>5380.2520641209658</v>
      </c>
      <c r="AZ61" s="153" t="str">
        <f t="shared" si="5"/>
        <v>OK</v>
      </c>
      <c r="BB61" s="216">
        <f>(C61/Population_Tables!P35)*Population_Tables!D35</f>
        <v>1759.393571371721</v>
      </c>
      <c r="BC61" s="216">
        <f>(D61/Population_Tables!Q35)*Population_Tables!E35</f>
        <v>631.48752875557966</v>
      </c>
      <c r="BD61" s="216">
        <f>(E61/Population_Tables!R35)*Population_Tables!F35</f>
        <v>1907.1809238049598</v>
      </c>
      <c r="BE61" s="216">
        <f>(F61/Population_Tables!S35)*Population_Tables!G35</f>
        <v>559.66017773980172</v>
      </c>
      <c r="BF61" s="216">
        <f>(G61/Population_Tables!T35)*Population_Tables!H35</f>
        <v>522.52986244890326</v>
      </c>
      <c r="BG61" s="216"/>
      <c r="BN61" s="216"/>
      <c r="BO61" s="216"/>
      <c r="BP61" s="216"/>
    </row>
    <row r="62" spans="1:68" ht="15.6" x14ac:dyDescent="0.3">
      <c r="A62" s="206">
        <v>2047</v>
      </c>
      <c r="B62" s="229">
        <v>5642.3112688111951</v>
      </c>
      <c r="C62" s="229">
        <v>1653.2721242315326</v>
      </c>
      <c r="D62" s="229">
        <v>592.74407608663034</v>
      </c>
      <c r="E62" s="229">
        <v>1794.5367392567421</v>
      </c>
      <c r="F62" s="229">
        <v>531.05004674632437</v>
      </c>
      <c r="G62" s="229">
        <v>482.5131596963331</v>
      </c>
      <c r="H62" s="229">
        <v>916.8451865257631</v>
      </c>
      <c r="I62" s="229">
        <v>444.16885268581791</v>
      </c>
      <c r="J62" s="229">
        <v>625.69351391532598</v>
      </c>
      <c r="K62" s="229">
        <v>666.04161053387429</v>
      </c>
      <c r="M62" s="206">
        <v>2047</v>
      </c>
      <c r="N62" s="419">
        <f t="shared" si="2"/>
        <v>1059.6644661032071</v>
      </c>
      <c r="O62" s="418">
        <f>(C62/Population_Tables!P36)*Population_Tables!D95</f>
        <v>0</v>
      </c>
      <c r="P62" s="418">
        <f>(D62/Population_Tables!Q36)*Population_Tables!E95</f>
        <v>0</v>
      </c>
      <c r="Q62" s="418">
        <f>((E62-H62)/Population_Tables!R36)*Population_Tables!F95</f>
        <v>547.0161549141252</v>
      </c>
      <c r="R62" s="418">
        <f>(F62/Population_Tables!S36)*Population_Tables!G95</f>
        <v>357.53101597834035</v>
      </c>
      <c r="S62" s="418">
        <f>(G62/Population_Tables!T36)*Population_Tables!H95</f>
        <v>155.11729521074162</v>
      </c>
      <c r="T62" s="418">
        <f>(H62/Population_Tables!U36)*Population_Tables!I95</f>
        <v>0</v>
      </c>
      <c r="U62" s="418">
        <f>(I62/Population_Tables!V36)*Population_Tables!J95</f>
        <v>0</v>
      </c>
      <c r="V62" s="418">
        <f>(J62/Population_Tables!W36)*Population_Tables!K95</f>
        <v>0</v>
      </c>
      <c r="W62" s="418">
        <f>(K62/Population_Tables!X36)*Population_Tables!L95</f>
        <v>0</v>
      </c>
      <c r="Y62" s="456">
        <v>2047</v>
      </c>
      <c r="Z62" s="459">
        <f>((B62/Population_Tables!O36)*Population_Tables!C36)-N62</f>
        <v>5032.0821809194076</v>
      </c>
      <c r="AA62" s="459">
        <f>((C62/Population_Tables!P36)*Population_Tables!D36)-O62</f>
        <v>1766.3024554525289</v>
      </c>
      <c r="AB62" s="459">
        <f>((D62/Population_Tables!Q36)*Population_Tables!E36)-P62</f>
        <v>635.74768586156597</v>
      </c>
      <c r="AC62" s="459">
        <f>((E62/Population_Tables!R36)*Population_Tables!F36)-Q62</f>
        <v>1396.1911641622528</v>
      </c>
      <c r="AD62" s="459">
        <f>((F62/Population_Tables!S36)*Population_Tables!G36)-R62</f>
        <v>212.99191376126345</v>
      </c>
      <c r="AE62" s="459">
        <f>((G62/Population_Tables!T36)*Population_Tables!H36)-S62</f>
        <v>374.30102177257754</v>
      </c>
      <c r="AF62" s="459">
        <f>(H62/Population_Tables!U36)*Population_Tables!I36</f>
        <v>977.39198892725449</v>
      </c>
      <c r="AG62" s="459">
        <f>(I62/Population_Tables!V36)*Population_Tables!J36</f>
        <v>480.44304548829012</v>
      </c>
      <c r="AH62" s="459">
        <f>(J62/Population_Tables!W36)*Population_Tables!K36</f>
        <v>666.89563002895238</v>
      </c>
      <c r="AI62" s="459">
        <f>(K62/Population_Tables!X36)*Population_Tables!L36</f>
        <v>715.40808644310539</v>
      </c>
      <c r="AK62" s="456">
        <v>2047</v>
      </c>
      <c r="AL62" s="459">
        <f t="shared" si="6"/>
        <v>6091.7466470226145</v>
      </c>
      <c r="AM62" s="459">
        <f t="shared" si="6"/>
        <v>1766.3024554525289</v>
      </c>
      <c r="AN62" s="459">
        <f t="shared" si="6"/>
        <v>635.74768586156597</v>
      </c>
      <c r="AO62" s="459">
        <f t="shared" si="6"/>
        <v>1943.2073190763781</v>
      </c>
      <c r="AP62" s="459">
        <f t="shared" si="6"/>
        <v>570.5229297396038</v>
      </c>
      <c r="AQ62" s="459">
        <f t="shared" si="6"/>
        <v>529.41831698331919</v>
      </c>
      <c r="AR62" s="459">
        <f t="shared" si="6"/>
        <v>977.39198892725449</v>
      </c>
      <c r="AS62" s="459">
        <f t="shared" si="6"/>
        <v>480.44304548829012</v>
      </c>
      <c r="AT62" s="459">
        <f t="shared" si="6"/>
        <v>666.89563002895238</v>
      </c>
      <c r="AU62" s="459">
        <f t="shared" si="6"/>
        <v>715.40808644310539</v>
      </c>
      <c r="AW62" s="216">
        <f>(B62/Population_Tables!O36)*Population_Tables!C36</f>
        <v>6091.7466470226145</v>
      </c>
      <c r="AX62" s="153" t="str">
        <f t="shared" si="7"/>
        <v>OK</v>
      </c>
      <c r="AY62" s="421">
        <f t="shared" si="4"/>
        <v>5445.1987071133954</v>
      </c>
      <c r="AZ62" s="153" t="str">
        <f t="shared" si="5"/>
        <v>OK</v>
      </c>
      <c r="BB62" s="216">
        <f>(C62/Population_Tables!P36)*Population_Tables!D36</f>
        <v>1766.3024554525289</v>
      </c>
      <c r="BC62" s="216">
        <f>(D62/Population_Tables!Q36)*Population_Tables!E36</f>
        <v>635.74768586156597</v>
      </c>
      <c r="BD62" s="216">
        <f>(E62/Population_Tables!R36)*Population_Tables!F36</f>
        <v>1943.2073190763779</v>
      </c>
      <c r="BE62" s="216">
        <f>(F62/Population_Tables!S36)*Population_Tables!G36</f>
        <v>570.5229297396038</v>
      </c>
      <c r="BF62" s="216">
        <f>(G62/Population_Tables!T36)*Population_Tables!H36</f>
        <v>529.41831698331919</v>
      </c>
      <c r="BG62" s="216"/>
      <c r="BN62" s="216"/>
      <c r="BO62" s="216"/>
      <c r="BP62" s="216"/>
    </row>
    <row r="63" spans="1:68" ht="15.6" x14ac:dyDescent="0.3">
      <c r="A63" s="206">
        <v>2048</v>
      </c>
      <c r="B63" s="229">
        <v>5657.0308602499736</v>
      </c>
      <c r="C63" s="229">
        <v>1655.0948111703194</v>
      </c>
      <c r="D63" s="229">
        <v>594.643828914702</v>
      </c>
      <c r="E63" s="229">
        <v>1821.3026337173301</v>
      </c>
      <c r="F63" s="229">
        <v>539.49636009943038</v>
      </c>
      <c r="G63" s="229">
        <v>486.73746065384614</v>
      </c>
      <c r="H63" s="229">
        <v>917.3620660572326</v>
      </c>
      <c r="I63" s="229">
        <v>444.58552133917112</v>
      </c>
      <c r="J63" s="229">
        <v>625.81264858355303</v>
      </c>
      <c r="K63" s="229">
        <v>667.45648701288735</v>
      </c>
      <c r="M63" s="206">
        <v>2048</v>
      </c>
      <c r="N63" s="419">
        <f t="shared" si="2"/>
        <v>1090.4964019820222</v>
      </c>
      <c r="O63" s="418">
        <f>(C63/Population_Tables!P37)*Population_Tables!D96</f>
        <v>0</v>
      </c>
      <c r="P63" s="418">
        <f>(D63/Population_Tables!Q37)*Population_Tables!E96</f>
        <v>0</v>
      </c>
      <c r="Q63" s="418">
        <f>((E63-H63)/Population_Tables!R37)*Population_Tables!F96</f>
        <v>567.705721447663</v>
      </c>
      <c r="R63" s="418">
        <f>(F63/Population_Tables!S37)*Population_Tables!G96</f>
        <v>365.16519349030602</v>
      </c>
      <c r="S63" s="418">
        <f>(G63/Population_Tables!T37)*Population_Tables!H96</f>
        <v>157.62548704405319</v>
      </c>
      <c r="T63" s="418">
        <f>(H63/Population_Tables!U37)*Population_Tables!I96</f>
        <v>0</v>
      </c>
      <c r="U63" s="418">
        <f>(I63/Population_Tables!V37)*Population_Tables!J96</f>
        <v>0</v>
      </c>
      <c r="V63" s="418">
        <f>(J63/Population_Tables!W37)*Population_Tables!K96</f>
        <v>0</v>
      </c>
      <c r="W63" s="418">
        <f>(K63/Population_Tables!X37)*Population_Tables!L96</f>
        <v>0</v>
      </c>
      <c r="Y63" s="456">
        <v>2048</v>
      </c>
      <c r="Z63" s="459">
        <f>((B63/Population_Tables!O37)*Population_Tables!C37)-N63</f>
        <v>5039.1835496215899</v>
      </c>
      <c r="AA63" s="459">
        <f>((C63/Population_Tables!P37)*Population_Tables!D37)-O63</f>
        <v>1773.387242490739</v>
      </c>
      <c r="AB63" s="459">
        <f>((D63/Population_Tables!Q37)*Population_Tables!E37)-P63</f>
        <v>640.06479610219742</v>
      </c>
      <c r="AC63" s="459">
        <f>((E63/Population_Tables!R37)*Population_Tables!F37)-Q63</f>
        <v>1412.0832943521664</v>
      </c>
      <c r="AD63" s="459">
        <f>((F63/Population_Tables!S37)*Population_Tables!G37)-R63</f>
        <v>216.35119296398</v>
      </c>
      <c r="AE63" s="459">
        <f>((G63/Population_Tables!T37)*Population_Tables!H37)-S63</f>
        <v>378.73528021582342</v>
      </c>
      <c r="AF63" s="459">
        <f>(H63/Population_Tables!U37)*Population_Tables!I37</f>
        <v>981.03165220920243</v>
      </c>
      <c r="AG63" s="459">
        <f>(I63/Population_Tables!V37)*Population_Tables!J37</f>
        <v>482.65315234343984</v>
      </c>
      <c r="AH63" s="459">
        <f>(J63/Population_Tables!W37)*Population_Tables!K37</f>
        <v>669.00911562589579</v>
      </c>
      <c r="AI63" s="459">
        <f>(K63/Population_Tables!X37)*Population_Tables!L37</f>
        <v>719.16317263888095</v>
      </c>
      <c r="AK63" s="456">
        <v>2048</v>
      </c>
      <c r="AL63" s="459">
        <f t="shared" si="6"/>
        <v>6129.6799516036117</v>
      </c>
      <c r="AM63" s="459">
        <f t="shared" si="6"/>
        <v>1773.387242490739</v>
      </c>
      <c r="AN63" s="459">
        <f t="shared" si="6"/>
        <v>640.06479610219742</v>
      </c>
      <c r="AO63" s="459">
        <f t="shared" si="6"/>
        <v>1979.7890157998295</v>
      </c>
      <c r="AP63" s="459">
        <f t="shared" si="6"/>
        <v>581.51638645428602</v>
      </c>
      <c r="AQ63" s="459">
        <f t="shared" si="6"/>
        <v>536.36076725987664</v>
      </c>
      <c r="AR63" s="459">
        <f t="shared" si="6"/>
        <v>981.03165220920243</v>
      </c>
      <c r="AS63" s="459">
        <f t="shared" si="6"/>
        <v>482.65315234343984</v>
      </c>
      <c r="AT63" s="459">
        <f t="shared" si="6"/>
        <v>669.00911562589579</v>
      </c>
      <c r="AU63" s="459">
        <f t="shared" si="6"/>
        <v>719.16317263888095</v>
      </c>
      <c r="AW63" s="216">
        <f>(B63/Population_Tables!O37)*Population_Tables!C37</f>
        <v>6129.6799516036126</v>
      </c>
      <c r="AX63" s="153" t="b">
        <f t="shared" si="7"/>
        <v>0</v>
      </c>
      <c r="AY63" s="421">
        <f t="shared" si="4"/>
        <v>5511.1182081069283</v>
      </c>
      <c r="AZ63" s="153" t="str">
        <f t="shared" si="5"/>
        <v>OK</v>
      </c>
      <c r="BB63" s="216">
        <f>(C63/Population_Tables!P37)*Population_Tables!D37</f>
        <v>1773.387242490739</v>
      </c>
      <c r="BC63" s="216">
        <f>(D63/Population_Tables!Q37)*Population_Tables!E37</f>
        <v>640.06479610219742</v>
      </c>
      <c r="BD63" s="216">
        <f>(E63/Population_Tables!R37)*Population_Tables!F37</f>
        <v>1979.7890157998293</v>
      </c>
      <c r="BE63" s="216">
        <f>(F63/Population_Tables!S37)*Population_Tables!G37</f>
        <v>581.51638645428602</v>
      </c>
      <c r="BF63" s="216">
        <f>(G63/Population_Tables!T37)*Population_Tables!H37</f>
        <v>536.36076725987664</v>
      </c>
      <c r="BG63" s="216"/>
      <c r="BN63" s="216"/>
      <c r="BO63" s="216"/>
      <c r="BP63" s="216"/>
    </row>
    <row r="64" spans="1:68" ht="15.6" x14ac:dyDescent="0.3">
      <c r="A64" s="206">
        <v>2049</v>
      </c>
      <c r="B64" s="229">
        <v>5671.141312621683</v>
      </c>
      <c r="C64" s="229">
        <v>1656.9889577735776</v>
      </c>
      <c r="D64" s="229">
        <v>596.52189664912419</v>
      </c>
      <c r="E64" s="229">
        <v>1848.1370678244907</v>
      </c>
      <c r="F64" s="229">
        <v>547.96071270634798</v>
      </c>
      <c r="G64" s="229">
        <v>490.9198830331278</v>
      </c>
      <c r="H64" s="229">
        <v>917.58673370402914</v>
      </c>
      <c r="I64" s="229">
        <v>445.06162967041803</v>
      </c>
      <c r="J64" s="229">
        <v>625.95532511414194</v>
      </c>
      <c r="K64" s="229">
        <v>668.90408833525009</v>
      </c>
      <c r="M64" s="206">
        <v>2049</v>
      </c>
      <c r="N64" s="419">
        <f t="shared" si="2"/>
        <v>1122.0620135063093</v>
      </c>
      <c r="O64" s="418">
        <f>(C64/Population_Tables!P38)*Population_Tables!D97</f>
        <v>0</v>
      </c>
      <c r="P64" s="418">
        <f>(D64/Population_Tables!Q38)*Population_Tables!E97</f>
        <v>0</v>
      </c>
      <c r="Q64" s="418">
        <f>((E64-H64)/Population_Tables!R38)*Population_Tables!F97</f>
        <v>588.99821342594294</v>
      </c>
      <c r="R64" s="418">
        <f>(F64/Population_Tables!S38)*Population_Tables!G97</f>
        <v>372.89841497911982</v>
      </c>
      <c r="S64" s="418">
        <f>(G64/Population_Tables!T38)*Population_Tables!H97</f>
        <v>160.16538510124647</v>
      </c>
      <c r="T64" s="418">
        <f>(H64/Population_Tables!U38)*Population_Tables!I97</f>
        <v>0</v>
      </c>
      <c r="U64" s="418">
        <f>(I64/Population_Tables!V38)*Population_Tables!J97</f>
        <v>0</v>
      </c>
      <c r="V64" s="418">
        <f>(J64/Population_Tables!W38)*Population_Tables!K97</f>
        <v>0</v>
      </c>
      <c r="W64" s="418">
        <f>(K64/Population_Tables!X38)*Population_Tables!L97</f>
        <v>0</v>
      </c>
      <c r="Y64" s="456">
        <v>2049</v>
      </c>
      <c r="Z64" s="459">
        <f>((B64/Population_Tables!O38)*Population_Tables!C38)-N64</f>
        <v>5045.7181828462853</v>
      </c>
      <c r="AA64" s="459">
        <f>((C64/Population_Tables!P38)*Population_Tables!D38)-O64</f>
        <v>1780.6884211928464</v>
      </c>
      <c r="AB64" s="459">
        <f>((D64/Population_Tables!Q38)*Population_Tables!E38)-P64</f>
        <v>644.44359642523136</v>
      </c>
      <c r="AC64" s="459">
        <f>((E64/Population_Tables!R38)*Population_Tables!F38)-Q64</f>
        <v>1427.9617951470627</v>
      </c>
      <c r="AD64" s="459">
        <f>((F64/Population_Tables!S38)*Population_Tables!G38)-R64</f>
        <v>219.74624442710308</v>
      </c>
      <c r="AE64" s="459">
        <f>((G64/Population_Tables!T38)*Population_Tables!H38)-S64</f>
        <v>383.19754710549637</v>
      </c>
      <c r="AF64" s="459">
        <f>(H64/Population_Tables!U38)*Population_Tables!I38</f>
        <v>984.46198819257177</v>
      </c>
      <c r="AG64" s="459">
        <f>(I64/Population_Tables!V38)*Population_Tables!J38</f>
        <v>485.01315992686176</v>
      </c>
      <c r="AH64" s="459">
        <f>(J64/Population_Tables!W38)*Population_Tables!K38</f>
        <v>671.20208258847413</v>
      </c>
      <c r="AI64" s="459">
        <f>(K64/Population_Tables!X38)*Population_Tables!L38</f>
        <v>723.02044018999504</v>
      </c>
      <c r="AK64" s="456">
        <v>2049</v>
      </c>
      <c r="AL64" s="459">
        <f t="shared" si="6"/>
        <v>6167.7801963525944</v>
      </c>
      <c r="AM64" s="459">
        <f t="shared" si="6"/>
        <v>1780.6884211928464</v>
      </c>
      <c r="AN64" s="459">
        <f t="shared" si="6"/>
        <v>644.44359642523136</v>
      </c>
      <c r="AO64" s="459">
        <f t="shared" si="6"/>
        <v>2016.9600085730058</v>
      </c>
      <c r="AP64" s="459">
        <f t="shared" si="6"/>
        <v>592.6446594062229</v>
      </c>
      <c r="AQ64" s="459">
        <f t="shared" si="6"/>
        <v>543.36293220674281</v>
      </c>
      <c r="AR64" s="459">
        <f t="shared" si="6"/>
        <v>984.46198819257177</v>
      </c>
      <c r="AS64" s="459">
        <f t="shared" si="6"/>
        <v>485.01315992686176</v>
      </c>
      <c r="AT64" s="459">
        <f t="shared" si="6"/>
        <v>671.20208258847413</v>
      </c>
      <c r="AU64" s="459">
        <f t="shared" si="6"/>
        <v>723.02044018999504</v>
      </c>
      <c r="AW64" s="216">
        <f>(B64/Population_Tables!O38)*Population_Tables!C38</f>
        <v>6167.7801963525944</v>
      </c>
      <c r="AX64" s="153" t="str">
        <f t="shared" si="7"/>
        <v>OK</v>
      </c>
      <c r="AY64" s="421">
        <f t="shared" si="4"/>
        <v>5578.0996178040486</v>
      </c>
      <c r="AZ64" s="153" t="str">
        <f t="shared" si="5"/>
        <v>OK</v>
      </c>
      <c r="BB64" s="216">
        <f>(C64/Population_Tables!P38)*Population_Tables!D38</f>
        <v>1780.6884211928464</v>
      </c>
      <c r="BC64" s="216">
        <f>(D64/Population_Tables!Q38)*Population_Tables!E38</f>
        <v>644.44359642523136</v>
      </c>
      <c r="BD64" s="216">
        <f>(E64/Population_Tables!R38)*Population_Tables!F38</f>
        <v>2016.9600085730058</v>
      </c>
      <c r="BE64" s="216">
        <f>(F64/Population_Tables!S38)*Population_Tables!G38</f>
        <v>592.6446594062229</v>
      </c>
      <c r="BF64" s="216">
        <f>(G64/Population_Tables!T38)*Population_Tables!H38</f>
        <v>543.36293220674281</v>
      </c>
      <c r="BG64" s="216"/>
      <c r="BN64" s="216"/>
      <c r="BO64" s="216"/>
      <c r="BP64" s="216"/>
    </row>
    <row r="65" spans="1:68" ht="16.2" thickBot="1" x14ac:dyDescent="0.35">
      <c r="A65" s="208">
        <v>2050</v>
      </c>
      <c r="B65" s="231">
        <v>5684.6558817509003</v>
      </c>
      <c r="C65" s="231">
        <v>1658.9663347612279</v>
      </c>
      <c r="D65" s="231">
        <v>598.37867400655193</v>
      </c>
      <c r="E65" s="231">
        <v>1875.0358541521273</v>
      </c>
      <c r="F65" s="231">
        <v>556.44238063659986</v>
      </c>
      <c r="G65" s="231">
        <v>495.05984080934616</v>
      </c>
      <c r="H65" s="231">
        <v>917.51839064986405</v>
      </c>
      <c r="I65" s="231">
        <v>445.60923411945362</v>
      </c>
      <c r="J65" s="231">
        <v>626.1274301934609</v>
      </c>
      <c r="K65" s="231">
        <v>670.39173400042591</v>
      </c>
      <c r="M65" s="208">
        <v>2050</v>
      </c>
      <c r="N65" s="419">
        <f t="shared" si="2"/>
        <v>1154.3887541229635</v>
      </c>
      <c r="O65" s="418">
        <f>(C65/Population_Tables!P39)*Population_Tables!D98</f>
        <v>0</v>
      </c>
      <c r="P65" s="418">
        <f>(D65/Population_Tables!Q39)*Population_Tables!E98</f>
        <v>0</v>
      </c>
      <c r="Q65" s="418">
        <f>((E65-H65)/Population_Tables!R39)*Population_Tables!F98</f>
        <v>610.91751086532076</v>
      </c>
      <c r="R65" s="418">
        <f>(F65/Population_Tables!S39)*Population_Tables!G98</f>
        <v>380.73264515854521</v>
      </c>
      <c r="S65" s="418">
        <f>(G65/Population_Tables!T39)*Population_Tables!H98</f>
        <v>162.73859809909746</v>
      </c>
      <c r="T65" s="418">
        <f>(H65/Population_Tables!U39)*Population_Tables!I98</f>
        <v>0</v>
      </c>
      <c r="U65" s="418">
        <f>(I65/Population_Tables!V39)*Population_Tables!J98</f>
        <v>0</v>
      </c>
      <c r="V65" s="418">
        <f>(J65/Population_Tables!W39)*Population_Tables!K98</f>
        <v>0</v>
      </c>
      <c r="W65" s="418">
        <f>(K65/Population_Tables!X39)*Population_Tables!L98</f>
        <v>0</v>
      </c>
      <c r="Y65" s="456">
        <v>2050</v>
      </c>
      <c r="Z65" s="459">
        <f>((B65/Population_Tables!O39)*Population_Tables!C39)-N65</f>
        <v>5051.7168424853608</v>
      </c>
      <c r="AA65" s="459">
        <f>((C65/Population_Tables!P39)*Population_Tables!D39)-O65</f>
        <v>1788.2425162824975</v>
      </c>
      <c r="AB65" s="459">
        <f>((D65/Population_Tables!Q39)*Population_Tables!E39)-P65</f>
        <v>648.88835308576301</v>
      </c>
      <c r="AC65" s="459">
        <f>((E65/Population_Tables!R39)*Population_Tables!F39)-Q65</f>
        <v>1443.8326368130975</v>
      </c>
      <c r="AD65" s="459">
        <f>((F65/Population_Tables!S39)*Population_Tables!G39)-R65</f>
        <v>223.17860132840781</v>
      </c>
      <c r="AE65" s="459">
        <f>((G65/Population_Tables!T39)*Population_Tables!H39)-S65</f>
        <v>387.69123339091038</v>
      </c>
      <c r="AF65" s="459">
        <f>(H65/Population_Tables!U39)*Population_Tables!I39</f>
        <v>987.68408798791017</v>
      </c>
      <c r="AG65" s="459">
        <f>(I65/Population_Tables!V39)*Population_Tables!J39</f>
        <v>487.54484583966786</v>
      </c>
      <c r="AH65" s="459">
        <f>(J65/Population_Tables!W39)*Population_Tables!K39</f>
        <v>673.48784028033708</v>
      </c>
      <c r="AI65" s="459">
        <f>(K65/Population_Tables!X39)*Population_Tables!L39</f>
        <v>726.99880071503594</v>
      </c>
      <c r="AK65" s="456">
        <v>2050</v>
      </c>
      <c r="AL65" s="459">
        <f t="shared" si="6"/>
        <v>6206.105596608324</v>
      </c>
      <c r="AM65" s="459">
        <f t="shared" si="6"/>
        <v>1788.2425162824975</v>
      </c>
      <c r="AN65" s="459">
        <f t="shared" si="6"/>
        <v>648.88835308576301</v>
      </c>
      <c r="AO65" s="459">
        <f t="shared" si="6"/>
        <v>2054.7501476784182</v>
      </c>
      <c r="AP65" s="459">
        <f t="shared" si="6"/>
        <v>603.91124648695302</v>
      </c>
      <c r="AQ65" s="459">
        <f t="shared" si="6"/>
        <v>550.42983149000781</v>
      </c>
      <c r="AR65" s="459">
        <f t="shared" si="6"/>
        <v>987.68408798791017</v>
      </c>
      <c r="AS65" s="459">
        <f t="shared" si="6"/>
        <v>487.54484583966786</v>
      </c>
      <c r="AT65" s="459">
        <f t="shared" si="6"/>
        <v>673.48784028033708</v>
      </c>
      <c r="AU65" s="459">
        <f t="shared" si="6"/>
        <v>726.99880071503594</v>
      </c>
      <c r="AW65" s="216">
        <f>(B65/Population_Tables!O39)*Population_Tables!C39</f>
        <v>6206.105596608324</v>
      </c>
      <c r="AX65" s="153" t="str">
        <f t="shared" si="7"/>
        <v>OK</v>
      </c>
      <c r="AY65" s="421">
        <f t="shared" si="4"/>
        <v>5646.2220950236397</v>
      </c>
      <c r="AZ65" s="153" t="str">
        <f t="shared" si="5"/>
        <v>OK</v>
      </c>
      <c r="BB65" s="216">
        <f>(C65/Population_Tables!P39)*Population_Tables!D39</f>
        <v>1788.2425162824975</v>
      </c>
      <c r="BC65" s="216">
        <f>(D65/Population_Tables!Q39)*Population_Tables!E39</f>
        <v>648.88835308576301</v>
      </c>
      <c r="BD65" s="216">
        <f>(E65/Population_Tables!R39)*Population_Tables!F39</f>
        <v>2054.7501476784182</v>
      </c>
      <c r="BE65" s="216">
        <f>(F65/Population_Tables!S39)*Population_Tables!G39</f>
        <v>603.91124648695302</v>
      </c>
      <c r="BF65" s="216">
        <f>(G65/Population_Tables!T39)*Population_Tables!H39</f>
        <v>550.42983149000781</v>
      </c>
      <c r="BG65" s="216"/>
      <c r="BN65" s="216"/>
      <c r="BO65" s="216"/>
      <c r="BP65" s="216"/>
    </row>
    <row r="66" spans="1:68" ht="15.6" x14ac:dyDescent="0.3">
      <c r="A66" s="213">
        <v>2051</v>
      </c>
      <c r="B66" s="227">
        <v>5697.5878234621996</v>
      </c>
      <c r="C66" s="227">
        <v>1661.0387128531911</v>
      </c>
      <c r="D66" s="227">
        <v>600.21455570363992</v>
      </c>
      <c r="E66" s="227">
        <v>1901.9948052741424</v>
      </c>
      <c r="F66" s="227">
        <v>564.94063995970873</v>
      </c>
      <c r="G66" s="227">
        <v>499.1567479576691</v>
      </c>
      <c r="H66" s="227">
        <v>917.15623807844872</v>
      </c>
      <c r="I66" s="227">
        <v>446.24039112617265</v>
      </c>
      <c r="J66" s="227">
        <v>626.33485050787806</v>
      </c>
      <c r="K66" s="227">
        <v>671.92674350787831</v>
      </c>
      <c r="M66" s="213">
        <v>2051</v>
      </c>
      <c r="N66" s="419">
        <f t="shared" si="2"/>
        <v>1187.5007341039468</v>
      </c>
      <c r="O66" s="418">
        <f>(C66/Population_Tables!P40)*Population_Tables!D99</f>
        <v>0</v>
      </c>
      <c r="P66" s="418">
        <f>(D66/Population_Tables!Q40)*Population_Tables!E99</f>
        <v>0</v>
      </c>
      <c r="Q66" s="418">
        <f>((E66-H66)/Population_Tables!R40)*Population_Tables!F99</f>
        <v>633.48487967781875</v>
      </c>
      <c r="R66" s="418">
        <f>(F66/Population_Tables!S40)*Population_Tables!G99</f>
        <v>388.66947746107627</v>
      </c>
      <c r="S66" s="418">
        <f>(G66/Population_Tables!T40)*Population_Tables!H99</f>
        <v>165.34637696505172</v>
      </c>
      <c r="T66" s="418">
        <f>(H66/Population_Tables!U40)*Population_Tables!I99</f>
        <v>0</v>
      </c>
      <c r="U66" s="418">
        <f>(I66/Population_Tables!V40)*Population_Tables!J99</f>
        <v>0</v>
      </c>
      <c r="V66" s="418">
        <f>(J66/Population_Tables!W40)*Population_Tables!K99</f>
        <v>0</v>
      </c>
      <c r="W66" s="418">
        <f>(K66/Population_Tables!X40)*Population_Tables!L99</f>
        <v>0</v>
      </c>
      <c r="Y66" s="456">
        <v>2051</v>
      </c>
      <c r="Z66" s="459">
        <f>((B66/Population_Tables!O40)*Population_Tables!C40)-N66</f>
        <v>5057.1955110616582</v>
      </c>
      <c r="AA66" s="459">
        <f>((C66/Population_Tables!P40)*Population_Tables!D40)-O66</f>
        <v>1796.0753991196207</v>
      </c>
      <c r="AB66" s="459">
        <f>((D66/Population_Tables!Q40)*Population_Tables!E40)-P66</f>
        <v>653.4030434527607</v>
      </c>
      <c r="AC66" s="459">
        <f>((E66/Population_Tables!R40)*Population_Tables!F40)-Q66</f>
        <v>1459.6986908452604</v>
      </c>
      <c r="AD66" s="459">
        <f>((F66/Population_Tables!S40)*Population_Tables!G40)-R66</f>
        <v>226.64946505473557</v>
      </c>
      <c r="AE66" s="459">
        <f>((G66/Population_Tables!T40)*Population_Tables!H40)-S66</f>
        <v>392.21859094805598</v>
      </c>
      <c r="AF66" s="459">
        <f>(H66/Population_Tables!U40)*Population_Tables!I40</f>
        <v>990.69961490746425</v>
      </c>
      <c r="AG66" s="459">
        <f>(I66/Population_Tables!V40)*Population_Tables!J40</f>
        <v>490.26657997980851</v>
      </c>
      <c r="AH66" s="459">
        <f>(J66/Population_Tables!W40)*Population_Tables!K40</f>
        <v>675.8774495729524</v>
      </c>
      <c r="AI66" s="459">
        <f>(K66/Population_Tables!X40)*Population_Tables!L40</f>
        <v>731.11181107177492</v>
      </c>
      <c r="AK66" s="456">
        <v>2051</v>
      </c>
      <c r="AL66" s="459">
        <f t="shared" si="6"/>
        <v>6244.6962451656054</v>
      </c>
      <c r="AM66" s="459">
        <f t="shared" si="6"/>
        <v>1796.0753991196207</v>
      </c>
      <c r="AN66" s="459">
        <f t="shared" si="6"/>
        <v>653.4030434527607</v>
      </c>
      <c r="AO66" s="459">
        <f t="shared" si="6"/>
        <v>2093.1835705230792</v>
      </c>
      <c r="AP66" s="459">
        <f t="shared" si="6"/>
        <v>615.31894251581184</v>
      </c>
      <c r="AQ66" s="459">
        <f t="shared" si="6"/>
        <v>557.56496791310769</v>
      </c>
      <c r="AR66" s="459">
        <f t="shared" si="6"/>
        <v>990.69961490746425</v>
      </c>
      <c r="AS66" s="459">
        <f t="shared" si="6"/>
        <v>490.26657997980851</v>
      </c>
      <c r="AT66" s="459">
        <f t="shared" si="6"/>
        <v>675.8774495729524</v>
      </c>
      <c r="AU66" s="459">
        <f t="shared" si="6"/>
        <v>731.11181107177492</v>
      </c>
      <c r="AW66" s="216">
        <f>(B66/Population_Tables!O40)*Population_Tables!C40</f>
        <v>6244.6962451656045</v>
      </c>
      <c r="AX66" s="153" t="b">
        <f t="shared" si="7"/>
        <v>0</v>
      </c>
      <c r="AY66" s="421">
        <f t="shared" si="4"/>
        <v>5715.5459235243798</v>
      </c>
      <c r="AZ66" s="153" t="str">
        <f t="shared" si="5"/>
        <v>OK</v>
      </c>
      <c r="BB66" s="216">
        <f>(C66/Population_Tables!P40)*Population_Tables!D40</f>
        <v>1796.0753991196207</v>
      </c>
      <c r="BC66" s="216">
        <f>(D66/Population_Tables!Q40)*Population_Tables!E40</f>
        <v>653.4030434527607</v>
      </c>
      <c r="BD66" s="216">
        <f>(E66/Population_Tables!R40)*Population_Tables!F40</f>
        <v>2093.1835705230792</v>
      </c>
      <c r="BE66" s="216">
        <f>(F66/Population_Tables!S40)*Population_Tables!G40</f>
        <v>615.31894251581184</v>
      </c>
      <c r="BF66" s="216">
        <f>(G66/Population_Tables!T40)*Population_Tables!H40</f>
        <v>557.56496791310769</v>
      </c>
      <c r="BG66" s="216"/>
      <c r="BN66" s="216"/>
      <c r="BO66" s="216"/>
      <c r="BP66" s="216"/>
    </row>
    <row r="67" spans="1:68" ht="15.6" x14ac:dyDescent="0.3">
      <c r="A67" s="194">
        <v>2052</v>
      </c>
      <c r="B67" s="229">
        <v>5709.9503935801567</v>
      </c>
      <c r="C67" s="229">
        <v>1663.2178627693875</v>
      </c>
      <c r="D67" s="229">
        <v>602.02993645704282</v>
      </c>
      <c r="E67" s="229">
        <v>1929.0097337644397</v>
      </c>
      <c r="F67" s="229">
        <v>573.4547667451975</v>
      </c>
      <c r="G67" s="229">
        <v>503.21001845326469</v>
      </c>
      <c r="H67" s="229">
        <v>916.49947717349482</v>
      </c>
      <c r="I67" s="229">
        <v>446.96715713047013</v>
      </c>
      <c r="J67" s="229">
        <v>626.58347274376149</v>
      </c>
      <c r="K67" s="229">
        <v>673.51643635707035</v>
      </c>
      <c r="M67" s="194">
        <v>2052</v>
      </c>
      <c r="N67" s="419">
        <f t="shared" si="2"/>
        <v>1221.4171611076417</v>
      </c>
      <c r="O67" s="418">
        <f>(C67/Population_Tables!P41)*Population_Tables!D100</f>
        <v>0</v>
      </c>
      <c r="P67" s="418">
        <f>(D67/Population_Tables!Q41)*Population_Tables!E100</f>
        <v>0</v>
      </c>
      <c r="Q67" s="418">
        <f>((E67-H67)/Population_Tables!R41)*Population_Tables!F100</f>
        <v>656.71697866557099</v>
      </c>
      <c r="R67" s="418">
        <f>(F67/Population_Tables!S41)*Population_Tables!G100</f>
        <v>396.71037767192064</v>
      </c>
      <c r="S67" s="418">
        <f>(G67/Population_Tables!T41)*Population_Tables!H100</f>
        <v>167.98980477015022</v>
      </c>
      <c r="T67" s="418">
        <f>(H67/Population_Tables!U41)*Population_Tables!I100</f>
        <v>0</v>
      </c>
      <c r="U67" s="418">
        <f>(I67/Population_Tables!V41)*Population_Tables!J100</f>
        <v>0</v>
      </c>
      <c r="V67" s="418">
        <f>(J67/Population_Tables!W41)*Population_Tables!K100</f>
        <v>0</v>
      </c>
      <c r="W67" s="418">
        <f>(K67/Population_Tables!X41)*Population_Tables!L100</f>
        <v>0</v>
      </c>
      <c r="Y67" s="456">
        <v>2052</v>
      </c>
      <c r="Z67" s="459">
        <f>((B67/Population_Tables!O41)*Population_Tables!C41)-N67</f>
        <v>5062.1565574701326</v>
      </c>
      <c r="AA67" s="459">
        <f>((C67/Population_Tables!P41)*Population_Tables!D41)-O67</f>
        <v>1804.2097110694176</v>
      </c>
      <c r="AB67" s="459">
        <f>((D67/Population_Tables!Q41)*Population_Tables!E41)-P67</f>
        <v>657.99094951289874</v>
      </c>
      <c r="AC67" s="459">
        <f>((E67/Population_Tables!R41)*Population_Tables!F41)-Q67</f>
        <v>1475.5592788350909</v>
      </c>
      <c r="AD67" s="459">
        <f>((F67/Population_Tables!S41)*Population_Tables!G41)-R67</f>
        <v>230.1592284430422</v>
      </c>
      <c r="AE67" s="459">
        <f>((G67/Population_Tables!T41)*Population_Tables!H41)-S67</f>
        <v>396.78105853987125</v>
      </c>
      <c r="AF67" s="459">
        <f>(H67/Population_Tables!U41)*Population_Tables!I41</f>
        <v>993.50919789418958</v>
      </c>
      <c r="AG67" s="459">
        <f>(I67/Population_Tables!V41)*Population_Tables!J41</f>
        <v>493.19303480316358</v>
      </c>
      <c r="AH67" s="459">
        <f>(J67/Population_Tables!W41)*Population_Tables!K41</f>
        <v>678.38083684208584</v>
      </c>
      <c r="AI67" s="459">
        <f>(K67/Population_Tables!X41)*Population_Tables!L41</f>
        <v>735.37095355683391</v>
      </c>
      <c r="AK67" s="456">
        <v>2052</v>
      </c>
      <c r="AL67" s="459">
        <f t="shared" si="6"/>
        <v>6283.5737185777743</v>
      </c>
      <c r="AM67" s="459">
        <f t="shared" si="6"/>
        <v>1804.2097110694176</v>
      </c>
      <c r="AN67" s="459">
        <f t="shared" si="6"/>
        <v>657.99094951289874</v>
      </c>
      <c r="AO67" s="459">
        <f t="shared" si="6"/>
        <v>2132.2762575006618</v>
      </c>
      <c r="AP67" s="459">
        <f t="shared" si="6"/>
        <v>626.86960611496283</v>
      </c>
      <c r="AQ67" s="459">
        <f t="shared" si="6"/>
        <v>564.77086331002147</v>
      </c>
      <c r="AR67" s="459">
        <f t="shared" si="6"/>
        <v>993.50919789418958</v>
      </c>
      <c r="AS67" s="459">
        <f t="shared" si="6"/>
        <v>493.19303480316358</v>
      </c>
      <c r="AT67" s="459">
        <f t="shared" si="6"/>
        <v>678.38083684208584</v>
      </c>
      <c r="AU67" s="459">
        <f t="shared" si="6"/>
        <v>735.37095355683391</v>
      </c>
      <c r="AW67" s="216">
        <f>(B67/Population_Tables!O41)*Population_Tables!C41</f>
        <v>6283.5737185777743</v>
      </c>
      <c r="AX67" s="153" t="str">
        <f t="shared" si="7"/>
        <v>OK</v>
      </c>
      <c r="AY67" s="421">
        <f t="shared" si="4"/>
        <v>5786.1173875079621</v>
      </c>
      <c r="AZ67" s="153" t="str">
        <f t="shared" si="5"/>
        <v>OK</v>
      </c>
      <c r="BB67" s="216">
        <f>(C67/Population_Tables!P41)*Population_Tables!D41</f>
        <v>1804.2097110694176</v>
      </c>
      <c r="BC67" s="216">
        <f>(D67/Population_Tables!Q41)*Population_Tables!E41</f>
        <v>657.99094951289874</v>
      </c>
      <c r="BD67" s="216">
        <f>(E67/Population_Tables!R41)*Population_Tables!F41</f>
        <v>2132.2762575006618</v>
      </c>
      <c r="BE67" s="216">
        <f>(F67/Population_Tables!S41)*Population_Tables!G41</f>
        <v>626.86960611496283</v>
      </c>
      <c r="BF67" s="216">
        <f>(G67/Population_Tables!T41)*Population_Tables!H41</f>
        <v>564.77086331002147</v>
      </c>
      <c r="BG67" s="216"/>
      <c r="BN67" s="216"/>
      <c r="BO67" s="216"/>
      <c r="BP67" s="216"/>
    </row>
    <row r="68" spans="1:68" ht="15.6" x14ac:dyDescent="0.3">
      <c r="A68" s="194">
        <v>2053</v>
      </c>
      <c r="B68" s="229">
        <v>5721.756847929345</v>
      </c>
      <c r="C68" s="229">
        <v>1665.5155552297379</v>
      </c>
      <c r="D68" s="229">
        <v>603.82521098341545</v>
      </c>
      <c r="E68" s="229">
        <v>1956.0764521969215</v>
      </c>
      <c r="F68" s="229">
        <v>581.98403706258887</v>
      </c>
      <c r="G68" s="229">
        <v>507.21906627130096</v>
      </c>
      <c r="H68" s="229">
        <v>915.54730911871366</v>
      </c>
      <c r="I68" s="229">
        <v>447.80158857224092</v>
      </c>
      <c r="J68" s="229">
        <v>626.87918358747925</v>
      </c>
      <c r="K68" s="229">
        <v>675.16813204746552</v>
      </c>
      <c r="M68" s="194">
        <v>2053</v>
      </c>
      <c r="N68" s="419">
        <f t="shared" si="2"/>
        <v>1256.15322842717</v>
      </c>
      <c r="O68" s="418">
        <f>(C68/Population_Tables!P42)*Population_Tables!D101</f>
        <v>0</v>
      </c>
      <c r="P68" s="418">
        <f>(D68/Population_Tables!Q42)*Population_Tables!E101</f>
        <v>0</v>
      </c>
      <c r="Q68" s="418">
        <f>((E68-H68)/Population_Tables!R42)*Population_Tables!F101</f>
        <v>680.62698285375291</v>
      </c>
      <c r="R68" s="418">
        <f>(F68/Population_Tables!S42)*Population_Tables!G101</f>
        <v>404.85657720669303</v>
      </c>
      <c r="S68" s="418">
        <f>(G68/Population_Tables!T42)*Population_Tables!H101</f>
        <v>170.66966836672393</v>
      </c>
      <c r="T68" s="418">
        <f>(H68/Population_Tables!U42)*Population_Tables!I101</f>
        <v>0</v>
      </c>
      <c r="U68" s="418">
        <f>(I68/Population_Tables!V42)*Population_Tables!J101</f>
        <v>0</v>
      </c>
      <c r="V68" s="418">
        <f>(J68/Population_Tables!W42)*Population_Tables!K101</f>
        <v>0</v>
      </c>
      <c r="W68" s="418">
        <f>(K68/Population_Tables!X42)*Population_Tables!L101</f>
        <v>0</v>
      </c>
      <c r="Y68" s="456">
        <v>2053</v>
      </c>
      <c r="Z68" s="459">
        <f>((B68/Population_Tables!O42)*Population_Tables!C42)-N68</f>
        <v>5066.5977804523973</v>
      </c>
      <c r="AA68" s="459">
        <f>((C68/Population_Tables!P42)*Population_Tables!D42)-O68</f>
        <v>1812.6763269183562</v>
      </c>
      <c r="AB68" s="459">
        <f>((D68/Population_Tables!Q42)*Population_Tables!E42)-P68</f>
        <v>662.65543986809143</v>
      </c>
      <c r="AC68" s="459">
        <f>((E68/Population_Tables!R42)*Population_Tables!F42)-Q68</f>
        <v>1491.4117735740347</v>
      </c>
      <c r="AD68" s="459">
        <f>((F68/Population_Tables!S42)*Population_Tables!G42)-R68</f>
        <v>233.70765360969665</v>
      </c>
      <c r="AE68" s="459">
        <f>((G68/Population_Tables!T42)*Population_Tables!H42)-S68</f>
        <v>401.38020754355682</v>
      </c>
      <c r="AF68" s="459">
        <f>(H68/Population_Tables!U42)*Population_Tables!I42</f>
        <v>996.11097223225613</v>
      </c>
      <c r="AG68" s="459">
        <f>(I68/Population_Tables!V42)*Population_Tables!J42</f>
        <v>496.33724831275731</v>
      </c>
      <c r="AH68" s="459">
        <f>(J68/Population_Tables!W42)*Population_Tables!K42</f>
        <v>681.01086440058202</v>
      </c>
      <c r="AI68" s="459">
        <f>(K68/Population_Tables!X42)*Population_Tables!L42</f>
        <v>739.79025071072158</v>
      </c>
      <c r="AK68" s="456">
        <v>2053</v>
      </c>
      <c r="AL68" s="459">
        <f t="shared" si="6"/>
        <v>6322.7510088795671</v>
      </c>
      <c r="AM68" s="459">
        <f t="shared" si="6"/>
        <v>1812.6763269183562</v>
      </c>
      <c r="AN68" s="459">
        <f t="shared" si="6"/>
        <v>662.65543986809143</v>
      </c>
      <c r="AO68" s="459">
        <f t="shared" si="6"/>
        <v>2172.0387564277876</v>
      </c>
      <c r="AP68" s="459">
        <f t="shared" si="6"/>
        <v>638.56423081638968</v>
      </c>
      <c r="AQ68" s="459">
        <f t="shared" si="6"/>
        <v>572.04987591028078</v>
      </c>
      <c r="AR68" s="459">
        <f t="shared" si="6"/>
        <v>996.11097223225613</v>
      </c>
      <c r="AS68" s="459">
        <f t="shared" si="6"/>
        <v>496.33724831275731</v>
      </c>
      <c r="AT68" s="459">
        <f t="shared" si="6"/>
        <v>681.01086440058202</v>
      </c>
      <c r="AU68" s="459">
        <f t="shared" si="6"/>
        <v>739.79025071072158</v>
      </c>
      <c r="AW68" s="216">
        <f>(B68/Population_Tables!O42)*Population_Tables!C42</f>
        <v>6322.7510088795671</v>
      </c>
      <c r="AX68" s="153" t="str">
        <f t="shared" si="7"/>
        <v>OK</v>
      </c>
      <c r="AY68" s="421">
        <f t="shared" si="4"/>
        <v>5857.9846299409055</v>
      </c>
      <c r="AZ68" s="153" t="str">
        <f t="shared" si="5"/>
        <v>OK</v>
      </c>
      <c r="BB68" s="216">
        <f>(C68/Population_Tables!P42)*Population_Tables!D42</f>
        <v>1812.6763269183562</v>
      </c>
      <c r="BC68" s="216">
        <f>(D68/Population_Tables!Q42)*Population_Tables!E42</f>
        <v>662.65543986809143</v>
      </c>
      <c r="BD68" s="216">
        <f>(E68/Population_Tables!R42)*Population_Tables!F42</f>
        <v>2172.0387564277876</v>
      </c>
      <c r="BE68" s="216">
        <f>(F68/Population_Tables!S42)*Population_Tables!G42</f>
        <v>638.56423081638968</v>
      </c>
      <c r="BF68" s="216">
        <f>(G68/Population_Tables!T42)*Population_Tables!H42</f>
        <v>572.04987591028078</v>
      </c>
      <c r="BG68" s="216"/>
      <c r="BN68" s="216"/>
      <c r="BO68" s="216"/>
      <c r="BP68" s="216"/>
    </row>
    <row r="69" spans="1:68" ht="15.6" x14ac:dyDescent="0.3">
      <c r="A69" s="194">
        <v>2054</v>
      </c>
      <c r="B69" s="229">
        <v>5733.0204423343421</v>
      </c>
      <c r="C69" s="229">
        <v>1667.9435609541626</v>
      </c>
      <c r="D69" s="229">
        <v>605.6007739994127</v>
      </c>
      <c r="E69" s="229">
        <v>1983.1907731454914</v>
      </c>
      <c r="F69" s="229">
        <v>590.52772698140552</v>
      </c>
      <c r="G69" s="229">
        <v>511.18330538694579</v>
      </c>
      <c r="H69" s="229">
        <v>914.29893509781664</v>
      </c>
      <c r="I69" s="229">
        <v>448.7557418913799</v>
      </c>
      <c r="J69" s="229">
        <v>627.2278697253995</v>
      </c>
      <c r="K69" s="229">
        <v>676.88915007852722</v>
      </c>
      <c r="M69" s="194">
        <v>2054</v>
      </c>
      <c r="N69" s="419">
        <f t="shared" si="2"/>
        <v>1291.719786420729</v>
      </c>
      <c r="O69" s="418">
        <f>(C69/Population_Tables!P43)*Population_Tables!D102</f>
        <v>0</v>
      </c>
      <c r="P69" s="418">
        <f>(D69/Population_Tables!Q43)*Population_Tables!E102</f>
        <v>0</v>
      </c>
      <c r="Q69" s="418">
        <f>((E69-H69)/Population_Tables!R43)*Population_Tables!F102</f>
        <v>705.22420355325312</v>
      </c>
      <c r="R69" s="418">
        <f>(F69/Population_Tables!S43)*Population_Tables!G102</f>
        <v>413.1091434395226</v>
      </c>
      <c r="S69" s="418">
        <f>(G69/Population_Tables!T43)*Population_Tables!H102</f>
        <v>173.38643942795332</v>
      </c>
      <c r="T69" s="418">
        <f>(H69/Population_Tables!U43)*Population_Tables!I102</f>
        <v>0</v>
      </c>
      <c r="U69" s="418">
        <f>(I69/Population_Tables!V43)*Population_Tables!J102</f>
        <v>0</v>
      </c>
      <c r="V69" s="418">
        <f>(J69/Population_Tables!W43)*Population_Tables!K102</f>
        <v>0</v>
      </c>
      <c r="W69" s="418">
        <f>(K69/Population_Tables!X43)*Population_Tables!L102</f>
        <v>0</v>
      </c>
      <c r="Y69" s="456">
        <v>2054</v>
      </c>
      <c r="Z69" s="459">
        <f>((B69/Population_Tables!O43)*Population_Tables!C43)-N69</f>
        <v>5070.5094867384369</v>
      </c>
      <c r="AA69" s="459">
        <f>((C69/Population_Tables!P43)*Population_Tables!D43)-O69</f>
        <v>1821.5059979922366</v>
      </c>
      <c r="AB69" s="459">
        <f>((D69/Population_Tables!Q43)*Population_Tables!E43)-P69</f>
        <v>667.39971541646662</v>
      </c>
      <c r="AC69" s="459">
        <f>((E69/Population_Tables!R43)*Population_Tables!F43)-Q69</f>
        <v>1507.2513660647119</v>
      </c>
      <c r="AD69" s="459">
        <f>((F69/Population_Tables!S43)*Population_Tables!G43)-R69</f>
        <v>237.29396621935604</v>
      </c>
      <c r="AE69" s="459">
        <f>((G69/Population_Tables!T43)*Population_Tables!H43)-S69</f>
        <v>406.01693735674883</v>
      </c>
      <c r="AF69" s="459">
        <f>(H69/Population_Tables!U43)*Population_Tables!I43</f>
        <v>998.50160437565262</v>
      </c>
      <c r="AG69" s="459">
        <f>(I69/Population_Tables!V43)*Population_Tables!J43</f>
        <v>499.71031479430576</v>
      </c>
      <c r="AH69" s="459">
        <f>(J69/Population_Tables!W43)*Population_Tables!K43</f>
        <v>683.7803486212531</v>
      </c>
      <c r="AI69" s="459">
        <f>(K69/Population_Tables!X43)*Population_Tables!L43</f>
        <v>744.38326560871542</v>
      </c>
      <c r="AK69" s="456">
        <v>2054</v>
      </c>
      <c r="AL69" s="459">
        <f t="shared" ref="AL69:AU75" si="8">Z69+N69</f>
        <v>6362.229273159166</v>
      </c>
      <c r="AM69" s="459">
        <f t="shared" si="8"/>
        <v>1821.5059979922366</v>
      </c>
      <c r="AN69" s="459">
        <f t="shared" si="8"/>
        <v>667.39971541646662</v>
      </c>
      <c r="AO69" s="459">
        <f t="shared" si="8"/>
        <v>2212.475569617965</v>
      </c>
      <c r="AP69" s="459">
        <f t="shared" si="8"/>
        <v>650.40310965887863</v>
      </c>
      <c r="AQ69" s="459">
        <f t="shared" si="8"/>
        <v>579.40337678470212</v>
      </c>
      <c r="AR69" s="459">
        <f t="shared" si="8"/>
        <v>998.50160437565262</v>
      </c>
      <c r="AS69" s="459">
        <f t="shared" si="8"/>
        <v>499.71031479430576</v>
      </c>
      <c r="AT69" s="459">
        <f t="shared" si="8"/>
        <v>683.7803486212531</v>
      </c>
      <c r="AU69" s="459">
        <f t="shared" si="8"/>
        <v>744.38326560871542</v>
      </c>
      <c r="AW69" s="216">
        <f>(B69/Population_Tables!O43)*Population_Tables!C43</f>
        <v>6362.229273159166</v>
      </c>
      <c r="AX69" s="153" t="str">
        <f t="shared" si="7"/>
        <v>OK</v>
      </c>
      <c r="AY69" s="421">
        <f t="shared" si="4"/>
        <v>5931.1877694702498</v>
      </c>
      <c r="AZ69" s="153" t="str">
        <f t="shared" si="5"/>
        <v>OK</v>
      </c>
      <c r="BB69" s="216">
        <f>(C69/Population_Tables!P43)*Population_Tables!D43</f>
        <v>1821.5059979922366</v>
      </c>
      <c r="BC69" s="216">
        <f>(D69/Population_Tables!Q43)*Population_Tables!E43</f>
        <v>667.39971541646662</v>
      </c>
      <c r="BD69" s="216">
        <f>(E69/Population_Tables!R43)*Population_Tables!F43</f>
        <v>2212.475569617965</v>
      </c>
      <c r="BE69" s="216">
        <f>(F69/Population_Tables!S43)*Population_Tables!G43</f>
        <v>650.40310965887863</v>
      </c>
      <c r="BF69" s="216">
        <f>(G69/Population_Tables!T43)*Population_Tables!H43</f>
        <v>579.40337678470212</v>
      </c>
      <c r="BG69" s="216"/>
      <c r="BN69" s="216"/>
      <c r="BO69" s="216"/>
      <c r="BP69" s="216"/>
    </row>
    <row r="70" spans="1:68" ht="15.6" x14ac:dyDescent="0.3">
      <c r="A70" s="194">
        <v>2055</v>
      </c>
      <c r="B70" s="229">
        <v>5743.7544326197212</v>
      </c>
      <c r="C70" s="229">
        <v>1670.5136506625829</v>
      </c>
      <c r="D70" s="229">
        <v>607.35702022168914</v>
      </c>
      <c r="E70" s="229">
        <v>2010.3485091840521</v>
      </c>
      <c r="F70" s="229">
        <v>599.08511257117027</v>
      </c>
      <c r="G70" s="229">
        <v>515.10214977536725</v>
      </c>
      <c r="H70" s="229">
        <v>912.75355629451542</v>
      </c>
      <c r="I70" s="229">
        <v>449.84167352778206</v>
      </c>
      <c r="J70" s="229">
        <v>627.63541784389031</v>
      </c>
      <c r="K70" s="229">
        <v>678.68680994971885</v>
      </c>
      <c r="M70" s="194">
        <v>2055</v>
      </c>
      <c r="N70" s="419">
        <f t="shared" si="2"/>
        <v>1328.1270698287281</v>
      </c>
      <c r="O70" s="418">
        <f>(C70/Population_Tables!P44)*Population_Tables!D103</f>
        <v>0</v>
      </c>
      <c r="P70" s="418">
        <f>(D70/Population_Tables!Q44)*Population_Tables!E103</f>
        <v>0</v>
      </c>
      <c r="Q70" s="418">
        <f>((E70-H70)/Population_Tables!R44)*Population_Tables!F103</f>
        <v>730.51775001686315</v>
      </c>
      <c r="R70" s="418">
        <f>(F70/Population_Tables!S44)*Population_Tables!G103</f>
        <v>421.46875083766258</v>
      </c>
      <c r="S70" s="418">
        <f>(G70/Population_Tables!T44)*Population_Tables!H103</f>
        <v>176.14056897420241</v>
      </c>
      <c r="T70" s="418">
        <f>(H70/Population_Tables!U44)*Population_Tables!I103</f>
        <v>0</v>
      </c>
      <c r="U70" s="418">
        <f>(I70/Population_Tables!V44)*Population_Tables!J103</f>
        <v>0</v>
      </c>
      <c r="V70" s="418">
        <f>(J70/Population_Tables!W44)*Population_Tables!K103</f>
        <v>0</v>
      </c>
      <c r="W70" s="418">
        <f>(K70/Population_Tables!X44)*Population_Tables!L103</f>
        <v>0</v>
      </c>
      <c r="Y70" s="456">
        <v>2055</v>
      </c>
      <c r="Z70" s="459">
        <f>((B70/Population_Tables!O44)*Population_Tables!C44)-N70</f>
        <v>5073.8802096851077</v>
      </c>
      <c r="AA70" s="459">
        <f>((C70/Population_Tables!P44)*Population_Tables!D44)-O70</f>
        <v>1830.7264634765957</v>
      </c>
      <c r="AB70" s="459">
        <f>((D70/Population_Tables!Q44)*Population_Tables!E44)-P70</f>
        <v>672.22672285097565</v>
      </c>
      <c r="AC70" s="459">
        <f>((E70/Population_Tables!R44)*Population_Tables!F44)-Q70</f>
        <v>1523.0729284891415</v>
      </c>
      <c r="AD70" s="459">
        <f>((F70/Population_Tables!S44)*Population_Tables!G44)-R70</f>
        <v>240.91759107872133</v>
      </c>
      <c r="AE70" s="459">
        <f>((G70/Population_Tables!T44)*Population_Tables!H44)-S70</f>
        <v>410.69198419135284</v>
      </c>
      <c r="AF70" s="459">
        <f>(H70/Population_Tables!U44)*Population_Tables!I44</f>
        <v>1000.6775791237327</v>
      </c>
      <c r="AG70" s="459">
        <f>(I70/Population_Tables!V44)*Population_Tables!J44</f>
        <v>503.32373126188611</v>
      </c>
      <c r="AH70" s="459">
        <f>(J70/Population_Tables!W44)*Population_Tables!K44</f>
        <v>686.7014408787162</v>
      </c>
      <c r="AI70" s="459">
        <f>(K70/Population_Tables!X44)*Population_Tables!L44</f>
        <v>749.16231977488769</v>
      </c>
      <c r="AK70" s="456">
        <v>2055</v>
      </c>
      <c r="AL70" s="459">
        <f t="shared" si="8"/>
        <v>6402.0072795138358</v>
      </c>
      <c r="AM70" s="459">
        <f t="shared" si="8"/>
        <v>1830.7264634765957</v>
      </c>
      <c r="AN70" s="459">
        <f t="shared" si="8"/>
        <v>672.22672285097565</v>
      </c>
      <c r="AO70" s="459">
        <f t="shared" si="8"/>
        <v>2253.5906785060047</v>
      </c>
      <c r="AP70" s="459">
        <f t="shared" si="8"/>
        <v>662.38634191638391</v>
      </c>
      <c r="AQ70" s="459">
        <f t="shared" si="8"/>
        <v>586.83255316555528</v>
      </c>
      <c r="AR70" s="459">
        <f t="shared" si="8"/>
        <v>1000.6775791237327</v>
      </c>
      <c r="AS70" s="459">
        <f t="shared" si="8"/>
        <v>503.32373126188611</v>
      </c>
      <c r="AT70" s="459">
        <f t="shared" si="8"/>
        <v>686.7014408787162</v>
      </c>
      <c r="AU70" s="459">
        <f t="shared" si="8"/>
        <v>749.16231977488769</v>
      </c>
      <c r="AW70" s="216">
        <f>(B70/Population_Tables!O44)*Population_Tables!C44</f>
        <v>6402.0072795138358</v>
      </c>
      <c r="AX70" s="153" t="str">
        <f t="shared" si="7"/>
        <v>OK</v>
      </c>
      <c r="AY70" s="421">
        <f t="shared" si="4"/>
        <v>6005.7627599155157</v>
      </c>
      <c r="AZ70" s="153" t="str">
        <f t="shared" si="5"/>
        <v>OK</v>
      </c>
      <c r="BB70" s="216">
        <f>(C70/Population_Tables!P44)*Population_Tables!D44</f>
        <v>1830.7264634765957</v>
      </c>
      <c r="BC70" s="216">
        <f>(D70/Population_Tables!Q44)*Population_Tables!E44</f>
        <v>672.22672285097565</v>
      </c>
      <c r="BD70" s="216">
        <f>(E70/Population_Tables!R44)*Population_Tables!F44</f>
        <v>2253.5906785060047</v>
      </c>
      <c r="BE70" s="216">
        <f>(F70/Population_Tables!S44)*Population_Tables!G44</f>
        <v>662.38634191638391</v>
      </c>
      <c r="BF70" s="216">
        <f>(G70/Population_Tables!T44)*Population_Tables!H44</f>
        <v>586.83255316555528</v>
      </c>
      <c r="BG70" s="216"/>
      <c r="BN70" s="216"/>
      <c r="BO70" s="216"/>
      <c r="BP70" s="216"/>
    </row>
    <row r="71" spans="1:68" ht="15.6" x14ac:dyDescent="0.3">
      <c r="A71" s="194">
        <v>2056</v>
      </c>
      <c r="B71" s="229">
        <v>5753.9720746100584</v>
      </c>
      <c r="C71" s="229">
        <v>1673.237595074919</v>
      </c>
      <c r="D71" s="229">
        <v>609.09434436689969</v>
      </c>
      <c r="E71" s="229">
        <v>2037.545472886507</v>
      </c>
      <c r="F71" s="229">
        <v>607.65546990140581</v>
      </c>
      <c r="G71" s="229">
        <v>518.97501341173336</v>
      </c>
      <c r="H71" s="229">
        <v>910.91037389252119</v>
      </c>
      <c r="I71" s="229">
        <v>451.07143992134218</v>
      </c>
      <c r="J71" s="229">
        <v>628.10771462931973</v>
      </c>
      <c r="K71" s="229">
        <v>680.56843116050356</v>
      </c>
      <c r="M71" s="194">
        <v>2056</v>
      </c>
      <c r="N71" s="419">
        <f t="shared" si="2"/>
        <v>1365.3916331316216</v>
      </c>
      <c r="O71" s="418">
        <f>(C71/Population_Tables!P45)*Population_Tables!D104</f>
        <v>0</v>
      </c>
      <c r="P71" s="418">
        <f>(D71/Population_Tables!Q45)*Population_Tables!E104</f>
        <v>0</v>
      </c>
      <c r="Q71" s="418">
        <f>((E71-H71)/Population_Tables!R45)*Population_Tables!F104</f>
        <v>756.52275979597766</v>
      </c>
      <c r="R71" s="418">
        <f>(F71/Population_Tables!S45)*Population_Tables!G104</f>
        <v>429.93616725658626</v>
      </c>
      <c r="S71" s="418">
        <f>(G71/Population_Tables!T45)*Population_Tables!H104</f>
        <v>178.93270607905774</v>
      </c>
      <c r="T71" s="418">
        <f>(H71/Population_Tables!U45)*Population_Tables!I104</f>
        <v>0</v>
      </c>
      <c r="U71" s="418">
        <f>(I71/Population_Tables!V45)*Population_Tables!J104</f>
        <v>0</v>
      </c>
      <c r="V71" s="418">
        <f>(J71/Population_Tables!W45)*Population_Tables!K104</f>
        <v>0</v>
      </c>
      <c r="W71" s="418">
        <f>(K71/Population_Tables!X45)*Population_Tables!L104</f>
        <v>0</v>
      </c>
      <c r="Y71" s="456">
        <v>2056</v>
      </c>
      <c r="Z71" s="459">
        <f>((B71/Population_Tables!O45)*Population_Tables!C45)-N71</f>
        <v>5076.7069309162589</v>
      </c>
      <c r="AA71" s="459">
        <f>((C71/Population_Tables!P45)*Population_Tables!D45)-O71</f>
        <v>1840.361319195425</v>
      </c>
      <c r="AB71" s="459">
        <f>((D71/Population_Tables!Q45)*Population_Tables!E45)-P71</f>
        <v>677.13942733942224</v>
      </c>
      <c r="AC71" s="459">
        <f>((E71/Population_Tables!R45)*Population_Tables!F45)-Q71</f>
        <v>1538.8745055442516</v>
      </c>
      <c r="AD71" s="459">
        <f>((F71/Population_Tables!S45)*Population_Tables!G45)-R71</f>
        <v>244.57885099385055</v>
      </c>
      <c r="AE71" s="459">
        <f>((G71/Population_Tables!T45)*Population_Tables!H45)-S71</f>
        <v>415.40669864627216</v>
      </c>
      <c r="AF71" s="459">
        <f>(H71/Population_Tables!U45)*Population_Tables!I45</f>
        <v>1002.6368509266841</v>
      </c>
      <c r="AG71" s="459">
        <f>(I71/Population_Tables!V45)*Population_Tables!J45</f>
        <v>507.19322834470086</v>
      </c>
      <c r="AH71" s="459">
        <f>(J71/Population_Tables!W45)*Population_Tables!K45</f>
        <v>689.78499733959836</v>
      </c>
      <c r="AI71" s="459">
        <f>(K71/Population_Tables!X45)*Population_Tables!L45</f>
        <v>754.13914172512875</v>
      </c>
      <c r="AK71" s="456">
        <v>2056</v>
      </c>
      <c r="AL71" s="459">
        <f t="shared" si="8"/>
        <v>6442.0985640478802</v>
      </c>
      <c r="AM71" s="459">
        <f t="shared" si="8"/>
        <v>1840.361319195425</v>
      </c>
      <c r="AN71" s="459">
        <f t="shared" si="8"/>
        <v>677.13942733942224</v>
      </c>
      <c r="AO71" s="459">
        <f t="shared" si="8"/>
        <v>2295.3972653402293</v>
      </c>
      <c r="AP71" s="459">
        <f t="shared" si="8"/>
        <v>674.51501825043681</v>
      </c>
      <c r="AQ71" s="459">
        <f t="shared" si="8"/>
        <v>594.33940472532993</v>
      </c>
      <c r="AR71" s="459">
        <f t="shared" si="8"/>
        <v>1002.6368509266841</v>
      </c>
      <c r="AS71" s="459">
        <f t="shared" si="8"/>
        <v>507.19322834470086</v>
      </c>
      <c r="AT71" s="459">
        <f t="shared" si="8"/>
        <v>689.78499733959836</v>
      </c>
      <c r="AU71" s="459">
        <f t="shared" si="8"/>
        <v>754.13914172512875</v>
      </c>
      <c r="AW71" s="216">
        <f>(B71/Population_Tables!O45)*Population_Tables!C45</f>
        <v>6442.0985640478802</v>
      </c>
      <c r="AX71" s="153" t="str">
        <f t="shared" si="7"/>
        <v>OK</v>
      </c>
      <c r="AY71" s="421">
        <f t="shared" si="4"/>
        <v>6081.7524348508432</v>
      </c>
      <c r="AZ71" s="153" t="str">
        <f t="shared" si="5"/>
        <v>OK</v>
      </c>
      <c r="BB71" s="216">
        <f>(C71/Population_Tables!P45)*Population_Tables!D45</f>
        <v>1840.361319195425</v>
      </c>
      <c r="BC71" s="216">
        <f>(D71/Population_Tables!Q45)*Population_Tables!E45</f>
        <v>677.13942733942224</v>
      </c>
      <c r="BD71" s="216">
        <f>(E71/Population_Tables!R45)*Population_Tables!F45</f>
        <v>2295.3972653402293</v>
      </c>
      <c r="BE71" s="216">
        <f>(F71/Population_Tables!S45)*Population_Tables!G45</f>
        <v>674.51501825043681</v>
      </c>
      <c r="BF71" s="216">
        <f>(G71/Population_Tables!T45)*Population_Tables!H45</f>
        <v>594.33940472532993</v>
      </c>
      <c r="BG71" s="216"/>
      <c r="BN71" s="216"/>
      <c r="BO71" s="216"/>
      <c r="BP71" s="216"/>
    </row>
    <row r="72" spans="1:68" ht="15.6" x14ac:dyDescent="0.3">
      <c r="A72" s="194">
        <v>2057</v>
      </c>
      <c r="B72" s="229">
        <v>5763.6866241299285</v>
      </c>
      <c r="C72" s="229">
        <v>1676.1271649110915</v>
      </c>
      <c r="D72" s="229">
        <v>610.81314115169903</v>
      </c>
      <c r="E72" s="229">
        <v>2064.7774768267586</v>
      </c>
      <c r="F72" s="229">
        <v>616.23807504163494</v>
      </c>
      <c r="G72" s="229">
        <v>522.80131027121195</v>
      </c>
      <c r="H72" s="229">
        <v>908.76858907554561</v>
      </c>
      <c r="I72" s="229">
        <v>452.45709751195523</v>
      </c>
      <c r="J72" s="229">
        <v>628.65064676805594</v>
      </c>
      <c r="K72" s="229">
        <v>682.54133321034487</v>
      </c>
      <c r="M72" s="194">
        <v>2057</v>
      </c>
      <c r="N72" s="419">
        <f t="shared" si="2"/>
        <v>1403.5270547691453</v>
      </c>
      <c r="O72" s="418">
        <f>(C72/Population_Tables!P46)*Population_Tables!D105</f>
        <v>0</v>
      </c>
      <c r="P72" s="418">
        <f>(D72/Population_Tables!Q46)*Population_Tables!E105</f>
        <v>0</v>
      </c>
      <c r="Q72" s="418">
        <f>((E72-H72)/Population_Tables!R46)*Population_Tables!F105</f>
        <v>783.25238973930141</v>
      </c>
      <c r="R72" s="418">
        <f>(F72/Population_Tables!S46)*Population_Tables!G105</f>
        <v>438.51135323895926</v>
      </c>
      <c r="S72" s="418">
        <f>(G72/Population_Tables!T46)*Population_Tables!H105</f>
        <v>181.76331179088444</v>
      </c>
      <c r="T72" s="418">
        <f>(H72/Population_Tables!U46)*Population_Tables!I105</f>
        <v>0</v>
      </c>
      <c r="U72" s="418">
        <f>(I72/Population_Tables!V46)*Population_Tables!J105</f>
        <v>0</v>
      </c>
      <c r="V72" s="418">
        <f>(J72/Population_Tables!W46)*Population_Tables!K105</f>
        <v>0</v>
      </c>
      <c r="W72" s="418">
        <f>(K72/Population_Tables!X46)*Population_Tables!L105</f>
        <v>0</v>
      </c>
      <c r="Y72" s="456">
        <v>2057</v>
      </c>
      <c r="Z72" s="459">
        <f>((B72/Population_Tables!O46)*Population_Tables!C46)-N72</f>
        <v>5078.9781494824492</v>
      </c>
      <c r="AA72" s="459">
        <f>((C72/Population_Tables!P46)*Population_Tables!D46)-O72</f>
        <v>1850.4282210914305</v>
      </c>
      <c r="AB72" s="459">
        <f>((D72/Population_Tables!Q46)*Population_Tables!E46)-P72</f>
        <v>682.14048956961562</v>
      </c>
      <c r="AC72" s="459">
        <f>((E72/Population_Tables!R46)*Population_Tables!F46)-Q72</f>
        <v>1554.6515861796358</v>
      </c>
      <c r="AD72" s="459">
        <f>((F72/Population_Tables!S46)*Population_Tables!G46)-R72</f>
        <v>248.27818792003166</v>
      </c>
      <c r="AE72" s="459">
        <f>((G72/Population_Tables!T46)*Population_Tables!H46)-S72</f>
        <v>420.16164532207608</v>
      </c>
      <c r="AF72" s="459">
        <f>(H72/Population_Tables!U46)*Population_Tables!I46</f>
        <v>1004.376877890702</v>
      </c>
      <c r="AG72" s="459">
        <f>(I72/Population_Tables!V46)*Population_Tables!J46</f>
        <v>511.33333238323144</v>
      </c>
      <c r="AH72" s="459">
        <f>(J72/Population_Tables!W46)*Population_Tables!K46</f>
        <v>693.04045280933758</v>
      </c>
      <c r="AI72" s="459">
        <f>(K72/Population_Tables!X46)*Population_Tables!L46</f>
        <v>759.32289467727753</v>
      </c>
      <c r="AK72" s="456">
        <v>2057</v>
      </c>
      <c r="AL72" s="459">
        <f t="shared" si="8"/>
        <v>6482.5052042515945</v>
      </c>
      <c r="AM72" s="459">
        <f t="shared" si="8"/>
        <v>1850.4282210914305</v>
      </c>
      <c r="AN72" s="459">
        <f t="shared" si="8"/>
        <v>682.14048956961562</v>
      </c>
      <c r="AO72" s="459">
        <f t="shared" si="8"/>
        <v>2337.9039759189372</v>
      </c>
      <c r="AP72" s="459">
        <f t="shared" si="8"/>
        <v>686.78954115899091</v>
      </c>
      <c r="AQ72" s="459">
        <f t="shared" si="8"/>
        <v>601.92495711296056</v>
      </c>
      <c r="AR72" s="459">
        <f t="shared" si="8"/>
        <v>1004.376877890702</v>
      </c>
      <c r="AS72" s="459">
        <f t="shared" si="8"/>
        <v>511.33333238323144</v>
      </c>
      <c r="AT72" s="459">
        <f t="shared" si="8"/>
        <v>693.04045280933758</v>
      </c>
      <c r="AU72" s="459">
        <f t="shared" si="8"/>
        <v>759.32289467727753</v>
      </c>
      <c r="AW72" s="216">
        <f>(B72/Population_Tables!O46)*Population_Tables!C46</f>
        <v>6482.5052042515945</v>
      </c>
      <c r="AX72" s="153" t="str">
        <f t="shared" si="7"/>
        <v>OK</v>
      </c>
      <c r="AY72" s="421">
        <f t="shared" si="4"/>
        <v>6159.1871848519349</v>
      </c>
      <c r="AZ72" s="153" t="str">
        <f t="shared" si="5"/>
        <v>OK</v>
      </c>
      <c r="BB72" s="216">
        <f>(C72/Population_Tables!P46)*Population_Tables!D46</f>
        <v>1850.4282210914305</v>
      </c>
      <c r="BC72" s="216">
        <f>(D72/Population_Tables!Q46)*Population_Tables!E46</f>
        <v>682.14048956961562</v>
      </c>
      <c r="BD72" s="216">
        <f>(E72/Population_Tables!R46)*Population_Tables!F46</f>
        <v>2337.9039759189372</v>
      </c>
      <c r="BE72" s="216">
        <f>(F72/Population_Tables!S46)*Population_Tables!G46</f>
        <v>686.78954115899091</v>
      </c>
      <c r="BF72" s="216">
        <f>(G72/Population_Tables!T46)*Population_Tables!H46</f>
        <v>601.92495711296056</v>
      </c>
      <c r="BG72" s="216"/>
      <c r="BN72" s="216"/>
      <c r="BO72" s="216"/>
      <c r="BP72" s="216"/>
    </row>
    <row r="73" spans="1:68" ht="15.6" x14ac:dyDescent="0.3">
      <c r="A73" s="194">
        <v>2058</v>
      </c>
      <c r="B73" s="229">
        <v>5772.9113370039067</v>
      </c>
      <c r="C73" s="229">
        <v>1679.1941308910211</v>
      </c>
      <c r="D73" s="229">
        <v>612.51380529274184</v>
      </c>
      <c r="E73" s="229">
        <v>2092.0403335787105</v>
      </c>
      <c r="F73" s="229">
        <v>624.83220406138037</v>
      </c>
      <c r="G73" s="229">
        <v>526.5804543289712</v>
      </c>
      <c r="H73" s="229">
        <v>906.32740302730008</v>
      </c>
      <c r="I73" s="229">
        <v>454.01070273951609</v>
      </c>
      <c r="J73" s="229">
        <v>629.27010094646698</v>
      </c>
      <c r="K73" s="229">
        <v>684.61283559870617</v>
      </c>
      <c r="M73" s="194">
        <v>2058</v>
      </c>
      <c r="N73" s="419">
        <f t="shared" si="2"/>
        <v>1442.5341879087371</v>
      </c>
      <c r="O73" s="418">
        <f>(C73/Population_Tables!P47)*Population_Tables!D106</f>
        <v>0</v>
      </c>
      <c r="P73" s="418">
        <f>(D73/Population_Tables!Q47)*Population_Tables!E106</f>
        <v>0</v>
      </c>
      <c r="Q73" s="418">
        <f>((E73-H73)/Population_Tables!R47)*Population_Tables!F106</f>
        <v>810.70914637167732</v>
      </c>
      <c r="R73" s="418">
        <f>(F73/Population_Tables!S47)*Population_Tables!G106</f>
        <v>447.19290998843474</v>
      </c>
      <c r="S73" s="418">
        <f>(G73/Population_Tables!T47)*Population_Tables!H106</f>
        <v>184.63213154862493</v>
      </c>
      <c r="T73" s="418">
        <f>(H73/Population_Tables!U47)*Population_Tables!I106</f>
        <v>0</v>
      </c>
      <c r="U73" s="418">
        <f>(I73/Population_Tables!V47)*Population_Tables!J106</f>
        <v>0</v>
      </c>
      <c r="V73" s="418">
        <f>(J73/Population_Tables!W47)*Population_Tables!K106</f>
        <v>0</v>
      </c>
      <c r="W73" s="418">
        <f>(K73/Population_Tables!X47)*Population_Tables!L106</f>
        <v>0</v>
      </c>
      <c r="Y73" s="456">
        <v>2058</v>
      </c>
      <c r="Z73" s="459">
        <f>((B73/Population_Tables!O47)*Population_Tables!C47)-N73</f>
        <v>5080.661586334104</v>
      </c>
      <c r="AA73" s="459">
        <f>((C73/Population_Tables!P47)*Population_Tables!D47)-O73</f>
        <v>1860.9382744716852</v>
      </c>
      <c r="AB73" s="459">
        <f>((D73/Population_Tables!Q47)*Population_Tables!E47)-P73</f>
        <v>687.23017902233346</v>
      </c>
      <c r="AC73" s="459">
        <f>((E73/Population_Tables!R47)*Population_Tables!F47)-Q73</f>
        <v>1570.3928249137311</v>
      </c>
      <c r="AD73" s="459">
        <f>((F73/Population_Tables!S47)*Population_Tables!G47)-R73</f>
        <v>252.0153623440325</v>
      </c>
      <c r="AE73" s="459">
        <f>((G73/Population_Tables!T47)*Population_Tables!H47)-S73</f>
        <v>424.95580982389276</v>
      </c>
      <c r="AF73" s="459">
        <f>(H73/Population_Tables!U47)*Population_Tables!I47</f>
        <v>1005.8922580611569</v>
      </c>
      <c r="AG73" s="459">
        <f>(I73/Population_Tables!V47)*Population_Tables!J47</f>
        <v>515.75268831311655</v>
      </c>
      <c r="AH73" s="459">
        <f>(J73/Population_Tables!W47)*Population_Tables!K47</f>
        <v>696.47488319368608</v>
      </c>
      <c r="AI73" s="459">
        <f>(K73/Population_Tables!X47)*Population_Tables!L47</f>
        <v>764.71944179880609</v>
      </c>
      <c r="AK73" s="456">
        <v>2058</v>
      </c>
      <c r="AL73" s="459">
        <f t="shared" si="8"/>
        <v>6523.1957742428413</v>
      </c>
      <c r="AM73" s="459">
        <f t="shared" si="8"/>
        <v>1860.9382744716852</v>
      </c>
      <c r="AN73" s="459">
        <f t="shared" si="8"/>
        <v>687.23017902233346</v>
      </c>
      <c r="AO73" s="459">
        <f t="shared" si="8"/>
        <v>2381.1019712854086</v>
      </c>
      <c r="AP73" s="459">
        <f t="shared" si="8"/>
        <v>699.20827233246723</v>
      </c>
      <c r="AQ73" s="459">
        <f t="shared" si="8"/>
        <v>609.58794137251766</v>
      </c>
      <c r="AR73" s="459">
        <f t="shared" si="8"/>
        <v>1005.8922580611569</v>
      </c>
      <c r="AS73" s="459">
        <f t="shared" si="8"/>
        <v>515.75268831311655</v>
      </c>
      <c r="AT73" s="459">
        <f t="shared" si="8"/>
        <v>696.47488319368608</v>
      </c>
      <c r="AU73" s="459">
        <f t="shared" si="8"/>
        <v>764.71944179880609</v>
      </c>
      <c r="AW73" s="216">
        <f>(B73/Population_Tables!O47)*Population_Tables!C47</f>
        <v>6523.1957742428413</v>
      </c>
      <c r="AX73" s="153" t="str">
        <f t="shared" si="7"/>
        <v>OK</v>
      </c>
      <c r="AY73" s="421">
        <f t="shared" si="4"/>
        <v>6238.0666384844126</v>
      </c>
      <c r="AZ73" s="153" t="str">
        <f t="shared" si="5"/>
        <v>OK</v>
      </c>
      <c r="BB73" s="216">
        <f>(C73/Population_Tables!P47)*Population_Tables!D47</f>
        <v>1860.9382744716852</v>
      </c>
      <c r="BC73" s="216">
        <f>(D73/Population_Tables!Q47)*Population_Tables!E47</f>
        <v>687.23017902233346</v>
      </c>
      <c r="BD73" s="216">
        <f>(E73/Population_Tables!R47)*Population_Tables!F47</f>
        <v>2381.1019712854086</v>
      </c>
      <c r="BE73" s="216">
        <f>(F73/Population_Tables!S47)*Population_Tables!G47</f>
        <v>699.20827233246723</v>
      </c>
      <c r="BF73" s="216">
        <f>(G73/Population_Tables!T47)*Population_Tables!H47</f>
        <v>609.58794137251766</v>
      </c>
      <c r="BG73" s="216"/>
      <c r="BN73" s="216"/>
      <c r="BO73" s="216"/>
      <c r="BP73" s="216"/>
    </row>
    <row r="74" spans="1:68" ht="15.6" x14ac:dyDescent="0.3">
      <c r="A74" s="194">
        <v>2059</v>
      </c>
      <c r="B74" s="229">
        <v>5781.6594690565689</v>
      </c>
      <c r="C74" s="229">
        <v>1682.4502637346286</v>
      </c>
      <c r="D74" s="229">
        <v>614.19673150668314</v>
      </c>
      <c r="E74" s="229">
        <v>2119.3298557162652</v>
      </c>
      <c r="F74" s="229">
        <v>633.43713303016489</v>
      </c>
      <c r="G74" s="229">
        <v>530.31185956017896</v>
      </c>
      <c r="H74" s="229">
        <v>903.58601693149592</v>
      </c>
      <c r="I74" s="229">
        <v>455.74431204391976</v>
      </c>
      <c r="J74" s="229">
        <v>629.97196385092093</v>
      </c>
      <c r="K74" s="229">
        <v>686.79025782505062</v>
      </c>
      <c r="M74" s="194">
        <v>2059</v>
      </c>
      <c r="N74" s="419">
        <f t="shared" si="2"/>
        <v>1482.4075068800753</v>
      </c>
      <c r="O74" s="418">
        <f>(C74/Population_Tables!P48)*Population_Tables!D107</f>
        <v>0</v>
      </c>
      <c r="P74" s="418">
        <f>(D74/Population_Tables!Q48)*Population_Tables!E107</f>
        <v>0</v>
      </c>
      <c r="Q74" s="418">
        <f>((E74-H74)/Population_Tables!R48)*Population_Tables!F107</f>
        <v>838.89036621610228</v>
      </c>
      <c r="R74" s="418">
        <f>(F74/Population_Tables!S48)*Population_Tables!G107</f>
        <v>455.97866327495939</v>
      </c>
      <c r="S74" s="418">
        <f>(G74/Population_Tables!T48)*Population_Tables!H107</f>
        <v>187.53847738901365</v>
      </c>
      <c r="T74" s="418">
        <f>(H74/Population_Tables!U48)*Population_Tables!I107</f>
        <v>0</v>
      </c>
      <c r="U74" s="418">
        <f>(I74/Population_Tables!V48)*Population_Tables!J107</f>
        <v>0</v>
      </c>
      <c r="V74" s="418">
        <f>(J74/Population_Tables!W48)*Population_Tables!K107</f>
        <v>0</v>
      </c>
      <c r="W74" s="418">
        <f>(K74/Population_Tables!X48)*Population_Tables!L107</f>
        <v>0</v>
      </c>
      <c r="Y74" s="456">
        <v>2059</v>
      </c>
      <c r="Z74" s="459">
        <f>((B74/Population_Tables!O48)*Population_Tables!C48)-N74</f>
        <v>5081.717423788119</v>
      </c>
      <c r="AA74" s="459">
        <f>((C74/Population_Tables!P48)*Population_Tables!D48)-O74</f>
        <v>1871.8979355043218</v>
      </c>
      <c r="AB74" s="459">
        <f>((D74/Population_Tables!Q48)*Population_Tables!E48)-P74</f>
        <v>692.40804896026748</v>
      </c>
      <c r="AC74" s="459">
        <f>((E74/Population_Tables!R48)*Population_Tables!F48)-Q74</f>
        <v>1586.0839436240562</v>
      </c>
      <c r="AD74" s="459">
        <f>((F74/Population_Tables!S48)*Population_Tables!G48)-R74</f>
        <v>255.79001243217425</v>
      </c>
      <c r="AE74" s="459">
        <f>((G74/Population_Tables!T48)*Population_Tables!H48)-S74</f>
        <v>429.78752175550699</v>
      </c>
      <c r="AF74" s="459">
        <f>(H74/Population_Tables!U48)*Population_Tables!I48</f>
        <v>1007.1761609816321</v>
      </c>
      <c r="AG74" s="459">
        <f>(I74/Population_Tables!V48)*Population_Tables!J48</f>
        <v>520.4580045264496</v>
      </c>
      <c r="AH74" s="459">
        <f>(J74/Population_Tables!W48)*Population_Tables!K48</f>
        <v>700.09420423023596</v>
      </c>
      <c r="AI74" s="459">
        <f>(K74/Population_Tables!X48)*Population_Tables!L48</f>
        <v>770.33251096765434</v>
      </c>
      <c r="AK74" s="456">
        <v>2059</v>
      </c>
      <c r="AL74" s="459">
        <f t="shared" si="8"/>
        <v>6564.1249306681948</v>
      </c>
      <c r="AM74" s="459">
        <f t="shared" si="8"/>
        <v>1871.8979355043218</v>
      </c>
      <c r="AN74" s="459">
        <f t="shared" si="8"/>
        <v>692.40804896026748</v>
      </c>
      <c r="AO74" s="459">
        <f t="shared" si="8"/>
        <v>2424.9743098401586</v>
      </c>
      <c r="AP74" s="459">
        <f t="shared" si="8"/>
        <v>711.76867570713364</v>
      </c>
      <c r="AQ74" s="459">
        <f t="shared" si="8"/>
        <v>617.32599914452067</v>
      </c>
      <c r="AR74" s="459">
        <f t="shared" si="8"/>
        <v>1007.1761609816321</v>
      </c>
      <c r="AS74" s="459">
        <f t="shared" si="8"/>
        <v>520.4580045264496</v>
      </c>
      <c r="AT74" s="459">
        <f t="shared" si="8"/>
        <v>700.09420423023596</v>
      </c>
      <c r="AU74" s="459">
        <f t="shared" si="8"/>
        <v>770.33251096765434</v>
      </c>
      <c r="AW74" s="216">
        <f>(B74/Population_Tables!O48)*Population_Tables!C48</f>
        <v>6564.1249306681948</v>
      </c>
      <c r="AX74" s="153" t="str">
        <f t="shared" si="7"/>
        <v>OK</v>
      </c>
      <c r="AY74" s="421">
        <f t="shared" si="4"/>
        <v>6318.3749691564026</v>
      </c>
      <c r="AZ74" s="153" t="str">
        <f t="shared" si="5"/>
        <v>OK</v>
      </c>
      <c r="BB74" s="216">
        <f>(C74/Population_Tables!P48)*Population_Tables!D48</f>
        <v>1871.8979355043218</v>
      </c>
      <c r="BC74" s="216">
        <f>(D74/Population_Tables!Q48)*Population_Tables!E48</f>
        <v>692.40804896026748</v>
      </c>
      <c r="BD74" s="216">
        <f>(E74/Population_Tables!R48)*Population_Tables!F48</f>
        <v>2424.9743098401586</v>
      </c>
      <c r="BE74" s="216">
        <f>(F74/Population_Tables!S48)*Population_Tables!G48</f>
        <v>711.76867570713364</v>
      </c>
      <c r="BF74" s="216">
        <f>(G74/Population_Tables!T48)*Population_Tables!H48</f>
        <v>617.32599914452067</v>
      </c>
      <c r="BG74" s="216"/>
      <c r="BN74" s="216"/>
      <c r="BO74" s="216"/>
      <c r="BP74" s="216"/>
    </row>
    <row r="75" spans="1:68" ht="15.6" x14ac:dyDescent="0.3">
      <c r="A75" s="194">
        <v>2060</v>
      </c>
      <c r="B75" s="229">
        <v>5789.9442761124883</v>
      </c>
      <c r="C75" s="229">
        <v>1685.9073341618341</v>
      </c>
      <c r="D75" s="229">
        <v>615.8623145101775</v>
      </c>
      <c r="E75" s="229">
        <v>2146.6418558133259</v>
      </c>
      <c r="F75" s="229">
        <v>642.0521380175112</v>
      </c>
      <c r="G75" s="229">
        <v>533.99493994000318</v>
      </c>
      <c r="H75" s="229">
        <v>900.54363197184489</v>
      </c>
      <c r="I75" s="229">
        <v>457.66998186506089</v>
      </c>
      <c r="J75" s="229">
        <v>630.76212216778606</v>
      </c>
      <c r="K75" s="229">
        <v>689.08091938884172</v>
      </c>
      <c r="M75" s="194">
        <v>2060</v>
      </c>
      <c r="N75" s="419">
        <f t="shared" si="2"/>
        <v>1523.1435375950509</v>
      </c>
      <c r="O75" s="418">
        <f>(C75/Population_Tables!P49)*Population_Tables!D108</f>
        <v>0</v>
      </c>
      <c r="P75" s="418">
        <f>(D75/Population_Tables!Q49)*Population_Tables!E108</f>
        <v>0</v>
      </c>
      <c r="Q75" s="418">
        <f>((E75-H75)/Population_Tables!R49)*Population_Tables!F108</f>
        <v>867.79478830741073</v>
      </c>
      <c r="R75" s="418">
        <f>(F75/Population_Tables!S49)*Population_Tables!G108</f>
        <v>464.86683410474387</v>
      </c>
      <c r="S75" s="418">
        <f>(G75/Population_Tables!T49)*Population_Tables!H108</f>
        <v>190.48191518289639</v>
      </c>
      <c r="T75" s="418">
        <f>(H75/Population_Tables!U49)*Population_Tables!I108</f>
        <v>0</v>
      </c>
      <c r="U75" s="418">
        <f>(I75/Population_Tables!V49)*Population_Tables!J108</f>
        <v>0</v>
      </c>
      <c r="V75" s="418">
        <f>(J75/Population_Tables!W49)*Population_Tables!K108</f>
        <v>0</v>
      </c>
      <c r="W75" s="418">
        <f>(K75/Population_Tables!X49)*Population_Tables!L108</f>
        <v>0</v>
      </c>
      <c r="Y75" s="456">
        <v>2060</v>
      </c>
      <c r="Z75" s="459">
        <f>((B75/Population_Tables!O49)*Population_Tables!C49)-N75</f>
        <v>5082.1125882878878</v>
      </c>
      <c r="AA75" s="459">
        <f>((C75/Population_Tables!P49)*Population_Tables!D49)-O75</f>
        <v>1883.3140274186474</v>
      </c>
      <c r="AB75" s="459">
        <f>((D75/Population_Tables!Q49)*Population_Tables!E49)-P75</f>
        <v>697.67377270369138</v>
      </c>
      <c r="AC75" s="459">
        <f>((E75/Population_Tables!R49)*Population_Tables!F49)-Q75</f>
        <v>1601.7126500155491</v>
      </c>
      <c r="AD75" s="459">
        <f>((F75/Population_Tables!S49)*Population_Tables!G49)-R75</f>
        <v>259.6019511004709</v>
      </c>
      <c r="AE75" s="459">
        <f>((G75/Population_Tables!T49)*Population_Tables!H49)-S75</f>
        <v>434.65526313062117</v>
      </c>
      <c r="AF75" s="459">
        <f>(H75/Population_Tables!U49)*Population_Tables!I49</f>
        <v>1008.2217540395815</v>
      </c>
      <c r="AG75" s="459">
        <f>(I75/Population_Tables!V49)*Population_Tables!J49</f>
        <v>525.45831883728943</v>
      </c>
      <c r="AH75" s="459">
        <f>(J75/Population_Tables!W49)*Population_Tables!K49</f>
        <v>703.90440250351298</v>
      </c>
      <c r="AI75" s="459">
        <f>(K75/Population_Tables!X49)*Population_Tables!L49</f>
        <v>776.16644590743681</v>
      </c>
      <c r="AK75" s="456">
        <v>2060</v>
      </c>
      <c r="AL75" s="459">
        <f t="shared" si="8"/>
        <v>6605.2561258829392</v>
      </c>
      <c r="AM75" s="459">
        <f t="shared" si="8"/>
        <v>1883.3140274186474</v>
      </c>
      <c r="AN75" s="459">
        <f t="shared" si="8"/>
        <v>697.67377270369138</v>
      </c>
      <c r="AO75" s="459">
        <f t="shared" si="8"/>
        <v>2469.5074383229598</v>
      </c>
      <c r="AP75" s="459">
        <f t="shared" si="8"/>
        <v>724.46878520521477</v>
      </c>
      <c r="AQ75" s="459">
        <f t="shared" si="8"/>
        <v>625.13717831351755</v>
      </c>
      <c r="AR75" s="459">
        <f t="shared" si="8"/>
        <v>1008.2217540395815</v>
      </c>
      <c r="AS75" s="459">
        <f t="shared" si="8"/>
        <v>525.45831883728943</v>
      </c>
      <c r="AT75" s="459">
        <f t="shared" si="8"/>
        <v>703.90440250351298</v>
      </c>
      <c r="AU75" s="459">
        <f t="shared" si="8"/>
        <v>776.16644590743681</v>
      </c>
      <c r="AW75" s="216">
        <f>(B75/Population_Tables!O49)*Population_Tables!C49</f>
        <v>6605.2561258829382</v>
      </c>
      <c r="AX75" s="153" t="b">
        <f t="shared" si="7"/>
        <v>0</v>
      </c>
      <c r="AY75" s="421">
        <f t="shared" si="4"/>
        <v>6400.1012019640311</v>
      </c>
      <c r="AZ75" s="153" t="str">
        <f t="shared" si="5"/>
        <v>OK</v>
      </c>
      <c r="BB75" s="216">
        <f>(C75/Population_Tables!P49)*Population_Tables!D49</f>
        <v>1883.3140274186474</v>
      </c>
      <c r="BC75" s="216">
        <f>(D75/Population_Tables!Q49)*Population_Tables!E49</f>
        <v>697.67377270369138</v>
      </c>
      <c r="BD75" s="216">
        <f>(E75/Population_Tables!R49)*Population_Tables!F49</f>
        <v>2469.5074383229598</v>
      </c>
      <c r="BE75" s="216">
        <f>(F75/Population_Tables!S49)*Population_Tables!G49</f>
        <v>724.46878520521477</v>
      </c>
      <c r="BF75" s="216">
        <f>(G75/Population_Tables!T49)*Population_Tables!H49</f>
        <v>625.13717831351755</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Water Heating by Economic Development Status (TWh Therms)</v>
      </c>
      <c r="B78" s="644"/>
      <c r="C78" s="644"/>
      <c r="D78" s="644"/>
      <c r="E78" s="644"/>
      <c r="F78" s="645"/>
      <c r="H78" s="650" t="str">
        <f>CONCATENATE("Table 5: Total REF1 ",C1," by Economic Development Status ",D1)</f>
        <v>Table 5: Total REF1 Water Heating by Economic Development Status (TWh Therms)</v>
      </c>
      <c r="I78" s="651"/>
      <c r="J78" s="651"/>
      <c r="K78" s="651"/>
      <c r="L78" s="651"/>
      <c r="M78" s="651"/>
      <c r="N78" s="651"/>
      <c r="O78" s="651"/>
      <c r="P78" s="651"/>
      <c r="Q78" s="651"/>
      <c r="R78" s="651"/>
      <c r="S78" s="651"/>
      <c r="T78" s="652"/>
      <c r="W78" s="653" t="str">
        <f>CONCATENATE("Table 6: Change in ",C1," by MDC vs. LLDC Regions, REF1-REF2 ",D1)</f>
        <v>Table 6: Change in Water Heating by MDC vs. LLDC Regions, REF1-REF2 (TWh Therms)</v>
      </c>
      <c r="X78" s="654"/>
      <c r="Y78" s="654"/>
      <c r="Z78" s="654"/>
      <c r="AA78" s="654"/>
      <c r="AB78" s="654"/>
      <c r="AC78" s="654"/>
      <c r="AD78" s="655"/>
    </row>
    <row r="79" spans="1:68" ht="105" customHeight="1" x14ac:dyDescent="0.25">
      <c r="A79" s="213"/>
      <c r="B79" s="529" t="s">
        <v>368</v>
      </c>
      <c r="C79" s="463" t="s">
        <v>10</v>
      </c>
      <c r="D79" s="463" t="s">
        <v>514</v>
      </c>
      <c r="E79" s="463" t="str">
        <f>Q79</f>
        <v>Total Water Heating Demand in Countries with Higher Educational Attainment (TWh)</v>
      </c>
      <c r="F79" s="463" t="str">
        <f>R79</f>
        <v xml:space="preserve"> --&gt; % LLDC</v>
      </c>
      <c r="H79" s="472"/>
      <c r="I79" s="473" t="s">
        <v>488</v>
      </c>
      <c r="J79" s="473" t="s">
        <v>490</v>
      </c>
      <c r="K79" s="473" t="s">
        <v>10</v>
      </c>
      <c r="L79" s="473" t="s">
        <v>489</v>
      </c>
      <c r="M79" s="473" t="s">
        <v>475</v>
      </c>
      <c r="O79" s="473" t="s">
        <v>619</v>
      </c>
      <c r="P79" s="473" t="s">
        <v>502</v>
      </c>
      <c r="Q79" s="473" t="s">
        <v>618</v>
      </c>
      <c r="R79" s="473" t="s">
        <v>502</v>
      </c>
      <c r="S79" s="473" t="s">
        <v>617</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497.48405315872014</v>
      </c>
      <c r="C80" s="195">
        <f t="shared" ref="C80:C126" si="9">H29</f>
        <v>738.30060628367983</v>
      </c>
      <c r="D80" s="195">
        <f t="shared" ref="D80:D126" si="10">SUMIF($AA$27:$AE$27,"N",C29:G29)-(IF($AC$27="N",H29))</f>
        <v>2391.6813655921728</v>
      </c>
      <c r="E80" s="195">
        <f t="shared" ref="E80:E126" si="11">B80+D80+C80</f>
        <v>3627.4660250345728</v>
      </c>
      <c r="F80" s="196">
        <f t="shared" ref="F80:F126" si="12">B80/E80</f>
        <v>0.13714368369693516</v>
      </c>
      <c r="H80" s="194">
        <v>2014</v>
      </c>
      <c r="I80" s="195">
        <f t="shared" ref="I80:I126" si="13">SUMIF($O$27:$S$27,"Y",O29:S29)-T29</f>
        <v>269.76622589683814</v>
      </c>
      <c r="J80" s="195">
        <f t="shared" ref="J80:J126" si="14">SUMIF($O$27:$S$27,"N",O29:S29)-(IF($Q$27="N",T29))</f>
        <v>85.541364806654158</v>
      </c>
      <c r="K80" s="195">
        <f t="shared" ref="K80:K126" si="15">AF29</f>
        <v>738.30060628367983</v>
      </c>
      <c r="L80" s="195">
        <f t="shared" ref="L80:L126" si="16">SUMIF($AA$27:$AE$27,"Y",AA29:AE29)-AF29</f>
        <v>227.7148037937518</v>
      </c>
      <c r="M80" s="195">
        <f t="shared" ref="M80:M126" si="17">SUMIF($AA$27:$AE$27,"N",AA29:AE29)-(IF($AC$27="N",AF29))</f>
        <v>2306.1400007855186</v>
      </c>
      <c r="O80" s="195">
        <f t="shared" ref="O80:O126" si="18">I80+J80</f>
        <v>355.30759070349228</v>
      </c>
      <c r="P80" s="196">
        <f t="shared" ref="P80:P126" si="19">I80/O80</f>
        <v>0.7592470100701022</v>
      </c>
      <c r="Q80" s="195">
        <f t="shared" ref="Q80:Q126" si="20">L80+M80+K80</f>
        <v>3272.1554108629502</v>
      </c>
      <c r="R80" s="196">
        <f t="shared" ref="R80:R126" si="21">L80/Q80</f>
        <v>6.9591683523887893E-2</v>
      </c>
      <c r="S80" s="464">
        <f t="shared" ref="S80:S126" si="22">Q80+O80</f>
        <v>3627.4630015664425</v>
      </c>
      <c r="T80" s="196">
        <f>O80/S80</f>
        <v>9.7949335541137231E-2</v>
      </c>
      <c r="W80" s="197">
        <v>0</v>
      </c>
      <c r="X80" s="195">
        <f t="shared" ref="X80:X126" si="23">K80-C80</f>
        <v>0</v>
      </c>
      <c r="Y80" s="197">
        <v>0</v>
      </c>
      <c r="Z80" s="195">
        <f>(Q80+O80)-E80</f>
        <v>-3.0234681303227262E-3</v>
      </c>
      <c r="AA80" s="196">
        <v>0</v>
      </c>
      <c r="AB80" s="196">
        <f t="shared" ref="AB80:AB126" si="24">(W80/Z80)*(I80/(L80+I80))</f>
        <v>0</v>
      </c>
      <c r="AC80" s="196">
        <f>W80/Z80</f>
        <v>0</v>
      </c>
      <c r="AD80" s="247">
        <f>(X80+Y80)/Z80</f>
        <v>0</v>
      </c>
      <c r="AF80" s="251">
        <f t="shared" ref="AF80:AF126" si="25">I80/(I80+L80)</f>
        <v>0.54226434737545703</v>
      </c>
      <c r="AG80" s="251">
        <f t="shared" ref="AG80:AG126" si="26">L80/(L80+I80)</f>
        <v>0.45773565262454291</v>
      </c>
    </row>
    <row r="81" spans="1:33" x14ac:dyDescent="0.25">
      <c r="A81" s="194">
        <v>2015</v>
      </c>
      <c r="B81" s="195">
        <f t="shared" ref="B81:B126" si="27">SUMIF($AA$27:$AE$27,"Y",C30:G30)-H30</f>
        <v>523.10207002586776</v>
      </c>
      <c r="C81" s="195">
        <f t="shared" si="9"/>
        <v>750.79728308202266</v>
      </c>
      <c r="D81" s="195">
        <f t="shared" si="10"/>
        <v>2409.1115410501739</v>
      </c>
      <c r="E81" s="195">
        <f t="shared" si="11"/>
        <v>3683.0108941580643</v>
      </c>
      <c r="F81" s="196">
        <f t="shared" si="12"/>
        <v>0.14203109495429522</v>
      </c>
      <c r="H81" s="194">
        <v>2015</v>
      </c>
      <c r="I81" s="195">
        <f t="shared" si="13"/>
        <v>284.22797078570795</v>
      </c>
      <c r="J81" s="195">
        <f t="shared" si="14"/>
        <v>87.45953370209368</v>
      </c>
      <c r="K81" s="195">
        <f t="shared" si="15"/>
        <v>750.79728308202266</v>
      </c>
      <c r="L81" s="195">
        <f t="shared" si="16"/>
        <v>238.87103230638422</v>
      </c>
      <c r="M81" s="195">
        <f t="shared" si="17"/>
        <v>2321.6520073480806</v>
      </c>
      <c r="O81" s="195">
        <f t="shared" si="18"/>
        <v>371.68750448780162</v>
      </c>
      <c r="P81" s="196">
        <f t="shared" si="19"/>
        <v>0.76469606148687741</v>
      </c>
      <c r="Q81" s="195">
        <f t="shared" si="20"/>
        <v>3311.3203227364875</v>
      </c>
      <c r="R81" s="196">
        <f t="shared" si="21"/>
        <v>7.2137700078795247E-2</v>
      </c>
      <c r="S81" s="464">
        <f t="shared" si="22"/>
        <v>3683.007827224289</v>
      </c>
      <c r="T81" s="196">
        <f t="shared" ref="T81:T126" si="28">O81/S81</f>
        <v>0.10091955323590097</v>
      </c>
      <c r="W81" s="197">
        <v>0</v>
      </c>
      <c r="X81" s="195">
        <f t="shared" si="23"/>
        <v>0</v>
      </c>
      <c r="Y81" s="197">
        <v>0</v>
      </c>
      <c r="Z81" s="195">
        <f>W81+X81+Y81</f>
        <v>0</v>
      </c>
      <c r="AA81" s="196">
        <v>0</v>
      </c>
      <c r="AB81" s="196" t="e">
        <f t="shared" si="24"/>
        <v>#DIV/0!</v>
      </c>
      <c r="AC81" s="196" t="e">
        <f>W81/Z81</f>
        <v>#DIV/0!</v>
      </c>
      <c r="AD81" s="247" t="e">
        <f t="shared" ref="AD81:AD126" si="29">(X81+Y81)/Z81</f>
        <v>#DIV/0!</v>
      </c>
      <c r="AF81" s="251">
        <f t="shared" si="25"/>
        <v>0.54335406702289069</v>
      </c>
      <c r="AG81" s="251">
        <f t="shared" si="26"/>
        <v>0.45664593297710931</v>
      </c>
    </row>
    <row r="82" spans="1:33" x14ac:dyDescent="0.25">
      <c r="A82" s="194">
        <v>2016</v>
      </c>
      <c r="B82" s="195">
        <f t="shared" si="27"/>
        <v>543.50467191542202</v>
      </c>
      <c r="C82" s="195">
        <f t="shared" si="9"/>
        <v>760.24316792267769</v>
      </c>
      <c r="D82" s="195">
        <f t="shared" si="10"/>
        <v>2422.9195394121443</v>
      </c>
      <c r="E82" s="195">
        <f t="shared" si="11"/>
        <v>3726.6673792502443</v>
      </c>
      <c r="F82" s="196">
        <f t="shared" si="12"/>
        <v>0.14584201287767407</v>
      </c>
      <c r="H82" s="194">
        <v>2016</v>
      </c>
      <c r="I82" s="195">
        <f t="shared" si="13"/>
        <v>296.02633819032542</v>
      </c>
      <c r="J82" s="195">
        <f t="shared" si="14"/>
        <v>89.109256110056563</v>
      </c>
      <c r="K82" s="195">
        <f t="shared" si="15"/>
        <v>760.24316792267757</v>
      </c>
      <c r="L82" s="195">
        <f t="shared" si="16"/>
        <v>247.47526931335256</v>
      </c>
      <c r="M82" s="195">
        <f t="shared" si="17"/>
        <v>2333.810283302088</v>
      </c>
      <c r="O82" s="195">
        <f t="shared" si="18"/>
        <v>385.13559430038197</v>
      </c>
      <c r="P82" s="196">
        <f t="shared" si="19"/>
        <v>0.76862887401532454</v>
      </c>
      <c r="Q82" s="195">
        <f t="shared" si="20"/>
        <v>3341.5287205381183</v>
      </c>
      <c r="R82" s="196">
        <f t="shared" si="21"/>
        <v>7.4060494465389259E-2</v>
      </c>
      <c r="S82" s="464">
        <f t="shared" si="22"/>
        <v>3726.6643148385001</v>
      </c>
      <c r="T82" s="196">
        <f t="shared" si="28"/>
        <v>0.10334593131098053</v>
      </c>
      <c r="W82" s="195">
        <f t="shared" ref="W82:W126" si="30">(L82+I82)-B82</f>
        <v>-3.0644117440488117E-3</v>
      </c>
      <c r="X82" s="195">
        <f t="shared" si="23"/>
        <v>0</v>
      </c>
      <c r="Y82" s="195">
        <f t="shared" ref="Y82:Y126" si="31">(M82+J82)-D82</f>
        <v>0</v>
      </c>
      <c r="Z82" s="195">
        <f>W82+X82+Y82</f>
        <v>-3.0644117440488117E-3</v>
      </c>
      <c r="AA82" s="196">
        <f>(W82/Z82)*(L82/(L82+I82))</f>
        <v>0.45533493534640163</v>
      </c>
      <c r="AB82" s="196">
        <f t="shared" si="24"/>
        <v>0.54466506465359843</v>
      </c>
      <c r="AC82" s="196">
        <f t="shared" ref="AC82:AC126" si="32">W82/Z82</f>
        <v>1</v>
      </c>
      <c r="AD82" s="247">
        <f t="shared" si="29"/>
        <v>0</v>
      </c>
      <c r="AF82" s="251">
        <f t="shared" si="25"/>
        <v>0.54466506465359843</v>
      </c>
      <c r="AG82" s="251">
        <f t="shared" si="26"/>
        <v>0.45533493534640163</v>
      </c>
    </row>
    <row r="83" spans="1:33" x14ac:dyDescent="0.25">
      <c r="A83" s="194">
        <v>2017</v>
      </c>
      <c r="B83" s="195">
        <f t="shared" si="27"/>
        <v>564.41766587917493</v>
      </c>
      <c r="C83" s="195">
        <f t="shared" si="9"/>
        <v>769.42240299989328</v>
      </c>
      <c r="D83" s="195">
        <f t="shared" si="10"/>
        <v>2436.3648925909174</v>
      </c>
      <c r="E83" s="195">
        <f t="shared" si="11"/>
        <v>3770.2049614699854</v>
      </c>
      <c r="F83" s="196">
        <f t="shared" si="12"/>
        <v>0.14970476980623121</v>
      </c>
      <c r="H83" s="194">
        <v>2017</v>
      </c>
      <c r="I83" s="195">
        <f t="shared" si="13"/>
        <v>308.13789330413897</v>
      </c>
      <c r="J83" s="195">
        <f t="shared" si="14"/>
        <v>90.75735884530576</v>
      </c>
      <c r="K83" s="195">
        <f t="shared" si="15"/>
        <v>769.42240299989328</v>
      </c>
      <c r="L83" s="195">
        <f t="shared" si="16"/>
        <v>256.27672170309972</v>
      </c>
      <c r="M83" s="195">
        <f t="shared" si="17"/>
        <v>2345.6075337456114</v>
      </c>
      <c r="O83" s="195">
        <f t="shared" si="18"/>
        <v>398.89525214944473</v>
      </c>
      <c r="P83" s="196">
        <f t="shared" si="19"/>
        <v>0.77247821738599232</v>
      </c>
      <c r="Q83" s="195">
        <f t="shared" si="20"/>
        <v>3371.3066584486041</v>
      </c>
      <c r="R83" s="196">
        <f t="shared" si="21"/>
        <v>7.6017030684782688E-2</v>
      </c>
      <c r="S83" s="464">
        <f t="shared" si="22"/>
        <v>3770.2019105980489</v>
      </c>
      <c r="T83" s="196">
        <f t="shared" si="28"/>
        <v>0.10580209272828306</v>
      </c>
      <c r="W83" s="195">
        <f t="shared" si="30"/>
        <v>-3.0508719362387637E-3</v>
      </c>
      <c r="X83" s="195">
        <f t="shared" si="23"/>
        <v>0</v>
      </c>
      <c r="Y83" s="195">
        <f t="shared" si="31"/>
        <v>0</v>
      </c>
      <c r="Z83" s="195">
        <f t="shared" ref="Z83:Z126" si="33">W83+X83+Y83</f>
        <v>-3.0508719362387637E-3</v>
      </c>
      <c r="AA83" s="196">
        <f t="shared" ref="AA83:AA126" si="34">(W83*(L83/(L83+I83)))/Z83</f>
        <v>0.45405755784657159</v>
      </c>
      <c r="AB83" s="196">
        <f t="shared" si="24"/>
        <v>0.54594244215342835</v>
      </c>
      <c r="AC83" s="196">
        <f t="shared" si="32"/>
        <v>1</v>
      </c>
      <c r="AD83" s="247">
        <f>(X83+Y83)/Z83</f>
        <v>0</v>
      </c>
      <c r="AF83" s="251">
        <f t="shared" si="25"/>
        <v>0.54594244215342835</v>
      </c>
      <c r="AG83" s="251">
        <f t="shared" si="26"/>
        <v>0.45405755784657159</v>
      </c>
    </row>
    <row r="84" spans="1:33" x14ac:dyDescent="0.25">
      <c r="A84" s="194">
        <v>2018</v>
      </c>
      <c r="B84" s="195">
        <f t="shared" si="27"/>
        <v>585.83693937684131</v>
      </c>
      <c r="C84" s="195">
        <f t="shared" si="9"/>
        <v>778.33418949738063</v>
      </c>
      <c r="D84" s="195">
        <f t="shared" si="10"/>
        <v>2449.4591799982363</v>
      </c>
      <c r="E84" s="195">
        <f t="shared" si="11"/>
        <v>3813.630308872458</v>
      </c>
      <c r="F84" s="196">
        <f t="shared" si="12"/>
        <v>0.15361660463361759</v>
      </c>
      <c r="H84" s="194">
        <v>2018</v>
      </c>
      <c r="I84" s="195">
        <f t="shared" si="13"/>
        <v>320.56399373532838</v>
      </c>
      <c r="J84" s="195">
        <f t="shared" si="14"/>
        <v>92.401626135195059</v>
      </c>
      <c r="K84" s="195">
        <f t="shared" si="15"/>
        <v>778.33418949738063</v>
      </c>
      <c r="L84" s="195">
        <f t="shared" si="16"/>
        <v>265.2699188192247</v>
      </c>
      <c r="M84" s="195">
        <f t="shared" si="17"/>
        <v>2357.057553863041</v>
      </c>
      <c r="O84" s="195">
        <f t="shared" si="18"/>
        <v>412.96561987052343</v>
      </c>
      <c r="P84" s="196">
        <f t="shared" si="19"/>
        <v>0.77624862291401975</v>
      </c>
      <c r="Q84" s="195">
        <f t="shared" si="20"/>
        <v>3400.6616621796461</v>
      </c>
      <c r="R84" s="196">
        <f t="shared" si="21"/>
        <v>7.8005384002006406E-2</v>
      </c>
      <c r="S84" s="464">
        <f t="shared" si="22"/>
        <v>3813.6272820501695</v>
      </c>
      <c r="T84" s="196">
        <f t="shared" si="28"/>
        <v>0.10828683280462506</v>
      </c>
      <c r="W84" s="195">
        <f t="shared" si="30"/>
        <v>-3.0268222882341433E-3</v>
      </c>
      <c r="X84" s="195">
        <f t="shared" si="23"/>
        <v>0</v>
      </c>
      <c r="Y84" s="195">
        <f t="shared" si="31"/>
        <v>0</v>
      </c>
      <c r="Z84" s="195">
        <f t="shared" si="33"/>
        <v>-3.0268222882341433E-3</v>
      </c>
      <c r="AA84" s="196">
        <f t="shared" si="34"/>
        <v>0.45280737959075162</v>
      </c>
      <c r="AB84" s="196">
        <f t="shared" si="24"/>
        <v>0.54719262040924843</v>
      </c>
      <c r="AC84" s="196">
        <f>W84/Z84</f>
        <v>1</v>
      </c>
      <c r="AD84" s="247">
        <f t="shared" si="29"/>
        <v>0</v>
      </c>
      <c r="AF84" s="251">
        <f t="shared" si="25"/>
        <v>0.54719262040924843</v>
      </c>
      <c r="AG84" s="251">
        <f t="shared" si="26"/>
        <v>0.45280737959075162</v>
      </c>
    </row>
    <row r="85" spans="1:33" ht="13.8" thickBot="1" x14ac:dyDescent="0.3">
      <c r="A85" s="198">
        <v>2019</v>
      </c>
      <c r="B85" s="195">
        <f t="shared" si="27"/>
        <v>607.75837986813508</v>
      </c>
      <c r="C85" s="195">
        <f t="shared" si="9"/>
        <v>786.9777285988514</v>
      </c>
      <c r="D85" s="195">
        <f t="shared" si="10"/>
        <v>2462.2139810458448</v>
      </c>
      <c r="E85" s="195">
        <f t="shared" si="11"/>
        <v>3856.9500895128313</v>
      </c>
      <c r="F85" s="199">
        <f t="shared" si="12"/>
        <v>0.15757486245949856</v>
      </c>
      <c r="H85" s="198">
        <v>2019</v>
      </c>
      <c r="I85" s="195">
        <f t="shared" si="13"/>
        <v>333.30934459649183</v>
      </c>
      <c r="J85" s="195">
        <f t="shared" si="14"/>
        <v>94.039058564334383</v>
      </c>
      <c r="K85" s="195">
        <f t="shared" si="15"/>
        <v>786.97772859885151</v>
      </c>
      <c r="L85" s="195">
        <f t="shared" si="16"/>
        <v>274.44602719096531</v>
      </c>
      <c r="M85" s="195">
        <f t="shared" si="17"/>
        <v>2368.1749224815103</v>
      </c>
      <c r="O85" s="195">
        <f t="shared" si="18"/>
        <v>427.34840316082619</v>
      </c>
      <c r="P85" s="199">
        <f t="shared" si="19"/>
        <v>0.77994756065826654</v>
      </c>
      <c r="Q85" s="195">
        <f t="shared" si="20"/>
        <v>3429.5986782713271</v>
      </c>
      <c r="R85" s="199">
        <f t="shared" si="21"/>
        <v>8.0022781945232879E-2</v>
      </c>
      <c r="S85" s="464">
        <f t="shared" si="22"/>
        <v>3856.9470814321535</v>
      </c>
      <c r="T85" s="196">
        <f t="shared" si="28"/>
        <v>0.11079965427011876</v>
      </c>
      <c r="W85" s="195">
        <f t="shared" si="30"/>
        <v>-3.0080806780006242E-3</v>
      </c>
      <c r="X85" s="195">
        <f t="shared" si="23"/>
        <v>0</v>
      </c>
      <c r="Y85" s="195">
        <f t="shared" si="31"/>
        <v>0</v>
      </c>
      <c r="Z85" s="195">
        <f t="shared" si="33"/>
        <v>-3.0080806780006242E-3</v>
      </c>
      <c r="AA85" s="196">
        <f t="shared" si="34"/>
        <v>0.45157318212391545</v>
      </c>
      <c r="AB85" s="196">
        <f t="shared" si="24"/>
        <v>0.5484268178760846</v>
      </c>
      <c r="AC85" s="196">
        <f t="shared" si="32"/>
        <v>1</v>
      </c>
      <c r="AD85" s="247">
        <f t="shared" si="29"/>
        <v>0</v>
      </c>
      <c r="AF85" s="251">
        <f t="shared" si="25"/>
        <v>0.5484268178760846</v>
      </c>
      <c r="AG85" s="251">
        <f t="shared" si="26"/>
        <v>0.45157318212391545</v>
      </c>
    </row>
    <row r="86" spans="1:33" x14ac:dyDescent="0.25">
      <c r="A86" s="201">
        <v>2020</v>
      </c>
      <c r="B86" s="195">
        <f t="shared" si="27"/>
        <v>630.17787481277048</v>
      </c>
      <c r="C86" s="195">
        <f t="shared" si="9"/>
        <v>795.35222148801688</v>
      </c>
      <c r="D86" s="195">
        <f t="shared" si="10"/>
        <v>2474.6408751454856</v>
      </c>
      <c r="E86" s="195">
        <f t="shared" si="11"/>
        <v>3900.1709714462727</v>
      </c>
      <c r="F86" s="220">
        <f t="shared" si="12"/>
        <v>0.16157698711835858</v>
      </c>
      <c r="H86" s="201">
        <v>2020</v>
      </c>
      <c r="I86" s="195">
        <f t="shared" si="13"/>
        <v>346.3794226692782</v>
      </c>
      <c r="J86" s="195">
        <f t="shared" si="14"/>
        <v>95.667472478803489</v>
      </c>
      <c r="K86" s="195">
        <f t="shared" si="15"/>
        <v>795.35222148801677</v>
      </c>
      <c r="L86" s="195">
        <f t="shared" si="16"/>
        <v>283.79545637297292</v>
      </c>
      <c r="M86" s="195">
        <f t="shared" si="17"/>
        <v>2378.973402666682</v>
      </c>
      <c r="O86" s="195">
        <f t="shared" si="18"/>
        <v>442.04689514808172</v>
      </c>
      <c r="P86" s="203">
        <f t="shared" si="19"/>
        <v>0.78358071614380242</v>
      </c>
      <c r="Q86" s="195">
        <f t="shared" si="20"/>
        <v>3458.1210805276714</v>
      </c>
      <c r="R86" s="203">
        <f t="shared" si="21"/>
        <v>8.2066373549207497E-2</v>
      </c>
      <c r="S86" s="464">
        <f t="shared" si="22"/>
        <v>3900.167975675753</v>
      </c>
      <c r="T86" s="196">
        <f t="shared" si="28"/>
        <v>0.11334047607821085</v>
      </c>
      <c r="W86" s="195">
        <f t="shared" si="30"/>
        <v>-2.9957705193055517E-3</v>
      </c>
      <c r="X86" s="195">
        <f t="shared" si="23"/>
        <v>0</v>
      </c>
      <c r="Y86" s="195">
        <f t="shared" si="31"/>
        <v>0</v>
      </c>
      <c r="Z86" s="195">
        <f t="shared" si="33"/>
        <v>-2.9957705193055517E-3</v>
      </c>
      <c r="AA86" s="196">
        <f t="shared" si="34"/>
        <v>0.45034396928720694</v>
      </c>
      <c r="AB86" s="196">
        <f t="shared" si="24"/>
        <v>0.54965603071279301</v>
      </c>
      <c r="AC86" s="196">
        <f t="shared" si="32"/>
        <v>1</v>
      </c>
      <c r="AD86" s="247">
        <f t="shared" si="29"/>
        <v>0</v>
      </c>
      <c r="AF86" s="251">
        <f t="shared" si="25"/>
        <v>0.54965603071279301</v>
      </c>
      <c r="AG86" s="251">
        <f t="shared" si="26"/>
        <v>0.45034396928720694</v>
      </c>
    </row>
    <row r="87" spans="1:33" x14ac:dyDescent="0.25">
      <c r="A87" s="206">
        <v>2021</v>
      </c>
      <c r="B87" s="195">
        <f t="shared" si="27"/>
        <v>653.09131167046223</v>
      </c>
      <c r="C87" s="195">
        <f t="shared" si="9"/>
        <v>803.45686934858861</v>
      </c>
      <c r="D87" s="195">
        <f t="shared" si="10"/>
        <v>2486.7514417089028</v>
      </c>
      <c r="E87" s="195">
        <f t="shared" si="11"/>
        <v>3943.2996227279536</v>
      </c>
      <c r="F87" s="221">
        <f t="shared" si="12"/>
        <v>0.16562051432922997</v>
      </c>
      <c r="H87" s="206">
        <v>2021</v>
      </c>
      <c r="I87" s="195">
        <f t="shared" si="13"/>
        <v>360.27324918544912</v>
      </c>
      <c r="J87" s="195">
        <f t="shared" si="14"/>
        <v>97.505933440406167</v>
      </c>
      <c r="K87" s="195">
        <f t="shared" si="15"/>
        <v>804.2999803757366</v>
      </c>
      <c r="L87" s="195">
        <f t="shared" si="16"/>
        <v>293.76100236369166</v>
      </c>
      <c r="M87" s="195">
        <f t="shared" si="17"/>
        <v>2392.2128184362955</v>
      </c>
      <c r="O87" s="195">
        <f t="shared" si="18"/>
        <v>457.7791826258553</v>
      </c>
      <c r="P87" s="196">
        <f t="shared" si="19"/>
        <v>0.78700225536446433</v>
      </c>
      <c r="Q87" s="195">
        <f t="shared" si="20"/>
        <v>3490.2738011757237</v>
      </c>
      <c r="R87" s="196">
        <f t="shared" si="21"/>
        <v>8.4165603931913927E-2</v>
      </c>
      <c r="S87" s="464">
        <f t="shared" si="22"/>
        <v>3948.0529838015791</v>
      </c>
      <c r="T87" s="196">
        <f t="shared" si="28"/>
        <v>0.11595061781188656</v>
      </c>
      <c r="W87" s="195">
        <f t="shared" si="30"/>
        <v>0.94293987867854412</v>
      </c>
      <c r="X87" s="195">
        <f t="shared" si="23"/>
        <v>0.8431110271479838</v>
      </c>
      <c r="Y87" s="195">
        <f t="shared" si="31"/>
        <v>2.9673101677990417</v>
      </c>
      <c r="Z87" s="195">
        <f t="shared" si="33"/>
        <v>4.7533610736255696</v>
      </c>
      <c r="AA87" s="196">
        <f t="shared" si="34"/>
        <v>8.9099824081674966E-2</v>
      </c>
      <c r="AB87" s="196">
        <f t="shared" si="24"/>
        <v>0.10927346674837089</v>
      </c>
      <c r="AC87" s="196">
        <f t="shared" si="32"/>
        <v>0.19837329083004585</v>
      </c>
      <c r="AD87" s="247">
        <f t="shared" si="29"/>
        <v>0.80162670916995415</v>
      </c>
      <c r="AF87" s="251">
        <f t="shared" si="25"/>
        <v>0.55084767859192163</v>
      </c>
      <c r="AG87" s="251">
        <f t="shared" si="26"/>
        <v>0.44915232140807837</v>
      </c>
    </row>
    <row r="88" spans="1:33" x14ac:dyDescent="0.25">
      <c r="A88" s="206">
        <v>2022</v>
      </c>
      <c r="B88" s="195">
        <f t="shared" si="27"/>
        <v>676.4945779009247</v>
      </c>
      <c r="C88" s="195">
        <f t="shared" si="9"/>
        <v>811.29087336427801</v>
      </c>
      <c r="D88" s="195">
        <f t="shared" si="10"/>
        <v>2498.5572601478398</v>
      </c>
      <c r="E88" s="195">
        <f t="shared" si="11"/>
        <v>3986.3427114130427</v>
      </c>
      <c r="F88" s="221">
        <f t="shared" si="12"/>
        <v>0.16970306540982952</v>
      </c>
      <c r="H88" s="206">
        <v>2022</v>
      </c>
      <c r="I88" s="195">
        <f t="shared" si="13"/>
        <v>374.71539841477761</v>
      </c>
      <c r="J88" s="195">
        <f t="shared" si="14"/>
        <v>99.367464041184789</v>
      </c>
      <c r="K88" s="195">
        <f t="shared" si="15"/>
        <v>813.1895577733103</v>
      </c>
      <c r="L88" s="195">
        <f t="shared" si="16"/>
        <v>304.04369102052192</v>
      </c>
      <c r="M88" s="195">
        <f t="shared" si="17"/>
        <v>2405.7460536514145</v>
      </c>
      <c r="O88" s="195">
        <f t="shared" si="18"/>
        <v>474.08286245596241</v>
      </c>
      <c r="P88" s="196">
        <f t="shared" si="19"/>
        <v>0.79040064108958363</v>
      </c>
      <c r="Q88" s="195">
        <f t="shared" si="20"/>
        <v>3522.9793024452465</v>
      </c>
      <c r="R88" s="196">
        <f t="shared" si="21"/>
        <v>8.6303002350734737E-2</v>
      </c>
      <c r="S88" s="464">
        <f t="shared" si="22"/>
        <v>3997.0621649012091</v>
      </c>
      <c r="T88" s="196">
        <f t="shared" si="28"/>
        <v>0.11860782817414094</v>
      </c>
      <c r="W88" s="195">
        <f t="shared" si="30"/>
        <v>2.264511534374833</v>
      </c>
      <c r="X88" s="195">
        <f t="shared" si="23"/>
        <v>1.8986844090322847</v>
      </c>
      <c r="Y88" s="195">
        <f t="shared" si="31"/>
        <v>6.556257544759319</v>
      </c>
      <c r="Z88" s="195">
        <f t="shared" si="33"/>
        <v>10.719453488166437</v>
      </c>
      <c r="AA88" s="196">
        <f t="shared" si="34"/>
        <v>9.4628559857346847E-2</v>
      </c>
      <c r="AB88" s="196">
        <f t="shared" si="24"/>
        <v>0.11662395752842314</v>
      </c>
      <c r="AC88" s="196">
        <f t="shared" si="32"/>
        <v>0.21125251738577</v>
      </c>
      <c r="AD88" s="247">
        <f t="shared" si="29"/>
        <v>0.78874748261423</v>
      </c>
      <c r="AF88" s="251">
        <f t="shared" si="25"/>
        <v>0.55205949245781127</v>
      </c>
      <c r="AG88" s="251">
        <f t="shared" si="26"/>
        <v>0.44794050754218867</v>
      </c>
    </row>
    <row r="89" spans="1:33" x14ac:dyDescent="0.25">
      <c r="A89" s="206">
        <v>2023</v>
      </c>
      <c r="B89" s="195">
        <f t="shared" si="27"/>
        <v>700.38356096387179</v>
      </c>
      <c r="C89" s="195">
        <f t="shared" si="9"/>
        <v>818.85343471879651</v>
      </c>
      <c r="D89" s="195">
        <f t="shared" si="10"/>
        <v>2510.0699098740397</v>
      </c>
      <c r="E89" s="195">
        <f t="shared" si="11"/>
        <v>4029.306905556708</v>
      </c>
      <c r="F89" s="221">
        <f t="shared" si="12"/>
        <v>0.17382234150443884</v>
      </c>
      <c r="H89" s="206">
        <v>2023</v>
      </c>
      <c r="I89" s="195">
        <f t="shared" si="13"/>
        <v>389.69224768815201</v>
      </c>
      <c r="J89" s="195">
        <f t="shared" si="14"/>
        <v>101.25388833926759</v>
      </c>
      <c r="K89" s="195">
        <f t="shared" si="15"/>
        <v>821.99038882128878</v>
      </c>
      <c r="L89" s="195">
        <f t="shared" si="16"/>
        <v>314.61508111989872</v>
      </c>
      <c r="M89" s="195">
        <f t="shared" si="17"/>
        <v>2419.5157701081284</v>
      </c>
      <c r="O89" s="195">
        <f t="shared" si="18"/>
        <v>490.94613602741958</v>
      </c>
      <c r="P89" s="196">
        <f t="shared" si="19"/>
        <v>0.79375764282700756</v>
      </c>
      <c r="Q89" s="195">
        <f t="shared" si="20"/>
        <v>3556.1212400493159</v>
      </c>
      <c r="R89" s="196">
        <f t="shared" si="21"/>
        <v>8.8471415872068429E-2</v>
      </c>
      <c r="S89" s="464">
        <f t="shared" si="22"/>
        <v>4047.0673760767354</v>
      </c>
      <c r="T89" s="196">
        <f t="shared" si="28"/>
        <v>0.12130910864729594</v>
      </c>
      <c r="W89" s="195">
        <f t="shared" si="30"/>
        <v>3.923767844178883</v>
      </c>
      <c r="X89" s="195">
        <f t="shared" si="23"/>
        <v>3.1369541024922682</v>
      </c>
      <c r="Y89" s="195">
        <f t="shared" si="31"/>
        <v>10.699748573356374</v>
      </c>
      <c r="Z89" s="195">
        <f t="shared" si="33"/>
        <v>17.760470520027525</v>
      </c>
      <c r="AA89" s="196">
        <f t="shared" si="34"/>
        <v>9.8688413142455578E-2</v>
      </c>
      <c r="AB89" s="196">
        <f t="shared" si="24"/>
        <v>0.12223860789306608</v>
      </c>
      <c r="AC89" s="196">
        <f t="shared" si="32"/>
        <v>0.22092702103552164</v>
      </c>
      <c r="AD89" s="247">
        <f t="shared" si="29"/>
        <v>0.77907297896447836</v>
      </c>
      <c r="AF89" s="251">
        <f t="shared" si="25"/>
        <v>0.55329858394013287</v>
      </c>
      <c r="AG89" s="251">
        <f t="shared" si="26"/>
        <v>0.44670141605986718</v>
      </c>
    </row>
    <row r="90" spans="1:33" x14ac:dyDescent="0.25">
      <c r="A90" s="206">
        <v>2024</v>
      </c>
      <c r="B90" s="195">
        <f t="shared" si="27"/>
        <v>724.75414831901799</v>
      </c>
      <c r="C90" s="195">
        <f t="shared" si="9"/>
        <v>826.14375459585563</v>
      </c>
      <c r="D90" s="195">
        <f t="shared" si="10"/>
        <v>2521.3009702992454</v>
      </c>
      <c r="E90" s="195">
        <f t="shared" si="11"/>
        <v>4072.198873214119</v>
      </c>
      <c r="F90" s="221">
        <f t="shared" si="12"/>
        <v>0.177976118280044</v>
      </c>
      <c r="H90" s="206">
        <v>2024</v>
      </c>
      <c r="I90" s="195">
        <f t="shared" si="13"/>
        <v>405.19835597067788</v>
      </c>
      <c r="J90" s="195">
        <f t="shared" si="14"/>
        <v>103.17522586113954</v>
      </c>
      <c r="K90" s="195">
        <f t="shared" si="15"/>
        <v>830.67745548587777</v>
      </c>
      <c r="L90" s="195">
        <f t="shared" si="16"/>
        <v>325.45727777028219</v>
      </c>
      <c r="M90" s="195">
        <f t="shared" si="17"/>
        <v>2433.4958017788535</v>
      </c>
      <c r="O90" s="195">
        <f t="shared" si="18"/>
        <v>508.37358183181743</v>
      </c>
      <c r="P90" s="196">
        <f t="shared" si="19"/>
        <v>0.79704841174207108</v>
      </c>
      <c r="Q90" s="195">
        <f t="shared" si="20"/>
        <v>3589.6305350350131</v>
      </c>
      <c r="R90" s="196">
        <f t="shared" si="21"/>
        <v>9.0665954223923415E-2</v>
      </c>
      <c r="S90" s="464">
        <f t="shared" si="22"/>
        <v>4098.0041168668304</v>
      </c>
      <c r="T90" s="196">
        <f t="shared" si="28"/>
        <v>0.12405394610010775</v>
      </c>
      <c r="W90" s="195">
        <f t="shared" si="30"/>
        <v>5.901485421942084</v>
      </c>
      <c r="X90" s="195">
        <f t="shared" si="23"/>
        <v>4.5337008900221463</v>
      </c>
      <c r="Y90" s="195">
        <f t="shared" si="31"/>
        <v>15.370057340747735</v>
      </c>
      <c r="Z90" s="195">
        <f t="shared" si="33"/>
        <v>25.805243652711965</v>
      </c>
      <c r="AA90" s="196">
        <f t="shared" si="34"/>
        <v>0.1018672600263175</v>
      </c>
      <c r="AB90" s="196">
        <f t="shared" si="24"/>
        <v>0.12682600485288761</v>
      </c>
      <c r="AC90" s="196">
        <f t="shared" si="32"/>
        <v>0.2286932648792051</v>
      </c>
      <c r="AD90" s="247">
        <f t="shared" si="29"/>
        <v>0.77130673512079484</v>
      </c>
      <c r="AF90" s="251">
        <f t="shared" si="25"/>
        <v>0.55456816762783379</v>
      </c>
      <c r="AG90" s="251">
        <f t="shared" si="26"/>
        <v>0.44543183237216621</v>
      </c>
    </row>
    <row r="91" spans="1:33" x14ac:dyDescent="0.25">
      <c r="A91" s="206">
        <v>2025</v>
      </c>
      <c r="B91" s="195">
        <f t="shared" si="27"/>
        <v>749.60222742607789</v>
      </c>
      <c r="C91" s="195">
        <f t="shared" si="9"/>
        <v>833.16103417916679</v>
      </c>
      <c r="D91" s="195">
        <f t="shared" si="10"/>
        <v>2532.2620208352014</v>
      </c>
      <c r="E91" s="195">
        <f t="shared" si="11"/>
        <v>4115.0252824404461</v>
      </c>
      <c r="F91" s="221">
        <f t="shared" si="12"/>
        <v>0.18216224104983403</v>
      </c>
      <c r="H91" s="206">
        <v>2025</v>
      </c>
      <c r="I91" s="195">
        <f t="shared" si="13"/>
        <v>421.23094464500235</v>
      </c>
      <c r="J91" s="195">
        <f t="shared" si="14"/>
        <v>105.13947439002195</v>
      </c>
      <c r="K91" s="195">
        <f t="shared" si="15"/>
        <v>839.23148169017702</v>
      </c>
      <c r="L91" s="195">
        <f t="shared" si="16"/>
        <v>336.55635298052664</v>
      </c>
      <c r="M91" s="195">
        <f t="shared" si="17"/>
        <v>2447.6678071033489</v>
      </c>
      <c r="O91" s="195">
        <f t="shared" si="18"/>
        <v>526.37041903502427</v>
      </c>
      <c r="P91" s="196">
        <f t="shared" si="19"/>
        <v>0.80025573134833394</v>
      </c>
      <c r="Q91" s="195">
        <f t="shared" si="20"/>
        <v>3623.4556417740528</v>
      </c>
      <c r="R91" s="196">
        <f t="shared" si="21"/>
        <v>9.2882702661084005E-2</v>
      </c>
      <c r="S91" s="464">
        <f t="shared" si="22"/>
        <v>4149.8260608090768</v>
      </c>
      <c r="T91" s="196">
        <f t="shared" si="28"/>
        <v>0.12684156186835449</v>
      </c>
      <c r="W91" s="195">
        <f t="shared" si="30"/>
        <v>8.1850701994510473</v>
      </c>
      <c r="X91" s="195">
        <f t="shared" si="23"/>
        <v>6.0704475110102294</v>
      </c>
      <c r="Y91" s="195">
        <f t="shared" si="31"/>
        <v>20.545260658169354</v>
      </c>
      <c r="Z91" s="195">
        <f t="shared" si="33"/>
        <v>34.800778368630631</v>
      </c>
      <c r="AA91" s="196">
        <f t="shared" si="34"/>
        <v>0.10445853304726493</v>
      </c>
      <c r="AB91" s="196">
        <f t="shared" si="24"/>
        <v>0.13073937295213242</v>
      </c>
      <c r="AC91" s="196">
        <f t="shared" si="32"/>
        <v>0.23519790599939733</v>
      </c>
      <c r="AD91" s="247">
        <f t="shared" si="29"/>
        <v>0.76480209400060262</v>
      </c>
      <c r="AF91" s="251">
        <f t="shared" si="25"/>
        <v>0.55586962986170219</v>
      </c>
      <c r="AG91" s="251">
        <f t="shared" si="26"/>
        <v>0.44413037013829787</v>
      </c>
    </row>
    <row r="92" spans="1:33" x14ac:dyDescent="0.25">
      <c r="A92" s="206">
        <v>2026</v>
      </c>
      <c r="B92" s="195">
        <f t="shared" si="27"/>
        <v>774.92368574476529</v>
      </c>
      <c r="C92" s="195">
        <f t="shared" si="9"/>
        <v>839.90447465244154</v>
      </c>
      <c r="D92" s="195">
        <f t="shared" si="10"/>
        <v>2542.9646408936496</v>
      </c>
      <c r="E92" s="195">
        <f t="shared" si="11"/>
        <v>4157.7928012908569</v>
      </c>
      <c r="F92" s="221">
        <f t="shared" si="12"/>
        <v>0.1863786202872296</v>
      </c>
      <c r="H92" s="206">
        <v>2026</v>
      </c>
      <c r="I92" s="195">
        <f t="shared" si="13"/>
        <v>437.78860948034742</v>
      </c>
      <c r="J92" s="195">
        <f t="shared" si="14"/>
        <v>107.14728368111065</v>
      </c>
      <c r="K92" s="195">
        <f t="shared" si="15"/>
        <v>847.63945742331032</v>
      </c>
      <c r="L92" s="195">
        <f t="shared" si="16"/>
        <v>347.89981526681197</v>
      </c>
      <c r="M92" s="195">
        <f t="shared" si="17"/>
        <v>2462.0145122596064</v>
      </c>
      <c r="O92" s="195">
        <f t="shared" si="18"/>
        <v>544.93589316145813</v>
      </c>
      <c r="P92" s="196">
        <f t="shared" si="19"/>
        <v>0.80337635118969086</v>
      </c>
      <c r="Q92" s="195">
        <f t="shared" si="20"/>
        <v>3657.5537849497287</v>
      </c>
      <c r="R92" s="196">
        <f t="shared" si="21"/>
        <v>9.511816796744485E-2</v>
      </c>
      <c r="S92" s="464">
        <f t="shared" si="22"/>
        <v>4202.4896781111865</v>
      </c>
      <c r="T92" s="196">
        <f t="shared" si="28"/>
        <v>0.12966977551420902</v>
      </c>
      <c r="W92" s="195">
        <f t="shared" si="30"/>
        <v>10.764739002394094</v>
      </c>
      <c r="X92" s="195">
        <f t="shared" si="23"/>
        <v>7.7349827708687826</v>
      </c>
      <c r="Y92" s="195">
        <f t="shared" si="31"/>
        <v>26.197155047067554</v>
      </c>
      <c r="Z92" s="195">
        <f t="shared" si="33"/>
        <v>44.696876820330431</v>
      </c>
      <c r="AA92" s="196">
        <f t="shared" si="34"/>
        <v>0.10664246370329873</v>
      </c>
      <c r="AB92" s="196">
        <f t="shared" si="24"/>
        <v>0.13419626526797782</v>
      </c>
      <c r="AC92" s="196">
        <f t="shared" si="32"/>
        <v>0.24083872897127656</v>
      </c>
      <c r="AD92" s="247">
        <f t="shared" si="29"/>
        <v>0.75916127102872344</v>
      </c>
      <c r="AF92" s="251">
        <f t="shared" si="25"/>
        <v>0.55720384275895518</v>
      </c>
      <c r="AG92" s="251">
        <f t="shared" si="26"/>
        <v>0.44279615724104476</v>
      </c>
    </row>
    <row r="93" spans="1:33" x14ac:dyDescent="0.25">
      <c r="A93" s="206">
        <v>2027</v>
      </c>
      <c r="B93" s="195">
        <f t="shared" si="27"/>
        <v>800.71441073479491</v>
      </c>
      <c r="C93" s="195">
        <f t="shared" si="9"/>
        <v>846.37327719939117</v>
      </c>
      <c r="D93" s="195">
        <f t="shared" si="10"/>
        <v>2553.4204098863347</v>
      </c>
      <c r="E93" s="195">
        <f t="shared" si="11"/>
        <v>4200.5080978205206</v>
      </c>
      <c r="F93" s="221">
        <f t="shared" si="12"/>
        <v>0.19062322749722929</v>
      </c>
      <c r="H93" s="206">
        <v>2027</v>
      </c>
      <c r="I93" s="195">
        <f t="shared" si="13"/>
        <v>454.871788850087</v>
      </c>
      <c r="J93" s="195">
        <f t="shared" si="14"/>
        <v>109.19469635441735</v>
      </c>
      <c r="K93" s="195">
        <f t="shared" si="15"/>
        <v>855.89467445987134</v>
      </c>
      <c r="L93" s="195">
        <f t="shared" si="16"/>
        <v>359.47778139726006</v>
      </c>
      <c r="M93" s="195">
        <f t="shared" si="17"/>
        <v>2476.5183339564683</v>
      </c>
      <c r="O93" s="195">
        <f t="shared" si="18"/>
        <v>564.06648520450437</v>
      </c>
      <c r="P93" s="196">
        <f t="shared" si="19"/>
        <v>0.80641520242985465</v>
      </c>
      <c r="Q93" s="195">
        <f t="shared" si="20"/>
        <v>3691.8907898135994</v>
      </c>
      <c r="R93" s="196">
        <f t="shared" si="21"/>
        <v>9.7369559898441579E-2</v>
      </c>
      <c r="S93" s="464">
        <f t="shared" si="22"/>
        <v>4255.9572750181042</v>
      </c>
      <c r="T93" s="196">
        <f t="shared" si="28"/>
        <v>0.13253574901127382</v>
      </c>
      <c r="W93" s="195">
        <f t="shared" si="30"/>
        <v>13.63515951255215</v>
      </c>
      <c r="X93" s="195">
        <f t="shared" si="23"/>
        <v>9.5213972604801711</v>
      </c>
      <c r="Y93" s="195">
        <f t="shared" si="31"/>
        <v>32.292620424550933</v>
      </c>
      <c r="Z93" s="195">
        <f t="shared" si="33"/>
        <v>55.449177197583253</v>
      </c>
      <c r="AA93" s="196">
        <f t="shared" si="34"/>
        <v>0.10854911774945786</v>
      </c>
      <c r="AB93" s="196">
        <f t="shared" si="24"/>
        <v>0.13735461250727238</v>
      </c>
      <c r="AC93" s="196">
        <f t="shared" si="32"/>
        <v>0.24590373025673024</v>
      </c>
      <c r="AD93" s="247">
        <f t="shared" si="29"/>
        <v>0.75409626974326971</v>
      </c>
      <c r="AF93" s="251">
        <f t="shared" si="25"/>
        <v>0.55857067464519716</v>
      </c>
      <c r="AG93" s="251">
        <f t="shared" si="26"/>
        <v>0.44142932535480289</v>
      </c>
    </row>
    <row r="94" spans="1:33" x14ac:dyDescent="0.25">
      <c r="A94" s="206">
        <v>2028</v>
      </c>
      <c r="B94" s="195">
        <f t="shared" si="27"/>
        <v>826.97028985588122</v>
      </c>
      <c r="C94" s="195">
        <f t="shared" si="9"/>
        <v>852.56664300372722</v>
      </c>
      <c r="D94" s="195">
        <f t="shared" si="10"/>
        <v>2563.6409072250003</v>
      </c>
      <c r="E94" s="195">
        <f t="shared" si="11"/>
        <v>4243.1778400846088</v>
      </c>
      <c r="F94" s="221">
        <f t="shared" si="12"/>
        <v>0.1948940914150776</v>
      </c>
      <c r="H94" s="206">
        <v>2028</v>
      </c>
      <c r="I94" s="195">
        <f t="shared" si="13"/>
        <v>472.486548503878</v>
      </c>
      <c r="J94" s="195">
        <f t="shared" si="14"/>
        <v>111.28132275706176</v>
      </c>
      <c r="K94" s="195">
        <f t="shared" si="15"/>
        <v>863.99597818366772</v>
      </c>
      <c r="L94" s="195">
        <f t="shared" si="16"/>
        <v>371.2873294809998</v>
      </c>
      <c r="M94" s="195">
        <f t="shared" si="17"/>
        <v>2491.1749053842095</v>
      </c>
      <c r="O94" s="195">
        <f t="shared" si="18"/>
        <v>583.76787126093973</v>
      </c>
      <c r="P94" s="196">
        <f t="shared" si="19"/>
        <v>0.8093740196480943</v>
      </c>
      <c r="Q94" s="195">
        <f t="shared" si="20"/>
        <v>3726.458213048877</v>
      </c>
      <c r="R94" s="196">
        <f t="shared" si="21"/>
        <v>9.9635446918703963E-2</v>
      </c>
      <c r="S94" s="464">
        <f t="shared" si="22"/>
        <v>4310.2260843098165</v>
      </c>
      <c r="T94" s="196">
        <f t="shared" si="28"/>
        <v>0.13543787723478934</v>
      </c>
      <c r="W94" s="195">
        <f t="shared" si="30"/>
        <v>16.80358812899658</v>
      </c>
      <c r="X94" s="195">
        <f t="shared" si="23"/>
        <v>11.429335179940495</v>
      </c>
      <c r="Y94" s="195">
        <f t="shared" si="31"/>
        <v>38.815320916271048</v>
      </c>
      <c r="Z94" s="195">
        <f t="shared" si="33"/>
        <v>67.048244225208123</v>
      </c>
      <c r="AA94" s="196">
        <f t="shared" si="34"/>
        <v>0.11028048594300126</v>
      </c>
      <c r="AB94" s="196">
        <f t="shared" si="24"/>
        <v>0.14033887513310786</v>
      </c>
      <c r="AC94" s="196">
        <f t="shared" si="32"/>
        <v>0.2506193610761091</v>
      </c>
      <c r="AD94" s="247">
        <f t="shared" si="29"/>
        <v>0.74938063892389095</v>
      </c>
      <c r="AF94" s="251">
        <f t="shared" si="25"/>
        <v>0.55996821047871548</v>
      </c>
      <c r="AG94" s="251">
        <f t="shared" si="26"/>
        <v>0.44003178952128458</v>
      </c>
    </row>
    <row r="95" spans="1:33" x14ac:dyDescent="0.25">
      <c r="A95" s="206">
        <v>2029</v>
      </c>
      <c r="B95" s="195">
        <f t="shared" si="27"/>
        <v>853.68721056773825</v>
      </c>
      <c r="C95" s="195">
        <f t="shared" si="9"/>
        <v>858.483773249161</v>
      </c>
      <c r="D95" s="195">
        <f t="shared" si="10"/>
        <v>2573.6377123213879</v>
      </c>
      <c r="E95" s="195">
        <f t="shared" si="11"/>
        <v>4285.8086961382869</v>
      </c>
      <c r="F95" s="221">
        <f t="shared" si="12"/>
        <v>0.19918929450513043</v>
      </c>
      <c r="H95" s="206">
        <v>2029</v>
      </c>
      <c r="I95" s="195">
        <f t="shared" si="13"/>
        <v>490.64198429223393</v>
      </c>
      <c r="J95" s="195">
        <f t="shared" si="14"/>
        <v>113.40599537014316</v>
      </c>
      <c r="K95" s="195">
        <f t="shared" si="15"/>
        <v>871.9464241916761</v>
      </c>
      <c r="L95" s="195">
        <f t="shared" si="16"/>
        <v>383.32888627716545</v>
      </c>
      <c r="M95" s="195">
        <f t="shared" si="17"/>
        <v>2505.9823275042595</v>
      </c>
      <c r="O95" s="195">
        <f t="shared" si="18"/>
        <v>604.04797966237709</v>
      </c>
      <c r="P95" s="196">
        <f t="shared" si="19"/>
        <v>0.81225664319988355</v>
      </c>
      <c r="Q95" s="195">
        <f t="shared" si="20"/>
        <v>3761.2576379731013</v>
      </c>
      <c r="R95" s="196">
        <f t="shared" si="21"/>
        <v>0.10191508351013599</v>
      </c>
      <c r="S95" s="464">
        <f t="shared" si="22"/>
        <v>4365.3056176354785</v>
      </c>
      <c r="T95" s="196">
        <f t="shared" si="28"/>
        <v>0.13837472850058252</v>
      </c>
      <c r="W95" s="195">
        <f t="shared" si="30"/>
        <v>20.283660001661133</v>
      </c>
      <c r="X95" s="195">
        <f t="shared" si="23"/>
        <v>13.462650942515097</v>
      </c>
      <c r="Y95" s="195">
        <f t="shared" si="31"/>
        <v>45.750610553014667</v>
      </c>
      <c r="Z95" s="195">
        <f t="shared" si="33"/>
        <v>79.496921497190897</v>
      </c>
      <c r="AA95" s="196">
        <f t="shared" si="34"/>
        <v>0.11191043933886452</v>
      </c>
      <c r="AB95" s="196">
        <f t="shared" si="24"/>
        <v>0.14323981830196597</v>
      </c>
      <c r="AC95" s="196">
        <f t="shared" si="32"/>
        <v>0.25515025764083049</v>
      </c>
      <c r="AD95" s="247">
        <f t="shared" si="29"/>
        <v>0.74484974235916956</v>
      </c>
      <c r="AF95" s="251">
        <f t="shared" si="25"/>
        <v>0.56139397869470931</v>
      </c>
      <c r="AG95" s="251">
        <f t="shared" si="26"/>
        <v>0.43860602130529069</v>
      </c>
    </row>
    <row r="96" spans="1:33" x14ac:dyDescent="0.25">
      <c r="A96" s="206">
        <v>2030</v>
      </c>
      <c r="B96" s="195">
        <f t="shared" si="27"/>
        <v>880.86106033008025</v>
      </c>
      <c r="C96" s="195">
        <f t="shared" si="9"/>
        <v>864.12386911940428</v>
      </c>
      <c r="D96" s="195">
        <f t="shared" si="10"/>
        <v>2583.4224045872425</v>
      </c>
      <c r="E96" s="195">
        <f t="shared" si="11"/>
        <v>4328.4073340367268</v>
      </c>
      <c r="F96" s="221">
        <f t="shared" si="12"/>
        <v>0.20350696973535026</v>
      </c>
      <c r="H96" s="206">
        <v>2030</v>
      </c>
      <c r="I96" s="195">
        <f t="shared" si="13"/>
        <v>509.3476437241913</v>
      </c>
      <c r="J96" s="195">
        <f t="shared" si="14"/>
        <v>115.56794078227129</v>
      </c>
      <c r="K96" s="195">
        <f t="shared" si="15"/>
        <v>879.74834565958338</v>
      </c>
      <c r="L96" s="195">
        <f t="shared" si="16"/>
        <v>395.60333158205151</v>
      </c>
      <c r="M96" s="195">
        <f t="shared" si="17"/>
        <v>2520.9415389502228</v>
      </c>
      <c r="O96" s="195">
        <f t="shared" si="18"/>
        <v>624.91558450646255</v>
      </c>
      <c r="P96" s="196">
        <f t="shared" si="19"/>
        <v>0.81506631671933261</v>
      </c>
      <c r="Q96" s="195">
        <f t="shared" si="20"/>
        <v>3796.2932161918575</v>
      </c>
      <c r="R96" s="196">
        <f t="shared" si="21"/>
        <v>0.10420779140418707</v>
      </c>
      <c r="S96" s="464">
        <f t="shared" si="22"/>
        <v>4421.2088006983204</v>
      </c>
      <c r="T96" s="196">
        <f t="shared" si="28"/>
        <v>0.14134496077356909</v>
      </c>
      <c r="W96" s="195">
        <f t="shared" si="30"/>
        <v>24.089914976162504</v>
      </c>
      <c r="X96" s="195">
        <f t="shared" si="23"/>
        <v>15.624476540179103</v>
      </c>
      <c r="Y96" s="195">
        <f t="shared" si="31"/>
        <v>53.087075145251674</v>
      </c>
      <c r="Z96" s="195">
        <f t="shared" si="33"/>
        <v>92.801466661593281</v>
      </c>
      <c r="AA96" s="196">
        <f t="shared" si="34"/>
        <v>0.11347895168030535</v>
      </c>
      <c r="AB96" s="196">
        <f t="shared" si="24"/>
        <v>0.14610654672574877</v>
      </c>
      <c r="AC96" s="196">
        <f t="shared" si="32"/>
        <v>0.2595854984060541</v>
      </c>
      <c r="AD96" s="247">
        <f t="shared" si="29"/>
        <v>0.74041450159394595</v>
      </c>
      <c r="AF96" s="251">
        <f t="shared" si="25"/>
        <v>0.56284556580738965</v>
      </c>
      <c r="AG96" s="251">
        <f t="shared" si="26"/>
        <v>0.43715443419261041</v>
      </c>
    </row>
    <row r="97" spans="1:33" x14ac:dyDescent="0.25">
      <c r="A97" s="206">
        <v>2031</v>
      </c>
      <c r="B97" s="195">
        <f t="shared" si="27"/>
        <v>908.48772660262159</v>
      </c>
      <c r="C97" s="195">
        <f t="shared" si="9"/>
        <v>869.48613179816823</v>
      </c>
      <c r="D97" s="195">
        <f t="shared" si="10"/>
        <v>2593.0065634343073</v>
      </c>
      <c r="E97" s="195">
        <f t="shared" si="11"/>
        <v>4370.9804218350973</v>
      </c>
      <c r="F97" s="221">
        <f t="shared" si="12"/>
        <v>0.20784529760515497</v>
      </c>
      <c r="H97" s="206">
        <v>2031</v>
      </c>
      <c r="I97" s="195">
        <f t="shared" si="13"/>
        <v>528.60875233590411</v>
      </c>
      <c r="J97" s="195">
        <f t="shared" si="14"/>
        <v>117.76761070875749</v>
      </c>
      <c r="K97" s="195">
        <f t="shared" si="15"/>
        <v>887.39782485305432</v>
      </c>
      <c r="L97" s="195">
        <f t="shared" si="16"/>
        <v>408.10655760083478</v>
      </c>
      <c r="M97" s="195">
        <f t="shared" si="17"/>
        <v>2536.0502517839486</v>
      </c>
      <c r="O97" s="195">
        <f t="shared" si="18"/>
        <v>646.37636304466162</v>
      </c>
      <c r="P97" s="196">
        <f t="shared" si="19"/>
        <v>0.81780334578753722</v>
      </c>
      <c r="Q97" s="195">
        <f t="shared" si="20"/>
        <v>3831.5546342378379</v>
      </c>
      <c r="R97" s="196">
        <f t="shared" si="21"/>
        <v>0.10651200271401433</v>
      </c>
      <c r="S97" s="464">
        <f t="shared" si="22"/>
        <v>4477.9309972824994</v>
      </c>
      <c r="T97" s="196">
        <f t="shared" si="28"/>
        <v>0.14434710214090501</v>
      </c>
      <c r="W97" s="195">
        <f t="shared" si="30"/>
        <v>28.227583334117298</v>
      </c>
      <c r="X97" s="195">
        <f t="shared" si="23"/>
        <v>17.911693054886086</v>
      </c>
      <c r="Y97" s="195">
        <f t="shared" si="31"/>
        <v>60.811299058398617</v>
      </c>
      <c r="Z97" s="195">
        <f t="shared" si="33"/>
        <v>106.950575447402</v>
      </c>
      <c r="AA97" s="196">
        <f t="shared" si="34"/>
        <v>0.11498906093194229</v>
      </c>
      <c r="AB97" s="196">
        <f t="shared" si="24"/>
        <v>0.14894204197268437</v>
      </c>
      <c r="AC97" s="196">
        <f t="shared" si="32"/>
        <v>0.26393110290462668</v>
      </c>
      <c r="AD97" s="247">
        <f t="shared" si="29"/>
        <v>0.73606889709537326</v>
      </c>
      <c r="AF97" s="251">
        <f t="shared" si="25"/>
        <v>0.56432167460954996</v>
      </c>
      <c r="AG97" s="251">
        <f t="shared" si="26"/>
        <v>0.43567832539045004</v>
      </c>
    </row>
    <row r="98" spans="1:33" x14ac:dyDescent="0.25">
      <c r="A98" s="206">
        <v>2032</v>
      </c>
      <c r="B98" s="195">
        <f t="shared" si="27"/>
        <v>936.56309684507698</v>
      </c>
      <c r="C98" s="195">
        <f t="shared" si="9"/>
        <v>874.5697624691644</v>
      </c>
      <c r="D98" s="195">
        <f t="shared" si="10"/>
        <v>2602.4017682743256</v>
      </c>
      <c r="E98" s="195">
        <f t="shared" si="11"/>
        <v>4413.5346275885668</v>
      </c>
      <c r="F98" s="221">
        <f t="shared" si="12"/>
        <v>0.21220250340638863</v>
      </c>
      <c r="H98" s="206">
        <v>2032</v>
      </c>
      <c r="I98" s="195">
        <f t="shared" si="13"/>
        <v>548.41741972918885</v>
      </c>
      <c r="J98" s="195">
        <f t="shared" si="14"/>
        <v>120.00279838109542</v>
      </c>
      <c r="K98" s="195">
        <f t="shared" si="15"/>
        <v>894.87945939561212</v>
      </c>
      <c r="L98" s="195">
        <f t="shared" si="16"/>
        <v>420.82639226561275</v>
      </c>
      <c r="M98" s="195">
        <f t="shared" si="17"/>
        <v>2551.279563189707</v>
      </c>
      <c r="O98" s="195">
        <f t="shared" si="18"/>
        <v>668.42021811028428</v>
      </c>
      <c r="P98" s="196">
        <f t="shared" si="19"/>
        <v>0.82046803024546477</v>
      </c>
      <c r="Q98" s="195">
        <f t="shared" si="20"/>
        <v>3866.9854148509321</v>
      </c>
      <c r="R98" s="196">
        <f t="shared" si="21"/>
        <v>0.10882544078119703</v>
      </c>
      <c r="S98" s="464">
        <f t="shared" si="22"/>
        <v>4535.4056329612167</v>
      </c>
      <c r="T98" s="196">
        <f t="shared" si="28"/>
        <v>0.14737826607007701</v>
      </c>
      <c r="W98" s="195">
        <f t="shared" si="30"/>
        <v>32.68071514972462</v>
      </c>
      <c r="X98" s="195">
        <f t="shared" si="23"/>
        <v>20.309696926447714</v>
      </c>
      <c r="Y98" s="195">
        <f t="shared" si="31"/>
        <v>68.880593296476945</v>
      </c>
      <c r="Z98" s="195">
        <f t="shared" si="33"/>
        <v>121.87100537264928</v>
      </c>
      <c r="AA98" s="196">
        <f t="shared" si="34"/>
        <v>0.11642897917561834</v>
      </c>
      <c r="AB98" s="196">
        <f t="shared" si="24"/>
        <v>0.1517292677330343</v>
      </c>
      <c r="AC98" s="196">
        <f t="shared" si="32"/>
        <v>0.26815824690865264</v>
      </c>
      <c r="AD98" s="247">
        <f t="shared" si="29"/>
        <v>0.73184175309134736</v>
      </c>
      <c r="AF98" s="251">
        <f t="shared" si="25"/>
        <v>0.56581988240965964</v>
      </c>
      <c r="AG98" s="251">
        <f t="shared" si="26"/>
        <v>0.43418011759034042</v>
      </c>
    </row>
    <row r="99" spans="1:33" x14ac:dyDescent="0.25">
      <c r="A99" s="206">
        <v>2033</v>
      </c>
      <c r="B99" s="195">
        <f t="shared" si="27"/>
        <v>965.08305851716045</v>
      </c>
      <c r="C99" s="195">
        <f t="shared" si="9"/>
        <v>879.37396231610433</v>
      </c>
      <c r="D99" s="195">
        <f t="shared" si="10"/>
        <v>2611.6195985190402</v>
      </c>
      <c r="E99" s="195">
        <f t="shared" si="11"/>
        <v>4456.076619352305</v>
      </c>
      <c r="F99" s="221">
        <f t="shared" si="12"/>
        <v>0.21657685469901911</v>
      </c>
      <c r="H99" s="206">
        <v>2033</v>
      </c>
      <c r="I99" s="195">
        <f t="shared" si="13"/>
        <v>568.74521622462828</v>
      </c>
      <c r="J99" s="195">
        <f t="shared" si="14"/>
        <v>122.26450142777638</v>
      </c>
      <c r="K99" s="195">
        <f t="shared" si="15"/>
        <v>902.16363234210837</v>
      </c>
      <c r="L99" s="195">
        <f t="shared" si="16"/>
        <v>433.74027706327854</v>
      </c>
      <c r="M99" s="195">
        <f t="shared" si="17"/>
        <v>2566.5535141904684</v>
      </c>
      <c r="O99" s="195">
        <f t="shared" si="18"/>
        <v>691.00971765240467</v>
      </c>
      <c r="P99" s="196">
        <f t="shared" si="19"/>
        <v>0.82306399128054153</v>
      </c>
      <c r="Q99" s="195">
        <f t="shared" si="20"/>
        <v>3902.4574235958553</v>
      </c>
      <c r="R99" s="196">
        <f t="shared" si="21"/>
        <v>0.11114542196942553</v>
      </c>
      <c r="S99" s="464">
        <f t="shared" si="22"/>
        <v>4593.4671412482603</v>
      </c>
      <c r="T99" s="196">
        <f t="shared" si="28"/>
        <v>0.15043314698984109</v>
      </c>
      <c r="W99" s="195">
        <f t="shared" si="30"/>
        <v>37.402434770746368</v>
      </c>
      <c r="X99" s="195">
        <f t="shared" si="23"/>
        <v>22.789670026004046</v>
      </c>
      <c r="Y99" s="195">
        <f t="shared" si="31"/>
        <v>77.198417099204562</v>
      </c>
      <c r="Z99" s="195">
        <f t="shared" si="33"/>
        <v>137.39052189595498</v>
      </c>
      <c r="AA99" s="196">
        <f t="shared" si="34"/>
        <v>0.11778629380039508</v>
      </c>
      <c r="AB99" s="196">
        <f t="shared" si="24"/>
        <v>0.15444816789755966</v>
      </c>
      <c r="AC99" s="196">
        <f t="shared" si="32"/>
        <v>0.27223446169795473</v>
      </c>
      <c r="AD99" s="247">
        <f t="shared" si="29"/>
        <v>0.72776553830204527</v>
      </c>
      <c r="AF99" s="251">
        <f t="shared" si="25"/>
        <v>0.56733510862015901</v>
      </c>
      <c r="AG99" s="251">
        <f t="shared" si="26"/>
        <v>0.43266489137984099</v>
      </c>
    </row>
    <row r="100" spans="1:33" x14ac:dyDescent="0.25">
      <c r="A100" s="206">
        <v>2034</v>
      </c>
      <c r="B100" s="195">
        <f t="shared" si="27"/>
        <v>994.04349907858648</v>
      </c>
      <c r="C100" s="195">
        <f t="shared" si="9"/>
        <v>883.89793252269931</v>
      </c>
      <c r="D100" s="195">
        <f t="shared" si="10"/>
        <v>2620.6716335801948</v>
      </c>
      <c r="E100" s="195">
        <f t="shared" si="11"/>
        <v>4498.613065181481</v>
      </c>
      <c r="F100" s="221">
        <f t="shared" si="12"/>
        <v>0.2209666589848143</v>
      </c>
      <c r="H100" s="206">
        <v>2034</v>
      </c>
      <c r="I100" s="195">
        <f t="shared" si="13"/>
        <v>589.55113063478325</v>
      </c>
      <c r="J100" s="195">
        <f t="shared" si="14"/>
        <v>124.54057354550378</v>
      </c>
      <c r="K100" s="195">
        <f t="shared" si="15"/>
        <v>909.21180606467601</v>
      </c>
      <c r="L100" s="195">
        <f t="shared" si="16"/>
        <v>446.82009934035045</v>
      </c>
      <c r="M100" s="195">
        <f t="shared" si="17"/>
        <v>2581.7724436389144</v>
      </c>
      <c r="O100" s="195">
        <f t="shared" si="18"/>
        <v>714.09170418028702</v>
      </c>
      <c r="P100" s="196">
        <f t="shared" si="19"/>
        <v>0.82559582639534357</v>
      </c>
      <c r="Q100" s="195">
        <f t="shared" si="20"/>
        <v>3937.8043490439413</v>
      </c>
      <c r="R100" s="196">
        <f t="shared" si="21"/>
        <v>0.1134693498545284</v>
      </c>
      <c r="S100" s="464">
        <f t="shared" si="22"/>
        <v>4651.8960532242281</v>
      </c>
      <c r="T100" s="196">
        <f t="shared" si="28"/>
        <v>0.15350551603261861</v>
      </c>
      <c r="W100" s="195">
        <f t="shared" si="30"/>
        <v>42.327730896547223</v>
      </c>
      <c r="X100" s="195">
        <f t="shared" si="23"/>
        <v>25.313873541976704</v>
      </c>
      <c r="Y100" s="195">
        <f t="shared" si="31"/>
        <v>85.641383604223392</v>
      </c>
      <c r="Z100" s="195">
        <f t="shared" si="33"/>
        <v>153.28298804274732</v>
      </c>
      <c r="AA100" s="196">
        <f t="shared" si="34"/>
        <v>0.11905520361763942</v>
      </c>
      <c r="AB100" s="196">
        <f t="shared" si="24"/>
        <v>0.15708588312019825</v>
      </c>
      <c r="AC100" s="196">
        <f t="shared" si="32"/>
        <v>0.27614108673783766</v>
      </c>
      <c r="AD100" s="247">
        <f t="shared" si="29"/>
        <v>0.72385891326216234</v>
      </c>
      <c r="AF100" s="251">
        <f t="shared" si="25"/>
        <v>0.56886095791073699</v>
      </c>
      <c r="AG100" s="251">
        <f t="shared" si="26"/>
        <v>0.43113904208926301</v>
      </c>
    </row>
    <row r="101" spans="1:33" x14ac:dyDescent="0.25">
      <c r="A101" s="206">
        <v>2035</v>
      </c>
      <c r="B101" s="195">
        <f t="shared" si="27"/>
        <v>1023.4403059890689</v>
      </c>
      <c r="C101" s="195">
        <f t="shared" si="9"/>
        <v>888.14087427266088</v>
      </c>
      <c r="D101" s="195">
        <f t="shared" si="10"/>
        <v>2629.5694528695335</v>
      </c>
      <c r="E101" s="195">
        <f t="shared" si="11"/>
        <v>4541.150633131263</v>
      </c>
      <c r="F101" s="221">
        <f t="shared" si="12"/>
        <v>0.22537026156372517</v>
      </c>
      <c r="H101" s="206">
        <v>2035</v>
      </c>
      <c r="I101" s="195">
        <f t="shared" si="13"/>
        <v>610.80378628823291</v>
      </c>
      <c r="J101" s="195">
        <f t="shared" si="14"/>
        <v>126.82182741107283</v>
      </c>
      <c r="K101" s="195">
        <f t="shared" si="15"/>
        <v>915.99411890347972</v>
      </c>
      <c r="L101" s="195">
        <f t="shared" si="16"/>
        <v>460.0459169893644</v>
      </c>
      <c r="M101" s="195">
        <f t="shared" si="17"/>
        <v>2596.8647501411742</v>
      </c>
      <c r="O101" s="195">
        <f t="shared" si="18"/>
        <v>737.62561369930575</v>
      </c>
      <c r="P101" s="196">
        <f t="shared" si="19"/>
        <v>0.8280674842959399</v>
      </c>
      <c r="Q101" s="195">
        <f t="shared" si="20"/>
        <v>3972.9047860340183</v>
      </c>
      <c r="R101" s="196">
        <f t="shared" si="21"/>
        <v>0.11579585763206993</v>
      </c>
      <c r="S101" s="464">
        <f t="shared" si="22"/>
        <v>4710.530399733324</v>
      </c>
      <c r="T101" s="196">
        <f t="shared" si="28"/>
        <v>0.15659077664397725</v>
      </c>
      <c r="W101" s="195">
        <f t="shared" si="30"/>
        <v>47.409397288528339</v>
      </c>
      <c r="X101" s="195">
        <f t="shared" si="23"/>
        <v>27.853244630818836</v>
      </c>
      <c r="Y101" s="195">
        <f t="shared" si="31"/>
        <v>94.117124682713438</v>
      </c>
      <c r="Z101" s="195">
        <f t="shared" si="33"/>
        <v>169.37976660206061</v>
      </c>
      <c r="AA101" s="196">
        <f t="shared" si="34"/>
        <v>0.12024736379527007</v>
      </c>
      <c r="AB101" s="196">
        <f t="shared" si="24"/>
        <v>0.15965263984513864</v>
      </c>
      <c r="AC101" s="196">
        <f t="shared" si="32"/>
        <v>0.27990000364040868</v>
      </c>
      <c r="AD101" s="247">
        <f t="shared" si="29"/>
        <v>0.72009999635959132</v>
      </c>
      <c r="AF101" s="251">
        <f t="shared" si="25"/>
        <v>0.57039170335362532</v>
      </c>
      <c r="AG101" s="251">
        <f t="shared" si="26"/>
        <v>0.42960829664637479</v>
      </c>
    </row>
    <row r="102" spans="1:33" x14ac:dyDescent="0.25">
      <c r="A102" s="206">
        <v>2036</v>
      </c>
      <c r="B102" s="195">
        <f t="shared" si="27"/>
        <v>1053.2693667083227</v>
      </c>
      <c r="C102" s="195">
        <f t="shared" si="9"/>
        <v>892.10198874970058</v>
      </c>
      <c r="D102" s="195">
        <f t="shared" si="10"/>
        <v>2638.3246357987987</v>
      </c>
      <c r="E102" s="195">
        <f t="shared" si="11"/>
        <v>4583.6959912568218</v>
      </c>
      <c r="F102" s="221">
        <f t="shared" si="12"/>
        <v>0.22978604355903684</v>
      </c>
      <c r="H102" s="206">
        <v>2036</v>
      </c>
      <c r="I102" s="195">
        <f t="shared" si="13"/>
        <v>632.49017045661458</v>
      </c>
      <c r="J102" s="195">
        <f t="shared" si="14"/>
        <v>129.10415612766172</v>
      </c>
      <c r="K102" s="195">
        <f t="shared" si="15"/>
        <v>922.4949301838368</v>
      </c>
      <c r="L102" s="195">
        <f t="shared" si="16"/>
        <v>473.40964144829979</v>
      </c>
      <c r="M102" s="195">
        <f t="shared" si="17"/>
        <v>2611.8001066702459</v>
      </c>
      <c r="O102" s="195">
        <f t="shared" si="18"/>
        <v>761.59432658427636</v>
      </c>
      <c r="P102" s="196">
        <f t="shared" si="19"/>
        <v>0.83048172547885257</v>
      </c>
      <c r="Q102" s="195">
        <f t="shared" si="20"/>
        <v>4007.7046783023825</v>
      </c>
      <c r="R102" s="196">
        <f t="shared" si="21"/>
        <v>0.11812488180861437</v>
      </c>
      <c r="S102" s="464">
        <f t="shared" si="22"/>
        <v>4769.2990048866586</v>
      </c>
      <c r="T102" s="196">
        <f t="shared" si="28"/>
        <v>0.15968684827769056</v>
      </c>
      <c r="W102" s="195">
        <f t="shared" si="30"/>
        <v>52.630445196591609</v>
      </c>
      <c r="X102" s="195">
        <f t="shared" si="23"/>
        <v>30.392941434136219</v>
      </c>
      <c r="Y102" s="195">
        <f t="shared" si="31"/>
        <v>102.57962699910877</v>
      </c>
      <c r="Z102" s="195">
        <f t="shared" si="33"/>
        <v>185.6030136298366</v>
      </c>
      <c r="AA102" s="196">
        <f t="shared" si="34"/>
        <v>0.12138732316203099</v>
      </c>
      <c r="AB102" s="196">
        <f t="shared" si="24"/>
        <v>0.1621772815677007</v>
      </c>
      <c r="AC102" s="196">
        <f t="shared" si="32"/>
        <v>0.28356460472973166</v>
      </c>
      <c r="AD102" s="247">
        <f t="shared" si="29"/>
        <v>0.71643539527026834</v>
      </c>
      <c r="AF102" s="251">
        <f t="shared" si="25"/>
        <v>0.57192357178101805</v>
      </c>
      <c r="AG102" s="251">
        <f t="shared" si="26"/>
        <v>0.42807642821898206</v>
      </c>
    </row>
    <row r="103" spans="1:33" x14ac:dyDescent="0.25">
      <c r="A103" s="206">
        <v>2037</v>
      </c>
      <c r="B103" s="195">
        <f t="shared" si="27"/>
        <v>1083.5265686960618</v>
      </c>
      <c r="C103" s="195">
        <f t="shared" si="9"/>
        <v>895.78047713752972</v>
      </c>
      <c r="D103" s="195">
        <f t="shared" si="10"/>
        <v>2646.948761779734</v>
      </c>
      <c r="E103" s="195">
        <f t="shared" si="11"/>
        <v>4626.2558076133255</v>
      </c>
      <c r="F103" s="221">
        <f t="shared" si="12"/>
        <v>0.23421242009854412</v>
      </c>
      <c r="H103" s="206">
        <v>2037</v>
      </c>
      <c r="I103" s="195">
        <f t="shared" si="13"/>
        <v>654.61816224909103</v>
      </c>
      <c r="J103" s="195">
        <f t="shared" si="14"/>
        <v>131.38886820540552</v>
      </c>
      <c r="K103" s="195">
        <f t="shared" si="15"/>
        <v>928.7152520723215</v>
      </c>
      <c r="L103" s="195">
        <f t="shared" si="16"/>
        <v>486.91576087749183</v>
      </c>
      <c r="M103" s="195">
        <f t="shared" si="17"/>
        <v>2626.5981095531542</v>
      </c>
      <c r="O103" s="195">
        <f t="shared" si="18"/>
        <v>786.00703045449654</v>
      </c>
      <c r="P103" s="196">
        <f t="shared" si="19"/>
        <v>0.8328400852477974</v>
      </c>
      <c r="Q103" s="195">
        <f t="shared" si="20"/>
        <v>4042.2291225029676</v>
      </c>
      <c r="R103" s="196">
        <f t="shared" si="21"/>
        <v>0.12045723934025572</v>
      </c>
      <c r="S103" s="464">
        <f t="shared" si="22"/>
        <v>4828.2361529574646</v>
      </c>
      <c r="T103" s="196">
        <f t="shared" si="28"/>
        <v>0.16279382481592986</v>
      </c>
      <c r="W103" s="195">
        <f t="shared" si="30"/>
        <v>58.007354430521218</v>
      </c>
      <c r="X103" s="195">
        <f t="shared" si="23"/>
        <v>32.93477493479179</v>
      </c>
      <c r="Y103" s="195">
        <f t="shared" si="31"/>
        <v>111.03821597882597</v>
      </c>
      <c r="Z103" s="195">
        <f t="shared" si="33"/>
        <v>201.98034534413898</v>
      </c>
      <c r="AA103" s="196">
        <f t="shared" si="34"/>
        <v>0.1225008095557216</v>
      </c>
      <c r="AB103" s="196">
        <f t="shared" si="24"/>
        <v>0.16469225535208853</v>
      </c>
      <c r="AC103" s="196">
        <f t="shared" si="32"/>
        <v>0.28719306490781016</v>
      </c>
      <c r="AD103" s="247">
        <f t="shared" si="29"/>
        <v>0.71280693509218984</v>
      </c>
      <c r="AF103" s="251">
        <f t="shared" si="25"/>
        <v>0.57345484789110501</v>
      </c>
      <c r="AG103" s="251">
        <f t="shared" si="26"/>
        <v>0.42654515210889488</v>
      </c>
    </row>
    <row r="104" spans="1:33" x14ac:dyDescent="0.25">
      <c r="A104" s="206">
        <v>2038</v>
      </c>
      <c r="B104" s="195">
        <f t="shared" si="27"/>
        <v>1114.2077994120007</v>
      </c>
      <c r="C104" s="195">
        <f t="shared" si="9"/>
        <v>899.1755406198597</v>
      </c>
      <c r="D104" s="195">
        <f t="shared" si="10"/>
        <v>2655.4534102240827</v>
      </c>
      <c r="E104" s="195">
        <f t="shared" si="11"/>
        <v>4668.8367502559431</v>
      </c>
      <c r="F104" s="221">
        <f t="shared" si="12"/>
        <v>0.23864783864008962</v>
      </c>
      <c r="H104" s="206">
        <v>2038</v>
      </c>
      <c r="I104" s="195">
        <f t="shared" si="13"/>
        <v>677.20337590839722</v>
      </c>
      <c r="J104" s="195">
        <f t="shared" si="14"/>
        <v>133.67937877360566</v>
      </c>
      <c r="K104" s="195">
        <f t="shared" si="15"/>
        <v>934.66288312918789</v>
      </c>
      <c r="L104" s="195">
        <f t="shared" si="16"/>
        <v>500.57305356706672</v>
      </c>
      <c r="M104" s="195">
        <f t="shared" si="17"/>
        <v>2641.3009019994347</v>
      </c>
      <c r="O104" s="195">
        <f t="shared" si="18"/>
        <v>810.88275468200288</v>
      </c>
      <c r="P104" s="196">
        <f t="shared" si="19"/>
        <v>0.83514339403354365</v>
      </c>
      <c r="Q104" s="195">
        <f t="shared" si="20"/>
        <v>4076.5368386956893</v>
      </c>
      <c r="R104" s="196">
        <f t="shared" si="21"/>
        <v>0.12279370293320539</v>
      </c>
      <c r="S104" s="464">
        <f t="shared" si="22"/>
        <v>4887.4195933776919</v>
      </c>
      <c r="T104" s="196">
        <f t="shared" si="28"/>
        <v>0.16591224452689204</v>
      </c>
      <c r="W104" s="195">
        <f t="shared" si="30"/>
        <v>63.568630063463161</v>
      </c>
      <c r="X104" s="195">
        <f t="shared" si="23"/>
        <v>35.487342509328187</v>
      </c>
      <c r="Y104" s="195">
        <f t="shared" si="31"/>
        <v>119.5268705489575</v>
      </c>
      <c r="Z104" s="195">
        <f t="shared" si="33"/>
        <v>218.58284312174885</v>
      </c>
      <c r="AA104" s="196">
        <f t="shared" si="34"/>
        <v>0.12360367697239644</v>
      </c>
      <c r="AB104" s="196">
        <f t="shared" si="24"/>
        <v>0.16721800489243302</v>
      </c>
      <c r="AC104" s="196">
        <f t="shared" si="32"/>
        <v>0.29082168186482943</v>
      </c>
      <c r="AD104" s="247">
        <f t="shared" si="29"/>
        <v>0.70917831813517063</v>
      </c>
      <c r="AF104" s="251">
        <f t="shared" si="25"/>
        <v>0.57498465664659082</v>
      </c>
      <c r="AG104" s="251">
        <f t="shared" si="26"/>
        <v>0.42501534335340929</v>
      </c>
    </row>
    <row r="105" spans="1:33" x14ac:dyDescent="0.25">
      <c r="A105" s="206">
        <v>2039</v>
      </c>
      <c r="B105" s="195">
        <f t="shared" si="27"/>
        <v>1145.3089463158535</v>
      </c>
      <c r="C105" s="195">
        <f t="shared" si="9"/>
        <v>902.28638038040231</v>
      </c>
      <c r="D105" s="195">
        <f t="shared" si="10"/>
        <v>2663.850160543589</v>
      </c>
      <c r="E105" s="195">
        <f t="shared" si="11"/>
        <v>4711.4454872398446</v>
      </c>
      <c r="F105" s="221">
        <f t="shared" si="12"/>
        <v>0.24309077743077567</v>
      </c>
      <c r="H105" s="206">
        <v>2039</v>
      </c>
      <c r="I105" s="195">
        <f t="shared" si="13"/>
        <v>700.2737388804818</v>
      </c>
      <c r="J105" s="195">
        <f t="shared" si="14"/>
        <v>135.9818527359993</v>
      </c>
      <c r="K105" s="195">
        <f t="shared" si="15"/>
        <v>940.35478761407194</v>
      </c>
      <c r="L105" s="195">
        <f t="shared" si="16"/>
        <v>514.39629064508244</v>
      </c>
      <c r="M105" s="195">
        <f t="shared" si="17"/>
        <v>2655.9776447172462</v>
      </c>
      <c r="O105" s="195">
        <f t="shared" si="18"/>
        <v>836.25559161648107</v>
      </c>
      <c r="P105" s="196">
        <f t="shared" si="19"/>
        <v>0.83739199582134149</v>
      </c>
      <c r="Q105" s="195">
        <f t="shared" si="20"/>
        <v>4110.7287229764006</v>
      </c>
      <c r="R105" s="196">
        <f t="shared" si="21"/>
        <v>0.1251350612775611</v>
      </c>
      <c r="S105" s="464">
        <f t="shared" si="22"/>
        <v>4946.9843145928817</v>
      </c>
      <c r="T105" s="196">
        <f t="shared" si="28"/>
        <v>0.16904350983075672</v>
      </c>
      <c r="W105" s="195">
        <f t="shared" si="30"/>
        <v>69.361083209710614</v>
      </c>
      <c r="X105" s="195">
        <f t="shared" si="23"/>
        <v>38.068407233669632</v>
      </c>
      <c r="Y105" s="195">
        <f t="shared" si="31"/>
        <v>128.10933690965658</v>
      </c>
      <c r="Z105" s="195">
        <f t="shared" si="33"/>
        <v>235.53882735303682</v>
      </c>
      <c r="AA105" s="196">
        <f t="shared" si="34"/>
        <v>0.12470758543436425</v>
      </c>
      <c r="AB105" s="196">
        <f t="shared" si="24"/>
        <v>0.16977075594647706</v>
      </c>
      <c r="AC105" s="196">
        <f t="shared" si="32"/>
        <v>0.29447834138084128</v>
      </c>
      <c r="AD105" s="247">
        <f t="shared" si="29"/>
        <v>0.70552165861915872</v>
      </c>
      <c r="AF105" s="251">
        <f t="shared" si="25"/>
        <v>0.5765135566520897</v>
      </c>
      <c r="AG105" s="251">
        <f t="shared" si="26"/>
        <v>0.42348644334791036</v>
      </c>
    </row>
    <row r="106" spans="1:33" x14ac:dyDescent="0.25">
      <c r="A106" s="206">
        <v>2040</v>
      </c>
      <c r="B106" s="195">
        <f t="shared" si="27"/>
        <v>1176.8258968673349</v>
      </c>
      <c r="C106" s="195">
        <f t="shared" si="9"/>
        <v>905.1121976028686</v>
      </c>
      <c r="D106" s="195">
        <f t="shared" si="10"/>
        <v>2672.1505921499956</v>
      </c>
      <c r="E106" s="195">
        <f t="shared" si="11"/>
        <v>4754.088686620199</v>
      </c>
      <c r="F106" s="221">
        <f t="shared" si="12"/>
        <v>0.24753974409004345</v>
      </c>
      <c r="H106" s="206">
        <v>2040</v>
      </c>
      <c r="I106" s="195">
        <f t="shared" si="13"/>
        <v>723.85501476229342</v>
      </c>
      <c r="J106" s="195">
        <f t="shared" si="14"/>
        <v>138.30144805234917</v>
      </c>
      <c r="K106" s="195">
        <f t="shared" si="15"/>
        <v>945.80476165992604</v>
      </c>
      <c r="L106" s="195">
        <f t="shared" si="16"/>
        <v>528.39789088548241</v>
      </c>
      <c r="M106" s="195">
        <f t="shared" si="17"/>
        <v>2670.6863217634691</v>
      </c>
      <c r="O106" s="195">
        <f t="shared" si="18"/>
        <v>862.15646281464262</v>
      </c>
      <c r="P106" s="196">
        <f t="shared" si="19"/>
        <v>0.83958660171630239</v>
      </c>
      <c r="Q106" s="195">
        <f t="shared" si="20"/>
        <v>4144.8889743088776</v>
      </c>
      <c r="R106" s="196">
        <f t="shared" si="21"/>
        <v>0.12748179605307472</v>
      </c>
      <c r="S106" s="464">
        <f t="shared" si="22"/>
        <v>5007.0454371235201</v>
      </c>
      <c r="T106" s="196">
        <f t="shared" si="28"/>
        <v>0.17218866368225727</v>
      </c>
      <c r="W106" s="195">
        <f t="shared" si="30"/>
        <v>75.427008780440929</v>
      </c>
      <c r="X106" s="195">
        <f t="shared" si="23"/>
        <v>40.692564057057439</v>
      </c>
      <c r="Y106" s="195">
        <f t="shared" si="31"/>
        <v>136.83717766582276</v>
      </c>
      <c r="Z106" s="195">
        <f t="shared" si="33"/>
        <v>252.95675050332113</v>
      </c>
      <c r="AA106" s="196">
        <f t="shared" si="34"/>
        <v>0.12581998784776455</v>
      </c>
      <c r="AB106" s="196">
        <f t="shared" si="24"/>
        <v>0.17236145475204712</v>
      </c>
      <c r="AC106" s="196">
        <f t="shared" si="32"/>
        <v>0.29818144259981166</v>
      </c>
      <c r="AD106" s="247">
        <f t="shared" si="29"/>
        <v>0.70181855740018839</v>
      </c>
      <c r="AF106" s="251">
        <f t="shared" si="25"/>
        <v>0.57804219219427699</v>
      </c>
      <c r="AG106" s="251">
        <f t="shared" si="26"/>
        <v>0.42195780780572301</v>
      </c>
    </row>
    <row r="107" spans="1:33" x14ac:dyDescent="0.25">
      <c r="A107" s="206">
        <v>2041</v>
      </c>
      <c r="B107" s="195">
        <f t="shared" si="27"/>
        <v>1208.7545385261592</v>
      </c>
      <c r="C107" s="195">
        <f t="shared" si="9"/>
        <v>907.65219347097025</v>
      </c>
      <c r="D107" s="195">
        <f t="shared" si="10"/>
        <v>2680.3662844550463</v>
      </c>
      <c r="E107" s="195">
        <f t="shared" si="11"/>
        <v>4796.7730164521754</v>
      </c>
      <c r="F107" s="221">
        <f t="shared" si="12"/>
        <v>0.25199327430760671</v>
      </c>
      <c r="H107" s="206">
        <v>2041</v>
      </c>
      <c r="I107" s="195">
        <f t="shared" si="13"/>
        <v>747.95644933915844</v>
      </c>
      <c r="J107" s="195">
        <f t="shared" si="14"/>
        <v>140.63899471009057</v>
      </c>
      <c r="K107" s="195">
        <f t="shared" si="15"/>
        <v>951.01290020357283</v>
      </c>
      <c r="L107" s="195">
        <f t="shared" si="16"/>
        <v>542.58131316048002</v>
      </c>
      <c r="M107" s="195">
        <f t="shared" si="17"/>
        <v>2685.4491636563798</v>
      </c>
      <c r="O107" s="195">
        <f t="shared" si="18"/>
        <v>888.59544404924895</v>
      </c>
      <c r="P107" s="196">
        <f t="shared" si="19"/>
        <v>0.841728881627829</v>
      </c>
      <c r="Q107" s="195">
        <f t="shared" si="20"/>
        <v>4179.0433770204327</v>
      </c>
      <c r="R107" s="196">
        <f t="shared" si="21"/>
        <v>0.12983385531339681</v>
      </c>
      <c r="S107" s="464">
        <f t="shared" si="22"/>
        <v>5067.6388210696814</v>
      </c>
      <c r="T107" s="196">
        <f t="shared" si="28"/>
        <v>0.17534703545855376</v>
      </c>
      <c r="W107" s="195">
        <f t="shared" si="30"/>
        <v>81.78322397347938</v>
      </c>
      <c r="X107" s="195">
        <f t="shared" si="23"/>
        <v>43.36070673260258</v>
      </c>
      <c r="Y107" s="195">
        <f t="shared" si="31"/>
        <v>145.72187391142415</v>
      </c>
      <c r="Z107" s="195">
        <f t="shared" si="33"/>
        <v>270.86580461750611</v>
      </c>
      <c r="AA107" s="196">
        <f t="shared" si="34"/>
        <v>0.12694165645188452</v>
      </c>
      <c r="AB107" s="196">
        <f t="shared" si="24"/>
        <v>0.17499097062507987</v>
      </c>
      <c r="AC107" s="196">
        <f t="shared" si="32"/>
        <v>0.30193262707696444</v>
      </c>
      <c r="AD107" s="247">
        <f t="shared" si="29"/>
        <v>0.69806737292303556</v>
      </c>
      <c r="AF107" s="251">
        <f t="shared" si="25"/>
        <v>0.57956959577102485</v>
      </c>
      <c r="AG107" s="251">
        <f t="shared" si="26"/>
        <v>0.42043040422897504</v>
      </c>
    </row>
    <row r="108" spans="1:33" x14ac:dyDescent="0.25">
      <c r="A108" s="206">
        <v>2042</v>
      </c>
      <c r="B108" s="195">
        <f t="shared" si="27"/>
        <v>1241.0907587520403</v>
      </c>
      <c r="C108" s="195">
        <f t="shared" si="9"/>
        <v>909.90556916841865</v>
      </c>
      <c r="D108" s="195">
        <f t="shared" si="10"/>
        <v>2688.5088168704833</v>
      </c>
      <c r="E108" s="195">
        <f t="shared" si="11"/>
        <v>4839.5051447909427</v>
      </c>
      <c r="F108" s="221">
        <f t="shared" si="12"/>
        <v>0.25644993064795119</v>
      </c>
      <c r="H108" s="206">
        <v>2042</v>
      </c>
      <c r="I108" s="195">
        <f t="shared" si="13"/>
        <v>772.58485172782196</v>
      </c>
      <c r="J108" s="195">
        <f t="shared" si="14"/>
        <v>142.99398507020547</v>
      </c>
      <c r="K108" s="195">
        <f t="shared" si="15"/>
        <v>955.97576493975942</v>
      </c>
      <c r="L108" s="195">
        <f t="shared" si="16"/>
        <v>556.94779684929733</v>
      </c>
      <c r="M108" s="195">
        <f t="shared" si="17"/>
        <v>2700.2726192552705</v>
      </c>
      <c r="O108" s="195">
        <f t="shared" si="18"/>
        <v>915.5788367980274</v>
      </c>
      <c r="P108" s="196">
        <f t="shared" si="19"/>
        <v>0.84382122071509913</v>
      </c>
      <c r="Q108" s="195">
        <f t="shared" si="20"/>
        <v>4213.1961810443272</v>
      </c>
      <c r="R108" s="196">
        <f t="shared" si="21"/>
        <v>0.1321912801865415</v>
      </c>
      <c r="S108" s="464">
        <f t="shared" si="22"/>
        <v>5128.7750178423548</v>
      </c>
      <c r="T108" s="196">
        <f t="shared" si="28"/>
        <v>0.17851803473789457</v>
      </c>
      <c r="W108" s="195">
        <f t="shared" si="30"/>
        <v>88.441889825078988</v>
      </c>
      <c r="X108" s="195">
        <f t="shared" si="23"/>
        <v>46.070195771340764</v>
      </c>
      <c r="Y108" s="195">
        <f t="shared" si="31"/>
        <v>154.75778745499247</v>
      </c>
      <c r="Z108" s="195">
        <f t="shared" si="33"/>
        <v>289.26987305141222</v>
      </c>
      <c r="AA108" s="196">
        <f t="shared" si="34"/>
        <v>0.12807674827693138</v>
      </c>
      <c r="AB108" s="196">
        <f t="shared" si="24"/>
        <v>0.17766504533653668</v>
      </c>
      <c r="AC108" s="196">
        <f t="shared" si="32"/>
        <v>0.30574179361346809</v>
      </c>
      <c r="AD108" s="247">
        <f t="shared" si="29"/>
        <v>0.69425820638653191</v>
      </c>
      <c r="AF108" s="251">
        <f t="shared" si="25"/>
        <v>0.58109505814291273</v>
      </c>
      <c r="AG108" s="251">
        <f t="shared" si="26"/>
        <v>0.41890494185708721</v>
      </c>
    </row>
    <row r="109" spans="1:33" x14ac:dyDescent="0.25">
      <c r="A109" s="206">
        <v>2043</v>
      </c>
      <c r="B109" s="195">
        <f t="shared" si="27"/>
        <v>1273.830445004693</v>
      </c>
      <c r="C109" s="195">
        <f t="shared" si="9"/>
        <v>911.87152587892524</v>
      </c>
      <c r="D109" s="195">
        <f t="shared" si="10"/>
        <v>2696.5897688080513</v>
      </c>
      <c r="E109" s="195">
        <f t="shared" si="11"/>
        <v>4882.2917396916691</v>
      </c>
      <c r="F109" s="221">
        <f t="shared" si="12"/>
        <v>0.26090830145376342</v>
      </c>
      <c r="H109" s="206">
        <v>2043</v>
      </c>
      <c r="I109" s="195">
        <f t="shared" si="13"/>
        <v>797.76465800697338</v>
      </c>
      <c r="J109" s="195">
        <f t="shared" si="14"/>
        <v>145.36887989318475</v>
      </c>
      <c r="K109" s="195">
        <f t="shared" si="15"/>
        <v>960.70116964896306</v>
      </c>
      <c r="L109" s="195">
        <f t="shared" si="16"/>
        <v>571.50528742086453</v>
      </c>
      <c r="M109" s="195">
        <f t="shared" si="17"/>
        <v>2715.1861314274793</v>
      </c>
      <c r="O109" s="195">
        <f t="shared" si="18"/>
        <v>943.1335379001581</v>
      </c>
      <c r="P109" s="196">
        <f t="shared" si="19"/>
        <v>0.84586606874691195</v>
      </c>
      <c r="Q109" s="195">
        <f t="shared" si="20"/>
        <v>4247.3925884973069</v>
      </c>
      <c r="R109" s="196">
        <f t="shared" si="21"/>
        <v>0.13455438260371841</v>
      </c>
      <c r="S109" s="464">
        <f t="shared" si="22"/>
        <v>5190.5261263974653</v>
      </c>
      <c r="T109" s="196">
        <f t="shared" si="28"/>
        <v>0.18170287846229358</v>
      </c>
      <c r="W109" s="195">
        <f t="shared" si="30"/>
        <v>95.439500423144864</v>
      </c>
      <c r="X109" s="195">
        <f t="shared" si="23"/>
        <v>48.829643770037819</v>
      </c>
      <c r="Y109" s="195">
        <f t="shared" si="31"/>
        <v>163.9652425126128</v>
      </c>
      <c r="Z109" s="195">
        <f t="shared" si="33"/>
        <v>308.23438670579549</v>
      </c>
      <c r="AA109" s="196">
        <f t="shared" si="34"/>
        <v>0.12923443462723783</v>
      </c>
      <c r="AB109" s="196">
        <f t="shared" si="24"/>
        <v>0.1803984439206065</v>
      </c>
      <c r="AC109" s="196">
        <f t="shared" si="32"/>
        <v>0.30963287854784433</v>
      </c>
      <c r="AD109" s="247">
        <f t="shared" si="29"/>
        <v>0.69036712145215562</v>
      </c>
      <c r="AF109" s="251">
        <f t="shared" si="25"/>
        <v>0.58262043994378787</v>
      </c>
      <c r="AG109" s="251">
        <f t="shared" si="26"/>
        <v>0.41737956005621207</v>
      </c>
    </row>
    <row r="110" spans="1:33" x14ac:dyDescent="0.25">
      <c r="A110" s="206">
        <v>2044</v>
      </c>
      <c r="B110" s="195">
        <f t="shared" si="27"/>
        <v>1306.9694847438309</v>
      </c>
      <c r="C110" s="195">
        <f t="shared" si="9"/>
        <v>913.54926478620166</v>
      </c>
      <c r="D110" s="195">
        <f t="shared" si="10"/>
        <v>2704.620719679493</v>
      </c>
      <c r="E110" s="195">
        <f t="shared" si="11"/>
        <v>4925.1394692095255</v>
      </c>
      <c r="F110" s="221">
        <f t="shared" si="12"/>
        <v>0.26536699984124446</v>
      </c>
      <c r="H110" s="206">
        <v>2044</v>
      </c>
      <c r="I110" s="195">
        <f t="shared" si="13"/>
        <v>823.52574959980484</v>
      </c>
      <c r="J110" s="195">
        <f t="shared" si="14"/>
        <v>147.76648598180901</v>
      </c>
      <c r="K110" s="195">
        <f t="shared" si="15"/>
        <v>965.19906895321162</v>
      </c>
      <c r="L110" s="195">
        <f t="shared" si="16"/>
        <v>586.26254584970354</v>
      </c>
      <c r="M110" s="195">
        <f t="shared" si="17"/>
        <v>2730.2197673054807</v>
      </c>
      <c r="O110" s="195">
        <f t="shared" si="18"/>
        <v>971.2922355816138</v>
      </c>
      <c r="P110" s="196">
        <f t="shared" si="19"/>
        <v>0.84786608955714982</v>
      </c>
      <c r="Q110" s="195">
        <f t="shared" si="20"/>
        <v>4281.6813821083961</v>
      </c>
      <c r="R110" s="196">
        <f t="shared" si="21"/>
        <v>0.13692344047352134</v>
      </c>
      <c r="S110" s="464">
        <f t="shared" si="22"/>
        <v>5252.9736176900096</v>
      </c>
      <c r="T110" s="196">
        <f t="shared" si="28"/>
        <v>0.18490331501202906</v>
      </c>
      <c r="W110" s="195">
        <f t="shared" si="30"/>
        <v>102.81881070567761</v>
      </c>
      <c r="X110" s="195">
        <f t="shared" si="23"/>
        <v>51.649804167009961</v>
      </c>
      <c r="Y110" s="195">
        <f t="shared" si="31"/>
        <v>173.36553360779681</v>
      </c>
      <c r="Z110" s="195">
        <f t="shared" si="33"/>
        <v>327.83414848048437</v>
      </c>
      <c r="AA110" s="196">
        <f t="shared" si="34"/>
        <v>0.13042373578630009</v>
      </c>
      <c r="AB110" s="196">
        <f t="shared" si="24"/>
        <v>0.18320683376310212</v>
      </c>
      <c r="AC110" s="196">
        <f t="shared" si="32"/>
        <v>0.31363056954940222</v>
      </c>
      <c r="AD110" s="247">
        <f t="shared" si="29"/>
        <v>0.68636943045059784</v>
      </c>
      <c r="AF110" s="251">
        <f t="shared" si="25"/>
        <v>0.58414852234052994</v>
      </c>
      <c r="AG110" s="251">
        <f t="shared" si="26"/>
        <v>0.41585147765947</v>
      </c>
    </row>
    <row r="111" spans="1:33" x14ac:dyDescent="0.25">
      <c r="A111" s="206">
        <v>2045</v>
      </c>
      <c r="B111" s="195">
        <f t="shared" si="27"/>
        <v>1340.5037654291691</v>
      </c>
      <c r="C111" s="195">
        <f t="shared" si="9"/>
        <v>914.93798707395899</v>
      </c>
      <c r="D111" s="195">
        <f t="shared" si="10"/>
        <v>2712.6132488965522</v>
      </c>
      <c r="E111" s="195">
        <f t="shared" si="11"/>
        <v>4968.0550013996799</v>
      </c>
      <c r="F111" s="221">
        <f t="shared" si="12"/>
        <v>0.26982466278080675</v>
      </c>
      <c r="H111" s="206">
        <v>2045</v>
      </c>
      <c r="I111" s="195">
        <f t="shared" si="13"/>
        <v>849.89671466560526</v>
      </c>
      <c r="J111" s="195">
        <f t="shared" si="14"/>
        <v>150.18936721711148</v>
      </c>
      <c r="K111" s="195">
        <f t="shared" si="15"/>
        <v>969.47776706875266</v>
      </c>
      <c r="L111" s="195">
        <f t="shared" si="16"/>
        <v>601.22692418876795</v>
      </c>
      <c r="M111" s="195">
        <f t="shared" si="17"/>
        <v>2745.4056549194211</v>
      </c>
      <c r="O111" s="195">
        <f t="shared" si="18"/>
        <v>1000.0860818827167</v>
      </c>
      <c r="P111" s="196">
        <f t="shared" si="19"/>
        <v>0.84982356025356165</v>
      </c>
      <c r="Q111" s="195">
        <f t="shared" si="20"/>
        <v>4316.1103461769417</v>
      </c>
      <c r="R111" s="196">
        <f t="shared" si="21"/>
        <v>0.1392983209341053</v>
      </c>
      <c r="S111" s="464">
        <f t="shared" si="22"/>
        <v>5316.1964280596585</v>
      </c>
      <c r="T111" s="196">
        <f t="shared" si="28"/>
        <v>0.18812060378433665</v>
      </c>
      <c r="W111" s="195">
        <f t="shared" si="30"/>
        <v>110.6198734252041</v>
      </c>
      <c r="X111" s="195">
        <f t="shared" si="23"/>
        <v>54.539779994793662</v>
      </c>
      <c r="Y111" s="195">
        <f t="shared" si="31"/>
        <v>182.98177323998016</v>
      </c>
      <c r="Z111" s="195">
        <f t="shared" si="33"/>
        <v>348.14142665997792</v>
      </c>
      <c r="AA111" s="196">
        <f t="shared" si="34"/>
        <v>0.13164714849204878</v>
      </c>
      <c r="AB111" s="196">
        <f t="shared" si="24"/>
        <v>0.18609692030917463</v>
      </c>
      <c r="AC111" s="196">
        <f t="shared" si="32"/>
        <v>0.31774406880122341</v>
      </c>
      <c r="AD111" s="247">
        <f t="shared" si="29"/>
        <v>0.68225593119877659</v>
      </c>
      <c r="AF111" s="251">
        <f t="shared" si="25"/>
        <v>0.58568180678014314</v>
      </c>
      <c r="AG111" s="251">
        <f t="shared" si="26"/>
        <v>0.41431819321985686</v>
      </c>
    </row>
    <row r="112" spans="1:33" x14ac:dyDescent="0.25">
      <c r="A112" s="206">
        <v>2046</v>
      </c>
      <c r="B112" s="195">
        <f t="shared" si="27"/>
        <v>1374.4291745204221</v>
      </c>
      <c r="C112" s="195">
        <f t="shared" si="9"/>
        <v>916.036893925909</v>
      </c>
      <c r="D112" s="195">
        <f t="shared" si="10"/>
        <v>2720.5789358709721</v>
      </c>
      <c r="E112" s="195">
        <f t="shared" si="11"/>
        <v>5011.0450043173032</v>
      </c>
      <c r="F112" s="221">
        <f t="shared" si="12"/>
        <v>0.27427995025713647</v>
      </c>
      <c r="H112" s="206">
        <v>2046</v>
      </c>
      <c r="I112" s="195">
        <f t="shared" si="13"/>
        <v>876.89775755898643</v>
      </c>
      <c r="J112" s="195">
        <f t="shared" si="14"/>
        <v>152.63917123098608</v>
      </c>
      <c r="K112" s="195">
        <f t="shared" si="15"/>
        <v>973.54152931111423</v>
      </c>
      <c r="L112" s="195">
        <f t="shared" si="16"/>
        <v>616.40181467466107</v>
      </c>
      <c r="M112" s="195">
        <f t="shared" si="17"/>
        <v>2760.7717913452179</v>
      </c>
      <c r="O112" s="195">
        <f t="shared" si="18"/>
        <v>1029.5369287899725</v>
      </c>
      <c r="P112" s="196">
        <f t="shared" si="19"/>
        <v>0.85173997458217954</v>
      </c>
      <c r="Q112" s="195">
        <f t="shared" si="20"/>
        <v>4350.7151353309937</v>
      </c>
      <c r="R112" s="196">
        <f t="shared" si="21"/>
        <v>0.14167827483556136</v>
      </c>
      <c r="S112" s="464">
        <f t="shared" si="22"/>
        <v>5380.2520641209667</v>
      </c>
      <c r="T112" s="196">
        <f t="shared" si="28"/>
        <v>0.19135477604396955</v>
      </c>
      <c r="W112" s="195">
        <f t="shared" si="30"/>
        <v>118.87039771322543</v>
      </c>
      <c r="X112" s="195">
        <f t="shared" si="23"/>
        <v>57.504635385205233</v>
      </c>
      <c r="Y112" s="195">
        <f t="shared" si="31"/>
        <v>192.83202670523178</v>
      </c>
      <c r="Z112" s="195">
        <f t="shared" si="33"/>
        <v>369.20705980366245</v>
      </c>
      <c r="AA112" s="196">
        <f t="shared" si="34"/>
        <v>0.13289868595989751</v>
      </c>
      <c r="AB112" s="196">
        <f t="shared" si="24"/>
        <v>0.18906264862682068</v>
      </c>
      <c r="AC112" s="196">
        <f t="shared" si="32"/>
        <v>0.32196133458671816</v>
      </c>
      <c r="AD112" s="247">
        <f t="shared" si="29"/>
        <v>0.67803866541328184</v>
      </c>
      <c r="AF112" s="251">
        <f t="shared" si="25"/>
        <v>0.58722159562889342</v>
      </c>
      <c r="AG112" s="251">
        <f t="shared" si="26"/>
        <v>0.41277840437110663</v>
      </c>
    </row>
    <row r="113" spans="1:53" x14ac:dyDescent="0.25">
      <c r="A113" s="206">
        <v>2047</v>
      </c>
      <c r="B113" s="195">
        <f t="shared" si="27"/>
        <v>1408.7415994773037</v>
      </c>
      <c r="C113" s="195">
        <f t="shared" si="9"/>
        <v>916.8451865257631</v>
      </c>
      <c r="D113" s="195">
        <f t="shared" si="10"/>
        <v>2728.529360014496</v>
      </c>
      <c r="E113" s="195">
        <f t="shared" si="11"/>
        <v>5054.1161460175626</v>
      </c>
      <c r="F113" s="221">
        <f t="shared" si="12"/>
        <v>0.2787315445030551</v>
      </c>
      <c r="H113" s="206">
        <v>2047</v>
      </c>
      <c r="I113" s="195">
        <f t="shared" si="13"/>
        <v>904.5471708924656</v>
      </c>
      <c r="J113" s="195">
        <f t="shared" si="14"/>
        <v>155.11729521074162</v>
      </c>
      <c r="K113" s="195">
        <f t="shared" si="15"/>
        <v>977.39198892725449</v>
      </c>
      <c r="L113" s="195">
        <f t="shared" si="16"/>
        <v>631.79108899626181</v>
      </c>
      <c r="M113" s="195">
        <f t="shared" si="17"/>
        <v>2776.3511630866724</v>
      </c>
      <c r="O113" s="195">
        <f t="shared" si="18"/>
        <v>1059.6644661032071</v>
      </c>
      <c r="P113" s="196">
        <f t="shared" si="19"/>
        <v>0.85361659263599987</v>
      </c>
      <c r="Q113" s="195">
        <f t="shared" si="20"/>
        <v>4385.5342410101885</v>
      </c>
      <c r="R113" s="196">
        <f t="shared" si="21"/>
        <v>0.14406251422876395</v>
      </c>
      <c r="S113" s="464">
        <f t="shared" si="22"/>
        <v>5445.1987071133954</v>
      </c>
      <c r="T113" s="196">
        <f t="shared" si="28"/>
        <v>0.19460528864059687</v>
      </c>
      <c r="W113" s="195">
        <f t="shared" si="30"/>
        <v>127.59666041142373</v>
      </c>
      <c r="X113" s="195">
        <f t="shared" si="23"/>
        <v>60.546802401491391</v>
      </c>
      <c r="Y113" s="195">
        <f t="shared" si="31"/>
        <v>202.93909828291817</v>
      </c>
      <c r="Z113" s="195">
        <f t="shared" si="33"/>
        <v>391.08256109583328</v>
      </c>
      <c r="AA113" s="196">
        <f t="shared" si="34"/>
        <v>0.13417064490332176</v>
      </c>
      <c r="AB113" s="196">
        <f t="shared" si="24"/>
        <v>0.19209463282701569</v>
      </c>
      <c r="AC113" s="196">
        <f t="shared" si="32"/>
        <v>0.32626527773033748</v>
      </c>
      <c r="AD113" s="247">
        <f t="shared" si="29"/>
        <v>0.67373472226966247</v>
      </c>
      <c r="AF113" s="251">
        <f t="shared" si="25"/>
        <v>0.58876823842034587</v>
      </c>
      <c r="AG113" s="251">
        <f t="shared" si="26"/>
        <v>0.41123176157965408</v>
      </c>
    </row>
    <row r="114" spans="1:53" x14ac:dyDescent="0.25">
      <c r="A114" s="206">
        <v>2048</v>
      </c>
      <c r="B114" s="195">
        <f t="shared" si="27"/>
        <v>1443.4369277595276</v>
      </c>
      <c r="C114" s="195">
        <f t="shared" si="9"/>
        <v>917.3620660572326</v>
      </c>
      <c r="D114" s="195">
        <f t="shared" si="10"/>
        <v>2736.4761007388674</v>
      </c>
      <c r="E114" s="195">
        <f t="shared" si="11"/>
        <v>5097.2750945556272</v>
      </c>
      <c r="F114" s="221">
        <f t="shared" si="12"/>
        <v>0.28317814930201729</v>
      </c>
      <c r="H114" s="206">
        <v>2048</v>
      </c>
      <c r="I114" s="195">
        <f t="shared" si="13"/>
        <v>932.87091493796902</v>
      </c>
      <c r="J114" s="195">
        <f t="shared" si="14"/>
        <v>157.62548704405319</v>
      </c>
      <c r="K114" s="195">
        <f t="shared" si="15"/>
        <v>981.03165220920243</v>
      </c>
      <c r="L114" s="195">
        <f t="shared" si="16"/>
        <v>647.40283510694383</v>
      </c>
      <c r="M114" s="195">
        <f t="shared" si="17"/>
        <v>2792.1873188087598</v>
      </c>
      <c r="O114" s="195">
        <f t="shared" si="18"/>
        <v>1090.4964019820222</v>
      </c>
      <c r="P114" s="196">
        <f t="shared" si="19"/>
        <v>0.85545528920814196</v>
      </c>
      <c r="Q114" s="195">
        <f t="shared" si="20"/>
        <v>4420.6218061249056</v>
      </c>
      <c r="R114" s="196">
        <f t="shared" si="21"/>
        <v>0.14645062697061023</v>
      </c>
      <c r="S114" s="464">
        <f t="shared" si="22"/>
        <v>5511.1182081069273</v>
      </c>
      <c r="T114" s="196">
        <f t="shared" si="28"/>
        <v>0.1978720761927929</v>
      </c>
      <c r="W114" s="195">
        <f t="shared" si="30"/>
        <v>136.83682228538532</v>
      </c>
      <c r="X114" s="195">
        <f t="shared" si="23"/>
        <v>63.669586151969838</v>
      </c>
      <c r="Y114" s="195">
        <f t="shared" si="31"/>
        <v>213.3367051139453</v>
      </c>
      <c r="Z114" s="195">
        <f t="shared" si="33"/>
        <v>413.84311355130046</v>
      </c>
      <c r="AA114" s="196">
        <f t="shared" si="34"/>
        <v>0.13545951557617239</v>
      </c>
      <c r="AB114" s="196">
        <f t="shared" si="24"/>
        <v>0.19518951011656241</v>
      </c>
      <c r="AC114" s="196">
        <f t="shared" si="32"/>
        <v>0.33064902569273485</v>
      </c>
      <c r="AD114" s="247">
        <f t="shared" si="29"/>
        <v>0.6693509743072652</v>
      </c>
      <c r="AF114" s="251">
        <f t="shared" si="25"/>
        <v>0.59032235073920314</v>
      </c>
      <c r="AG114" s="251">
        <f t="shared" si="26"/>
        <v>0.40967764926079675</v>
      </c>
    </row>
    <row r="115" spans="1:53" x14ac:dyDescent="0.25">
      <c r="A115" s="206">
        <v>2049</v>
      </c>
      <c r="B115" s="195">
        <f t="shared" si="27"/>
        <v>1478.5110468268094</v>
      </c>
      <c r="C115" s="195">
        <f t="shared" si="9"/>
        <v>917.58673370402914</v>
      </c>
      <c r="D115" s="195">
        <f t="shared" si="10"/>
        <v>2744.4307374558298</v>
      </c>
      <c r="E115" s="195">
        <f t="shared" si="11"/>
        <v>5140.5285179866678</v>
      </c>
      <c r="F115" s="221">
        <f t="shared" si="12"/>
        <v>0.28761848935445278</v>
      </c>
      <c r="H115" s="206">
        <v>2049</v>
      </c>
      <c r="I115" s="195">
        <f t="shared" si="13"/>
        <v>961.89662840506276</v>
      </c>
      <c r="J115" s="195">
        <f t="shared" si="14"/>
        <v>160.16538510124647</v>
      </c>
      <c r="K115" s="195">
        <f t="shared" si="15"/>
        <v>984.46198819257177</v>
      </c>
      <c r="L115" s="195">
        <f t="shared" si="16"/>
        <v>663.24605138159416</v>
      </c>
      <c r="M115" s="195">
        <f t="shared" si="17"/>
        <v>2808.3295647235745</v>
      </c>
      <c r="O115" s="195">
        <f t="shared" si="18"/>
        <v>1122.0620135063093</v>
      </c>
      <c r="P115" s="196">
        <f t="shared" si="19"/>
        <v>0.85725799182814422</v>
      </c>
      <c r="Q115" s="195">
        <f t="shared" si="20"/>
        <v>4456.0376042977405</v>
      </c>
      <c r="R115" s="196">
        <f t="shared" si="21"/>
        <v>0.14884211271958508</v>
      </c>
      <c r="S115" s="464">
        <f t="shared" si="22"/>
        <v>5578.0996178040496</v>
      </c>
      <c r="T115" s="196">
        <f t="shared" si="28"/>
        <v>0.20115488972712817</v>
      </c>
      <c r="W115" s="195">
        <f t="shared" si="30"/>
        <v>146.63163295984759</v>
      </c>
      <c r="X115" s="195">
        <f t="shared" si="23"/>
        <v>66.875254488542623</v>
      </c>
      <c r="Y115" s="195">
        <f t="shared" si="31"/>
        <v>224.06421236899132</v>
      </c>
      <c r="Z115" s="195">
        <f t="shared" si="33"/>
        <v>437.57109981738154</v>
      </c>
      <c r="AA115" s="196">
        <f t="shared" si="34"/>
        <v>0.13676098426299274</v>
      </c>
      <c r="AB115" s="196">
        <f t="shared" si="24"/>
        <v>0.19834257495525473</v>
      </c>
      <c r="AC115" s="196">
        <f t="shared" si="32"/>
        <v>0.33510355921824747</v>
      </c>
      <c r="AD115" s="247">
        <f t="shared" si="29"/>
        <v>0.66489644078175247</v>
      </c>
      <c r="AF115" s="251">
        <f t="shared" si="25"/>
        <v>0.59188441751547449</v>
      </c>
      <c r="AG115" s="251">
        <f t="shared" si="26"/>
        <v>0.40811558248452545</v>
      </c>
    </row>
    <row r="116" spans="1:53" ht="13.8" thickBot="1" x14ac:dyDescent="0.3">
      <c r="A116" s="208">
        <v>2050</v>
      </c>
      <c r="B116" s="195">
        <f t="shared" si="27"/>
        <v>1513.959844138863</v>
      </c>
      <c r="C116" s="195">
        <f t="shared" si="9"/>
        <v>917.51839064986405</v>
      </c>
      <c r="D116" s="195">
        <f t="shared" si="10"/>
        <v>2752.4048495771258</v>
      </c>
      <c r="E116" s="195">
        <f t="shared" si="11"/>
        <v>5183.8830843658525</v>
      </c>
      <c r="F116" s="222">
        <f t="shared" si="12"/>
        <v>0.29205130970349935</v>
      </c>
      <c r="H116" s="208">
        <v>2050</v>
      </c>
      <c r="I116" s="195">
        <f t="shared" si="13"/>
        <v>991.65015602386597</v>
      </c>
      <c r="J116" s="195">
        <f t="shared" si="14"/>
        <v>162.73859809909746</v>
      </c>
      <c r="K116" s="195">
        <f t="shared" si="15"/>
        <v>987.68408798791017</v>
      </c>
      <c r="L116" s="195">
        <f t="shared" si="16"/>
        <v>679.32715015359497</v>
      </c>
      <c r="M116" s="195">
        <f t="shared" si="17"/>
        <v>2824.8221027591708</v>
      </c>
      <c r="O116" s="195">
        <f t="shared" si="18"/>
        <v>1154.3887541229635</v>
      </c>
      <c r="P116" s="210">
        <f t="shared" si="19"/>
        <v>0.85902617509234425</v>
      </c>
      <c r="Q116" s="195">
        <f t="shared" si="20"/>
        <v>4491.8333409006764</v>
      </c>
      <c r="R116" s="210">
        <f t="shared" si="21"/>
        <v>0.15123605410021296</v>
      </c>
      <c r="S116" s="464">
        <f t="shared" si="22"/>
        <v>5646.2220950236397</v>
      </c>
      <c r="T116" s="196">
        <f t="shared" si="28"/>
        <v>0.20445330252601945</v>
      </c>
      <c r="W116" s="195">
        <f t="shared" si="30"/>
        <v>157.01746203859784</v>
      </c>
      <c r="X116" s="195">
        <f t="shared" si="23"/>
        <v>70.16569733804613</v>
      </c>
      <c r="Y116" s="195">
        <f t="shared" si="31"/>
        <v>235.15585128114253</v>
      </c>
      <c r="Z116" s="195">
        <f t="shared" si="33"/>
        <v>462.3390106577865</v>
      </c>
      <c r="AA116" s="196">
        <f t="shared" si="34"/>
        <v>0.13806889031087166</v>
      </c>
      <c r="AB116" s="196">
        <f t="shared" si="24"/>
        <v>0.20154653996658514</v>
      </c>
      <c r="AC116" s="196">
        <f t="shared" si="32"/>
        <v>0.33961543027745678</v>
      </c>
      <c r="AD116" s="247">
        <f t="shared" si="29"/>
        <v>0.66038456972254322</v>
      </c>
      <c r="AF116" s="251">
        <f t="shared" si="25"/>
        <v>0.5934551907783665</v>
      </c>
      <c r="AG116" s="251">
        <f t="shared" si="26"/>
        <v>0.40654480922163355</v>
      </c>
    </row>
    <row r="117" spans="1:53" x14ac:dyDescent="0.25">
      <c r="A117" s="213">
        <v>2051</v>
      </c>
      <c r="B117" s="195">
        <f t="shared" si="27"/>
        <v>1549.7792071554024</v>
      </c>
      <c r="C117" s="195">
        <f t="shared" si="9"/>
        <v>917.15623807844872</v>
      </c>
      <c r="D117" s="195">
        <f t="shared" si="10"/>
        <v>2760.4100165145005</v>
      </c>
      <c r="E117" s="195">
        <f t="shared" si="11"/>
        <v>5227.3454617483521</v>
      </c>
      <c r="F117" s="214">
        <f t="shared" si="12"/>
        <v>0.29647537521598183</v>
      </c>
      <c r="H117" s="213">
        <v>2051</v>
      </c>
      <c r="I117" s="195">
        <f t="shared" si="13"/>
        <v>1022.154357138895</v>
      </c>
      <c r="J117" s="195">
        <f t="shared" si="14"/>
        <v>165.34637696505172</v>
      </c>
      <c r="K117" s="195">
        <f t="shared" si="15"/>
        <v>990.69961490746425</v>
      </c>
      <c r="L117" s="195">
        <f t="shared" si="16"/>
        <v>695.64854099253182</v>
      </c>
      <c r="M117" s="195">
        <f t="shared" si="17"/>
        <v>2841.6970335204373</v>
      </c>
      <c r="O117" s="195">
        <f t="shared" si="18"/>
        <v>1187.5007341039468</v>
      </c>
      <c r="P117" s="214">
        <f t="shared" si="19"/>
        <v>0.86076103179016783</v>
      </c>
      <c r="Q117" s="195">
        <f t="shared" si="20"/>
        <v>4528.0451894204334</v>
      </c>
      <c r="R117" s="214">
        <f t="shared" si="21"/>
        <v>0.15363109507340655</v>
      </c>
      <c r="S117" s="464">
        <f t="shared" si="22"/>
        <v>5715.5459235243798</v>
      </c>
      <c r="T117" s="196">
        <f t="shared" si="28"/>
        <v>0.20776680827921643</v>
      </c>
      <c r="W117" s="195">
        <f t="shared" si="30"/>
        <v>168.02369097602445</v>
      </c>
      <c r="X117" s="195">
        <f t="shared" si="23"/>
        <v>73.543376829015529</v>
      </c>
      <c r="Y117" s="195">
        <f t="shared" si="31"/>
        <v>246.63339397098844</v>
      </c>
      <c r="Z117" s="195">
        <f t="shared" si="33"/>
        <v>488.20046177602842</v>
      </c>
      <c r="AA117" s="196">
        <f t="shared" si="34"/>
        <v>0.13937628429321594</v>
      </c>
      <c r="AB117" s="196">
        <f t="shared" si="24"/>
        <v>0.20479317913737916</v>
      </c>
      <c r="AC117" s="196">
        <f t="shared" si="32"/>
        <v>0.34416946343059512</v>
      </c>
      <c r="AD117" s="247">
        <f t="shared" si="29"/>
        <v>0.65583053656940493</v>
      </c>
      <c r="AF117" s="251">
        <f t="shared" si="25"/>
        <v>0.59503587882565745</v>
      </c>
      <c r="AG117" s="251">
        <f t="shared" si="26"/>
        <v>0.40496412117434244</v>
      </c>
    </row>
    <row r="118" spans="1:53" x14ac:dyDescent="0.25">
      <c r="A118" s="194">
        <v>2052</v>
      </c>
      <c r="B118" s="195">
        <f t="shared" si="27"/>
        <v>1585.9650233361424</v>
      </c>
      <c r="C118" s="195">
        <f t="shared" si="9"/>
        <v>916.49947717349482</v>
      </c>
      <c r="D118" s="195">
        <f t="shared" si="10"/>
        <v>2768.4578176796949</v>
      </c>
      <c r="E118" s="195">
        <f t="shared" si="11"/>
        <v>5270.9223181893321</v>
      </c>
      <c r="F118" s="196">
        <f t="shared" si="12"/>
        <v>0.3008894701147774</v>
      </c>
      <c r="H118" s="194">
        <v>2052</v>
      </c>
      <c r="I118" s="195">
        <f t="shared" si="13"/>
        <v>1053.4273563374916</v>
      </c>
      <c r="J118" s="195">
        <f t="shared" si="14"/>
        <v>167.98980477015022</v>
      </c>
      <c r="K118" s="195">
        <f t="shared" si="15"/>
        <v>993.50919789418958</v>
      </c>
      <c r="L118" s="195">
        <f t="shared" si="16"/>
        <v>712.20930938394349</v>
      </c>
      <c r="M118" s="195">
        <f t="shared" si="17"/>
        <v>2858.9817191221873</v>
      </c>
      <c r="O118" s="195">
        <f t="shared" si="18"/>
        <v>1221.4171611076417</v>
      </c>
      <c r="P118" s="196">
        <f t="shared" si="19"/>
        <v>0.86246320248373731</v>
      </c>
      <c r="Q118" s="195">
        <f t="shared" si="20"/>
        <v>4564.7002264003204</v>
      </c>
      <c r="R118" s="196">
        <f t="shared" si="21"/>
        <v>0.15602542862832966</v>
      </c>
      <c r="S118" s="464">
        <f t="shared" si="22"/>
        <v>5786.1173875079621</v>
      </c>
      <c r="T118" s="196">
        <f t="shared" si="28"/>
        <v>0.2110944316035899</v>
      </c>
      <c r="W118" s="195">
        <f t="shared" si="30"/>
        <v>179.67164238529267</v>
      </c>
      <c r="X118" s="195">
        <f t="shared" si="23"/>
        <v>77.009720720694759</v>
      </c>
      <c r="Y118" s="195">
        <f t="shared" si="31"/>
        <v>258.51370621264277</v>
      </c>
      <c r="Z118" s="195">
        <f t="shared" si="33"/>
        <v>515.1950693186302</v>
      </c>
      <c r="AA118" s="196">
        <f t="shared" si="34"/>
        <v>0.1406741005242895</v>
      </c>
      <c r="AB118" s="196">
        <f t="shared" si="24"/>
        <v>0.20807077900826682</v>
      </c>
      <c r="AC118" s="196">
        <f t="shared" si="32"/>
        <v>0.34874487953255628</v>
      </c>
      <c r="AD118" s="247">
        <f t="shared" si="29"/>
        <v>0.65125512046744372</v>
      </c>
      <c r="AF118" s="251">
        <f t="shared" si="25"/>
        <v>0.59662748106052932</v>
      </c>
      <c r="AG118" s="251">
        <f t="shared" si="26"/>
        <v>0.40337251893947074</v>
      </c>
    </row>
    <row r="119" spans="1:53" x14ac:dyDescent="0.25">
      <c r="A119" s="194">
        <v>2053</v>
      </c>
      <c r="B119" s="195">
        <f t="shared" si="27"/>
        <v>1622.5131801407965</v>
      </c>
      <c r="C119" s="195">
        <f t="shared" si="9"/>
        <v>915.54730911871366</v>
      </c>
      <c r="D119" s="195">
        <f t="shared" si="10"/>
        <v>2776.5598324844541</v>
      </c>
      <c r="E119" s="195">
        <f t="shared" si="11"/>
        <v>5314.6203217439652</v>
      </c>
      <c r="F119" s="196">
        <f t="shared" si="12"/>
        <v>0.30529239755896187</v>
      </c>
      <c r="H119" s="194">
        <v>2053</v>
      </c>
      <c r="I119" s="195">
        <f t="shared" si="13"/>
        <v>1085.4835600604461</v>
      </c>
      <c r="J119" s="195">
        <f t="shared" si="14"/>
        <v>170.66966836672393</v>
      </c>
      <c r="K119" s="195">
        <f t="shared" si="15"/>
        <v>996.11097223225613</v>
      </c>
      <c r="L119" s="195">
        <f t="shared" si="16"/>
        <v>729.00845495147507</v>
      </c>
      <c r="M119" s="195">
        <f t="shared" si="17"/>
        <v>2876.7119743300045</v>
      </c>
      <c r="O119" s="195">
        <f t="shared" si="18"/>
        <v>1256.15322842717</v>
      </c>
      <c r="P119" s="196">
        <f t="shared" si="19"/>
        <v>0.86413308145502321</v>
      </c>
      <c r="Q119" s="195">
        <f t="shared" si="20"/>
        <v>4601.8314015137357</v>
      </c>
      <c r="R119" s="196">
        <f t="shared" si="21"/>
        <v>0.15841702821004558</v>
      </c>
      <c r="S119" s="464">
        <f t="shared" si="22"/>
        <v>5857.9846299409055</v>
      </c>
      <c r="T119" s="196">
        <f t="shared" si="28"/>
        <v>0.214434367411415</v>
      </c>
      <c r="W119" s="195">
        <f t="shared" si="30"/>
        <v>191.97883487112449</v>
      </c>
      <c r="X119" s="195">
        <f t="shared" si="23"/>
        <v>80.563663113542475</v>
      </c>
      <c r="Y119" s="195">
        <f t="shared" si="31"/>
        <v>270.82181021227416</v>
      </c>
      <c r="Z119" s="195">
        <f t="shared" si="33"/>
        <v>543.36430819694112</v>
      </c>
      <c r="AA119" s="196">
        <f t="shared" si="34"/>
        <v>0.14195142212964063</v>
      </c>
      <c r="AB119" s="196">
        <f t="shared" si="24"/>
        <v>0.21136371464879911</v>
      </c>
      <c r="AC119" s="196">
        <f t="shared" si="32"/>
        <v>0.35331513677843968</v>
      </c>
      <c r="AD119" s="247">
        <f t="shared" si="29"/>
        <v>0.64668486322156038</v>
      </c>
      <c r="AF119" s="251">
        <f t="shared" si="25"/>
        <v>0.59823000105807278</v>
      </c>
      <c r="AG119" s="251">
        <f t="shared" si="26"/>
        <v>0.40176999894192733</v>
      </c>
    </row>
    <row r="120" spans="1:53" x14ac:dyDescent="0.25">
      <c r="A120" s="194">
        <v>2054</v>
      </c>
      <c r="B120" s="195">
        <f t="shared" si="27"/>
        <v>1659.4195650290806</v>
      </c>
      <c r="C120" s="195">
        <f t="shared" si="9"/>
        <v>914.29893509781664</v>
      </c>
      <c r="D120" s="195">
        <f t="shared" si="10"/>
        <v>2784.7276403405212</v>
      </c>
      <c r="E120" s="195">
        <f t="shared" si="11"/>
        <v>5358.4461404674184</v>
      </c>
      <c r="F120" s="196">
        <f t="shared" si="12"/>
        <v>0.3096829792683759</v>
      </c>
      <c r="H120" s="194">
        <v>2054</v>
      </c>
      <c r="I120" s="195">
        <f t="shared" si="13"/>
        <v>1118.3333469927757</v>
      </c>
      <c r="J120" s="195">
        <f t="shared" si="14"/>
        <v>173.38643942795332</v>
      </c>
      <c r="K120" s="195">
        <f t="shared" si="15"/>
        <v>998.50160437565262</v>
      </c>
      <c r="L120" s="195">
        <f t="shared" si="16"/>
        <v>746.04372790841524</v>
      </c>
      <c r="M120" s="195">
        <f t="shared" si="17"/>
        <v>2894.9226507654521</v>
      </c>
      <c r="O120" s="195">
        <f t="shared" si="18"/>
        <v>1291.719786420729</v>
      </c>
      <c r="P120" s="196">
        <f t="shared" si="19"/>
        <v>0.86577085738665061</v>
      </c>
      <c r="Q120" s="195">
        <f t="shared" si="20"/>
        <v>4639.4679830495197</v>
      </c>
      <c r="R120" s="196">
        <f t="shared" si="21"/>
        <v>0.1608037237532656</v>
      </c>
      <c r="S120" s="464">
        <f t="shared" si="22"/>
        <v>5931.1877694702489</v>
      </c>
      <c r="T120" s="196">
        <f t="shared" si="28"/>
        <v>0.21778433538550751</v>
      </c>
      <c r="W120" s="195">
        <f t="shared" si="30"/>
        <v>204.95750987211045</v>
      </c>
      <c r="X120" s="195">
        <f t="shared" si="23"/>
        <v>84.20266927783598</v>
      </c>
      <c r="Y120" s="195">
        <f t="shared" si="31"/>
        <v>283.58144985288436</v>
      </c>
      <c r="Z120" s="195">
        <f t="shared" si="33"/>
        <v>572.74162900283079</v>
      </c>
      <c r="AA120" s="196">
        <f t="shared" si="34"/>
        <v>0.14319755906374859</v>
      </c>
      <c r="AB120" s="196">
        <f t="shared" si="24"/>
        <v>0.21465578962499746</v>
      </c>
      <c r="AC120" s="196">
        <f t="shared" si="32"/>
        <v>0.35785334868874608</v>
      </c>
      <c r="AD120" s="247">
        <f t="shared" si="29"/>
        <v>0.64214665131125392</v>
      </c>
      <c r="AF120" s="251">
        <f t="shared" si="25"/>
        <v>0.59984289768851906</v>
      </c>
      <c r="AG120" s="251">
        <f t="shared" si="26"/>
        <v>0.40015710231148083</v>
      </c>
    </row>
    <row r="121" spans="1:53" x14ac:dyDescent="0.25">
      <c r="A121" s="194">
        <v>2055</v>
      </c>
      <c r="B121" s="195">
        <f t="shared" si="27"/>
        <v>1696.6800654607068</v>
      </c>
      <c r="C121" s="195">
        <f t="shared" si="9"/>
        <v>912.75355629451542</v>
      </c>
      <c r="D121" s="195">
        <f t="shared" si="10"/>
        <v>2792.9728206596392</v>
      </c>
      <c r="E121" s="195">
        <f t="shared" si="11"/>
        <v>5402.4064424148619</v>
      </c>
      <c r="F121" s="196">
        <f t="shared" si="12"/>
        <v>0.31406005518946017</v>
      </c>
      <c r="H121" s="194">
        <v>2055</v>
      </c>
      <c r="I121" s="195">
        <f t="shared" si="13"/>
        <v>1151.9865008545257</v>
      </c>
      <c r="J121" s="195">
        <f t="shared" si="14"/>
        <v>176.14056897420241</v>
      </c>
      <c r="K121" s="195">
        <f t="shared" si="15"/>
        <v>1000.6775791237327</v>
      </c>
      <c r="L121" s="195">
        <f t="shared" si="16"/>
        <v>763.31294044413028</v>
      </c>
      <c r="M121" s="195">
        <f t="shared" si="17"/>
        <v>2913.6451705189243</v>
      </c>
      <c r="O121" s="195">
        <f t="shared" si="18"/>
        <v>1328.1270698287281</v>
      </c>
      <c r="P121" s="196">
        <f t="shared" si="19"/>
        <v>0.86737671946034733</v>
      </c>
      <c r="Q121" s="195">
        <f t="shared" si="20"/>
        <v>4677.6356900867868</v>
      </c>
      <c r="R121" s="196">
        <f t="shared" si="21"/>
        <v>0.16318349504254961</v>
      </c>
      <c r="S121" s="464">
        <f t="shared" si="22"/>
        <v>6005.7627599155148</v>
      </c>
      <c r="T121" s="196">
        <f t="shared" si="28"/>
        <v>0.22114211348691556</v>
      </c>
      <c r="W121" s="195">
        <f t="shared" si="30"/>
        <v>218.61937583794906</v>
      </c>
      <c r="X121" s="195">
        <f t="shared" si="23"/>
        <v>87.924022829217279</v>
      </c>
      <c r="Y121" s="195">
        <f t="shared" si="31"/>
        <v>296.8129188334874</v>
      </c>
      <c r="Z121" s="195">
        <f t="shared" si="33"/>
        <v>603.35631750065374</v>
      </c>
      <c r="AA121" s="196">
        <f t="shared" si="34"/>
        <v>0.14440450051976589</v>
      </c>
      <c r="AB121" s="196">
        <f t="shared" si="24"/>
        <v>0.21793425271241887</v>
      </c>
      <c r="AC121" s="196">
        <f t="shared" si="32"/>
        <v>0.36233875323218473</v>
      </c>
      <c r="AD121" s="247">
        <f t="shared" si="29"/>
        <v>0.63766124676781533</v>
      </c>
      <c r="AF121" s="251">
        <f t="shared" si="25"/>
        <v>0.60146548159249136</v>
      </c>
      <c r="AG121" s="251">
        <f t="shared" si="26"/>
        <v>0.3985345184075087</v>
      </c>
    </row>
    <row r="122" spans="1:53" x14ac:dyDescent="0.25">
      <c r="A122" s="194">
        <v>2056</v>
      </c>
      <c r="B122" s="195">
        <f t="shared" si="27"/>
        <v>1734.2905688953917</v>
      </c>
      <c r="C122" s="195">
        <f t="shared" si="9"/>
        <v>910.91037389252119</v>
      </c>
      <c r="D122" s="195">
        <f t="shared" si="10"/>
        <v>2801.306952853552</v>
      </c>
      <c r="E122" s="195">
        <f t="shared" si="11"/>
        <v>5446.5078956414654</v>
      </c>
      <c r="F122" s="196">
        <f t="shared" si="12"/>
        <v>0.31842248319941796</v>
      </c>
      <c r="H122" s="194">
        <v>2056</v>
      </c>
      <c r="I122" s="195">
        <f t="shared" si="13"/>
        <v>1186.4589270525639</v>
      </c>
      <c r="J122" s="195">
        <f t="shared" si="14"/>
        <v>178.93270607905774</v>
      </c>
      <c r="K122" s="195">
        <f t="shared" si="15"/>
        <v>1002.6368509266841</v>
      </c>
      <c r="L122" s="195">
        <f t="shared" si="16"/>
        <v>780.81650561141794</v>
      </c>
      <c r="M122" s="195">
        <f t="shared" si="17"/>
        <v>2932.9074451811193</v>
      </c>
      <c r="O122" s="195">
        <f t="shared" si="18"/>
        <v>1365.3916331316216</v>
      </c>
      <c r="P122" s="196">
        <f t="shared" si="19"/>
        <v>0.86895136769758652</v>
      </c>
      <c r="Q122" s="195">
        <f t="shared" si="20"/>
        <v>4716.3608017192219</v>
      </c>
      <c r="R122" s="196">
        <f t="shared" si="21"/>
        <v>0.16555487131662877</v>
      </c>
      <c r="S122" s="464">
        <f t="shared" si="22"/>
        <v>6081.7524348508432</v>
      </c>
      <c r="T122" s="196">
        <f t="shared" si="28"/>
        <v>0.22450628297649675</v>
      </c>
      <c r="W122" s="195">
        <f t="shared" si="30"/>
        <v>232.98486376859023</v>
      </c>
      <c r="X122" s="195">
        <f t="shared" si="23"/>
        <v>91.72647703416294</v>
      </c>
      <c r="Y122" s="195">
        <f t="shared" si="31"/>
        <v>310.53319840662516</v>
      </c>
      <c r="Z122" s="195">
        <f t="shared" si="33"/>
        <v>635.24453920937833</v>
      </c>
      <c r="AA122" s="196">
        <f t="shared" si="34"/>
        <v>0.14556956481789657</v>
      </c>
      <c r="AB122" s="196">
        <f t="shared" si="24"/>
        <v>0.22119449120777479</v>
      </c>
      <c r="AC122" s="196">
        <f t="shared" si="32"/>
        <v>0.36676405602567136</v>
      </c>
      <c r="AD122" s="247">
        <f t="shared" si="29"/>
        <v>0.63323594397432859</v>
      </c>
      <c r="AF122" s="251">
        <f t="shared" si="25"/>
        <v>0.60309751616524943</v>
      </c>
      <c r="AG122" s="251">
        <f t="shared" si="26"/>
        <v>0.39690248383475052</v>
      </c>
    </row>
    <row r="123" spans="1:53" x14ac:dyDescent="0.25">
      <c r="A123" s="194">
        <v>2057</v>
      </c>
      <c r="B123" s="195">
        <f t="shared" si="27"/>
        <v>1772.2469627928481</v>
      </c>
      <c r="C123" s="195">
        <f t="shared" si="9"/>
        <v>908.76858907554561</v>
      </c>
      <c r="D123" s="195">
        <f t="shared" si="10"/>
        <v>2809.7416163340026</v>
      </c>
      <c r="E123" s="195">
        <f t="shared" si="11"/>
        <v>5490.7571682023963</v>
      </c>
      <c r="F123" s="196">
        <f t="shared" si="12"/>
        <v>0.32276913884593789</v>
      </c>
      <c r="H123" s="194">
        <v>2057</v>
      </c>
      <c r="I123" s="195">
        <f t="shared" si="13"/>
        <v>1221.7637429782608</v>
      </c>
      <c r="J123" s="195">
        <f t="shared" si="14"/>
        <v>181.76331179088444</v>
      </c>
      <c r="K123" s="195">
        <f t="shared" si="15"/>
        <v>1004.376877890702</v>
      </c>
      <c r="L123" s="195">
        <f t="shared" si="16"/>
        <v>798.55289620896565</v>
      </c>
      <c r="M123" s="195">
        <f t="shared" si="17"/>
        <v>2952.7303559831225</v>
      </c>
      <c r="O123" s="195">
        <f t="shared" si="18"/>
        <v>1403.5270547691453</v>
      </c>
      <c r="P123" s="196">
        <f t="shared" si="19"/>
        <v>0.87049532734459378</v>
      </c>
      <c r="Q123" s="195">
        <f t="shared" si="20"/>
        <v>4755.6601300827897</v>
      </c>
      <c r="R123" s="196">
        <f t="shared" si="21"/>
        <v>0.16791630906455543</v>
      </c>
      <c r="S123" s="464">
        <f t="shared" si="22"/>
        <v>6159.1871848519349</v>
      </c>
      <c r="T123" s="196">
        <f t="shared" si="28"/>
        <v>0.22787536937033123</v>
      </c>
      <c r="W123" s="195">
        <f t="shared" si="30"/>
        <v>248.06967639437835</v>
      </c>
      <c r="X123" s="195">
        <f t="shared" si="23"/>
        <v>95.608288815156357</v>
      </c>
      <c r="Y123" s="195">
        <f t="shared" si="31"/>
        <v>324.75205144000438</v>
      </c>
      <c r="Z123" s="195">
        <f t="shared" si="33"/>
        <v>668.43001664953908</v>
      </c>
      <c r="AA123" s="196">
        <f t="shared" si="34"/>
        <v>0.14669049848449928</v>
      </c>
      <c r="AB123" s="196">
        <f t="shared" si="24"/>
        <v>0.22443238680693495</v>
      </c>
      <c r="AC123" s="196">
        <f t="shared" si="32"/>
        <v>0.37112288529143422</v>
      </c>
      <c r="AD123" s="247">
        <f t="shared" si="29"/>
        <v>0.62887711470856578</v>
      </c>
      <c r="AF123" s="251">
        <f t="shared" si="25"/>
        <v>0.60473874207647793</v>
      </c>
      <c r="AG123" s="251">
        <f t="shared" si="26"/>
        <v>0.39526125792352212</v>
      </c>
    </row>
    <row r="124" spans="1:53" x14ac:dyDescent="0.25">
      <c r="A124" s="194">
        <v>2058</v>
      </c>
      <c r="B124" s="195">
        <f t="shared" si="27"/>
        <v>1810.5451346127907</v>
      </c>
      <c r="C124" s="195">
        <f t="shared" si="9"/>
        <v>906.32740302730008</v>
      </c>
      <c r="D124" s="195">
        <f t="shared" si="10"/>
        <v>2818.2883905127346</v>
      </c>
      <c r="E124" s="195">
        <f t="shared" si="11"/>
        <v>5535.1609281528254</v>
      </c>
      <c r="F124" s="196">
        <f t="shared" si="12"/>
        <v>0.32709891511988964</v>
      </c>
      <c r="H124" s="194">
        <v>2058</v>
      </c>
      <c r="I124" s="195">
        <f t="shared" si="13"/>
        <v>1257.9020563601121</v>
      </c>
      <c r="J124" s="195">
        <f t="shared" si="14"/>
        <v>184.63213154862493</v>
      </c>
      <c r="K124" s="195">
        <f t="shared" si="15"/>
        <v>1005.8922580611569</v>
      </c>
      <c r="L124" s="195">
        <f t="shared" si="16"/>
        <v>816.51592919660663</v>
      </c>
      <c r="M124" s="195">
        <f t="shared" si="17"/>
        <v>2973.1242633179113</v>
      </c>
      <c r="O124" s="195">
        <f t="shared" si="18"/>
        <v>1442.5341879087371</v>
      </c>
      <c r="P124" s="196">
        <f t="shared" si="19"/>
        <v>0.87200848818960131</v>
      </c>
      <c r="Q124" s="195">
        <f t="shared" si="20"/>
        <v>4795.5324505756744</v>
      </c>
      <c r="R124" s="196">
        <f t="shared" si="21"/>
        <v>0.17026595849613924</v>
      </c>
      <c r="S124" s="464">
        <f t="shared" si="22"/>
        <v>6238.0666384844117</v>
      </c>
      <c r="T124" s="196">
        <f t="shared" si="28"/>
        <v>0.23124699871100005</v>
      </c>
      <c r="W124" s="195">
        <f t="shared" si="30"/>
        <v>263.87285094392792</v>
      </c>
      <c r="X124" s="195">
        <f t="shared" si="23"/>
        <v>99.564855033856816</v>
      </c>
      <c r="Y124" s="195">
        <f t="shared" si="31"/>
        <v>339.46800435380146</v>
      </c>
      <c r="Z124" s="195">
        <f t="shared" si="33"/>
        <v>702.90571033158619</v>
      </c>
      <c r="AA124" s="196">
        <f t="shared" si="34"/>
        <v>0.14776311242070431</v>
      </c>
      <c r="AB124" s="196">
        <f t="shared" si="24"/>
        <v>0.22763980018253735</v>
      </c>
      <c r="AC124" s="196">
        <f t="shared" si="32"/>
        <v>0.3754029126032416</v>
      </c>
      <c r="AD124" s="247">
        <f t="shared" si="29"/>
        <v>0.62459708739675834</v>
      </c>
      <c r="AF124" s="251">
        <f t="shared" si="25"/>
        <v>0.60638794356698789</v>
      </c>
      <c r="AG124" s="251">
        <f t="shared" si="26"/>
        <v>0.39361205643301223</v>
      </c>
    </row>
    <row r="125" spans="1:53" x14ac:dyDescent="0.25">
      <c r="A125" s="194">
        <v>2059</v>
      </c>
      <c r="B125" s="195">
        <f t="shared" si="27"/>
        <v>1849.1809718149339</v>
      </c>
      <c r="C125" s="195">
        <f t="shared" si="9"/>
        <v>903.58601693149592</v>
      </c>
      <c r="D125" s="195">
        <f t="shared" si="10"/>
        <v>2826.9588548014908</v>
      </c>
      <c r="E125" s="195">
        <f t="shared" si="11"/>
        <v>5579.7258435479207</v>
      </c>
      <c r="F125" s="196">
        <f t="shared" si="12"/>
        <v>0.33141072225855361</v>
      </c>
      <c r="H125" s="194">
        <v>2059</v>
      </c>
      <c r="I125" s="195">
        <f t="shared" si="13"/>
        <v>1294.8690294910616</v>
      </c>
      <c r="J125" s="195">
        <f t="shared" si="14"/>
        <v>187.53847738901365</v>
      </c>
      <c r="K125" s="195">
        <f t="shared" si="15"/>
        <v>1007.1761609816321</v>
      </c>
      <c r="L125" s="195">
        <f t="shared" si="16"/>
        <v>834.6977950745985</v>
      </c>
      <c r="M125" s="195">
        <f t="shared" si="17"/>
        <v>2994.0935062200965</v>
      </c>
      <c r="O125" s="195">
        <f t="shared" si="18"/>
        <v>1482.4075068800753</v>
      </c>
      <c r="P125" s="196">
        <f t="shared" si="19"/>
        <v>0.87349060462887596</v>
      </c>
      <c r="Q125" s="195">
        <f t="shared" si="20"/>
        <v>4835.9674622763268</v>
      </c>
      <c r="R125" s="196">
        <f t="shared" si="21"/>
        <v>0.17260202877413486</v>
      </c>
      <c r="S125" s="464">
        <f t="shared" si="22"/>
        <v>6318.3749691564026</v>
      </c>
      <c r="T125" s="196">
        <f t="shared" si="28"/>
        <v>0.23461847612978862</v>
      </c>
      <c r="W125" s="195">
        <f t="shared" si="30"/>
        <v>280.38585275072637</v>
      </c>
      <c r="X125" s="195">
        <f t="shared" si="23"/>
        <v>103.59014405013613</v>
      </c>
      <c r="Y125" s="195">
        <f t="shared" si="31"/>
        <v>354.67312880761938</v>
      </c>
      <c r="Z125" s="195">
        <f t="shared" si="33"/>
        <v>738.64912560848188</v>
      </c>
      <c r="AA125" s="196">
        <f t="shared" si="34"/>
        <v>0.14878388771655346</v>
      </c>
      <c r="AB125" s="196">
        <f t="shared" si="24"/>
        <v>0.23080886211544702</v>
      </c>
      <c r="AC125" s="196">
        <f t="shared" si="32"/>
        <v>0.37959274983200048</v>
      </c>
      <c r="AD125" s="247">
        <f t="shared" si="29"/>
        <v>0.62040725016799947</v>
      </c>
      <c r="AF125" s="251">
        <f t="shared" si="25"/>
        <v>0.60804338917852885</v>
      </c>
      <c r="AG125" s="251">
        <f t="shared" si="26"/>
        <v>0.3919566108214711</v>
      </c>
    </row>
    <row r="126" spans="1:53" x14ac:dyDescent="0.25">
      <c r="A126" s="194">
        <v>2060</v>
      </c>
      <c r="B126" s="195">
        <f t="shared" si="27"/>
        <v>1888.150361858992</v>
      </c>
      <c r="C126" s="195">
        <f t="shared" si="9"/>
        <v>900.54363197184489</v>
      </c>
      <c r="D126" s="195">
        <f t="shared" si="10"/>
        <v>2835.7645886120144</v>
      </c>
      <c r="E126" s="195">
        <f t="shared" si="11"/>
        <v>5624.4585824428514</v>
      </c>
      <c r="F126" s="196">
        <f t="shared" si="12"/>
        <v>0.33570348757709551</v>
      </c>
      <c r="H126" s="194">
        <v>2060</v>
      </c>
      <c r="I126" s="195">
        <f t="shared" si="13"/>
        <v>1332.6616224121547</v>
      </c>
      <c r="J126" s="195">
        <f t="shared" si="14"/>
        <v>190.48191518289639</v>
      </c>
      <c r="K126" s="195">
        <f t="shared" si="15"/>
        <v>1008.2217540395815</v>
      </c>
      <c r="L126" s="195">
        <f t="shared" si="16"/>
        <v>853.09284707643849</v>
      </c>
      <c r="M126" s="195">
        <f t="shared" si="17"/>
        <v>3015.64306325296</v>
      </c>
      <c r="O126" s="195">
        <f t="shared" si="18"/>
        <v>1523.1435375950509</v>
      </c>
      <c r="P126" s="196">
        <f t="shared" si="19"/>
        <v>0.87494158594950588</v>
      </c>
      <c r="Q126" s="195">
        <f t="shared" si="20"/>
        <v>4876.9576643689797</v>
      </c>
      <c r="R126" s="196">
        <f t="shared" si="21"/>
        <v>0.17492316025401022</v>
      </c>
      <c r="S126" s="464">
        <f t="shared" si="22"/>
        <v>6400.1012019640311</v>
      </c>
      <c r="T126" s="196">
        <f t="shared" si="28"/>
        <v>0.23798741450020139</v>
      </c>
      <c r="W126" s="195">
        <f t="shared" si="30"/>
        <v>297.60410762960123</v>
      </c>
      <c r="X126" s="195">
        <f t="shared" si="23"/>
        <v>107.67812206773658</v>
      </c>
      <c r="Y126" s="195">
        <f t="shared" si="31"/>
        <v>370.36038982384207</v>
      </c>
      <c r="Z126" s="195">
        <f t="shared" si="33"/>
        <v>775.64261952117988</v>
      </c>
      <c r="AA126" s="196">
        <f t="shared" si="34"/>
        <v>0.14975184515403875</v>
      </c>
      <c r="AB126" s="196">
        <f t="shared" si="24"/>
        <v>0.23393530681463257</v>
      </c>
      <c r="AC126" s="196">
        <f t="shared" si="32"/>
        <v>0.38368715196867131</v>
      </c>
      <c r="AD126" s="247">
        <f t="shared" si="29"/>
        <v>0.61631284803132869</v>
      </c>
      <c r="AF126" s="251">
        <f t="shared" si="25"/>
        <v>0.6097032585384401</v>
      </c>
      <c r="AG126" s="251">
        <f t="shared" si="26"/>
        <v>0.3902967414615599</v>
      </c>
      <c r="BA126" s="516"/>
    </row>
    <row r="127" spans="1:53" x14ac:dyDescent="0.25">
      <c r="BA127" s="516"/>
    </row>
    <row r="128" spans="1:53" x14ac:dyDescent="0.25">
      <c r="BA128" s="516"/>
    </row>
    <row r="129" spans="1:58" ht="92.25" customHeight="1" x14ac:dyDescent="0.25">
      <c r="BA129" s="516"/>
    </row>
    <row r="130" spans="1:58" ht="13.5" customHeight="1" thickBot="1" x14ac:dyDescent="0.3">
      <c r="BA130" s="516"/>
    </row>
    <row r="131" spans="1:58" s="485" customFormat="1" ht="44.25" customHeight="1" thickBot="1" x14ac:dyDescent="0.35">
      <c r="A131" s="491"/>
      <c r="B131" s="660" t="s">
        <v>595</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598</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516"/>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WaterHeating_cluster</v>
      </c>
      <c r="AU132" s="607"/>
      <c r="AV132" s="608"/>
      <c r="AW132" s="445"/>
      <c r="AX132" s="606" t="str">
        <f ca="1">CONCATENATE("Table 11(b): EMISSIONS ALLOCATION TO Education in LLDC, ",A1)</f>
        <v>Table 11(b): EMISSIONS ALLOCATION TO Education in LLDC, WaterHeating_cluster</v>
      </c>
      <c r="AY132" s="608"/>
      <c r="AZ132" s="446"/>
      <c r="BA132" s="606" t="str">
        <f ca="1">CONCATENATE("Table 11(c): EMISSIONS ALLOCATION TO Family Planning in LLDC, ",A1)</f>
        <v>Table 11(c): EMISSIONS ALLOCATION TO Family Planning in LLDC, WaterHeating_cluster</v>
      </c>
      <c r="BB132" s="608"/>
      <c r="BC132" s="516"/>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514" t="s">
        <v>219</v>
      </c>
      <c r="K133" s="514" t="s">
        <v>220</v>
      </c>
      <c r="L133" s="514" t="s">
        <v>221</v>
      </c>
      <c r="M133" s="515" t="s">
        <v>222</v>
      </c>
      <c r="N133" s="515" t="s">
        <v>220</v>
      </c>
      <c r="O133" s="515" t="s">
        <v>248</v>
      </c>
      <c r="P133" s="515"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516"/>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514" t="s">
        <v>500</v>
      </c>
      <c r="K134" s="514" t="s">
        <v>500</v>
      </c>
      <c r="L134" s="514" t="s">
        <v>513</v>
      </c>
      <c r="M134" s="515" t="s">
        <v>500</v>
      </c>
      <c r="N134" s="515" t="s">
        <v>500</v>
      </c>
      <c r="O134" s="515" t="s">
        <v>249</v>
      </c>
      <c r="P134" s="515"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516"/>
      <c r="BE134" s="481" t="s">
        <v>227</v>
      </c>
      <c r="BF134" s="481" t="s">
        <v>228</v>
      </c>
    </row>
    <row r="135" spans="1:58" ht="15.6" x14ac:dyDescent="0.3">
      <c r="A135" s="152">
        <v>2014</v>
      </c>
      <c r="B135" s="178"/>
      <c r="C135" s="182"/>
      <c r="D135" s="183"/>
      <c r="E135" s="179">
        <f>IFERROR(IF($G$19="Y",$F$19,$AA80)*(SUMIF($H$5:$H$16,"Y",$F$5:$F$16)*(Z29-B29)),0)</f>
        <v>0</v>
      </c>
      <c r="F135" s="183" t="str">
        <f>IFERROR(E135-E134,"")</f>
        <v/>
      </c>
      <c r="G135" s="247">
        <f t="shared" ref="G135:G181" si="35">IFERROR(E135/((Z29+N29)-B29),"")</f>
        <v>0</v>
      </c>
      <c r="H135" s="245" t="s">
        <v>264</v>
      </c>
      <c r="I135" s="416"/>
      <c r="J135" s="178"/>
      <c r="K135" s="182"/>
      <c r="L135" s="183"/>
      <c r="M135" s="179">
        <f t="shared" ref="M135:M181" si="36">IFERROR(IF($G$19="Y",$F$19,$AB80)*(SUMIF($H$5:$H$16,"Y",$F$5:$F$16)*((Z29+N29)-B29)),0)</f>
        <v>0</v>
      </c>
      <c r="N135" s="183" t="str">
        <f>IFERROR(M135-M134,"")</f>
        <v/>
      </c>
      <c r="O135" s="247">
        <f t="shared" ref="O135:O181" si="37">IFERROR(M135/((Z29+N29)-B29),"")</f>
        <v>0</v>
      </c>
      <c r="P135" s="245" t="s">
        <v>264</v>
      </c>
      <c r="Q135" s="416"/>
      <c r="R135" s="167"/>
      <c r="S135" s="167"/>
      <c r="T135" s="167"/>
      <c r="U135" s="167"/>
      <c r="V135" s="506"/>
      <c r="W135" s="167" t="s">
        <v>213</v>
      </c>
      <c r="X135" s="167" t="s">
        <v>213</v>
      </c>
      <c r="Y135" s="167" t="s">
        <v>211</v>
      </c>
      <c r="Z135" s="167" t="s">
        <v>211</v>
      </c>
      <c r="AA135" s="509"/>
      <c r="AB135" s="496"/>
      <c r="AC135" s="496"/>
      <c r="AE135" s="167" t="s">
        <v>211</v>
      </c>
      <c r="AF135" s="167" t="s">
        <v>211</v>
      </c>
      <c r="AG135" s="167" t="s">
        <v>211</v>
      </c>
      <c r="AH135" s="167" t="s">
        <v>211</v>
      </c>
      <c r="AI135" s="165"/>
      <c r="AJ135" s="167" t="s">
        <v>213</v>
      </c>
      <c r="AK135" s="167" t="s">
        <v>213</v>
      </c>
      <c r="AL135" s="167" t="s">
        <v>211</v>
      </c>
      <c r="AM135" s="167" t="s">
        <v>211</v>
      </c>
      <c r="AN135" s="165"/>
      <c r="AO135" s="257"/>
      <c r="AP135" s="257"/>
      <c r="AT135" s="478">
        <v>2014</v>
      </c>
      <c r="AU135" s="479">
        <f>IFERROR(AB135+AO135,"")</f>
        <v>0</v>
      </c>
      <c r="AV135" s="479">
        <f>IFERROR(AC135+AP135,"")</f>
        <v>0</v>
      </c>
      <c r="AW135" s="430"/>
      <c r="AX135" s="479">
        <f t="shared" ref="AX135:AY181" si="38">IFERROR(AO135*$F$20,"")</f>
        <v>0</v>
      </c>
      <c r="AY135" s="479">
        <f t="shared" si="38"/>
        <v>0</v>
      </c>
      <c r="AZ135" s="430"/>
      <c r="BA135" s="479">
        <f t="shared" ref="BA135:BB181" si="39">AU135-AX135</f>
        <v>0</v>
      </c>
      <c r="BB135" s="479">
        <f t="shared" si="39"/>
        <v>0</v>
      </c>
      <c r="BC135" s="516"/>
      <c r="BE135" s="480" t="str">
        <f t="shared" ref="BE135:BE181" si="40">IFERROR(AX135/AU135,"")</f>
        <v/>
      </c>
      <c r="BF135" s="480" t="str">
        <f t="shared" ref="BF135:BF181" si="41">IFERROR(BB135/(AY135+BB135),"")</f>
        <v/>
      </c>
    </row>
    <row r="136" spans="1:58" ht="15.6" x14ac:dyDescent="0.3">
      <c r="A136" s="152">
        <v>2015</v>
      </c>
      <c r="B136" s="178"/>
      <c r="C136" s="182"/>
      <c r="D136" s="183"/>
      <c r="E136" s="179">
        <f>IFERROR(IF($G$19="Y",$F$19,$AA81)*(SUMIF($H$5:$H$16,"Y",$F$5:$F$16)*(Z30-B30)),0)</f>
        <v>0</v>
      </c>
      <c r="F136" s="183">
        <f>IFERROR(E136-E135,"")</f>
        <v>0</v>
      </c>
      <c r="G136" s="247">
        <f t="shared" si="35"/>
        <v>0</v>
      </c>
      <c r="H136" s="246"/>
      <c r="I136" s="417"/>
      <c r="J136" s="178"/>
      <c r="K136" s="182"/>
      <c r="L136" s="183"/>
      <c r="M136" s="179">
        <f t="shared" si="36"/>
        <v>0</v>
      </c>
      <c r="N136" s="183">
        <f>IFERROR(M136-M135,"")</f>
        <v>0</v>
      </c>
      <c r="O136" s="247">
        <f t="shared" si="37"/>
        <v>0</v>
      </c>
      <c r="P136" s="246"/>
      <c r="Q136" s="417"/>
      <c r="R136" s="439"/>
      <c r="S136" s="440"/>
      <c r="T136" s="439"/>
      <c r="U136" s="440"/>
      <c r="V136" s="506"/>
      <c r="W136" s="259">
        <f>IF(W135="Y",IFERROR(E136*($F$8/SUMIF($H$5:$H$16,"Y",$F$5:$F$16))*$F$21*'Emissions Factors'!$B12,""),"")</f>
        <v>0</v>
      </c>
      <c r="X136" s="259">
        <f>IF($X$135="Y",IFERROR($E136*(SUM($F$7,$F$5,$F$6)/SUMIF($H$5:$H$16,"Y",$F$5:$F$16))*('Emissions Factors'!$T$143*$F$22)/10^6,""),"")</f>
        <v>0</v>
      </c>
      <c r="Y136" s="441"/>
      <c r="Z136" s="441"/>
      <c r="AA136" s="509"/>
      <c r="AB136" s="441">
        <f t="shared" ref="AB136:AB181" si="42">SUM(W136:Z136)</f>
        <v>0</v>
      </c>
      <c r="AC136" s="441">
        <f t="shared" ref="AC136:AC181" si="43">SUM(R136:U136)</f>
        <v>0</v>
      </c>
      <c r="AE136" s="182"/>
      <c r="AF136" s="178"/>
      <c r="AG136" s="182"/>
      <c r="AH136" s="178"/>
      <c r="AJ136" s="259">
        <f>IF($AJ$135="Y",IFERROR(M136*($F$8/SUMIF($H$5:$H$16,"Y",$F$5:$F$16))*$F$21*'Emissions Factors'!$B12,""),"")</f>
        <v>0</v>
      </c>
      <c r="AK136" s="259">
        <f>IF($AK$135="Y",IFERROR($M136*(SUM($F$7,$F$5,$F$6)/SUMIF($H$5:$H$16,"Y",$F$5:$F$16))*('Emissions Factors'!$T$143*$F$22)/10^6,""),"")</f>
        <v>0</v>
      </c>
      <c r="AL136" s="180"/>
      <c r="AM136" s="180"/>
      <c r="AO136" s="180">
        <f t="shared" ref="AO136:AO181" si="44">SUM(AJ136:AM136)</f>
        <v>0</v>
      </c>
      <c r="AP136" s="180">
        <f t="shared" ref="AP136:AP181" si="45">SUM(AE136:AH136)</f>
        <v>0</v>
      </c>
      <c r="AT136" s="478">
        <v>2015</v>
      </c>
      <c r="AU136" s="479">
        <f t="shared" ref="AU136:AV181" si="46">IFERROR(AB136+AO136,"")</f>
        <v>0</v>
      </c>
      <c r="AV136" s="479">
        <f t="shared" si="46"/>
        <v>0</v>
      </c>
      <c r="AW136" s="430"/>
      <c r="AX136" s="479">
        <f t="shared" si="38"/>
        <v>0</v>
      </c>
      <c r="AY136" s="479">
        <f t="shared" si="38"/>
        <v>0</v>
      </c>
      <c r="AZ136" s="430"/>
      <c r="BA136" s="479">
        <f t="shared" si="39"/>
        <v>0</v>
      </c>
      <c r="BB136" s="479">
        <f t="shared" si="39"/>
        <v>0</v>
      </c>
      <c r="BC136" s="516"/>
      <c r="BE136" s="480" t="str">
        <f t="shared" si="40"/>
        <v/>
      </c>
      <c r="BF136" s="480" t="str">
        <f t="shared" si="41"/>
        <v/>
      </c>
    </row>
    <row r="137" spans="1:58" ht="15.6" x14ac:dyDescent="0.3">
      <c r="A137" s="152">
        <v>2016</v>
      </c>
      <c r="B137" s="178"/>
      <c r="C137" s="182"/>
      <c r="D137" s="183"/>
      <c r="E137" s="179">
        <f t="shared" ref="E137:E181" si="47">IFERROR(IF($G$19="Y",$F$19,$AA82)*(SUMIF($H$5:$H$16,"Y",$F$5:$F$16)*((Z31+N31)-B31)),0)</f>
        <v>-2.1769749106328776E-3</v>
      </c>
      <c r="F137" s="183">
        <f t="shared" ref="F137:F181" si="48">IFERROR(E137-E136,"")</f>
        <v>-2.1769749106328776E-3</v>
      </c>
      <c r="G137" s="247">
        <f t="shared" si="35"/>
        <v>0.27912031536734427</v>
      </c>
      <c r="H137" s="246"/>
      <c r="I137" s="417"/>
      <c r="J137" s="178"/>
      <c r="K137" s="182"/>
      <c r="L137" s="183"/>
      <c r="M137" s="179">
        <f t="shared" si="36"/>
        <v>-2.6040659049081424E-3</v>
      </c>
      <c r="N137" s="183">
        <f>IFERROR(M137-M136,"")</f>
        <v>-2.6040659049081424E-3</v>
      </c>
      <c r="O137" s="247">
        <f t="shared" si="37"/>
        <v>0.33387968463265588</v>
      </c>
      <c r="P137" s="246"/>
      <c r="Q137" s="417"/>
      <c r="R137" s="439"/>
      <c r="S137" s="440"/>
      <c r="T137" s="439"/>
      <c r="U137" s="440"/>
      <c r="V137" s="506"/>
      <c r="W137" s="259">
        <f>IF($W$135="Y",IFERROR(E137*($F$8/SUMIF($H$5:$H$16,"Y",$F$5:$F$16))*$F$21*'Emissions Factors'!$B13,""),"")</f>
        <v>-7.5291155922926922E-5</v>
      </c>
      <c r="X137" s="259">
        <f>IF($X$135="Y",IFERROR($E137*(SUM($F$7,$F$5,$F$6)/SUMIF($H$5:$H$16,"Y",$F$5:$F$16))*('Emissions Factors'!$T$143*$F$22)/10^6,""),"")</f>
        <v>-5.9760872260886046E-4</v>
      </c>
      <c r="Y137" s="441"/>
      <c r="Z137" s="441"/>
      <c r="AA137" s="509"/>
      <c r="AB137" s="441">
        <f t="shared" si="42"/>
        <v>-6.7289987853178738E-4</v>
      </c>
      <c r="AC137" s="441">
        <f t="shared" si="43"/>
        <v>0</v>
      </c>
      <c r="AE137" s="182"/>
      <c r="AF137" s="178"/>
      <c r="AG137" s="182"/>
      <c r="AH137" s="178"/>
      <c r="AJ137" s="259">
        <f>IF($AJ$135="Y",IFERROR(M137*($F$8/SUMIF($H$5:$H$16,"Y",$F$5:$F$16))*$F$21*'Emissions Factors'!$B13,""),"")</f>
        <v>-9.0062191861925672E-5</v>
      </c>
      <c r="AK137" s="259">
        <f>IF($AK$135="Y",IFERROR($M137*(SUM($F$7,$F$5,$F$6)/SUMIF($H$5:$H$16,"Y",$F$5:$F$16))*('Emissions Factors'!$T$143*$F$22)/10^6,""),"")</f>
        <v>-7.1485091142783463E-4</v>
      </c>
      <c r="AL137" s="180"/>
      <c r="AM137" s="180"/>
      <c r="AO137" s="180">
        <f t="shared" si="44"/>
        <v>-8.049131032897603E-4</v>
      </c>
      <c r="AP137" s="180">
        <f t="shared" si="45"/>
        <v>0</v>
      </c>
      <c r="AT137" s="478">
        <v>2016</v>
      </c>
      <c r="AU137" s="479">
        <f t="shared" si="46"/>
        <v>-1.4778129818215477E-3</v>
      </c>
      <c r="AV137" s="479">
        <f t="shared" si="46"/>
        <v>0</v>
      </c>
      <c r="AW137" s="430"/>
      <c r="AX137" s="479">
        <f t="shared" si="38"/>
        <v>-4.0245655164488015E-4</v>
      </c>
      <c r="AY137" s="479">
        <f t="shared" si="38"/>
        <v>0</v>
      </c>
      <c r="AZ137" s="430"/>
      <c r="BA137" s="479">
        <f t="shared" si="39"/>
        <v>-1.0753564301766675E-3</v>
      </c>
      <c r="BB137" s="479">
        <f t="shared" si="39"/>
        <v>0</v>
      </c>
      <c r="BC137" s="516"/>
      <c r="BE137" s="480">
        <f t="shared" si="40"/>
        <v>0.27233253232679921</v>
      </c>
      <c r="BF137" s="480" t="str">
        <f t="shared" si="41"/>
        <v/>
      </c>
    </row>
    <row r="138" spans="1:58" ht="15.6" x14ac:dyDescent="0.3">
      <c r="A138" s="152">
        <v>2017</v>
      </c>
      <c r="B138" s="178"/>
      <c r="C138" s="182"/>
      <c r="D138" s="183"/>
      <c r="E138" s="179">
        <f t="shared" si="47"/>
        <v>-2.1281776968880796E-3</v>
      </c>
      <c r="F138" s="183">
        <f>IFERROR(E138-E137,"")</f>
        <v>4.8797213744798066E-5</v>
      </c>
      <c r="G138" s="247">
        <f t="shared" si="35"/>
        <v>0.27833728295994842</v>
      </c>
      <c r="H138" s="246"/>
      <c r="I138" s="417"/>
      <c r="J138" s="178"/>
      <c r="K138" s="182"/>
      <c r="L138" s="183"/>
      <c r="M138" s="179">
        <f t="shared" si="36"/>
        <v>-2.5588441577447242E-3</v>
      </c>
      <c r="N138" s="183">
        <f>IFERROR(M138-M137,"")</f>
        <v>4.5221747163418178E-5</v>
      </c>
      <c r="O138" s="247">
        <f t="shared" si="37"/>
        <v>0.33466271704005163</v>
      </c>
      <c r="P138" s="246"/>
      <c r="Q138" s="417"/>
      <c r="R138" s="439"/>
      <c r="S138" s="440"/>
      <c r="T138" s="439"/>
      <c r="U138" s="440"/>
      <c r="V138" s="506"/>
      <c r="W138" s="259">
        <f>IF($W$135="Y",IFERROR(E138*($F$8/SUMIF($H$5:$H$16,"Y",$F$5:$F$16))*$F$21*'Emissions Factors'!$B14,""),"")</f>
        <v>-7.2703677740394281E-5</v>
      </c>
      <c r="X138" s="259">
        <f>IF($X$135="Y",IFERROR($E138*(SUM($F$7,$F$5,$F$6)/SUMIF($H$5:$H$16,"Y",$F$5:$F$16))*('Emissions Factors'!$T$143*$F$22)/10^6,""),"")</f>
        <v>-5.8421323493903588E-4</v>
      </c>
      <c r="Y138" s="441"/>
      <c r="Z138" s="441"/>
      <c r="AA138" s="509"/>
      <c r="AB138" s="441">
        <f t="shared" si="42"/>
        <v>-6.569169126794302E-4</v>
      </c>
      <c r="AC138" s="441">
        <f t="shared" si="43"/>
        <v>0</v>
      </c>
      <c r="AE138" s="182"/>
      <c r="AF138" s="178"/>
      <c r="AG138" s="182"/>
      <c r="AH138" s="178"/>
      <c r="AJ138" s="259">
        <f>IF($AJ$135="Y",IFERROR(M138*($F$8/SUMIF($H$5:$H$16,"Y",$F$5:$F$16))*$F$21*'Emissions Factors'!$B14,""),"")</f>
        <v>-8.7416281687659612E-5</v>
      </c>
      <c r="AK138" s="259">
        <f>IF($AK$135="Y",IFERROR($M138*(SUM($F$7,$F$5,$F$6)/SUMIF($H$5:$H$16,"Y",$F$5:$F$16))*('Emissions Factors'!$T$143*$F$22)/10^6,""),"")</f>
        <v>-7.0243693714431166E-4</v>
      </c>
      <c r="AL138" s="180"/>
      <c r="AM138" s="180"/>
      <c r="AO138" s="180">
        <f t="shared" si="44"/>
        <v>-7.8985321883197129E-4</v>
      </c>
      <c r="AP138" s="180">
        <f t="shared" si="45"/>
        <v>0</v>
      </c>
      <c r="AT138" s="478">
        <v>2017</v>
      </c>
      <c r="AU138" s="479">
        <f t="shared" si="46"/>
        <v>-1.4467701315114016E-3</v>
      </c>
      <c r="AV138" s="479">
        <f t="shared" si="46"/>
        <v>0</v>
      </c>
      <c r="AW138" s="430"/>
      <c r="AX138" s="479">
        <f t="shared" si="38"/>
        <v>-3.9492660941598564E-4</v>
      </c>
      <c r="AY138" s="479">
        <f t="shared" si="38"/>
        <v>0</v>
      </c>
      <c r="AZ138" s="430"/>
      <c r="BA138" s="479">
        <f t="shared" si="39"/>
        <v>-1.051843522095416E-3</v>
      </c>
      <c r="BB138" s="479">
        <f t="shared" si="39"/>
        <v>0</v>
      </c>
      <c r="BC138" s="516"/>
      <c r="BE138" s="480">
        <f t="shared" si="40"/>
        <v>0.27297122107671418</v>
      </c>
      <c r="BF138" s="480" t="str">
        <f t="shared" si="41"/>
        <v/>
      </c>
    </row>
    <row r="139" spans="1:58" ht="15.6" x14ac:dyDescent="0.3">
      <c r="A139" s="152">
        <v>2018</v>
      </c>
      <c r="B139" s="178"/>
      <c r="C139" s="182"/>
      <c r="D139" s="183"/>
      <c r="E139" s="179">
        <f t="shared" si="47"/>
        <v>-2.0732330054670854E-3</v>
      </c>
      <c r="F139" s="183">
        <f t="shared" si="48"/>
        <v>5.4944691420994157E-5</v>
      </c>
      <c r="G139" s="247">
        <f t="shared" si="35"/>
        <v>0.27757092368913078</v>
      </c>
      <c r="H139" s="246"/>
      <c r="I139" s="417"/>
      <c r="J139" s="178"/>
      <c r="K139" s="182"/>
      <c r="L139" s="183"/>
      <c r="M139" s="179">
        <f t="shared" si="36"/>
        <v>-2.5053871736935951E-3</v>
      </c>
      <c r="N139" s="183">
        <f t="shared" ref="N139:N181" si="49">IFERROR(M139-M138,"")</f>
        <v>5.3456984051129114E-5</v>
      </c>
      <c r="O139" s="247">
        <f t="shared" si="37"/>
        <v>0.33542907631086932</v>
      </c>
      <c r="P139" s="246"/>
      <c r="Q139" s="417"/>
      <c r="R139" s="439"/>
      <c r="S139" s="440"/>
      <c r="T139" s="439"/>
      <c r="U139" s="440"/>
      <c r="V139" s="506"/>
      <c r="W139" s="259">
        <f>IF($W$135="Y",IFERROR(E139*($F$8/SUMIF($H$5:$H$16,"Y",$F$5:$F$16))*$F$21*'Emissions Factors'!$B15,""),"")</f>
        <v>-7.0155834753500584E-5</v>
      </c>
      <c r="X139" s="259">
        <f>IF($X$135="Y",IFERROR($E139*(SUM($F$7,$F$5,$F$6)/SUMIF($H$5:$H$16,"Y",$F$5:$F$16))*('Emissions Factors'!$T$143*$F$22)/10^6,""),"")</f>
        <v>-5.6913018244547609E-4</v>
      </c>
      <c r="Y139" s="441"/>
      <c r="Z139" s="441"/>
      <c r="AA139" s="509"/>
      <c r="AB139" s="441">
        <f t="shared" si="42"/>
        <v>-6.392860171989767E-4</v>
      </c>
      <c r="AC139" s="441">
        <f t="shared" si="43"/>
        <v>0</v>
      </c>
      <c r="AE139" s="182"/>
      <c r="AF139" s="178"/>
      <c r="AG139" s="182"/>
      <c r="AH139" s="178"/>
      <c r="AJ139" s="259">
        <f>IF($AJ$135="Y",IFERROR(M139*($F$8/SUMIF($H$5:$H$16,"Y",$F$5:$F$16))*$F$21*'Emissions Factors'!$B15,""),"")</f>
        <v>-8.4779437761067531E-5</v>
      </c>
      <c r="AK139" s="259">
        <f>IF($AK$135="Y",IFERROR($M139*(SUM($F$7,$F$5,$F$6)/SUMIF($H$5:$H$16,"Y",$F$5:$F$16))*('Emissions Factors'!$T$143*$F$22)/10^6,""),"")</f>
        <v>-6.8776228021680936E-4</v>
      </c>
      <c r="AL139" s="180"/>
      <c r="AM139" s="180"/>
      <c r="AO139" s="180">
        <f t="shared" si="44"/>
        <v>-7.7254171797787687E-4</v>
      </c>
      <c r="AP139" s="180">
        <f t="shared" si="45"/>
        <v>0</v>
      </c>
      <c r="AT139" s="478">
        <v>2018</v>
      </c>
      <c r="AU139" s="479">
        <f t="shared" si="46"/>
        <v>-1.4118277351768535E-3</v>
      </c>
      <c r="AV139" s="479">
        <f t="shared" si="46"/>
        <v>0</v>
      </c>
      <c r="AW139" s="430"/>
      <c r="AX139" s="479">
        <f t="shared" si="38"/>
        <v>-3.8627085898893844E-4</v>
      </c>
      <c r="AY139" s="479">
        <f t="shared" si="38"/>
        <v>0</v>
      </c>
      <c r="AZ139" s="430"/>
      <c r="BA139" s="479">
        <f t="shared" si="39"/>
        <v>-1.0255568761879151E-3</v>
      </c>
      <c r="BB139" s="479">
        <f t="shared" si="39"/>
        <v>0</v>
      </c>
      <c r="BC139" s="516"/>
      <c r="BE139" s="480">
        <f t="shared" si="40"/>
        <v>0.27359631020462422</v>
      </c>
      <c r="BF139" s="480" t="str">
        <f t="shared" si="41"/>
        <v/>
      </c>
    </row>
    <row r="140" spans="1:58" ht="15.6" x14ac:dyDescent="0.3">
      <c r="A140" s="152">
        <v>2019</v>
      </c>
      <c r="B140" s="178"/>
      <c r="C140" s="182"/>
      <c r="D140" s="183"/>
      <c r="E140" s="179">
        <f t="shared" si="47"/>
        <v>-2.0230670067540534E-3</v>
      </c>
      <c r="F140" s="183">
        <f t="shared" si="48"/>
        <v>5.0165998713031998E-5</v>
      </c>
      <c r="G140" s="247">
        <f t="shared" si="35"/>
        <v>0.27681436064196024</v>
      </c>
      <c r="H140" s="246"/>
      <c r="I140" s="417"/>
      <c r="J140" s="178"/>
      <c r="K140" s="182"/>
      <c r="L140" s="183"/>
      <c r="M140" s="179">
        <f t="shared" si="36"/>
        <v>-2.4569754024050161E-3</v>
      </c>
      <c r="N140" s="183">
        <f t="shared" si="49"/>
        <v>4.8411771288578952E-5</v>
      </c>
      <c r="O140" s="247">
        <f t="shared" si="37"/>
        <v>0.33618563935803991</v>
      </c>
      <c r="P140" s="246"/>
      <c r="Q140" s="417"/>
      <c r="R140" s="439"/>
      <c r="S140" s="440"/>
      <c r="T140" s="439"/>
      <c r="U140" s="440"/>
      <c r="V140" s="506"/>
      <c r="W140" s="259">
        <f>IF($W$135="Y",IFERROR(E140*($F$8/SUMIF($H$5:$H$16,"Y",$F$5:$F$16))*$F$21*'Emissions Factors'!$B16,""),"")</f>
        <v>-6.8100856905540261E-5</v>
      </c>
      <c r="X140" s="259">
        <f>IF($X$135="Y",IFERROR($E140*(SUM($F$7,$F$5,$F$6)/SUMIF($H$5:$H$16,"Y",$F$5:$F$16))*('Emissions Factors'!$T$143*$F$22)/10^6,""),"")</f>
        <v>-5.5535894499902461E-4</v>
      </c>
      <c r="Y140" s="441"/>
      <c r="Z140" s="441"/>
      <c r="AA140" s="509"/>
      <c r="AB140" s="441">
        <f t="shared" si="42"/>
        <v>-6.2345980190456492E-4</v>
      </c>
      <c r="AC140" s="441">
        <f t="shared" si="43"/>
        <v>0</v>
      </c>
      <c r="AE140" s="182"/>
      <c r="AF140" s="178"/>
      <c r="AG140" s="182"/>
      <c r="AH140" s="178"/>
      <c r="AJ140" s="259">
        <f>IF($AJ$135="Y",IFERROR(M140*($F$8/SUMIF($H$5:$H$16,"Y",$F$5:$F$16))*$F$21*'Emissions Factors'!$B16,""),"")</f>
        <v>-8.2707161819656802E-5</v>
      </c>
      <c r="AK140" s="259">
        <f>IF($AK$135="Y",IFERROR($M140*(SUM($F$7,$F$5,$F$6)/SUMIF($H$5:$H$16,"Y",$F$5:$F$16))*('Emissions Factors'!$T$143*$F$22)/10^6,""),"")</f>
        <v>-6.7447260165519958E-4</v>
      </c>
      <c r="AL140" s="180"/>
      <c r="AM140" s="180"/>
      <c r="AO140" s="180">
        <f t="shared" si="44"/>
        <v>-7.5717976347485644E-4</v>
      </c>
      <c r="AP140" s="180">
        <f t="shared" si="45"/>
        <v>0</v>
      </c>
      <c r="AT140" s="478">
        <v>2019</v>
      </c>
      <c r="AU140" s="479">
        <f t="shared" si="46"/>
        <v>-1.3806395653794214E-3</v>
      </c>
      <c r="AV140" s="479">
        <f t="shared" si="46"/>
        <v>0</v>
      </c>
      <c r="AW140" s="430"/>
      <c r="AX140" s="479">
        <f t="shared" si="38"/>
        <v>-3.7858988173742822E-4</v>
      </c>
      <c r="AY140" s="479">
        <f t="shared" si="38"/>
        <v>0</v>
      </c>
      <c r="AZ140" s="430"/>
      <c r="BA140" s="479">
        <f t="shared" si="39"/>
        <v>-1.0020496836419931E-3</v>
      </c>
      <c r="BB140" s="479">
        <f t="shared" si="39"/>
        <v>0</v>
      </c>
      <c r="BC140" s="516"/>
      <c r="BE140" s="480">
        <f t="shared" si="40"/>
        <v>0.27421340893804225</v>
      </c>
      <c r="BF140" s="480" t="str">
        <f t="shared" si="41"/>
        <v/>
      </c>
    </row>
    <row r="141" spans="1:58" ht="15.6" x14ac:dyDescent="0.3">
      <c r="A141" s="152">
        <v>2020</v>
      </c>
      <c r="B141" s="178"/>
      <c r="C141" s="182"/>
      <c r="D141" s="183"/>
      <c r="E141" s="179">
        <f t="shared" si="47"/>
        <v>-1.9779793427495483E-3</v>
      </c>
      <c r="F141" s="183">
        <f t="shared" si="48"/>
        <v>4.5087664004505104E-5</v>
      </c>
      <c r="G141" s="247">
        <f t="shared" si="35"/>
        <v>0.2760608531730579</v>
      </c>
      <c r="H141" s="246"/>
      <c r="I141" s="417"/>
      <c r="J141" s="178"/>
      <c r="K141" s="182"/>
      <c r="L141" s="183"/>
      <c r="M141" s="179">
        <f t="shared" si="36"/>
        <v>-2.4141730510756514E-3</v>
      </c>
      <c r="N141" s="183">
        <f t="shared" si="49"/>
        <v>4.2802351329364677E-5</v>
      </c>
      <c r="O141" s="247">
        <f t="shared" si="37"/>
        <v>0.33693914682694215</v>
      </c>
      <c r="P141" s="246"/>
      <c r="Q141" s="417"/>
      <c r="R141" s="439"/>
      <c r="S141" s="440"/>
      <c r="T141" s="439"/>
      <c r="U141" s="440"/>
      <c r="V141" s="506"/>
      <c r="W141" s="259">
        <f>IF($W$135="Y",IFERROR(E141*($F$8/SUMIF($H$5:$H$16,"Y",$F$5:$F$16))*$F$21*'Emissions Factors'!$B17,""),"")</f>
        <v>-6.616625813416708E-5</v>
      </c>
      <c r="X141" s="259">
        <f>IF($X$135="Y",IFERROR($E141*(SUM($F$7,$F$5,$F$6)/SUMIF($H$5:$H$16,"Y",$F$5:$F$16))*('Emissions Factors'!$T$143*$F$22)/10^6,""),"")</f>
        <v>-5.4298177833552981E-4</v>
      </c>
      <c r="Y141" s="441"/>
      <c r="Z141" s="441"/>
      <c r="AA141" s="509"/>
      <c r="AB141" s="441">
        <f t="shared" si="42"/>
        <v>-6.0914803646969695E-4</v>
      </c>
      <c r="AC141" s="441">
        <f t="shared" si="43"/>
        <v>0</v>
      </c>
      <c r="AE141" s="182"/>
      <c r="AF141" s="178"/>
      <c r="AG141" s="182"/>
      <c r="AH141" s="178"/>
      <c r="AJ141" s="259">
        <f>IF($AJ$135="Y",IFERROR(M141*($F$8/SUMIF($H$5:$H$16,"Y",$F$5:$F$16))*$F$21*'Emissions Factors'!$B17,""),"")</f>
        <v>-8.0757565979417399E-5</v>
      </c>
      <c r="AK141" s="259">
        <f>IF($AK$135="Y",IFERROR($M141*(SUM($F$7,$F$5,$F$6)/SUMIF($H$5:$H$16,"Y",$F$5:$F$16))*('Emissions Factors'!$T$143*$F$22)/10^6,""),"")</f>
        <v>-6.6272278387932032E-4</v>
      </c>
      <c r="AL141" s="180"/>
      <c r="AM141" s="180"/>
      <c r="AO141" s="180">
        <f t="shared" si="44"/>
        <v>-7.4348034985873771E-4</v>
      </c>
      <c r="AP141" s="180">
        <f t="shared" si="45"/>
        <v>0</v>
      </c>
      <c r="AS141" s="430"/>
      <c r="AT141" s="478">
        <v>2020</v>
      </c>
      <c r="AU141" s="479">
        <f t="shared" si="46"/>
        <v>-1.3526283863284348E-3</v>
      </c>
      <c r="AV141" s="479">
        <f t="shared" si="46"/>
        <v>0</v>
      </c>
      <c r="AW141" s="430"/>
      <c r="AX141" s="479">
        <f t="shared" si="38"/>
        <v>-3.7174017492936886E-4</v>
      </c>
      <c r="AY141" s="479">
        <f t="shared" si="38"/>
        <v>0</v>
      </c>
      <c r="AZ141" s="430"/>
      <c r="BA141" s="479">
        <f t="shared" si="39"/>
        <v>-9.8088821139906586E-4</v>
      </c>
      <c r="BB141" s="479">
        <f t="shared" si="39"/>
        <v>0</v>
      </c>
      <c r="BC141" s="516"/>
      <c r="BE141" s="480">
        <f t="shared" si="40"/>
        <v>0.27482801535639645</v>
      </c>
      <c r="BF141" s="480" t="str">
        <f t="shared" si="41"/>
        <v/>
      </c>
    </row>
    <row r="142" spans="1:58" ht="15.6" x14ac:dyDescent="0.3">
      <c r="A142" s="152">
        <v>2021</v>
      </c>
      <c r="B142" s="178"/>
      <c r="C142" s="182"/>
      <c r="D142" s="183"/>
      <c r="E142" s="179">
        <f t="shared" si="47"/>
        <v>0.34550545069617389</v>
      </c>
      <c r="F142" s="183">
        <f t="shared" si="48"/>
        <v>0.34748343003892346</v>
      </c>
      <c r="G142" s="247">
        <f t="shared" si="35"/>
        <v>5.4618192162066766E-2</v>
      </c>
      <c r="H142" s="246"/>
      <c r="I142" s="417"/>
      <c r="J142" s="178"/>
      <c r="K142" s="182"/>
      <c r="L142" s="183"/>
      <c r="M142" s="179">
        <f t="shared" si="36"/>
        <v>0.42373347834470287</v>
      </c>
      <c r="N142" s="183">
        <f t="shared" si="49"/>
        <v>0.42614765139577854</v>
      </c>
      <c r="O142" s="247">
        <f t="shared" si="37"/>
        <v>6.6984635116751373E-2</v>
      </c>
      <c r="P142" s="246"/>
      <c r="Q142" s="417"/>
      <c r="R142" s="439"/>
      <c r="S142" s="440"/>
      <c r="T142" s="439"/>
      <c r="U142" s="440"/>
      <c r="V142" s="506"/>
      <c r="W142" s="259">
        <f>IF($W$135="Y",IFERROR(E142*($F$8/SUMIF($H$5:$H$16,"Y",$F$5:$F$16))*$F$21*'Emissions Factors'!$B18,""),"")</f>
        <v>1.1488221046732756E-2</v>
      </c>
      <c r="X142" s="259">
        <f>IF($X$135="Y",IFERROR($E142*(SUM($F$7,$F$5,$F$6)/SUMIF($H$5:$H$16,"Y",$F$5:$F$16))*('Emissions Factors'!$T$143*$F$22)/10^6,""),"")</f>
        <v>9.4845866177168434E-2</v>
      </c>
      <c r="Y142" s="441"/>
      <c r="Z142" s="441"/>
      <c r="AA142" s="509"/>
      <c r="AB142" s="441">
        <f t="shared" si="42"/>
        <v>0.1063340872239012</v>
      </c>
      <c r="AC142" s="441">
        <f t="shared" si="43"/>
        <v>0</v>
      </c>
      <c r="AE142" s="182"/>
      <c r="AF142" s="178"/>
      <c r="AG142" s="182"/>
      <c r="AH142" s="178"/>
      <c r="AJ142" s="259">
        <f>IF($AJ$135="Y",IFERROR(M142*($F$8/SUMIF($H$5:$H$16,"Y",$F$5:$F$16))*$F$21*'Emissions Factors'!$B18,""),"")</f>
        <v>1.4089340281944215E-2</v>
      </c>
      <c r="AK142" s="259">
        <f>IF($AK$135="Y",IFERROR($M142*(SUM($F$7,$F$5,$F$6)/SUMIF($H$5:$H$16,"Y",$F$5:$F$16))*('Emissions Factors'!$T$143*$F$22)/10^6,""),"")</f>
        <v>0.1163205058006711</v>
      </c>
      <c r="AL142" s="180"/>
      <c r="AM142" s="180"/>
      <c r="AO142" s="180">
        <f t="shared" si="44"/>
        <v>0.13040984608261533</v>
      </c>
      <c r="AP142" s="180">
        <f t="shared" si="45"/>
        <v>0</v>
      </c>
      <c r="AS142" s="430"/>
      <c r="AT142" s="478">
        <v>2021</v>
      </c>
      <c r="AU142" s="479">
        <f t="shared" si="46"/>
        <v>0.23674393330651652</v>
      </c>
      <c r="AV142" s="479">
        <f t="shared" si="46"/>
        <v>0</v>
      </c>
      <c r="AW142" s="430"/>
      <c r="AX142" s="479">
        <f t="shared" si="38"/>
        <v>6.5204923041307664E-2</v>
      </c>
      <c r="AY142" s="479">
        <f t="shared" si="38"/>
        <v>0</v>
      </c>
      <c r="AZ142" s="430"/>
      <c r="BA142" s="479">
        <f t="shared" si="39"/>
        <v>0.17153901026520885</v>
      </c>
      <c r="BB142" s="479">
        <f t="shared" si="39"/>
        <v>0</v>
      </c>
      <c r="BC142" s="516"/>
      <c r="BE142" s="480">
        <f t="shared" si="40"/>
        <v>0.27542383929596076</v>
      </c>
      <c r="BF142" s="480" t="str">
        <f t="shared" si="41"/>
        <v/>
      </c>
    </row>
    <row r="143" spans="1:58" ht="15.6" x14ac:dyDescent="0.3">
      <c r="A143" s="152">
        <v>2022</v>
      </c>
      <c r="B143" s="178"/>
      <c r="C143" s="182"/>
      <c r="D143" s="183"/>
      <c r="E143" s="179">
        <f t="shared" si="47"/>
        <v>0.82659190084530354</v>
      </c>
      <c r="F143" s="183">
        <f t="shared" si="48"/>
        <v>0.48108645014912965</v>
      </c>
      <c r="G143" s="247">
        <f t="shared" si="35"/>
        <v>5.8007307192553627E-2</v>
      </c>
      <c r="H143" s="246"/>
      <c r="I143" s="417"/>
      <c r="J143" s="178"/>
      <c r="K143" s="182"/>
      <c r="L143" s="183"/>
      <c r="M143" s="179">
        <f t="shared" si="36"/>
        <v>1.0187243563977457</v>
      </c>
      <c r="N143" s="183">
        <f t="shared" si="49"/>
        <v>0.59499087805304285</v>
      </c>
      <c r="O143" s="247">
        <f t="shared" si="37"/>
        <v>7.1490485964923384E-2</v>
      </c>
      <c r="P143" s="246"/>
      <c r="Q143" s="417"/>
      <c r="R143" s="182"/>
      <c r="S143" s="178"/>
      <c r="T143" s="182"/>
      <c r="U143" s="178"/>
      <c r="V143" s="506"/>
      <c r="W143" s="259">
        <f>IF($W$135="Y",IFERROR(E143*($F$8/SUMIF($H$5:$H$16,"Y",$F$5:$F$16))*$F$21*'Emissions Factors'!$B19,""),"")</f>
        <v>2.7321164226905361E-2</v>
      </c>
      <c r="X143" s="259">
        <f>IF($X$135="Y",IFERROR($E143*(SUM($F$7,$F$5,$F$6)/SUMIF($H$5:$H$16,"Y",$F$5:$F$16))*('Emissions Factors'!$T$143*$F$22)/10^6,""),"")</f>
        <v>0.22691052963921626</v>
      </c>
      <c r="Y143" s="180"/>
      <c r="Z143" s="180"/>
      <c r="AA143" s="509"/>
      <c r="AB143" s="180">
        <f t="shared" si="42"/>
        <v>0.2542316938661216</v>
      </c>
      <c r="AC143" s="180">
        <f t="shared" si="43"/>
        <v>0</v>
      </c>
      <c r="AE143" s="182"/>
      <c r="AF143" s="178"/>
      <c r="AG143" s="182"/>
      <c r="AH143" s="178"/>
      <c r="AJ143" s="259">
        <f>IF($AJ$135="Y",IFERROR(M143*($F$8/SUMIF($H$5:$H$16,"Y",$F$5:$F$16))*$F$21*'Emissions Factors'!$B19,""),"")</f>
        <v>3.3671676935896046E-2</v>
      </c>
      <c r="AK143" s="259">
        <f>IF($AK$135="Y",IFERROR($M143*(SUM($F$7,$F$5,$F$6)/SUMIF($H$5:$H$16,"Y",$F$5:$F$16))*('Emissions Factors'!$T$143*$F$22)/10^6,""),"")</f>
        <v>0.27965345780691792</v>
      </c>
      <c r="AL143" s="180"/>
      <c r="AM143" s="180"/>
      <c r="AO143" s="180">
        <f t="shared" si="44"/>
        <v>0.31332513474281398</v>
      </c>
      <c r="AP143" s="180">
        <f t="shared" si="45"/>
        <v>0</v>
      </c>
      <c r="AS143" s="430"/>
      <c r="AT143" s="478">
        <v>2022</v>
      </c>
      <c r="AU143" s="479">
        <f t="shared" si="46"/>
        <v>0.56755682860893564</v>
      </c>
      <c r="AV143" s="479">
        <f t="shared" si="46"/>
        <v>0</v>
      </c>
      <c r="AW143" s="430"/>
      <c r="AX143" s="479">
        <f t="shared" si="38"/>
        <v>0.15666256737140699</v>
      </c>
      <c r="AY143" s="479">
        <f t="shared" si="38"/>
        <v>0</v>
      </c>
      <c r="AZ143" s="430"/>
      <c r="BA143" s="479">
        <f t="shared" si="39"/>
        <v>0.41089426123752865</v>
      </c>
      <c r="BB143" s="479">
        <f t="shared" si="39"/>
        <v>0</v>
      </c>
      <c r="BC143" s="516"/>
      <c r="BE143" s="480">
        <f t="shared" si="40"/>
        <v>0.27602974622890564</v>
      </c>
      <c r="BF143" s="480" t="str">
        <f t="shared" si="41"/>
        <v/>
      </c>
    </row>
    <row r="144" spans="1:58" ht="15.6" x14ac:dyDescent="0.3">
      <c r="A144" s="152">
        <v>2023</v>
      </c>
      <c r="B144" s="178"/>
      <c r="C144" s="182"/>
      <c r="D144" s="183"/>
      <c r="E144" s="179">
        <f t="shared" si="47"/>
        <v>1.4238695027977588</v>
      </c>
      <c r="F144" s="183">
        <f t="shared" si="48"/>
        <v>0.59727760195245527</v>
      </c>
      <c r="G144" s="247">
        <f t="shared" si="35"/>
        <v>6.0495997256325276E-2</v>
      </c>
      <c r="H144" s="246"/>
      <c r="I144" s="417"/>
      <c r="J144" s="178"/>
      <c r="K144" s="182"/>
      <c r="L144" s="183"/>
      <c r="M144" s="179">
        <f t="shared" si="36"/>
        <v>1.7636500608450194</v>
      </c>
      <c r="N144" s="183">
        <f t="shared" si="49"/>
        <v>0.74492570444727368</v>
      </c>
      <c r="O144" s="247">
        <f t="shared" si="37"/>
        <v>7.4932266638449513E-2</v>
      </c>
      <c r="P144" s="246"/>
      <c r="Q144" s="417"/>
      <c r="R144" s="182"/>
      <c r="S144" s="178"/>
      <c r="T144" s="182"/>
      <c r="U144" s="178"/>
      <c r="V144" s="506"/>
      <c r="W144" s="259">
        <f>IF($W$135="Y",IFERROR(E144*($F$8/SUMIF($H$5:$H$16,"Y",$F$5:$F$16))*$F$21*'Emissions Factors'!$B20,""),"")</f>
        <v>4.6788135586613537E-2</v>
      </c>
      <c r="X144" s="259">
        <f>IF($X$135="Y",IFERROR($E144*(SUM($F$7,$F$5,$F$6)/SUMIF($H$5:$H$16,"Y",$F$5:$F$16))*('Emissions Factors'!$T$143*$F$22)/10^6,""),"")</f>
        <v>0.39087121793301161</v>
      </c>
      <c r="Y144" s="180"/>
      <c r="Z144" s="180"/>
      <c r="AA144" s="509"/>
      <c r="AB144" s="180">
        <f t="shared" si="42"/>
        <v>0.43765935351962515</v>
      </c>
      <c r="AC144" s="180">
        <f t="shared" si="43"/>
        <v>0</v>
      </c>
      <c r="AE144" s="182"/>
      <c r="AF144" s="178"/>
      <c r="AG144" s="182"/>
      <c r="AH144" s="178"/>
      <c r="AJ144" s="259">
        <f>IF($AJ$135="Y",IFERROR(M144*($F$8/SUMIF($H$5:$H$16,"Y",$F$5:$F$16))*$F$21*'Emissions Factors'!$B20,""),"")</f>
        <v>5.7953273113875041E-2</v>
      </c>
      <c r="AK144" s="259">
        <f>IF($AK$135="Y",IFERROR($M144*(SUM($F$7,$F$5,$F$6)/SUMIF($H$5:$H$16,"Y",$F$5:$F$16))*('Emissions Factors'!$T$143*$F$22)/10^6,""),"")</f>
        <v>0.48414552452707244</v>
      </c>
      <c r="AL144" s="180"/>
      <c r="AM144" s="180"/>
      <c r="AO144" s="180">
        <f t="shared" si="44"/>
        <v>0.54209879764094748</v>
      </c>
      <c r="AP144" s="180">
        <f t="shared" si="45"/>
        <v>0</v>
      </c>
      <c r="AS144" s="430"/>
      <c r="AT144" s="478">
        <v>2023</v>
      </c>
      <c r="AU144" s="479">
        <f t="shared" si="46"/>
        <v>0.97975815116057263</v>
      </c>
      <c r="AV144" s="479">
        <f t="shared" si="46"/>
        <v>0</v>
      </c>
      <c r="AW144" s="430"/>
      <c r="AX144" s="479">
        <f t="shared" si="38"/>
        <v>0.27104939882047374</v>
      </c>
      <c r="AY144" s="479">
        <f t="shared" si="38"/>
        <v>0</v>
      </c>
      <c r="AZ144" s="430"/>
      <c r="BA144" s="479">
        <f t="shared" si="39"/>
        <v>0.70870875234009889</v>
      </c>
      <c r="BB144" s="479">
        <f t="shared" si="39"/>
        <v>0</v>
      </c>
      <c r="BC144" s="516"/>
      <c r="BE144" s="480">
        <f t="shared" si="40"/>
        <v>0.27664929197006644</v>
      </c>
      <c r="BF144" s="480" t="str">
        <f t="shared" si="41"/>
        <v/>
      </c>
    </row>
    <row r="145" spans="1:58" ht="15.6" x14ac:dyDescent="0.3">
      <c r="A145" s="152">
        <v>2024</v>
      </c>
      <c r="B145" s="178"/>
      <c r="C145" s="182"/>
      <c r="D145" s="183"/>
      <c r="E145" s="179">
        <f t="shared" si="47"/>
        <v>2.1273072436663281</v>
      </c>
      <c r="F145" s="183">
        <f t="shared" si="48"/>
        <v>0.70343774086856925</v>
      </c>
      <c r="G145" s="247">
        <f t="shared" si="35"/>
        <v>6.2444630396132648E-2</v>
      </c>
      <c r="H145" s="246"/>
      <c r="I145" s="417"/>
      <c r="J145" s="178"/>
      <c r="K145" s="182"/>
      <c r="L145" s="183"/>
      <c r="M145" s="179">
        <f t="shared" si="36"/>
        <v>2.6485239589158103</v>
      </c>
      <c r="N145" s="183">
        <f t="shared" si="49"/>
        <v>0.88487389807079087</v>
      </c>
      <c r="O145" s="247">
        <f t="shared" si="37"/>
        <v>7.7744340974820136E-2</v>
      </c>
      <c r="P145" s="246"/>
      <c r="Q145" s="417"/>
      <c r="R145" s="182"/>
      <c r="S145" s="178"/>
      <c r="T145" s="182"/>
      <c r="U145" s="178"/>
      <c r="V145" s="506"/>
      <c r="W145" s="259">
        <f>IF($W$135="Y",IFERROR(E145*($F$8/SUMIF($H$5:$H$16,"Y",$F$5:$F$16))*$F$21*'Emissions Factors'!$B21,""),"")</f>
        <v>6.950174005900904E-2</v>
      </c>
      <c r="X145" s="259">
        <f>IF($X$135="Y",IFERROR($E145*(SUM($F$7,$F$5,$F$6)/SUMIF($H$5:$H$16,"Y",$F$5:$F$16))*('Emissions Factors'!$T$143*$F$22)/10^6,""),"")</f>
        <v>0.5839742838903117</v>
      </c>
      <c r="Y145" s="180"/>
      <c r="Z145" s="180"/>
      <c r="AA145" s="509"/>
      <c r="AB145" s="180">
        <f t="shared" si="42"/>
        <v>0.65347602394932069</v>
      </c>
      <c r="AC145" s="180">
        <f t="shared" si="43"/>
        <v>0</v>
      </c>
      <c r="AE145" s="182"/>
      <c r="AF145" s="178"/>
      <c r="AG145" s="182"/>
      <c r="AH145" s="178"/>
      <c r="AJ145" s="259">
        <f>IF($AJ$135="Y",IFERROR(M145*($F$8/SUMIF($H$5:$H$16,"Y",$F$5:$F$16))*$F$21*'Emissions Factors'!$B21,""),"")</f>
        <v>8.6530530218744933E-2</v>
      </c>
      <c r="AK145" s="259">
        <f>IF($AK$135="Y",IFERROR($M145*(SUM($F$7,$F$5,$F$6)/SUMIF($H$5:$H$16,"Y",$F$5:$F$16))*('Emissions Factors'!$T$143*$F$22)/10^6,""),"")</f>
        <v>0.72705524172830382</v>
      </c>
      <c r="AL145" s="180"/>
      <c r="AM145" s="180"/>
      <c r="AO145" s="180">
        <f t="shared" si="44"/>
        <v>0.81358577194704873</v>
      </c>
      <c r="AP145" s="180">
        <f t="shared" si="45"/>
        <v>0</v>
      </c>
      <c r="AS145" s="430"/>
      <c r="AT145" s="478">
        <v>2024</v>
      </c>
      <c r="AU145" s="479">
        <f t="shared" si="46"/>
        <v>1.4670617958963694</v>
      </c>
      <c r="AV145" s="479">
        <f t="shared" si="46"/>
        <v>0</v>
      </c>
      <c r="AW145" s="430"/>
      <c r="AX145" s="479">
        <f t="shared" si="38"/>
        <v>0.40679288597352437</v>
      </c>
      <c r="AY145" s="479">
        <f t="shared" si="38"/>
        <v>0</v>
      </c>
      <c r="AZ145" s="430"/>
      <c r="BA145" s="479">
        <f t="shared" si="39"/>
        <v>1.0602689099228451</v>
      </c>
      <c r="BB145" s="479">
        <f t="shared" si="39"/>
        <v>0</v>
      </c>
      <c r="BC145" s="516"/>
      <c r="BE145" s="480">
        <f t="shared" si="40"/>
        <v>0.27728408381391689</v>
      </c>
      <c r="BF145" s="480" t="str">
        <f t="shared" si="41"/>
        <v/>
      </c>
    </row>
    <row r="146" spans="1:58" ht="15.6" x14ac:dyDescent="0.3">
      <c r="A146" s="152">
        <v>2025</v>
      </c>
      <c r="B146" s="178"/>
      <c r="C146" s="182"/>
      <c r="D146" s="183"/>
      <c r="E146" s="179">
        <f t="shared" si="47"/>
        <v>2.9294789495700964</v>
      </c>
      <c r="F146" s="183">
        <f t="shared" si="48"/>
        <v>0.8021717059037683</v>
      </c>
      <c r="G146" s="247">
        <f t="shared" si="35"/>
        <v>6.4033080757973412E-2</v>
      </c>
      <c r="H146" s="246"/>
      <c r="I146" s="417"/>
      <c r="J146" s="178"/>
      <c r="K146" s="182"/>
      <c r="L146" s="183"/>
      <c r="M146" s="179">
        <f t="shared" si="36"/>
        <v>3.6665098558292852</v>
      </c>
      <c r="N146" s="183">
        <f t="shared" si="49"/>
        <v>1.017985896913475</v>
      </c>
      <c r="O146" s="247">
        <f t="shared" si="37"/>
        <v>8.0143235619657194E-2</v>
      </c>
      <c r="P146" s="246"/>
      <c r="Q146" s="417"/>
      <c r="R146" s="182"/>
      <c r="S146" s="178"/>
      <c r="T146" s="182"/>
      <c r="U146" s="178"/>
      <c r="V146" s="506"/>
      <c r="W146" s="259">
        <f>IF($W$135="Y",IFERROR(E146*($F$8/SUMIF($H$5:$H$16,"Y",$F$5:$F$16))*$F$21*'Emissions Factors'!$B22,""),"")</f>
        <v>9.5222838012908956E-2</v>
      </c>
      <c r="X146" s="259">
        <f>IF($X$135="Y",IFERROR($E146*(SUM($F$7,$F$5,$F$6)/SUMIF($H$5:$H$16,"Y",$F$5:$F$16))*('Emissions Factors'!$T$143*$F$22)/10^6,""),"")</f>
        <v>0.80418114348097081</v>
      </c>
      <c r="Y146" s="180"/>
      <c r="Z146" s="180"/>
      <c r="AA146" s="509"/>
      <c r="AB146" s="180">
        <f t="shared" si="42"/>
        <v>0.89940398149387979</v>
      </c>
      <c r="AC146" s="180">
        <f t="shared" si="43"/>
        <v>0</v>
      </c>
      <c r="AE146" s="182"/>
      <c r="AF146" s="178"/>
      <c r="AG146" s="182"/>
      <c r="AH146" s="178"/>
      <c r="AJ146" s="259">
        <f>IF($AJ$135="Y",IFERROR(M146*($F$8/SUMIF($H$5:$H$16,"Y",$F$5:$F$16))*$F$21*'Emissions Factors'!$B22,""),"")</f>
        <v>0.11918005900865139</v>
      </c>
      <c r="AK146" s="259">
        <f>IF($AK$135="Y",IFERROR($M146*(SUM($F$7,$F$5,$F$6)/SUMIF($H$5:$H$16,"Y",$F$5:$F$16))*('Emissions Factors'!$T$143*$F$22)/10^6,""),"")</f>
        <v>1.0065059825324039</v>
      </c>
      <c r="AL146" s="180"/>
      <c r="AM146" s="180"/>
      <c r="AO146" s="180">
        <f t="shared" si="44"/>
        <v>1.1256860415410552</v>
      </c>
      <c r="AP146" s="180">
        <f t="shared" si="45"/>
        <v>0</v>
      </c>
      <c r="AS146" s="430"/>
      <c r="AT146" s="478">
        <v>2025</v>
      </c>
      <c r="AU146" s="479">
        <f t="shared" si="46"/>
        <v>2.0250900230349349</v>
      </c>
      <c r="AV146" s="479">
        <f t="shared" si="46"/>
        <v>0</v>
      </c>
      <c r="AW146" s="430"/>
      <c r="AX146" s="479">
        <f t="shared" si="38"/>
        <v>0.56284302077052761</v>
      </c>
      <c r="AY146" s="479">
        <f t="shared" si="38"/>
        <v>0</v>
      </c>
      <c r="AZ146" s="430"/>
      <c r="BA146" s="479">
        <f t="shared" si="39"/>
        <v>1.4622470022644074</v>
      </c>
      <c r="BB146" s="479">
        <f t="shared" si="39"/>
        <v>0</v>
      </c>
      <c r="BC146" s="516"/>
      <c r="BE146" s="480">
        <f t="shared" si="40"/>
        <v>0.27793481493085109</v>
      </c>
      <c r="BF146" s="480" t="str">
        <f t="shared" si="41"/>
        <v/>
      </c>
    </row>
    <row r="147" spans="1:58" ht="15.6" x14ac:dyDescent="0.3">
      <c r="A147" s="152">
        <v>2026</v>
      </c>
      <c r="B147" s="178"/>
      <c r="C147" s="182"/>
      <c r="D147" s="183"/>
      <c r="E147" s="179">
        <f t="shared" si="47"/>
        <v>3.8234927415098947</v>
      </c>
      <c r="F147" s="183">
        <f t="shared" si="48"/>
        <v>0.89401379193979835</v>
      </c>
      <c r="G147" s="247">
        <f t="shared" si="35"/>
        <v>6.5371830250122137E-2</v>
      </c>
      <c r="H147" s="246"/>
      <c r="I147" s="417"/>
      <c r="J147" s="178"/>
      <c r="K147" s="182"/>
      <c r="L147" s="183"/>
      <c r="M147" s="179">
        <f t="shared" si="36"/>
        <v>4.811389650724827</v>
      </c>
      <c r="N147" s="183">
        <f t="shared" si="49"/>
        <v>1.1448797948955418</v>
      </c>
      <c r="O147" s="247">
        <f t="shared" si="37"/>
        <v>8.2262310609270417E-2</v>
      </c>
      <c r="P147" s="246"/>
      <c r="Q147" s="417"/>
      <c r="R147" s="182"/>
      <c r="S147" s="178"/>
      <c r="T147" s="182"/>
      <c r="U147" s="178"/>
      <c r="V147" s="506"/>
      <c r="W147" s="259">
        <f>IF($W$135="Y",IFERROR(E147*($F$8/SUMIF($H$5:$H$16,"Y",$F$5:$F$16))*$F$21*'Emissions Factors'!$B23,""),"")</f>
        <v>0.12351915856222369</v>
      </c>
      <c r="X147" s="259">
        <f>IF($X$135="Y",IFERROR($E147*(SUM($F$7,$F$5,$F$6)/SUMIF($H$5:$H$16,"Y",$F$5:$F$16))*('Emissions Factors'!$T$143*$F$22)/10^6,""),"")</f>
        <v>1.0495998837642597</v>
      </c>
      <c r="Y147" s="180"/>
      <c r="Z147" s="180"/>
      <c r="AA147" s="509"/>
      <c r="AB147" s="180">
        <f t="shared" si="42"/>
        <v>1.1731190423264835</v>
      </c>
      <c r="AC147" s="180">
        <f t="shared" si="43"/>
        <v>0</v>
      </c>
      <c r="AE147" s="182"/>
      <c r="AF147" s="178"/>
      <c r="AG147" s="182"/>
      <c r="AH147" s="178"/>
      <c r="AJ147" s="259">
        <f>IF($AJ$135="Y",IFERROR(M147*($F$8/SUMIF($H$5:$H$16,"Y",$F$5:$F$16))*$F$21*'Emissions Factors'!$B23,""),"")</f>
        <v>0.15543348486594322</v>
      </c>
      <c r="AK147" s="259">
        <f>IF($AK$135="Y",IFERROR($M147*(SUM($F$7,$F$5,$F$6)/SUMIF($H$5:$H$16,"Y",$F$5:$F$16))*('Emissions Factors'!$T$143*$F$22)/10^6,""),"")</f>
        <v>1.3207907951071685</v>
      </c>
      <c r="AL147" s="180"/>
      <c r="AM147" s="180"/>
      <c r="AO147" s="180">
        <f t="shared" si="44"/>
        <v>1.4762242799731116</v>
      </c>
      <c r="AP147" s="180">
        <f t="shared" si="45"/>
        <v>0</v>
      </c>
      <c r="AS147" s="430"/>
      <c r="AT147" s="478">
        <v>2026</v>
      </c>
      <c r="AU147" s="479">
        <f t="shared" si="46"/>
        <v>2.649343322299595</v>
      </c>
      <c r="AV147" s="479">
        <f t="shared" si="46"/>
        <v>0</v>
      </c>
      <c r="AW147" s="430"/>
      <c r="AX147" s="479">
        <f t="shared" si="38"/>
        <v>0.73811213998655578</v>
      </c>
      <c r="AY147" s="479">
        <f t="shared" si="38"/>
        <v>0</v>
      </c>
      <c r="AZ147" s="430"/>
      <c r="BA147" s="479">
        <f t="shared" si="39"/>
        <v>1.9112311823130392</v>
      </c>
      <c r="BB147" s="479">
        <f t="shared" si="39"/>
        <v>0</v>
      </c>
      <c r="BC147" s="516"/>
      <c r="BE147" s="480">
        <f t="shared" si="40"/>
        <v>0.27860192137947759</v>
      </c>
      <c r="BF147" s="480" t="str">
        <f t="shared" si="41"/>
        <v/>
      </c>
    </row>
    <row r="148" spans="1:58" ht="15.6" x14ac:dyDescent="0.3">
      <c r="A148" s="152">
        <v>2027</v>
      </c>
      <c r="B148" s="178"/>
      <c r="C148" s="182"/>
      <c r="D148" s="183"/>
      <c r="E148" s="179">
        <f t="shared" si="47"/>
        <v>4.8038779187652274</v>
      </c>
      <c r="F148" s="183">
        <f t="shared" si="48"/>
        <v>0.9803851772553327</v>
      </c>
      <c r="G148" s="247">
        <f t="shared" si="35"/>
        <v>6.6540609180417681E-2</v>
      </c>
      <c r="H148" s="246"/>
      <c r="I148" s="417"/>
      <c r="J148" s="178"/>
      <c r="K148" s="182"/>
      <c r="L148" s="183"/>
      <c r="M148" s="179">
        <f t="shared" si="36"/>
        <v>6.0786748316757784</v>
      </c>
      <c r="N148" s="183">
        <f t="shared" si="49"/>
        <v>1.2672851809509513</v>
      </c>
      <c r="O148" s="247">
        <f t="shared" si="37"/>
        <v>8.4198377466957991E-2</v>
      </c>
      <c r="P148" s="246"/>
      <c r="Q148" s="417"/>
      <c r="R148" s="182"/>
      <c r="S148" s="178"/>
      <c r="T148" s="182"/>
      <c r="U148" s="182"/>
      <c r="V148" s="506"/>
      <c r="W148" s="259">
        <f>IF($W$135="Y",IFERROR(E148*($F$8/SUMIF($H$5:$H$16,"Y",$F$5:$F$16))*$F$21*'Emissions Factors'!$B24,""),"")</f>
        <v>0.15433556000418319</v>
      </c>
      <c r="X148" s="259">
        <f>IF($X$135="Y",IFERROR($E148*(SUM($F$7,$F$5,$F$6)/SUMIF($H$5:$H$16,"Y",$F$5:$F$16))*('Emissions Factors'!$T$143*$F$22)/10^6,""),"")</f>
        <v>1.3187287242403749</v>
      </c>
      <c r="Y148" s="180"/>
      <c r="Z148" s="180"/>
      <c r="AA148" s="509"/>
      <c r="AB148" s="180">
        <f t="shared" si="42"/>
        <v>1.473064284244558</v>
      </c>
      <c r="AC148" s="180">
        <f>SUM(R148:U148)</f>
        <v>0</v>
      </c>
      <c r="AE148" s="182"/>
      <c r="AF148" s="178"/>
      <c r="AG148" s="182"/>
      <c r="AH148" s="178"/>
      <c r="AJ148" s="259">
        <f>IF($AJ$135="Y",IFERROR(M148*($F$8/SUMIF($H$5:$H$16,"Y",$F$5:$F$16))*$F$21*'Emissions Factors'!$B24,""),"")</f>
        <v>0.19529132506996677</v>
      </c>
      <c r="AK148" s="259">
        <f>IF($AK$135="Y",IFERROR($M148*(SUM($F$7,$F$5,$F$6)/SUMIF($H$5:$H$16,"Y",$F$5:$F$16))*('Emissions Factors'!$T$143*$F$22)/10^6,""),"")</f>
        <v>1.6686775229101392</v>
      </c>
      <c r="AL148" s="180"/>
      <c r="AM148" s="180"/>
      <c r="AO148" s="180">
        <f t="shared" si="44"/>
        <v>1.863968847980106</v>
      </c>
      <c r="AP148" s="180">
        <f t="shared" si="45"/>
        <v>0</v>
      </c>
      <c r="AS148" s="430"/>
      <c r="AT148" s="478">
        <v>2027</v>
      </c>
      <c r="AU148" s="479">
        <f t="shared" si="46"/>
        <v>3.337033132224664</v>
      </c>
      <c r="AV148" s="479">
        <f t="shared" si="46"/>
        <v>0</v>
      </c>
      <c r="AW148" s="430"/>
      <c r="AX148" s="479">
        <f t="shared" si="38"/>
        <v>0.93198442399005299</v>
      </c>
      <c r="AY148" s="479">
        <f t="shared" si="38"/>
        <v>0</v>
      </c>
      <c r="AZ148" s="430"/>
      <c r="BA148" s="479">
        <f t="shared" si="39"/>
        <v>2.4050487082346113</v>
      </c>
      <c r="BB148" s="479">
        <f t="shared" si="39"/>
        <v>0</v>
      </c>
      <c r="BC148" s="516"/>
      <c r="BE148" s="480">
        <f t="shared" si="40"/>
        <v>0.27928533732259858</v>
      </c>
      <c r="BF148" s="480" t="str">
        <f t="shared" si="41"/>
        <v/>
      </c>
    </row>
    <row r="149" spans="1:58" ht="15.6" x14ac:dyDescent="0.3">
      <c r="A149" s="152">
        <v>2028</v>
      </c>
      <c r="B149" s="178"/>
      <c r="C149" s="182"/>
      <c r="D149" s="183"/>
      <c r="E149" s="179">
        <f t="shared" si="47"/>
        <v>5.870257645970014</v>
      </c>
      <c r="F149" s="183">
        <f t="shared" si="48"/>
        <v>1.0663797272047866</v>
      </c>
      <c r="G149" s="247">
        <f t="shared" si="35"/>
        <v>6.7601937883059793E-2</v>
      </c>
      <c r="H149" s="246"/>
      <c r="I149" s="417"/>
      <c r="J149" s="178"/>
      <c r="K149" s="182"/>
      <c r="L149" s="183"/>
      <c r="M149" s="179">
        <f t="shared" si="36"/>
        <v>7.4702731651250938</v>
      </c>
      <c r="N149" s="183">
        <f t="shared" si="49"/>
        <v>1.3915983334493154</v>
      </c>
      <c r="O149" s="247">
        <f t="shared" si="37"/>
        <v>8.6027730456595133E-2</v>
      </c>
      <c r="P149" s="246"/>
      <c r="Q149" s="417"/>
      <c r="R149" s="182"/>
      <c r="S149" s="178"/>
      <c r="T149" s="182"/>
      <c r="U149" s="178"/>
      <c r="V149" s="506"/>
      <c r="W149" s="259">
        <f>IF($W$135="Y",IFERROR(E149*($F$8/SUMIF($H$5:$H$16,"Y",$F$5:$F$16))*$F$21*'Emissions Factors'!$B25,""),"")</f>
        <v>0.18756688113417508</v>
      </c>
      <c r="X149" s="259">
        <f>IF($X$135="Y",IFERROR($E149*(SUM($F$7,$F$5,$F$6)/SUMIF($H$5:$H$16,"Y",$F$5:$F$16))*('Emissions Factors'!$T$143*$F$22)/10^6,""),"")</f>
        <v>1.6114642185624348</v>
      </c>
      <c r="Y149" s="180"/>
      <c r="Z149" s="180"/>
      <c r="AA149" s="509"/>
      <c r="AB149" s="180">
        <f t="shared" si="42"/>
        <v>1.7990310996966099</v>
      </c>
      <c r="AC149" s="180">
        <f t="shared" si="43"/>
        <v>0</v>
      </c>
      <c r="AE149" s="182"/>
      <c r="AF149" s="178"/>
      <c r="AG149" s="182"/>
      <c r="AH149" s="178"/>
      <c r="AJ149" s="259">
        <f>IF($AJ$135="Y",IFERROR(M149*($F$8/SUMIF($H$5:$H$16,"Y",$F$5:$F$16))*$F$21*'Emissions Factors'!$B25,""),"")</f>
        <v>0.23869068843422167</v>
      </c>
      <c r="AK149" s="259">
        <f>IF($AK$135="Y",IFERROR($M149*(SUM($F$7,$F$5,$F$6)/SUMIF($H$5:$H$16,"Y",$F$5:$F$16))*('Emissions Factors'!$T$143*$F$22)/10^6,""),"")</f>
        <v>2.0506898733397994</v>
      </c>
      <c r="AL149" s="180"/>
      <c r="AM149" s="180"/>
      <c r="AO149" s="180">
        <f t="shared" si="44"/>
        <v>2.2893805617740211</v>
      </c>
      <c r="AP149" s="180">
        <f t="shared" si="45"/>
        <v>0</v>
      </c>
      <c r="AS149" s="430"/>
      <c r="AT149" s="478">
        <v>2028</v>
      </c>
      <c r="AU149" s="479">
        <f t="shared" si="46"/>
        <v>4.088411661470631</v>
      </c>
      <c r="AV149" s="479">
        <f t="shared" si="46"/>
        <v>0</v>
      </c>
      <c r="AW149" s="430"/>
      <c r="AX149" s="479">
        <f t="shared" si="38"/>
        <v>1.1446902808870105</v>
      </c>
      <c r="AY149" s="479">
        <f t="shared" si="38"/>
        <v>0</v>
      </c>
      <c r="AZ149" s="430"/>
      <c r="BA149" s="479">
        <f t="shared" si="39"/>
        <v>2.9437213805836207</v>
      </c>
      <c r="BB149" s="479">
        <f t="shared" si="39"/>
        <v>0</v>
      </c>
      <c r="BC149" s="516"/>
      <c r="BE149" s="480">
        <f t="shared" si="40"/>
        <v>0.27998410523935774</v>
      </c>
      <c r="BF149" s="480" t="str">
        <f t="shared" si="41"/>
        <v/>
      </c>
    </row>
    <row r="150" spans="1:58" ht="15.6" x14ac:dyDescent="0.3">
      <c r="A150" s="152">
        <v>2029</v>
      </c>
      <c r="B150" s="178"/>
      <c r="C150" s="182"/>
      <c r="D150" s="183"/>
      <c r="E150" s="179">
        <f t="shared" si="47"/>
        <v>7.0245023173460721</v>
      </c>
      <c r="F150" s="183">
        <f t="shared" si="48"/>
        <v>1.1542446713760581</v>
      </c>
      <c r="G150" s="247">
        <f t="shared" si="35"/>
        <v>6.8601099314723968E-2</v>
      </c>
      <c r="H150" s="246"/>
      <c r="I150" s="417"/>
      <c r="J150" s="178"/>
      <c r="K150" s="182"/>
      <c r="L150" s="183"/>
      <c r="M150" s="179">
        <f t="shared" si="36"/>
        <v>8.9910149718173678</v>
      </c>
      <c r="N150" s="183">
        <f t="shared" si="49"/>
        <v>1.520741806692274</v>
      </c>
      <c r="O150" s="247">
        <f t="shared" si="37"/>
        <v>8.7806008619105147E-2</v>
      </c>
      <c r="P150" s="246"/>
      <c r="Q150" s="417"/>
      <c r="R150" s="182"/>
      <c r="S150" s="178"/>
      <c r="T150" s="182"/>
      <c r="U150" s="178"/>
      <c r="V150" s="506"/>
      <c r="W150" s="259">
        <f>IF($W$135="Y",IFERROR(E150*($F$8/SUMIF($H$5:$H$16,"Y",$F$5:$F$16))*$F$21*'Emissions Factors'!$B26,""),"")</f>
        <v>0.22323411634604451</v>
      </c>
      <c r="X150" s="259">
        <f>IF($X$135="Y",IFERROR($E150*(SUM($F$7,$F$5,$F$6)/SUMIF($H$5:$H$16,"Y",$F$5:$F$16))*('Emissions Factors'!$T$143*$F$22)/10^6,""),"")</f>
        <v>1.9283198149544936</v>
      </c>
      <c r="Y150" s="180"/>
      <c r="Z150" s="180"/>
      <c r="AA150" s="509"/>
      <c r="AB150" s="180">
        <f t="shared" si="42"/>
        <v>2.1515539313005378</v>
      </c>
      <c r="AC150" s="180">
        <f t="shared" si="43"/>
        <v>0</v>
      </c>
      <c r="AE150" s="182"/>
      <c r="AF150" s="178"/>
      <c r="AG150" s="182"/>
      <c r="AH150" s="178"/>
      <c r="AJ150" s="259">
        <f>IF($AJ$135="Y",IFERROR(M150*($F$8/SUMIF($H$5:$H$16,"Y",$F$5:$F$16))*$F$21*'Emissions Factors'!$B26,""),"")</f>
        <v>0.28572860988762677</v>
      </c>
      <c r="AK150" s="259">
        <f>IF($AK$135="Y",IFERROR($M150*(SUM($F$7,$F$5,$F$6)/SUMIF($H$5:$H$16,"Y",$F$5:$F$16))*('Emissions Factors'!$T$143*$F$22)/10^6,""),"")</f>
        <v>2.4681538340296618</v>
      </c>
      <c r="AL150" s="180"/>
      <c r="AM150" s="180"/>
      <c r="AO150" s="180">
        <f t="shared" si="44"/>
        <v>2.7538824439172886</v>
      </c>
      <c r="AP150" s="180">
        <f t="shared" si="45"/>
        <v>0</v>
      </c>
      <c r="AS150" s="430"/>
      <c r="AT150" s="478">
        <v>2029</v>
      </c>
      <c r="AU150" s="479">
        <f t="shared" si="46"/>
        <v>4.9054363752178265</v>
      </c>
      <c r="AV150" s="479">
        <f t="shared" si="46"/>
        <v>0</v>
      </c>
      <c r="AW150" s="430"/>
      <c r="AX150" s="479">
        <f t="shared" si="38"/>
        <v>1.3769412219586443</v>
      </c>
      <c r="AY150" s="479">
        <f t="shared" si="38"/>
        <v>0</v>
      </c>
      <c r="AZ150" s="430"/>
      <c r="BA150" s="479">
        <f t="shared" si="39"/>
        <v>3.5284951532591822</v>
      </c>
      <c r="BB150" s="479">
        <f t="shared" si="39"/>
        <v>0</v>
      </c>
      <c r="BC150" s="516"/>
      <c r="BE150" s="480">
        <f t="shared" si="40"/>
        <v>0.28069698934735465</v>
      </c>
      <c r="BF150" s="480" t="str">
        <f t="shared" si="41"/>
        <v/>
      </c>
    </row>
    <row r="151" spans="1:58" ht="15.6" x14ac:dyDescent="0.3">
      <c r="A151" s="152">
        <v>2030</v>
      </c>
      <c r="B151" s="178"/>
      <c r="C151" s="182"/>
      <c r="D151" s="183"/>
      <c r="E151" s="179">
        <f t="shared" si="47"/>
        <v>8.268603204851134</v>
      </c>
      <c r="F151" s="183">
        <f t="shared" si="48"/>
        <v>1.2441008875050619</v>
      </c>
      <c r="G151" s="247">
        <f t="shared" si="35"/>
        <v>6.956259738002718E-2</v>
      </c>
      <c r="H151" s="246"/>
      <c r="I151" s="417"/>
      <c r="J151" s="178"/>
      <c r="K151" s="182"/>
      <c r="L151" s="183"/>
      <c r="M151" s="179">
        <f t="shared" si="36"/>
        <v>10.646001241796171</v>
      </c>
      <c r="N151" s="183">
        <f t="shared" si="49"/>
        <v>1.6549862699788029</v>
      </c>
      <c r="O151" s="247">
        <f t="shared" si="37"/>
        <v>8.9563313142884016E-2</v>
      </c>
      <c r="P151" s="246"/>
      <c r="Q151" s="417"/>
      <c r="R151" s="182"/>
      <c r="S151" s="178"/>
      <c r="T151" s="182"/>
      <c r="U151" s="178"/>
      <c r="V151" s="506"/>
      <c r="W151" s="259">
        <f>IF($W$135="Y",IFERROR(E151*($F$8/SUMIF($H$5:$H$16,"Y",$F$5:$F$16))*$F$21*'Emissions Factors'!$B27,""),"")</f>
        <v>0.26142176424790453</v>
      </c>
      <c r="X151" s="259">
        <f>IF($X$135="Y",IFERROR($E151*(SUM($F$7,$F$5,$F$6)/SUMIF($H$5:$H$16,"Y",$F$5:$F$16))*('Emissions Factors'!$T$143*$F$22)/10^6,""),"")</f>
        <v>2.2698421441954442</v>
      </c>
      <c r="Y151" s="180"/>
      <c r="Z151" s="180"/>
      <c r="AA151" s="509"/>
      <c r="AB151" s="180">
        <f t="shared" si="42"/>
        <v>2.5312639084433486</v>
      </c>
      <c r="AC151" s="180">
        <f t="shared" si="43"/>
        <v>0</v>
      </c>
      <c r="AE151" s="182"/>
      <c r="AF151" s="178"/>
      <c r="AG151" s="182"/>
      <c r="AH151" s="178"/>
      <c r="AJ151" s="259">
        <f>IF($AJ$135="Y",IFERROR(M151*($F$8/SUMIF($H$5:$H$16,"Y",$F$5:$F$16))*$F$21*'Emissions Factors'!$B27,""),"")</f>
        <v>0.33658604214831755</v>
      </c>
      <c r="AK151" s="259">
        <f>IF($AK$135="Y",IFERROR($M151*(SUM($F$7,$F$5,$F$6)/SUMIF($H$5:$H$16,"Y",$F$5:$F$16))*('Emissions Factors'!$T$143*$F$22)/10^6,""),"")</f>
        <v>2.9224696949550903</v>
      </c>
      <c r="AL151" s="180"/>
      <c r="AM151" s="180"/>
      <c r="AO151" s="180">
        <f t="shared" si="44"/>
        <v>3.2590557371034077</v>
      </c>
      <c r="AP151" s="180">
        <f t="shared" si="45"/>
        <v>0</v>
      </c>
      <c r="AS151" s="430"/>
      <c r="AT151" s="478">
        <v>2030</v>
      </c>
      <c r="AU151" s="479">
        <f t="shared" si="46"/>
        <v>5.7903196455467558</v>
      </c>
      <c r="AV151" s="479">
        <f t="shared" si="46"/>
        <v>0</v>
      </c>
      <c r="AW151" s="430"/>
      <c r="AX151" s="479">
        <f t="shared" si="38"/>
        <v>1.6295278685517038</v>
      </c>
      <c r="AY151" s="479">
        <f t="shared" si="38"/>
        <v>0</v>
      </c>
      <c r="AZ151" s="430"/>
      <c r="BA151" s="479">
        <f t="shared" si="39"/>
        <v>4.160791776995052</v>
      </c>
      <c r="BB151" s="479">
        <f t="shared" si="39"/>
        <v>0</v>
      </c>
      <c r="BC151" s="516"/>
      <c r="BE151" s="480">
        <f t="shared" si="40"/>
        <v>0.28142278290369482</v>
      </c>
      <c r="BF151" s="480" t="str">
        <f t="shared" si="41"/>
        <v/>
      </c>
    </row>
    <row r="152" spans="1:58" ht="15.6" x14ac:dyDescent="0.3">
      <c r="A152" s="152">
        <v>2031</v>
      </c>
      <c r="B152" s="178"/>
      <c r="C152" s="182"/>
      <c r="D152" s="183"/>
      <c r="E152" s="179">
        <f t="shared" si="47"/>
        <v>9.6010676727369457</v>
      </c>
      <c r="F152" s="183">
        <f t="shared" si="48"/>
        <v>1.3324644678858117</v>
      </c>
      <c r="G152" s="247">
        <f t="shared" si="35"/>
        <v>7.0488294351280636E-2</v>
      </c>
      <c r="H152" s="246"/>
      <c r="I152" s="417"/>
      <c r="J152" s="178"/>
      <c r="K152" s="182"/>
      <c r="L152" s="183"/>
      <c r="M152" s="179">
        <f t="shared" si="36"/>
        <v>12.435988368856531</v>
      </c>
      <c r="N152" s="183">
        <f t="shared" si="49"/>
        <v>1.7899871270603605</v>
      </c>
      <c r="O152" s="247">
        <f t="shared" si="37"/>
        <v>9.1301471729255526E-2</v>
      </c>
      <c r="P152" s="246"/>
      <c r="Q152" s="417"/>
      <c r="R152" s="182"/>
      <c r="S152" s="178"/>
      <c r="T152" s="182"/>
      <c r="U152" s="178"/>
      <c r="V152" s="506"/>
      <c r="W152" s="259">
        <f>IF($W$135="Y",IFERROR(E152*($F$8/SUMIF($H$5:$H$16,"Y",$F$5:$F$16))*$F$21*'Emissions Factors'!$B28,""),"")</f>
        <v>0.30185948570918408</v>
      </c>
      <c r="X152" s="259">
        <f>IF($X$135="Y",IFERROR($E152*(SUM($F$7,$F$5,$F$6)/SUMIF($H$5:$H$16,"Y",$F$5:$F$16))*('Emissions Factors'!$T$143*$F$22)/10^6,""),"")</f>
        <v>2.6356214578134596</v>
      </c>
      <c r="Y152" s="180"/>
      <c r="Z152" s="180"/>
      <c r="AA152" s="509"/>
      <c r="AB152" s="180">
        <f t="shared" si="42"/>
        <v>2.9374809435226439</v>
      </c>
      <c r="AC152" s="180">
        <f t="shared" si="43"/>
        <v>0</v>
      </c>
      <c r="AE152" s="182"/>
      <c r="AF152" s="178"/>
      <c r="AG152" s="182"/>
      <c r="AH152" s="178"/>
      <c r="AJ152" s="259">
        <f>IF($AJ$135="Y",IFERROR(M152*($F$8/SUMIF($H$5:$H$16,"Y",$F$5:$F$16))*$F$21*'Emissions Factors'!$B28,""),"")</f>
        <v>0.39098995874885956</v>
      </c>
      <c r="AK152" s="259">
        <f>IF($AK$135="Y",IFERROR($M152*(SUM($F$7,$F$5,$F$6)/SUMIF($H$5:$H$16,"Y",$F$5:$F$16))*('Emissions Factors'!$T$143*$F$22)/10^6,""),"")</f>
        <v>3.4138450963270186</v>
      </c>
      <c r="AL152" s="180"/>
      <c r="AM152" s="180"/>
      <c r="AO152" s="180">
        <f t="shared" si="44"/>
        <v>3.8048350550758783</v>
      </c>
      <c r="AP152" s="180">
        <f t="shared" si="45"/>
        <v>0</v>
      </c>
      <c r="AS152" s="430"/>
      <c r="AT152" s="478">
        <v>2031</v>
      </c>
      <c r="AU152" s="479">
        <f t="shared" si="46"/>
        <v>6.7423159985985226</v>
      </c>
      <c r="AV152" s="479">
        <f t="shared" si="46"/>
        <v>0</v>
      </c>
      <c r="AW152" s="430"/>
      <c r="AX152" s="479">
        <f t="shared" si="38"/>
        <v>1.9024175275379391</v>
      </c>
      <c r="AY152" s="479">
        <f t="shared" si="38"/>
        <v>0</v>
      </c>
      <c r="AZ152" s="430"/>
      <c r="BA152" s="479">
        <f t="shared" si="39"/>
        <v>4.8398984710605832</v>
      </c>
      <c r="BB152" s="479">
        <f t="shared" si="39"/>
        <v>0</v>
      </c>
      <c r="BC152" s="516"/>
      <c r="BE152" s="480">
        <f t="shared" si="40"/>
        <v>0.28216083730477498</v>
      </c>
      <c r="BF152" s="480" t="str">
        <f t="shared" si="41"/>
        <v/>
      </c>
    </row>
    <row r="153" spans="1:58" ht="15.6" x14ac:dyDescent="0.3">
      <c r="A153" s="152">
        <v>2032</v>
      </c>
      <c r="B153" s="178"/>
      <c r="C153" s="182"/>
      <c r="D153" s="183"/>
      <c r="E153" s="179">
        <f t="shared" si="47"/>
        <v>11.012887223741975</v>
      </c>
      <c r="F153" s="183">
        <f t="shared" si="48"/>
        <v>1.4118195510050295</v>
      </c>
      <c r="G153" s="247">
        <f t="shared" si="35"/>
        <v>7.1370964234654055E-2</v>
      </c>
      <c r="H153" s="246"/>
      <c r="I153" s="417"/>
      <c r="J153" s="178"/>
      <c r="K153" s="182"/>
      <c r="L153" s="183"/>
      <c r="M153" s="179">
        <f t="shared" si="36"/>
        <v>14.351902128802502</v>
      </c>
      <c r="N153" s="183">
        <f t="shared" si="49"/>
        <v>1.9159137599459708</v>
      </c>
      <c r="O153" s="247">
        <f t="shared" si="37"/>
        <v>9.3010041120350037E-2</v>
      </c>
      <c r="P153" s="246"/>
      <c r="Q153" s="417"/>
      <c r="R153" s="182"/>
      <c r="S153" s="178"/>
      <c r="T153" s="182"/>
      <c r="U153" s="178"/>
      <c r="V153" s="506"/>
      <c r="W153" s="259">
        <f>IF($W$135="Y",IFERROR(E153*($F$8/SUMIF($H$5:$H$16,"Y",$F$5:$F$16))*$F$21*'Emissions Factors'!$B29,""),"")</f>
        <v>0.34440831436276687</v>
      </c>
      <c r="X153" s="259">
        <f>IF($X$135="Y",IFERROR($E153*(SUM($F$7,$F$5,$F$6)/SUMIF($H$5:$H$16,"Y",$F$5:$F$16))*('Emissions Factors'!$T$143*$F$22)/10^6,""),"")</f>
        <v>3.0231848028522181</v>
      </c>
      <c r="Y153" s="180"/>
      <c r="Z153" s="180"/>
      <c r="AA153" s="509"/>
      <c r="AB153" s="180">
        <f t="shared" si="42"/>
        <v>3.3675931172149851</v>
      </c>
      <c r="AC153" s="180">
        <f t="shared" si="43"/>
        <v>0</v>
      </c>
      <c r="AE153" s="182"/>
      <c r="AF153" s="178"/>
      <c r="AG153" s="182"/>
      <c r="AH153" s="178"/>
      <c r="AJ153" s="259">
        <f>IF($AJ$135="Y",IFERROR(M153*($F$8/SUMIF($H$5:$H$16,"Y",$F$5:$F$16))*$F$21*'Emissions Factors'!$B29,""),"")</f>
        <v>0.44883002246896375</v>
      </c>
      <c r="AK153" s="259">
        <f>IF($AK$135="Y",IFERROR($M153*(SUM($F$7,$F$5,$F$6)/SUMIF($H$5:$H$16,"Y",$F$5:$F$16))*('Emissions Factors'!$T$143*$F$22)/10^6,""),"")</f>
        <v>3.9397890422667499</v>
      </c>
      <c r="AL153" s="180"/>
      <c r="AM153" s="180"/>
      <c r="AO153" s="180">
        <f t="shared" si="44"/>
        <v>4.3886190647357139</v>
      </c>
      <c r="AP153" s="180">
        <f t="shared" si="45"/>
        <v>0</v>
      </c>
      <c r="AS153" s="430"/>
      <c r="AT153" s="478">
        <v>2032</v>
      </c>
      <c r="AU153" s="479">
        <f t="shared" si="46"/>
        <v>7.7562121819506995</v>
      </c>
      <c r="AV153" s="479">
        <f t="shared" si="46"/>
        <v>0</v>
      </c>
      <c r="AW153" s="430"/>
      <c r="AX153" s="479">
        <f t="shared" si="38"/>
        <v>2.194309532367857</v>
      </c>
      <c r="AY153" s="479">
        <f t="shared" si="38"/>
        <v>0</v>
      </c>
      <c r="AZ153" s="430"/>
      <c r="BA153" s="479">
        <f t="shared" si="39"/>
        <v>5.5619026495828425</v>
      </c>
      <c r="BB153" s="479">
        <f t="shared" si="39"/>
        <v>0</v>
      </c>
      <c r="BC153" s="516"/>
      <c r="BE153" s="480">
        <f t="shared" si="40"/>
        <v>0.28290994120482976</v>
      </c>
      <c r="BF153" s="480" t="str">
        <f t="shared" si="41"/>
        <v/>
      </c>
    </row>
    <row r="154" spans="1:58" ht="15.6" x14ac:dyDescent="0.3">
      <c r="A154" s="152">
        <v>2033</v>
      </c>
      <c r="B154" s="178"/>
      <c r="C154" s="182"/>
      <c r="D154" s="183"/>
      <c r="E154" s="179">
        <f t="shared" si="47"/>
        <v>12.484447260528157</v>
      </c>
      <c r="F154" s="183">
        <f t="shared" si="48"/>
        <v>1.4715600367861814</v>
      </c>
      <c r="G154" s="247">
        <f t="shared" si="35"/>
        <v>7.2202998099642202E-2</v>
      </c>
      <c r="H154" s="246"/>
      <c r="I154" s="417"/>
      <c r="J154" s="178"/>
      <c r="K154" s="182"/>
      <c r="L154" s="183"/>
      <c r="M154" s="179">
        <f t="shared" si="36"/>
        <v>16.370325819656731</v>
      </c>
      <c r="N154" s="183">
        <f t="shared" si="49"/>
        <v>2.0184236908542292</v>
      </c>
      <c r="O154" s="247">
        <f t="shared" si="37"/>
        <v>9.4676726921204074E-2</v>
      </c>
      <c r="P154" s="246"/>
      <c r="Q154" s="417"/>
      <c r="R154" s="182"/>
      <c r="S154" s="178"/>
      <c r="T154" s="182"/>
      <c r="U154" s="178"/>
      <c r="V154" s="506"/>
      <c r="W154" s="259">
        <f>IF($W$135="Y",IFERROR(E154*($F$8/SUMIF($H$5:$H$16,"Y",$F$5:$F$16))*$F$21*'Emissions Factors'!$B30,""),"")</f>
        <v>0.38836103520686727</v>
      </c>
      <c r="X154" s="259">
        <f>IF($X$135="Y",IFERROR($E154*(SUM($F$7,$F$5,$F$6)/SUMIF($H$5:$H$16,"Y",$F$5:$F$16))*('Emissions Factors'!$T$143*$F$22)/10^6,""),"")</f>
        <v>3.4271477100638492</v>
      </c>
      <c r="Y154" s="180"/>
      <c r="Z154" s="180"/>
      <c r="AA154" s="509"/>
      <c r="AB154" s="180">
        <f t="shared" si="42"/>
        <v>3.8155087452707166</v>
      </c>
      <c r="AC154" s="180">
        <f t="shared" si="43"/>
        <v>0</v>
      </c>
      <c r="AE154" s="182"/>
      <c r="AF154" s="178"/>
      <c r="AG154" s="182"/>
      <c r="AH154" s="178"/>
      <c r="AJ154" s="259">
        <f>IF($AJ$135="Y",IFERROR(M154*($F$8/SUMIF($H$5:$H$16,"Y",$F$5:$F$16))*$F$21*'Emissions Factors'!$B30,""),"")</f>
        <v>0.50924134239377106</v>
      </c>
      <c r="AK154" s="259">
        <f>IF($AK$135="Y",IFERROR($M154*(SUM($F$7,$F$5,$F$6)/SUMIF($H$5:$H$16,"Y",$F$5:$F$16))*('Emissions Factors'!$T$143*$F$22)/10^6,""),"")</f>
        <v>4.4938733349627045</v>
      </c>
      <c r="AL154" s="180"/>
      <c r="AM154" s="180"/>
      <c r="AO154" s="180">
        <f t="shared" si="44"/>
        <v>5.0031146773564759</v>
      </c>
      <c r="AP154" s="180">
        <f t="shared" si="45"/>
        <v>0</v>
      </c>
      <c r="AS154" s="430"/>
      <c r="AT154" s="478">
        <v>2033</v>
      </c>
      <c r="AU154" s="479">
        <f t="shared" si="46"/>
        <v>8.8186234226271925</v>
      </c>
      <c r="AV154" s="479">
        <f t="shared" si="46"/>
        <v>0</v>
      </c>
      <c r="AW154" s="430"/>
      <c r="AX154" s="479">
        <f t="shared" si="38"/>
        <v>2.5015573386782379</v>
      </c>
      <c r="AY154" s="479">
        <f t="shared" si="38"/>
        <v>0</v>
      </c>
      <c r="AZ154" s="430"/>
      <c r="BA154" s="479">
        <f t="shared" si="39"/>
        <v>6.317066083948955</v>
      </c>
      <c r="BB154" s="479">
        <f t="shared" si="39"/>
        <v>0</v>
      </c>
      <c r="BC154" s="516"/>
      <c r="BE154" s="480">
        <f t="shared" si="40"/>
        <v>0.28366755431007945</v>
      </c>
      <c r="BF154" s="480" t="str">
        <f t="shared" si="41"/>
        <v/>
      </c>
    </row>
    <row r="155" spans="1:58" ht="15.6" x14ac:dyDescent="0.3">
      <c r="A155" s="152">
        <v>2034</v>
      </c>
      <c r="B155" s="178"/>
      <c r="C155" s="182"/>
      <c r="D155" s="183"/>
      <c r="E155" s="179">
        <f t="shared" si="47"/>
        <v>13.990783375050475</v>
      </c>
      <c r="F155" s="183">
        <f t="shared" si="48"/>
        <v>1.506336114522318</v>
      </c>
      <c r="G155" s="247">
        <f t="shared" si="35"/>
        <v>7.2980839817612983E-2</v>
      </c>
      <c r="H155" s="246"/>
      <c r="I155" s="417"/>
      <c r="J155" s="178"/>
      <c r="K155" s="182"/>
      <c r="L155" s="183"/>
      <c r="M155" s="179">
        <f t="shared" si="36"/>
        <v>18.45996222955154</v>
      </c>
      <c r="N155" s="183">
        <f t="shared" si="49"/>
        <v>2.0896364098948084</v>
      </c>
      <c r="O155" s="247">
        <f t="shared" si="37"/>
        <v>9.6293646352681533E-2</v>
      </c>
      <c r="P155" s="246"/>
      <c r="Q155" s="417"/>
      <c r="R155" s="182"/>
      <c r="S155" s="178"/>
      <c r="T155" s="182"/>
      <c r="U155" s="178"/>
      <c r="V155" s="506"/>
      <c r="W155" s="259">
        <f>IF($W$135="Y",IFERROR(E155*($F$8/SUMIF($H$5:$H$16,"Y",$F$5:$F$16))*$F$21*'Emissions Factors'!$B31,""),"")</f>
        <v>0.43291806609992278</v>
      </c>
      <c r="X155" s="259">
        <f>IF($X$135="Y",IFERROR($E155*(SUM($F$7,$F$5,$F$6)/SUMIF($H$5:$H$16,"Y",$F$5:$F$16))*('Emissions Factors'!$T$143*$F$22)/10^6,""),"")</f>
        <v>3.8406571156258895</v>
      </c>
      <c r="Y155" s="180"/>
      <c r="Z155" s="180"/>
      <c r="AA155" s="509"/>
      <c r="AB155" s="180">
        <f t="shared" si="42"/>
        <v>4.2735751817258123</v>
      </c>
      <c r="AC155" s="180">
        <f t="shared" si="43"/>
        <v>0</v>
      </c>
      <c r="AE155" s="182"/>
      <c r="AF155" s="178"/>
      <c r="AG155" s="182"/>
      <c r="AH155" s="178"/>
      <c r="AJ155" s="259">
        <f>IF($AJ$135="Y",IFERROR(M155*($F$8/SUMIF($H$5:$H$16,"Y",$F$5:$F$16))*$F$21*'Emissions Factors'!$B31,""),"")</f>
        <v>0.57120826864823349</v>
      </c>
      <c r="AK155" s="259">
        <f>IF($AK$135="Y",IFERROR($M155*(SUM($F$7,$F$5,$F$6)/SUMIF($H$5:$H$16,"Y",$F$5:$F$16))*('Emissions Factors'!$T$143*$F$22)/10^6,""),"")</f>
        <v>5.0675064712633713</v>
      </c>
      <c r="AL155" s="180"/>
      <c r="AM155" s="180"/>
      <c r="AO155" s="180">
        <f t="shared" si="44"/>
        <v>5.6387147399116051</v>
      </c>
      <c r="AP155" s="180">
        <f t="shared" si="45"/>
        <v>0</v>
      </c>
      <c r="AS155" s="430"/>
      <c r="AT155" s="478">
        <v>2034</v>
      </c>
      <c r="AU155" s="479">
        <f t="shared" si="46"/>
        <v>9.9122899216374165</v>
      </c>
      <c r="AV155" s="479">
        <f t="shared" si="46"/>
        <v>0</v>
      </c>
      <c r="AW155" s="430"/>
      <c r="AX155" s="479">
        <f t="shared" si="38"/>
        <v>2.8193573699558026</v>
      </c>
      <c r="AY155" s="479">
        <f t="shared" si="38"/>
        <v>0</v>
      </c>
      <c r="AZ155" s="430"/>
      <c r="BA155" s="479">
        <f t="shared" si="39"/>
        <v>7.0929325516816135</v>
      </c>
      <c r="BB155" s="479">
        <f t="shared" si="39"/>
        <v>0</v>
      </c>
      <c r="BC155" s="516"/>
      <c r="BE155" s="480">
        <f t="shared" si="40"/>
        <v>0.28443047895536849</v>
      </c>
      <c r="BF155" s="480" t="str">
        <f t="shared" si="41"/>
        <v/>
      </c>
    </row>
    <row r="156" spans="1:58" ht="15.6" x14ac:dyDescent="0.3">
      <c r="A156" s="152">
        <v>2035</v>
      </c>
      <c r="B156" s="178"/>
      <c r="C156" s="182"/>
      <c r="D156" s="183"/>
      <c r="E156" s="179">
        <f t="shared" si="47"/>
        <v>15.514279720728684</v>
      </c>
      <c r="F156" s="183">
        <f t="shared" si="48"/>
        <v>1.5234963456782094</v>
      </c>
      <c r="G156" s="247">
        <f t="shared" si="35"/>
        <v>7.3711634006500562E-2</v>
      </c>
      <c r="H156" s="246"/>
      <c r="I156" s="417"/>
      <c r="J156" s="178"/>
      <c r="K156" s="182"/>
      <c r="L156" s="183"/>
      <c r="M156" s="179">
        <f t="shared" si="36"/>
        <v>20.598336915953773</v>
      </c>
      <c r="N156" s="183">
        <f t="shared" si="49"/>
        <v>2.1383746864022335</v>
      </c>
      <c r="O156" s="247">
        <f t="shared" si="37"/>
        <v>9.7867068225070006E-2</v>
      </c>
      <c r="P156" s="246"/>
      <c r="Q156" s="417"/>
      <c r="R156" s="182"/>
      <c r="S156" s="178"/>
      <c r="T156" s="182"/>
      <c r="U156" s="178"/>
      <c r="V156" s="506"/>
      <c r="W156" s="259">
        <f>IF($W$135="Y",IFERROR(E156*($F$8/SUMIF($H$5:$H$16,"Y",$F$5:$F$16))*$F$21*'Emissions Factors'!$B32,""),"")</f>
        <v>0.47745157306749858</v>
      </c>
      <c r="X156" s="259">
        <f>IF($X$135="Y",IFERROR($E156*(SUM($F$7,$F$5,$F$6)/SUMIF($H$5:$H$16,"Y",$F$5:$F$16))*('Emissions Factors'!$T$143*$F$22)/10^6,""),"")</f>
        <v>4.2588772340999865</v>
      </c>
      <c r="Y156" s="180"/>
      <c r="Z156" s="180"/>
      <c r="AA156" s="509"/>
      <c r="AB156" s="180">
        <f t="shared" si="42"/>
        <v>4.7363288071674852</v>
      </c>
      <c r="AC156" s="180">
        <f t="shared" si="43"/>
        <v>0</v>
      </c>
      <c r="AE156" s="182"/>
      <c r="AF156" s="178"/>
      <c r="AG156" s="182"/>
      <c r="AH156" s="178"/>
      <c r="AJ156" s="259">
        <f>IF($AJ$135="Y",IFERROR(M156*($F$8/SUMIF($H$5:$H$16,"Y",$F$5:$F$16))*$F$21*'Emissions Factors'!$B32,""),"")</f>
        <v>0.63391330697462345</v>
      </c>
      <c r="AK156" s="259">
        <f>IF($AK$135="Y",IFERROR($M156*(SUM($F$7,$F$5,$F$6)/SUMIF($H$5:$H$16,"Y",$F$5:$F$16))*('Emissions Factors'!$T$143*$F$22)/10^6,""),"")</f>
        <v>5.6545189161741192</v>
      </c>
      <c r="AL156" s="180"/>
      <c r="AM156" s="180"/>
      <c r="AO156" s="180">
        <f t="shared" si="44"/>
        <v>6.2884322231487424</v>
      </c>
      <c r="AP156" s="180">
        <f t="shared" si="45"/>
        <v>0</v>
      </c>
      <c r="AS156" s="430"/>
      <c r="AT156" s="478">
        <v>2035</v>
      </c>
      <c r="AU156" s="479">
        <f t="shared" si="46"/>
        <v>11.024761030316228</v>
      </c>
      <c r="AV156" s="479">
        <f t="shared" si="46"/>
        <v>0</v>
      </c>
      <c r="AW156" s="430"/>
      <c r="AX156" s="479">
        <f t="shared" si="38"/>
        <v>3.1442161115743712</v>
      </c>
      <c r="AY156" s="479">
        <f t="shared" si="38"/>
        <v>0</v>
      </c>
      <c r="AZ156" s="430"/>
      <c r="BA156" s="479">
        <f t="shared" si="39"/>
        <v>7.8805449187418564</v>
      </c>
      <c r="BB156" s="479">
        <f t="shared" si="39"/>
        <v>0</v>
      </c>
      <c r="BC156" s="516"/>
      <c r="BE156" s="480">
        <f t="shared" si="40"/>
        <v>0.28519585167681266</v>
      </c>
      <c r="BF156" s="480" t="str">
        <f t="shared" si="41"/>
        <v/>
      </c>
    </row>
    <row r="157" spans="1:58" ht="15.6" x14ac:dyDescent="0.3">
      <c r="A157" s="152">
        <v>2036</v>
      </c>
      <c r="B157" s="178"/>
      <c r="C157" s="182"/>
      <c r="D157" s="183"/>
      <c r="E157" s="179">
        <f t="shared" si="47"/>
        <v>17.048576662774657</v>
      </c>
      <c r="F157" s="183">
        <f t="shared" si="48"/>
        <v>1.5342969420459731</v>
      </c>
      <c r="G157" s="247">
        <f t="shared" si="35"/>
        <v>7.4410429098325015E-2</v>
      </c>
      <c r="H157" s="246"/>
      <c r="I157" s="417"/>
      <c r="J157" s="178"/>
      <c r="K157" s="182"/>
      <c r="L157" s="183"/>
      <c r="M157" s="179">
        <f t="shared" si="36"/>
        <v>22.777434626156854</v>
      </c>
      <c r="N157" s="183">
        <f t="shared" si="49"/>
        <v>2.1790977102030809</v>
      </c>
      <c r="O157" s="247">
        <f t="shared" si="37"/>
        <v>9.941467360100055E-2</v>
      </c>
      <c r="P157" s="246"/>
      <c r="Q157" s="417"/>
      <c r="R157" s="182"/>
      <c r="S157" s="178"/>
      <c r="T157" s="182"/>
      <c r="U157" s="178"/>
      <c r="V157" s="506"/>
      <c r="W157" s="259">
        <f>IF($W$135="Y",IFERROR(E157*($F$8/SUMIF($H$5:$H$16,"Y",$F$5:$F$16))*$F$21*'Emissions Factors'!$B33,""),"")</f>
        <v>0.52195180574855826</v>
      </c>
      <c r="X157" s="259">
        <f>IF($X$135="Y",IFERROR($E157*(SUM($F$7,$F$5,$F$6)/SUMIF($H$5:$H$16,"Y",$F$5:$F$16))*('Emissions Factors'!$T$143*$F$22)/10^6,""),"")</f>
        <v>4.6800622606983033</v>
      </c>
      <c r="Y157" s="180"/>
      <c r="Z157" s="180"/>
      <c r="AA157" s="509"/>
      <c r="AB157" s="180">
        <f t="shared" si="42"/>
        <v>5.2020140664468615</v>
      </c>
      <c r="AC157" s="180">
        <f t="shared" si="43"/>
        <v>0</v>
      </c>
      <c r="AE157" s="182"/>
      <c r="AF157" s="178"/>
      <c r="AG157" s="182"/>
      <c r="AH157" s="178"/>
      <c r="AJ157" s="259">
        <f>IF($AJ$135="Y",IFERROR(M157*($F$8/SUMIF($H$5:$H$16,"Y",$F$5:$F$16))*$F$21*'Emissions Factors'!$B33,""),"")</f>
        <v>0.69734402868957246</v>
      </c>
      <c r="AK157" s="259">
        <f>IF($AK$135="Y",IFERROR($M157*(SUM($F$7,$F$5,$F$6)/SUMIF($H$5:$H$16,"Y",$F$5:$F$16))*('Emissions Factors'!$T$143*$F$22)/10^6,""),"")</f>
        <v>6.2527103756502296</v>
      </c>
      <c r="AL157" s="180"/>
      <c r="AM157" s="180"/>
      <c r="AO157" s="180">
        <f t="shared" si="44"/>
        <v>6.9500544043398023</v>
      </c>
      <c r="AP157" s="180">
        <f t="shared" si="45"/>
        <v>0</v>
      </c>
      <c r="AS157" s="430"/>
      <c r="AT157" s="478">
        <v>2036</v>
      </c>
      <c r="AU157" s="479">
        <f t="shared" si="46"/>
        <v>12.152068470786663</v>
      </c>
      <c r="AV157" s="479">
        <f t="shared" si="46"/>
        <v>0</v>
      </c>
      <c r="AW157" s="430"/>
      <c r="AX157" s="479">
        <f t="shared" si="38"/>
        <v>3.4750272021699011</v>
      </c>
      <c r="AY157" s="479">
        <f t="shared" si="38"/>
        <v>0</v>
      </c>
      <c r="AZ157" s="430"/>
      <c r="BA157" s="479">
        <f t="shared" si="39"/>
        <v>8.6770412686167617</v>
      </c>
      <c r="BB157" s="479">
        <f t="shared" si="39"/>
        <v>0</v>
      </c>
      <c r="BC157" s="516"/>
      <c r="BE157" s="480">
        <f t="shared" si="40"/>
        <v>0.28596178589050902</v>
      </c>
      <c r="BF157" s="480" t="str">
        <f t="shared" si="41"/>
        <v/>
      </c>
    </row>
    <row r="158" spans="1:58" ht="15.6" x14ac:dyDescent="0.3">
      <c r="A158" s="152">
        <v>2037</v>
      </c>
      <c r="B158" s="178"/>
      <c r="C158" s="182"/>
      <c r="D158" s="183"/>
      <c r="E158" s="179">
        <f t="shared" si="47"/>
        <v>18.5987702632269</v>
      </c>
      <c r="F158" s="183">
        <f t="shared" si="48"/>
        <v>1.5501936004522427</v>
      </c>
      <c r="G158" s="247">
        <f t="shared" si="35"/>
        <v>7.5092996257657349E-2</v>
      </c>
      <c r="H158" s="246"/>
      <c r="I158" s="417"/>
      <c r="J158" s="178"/>
      <c r="K158" s="182"/>
      <c r="L158" s="183"/>
      <c r="M158" s="179">
        <f t="shared" si="36"/>
        <v>25.004515745938022</v>
      </c>
      <c r="N158" s="183">
        <f t="shared" si="49"/>
        <v>2.2270811197811682</v>
      </c>
      <c r="O158" s="247">
        <f t="shared" si="37"/>
        <v>0.1009563525308303</v>
      </c>
      <c r="P158" s="246"/>
      <c r="Q158" s="417"/>
      <c r="R158" s="182"/>
      <c r="S158" s="178"/>
      <c r="T158" s="182"/>
      <c r="U158" s="178"/>
      <c r="V158" s="506"/>
      <c r="W158" s="259">
        <f>IF($W$135="Y",IFERROR(E158*($F$8/SUMIF($H$5:$H$16,"Y",$F$5:$F$16))*$F$21*'Emissions Factors'!$B34,""),"")</f>
        <v>0.56637571311915835</v>
      </c>
      <c r="X158" s="259">
        <f>IF($X$135="Y",IFERROR($E158*(SUM($F$7,$F$5,$F$6)/SUMIF($H$5:$H$16,"Y",$F$5:$F$16))*('Emissions Factors'!$T$143*$F$22)/10^6,""),"")</f>
        <v>5.1056111325929159</v>
      </c>
      <c r="Y158" s="180"/>
      <c r="Z158" s="180"/>
      <c r="AA158" s="509"/>
      <c r="AB158" s="180">
        <f t="shared" si="42"/>
        <v>5.6719868457120741</v>
      </c>
      <c r="AC158" s="180">
        <f t="shared" si="43"/>
        <v>0</v>
      </c>
      <c r="AE158" s="182"/>
      <c r="AF158" s="178"/>
      <c r="AG158" s="182"/>
      <c r="AH158" s="178"/>
      <c r="AJ158" s="259">
        <f>IF($AJ$135="Y",IFERROR(M158*($F$8/SUMIF($H$5:$H$16,"Y",$F$5:$F$16))*$F$21*'Emissions Factors'!$B34,""),"")</f>
        <v>0.76144552765435147</v>
      </c>
      <c r="AK158" s="259">
        <f>IF($AK$135="Y",IFERROR($M158*(SUM($F$7,$F$5,$F$6)/SUMIF($H$5:$H$16,"Y",$F$5:$F$16))*('Emissions Factors'!$T$143*$F$22)/10^6,""),"")</f>
        <v>6.8640739226705385</v>
      </c>
      <c r="AL158" s="180"/>
      <c r="AM158" s="180"/>
      <c r="AO158" s="180">
        <f t="shared" si="44"/>
        <v>7.62551945032489</v>
      </c>
      <c r="AP158" s="180">
        <f t="shared" si="45"/>
        <v>0</v>
      </c>
      <c r="AS158" s="430"/>
      <c r="AT158" s="478">
        <v>2037</v>
      </c>
      <c r="AU158" s="479">
        <f t="shared" si="46"/>
        <v>13.297506296036964</v>
      </c>
      <c r="AV158" s="479">
        <f t="shared" si="46"/>
        <v>0</v>
      </c>
      <c r="AW158" s="430"/>
      <c r="AX158" s="479">
        <f t="shared" si="38"/>
        <v>3.812759725162445</v>
      </c>
      <c r="AY158" s="479">
        <f t="shared" si="38"/>
        <v>0</v>
      </c>
      <c r="AZ158" s="430"/>
      <c r="BA158" s="479">
        <f t="shared" si="39"/>
        <v>9.4847465708745187</v>
      </c>
      <c r="BB158" s="479">
        <f t="shared" si="39"/>
        <v>0</v>
      </c>
      <c r="BC158" s="516"/>
      <c r="BE158" s="480">
        <f t="shared" si="40"/>
        <v>0.28672742394555256</v>
      </c>
      <c r="BF158" s="480" t="str">
        <f t="shared" si="41"/>
        <v/>
      </c>
    </row>
    <row r="159" spans="1:58" ht="15.6" x14ac:dyDescent="0.3">
      <c r="A159" s="152">
        <v>2038</v>
      </c>
      <c r="B159" s="178"/>
      <c r="C159" s="182"/>
      <c r="D159" s="183"/>
      <c r="E159" s="179">
        <f t="shared" si="47"/>
        <v>20.173495324204577</v>
      </c>
      <c r="F159" s="183">
        <f t="shared" si="48"/>
        <v>1.5747250609776771</v>
      </c>
      <c r="G159" s="247">
        <f t="shared" si="35"/>
        <v>7.5769053984079029E-2</v>
      </c>
      <c r="H159" s="246"/>
      <c r="I159" s="417"/>
      <c r="J159" s="178"/>
      <c r="K159" s="182"/>
      <c r="L159" s="183"/>
      <c r="M159" s="179">
        <f t="shared" si="36"/>
        <v>27.291838903576206</v>
      </c>
      <c r="N159" s="183">
        <f t="shared" si="49"/>
        <v>2.2873231576381841</v>
      </c>
      <c r="O159" s="247">
        <f t="shared" si="37"/>
        <v>0.10250463699906147</v>
      </c>
      <c r="P159" s="246"/>
      <c r="Q159" s="417"/>
      <c r="R159" s="182"/>
      <c r="S159" s="178"/>
      <c r="T159" s="182"/>
      <c r="U159" s="178"/>
      <c r="V159" s="506"/>
      <c r="W159" s="259">
        <f>IF($W$135="Y",IFERROR(E159*($F$8/SUMIF($H$5:$H$16,"Y",$F$5:$F$16))*$F$21*'Emissions Factors'!$B35,""),"")</f>
        <v>0.61103971006136171</v>
      </c>
      <c r="X159" s="259">
        <f>IF($X$135="Y",IFERROR($E159*(SUM($F$7,$F$5,$F$6)/SUMIF($H$5:$H$16,"Y",$F$5:$F$16))*('Emissions Factors'!$T$143*$F$22)/10^6,""),"")</f>
        <v>5.537894218426664</v>
      </c>
      <c r="Y159" s="180"/>
      <c r="Z159" s="180"/>
      <c r="AA159" s="509"/>
      <c r="AB159" s="180">
        <f t="shared" si="42"/>
        <v>6.1489339284880256</v>
      </c>
      <c r="AC159" s="180">
        <f t="shared" si="43"/>
        <v>0</v>
      </c>
      <c r="AE159" s="182"/>
      <c r="AF159" s="178"/>
      <c r="AG159" s="182"/>
      <c r="AH159" s="178"/>
      <c r="AJ159" s="259">
        <f>IF($AJ$135="Y",IFERROR(M159*($F$8/SUMIF($H$5:$H$16,"Y",$F$5:$F$16))*$F$21*'Emissions Factors'!$B35,""),"")</f>
        <v>0.82664888075562748</v>
      </c>
      <c r="AK159" s="259">
        <f>IF($AK$135="Y",IFERROR($M159*(SUM($F$7,$F$5,$F$6)/SUMIF($H$5:$H$16,"Y",$F$5:$F$16))*('Emissions Factors'!$T$143*$F$22)/10^6,""),"")</f>
        <v>7.4919747146150977</v>
      </c>
      <c r="AL159" s="180"/>
      <c r="AM159" s="180"/>
      <c r="AO159" s="180">
        <f t="shared" si="44"/>
        <v>8.3186235953707257</v>
      </c>
      <c r="AP159" s="180">
        <f t="shared" si="45"/>
        <v>0</v>
      </c>
      <c r="AS159" s="430"/>
      <c r="AT159" s="478">
        <v>2038</v>
      </c>
      <c r="AU159" s="479">
        <f t="shared" si="46"/>
        <v>14.467557523858751</v>
      </c>
      <c r="AV159" s="479">
        <f t="shared" si="46"/>
        <v>0</v>
      </c>
      <c r="AW159" s="430"/>
      <c r="AX159" s="479">
        <f t="shared" si="38"/>
        <v>4.1593117976853629</v>
      </c>
      <c r="AY159" s="479">
        <f t="shared" si="38"/>
        <v>0</v>
      </c>
      <c r="AZ159" s="430"/>
      <c r="BA159" s="479">
        <f t="shared" si="39"/>
        <v>10.308245726173389</v>
      </c>
      <c r="BB159" s="479">
        <f t="shared" si="39"/>
        <v>0</v>
      </c>
      <c r="BC159" s="516"/>
      <c r="BE159" s="480">
        <f t="shared" si="40"/>
        <v>0.28749232832329541</v>
      </c>
      <c r="BF159" s="480" t="str">
        <f t="shared" si="41"/>
        <v/>
      </c>
    </row>
    <row r="160" spans="1:58" ht="15.6" x14ac:dyDescent="0.3">
      <c r="A160" s="152">
        <v>2039</v>
      </c>
      <c r="B160" s="178"/>
      <c r="C160" s="182"/>
      <c r="D160" s="183"/>
      <c r="E160" s="179">
        <f t="shared" si="47"/>
        <v>21.786759471487457</v>
      </c>
      <c r="F160" s="183">
        <f t="shared" si="48"/>
        <v>1.6132641472828801</v>
      </c>
      <c r="G160" s="247">
        <f t="shared" si="35"/>
        <v>7.6445749871265303E-2</v>
      </c>
      <c r="H160" s="246"/>
      <c r="I160" s="417"/>
      <c r="J160" s="178"/>
      <c r="K160" s="182"/>
      <c r="L160" s="183"/>
      <c r="M160" s="179">
        <f t="shared" si="36"/>
        <v>29.659419771584083</v>
      </c>
      <c r="N160" s="183">
        <f t="shared" si="49"/>
        <v>2.3675808680078774</v>
      </c>
      <c r="O160" s="247">
        <f t="shared" si="37"/>
        <v>0.10406947339519045</v>
      </c>
      <c r="P160" s="246"/>
      <c r="Q160" s="417"/>
      <c r="R160" s="182"/>
      <c r="S160" s="178"/>
      <c r="T160" s="182"/>
      <c r="U160" s="178"/>
      <c r="V160" s="506"/>
      <c r="W160" s="259">
        <f>IF($W$135="Y",IFERROR(E160*($F$8/SUMIF($H$5:$H$16,"Y",$F$5:$F$16))*$F$21*'Emissions Factors'!$B36,""),"")</f>
        <v>0.65633349128074137</v>
      </c>
      <c r="X160" s="259">
        <f>IF($X$135="Y",IFERROR($E160*(SUM($F$7,$F$5,$F$6)/SUMIF($H$5:$H$16,"Y",$F$5:$F$16))*('Emissions Factors'!$T$143*$F$22)/10^6,""),"")</f>
        <v>5.9807567987804804</v>
      </c>
      <c r="Y160" s="180"/>
      <c r="Z160" s="180"/>
      <c r="AA160" s="509"/>
      <c r="AB160" s="180">
        <f t="shared" si="42"/>
        <v>6.6370902900612219</v>
      </c>
      <c r="AC160" s="180">
        <f t="shared" si="43"/>
        <v>0</v>
      </c>
      <c r="AE160" s="182"/>
      <c r="AF160" s="178"/>
      <c r="AG160" s="182"/>
      <c r="AH160" s="178"/>
      <c r="AJ160" s="259">
        <f>IF($AJ$135="Y",IFERROR(M160*($F$8/SUMIF($H$5:$H$16,"Y",$F$5:$F$16))*$F$21*'Emissions Factors'!$B36,""),"")</f>
        <v>0.8935000431579001</v>
      </c>
      <c r="AK160" s="259">
        <f>IF($AK$135="Y",IFERROR($M160*(SUM($F$7,$F$5,$F$6)/SUMIF($H$5:$H$16,"Y",$F$5:$F$16))*('Emissions Factors'!$T$143*$F$22)/10^6,""),"")</f>
        <v>8.141907321230228</v>
      </c>
      <c r="AL160" s="180"/>
      <c r="AM160" s="180"/>
      <c r="AO160" s="180">
        <f t="shared" si="44"/>
        <v>9.0354073643881279</v>
      </c>
      <c r="AP160" s="180">
        <f t="shared" si="45"/>
        <v>0</v>
      </c>
      <c r="AS160" s="430"/>
      <c r="AT160" s="478">
        <v>2039</v>
      </c>
      <c r="AU160" s="479">
        <f t="shared" si="46"/>
        <v>15.67249765444935</v>
      </c>
      <c r="AV160" s="479">
        <f t="shared" si="46"/>
        <v>0</v>
      </c>
      <c r="AW160" s="430"/>
      <c r="AX160" s="479">
        <f t="shared" si="38"/>
        <v>4.5177036821940639</v>
      </c>
      <c r="AY160" s="479">
        <f t="shared" si="38"/>
        <v>0</v>
      </c>
      <c r="AZ160" s="430"/>
      <c r="BA160" s="479">
        <f t="shared" si="39"/>
        <v>11.154793972255286</v>
      </c>
      <c r="BB160" s="479">
        <f t="shared" si="39"/>
        <v>0</v>
      </c>
      <c r="BC160" s="516"/>
      <c r="BE160" s="480">
        <f t="shared" si="40"/>
        <v>0.28825677832604485</v>
      </c>
      <c r="BF160" s="480" t="str">
        <f t="shared" si="41"/>
        <v/>
      </c>
    </row>
    <row r="161" spans="1:58" ht="15.6" x14ac:dyDescent="0.3">
      <c r="A161" s="152">
        <v>2040</v>
      </c>
      <c r="B161" s="178"/>
      <c r="C161" s="182"/>
      <c r="D161" s="183"/>
      <c r="E161" s="179">
        <f t="shared" si="47"/>
        <v>23.450497343906601</v>
      </c>
      <c r="F161" s="183">
        <f t="shared" si="48"/>
        <v>1.6637378724191443</v>
      </c>
      <c r="G161" s="247">
        <f t="shared" si="35"/>
        <v>7.7127652550679673E-2</v>
      </c>
      <c r="H161" s="246"/>
      <c r="I161" s="417"/>
      <c r="J161" s="178"/>
      <c r="K161" s="182"/>
      <c r="L161" s="183"/>
      <c r="M161" s="179">
        <f t="shared" si="36"/>
        <v>32.124958092869285</v>
      </c>
      <c r="N161" s="183">
        <f t="shared" si="49"/>
        <v>2.4655383212852016</v>
      </c>
      <c r="O161" s="247">
        <f t="shared" si="37"/>
        <v>0.1056575717630049</v>
      </c>
      <c r="P161" s="246"/>
      <c r="Q161" s="417"/>
      <c r="R161" s="182"/>
      <c r="S161" s="178"/>
      <c r="T161" s="182"/>
      <c r="U161" s="178"/>
      <c r="V161" s="506"/>
      <c r="W161" s="259">
        <f>IF($W$135="Y",IFERROR(E161*($F$8/SUMIF($H$5:$H$16,"Y",$F$5:$F$16))*$F$21*'Emissions Factors'!$B37,""),"")</f>
        <v>0.70232897744815115</v>
      </c>
      <c r="X161" s="259">
        <f>IF($X$135="Y",IFERROR($E161*(SUM($F$7,$F$5,$F$6)/SUMIF($H$5:$H$16,"Y",$F$5:$F$16))*('Emissions Factors'!$T$143*$F$22)/10^6,""),"")</f>
        <v>6.4374750915987207</v>
      </c>
      <c r="Y161" s="180"/>
      <c r="Z161" s="180"/>
      <c r="AA161" s="509"/>
      <c r="AB161" s="180">
        <f t="shared" si="42"/>
        <v>7.139804069046872</v>
      </c>
      <c r="AC161" s="180">
        <f t="shared" si="43"/>
        <v>0</v>
      </c>
      <c r="AE161" s="182"/>
      <c r="AF161" s="178"/>
      <c r="AG161" s="182"/>
      <c r="AH161" s="178"/>
      <c r="AJ161" s="259">
        <f>IF($AJ$135="Y",IFERROR(M161*($F$8/SUMIF($H$5:$H$16,"Y",$F$5:$F$16))*$F$21*'Emissions Factors'!$B37,""),"")</f>
        <v>0.96212411349101712</v>
      </c>
      <c r="AK161" s="259">
        <f>IF($AK$135="Y",IFERROR($M161*(SUM($F$7,$F$5,$F$6)/SUMIF($H$5:$H$16,"Y",$F$5:$F$16))*('Emissions Factors'!$T$143*$F$22)/10^6,""),"")</f>
        <v>8.8187305586179736</v>
      </c>
      <c r="AL161" s="180"/>
      <c r="AM161" s="180"/>
      <c r="AO161" s="180">
        <f t="shared" si="44"/>
        <v>9.7808546721089904</v>
      </c>
      <c r="AP161" s="180">
        <f t="shared" si="45"/>
        <v>0</v>
      </c>
      <c r="AS161" s="430"/>
      <c r="AT161" s="478">
        <v>2040</v>
      </c>
      <c r="AU161" s="479">
        <f t="shared" si="46"/>
        <v>16.920658741155862</v>
      </c>
      <c r="AV161" s="479">
        <f t="shared" si="46"/>
        <v>0</v>
      </c>
      <c r="AW161" s="430"/>
      <c r="AX161" s="479">
        <f t="shared" si="38"/>
        <v>4.8904273360544952</v>
      </c>
      <c r="AY161" s="479">
        <f t="shared" si="38"/>
        <v>0</v>
      </c>
      <c r="AZ161" s="430"/>
      <c r="BA161" s="479">
        <f t="shared" si="39"/>
        <v>12.030231405101366</v>
      </c>
      <c r="BB161" s="479">
        <f t="shared" si="39"/>
        <v>0</v>
      </c>
      <c r="BC161" s="516"/>
      <c r="BE161" s="480">
        <f t="shared" si="40"/>
        <v>0.2890210960971385</v>
      </c>
      <c r="BF161" s="480" t="str">
        <f t="shared" si="41"/>
        <v/>
      </c>
    </row>
    <row r="162" spans="1:58" ht="15.6" x14ac:dyDescent="0.3">
      <c r="A162" s="152">
        <v>2041</v>
      </c>
      <c r="B162" s="178"/>
      <c r="C162" s="182"/>
      <c r="D162" s="183"/>
      <c r="E162" s="179">
        <f t="shared" si="47"/>
        <v>25.167804717076027</v>
      </c>
      <c r="F162" s="183">
        <f t="shared" si="48"/>
        <v>1.7173073731694259</v>
      </c>
      <c r="G162" s="247">
        <f t="shared" si="35"/>
        <v>7.781523540500522E-2</v>
      </c>
      <c r="H162" s="246"/>
      <c r="I162" s="417"/>
      <c r="J162" s="178"/>
      <c r="K162" s="182"/>
      <c r="L162" s="183"/>
      <c r="M162" s="179">
        <f>IFERROR(IF($G$19="Y",$F$19,$AB107)*(SUMIF($H$5:$H$16,"Y",$F$5:$F$16)*((Z56+N56)-B56)),0)</f>
        <v>34.69419494784146</v>
      </c>
      <c r="N162" s="183">
        <f t="shared" si="49"/>
        <v>2.5692368549721749</v>
      </c>
      <c r="O162" s="247">
        <f t="shared" si="37"/>
        <v>0.10726946499317398</v>
      </c>
      <c r="P162" s="246"/>
      <c r="Q162" s="417"/>
      <c r="R162" s="182"/>
      <c r="S162" s="178"/>
      <c r="T162" s="182"/>
      <c r="U162" s="178"/>
      <c r="V162" s="506"/>
      <c r="W162" s="259">
        <f>IF($W$135="Y",IFERROR(E162*($F$8/SUMIF($H$5:$H$16,"Y",$F$5:$F$16))*$F$21*'Emissions Factors'!$B38,""),"")</f>
        <v>0.74993471595049199</v>
      </c>
      <c r="X162" s="259">
        <f>IF($X$135="Y",IFERROR($E162*(SUM($F$7,$F$5,$F$6)/SUMIF($H$5:$H$16,"Y",$F$5:$F$16))*('Emissions Factors'!$T$143*$F$22)/10^6,""),"")</f>
        <v>6.9088989286829081</v>
      </c>
      <c r="Y162" s="180"/>
      <c r="Z162" s="180"/>
      <c r="AA162" s="509"/>
      <c r="AB162" s="180">
        <f t="shared" si="42"/>
        <v>7.6588336446334004</v>
      </c>
      <c r="AC162" s="180">
        <f t="shared" si="43"/>
        <v>0</v>
      </c>
      <c r="AE162" s="182"/>
      <c r="AF162" s="178"/>
      <c r="AG162" s="182"/>
      <c r="AH162" s="178"/>
      <c r="AJ162" s="259">
        <f>IF($AJ$135="Y",IFERROR(M162*($F$8/SUMIF($H$5:$H$16,"Y",$F$5:$F$16))*$F$21*'Emissions Factors'!$B38,""),"")</f>
        <v>1.0337962140848678</v>
      </c>
      <c r="AK162" s="259">
        <f>IF($AK$135="Y",IFERROR($M162*(SUM($F$7,$F$5,$F$6)/SUMIF($H$5:$H$16,"Y",$F$5:$F$16))*('Emissions Factors'!$T$143*$F$22)/10^6,""),"")</f>
        <v>9.5240204301182221</v>
      </c>
      <c r="AL162" s="180"/>
      <c r="AM162" s="180"/>
      <c r="AO162" s="180">
        <f t="shared" si="44"/>
        <v>10.55781664420309</v>
      </c>
      <c r="AP162" s="180">
        <f t="shared" si="45"/>
        <v>0</v>
      </c>
      <c r="AS162" s="430"/>
      <c r="AT162" s="478">
        <v>2041</v>
      </c>
      <c r="AU162" s="479">
        <f t="shared" si="46"/>
        <v>18.21665028883649</v>
      </c>
      <c r="AV162" s="479">
        <f t="shared" si="46"/>
        <v>0</v>
      </c>
      <c r="AW162" s="430"/>
      <c r="AX162" s="479">
        <f t="shared" si="38"/>
        <v>5.2789083221015449</v>
      </c>
      <c r="AY162" s="479">
        <f t="shared" si="38"/>
        <v>0</v>
      </c>
      <c r="AZ162" s="430"/>
      <c r="BA162" s="479">
        <f t="shared" si="39"/>
        <v>12.937741966734945</v>
      </c>
      <c r="BB162" s="479">
        <f t="shared" si="39"/>
        <v>0</v>
      </c>
      <c r="BC162" s="516"/>
      <c r="BE162" s="480">
        <f t="shared" si="40"/>
        <v>0.28978479788551248</v>
      </c>
      <c r="BF162" s="480" t="str">
        <f t="shared" si="41"/>
        <v/>
      </c>
    </row>
    <row r="163" spans="1:58" ht="15.6" x14ac:dyDescent="0.3">
      <c r="A163" s="152">
        <v>2042</v>
      </c>
      <c r="B163" s="178"/>
      <c r="C163" s="182"/>
      <c r="D163" s="183"/>
      <c r="E163" s="179">
        <f t="shared" si="47"/>
        <v>26.940509810851651</v>
      </c>
      <c r="F163" s="183">
        <f t="shared" si="48"/>
        <v>1.7727050937756239</v>
      </c>
      <c r="G163" s="247">
        <f t="shared" si="35"/>
        <v>7.8511046693758954E-2</v>
      </c>
      <c r="H163" s="246"/>
      <c r="I163" s="417"/>
      <c r="J163" s="178"/>
      <c r="K163" s="182"/>
      <c r="L163" s="183"/>
      <c r="M163" s="179">
        <f t="shared" si="36"/>
        <v>37.371239989518628</v>
      </c>
      <c r="N163" s="183">
        <f t="shared" si="49"/>
        <v>2.6770450416771681</v>
      </c>
      <c r="O163" s="247">
        <f t="shared" si="37"/>
        <v>0.108908672791297</v>
      </c>
      <c r="P163" s="246"/>
      <c r="Q163" s="417"/>
      <c r="R163" s="182"/>
      <c r="S163" s="178"/>
      <c r="T163" s="182"/>
      <c r="U163" s="178"/>
      <c r="V163" s="506"/>
      <c r="W163" s="259">
        <f>IF($W$135="Y",IFERROR(E163*($F$8/SUMIF($H$5:$H$16,"Y",$F$5:$F$16))*$F$21*'Emissions Factors'!$B39,""),"")</f>
        <v>0.79832395064946582</v>
      </c>
      <c r="X163" s="259">
        <f>IF($X$135="Y",IFERROR($E163*(SUM($F$7,$F$5,$F$6)/SUMIF($H$5:$H$16,"Y",$F$5:$F$16))*('Emissions Factors'!$T$143*$F$22)/10^6,""),"")</f>
        <v>7.3955301808297209</v>
      </c>
      <c r="Y163" s="180"/>
      <c r="Z163" s="180"/>
      <c r="AA163" s="509"/>
      <c r="AB163" s="180">
        <f t="shared" si="42"/>
        <v>8.1938541314791866</v>
      </c>
      <c r="AC163" s="180">
        <f t="shared" si="43"/>
        <v>0</v>
      </c>
      <c r="AE163" s="182"/>
      <c r="AF163" s="178"/>
      <c r="AG163" s="182"/>
      <c r="AH163" s="178"/>
      <c r="AJ163" s="259">
        <f>IF($AJ$135="Y",IFERROR(M163*($F$8/SUMIF($H$5:$H$16,"Y",$F$5:$F$16))*$F$21*'Emissions Factors'!$B39,""),"")</f>
        <v>1.1074161609623481</v>
      </c>
      <c r="AK163" s="259">
        <f>IF($AK$135="Y",IFERROR($M163*(SUM($F$7,$F$5,$F$6)/SUMIF($H$5:$H$16,"Y",$F$5:$F$16))*('Emissions Factors'!$T$143*$F$22)/10^6,""),"")</f>
        <v>10.258905090437061</v>
      </c>
      <c r="AL163" s="180"/>
      <c r="AM163" s="180"/>
      <c r="AO163" s="180">
        <f t="shared" si="44"/>
        <v>11.366321251399409</v>
      </c>
      <c r="AP163" s="180">
        <f t="shared" si="45"/>
        <v>0</v>
      </c>
      <c r="AS163" s="430"/>
      <c r="AT163" s="478">
        <v>2042</v>
      </c>
      <c r="AU163" s="479">
        <f t="shared" si="46"/>
        <v>19.560175382878597</v>
      </c>
      <c r="AV163" s="479">
        <f t="shared" si="46"/>
        <v>0</v>
      </c>
      <c r="AW163" s="430"/>
      <c r="AX163" s="479">
        <f t="shared" si="38"/>
        <v>5.6831606256997045</v>
      </c>
      <c r="AY163" s="479">
        <f t="shared" si="38"/>
        <v>0</v>
      </c>
      <c r="AZ163" s="430"/>
      <c r="BA163" s="479">
        <f t="shared" si="39"/>
        <v>13.877014757178893</v>
      </c>
      <c r="BB163" s="479">
        <f t="shared" si="39"/>
        <v>0</v>
      </c>
      <c r="BC163" s="516"/>
      <c r="BE163" s="480">
        <f t="shared" si="40"/>
        <v>0.29054752907145637</v>
      </c>
      <c r="BF163" s="480" t="str">
        <f t="shared" si="41"/>
        <v/>
      </c>
    </row>
    <row r="164" spans="1:58" ht="15.6" x14ac:dyDescent="0.3">
      <c r="A164" s="152">
        <v>2043</v>
      </c>
      <c r="B164" s="178"/>
      <c r="C164" s="182"/>
      <c r="D164" s="183"/>
      <c r="E164" s="179">
        <f t="shared" si="47"/>
        <v>28.77823076053695</v>
      </c>
      <c r="F164" s="183">
        <f t="shared" si="48"/>
        <v>1.8377209496852984</v>
      </c>
      <c r="G164" s="247">
        <f t="shared" si="35"/>
        <v>7.9220708426496797E-2</v>
      </c>
      <c r="H164" s="246"/>
      <c r="I164" s="417"/>
      <c r="J164" s="178"/>
      <c r="K164" s="182"/>
      <c r="L164" s="183"/>
      <c r="M164" s="179">
        <f t="shared" si="36"/>
        <v>40.171553835194416</v>
      </c>
      <c r="N164" s="183">
        <f t="shared" si="49"/>
        <v>2.8003138456757881</v>
      </c>
      <c r="O164" s="247">
        <f t="shared" si="37"/>
        <v>0.1105842461233318</v>
      </c>
      <c r="P164" s="246"/>
      <c r="Q164" s="417"/>
      <c r="R164" s="182"/>
      <c r="S164" s="178"/>
      <c r="T164" s="182"/>
      <c r="U164" s="178"/>
      <c r="V164" s="506"/>
      <c r="W164" s="259">
        <f>IF($W$135="Y",IFERROR(E164*($F$8/SUMIF($H$5:$H$16,"Y",$F$5:$F$16))*$F$21*'Emissions Factors'!$B40,""),"")</f>
        <v>0.84802295738570954</v>
      </c>
      <c r="X164" s="259">
        <f>IF($X$135="Y",IFERROR($E164*(SUM($F$7,$F$5,$F$6)/SUMIF($H$5:$H$16,"Y",$F$5:$F$16))*('Emissions Factors'!$T$143*$F$22)/10^6,""),"")</f>
        <v>7.9000091547898288</v>
      </c>
      <c r="Y164" s="180"/>
      <c r="Z164" s="180"/>
      <c r="AA164" s="509"/>
      <c r="AB164" s="180">
        <f t="shared" si="42"/>
        <v>8.7480321121755384</v>
      </c>
      <c r="AC164" s="180">
        <f t="shared" si="43"/>
        <v>0</v>
      </c>
      <c r="AE164" s="182"/>
      <c r="AF164" s="178"/>
      <c r="AG164" s="182"/>
      <c r="AH164" s="178"/>
      <c r="AJ164" s="259">
        <f>IF($AJ$135="Y",IFERROR(M164*($F$8/SUMIF($H$5:$H$16,"Y",$F$5:$F$16))*$F$21*'Emissions Factors'!$B40,""),"")</f>
        <v>1.1837558802543007</v>
      </c>
      <c r="AK164" s="259">
        <f>IF($AK$135="Y",IFERROR($M164*(SUM($F$7,$F$5,$F$6)/SUMIF($H$5:$H$16,"Y",$F$5:$F$16))*('Emissions Factors'!$T$143*$F$22)/10^6,""),"")</f>
        <v>11.027628685754797</v>
      </c>
      <c r="AL164" s="180"/>
      <c r="AM164" s="180"/>
      <c r="AO164" s="180">
        <f t="shared" si="44"/>
        <v>12.211384566009098</v>
      </c>
      <c r="AP164" s="180">
        <f t="shared" si="45"/>
        <v>0</v>
      </c>
      <c r="AS164" s="430"/>
      <c r="AT164" s="478">
        <v>2043</v>
      </c>
      <c r="AU164" s="479">
        <f t="shared" si="46"/>
        <v>20.959416678184638</v>
      </c>
      <c r="AV164" s="479">
        <f t="shared" si="46"/>
        <v>0</v>
      </c>
      <c r="AW164" s="430"/>
      <c r="AX164" s="479">
        <f t="shared" si="38"/>
        <v>6.105692283004549</v>
      </c>
      <c r="AY164" s="479">
        <f t="shared" si="38"/>
        <v>0</v>
      </c>
      <c r="AZ164" s="430"/>
      <c r="BA164" s="479">
        <f t="shared" si="39"/>
        <v>14.853724395180089</v>
      </c>
      <c r="BB164" s="479">
        <f t="shared" si="39"/>
        <v>0</v>
      </c>
      <c r="BC164" s="516"/>
      <c r="BE164" s="480">
        <f t="shared" si="40"/>
        <v>0.29131021997189394</v>
      </c>
      <c r="BF164" s="480" t="str">
        <f t="shared" si="41"/>
        <v/>
      </c>
    </row>
    <row r="165" spans="1:58" ht="15.6" x14ac:dyDescent="0.3">
      <c r="A165" s="152">
        <v>2044</v>
      </c>
      <c r="B165" s="178"/>
      <c r="C165" s="182"/>
      <c r="D165" s="183"/>
      <c r="E165" s="179">
        <f t="shared" si="47"/>
        <v>30.692187311039795</v>
      </c>
      <c r="F165" s="183">
        <f t="shared" si="48"/>
        <v>1.9139565505028457</v>
      </c>
      <c r="G165" s="247">
        <f t="shared" si="35"/>
        <v>7.9949750037001957E-2</v>
      </c>
      <c r="H165" s="246"/>
      <c r="I165" s="417"/>
      <c r="J165" s="178"/>
      <c r="K165" s="182"/>
      <c r="L165" s="183"/>
      <c r="M165" s="179">
        <f t="shared" si="36"/>
        <v>43.113459560252153</v>
      </c>
      <c r="N165" s="183">
        <f t="shared" si="49"/>
        <v>2.9419057250577367</v>
      </c>
      <c r="O165" s="247">
        <f t="shared" si="37"/>
        <v>0.11230578909678161</v>
      </c>
      <c r="P165" s="246"/>
      <c r="Q165" s="417"/>
      <c r="R165" s="182"/>
      <c r="S165" s="178"/>
      <c r="T165" s="182"/>
      <c r="U165" s="178"/>
      <c r="V165" s="506"/>
      <c r="W165" s="259">
        <f>IF($W$135="Y",IFERROR(E165*($F$8/SUMIF($H$5:$H$16,"Y",$F$5:$F$16))*$F$21*'Emissions Factors'!$B41,""),"")</f>
        <v>0.89931853620793545</v>
      </c>
      <c r="X165" s="259">
        <f>IF($X$135="Y",IFERROR($E165*(SUM($F$7,$F$5,$F$6)/SUMIF($H$5:$H$16,"Y",$F$5:$F$16))*('Emissions Factors'!$T$143*$F$22)/10^6,""),"")</f>
        <v>8.425415820566398</v>
      </c>
      <c r="Y165" s="180"/>
      <c r="Z165" s="180"/>
      <c r="AA165" s="509"/>
      <c r="AB165" s="180">
        <f t="shared" si="42"/>
        <v>9.3247343567743339</v>
      </c>
      <c r="AC165" s="180">
        <f t="shared" si="43"/>
        <v>0</v>
      </c>
      <c r="AE165" s="182"/>
      <c r="AF165" s="178"/>
      <c r="AG165" s="182"/>
      <c r="AH165" s="178"/>
      <c r="AJ165" s="259">
        <f>IF($AJ$135="Y",IFERROR(M165*($F$8/SUMIF($H$5:$H$16,"Y",$F$5:$F$16))*$F$21*'Emissions Factors'!$B41,""),"")</f>
        <v>1.26327696848897</v>
      </c>
      <c r="AK165" s="259">
        <f>IF($AK$135="Y",IFERROR($M165*(SUM($F$7,$F$5,$F$6)/SUMIF($H$5:$H$16,"Y",$F$5:$F$16))*('Emissions Factors'!$T$143*$F$22)/10^6,""),"")</f>
        <v>11.835221145273009</v>
      </c>
      <c r="AL165" s="180"/>
      <c r="AM165" s="180"/>
      <c r="AO165" s="180">
        <f t="shared" si="44"/>
        <v>13.098498113761979</v>
      </c>
      <c r="AP165" s="180">
        <f t="shared" si="45"/>
        <v>0</v>
      </c>
      <c r="AS165" s="430"/>
      <c r="AT165" s="478">
        <v>2044</v>
      </c>
      <c r="AU165" s="479">
        <f t="shared" si="46"/>
        <v>22.423232470536313</v>
      </c>
      <c r="AV165" s="479">
        <f t="shared" si="46"/>
        <v>0</v>
      </c>
      <c r="AW165" s="430"/>
      <c r="AX165" s="479">
        <f t="shared" si="38"/>
        <v>6.5492490568809894</v>
      </c>
      <c r="AY165" s="479">
        <f t="shared" si="38"/>
        <v>0</v>
      </c>
      <c r="AZ165" s="430"/>
      <c r="BA165" s="479">
        <f t="shared" si="39"/>
        <v>15.873983413655324</v>
      </c>
      <c r="BB165" s="479">
        <f t="shared" si="39"/>
        <v>0</v>
      </c>
      <c r="BC165" s="516"/>
      <c r="BE165" s="480">
        <f t="shared" si="40"/>
        <v>0.29207426117026497</v>
      </c>
      <c r="BF165" s="480" t="str">
        <f t="shared" si="41"/>
        <v/>
      </c>
    </row>
    <row r="166" spans="1:58" ht="15.6" x14ac:dyDescent="0.3">
      <c r="A166" s="152">
        <v>2045</v>
      </c>
      <c r="B166" s="178"/>
      <c r="C166" s="182"/>
      <c r="D166" s="183"/>
      <c r="E166" s="179">
        <f t="shared" si="47"/>
        <v>32.691726804740007</v>
      </c>
      <c r="F166" s="183">
        <f t="shared" si="48"/>
        <v>1.9995394937002118</v>
      </c>
      <c r="G166" s="247">
        <f t="shared" si="35"/>
        <v>8.0699702025625916E-2</v>
      </c>
      <c r="H166" s="246"/>
      <c r="I166" s="417"/>
      <c r="J166" s="178"/>
      <c r="K166" s="182"/>
      <c r="L166" s="183"/>
      <c r="M166" s="179">
        <f t="shared" si="36"/>
        <v>46.213151956864913</v>
      </c>
      <c r="N166" s="183">
        <f t="shared" si="49"/>
        <v>3.0996923966127596</v>
      </c>
      <c r="O166" s="247">
        <f t="shared" si="37"/>
        <v>0.11407741214952408</v>
      </c>
      <c r="P166" s="246"/>
      <c r="Q166" s="417"/>
      <c r="R166" s="182"/>
      <c r="S166" s="178"/>
      <c r="T166" s="182"/>
      <c r="U166" s="178"/>
      <c r="V166" s="506"/>
      <c r="W166" s="259">
        <f>IF($W$135="Y",IFERROR(E166*($F$8/SUMIF($H$5:$H$16,"Y",$F$5:$F$16))*$F$21*'Emissions Factors'!$B42,""),"")</f>
        <v>0.9522382285066654</v>
      </c>
      <c r="X166" s="259">
        <f>IF($X$135="Y",IFERROR($E166*(SUM($F$7,$F$5,$F$6)/SUMIF($H$5:$H$16,"Y",$F$5:$F$16))*('Emissions Factors'!$T$143*$F$22)/10^6,""),"")</f>
        <v>8.9743161486316243</v>
      </c>
      <c r="Y166" s="180"/>
      <c r="Z166" s="180"/>
      <c r="AA166" s="509"/>
      <c r="AB166" s="180">
        <f t="shared" si="42"/>
        <v>9.9265543771382898</v>
      </c>
      <c r="AC166" s="180">
        <f t="shared" si="43"/>
        <v>0</v>
      </c>
      <c r="AE166" s="182"/>
      <c r="AF166" s="178"/>
      <c r="AG166" s="182"/>
      <c r="AH166" s="178"/>
      <c r="AJ166" s="259">
        <f>IF($AJ$135="Y",IFERROR(M166*($F$8/SUMIF($H$5:$H$16,"Y",$F$5:$F$16))*$F$21*'Emissions Factors'!$B42,""),"")</f>
        <v>1.346087657466106</v>
      </c>
      <c r="AK166" s="259">
        <f>IF($AK$135="Y",IFERROR($M166*(SUM($F$7,$F$5,$F$6)/SUMIF($H$5:$H$16,"Y",$F$5:$F$16))*('Emissions Factors'!$T$143*$F$22)/10^6,""),"")</f>
        <v>12.686128155993508</v>
      </c>
      <c r="AL166" s="180"/>
      <c r="AM166" s="180"/>
      <c r="AO166" s="180">
        <f t="shared" si="44"/>
        <v>14.032215813459613</v>
      </c>
      <c r="AP166" s="180">
        <f t="shared" si="45"/>
        <v>0</v>
      </c>
      <c r="AS166" s="430"/>
      <c r="AT166" s="478">
        <v>2045</v>
      </c>
      <c r="AU166" s="479">
        <f t="shared" si="46"/>
        <v>23.958770190597903</v>
      </c>
      <c r="AV166" s="479">
        <f t="shared" si="46"/>
        <v>0</v>
      </c>
      <c r="AW166" s="430"/>
      <c r="AX166" s="479">
        <f t="shared" si="38"/>
        <v>7.0161079067298067</v>
      </c>
      <c r="AY166" s="479">
        <f t="shared" si="38"/>
        <v>0</v>
      </c>
      <c r="AZ166" s="430"/>
      <c r="BA166" s="479">
        <f t="shared" si="39"/>
        <v>16.942662283868096</v>
      </c>
      <c r="BB166" s="479">
        <f t="shared" si="39"/>
        <v>0</v>
      </c>
      <c r="BC166" s="516"/>
      <c r="BE166" s="480">
        <f t="shared" si="40"/>
        <v>0.29284090339007157</v>
      </c>
      <c r="BF166" s="480" t="str">
        <f t="shared" si="41"/>
        <v/>
      </c>
    </row>
    <row r="167" spans="1:58" ht="15.6" x14ac:dyDescent="0.3">
      <c r="A167" s="152">
        <v>2046</v>
      </c>
      <c r="B167" s="178"/>
      <c r="C167" s="182"/>
      <c r="D167" s="183"/>
      <c r="E167" s="179">
        <f t="shared" si="47"/>
        <v>34.781424557537207</v>
      </c>
      <c r="F167" s="183">
        <f t="shared" si="48"/>
        <v>2.0896977527971998</v>
      </c>
      <c r="G167" s="247">
        <f t="shared" si="35"/>
        <v>8.1466894493417194E-2</v>
      </c>
      <c r="H167" s="246"/>
      <c r="I167" s="417"/>
      <c r="J167" s="178"/>
      <c r="K167" s="182"/>
      <c r="L167" s="183"/>
      <c r="M167" s="179">
        <f t="shared" si="36"/>
        <v>49.480310526518011</v>
      </c>
      <c r="N167" s="183">
        <f t="shared" si="49"/>
        <v>3.2671585696530983</v>
      </c>
      <c r="O167" s="247">
        <f t="shared" si="37"/>
        <v>0.11589540360824109</v>
      </c>
      <c r="P167" s="246"/>
      <c r="Q167" s="417"/>
      <c r="R167" s="182"/>
      <c r="S167" s="178"/>
      <c r="T167" s="182"/>
      <c r="U167" s="178"/>
      <c r="V167" s="506"/>
      <c r="W167" s="259">
        <f>IF($W$135="Y",IFERROR(E167*($F$8/SUMIF($H$5:$H$16,"Y",$F$5:$F$16))*$F$21*'Emissions Factors'!$B43,""),"")</f>
        <v>1.0074459039708321</v>
      </c>
      <c r="X167" s="259">
        <f>IF($X$135="Y",IFERROR($E167*(SUM($F$7,$F$5,$F$6)/SUMIF($H$5:$H$16,"Y",$F$5:$F$16))*('Emissions Factors'!$T$143*$F$22)/10^6,""),"")</f>
        <v>9.5479661243792506</v>
      </c>
      <c r="Y167" s="180"/>
      <c r="Z167" s="180"/>
      <c r="AA167" s="509"/>
      <c r="AB167" s="180">
        <f t="shared" si="42"/>
        <v>10.555412028350084</v>
      </c>
      <c r="AC167" s="180">
        <f t="shared" si="43"/>
        <v>0</v>
      </c>
      <c r="AE167" s="182"/>
      <c r="AF167" s="178"/>
      <c r="AG167" s="182"/>
      <c r="AH167" s="178"/>
      <c r="AJ167" s="259">
        <f>IF($AJ$135="Y",IFERROR(M167*($F$8/SUMIF($H$5:$H$16,"Y",$F$5:$F$16))*$F$21*'Emissions Factors'!$B43,""),"")</f>
        <v>1.4331999566229121</v>
      </c>
      <c r="AK167" s="259">
        <f>IF($AK$135="Y",IFERROR($M167*(SUM($F$7,$F$5,$F$6)/SUMIF($H$5:$H$16,"Y",$F$5:$F$16))*('Emissions Factors'!$T$143*$F$22)/10^6,""),"")</f>
        <v>13.583006870504448</v>
      </c>
      <c r="AL167" s="180"/>
      <c r="AM167" s="180"/>
      <c r="AO167" s="180">
        <f t="shared" si="44"/>
        <v>15.016206827127361</v>
      </c>
      <c r="AP167" s="180">
        <f t="shared" si="45"/>
        <v>0</v>
      </c>
      <c r="AS167" s="430"/>
      <c r="AT167" s="478">
        <v>2046</v>
      </c>
      <c r="AU167" s="479">
        <f t="shared" si="46"/>
        <v>25.571618855477446</v>
      </c>
      <c r="AV167" s="479">
        <f t="shared" si="46"/>
        <v>0</v>
      </c>
      <c r="AW167" s="430"/>
      <c r="AX167" s="479">
        <f t="shared" si="38"/>
        <v>7.5081034135636804</v>
      </c>
      <c r="AY167" s="479">
        <f t="shared" si="38"/>
        <v>0</v>
      </c>
      <c r="AZ167" s="430"/>
      <c r="BA167" s="479">
        <f t="shared" si="39"/>
        <v>18.063515441913765</v>
      </c>
      <c r="BB167" s="479">
        <f t="shared" si="39"/>
        <v>0</v>
      </c>
      <c r="BC167" s="516"/>
      <c r="BE167" s="480">
        <f t="shared" si="40"/>
        <v>0.29361079781444666</v>
      </c>
      <c r="BF167" s="480" t="str">
        <f t="shared" si="41"/>
        <v/>
      </c>
    </row>
    <row r="168" spans="1:58" ht="15.6" x14ac:dyDescent="0.3">
      <c r="A168" s="152">
        <v>2047</v>
      </c>
      <c r="B168" s="178"/>
      <c r="C168" s="182"/>
      <c r="D168" s="183"/>
      <c r="E168" s="179">
        <f t="shared" si="47"/>
        <v>36.964534171177618</v>
      </c>
      <c r="F168" s="183">
        <f t="shared" si="48"/>
        <v>2.1831096136404113</v>
      </c>
      <c r="G168" s="247">
        <f t="shared" si="35"/>
        <v>8.2246605325736258E-2</v>
      </c>
      <c r="H168" s="246"/>
      <c r="I168" s="417"/>
      <c r="J168" s="178"/>
      <c r="K168" s="182"/>
      <c r="L168" s="183"/>
      <c r="M168" s="179">
        <f t="shared" si="36"/>
        <v>52.92281798563706</v>
      </c>
      <c r="N168" s="183">
        <f t="shared" si="49"/>
        <v>3.4425074591190494</v>
      </c>
      <c r="O168" s="247">
        <f t="shared" si="37"/>
        <v>0.11775400992296066</v>
      </c>
      <c r="P168" s="246"/>
      <c r="Q168" s="417"/>
      <c r="R168" s="182"/>
      <c r="S168" s="178"/>
      <c r="T168" s="182"/>
      <c r="U168" s="178"/>
      <c r="V168" s="506"/>
      <c r="W168" s="259">
        <f>IF($W$135="Y",IFERROR(E168*($F$8/SUMIF($H$5:$H$16,"Y",$F$5:$F$16))*$F$21*'Emissions Factors'!$B44,""),"")</f>
        <v>1.0643884689332448</v>
      </c>
      <c r="X168" s="259">
        <f>IF($X$135="Y",IFERROR($E168*(SUM($F$7,$F$5,$F$6)/SUMIF($H$5:$H$16,"Y",$F$5:$F$16))*('Emissions Factors'!$T$143*$F$22)/10^6,""),"")</f>
        <v>10.147258904994478</v>
      </c>
      <c r="Y168" s="180"/>
      <c r="Z168" s="180"/>
      <c r="AA168" s="509"/>
      <c r="AB168" s="180">
        <f t="shared" si="42"/>
        <v>11.211647373927724</v>
      </c>
      <c r="AC168" s="180">
        <f t="shared" si="43"/>
        <v>0</v>
      </c>
      <c r="AE168" s="182"/>
      <c r="AF168" s="178"/>
      <c r="AG168" s="182"/>
      <c r="AH168" s="178"/>
      <c r="AJ168" s="259">
        <f>IF($AJ$135="Y",IFERROR(M168*($F$8/SUMIF($H$5:$H$16,"Y",$F$5:$F$16))*$F$21*'Emissions Factors'!$B44,""),"")</f>
        <v>1.5239049664877853</v>
      </c>
      <c r="AK168" s="259">
        <f>IF($AK$135="Y",IFERROR($M168*(SUM($F$7,$F$5,$F$6)/SUMIF($H$5:$H$16,"Y",$F$5:$F$16))*('Emissions Factors'!$T$143*$F$22)/10^6,""),"")</f>
        <v>14.528021199869194</v>
      </c>
      <c r="AL168" s="180"/>
      <c r="AM168" s="180"/>
      <c r="AO168" s="180">
        <f t="shared" si="44"/>
        <v>16.051926166356978</v>
      </c>
      <c r="AP168" s="180">
        <f t="shared" si="45"/>
        <v>0</v>
      </c>
      <c r="AS168" s="430"/>
      <c r="AT168" s="478">
        <v>2047</v>
      </c>
      <c r="AU168" s="479">
        <f t="shared" si="46"/>
        <v>27.263573540284703</v>
      </c>
      <c r="AV168" s="479">
        <f t="shared" si="46"/>
        <v>0</v>
      </c>
      <c r="AW168" s="430"/>
      <c r="AX168" s="479">
        <f t="shared" si="38"/>
        <v>8.0259630831784889</v>
      </c>
      <c r="AY168" s="479">
        <f t="shared" si="38"/>
        <v>0</v>
      </c>
      <c r="AZ168" s="430"/>
      <c r="BA168" s="479">
        <f t="shared" si="39"/>
        <v>19.237610457106214</v>
      </c>
      <c r="BB168" s="479">
        <f t="shared" si="39"/>
        <v>0</v>
      </c>
      <c r="BC168" s="516"/>
      <c r="BE168" s="480">
        <f t="shared" si="40"/>
        <v>0.29438411921017293</v>
      </c>
      <c r="BF168" s="480" t="str">
        <f t="shared" si="41"/>
        <v/>
      </c>
    </row>
    <row r="169" spans="1:58" ht="15.6" x14ac:dyDescent="0.3">
      <c r="A169" s="152">
        <v>2048</v>
      </c>
      <c r="B169" s="178"/>
      <c r="C169" s="182"/>
      <c r="D169" s="183"/>
      <c r="E169" s="179">
        <f t="shared" si="47"/>
        <v>39.247212791748794</v>
      </c>
      <c r="F169" s="183">
        <f t="shared" si="48"/>
        <v>2.2826786205711755</v>
      </c>
      <c r="G169" s="247">
        <f t="shared" si="35"/>
        <v>8.3036683048193685E-2</v>
      </c>
      <c r="H169" s="246"/>
      <c r="I169" s="417"/>
      <c r="J169" s="178"/>
      <c r="K169" s="182"/>
      <c r="L169" s="183"/>
      <c r="M169" s="179">
        <f t="shared" si="36"/>
        <v>56.553016638791611</v>
      </c>
      <c r="N169" s="183">
        <f t="shared" si="49"/>
        <v>3.6301986531545509</v>
      </c>
      <c r="O169" s="247">
        <f t="shared" si="37"/>
        <v>0.11965116970145277</v>
      </c>
      <c r="P169" s="246"/>
      <c r="Q169" s="417"/>
      <c r="R169" s="182"/>
      <c r="S169" s="178"/>
      <c r="T169" s="182"/>
      <c r="U169" s="178"/>
      <c r="V169" s="506"/>
      <c r="W169" s="259">
        <f>IF($W$135="Y",IFERROR(E169*($F$8/SUMIF($H$5:$H$16,"Y",$F$5:$F$16))*$F$21*'Emissions Factors'!$B45,""),"")</f>
        <v>1.1233742029682032</v>
      </c>
      <c r="X169" s="259">
        <f>IF($X$135="Y",IFERROR($E169*(SUM($F$7,$F$5,$F$6)/SUMIF($H$5:$H$16,"Y",$F$5:$F$16))*('Emissions Factors'!$T$143*$F$22)/10^6,""),"")</f>
        <v>10.77388470940925</v>
      </c>
      <c r="Y169" s="180"/>
      <c r="Z169" s="180"/>
      <c r="AA169" s="509"/>
      <c r="AB169" s="180">
        <f t="shared" si="42"/>
        <v>11.897258912377453</v>
      </c>
      <c r="AC169" s="180">
        <f t="shared" si="43"/>
        <v>0</v>
      </c>
      <c r="AE169" s="182"/>
      <c r="AF169" s="178"/>
      <c r="AG169" s="182"/>
      <c r="AH169" s="178"/>
      <c r="AJ169" s="259">
        <f>IF($AJ$135="Y",IFERROR(M169*($F$8/SUMIF($H$5:$H$16,"Y",$F$5:$F$16))*$F$21*'Emissions Factors'!$B45,""),"")</f>
        <v>1.61871876938498</v>
      </c>
      <c r="AK169" s="259">
        <f>IF($AK$135="Y",IFERROR($M169*(SUM($F$7,$F$5,$F$6)/SUMIF($H$5:$H$16,"Y",$F$5:$F$16))*('Emissions Factors'!$T$143*$F$22)/10^6,""),"")</f>
        <v>15.524559271728466</v>
      </c>
      <c r="AL169" s="180"/>
      <c r="AM169" s="180"/>
      <c r="AO169" s="180">
        <f t="shared" si="44"/>
        <v>17.143278041113447</v>
      </c>
      <c r="AP169" s="180">
        <f t="shared" si="45"/>
        <v>0</v>
      </c>
      <c r="AS169" s="430"/>
      <c r="AT169" s="478">
        <v>2048</v>
      </c>
      <c r="AU169" s="479">
        <f t="shared" si="46"/>
        <v>29.0405369534909</v>
      </c>
      <c r="AV169" s="479">
        <f t="shared" si="46"/>
        <v>0</v>
      </c>
      <c r="AW169" s="430"/>
      <c r="AX169" s="479">
        <f t="shared" si="38"/>
        <v>8.5716390205567237</v>
      </c>
      <c r="AY169" s="479">
        <f t="shared" si="38"/>
        <v>0</v>
      </c>
      <c r="AZ169" s="430"/>
      <c r="BA169" s="479">
        <f t="shared" si="39"/>
        <v>20.468897932934176</v>
      </c>
      <c r="BB169" s="479">
        <f t="shared" si="39"/>
        <v>0</v>
      </c>
      <c r="BC169" s="516"/>
      <c r="BE169" s="480">
        <f t="shared" si="40"/>
        <v>0.29516117536960162</v>
      </c>
      <c r="BF169" s="480" t="str">
        <f t="shared" si="41"/>
        <v/>
      </c>
    </row>
    <row r="170" spans="1:58" ht="15.6" x14ac:dyDescent="0.3">
      <c r="A170" s="152">
        <v>2049</v>
      </c>
      <c r="B170" s="178"/>
      <c r="C170" s="182"/>
      <c r="D170" s="183"/>
      <c r="E170" s="179">
        <f t="shared" si="47"/>
        <v>41.635464230698162</v>
      </c>
      <c r="F170" s="183">
        <f t="shared" si="48"/>
        <v>2.3882514389493679</v>
      </c>
      <c r="G170" s="247">
        <f t="shared" si="35"/>
        <v>8.383448335321457E-2</v>
      </c>
      <c r="H170" s="246"/>
      <c r="I170" s="417"/>
      <c r="J170" s="178"/>
      <c r="K170" s="182"/>
      <c r="L170" s="183"/>
      <c r="M170" s="179">
        <f t="shared" si="36"/>
        <v>60.383341268542615</v>
      </c>
      <c r="N170" s="183">
        <f t="shared" si="49"/>
        <v>3.8303246297510043</v>
      </c>
      <c r="O170" s="247">
        <f t="shared" si="37"/>
        <v>0.12158399844757117</v>
      </c>
      <c r="P170" s="246"/>
      <c r="Q170" s="417"/>
      <c r="R170" s="182"/>
      <c r="S170" s="178"/>
      <c r="T170" s="182"/>
      <c r="U170" s="178"/>
      <c r="V170" s="506"/>
      <c r="W170" s="259">
        <f>IF($W$135="Y",IFERROR(E170*($F$8/SUMIF($H$5:$H$16,"Y",$F$5:$F$16))*$F$21*'Emissions Factors'!$B46,""),"")</f>
        <v>1.1855905813315808</v>
      </c>
      <c r="X170" s="259">
        <f>IF($X$135="Y",IFERROR($E170*(SUM($F$7,$F$5,$F$6)/SUMIF($H$5:$H$16,"Y",$F$5:$F$16))*('Emissions Factors'!$T$143*$F$22)/10^6,""),"")</f>
        <v>11.429491664146445</v>
      </c>
      <c r="Y170" s="180"/>
      <c r="Z170" s="180"/>
      <c r="AA170" s="509"/>
      <c r="AB170" s="180">
        <f t="shared" si="42"/>
        <v>12.615082245478026</v>
      </c>
      <c r="AC170" s="180">
        <f t="shared" si="43"/>
        <v>0</v>
      </c>
      <c r="AE170" s="182"/>
      <c r="AF170" s="178"/>
      <c r="AG170" s="182"/>
      <c r="AH170" s="178"/>
      <c r="AJ170" s="259">
        <f>IF($AJ$135="Y",IFERROR(M170*($F$8/SUMIF($H$5:$H$16,"Y",$F$5:$F$16))*$F$21*'Emissions Factors'!$B46,""),"")</f>
        <v>1.7194457177333657</v>
      </c>
      <c r="AK170" s="259">
        <f>IF($AK$135="Y",IFERROR($M170*(SUM($F$7,$F$5,$F$6)/SUMIF($H$5:$H$16,"Y",$F$5:$F$16))*('Emissions Factors'!$T$143*$F$22)/10^6,""),"")</f>
        <v>16.576034600168192</v>
      </c>
      <c r="AL170" s="180"/>
      <c r="AM170" s="180"/>
      <c r="AO170" s="180">
        <f t="shared" si="44"/>
        <v>18.295480317901557</v>
      </c>
      <c r="AP170" s="180">
        <f t="shared" si="45"/>
        <v>0</v>
      </c>
      <c r="AS170" s="430"/>
      <c r="AT170" s="478">
        <v>2049</v>
      </c>
      <c r="AU170" s="479">
        <f t="shared" si="46"/>
        <v>30.910562563379585</v>
      </c>
      <c r="AV170" s="479">
        <f t="shared" si="46"/>
        <v>0</v>
      </c>
      <c r="AW170" s="430"/>
      <c r="AX170" s="479">
        <f t="shared" si="38"/>
        <v>9.1477401589507785</v>
      </c>
      <c r="AY170" s="479">
        <f t="shared" si="38"/>
        <v>0</v>
      </c>
      <c r="AZ170" s="430"/>
      <c r="BA170" s="479">
        <f t="shared" si="39"/>
        <v>21.762822404428807</v>
      </c>
      <c r="BB170" s="479">
        <f t="shared" si="39"/>
        <v>0</v>
      </c>
      <c r="BC170" s="516"/>
      <c r="BE170" s="480">
        <f t="shared" si="40"/>
        <v>0.29594220875773725</v>
      </c>
      <c r="BF170" s="480" t="str">
        <f t="shared" si="41"/>
        <v/>
      </c>
    </row>
    <row r="171" spans="1:58" ht="15.6" x14ac:dyDescent="0.3">
      <c r="A171" s="152">
        <v>2050</v>
      </c>
      <c r="B171" s="178"/>
      <c r="C171" s="182"/>
      <c r="D171" s="183"/>
      <c r="E171" s="179">
        <f t="shared" si="47"/>
        <v>44.133537875253673</v>
      </c>
      <c r="F171" s="183">
        <f t="shared" si="48"/>
        <v>2.498073644555511</v>
      </c>
      <c r="G171" s="247">
        <f t="shared" si="35"/>
        <v>8.4636229760564341E-2</v>
      </c>
      <c r="H171" s="246"/>
      <c r="I171" s="417"/>
      <c r="J171" s="178"/>
      <c r="K171" s="182"/>
      <c r="L171" s="183"/>
      <c r="M171" s="179">
        <f t="shared" si="36"/>
        <v>64.424084492994709</v>
      </c>
      <c r="N171" s="183">
        <f t="shared" si="49"/>
        <v>4.0407432244520933</v>
      </c>
      <c r="O171" s="247">
        <f t="shared" si="37"/>
        <v>0.12354802899951672</v>
      </c>
      <c r="P171" s="246"/>
      <c r="Q171" s="417"/>
      <c r="R171" s="182"/>
      <c r="S171" s="178"/>
      <c r="T171" s="182"/>
      <c r="U171" s="178"/>
      <c r="V171" s="506"/>
      <c r="W171" s="259">
        <f>IF($W$135="Y",IFERROR(E171*($F$8/SUMIF($H$5:$H$16,"Y",$F$5:$F$16))*$F$21*'Emissions Factors'!$B47,""),"")</f>
        <v>1.2524026922583682</v>
      </c>
      <c r="X171" s="259">
        <f>IF($X$135="Y",IFERROR($E171*(SUM($F$7,$F$5,$F$6)/SUMIF($H$5:$H$16,"Y",$F$5:$F$16))*('Emissions Factors'!$T$143*$F$22)/10^6,""),"")</f>
        <v>12.115246282821257</v>
      </c>
      <c r="Y171" s="180"/>
      <c r="Z171" s="180"/>
      <c r="AA171" s="509"/>
      <c r="AB171" s="180">
        <f t="shared" si="42"/>
        <v>13.367648975079625</v>
      </c>
      <c r="AC171" s="180">
        <f t="shared" si="43"/>
        <v>0</v>
      </c>
      <c r="AE171" s="182"/>
      <c r="AF171" s="178"/>
      <c r="AG171" s="182"/>
      <c r="AH171" s="178"/>
      <c r="AJ171" s="259">
        <f>IF($AJ$135="Y",IFERROR(M171*($F$8/SUMIF($H$5:$H$16,"Y",$F$5:$F$16))*$F$21*'Emissions Factors'!$B47,""),"")</f>
        <v>1.8281991598626941</v>
      </c>
      <c r="AK171" s="259">
        <f>IF($AK$135="Y",IFERROR($M171*(SUM($F$7,$F$5,$F$6)/SUMIF($H$5:$H$16,"Y",$F$5:$F$16))*('Emissions Factors'!$T$143*$F$22)/10^6,""),"")</f>
        <v>17.685272646486887</v>
      </c>
      <c r="AL171" s="180"/>
      <c r="AM171" s="180"/>
      <c r="AO171" s="180">
        <f t="shared" si="44"/>
        <v>19.513471806349582</v>
      </c>
      <c r="AP171" s="180">
        <f t="shared" si="45"/>
        <v>0</v>
      </c>
      <c r="AS171" s="430"/>
      <c r="AT171" s="478">
        <v>2050</v>
      </c>
      <c r="AU171" s="479">
        <f t="shared" si="46"/>
        <v>32.881120781429203</v>
      </c>
      <c r="AV171" s="479">
        <f t="shared" si="46"/>
        <v>0</v>
      </c>
      <c r="AW171" s="430"/>
      <c r="AX171" s="479">
        <f t="shared" si="38"/>
        <v>9.7567359031747909</v>
      </c>
      <c r="AY171" s="479">
        <f t="shared" si="38"/>
        <v>0</v>
      </c>
      <c r="AZ171" s="430"/>
      <c r="BA171" s="479">
        <f t="shared" si="39"/>
        <v>23.124384878254411</v>
      </c>
      <c r="BB171" s="479">
        <f t="shared" si="39"/>
        <v>0</v>
      </c>
      <c r="BC171" s="516"/>
      <c r="BE171" s="480">
        <f t="shared" si="40"/>
        <v>0.29672759538918331</v>
      </c>
      <c r="BF171" s="480" t="str">
        <f t="shared" si="41"/>
        <v/>
      </c>
    </row>
    <row r="172" spans="1:58" ht="15.6" x14ac:dyDescent="0.3">
      <c r="A172" s="152">
        <v>2051</v>
      </c>
      <c r="B172" s="178"/>
      <c r="C172" s="182"/>
      <c r="D172" s="183"/>
      <c r="E172" s="179">
        <f t="shared" si="47"/>
        <v>46.743664559521058</v>
      </c>
      <c r="F172" s="183">
        <f t="shared" si="48"/>
        <v>2.6101266842673851</v>
      </c>
      <c r="G172" s="247">
        <f t="shared" si="35"/>
        <v>8.5437662271741391E-2</v>
      </c>
      <c r="H172" s="246"/>
      <c r="I172" s="417"/>
      <c r="J172" s="178"/>
      <c r="K172" s="182"/>
      <c r="L172" s="183"/>
      <c r="M172" s="179">
        <f t="shared" si="36"/>
        <v>68.683016757259807</v>
      </c>
      <c r="N172" s="183">
        <f t="shared" si="49"/>
        <v>4.2589322642650984</v>
      </c>
      <c r="O172" s="247">
        <f t="shared" si="37"/>
        <v>0.12553821881121346</v>
      </c>
      <c r="P172" s="246"/>
      <c r="Q172" s="417"/>
      <c r="R172" s="182"/>
      <c r="S172" s="178"/>
      <c r="T172" s="182"/>
      <c r="U172" s="178"/>
      <c r="V172" s="506"/>
      <c r="W172" s="259">
        <f>IF($W$135="Y",IFERROR(E172*($F$8/SUMIF($H$5:$H$16,"Y",$F$5:$F$16))*$F$21*'Emissions Factors'!$B48,""),"")</f>
        <v>1.321401894687853</v>
      </c>
      <c r="X172" s="259">
        <f>IF($X$135="Y",IFERROR($E172*(SUM($F$7,$F$5,$F$6)/SUMIF($H$5:$H$16,"Y",$F$5:$F$16))*('Emissions Factors'!$T$143*$F$22)/10^6,""),"")</f>
        <v>12.831760959225528</v>
      </c>
      <c r="Y172" s="180"/>
      <c r="Z172" s="180"/>
      <c r="AA172" s="509"/>
      <c r="AB172" s="180">
        <f t="shared" si="42"/>
        <v>14.153162853913381</v>
      </c>
      <c r="AC172" s="180">
        <f t="shared" si="43"/>
        <v>0</v>
      </c>
      <c r="AE172" s="182"/>
      <c r="AF172" s="178"/>
      <c r="AG172" s="182"/>
      <c r="AH172" s="178"/>
      <c r="AJ172" s="259">
        <f>IF($AJ$135="Y",IFERROR(M172*($F$8/SUMIF($H$5:$H$16,"Y",$F$5:$F$16))*$F$21*'Emissions Factors'!$B48,""),"")</f>
        <v>1.9416079019725572</v>
      </c>
      <c r="AK172" s="259">
        <f>IF($AK$135="Y",IFERROR($M172*(SUM($F$7,$F$5,$F$6)/SUMIF($H$5:$H$16,"Y",$F$5:$F$16))*('Emissions Factors'!$T$143*$F$22)/10^6,""),"")</f>
        <v>18.854406501771056</v>
      </c>
      <c r="AL172" s="180"/>
      <c r="AM172" s="180"/>
      <c r="AO172" s="180">
        <f t="shared" si="44"/>
        <v>20.796014403743612</v>
      </c>
      <c r="AP172" s="180">
        <f t="shared" si="45"/>
        <v>0</v>
      </c>
      <c r="AT172" s="478">
        <v>2051</v>
      </c>
      <c r="AU172" s="479">
        <f t="shared" si="46"/>
        <v>34.949177257656991</v>
      </c>
      <c r="AV172" s="479">
        <f t="shared" si="46"/>
        <v>0</v>
      </c>
      <c r="AW172" s="430"/>
      <c r="AX172" s="479">
        <f t="shared" si="38"/>
        <v>10.398007201871806</v>
      </c>
      <c r="AY172" s="479">
        <f t="shared" si="38"/>
        <v>0</v>
      </c>
      <c r="AZ172" s="430"/>
      <c r="BA172" s="479">
        <f t="shared" si="39"/>
        <v>24.551170055785185</v>
      </c>
      <c r="BB172" s="479">
        <f t="shared" si="39"/>
        <v>0</v>
      </c>
      <c r="BC172" s="516"/>
      <c r="BE172" s="480">
        <f t="shared" si="40"/>
        <v>0.29751793941282878</v>
      </c>
      <c r="BF172" s="480" t="str">
        <f t="shared" si="41"/>
        <v/>
      </c>
    </row>
    <row r="173" spans="1:58" ht="15.6" x14ac:dyDescent="0.3">
      <c r="A173" s="152">
        <v>2052</v>
      </c>
      <c r="B173" s="178"/>
      <c r="C173" s="182"/>
      <c r="D173" s="183"/>
      <c r="E173" s="179">
        <f t="shared" si="47"/>
        <v>49.465388458964533</v>
      </c>
      <c r="F173" s="183">
        <f t="shared" si="48"/>
        <v>2.7217238994434751</v>
      </c>
      <c r="G173" s="247">
        <f t="shared" si="35"/>
        <v>8.6233223621389479E-2</v>
      </c>
      <c r="H173" s="246"/>
      <c r="I173" s="417"/>
      <c r="J173" s="178"/>
      <c r="K173" s="182"/>
      <c r="L173" s="183"/>
      <c r="M173" s="179">
        <f t="shared" si="36"/>
        <v>73.164156530904279</v>
      </c>
      <c r="N173" s="183">
        <f t="shared" si="49"/>
        <v>4.4811397736444718</v>
      </c>
      <c r="O173" s="247">
        <f t="shared" si="37"/>
        <v>0.12754738753206757</v>
      </c>
      <c r="P173" s="246"/>
      <c r="Q173" s="417"/>
      <c r="R173" s="182"/>
      <c r="S173" s="178"/>
      <c r="T173" s="182"/>
      <c r="U173" s="178"/>
      <c r="V173" s="506"/>
      <c r="W173" s="259">
        <f>IF($W$135="Y",IFERROR(E173*($F$8/SUMIF($H$5:$H$16,"Y",$F$5:$F$16))*$F$21*'Emissions Factors'!$B49,""),"")</f>
        <v>1.3931790580899059</v>
      </c>
      <c r="X173" s="259">
        <f>IF($X$135="Y",IFERROR($E173*(SUM($F$7,$F$5,$F$6)/SUMIF($H$5:$H$16,"Y",$F$5:$F$16))*('Emissions Factors'!$T$143*$F$22)/10^6,""),"")</f>
        <v>13.578910563429083</v>
      </c>
      <c r="Y173" s="180"/>
      <c r="Z173" s="180"/>
      <c r="AA173" s="509"/>
      <c r="AB173" s="180">
        <f t="shared" si="42"/>
        <v>14.97208962151899</v>
      </c>
      <c r="AC173" s="180">
        <f t="shared" si="43"/>
        <v>0</v>
      </c>
      <c r="AE173" s="182"/>
      <c r="AF173" s="178"/>
      <c r="AG173" s="182"/>
      <c r="AH173" s="178"/>
      <c r="AJ173" s="259">
        <f>IF($AJ$135="Y",IFERROR(M173*($F$8/SUMIF($H$5:$H$16,"Y",$F$5:$F$16))*$F$21*'Emissions Factors'!$B49,""),"")</f>
        <v>2.0606483413392644</v>
      </c>
      <c r="AK173" s="259">
        <f>IF($AK$135="Y",IFERROR($M173*(SUM($F$7,$F$5,$F$6)/SUMIF($H$5:$H$16,"Y",$F$5:$F$16))*('Emissions Factors'!$T$143*$F$22)/10^6,""),"")</f>
        <v>20.084539289650042</v>
      </c>
      <c r="AL173" s="180"/>
      <c r="AM173" s="180"/>
      <c r="AO173" s="180">
        <f t="shared" si="44"/>
        <v>22.145187630989305</v>
      </c>
      <c r="AP173" s="180">
        <f t="shared" si="45"/>
        <v>0</v>
      </c>
      <c r="AT173" s="478">
        <v>2052</v>
      </c>
      <c r="AU173" s="479">
        <f t="shared" si="46"/>
        <v>37.117277252508295</v>
      </c>
      <c r="AV173" s="479">
        <f t="shared" si="46"/>
        <v>0</v>
      </c>
      <c r="AW173" s="430"/>
      <c r="AX173" s="479">
        <f t="shared" si="38"/>
        <v>11.072593815494653</v>
      </c>
      <c r="AY173" s="479">
        <f t="shared" si="38"/>
        <v>0</v>
      </c>
      <c r="AZ173" s="430"/>
      <c r="BA173" s="479">
        <f t="shared" si="39"/>
        <v>26.044683437013642</v>
      </c>
      <c r="BB173" s="479">
        <f t="shared" si="39"/>
        <v>0</v>
      </c>
      <c r="BC173" s="516"/>
      <c r="BE173" s="480">
        <f t="shared" si="40"/>
        <v>0.2983137405302646</v>
      </c>
      <c r="BF173" s="480" t="str">
        <f t="shared" si="41"/>
        <v/>
      </c>
    </row>
    <row r="174" spans="1:58" ht="15.6" x14ac:dyDescent="0.3">
      <c r="A174" s="152">
        <v>2053</v>
      </c>
      <c r="B174" s="178"/>
      <c r="C174" s="182"/>
      <c r="D174" s="183"/>
      <c r="E174" s="179">
        <f t="shared" si="47"/>
        <v>52.296241188996923</v>
      </c>
      <c r="F174" s="183">
        <f t="shared" si="48"/>
        <v>2.8308527300323902</v>
      </c>
      <c r="G174" s="247">
        <f t="shared" si="35"/>
        <v>8.701622176546972E-2</v>
      </c>
      <c r="H174" s="246"/>
      <c r="I174" s="417"/>
      <c r="J174" s="178"/>
      <c r="K174" s="182"/>
      <c r="L174" s="183"/>
      <c r="M174" s="179">
        <f t="shared" si="36"/>
        <v>77.868383662835129</v>
      </c>
      <c r="N174" s="183">
        <f t="shared" si="49"/>
        <v>4.7042271319308497</v>
      </c>
      <c r="O174" s="247">
        <f t="shared" si="37"/>
        <v>0.12956595707971388</v>
      </c>
      <c r="P174" s="246"/>
      <c r="Q174" s="417"/>
      <c r="R174" s="182"/>
      <c r="S174" s="178"/>
      <c r="T174" s="182"/>
      <c r="U174" s="178"/>
      <c r="V174" s="506"/>
      <c r="W174" s="259">
        <f>IF($W$135="Y",IFERROR(E174*($F$8/SUMIF($H$5:$H$16,"Y",$F$5:$F$16))*$F$21*'Emissions Factors'!$B50,""),"")</f>
        <v>1.467335789897722</v>
      </c>
      <c r="X174" s="259">
        <f>IF($X$135="Y",IFERROR($E174*(SUM($F$7,$F$5,$F$6)/SUMIF($H$5:$H$16,"Y",$F$5:$F$16))*('Emissions Factors'!$T$143*$F$22)/10^6,""),"")</f>
        <v>14.356017490856487</v>
      </c>
      <c r="Y174" s="180"/>
      <c r="Z174" s="180"/>
      <c r="AA174" s="509"/>
      <c r="AB174" s="180">
        <f t="shared" si="42"/>
        <v>15.82335328075421</v>
      </c>
      <c r="AC174" s="180">
        <f t="shared" si="43"/>
        <v>0</v>
      </c>
      <c r="AE174" s="182"/>
      <c r="AF174" s="178"/>
      <c r="AG174" s="182"/>
      <c r="AH174" s="178"/>
      <c r="AJ174" s="259">
        <f>IF($AJ$135="Y",IFERROR(M174*($F$8/SUMIF($H$5:$H$16,"Y",$F$5:$F$16))*$F$21*'Emissions Factors'!$B50,""),"")</f>
        <v>2.1848428042282522</v>
      </c>
      <c r="AK174" s="259">
        <f>IF($AK$135="Y",IFERROR($M174*(SUM($F$7,$F$5,$F$6)/SUMIF($H$5:$H$16,"Y",$F$5:$F$16))*('Emissions Factors'!$T$143*$F$22)/10^6,""),"")</f>
        <v>21.375912540413811</v>
      </c>
      <c r="AL174" s="180"/>
      <c r="AM174" s="180"/>
      <c r="AO174" s="180">
        <f t="shared" si="44"/>
        <v>23.560755344642065</v>
      </c>
      <c r="AP174" s="180">
        <f t="shared" si="45"/>
        <v>0</v>
      </c>
      <c r="AT174" s="478">
        <v>2053</v>
      </c>
      <c r="AU174" s="479">
        <f t="shared" si="46"/>
        <v>39.384108625396273</v>
      </c>
      <c r="AV174" s="479">
        <f t="shared" si="46"/>
        <v>0</v>
      </c>
      <c r="AW174" s="430"/>
      <c r="AX174" s="479">
        <f t="shared" si="38"/>
        <v>11.780377672321032</v>
      </c>
      <c r="AY174" s="479">
        <f t="shared" si="38"/>
        <v>0</v>
      </c>
      <c r="AZ174" s="430"/>
      <c r="BA174" s="479">
        <f t="shared" si="39"/>
        <v>27.603730953075242</v>
      </c>
      <c r="BB174" s="479">
        <f t="shared" si="39"/>
        <v>0</v>
      </c>
      <c r="BC174" s="516"/>
      <c r="BE174" s="480">
        <f t="shared" si="40"/>
        <v>0.29911500052903639</v>
      </c>
      <c r="BF174" s="480" t="str">
        <f t="shared" si="41"/>
        <v/>
      </c>
    </row>
    <row r="175" spans="1:58" ht="15.6" x14ac:dyDescent="0.3">
      <c r="A175" s="152">
        <v>2054</v>
      </c>
      <c r="B175" s="178"/>
      <c r="C175" s="182"/>
      <c r="D175" s="183"/>
      <c r="E175" s="179">
        <f t="shared" si="47"/>
        <v>55.232016422583072</v>
      </c>
      <c r="F175" s="183">
        <f t="shared" si="48"/>
        <v>2.9357752335861491</v>
      </c>
      <c r="G175" s="247">
        <f t="shared" si="35"/>
        <v>8.7780103706077903E-2</v>
      </c>
      <c r="H175" s="246"/>
      <c r="I175" s="417"/>
      <c r="J175" s="178"/>
      <c r="K175" s="182"/>
      <c r="L175" s="183"/>
      <c r="M175" s="179">
        <f t="shared" si="36"/>
        <v>82.793814191290849</v>
      </c>
      <c r="N175" s="183">
        <f t="shared" si="49"/>
        <v>4.9254305284557205</v>
      </c>
      <c r="O175" s="247">
        <f t="shared" si="37"/>
        <v>0.13158399904012347</v>
      </c>
      <c r="P175" s="246"/>
      <c r="Q175" s="417"/>
      <c r="R175" s="182"/>
      <c r="S175" s="178"/>
      <c r="T175" s="182"/>
      <c r="U175" s="178"/>
      <c r="V175" s="506"/>
      <c r="W175" s="259">
        <f>IF($W$135="Y",IFERROR(E175*($F$8/SUMIF($H$5:$H$16,"Y",$F$5:$F$16))*$F$21*'Emissions Factors'!$B51,""),"")</f>
        <v>1.5436949770969175</v>
      </c>
      <c r="X175" s="259">
        <f>IF($X$135="Y",IFERROR($E175*(SUM($F$7,$F$5,$F$6)/SUMIF($H$5:$H$16,"Y",$F$5:$F$16))*('Emissions Factors'!$T$143*$F$22)/10^6,""),"")</f>
        <v>15.161927048491261</v>
      </c>
      <c r="Y175" s="180"/>
      <c r="Z175" s="180"/>
      <c r="AA175" s="509"/>
      <c r="AB175" s="180">
        <f t="shared" si="42"/>
        <v>16.705622025588177</v>
      </c>
      <c r="AC175" s="180">
        <f t="shared" si="43"/>
        <v>0</v>
      </c>
      <c r="AE175" s="182"/>
      <c r="AF175" s="178"/>
      <c r="AG175" s="182"/>
      <c r="AH175" s="178"/>
      <c r="AJ175" s="259">
        <f>IF($AJ$135="Y",IFERROR(M175*($F$8/SUMIF($H$5:$H$16,"Y",$F$5:$F$16))*$F$21*'Emissions Factors'!$B51,""),"")</f>
        <v>2.3140273229194168</v>
      </c>
      <c r="AK175" s="259">
        <f>IF($AK$135="Y",IFERROR($M175*(SUM($F$7,$F$5,$F$6)/SUMIF($H$5:$H$16,"Y",$F$5:$F$16))*('Emissions Factors'!$T$143*$F$22)/10^6,""),"")</f>
        <v>22.728009081367237</v>
      </c>
      <c r="AL175" s="180"/>
      <c r="AM175" s="180"/>
      <c r="AO175" s="180">
        <f t="shared" si="44"/>
        <v>25.042036404286655</v>
      </c>
      <c r="AP175" s="180">
        <f t="shared" si="45"/>
        <v>0</v>
      </c>
      <c r="AT175" s="478">
        <v>2054</v>
      </c>
      <c r="AU175" s="479">
        <f t="shared" si="46"/>
        <v>41.747658429874832</v>
      </c>
      <c r="AV175" s="479">
        <f t="shared" si="46"/>
        <v>0</v>
      </c>
      <c r="AW175" s="430"/>
      <c r="AX175" s="479">
        <f t="shared" si="38"/>
        <v>12.521018202143328</v>
      </c>
      <c r="AY175" s="479">
        <f t="shared" si="38"/>
        <v>0</v>
      </c>
      <c r="AZ175" s="430"/>
      <c r="BA175" s="479">
        <f t="shared" si="39"/>
        <v>29.226640227731504</v>
      </c>
      <c r="BB175" s="479">
        <f t="shared" si="39"/>
        <v>0</v>
      </c>
      <c r="BC175" s="516"/>
      <c r="BE175" s="480">
        <f t="shared" si="40"/>
        <v>0.29992144884425959</v>
      </c>
      <c r="BF175" s="480" t="str">
        <f t="shared" si="41"/>
        <v/>
      </c>
    </row>
    <row r="176" spans="1:58" ht="15.6" x14ac:dyDescent="0.3">
      <c r="A176" s="152">
        <v>2055</v>
      </c>
      <c r="B176" s="178"/>
      <c r="C176" s="182"/>
      <c r="D176" s="183"/>
      <c r="E176" s="179">
        <f t="shared" si="47"/>
        <v>58.268514899304094</v>
      </c>
      <c r="F176" s="183">
        <f t="shared" si="48"/>
        <v>3.0364984767210217</v>
      </c>
      <c r="G176" s="247">
        <f t="shared" si="35"/>
        <v>8.8519958818616504E-2</v>
      </c>
      <c r="H176" s="246"/>
      <c r="I176" s="417"/>
      <c r="J176" s="178"/>
      <c r="K176" s="182"/>
      <c r="L176" s="183"/>
      <c r="M176" s="179">
        <f t="shared" si="36"/>
        <v>87.938431319902676</v>
      </c>
      <c r="N176" s="183">
        <f t="shared" si="49"/>
        <v>5.1446171286118272</v>
      </c>
      <c r="O176" s="247">
        <f t="shared" si="37"/>
        <v>0.13359369691271278</v>
      </c>
      <c r="P176" s="246"/>
      <c r="Q176" s="417"/>
      <c r="R176" s="182"/>
      <c r="S176" s="178"/>
      <c r="T176" s="182"/>
      <c r="U176" s="178"/>
      <c r="V176" s="506"/>
      <c r="W176" s="259">
        <f>IF($W$135="Y",IFERROR(E176*($F$8/SUMIF($H$5:$H$16,"Y",$F$5:$F$16))*$F$21*'Emissions Factors'!$B52,""),"")</f>
        <v>1.6219440986663209</v>
      </c>
      <c r="X176" s="259">
        <f>IF($X$135="Y",IFERROR($E176*(SUM($F$7,$F$5,$F$6)/SUMIF($H$5:$H$16,"Y",$F$5:$F$16))*('Emissions Factors'!$T$143*$F$22)/10^6,""),"")</f>
        <v>15.995486483197588</v>
      </c>
      <c r="Y176" s="180"/>
      <c r="Z176" s="180"/>
      <c r="AA176" s="509"/>
      <c r="AB176" s="180">
        <f t="shared" si="42"/>
        <v>17.617430581863911</v>
      </c>
      <c r="AC176" s="180">
        <f t="shared" si="43"/>
        <v>0</v>
      </c>
      <c r="AE176" s="182"/>
      <c r="AF176" s="178"/>
      <c r="AG176" s="182"/>
      <c r="AH176" s="178"/>
      <c r="AJ176" s="259">
        <f>IF($AJ$135="Y",IFERROR(M176*($F$8/SUMIF($H$5:$H$16,"Y",$F$5:$F$16))*$F$21*'Emissions Factors'!$B52,""),"")</f>
        <v>2.4478265830487671</v>
      </c>
      <c r="AK176" s="259">
        <f>IF($AK$135="Y",IFERROR($M176*(SUM($F$7,$F$5,$F$6)/SUMIF($H$5:$H$16,"Y",$F$5:$F$16))*('Emissions Factors'!$T$143*$F$22)/10^6,""),"")</f>
        <v>24.140275274939299</v>
      </c>
      <c r="AL176" s="180"/>
      <c r="AM176" s="180"/>
      <c r="AO176" s="180">
        <f t="shared" si="44"/>
        <v>26.588101857988065</v>
      </c>
      <c r="AP176" s="180">
        <f t="shared" si="45"/>
        <v>0</v>
      </c>
      <c r="AT176" s="478">
        <v>2055</v>
      </c>
      <c r="AU176" s="479">
        <f t="shared" si="46"/>
        <v>44.205532439851979</v>
      </c>
      <c r="AV176" s="479">
        <f t="shared" si="46"/>
        <v>0</v>
      </c>
      <c r="AW176" s="430"/>
      <c r="AX176" s="479">
        <f t="shared" si="38"/>
        <v>13.294050928994032</v>
      </c>
      <c r="AY176" s="479">
        <f t="shared" si="38"/>
        <v>0</v>
      </c>
      <c r="AZ176" s="430"/>
      <c r="BA176" s="479">
        <f t="shared" si="39"/>
        <v>30.911481510857946</v>
      </c>
      <c r="BB176" s="479">
        <f t="shared" si="39"/>
        <v>0</v>
      </c>
      <c r="BC176" s="516"/>
      <c r="BE176" s="480">
        <f t="shared" si="40"/>
        <v>0.30073274079624562</v>
      </c>
      <c r="BF176" s="480" t="str">
        <f t="shared" si="41"/>
        <v/>
      </c>
    </row>
    <row r="177" spans="1:58" ht="15.6" x14ac:dyDescent="0.3">
      <c r="A177" s="152">
        <v>2056</v>
      </c>
      <c r="B177" s="178"/>
      <c r="C177" s="182"/>
      <c r="D177" s="183"/>
      <c r="E177" s="179">
        <f t="shared" si="47"/>
        <v>61.404377721171088</v>
      </c>
      <c r="F177" s="183">
        <f t="shared" si="48"/>
        <v>3.1358628218669935</v>
      </c>
      <c r="G177" s="247">
        <f t="shared" si="35"/>
        <v>8.9234143233370616E-2</v>
      </c>
      <c r="H177" s="246"/>
      <c r="I177" s="417"/>
      <c r="J177" s="178"/>
      <c r="K177" s="182"/>
      <c r="L177" s="183"/>
      <c r="M177" s="179">
        <f t="shared" si="36"/>
        <v>93.304600484006031</v>
      </c>
      <c r="N177" s="183">
        <f t="shared" si="49"/>
        <v>5.3661691641033542</v>
      </c>
      <c r="O177" s="247">
        <f t="shared" si="37"/>
        <v>0.13559222311036595</v>
      </c>
      <c r="P177" s="246"/>
      <c r="Q177" s="417"/>
      <c r="R177" s="182"/>
      <c r="S177" s="178"/>
      <c r="T177" s="182"/>
      <c r="U177" s="178"/>
      <c r="V177" s="506"/>
      <c r="W177" s="259">
        <f>IF($W$135="Y",IFERROR(E177*($F$8/SUMIF($H$5:$H$16,"Y",$F$5:$F$16))*$F$21*'Emissions Factors'!$B53,""),"")</f>
        <v>1.702389157182693</v>
      </c>
      <c r="X177" s="259">
        <f>IF($X$135="Y",IFERROR($E177*(SUM($F$7,$F$5,$F$6)/SUMIF($H$5:$H$16,"Y",$F$5:$F$16))*('Emissions Factors'!$T$143*$F$22)/10^6,""),"")</f>
        <v>16.856322759306874</v>
      </c>
      <c r="Y177" s="180"/>
      <c r="Z177" s="180"/>
      <c r="AA177" s="509"/>
      <c r="AB177" s="180">
        <f t="shared" si="42"/>
        <v>18.558711916489568</v>
      </c>
      <c r="AC177" s="180">
        <f t="shared" si="43"/>
        <v>0</v>
      </c>
      <c r="AE177" s="182"/>
      <c r="AF177" s="178"/>
      <c r="AG177" s="182"/>
      <c r="AH177" s="178"/>
      <c r="AJ177" s="259">
        <f>IF($AJ$135="Y",IFERROR(M177*($F$8/SUMIF($H$5:$H$16,"Y",$F$5:$F$16))*$F$21*'Emissions Factors'!$B53,""),"")</f>
        <v>2.5867983045200638</v>
      </c>
      <c r="AK177" s="259">
        <f>IF($AK$135="Y",IFERROR($M177*(SUM($F$7,$F$5,$F$6)/SUMIF($H$5:$H$16,"Y",$F$5:$F$16))*('Emissions Factors'!$T$143*$F$22)/10^6,""),"")</f>
        <v>25.613360464759236</v>
      </c>
      <c r="AL177" s="180"/>
      <c r="AM177" s="180"/>
      <c r="AO177" s="180">
        <f t="shared" si="44"/>
        <v>28.200158769279298</v>
      </c>
      <c r="AP177" s="180">
        <f t="shared" si="45"/>
        <v>0</v>
      </c>
      <c r="AT177" s="478">
        <v>2056</v>
      </c>
      <c r="AU177" s="479">
        <f t="shared" si="46"/>
        <v>46.758870685768869</v>
      </c>
      <c r="AV177" s="479">
        <f t="shared" si="46"/>
        <v>0</v>
      </c>
      <c r="AW177" s="430"/>
      <c r="AX177" s="479">
        <f t="shared" si="38"/>
        <v>14.100079384639649</v>
      </c>
      <c r="AY177" s="479">
        <f t="shared" si="38"/>
        <v>0</v>
      </c>
      <c r="AZ177" s="430"/>
      <c r="BA177" s="479">
        <f t="shared" si="39"/>
        <v>32.65879130112922</v>
      </c>
      <c r="BB177" s="479">
        <f t="shared" si="39"/>
        <v>0</v>
      </c>
      <c r="BC177" s="516"/>
      <c r="BE177" s="480">
        <f t="shared" si="40"/>
        <v>0.30154875808262471</v>
      </c>
      <c r="BF177" s="480" t="str">
        <f t="shared" si="41"/>
        <v/>
      </c>
    </row>
    <row r="178" spans="1:58" ht="15.6" x14ac:dyDescent="0.3">
      <c r="A178" s="152">
        <v>2057</v>
      </c>
      <c r="B178" s="178"/>
      <c r="C178" s="182"/>
      <c r="D178" s="183"/>
      <c r="E178" s="179">
        <f t="shared" si="47"/>
        <v>64.637083628673878</v>
      </c>
      <c r="F178" s="183">
        <f t="shared" si="48"/>
        <v>3.2327059075027904</v>
      </c>
      <c r="G178" s="247">
        <f t="shared" si="35"/>
        <v>8.9921275570998063E-2</v>
      </c>
      <c r="H178" s="246"/>
      <c r="I178" s="417"/>
      <c r="J178" s="178"/>
      <c r="K178" s="182"/>
      <c r="L178" s="183"/>
      <c r="M178" s="179">
        <f t="shared" si="36"/>
        <v>98.892941975758916</v>
      </c>
      <c r="N178" s="183">
        <f t="shared" si="49"/>
        <v>5.5883414917528853</v>
      </c>
      <c r="O178" s="247">
        <f t="shared" si="37"/>
        <v>0.13757705311265114</v>
      </c>
      <c r="P178" s="246"/>
      <c r="Q178" s="417"/>
      <c r="R178" s="182"/>
      <c r="S178" s="178"/>
      <c r="T178" s="182"/>
      <c r="U178" s="178"/>
      <c r="V178" s="506"/>
      <c r="W178" s="259">
        <f>IF($W$135="Y",IFERROR(E178*($F$8/SUMIF($H$5:$H$16,"Y",$F$5:$F$16))*$F$21*'Emissions Factors'!$B54,""),"")</f>
        <v>1.7844919725781709</v>
      </c>
      <c r="X178" s="259">
        <f>IF($X$135="Y",IFERROR($E178*(SUM($F$7,$F$5,$F$6)/SUMIF($H$5:$H$16,"Y",$F$5:$F$16))*('Emissions Factors'!$T$143*$F$22)/10^6,""),"")</f>
        <v>17.743743757370297</v>
      </c>
      <c r="Y178" s="180"/>
      <c r="Z178" s="180"/>
      <c r="AA178" s="509"/>
      <c r="AB178" s="180">
        <f t="shared" si="42"/>
        <v>19.528235729948467</v>
      </c>
      <c r="AC178" s="180">
        <f t="shared" si="43"/>
        <v>0</v>
      </c>
      <c r="AE178" s="182"/>
      <c r="AF178" s="178"/>
      <c r="AG178" s="182"/>
      <c r="AH178" s="178"/>
      <c r="AJ178" s="259">
        <f>IF($AJ$135="Y",IFERROR(M178*($F$8/SUMIF($H$5:$H$16,"Y",$F$5:$F$16))*$F$21*'Emissions Factors'!$B54,""),"")</f>
        <v>2.73022313497595</v>
      </c>
      <c r="AK178" s="259">
        <f>IF($AK$135="Y",IFERROR($M178*(SUM($F$7,$F$5,$F$6)/SUMIF($H$5:$H$16,"Y",$F$5:$F$16))*('Emissions Factors'!$T$143*$F$22)/10^6,""),"")</f>
        <v>27.147434929318706</v>
      </c>
      <c r="AL178" s="180"/>
      <c r="AM178" s="180"/>
      <c r="AO178" s="180">
        <f t="shared" si="44"/>
        <v>29.877658064294657</v>
      </c>
      <c r="AP178" s="180">
        <f t="shared" si="45"/>
        <v>0</v>
      </c>
      <c r="AT178" s="478">
        <v>2057</v>
      </c>
      <c r="AU178" s="479">
        <f t="shared" si="46"/>
        <v>49.405893794243127</v>
      </c>
      <c r="AV178" s="479">
        <f t="shared" si="46"/>
        <v>0</v>
      </c>
      <c r="AW178" s="430"/>
      <c r="AX178" s="479">
        <f t="shared" si="38"/>
        <v>14.938829032147328</v>
      </c>
      <c r="AY178" s="479">
        <f t="shared" si="38"/>
        <v>0</v>
      </c>
      <c r="AZ178" s="430"/>
      <c r="BA178" s="479">
        <f t="shared" si="39"/>
        <v>34.467064762095802</v>
      </c>
      <c r="BB178" s="479">
        <f t="shared" si="39"/>
        <v>0</v>
      </c>
      <c r="BC178" s="516"/>
      <c r="BE178" s="480">
        <f t="shared" si="40"/>
        <v>0.30236937103823897</v>
      </c>
      <c r="BF178" s="480" t="str">
        <f t="shared" si="41"/>
        <v/>
      </c>
    </row>
    <row r="179" spans="1:58" ht="15.6" x14ac:dyDescent="0.3">
      <c r="A179" s="152">
        <v>2058</v>
      </c>
      <c r="B179" s="178"/>
      <c r="C179" s="182"/>
      <c r="D179" s="183"/>
      <c r="E179" s="179">
        <f t="shared" si="47"/>
        <v>67.959854915759081</v>
      </c>
      <c r="F179" s="183">
        <f t="shared" si="48"/>
        <v>3.3227712870852031</v>
      </c>
      <c r="G179" s="247">
        <f t="shared" si="35"/>
        <v>9.0578787913891762E-2</v>
      </c>
      <c r="H179" s="246"/>
      <c r="I179" s="417"/>
      <c r="J179" s="178"/>
      <c r="K179" s="182"/>
      <c r="L179" s="183"/>
      <c r="M179" s="179">
        <f t="shared" si="36"/>
        <v>104.69708941573394</v>
      </c>
      <c r="N179" s="183">
        <f t="shared" si="49"/>
        <v>5.8041474399750257</v>
      </c>
      <c r="O179" s="247">
        <f t="shared" si="37"/>
        <v>0.13954319751189542</v>
      </c>
      <c r="P179" s="246"/>
      <c r="Q179" s="417"/>
      <c r="R179" s="182"/>
      <c r="S179" s="178"/>
      <c r="T179" s="182"/>
      <c r="U179" s="178"/>
      <c r="V179" s="506"/>
      <c r="W179" s="259">
        <f>IF($W$135="Y",IFERROR(E179*($F$8/SUMIF($H$5:$H$16,"Y",$F$5:$F$16))*$F$21*'Emissions Factors'!$B55,""),"")</f>
        <v>1.8681364733926373</v>
      </c>
      <c r="X179" s="259">
        <f>IF($X$135="Y",IFERROR($E179*(SUM($F$7,$F$5,$F$6)/SUMIF($H$5:$H$16,"Y",$F$5:$F$16))*('Emissions Factors'!$T$143*$F$22)/10^6,""),"")</f>
        <v>18.655888906447423</v>
      </c>
      <c r="Y179" s="180"/>
      <c r="Z179" s="180"/>
      <c r="AA179" s="509"/>
      <c r="AB179" s="180">
        <f t="shared" si="42"/>
        <v>20.524025379840062</v>
      </c>
      <c r="AC179" s="180">
        <f t="shared" si="43"/>
        <v>0</v>
      </c>
      <c r="AE179" s="182"/>
      <c r="AF179" s="178"/>
      <c r="AG179" s="182"/>
      <c r="AH179" s="178"/>
      <c r="AJ179" s="259">
        <f>IF($AJ$135="Y",IFERROR(M179*($F$8/SUMIF($H$5:$H$16,"Y",$F$5:$F$16))*$F$21*'Emissions Factors'!$B55,""),"")</f>
        <v>2.8779998373749938</v>
      </c>
      <c r="AK179" s="259">
        <f>IF($AK$135="Y",IFERROR($M179*(SUM($F$7,$F$5,$F$6)/SUMIF($H$5:$H$16,"Y",$F$5:$F$16))*('Emissions Factors'!$T$143*$F$22)/10^6,""),"")</f>
        <v>28.740751012336208</v>
      </c>
      <c r="AL179" s="180"/>
      <c r="AM179" s="180"/>
      <c r="AO179" s="180">
        <f t="shared" si="44"/>
        <v>31.618750849711201</v>
      </c>
      <c r="AP179" s="180">
        <f t="shared" si="45"/>
        <v>0</v>
      </c>
      <c r="AT179" s="478">
        <v>2058</v>
      </c>
      <c r="AU179" s="479">
        <f t="shared" si="46"/>
        <v>52.142776229551259</v>
      </c>
      <c r="AV179" s="479">
        <f t="shared" si="46"/>
        <v>0</v>
      </c>
      <c r="AW179" s="430"/>
      <c r="AX179" s="479">
        <f t="shared" si="38"/>
        <v>15.809375424855601</v>
      </c>
      <c r="AY179" s="479">
        <f t="shared" si="38"/>
        <v>0</v>
      </c>
      <c r="AZ179" s="430"/>
      <c r="BA179" s="479">
        <f t="shared" si="39"/>
        <v>36.333400804695657</v>
      </c>
      <c r="BB179" s="479">
        <f t="shared" si="39"/>
        <v>0</v>
      </c>
      <c r="BC179" s="516"/>
      <c r="BE179" s="480">
        <f t="shared" si="40"/>
        <v>0.30319397178349389</v>
      </c>
      <c r="BF179" s="480" t="str">
        <f t="shared" si="41"/>
        <v/>
      </c>
    </row>
    <row r="180" spans="1:58" ht="15.6" x14ac:dyDescent="0.3">
      <c r="A180" s="152">
        <v>2059</v>
      </c>
      <c r="B180" s="178"/>
      <c r="C180" s="182"/>
      <c r="D180" s="183"/>
      <c r="E180" s="179">
        <f t="shared" si="47"/>
        <v>71.364389323475777</v>
      </c>
      <c r="F180" s="183">
        <f t="shared" si="48"/>
        <v>3.4045344077166959</v>
      </c>
      <c r="G180" s="247">
        <f t="shared" si="35"/>
        <v>9.1204523170247298E-2</v>
      </c>
      <c r="H180" s="246"/>
      <c r="I180" s="417"/>
      <c r="J180" s="178"/>
      <c r="K180" s="182"/>
      <c r="L180" s="183"/>
      <c r="M180" s="179">
        <f t="shared" si="36"/>
        <v>110.70777722044026</v>
      </c>
      <c r="N180" s="183">
        <f t="shared" si="49"/>
        <v>6.0106878047063219</v>
      </c>
      <c r="O180" s="247">
        <f t="shared" si="37"/>
        <v>0.14148583247676905</v>
      </c>
      <c r="P180" s="246"/>
      <c r="Q180" s="417"/>
      <c r="R180" s="182"/>
      <c r="S180" s="178"/>
      <c r="T180" s="182"/>
      <c r="U180" s="178"/>
      <c r="V180" s="506"/>
      <c r="W180" s="259">
        <f>IF($W$135="Y",IFERROR(E180*($F$8/SUMIF($H$5:$H$16,"Y",$F$5:$F$16))*$F$21*'Emissions Factors'!$B56,""),"")</f>
        <v>1.9530307989026572</v>
      </c>
      <c r="X180" s="259">
        <f>IF($X$135="Y",IFERROR($E180*(SUM($F$7,$F$5,$F$6)/SUMIF($H$5:$H$16,"Y",$F$5:$F$16))*('Emissions Factors'!$T$143*$F$22)/10^6,""),"")</f>
        <v>19.590479125441725</v>
      </c>
      <c r="Y180" s="180"/>
      <c r="Z180" s="180"/>
      <c r="AA180" s="509"/>
      <c r="AB180" s="180">
        <f t="shared" si="42"/>
        <v>21.543509924344381</v>
      </c>
      <c r="AC180" s="180">
        <f t="shared" si="43"/>
        <v>0</v>
      </c>
      <c r="AE180" s="182"/>
      <c r="AF180" s="178"/>
      <c r="AG180" s="182"/>
      <c r="AH180" s="178"/>
      <c r="AJ180" s="259">
        <f>IF($AJ$135="Y",IFERROR(M180*($F$8/SUMIF($H$5:$H$16,"Y",$F$5:$F$16))*$F$21*'Emissions Factors'!$B56,""),"")</f>
        <v>3.0297421534643227</v>
      </c>
      <c r="AK180" s="259">
        <f>IF($AK$135="Y",IFERROR($M180*(SUM($F$7,$F$5,$F$6)/SUMIF($H$5:$H$16,"Y",$F$5:$F$16))*('Emissions Factors'!$T$143*$F$22)/10^6,""),"")</f>
        <v>30.39076518724783</v>
      </c>
      <c r="AL180" s="180"/>
      <c r="AM180" s="180"/>
      <c r="AO180" s="180">
        <f t="shared" si="44"/>
        <v>33.420507340712149</v>
      </c>
      <c r="AP180" s="180">
        <f t="shared" si="45"/>
        <v>0</v>
      </c>
      <c r="AT180" s="478">
        <v>2059</v>
      </c>
      <c r="AU180" s="479">
        <f t="shared" si="46"/>
        <v>54.964017265056526</v>
      </c>
      <c r="AV180" s="479">
        <f t="shared" si="46"/>
        <v>0</v>
      </c>
      <c r="AW180" s="430"/>
      <c r="AX180" s="479">
        <f t="shared" si="38"/>
        <v>16.710253670356074</v>
      </c>
      <c r="AY180" s="479">
        <f t="shared" si="38"/>
        <v>0</v>
      </c>
      <c r="AZ180" s="430"/>
      <c r="BA180" s="479">
        <f t="shared" si="39"/>
        <v>38.253763594700452</v>
      </c>
      <c r="BB180" s="479">
        <f t="shared" si="39"/>
        <v>0</v>
      </c>
      <c r="BC180" s="516"/>
      <c r="BE180" s="480">
        <f t="shared" si="40"/>
        <v>0.30402169458926448</v>
      </c>
      <c r="BF180" s="480" t="str">
        <f t="shared" si="41"/>
        <v/>
      </c>
    </row>
    <row r="181" spans="1:58" ht="15.6" x14ac:dyDescent="0.3">
      <c r="A181" s="152">
        <v>2060</v>
      </c>
      <c r="B181" s="178"/>
      <c r="C181" s="182"/>
      <c r="D181" s="183"/>
      <c r="E181" s="179">
        <f t="shared" si="47"/>
        <v>74.843900227874499</v>
      </c>
      <c r="F181" s="183">
        <f t="shared" si="48"/>
        <v>3.4795109043987225</v>
      </c>
      <c r="G181" s="247">
        <f t="shared" si="35"/>
        <v>9.1797881079425769E-2</v>
      </c>
      <c r="H181" s="246"/>
      <c r="I181" s="417"/>
      <c r="J181" s="178"/>
      <c r="K181" s="182"/>
      <c r="L181" s="183"/>
      <c r="M181" s="179">
        <f t="shared" si="36"/>
        <v>116.91762959582717</v>
      </c>
      <c r="N181" s="183">
        <f t="shared" si="49"/>
        <v>6.2098523753869017</v>
      </c>
      <c r="O181" s="247">
        <f t="shared" si="37"/>
        <v>0.14340234307736979</v>
      </c>
      <c r="P181" s="246"/>
      <c r="Q181" s="417"/>
      <c r="R181" s="182"/>
      <c r="S181" s="178"/>
      <c r="T181" s="182"/>
      <c r="U181" s="178"/>
      <c r="V181" s="506"/>
      <c r="W181" s="259">
        <f>IF($W$135="Y",IFERROR(E181*($F$8/SUMIF($H$5:$H$16,"Y",$F$5:$F$16))*$F$21*'Emissions Factors'!$B57,""),"")</f>
        <v>2.0396087367300684</v>
      </c>
      <c r="X181" s="259">
        <f>IF($X$135="Y",IFERROR($E181*(SUM($F$7,$F$5,$F$6)/SUMIF($H$5:$H$16,"Y",$F$5:$F$16))*('Emissions Factors'!$T$143*$F$22)/10^6,""),"")</f>
        <v>20.545651395331056</v>
      </c>
      <c r="Y181" s="180"/>
      <c r="Z181" s="180"/>
      <c r="AA181" s="509"/>
      <c r="AB181" s="180">
        <f t="shared" si="42"/>
        <v>22.585260132061123</v>
      </c>
      <c r="AC181" s="180">
        <f t="shared" si="43"/>
        <v>0</v>
      </c>
      <c r="AE181" s="182"/>
      <c r="AF181" s="178"/>
      <c r="AG181" s="182"/>
      <c r="AH181" s="178"/>
      <c r="AJ181" s="259">
        <f>IF($AJ$135="Y",IFERROR(M181*($F$8/SUMIF($H$5:$H$16,"Y",$F$5:$F$16))*$F$21*'Emissions Factors'!$B57,""),"")</f>
        <v>3.1861810792244887</v>
      </c>
      <c r="AK181" s="259">
        <f>IF($AK$135="Y",IFERROR($M181*(SUM($F$7,$F$5,$F$6)/SUMIF($H$5:$H$16,"Y",$F$5:$F$16))*('Emissions Factors'!$T$143*$F$22)/10^6,""),"")</f>
        <v>32.095452699960461</v>
      </c>
      <c r="AL181" s="180"/>
      <c r="AM181" s="180"/>
      <c r="AO181" s="180">
        <f t="shared" si="44"/>
        <v>35.281633779184951</v>
      </c>
      <c r="AP181" s="180">
        <f t="shared" si="45"/>
        <v>0</v>
      </c>
      <c r="AT181" s="478">
        <v>2060</v>
      </c>
      <c r="AU181" s="479">
        <f t="shared" si="46"/>
        <v>57.866893911246073</v>
      </c>
      <c r="AV181" s="479">
        <f t="shared" si="46"/>
        <v>0</v>
      </c>
      <c r="AW181" s="430"/>
      <c r="AX181" s="479">
        <f t="shared" si="38"/>
        <v>17.640816889592475</v>
      </c>
      <c r="AY181" s="479">
        <f t="shared" si="38"/>
        <v>0</v>
      </c>
      <c r="AZ181" s="430"/>
      <c r="BA181" s="479">
        <f t="shared" si="39"/>
        <v>40.226077021653595</v>
      </c>
      <c r="BB181" s="479">
        <f t="shared" si="39"/>
        <v>0</v>
      </c>
      <c r="BC181" s="516"/>
      <c r="BE181" s="480">
        <f t="shared" si="40"/>
        <v>0.30485162926922005</v>
      </c>
      <c r="BF181" s="480" t="str">
        <f t="shared" si="41"/>
        <v/>
      </c>
    </row>
    <row r="182" spans="1:58" x14ac:dyDescent="0.25">
      <c r="BA182" s="516"/>
    </row>
    <row r="183" spans="1:58" x14ac:dyDescent="0.25">
      <c r="BA183" s="516"/>
    </row>
    <row r="184" spans="1:58" x14ac:dyDescent="0.25">
      <c r="BA184" s="516"/>
    </row>
    <row r="185" spans="1:58" x14ac:dyDescent="0.25">
      <c r="BA185" s="516"/>
    </row>
    <row r="186" spans="1:58" x14ac:dyDescent="0.25">
      <c r="BA186" s="516"/>
    </row>
    <row r="187" spans="1:58" x14ac:dyDescent="0.25">
      <c r="BA187" s="516"/>
    </row>
    <row r="188" spans="1:58" x14ac:dyDescent="0.25">
      <c r="BA188" s="516"/>
    </row>
    <row r="189" spans="1:58" ht="13.5" customHeight="1" thickBot="1" x14ac:dyDescent="0.3">
      <c r="BC189" s="516"/>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516"/>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WaterHeating_cluster</v>
      </c>
      <c r="Z191" s="607"/>
      <c r="AA191" s="608"/>
      <c r="AB191" s="445"/>
      <c r="AC191" s="606" t="str">
        <f ca="1">CONCATENATE("Table 14(b): EMISSIONS ALLOCATION TO Education in MDC, ",A1)</f>
        <v>Table 14(b): EMISSIONS ALLOCATION TO Education in MDC, WaterHeating_cluster</v>
      </c>
      <c r="AD191" s="608"/>
      <c r="AE191" s="446"/>
      <c r="AF191" s="606" t="str">
        <f ca="1">CONCATENATE("Table 14(c): EMISSIONS ALLOCATION TO Family Planning in MDC, ",$A$1)</f>
        <v>Table 14(c): EMISSIONS ALLOCATION TO Family Planning in MDC, WaterHeating_cluster</v>
      </c>
      <c r="AG191" s="608"/>
      <c r="AH191" s="516"/>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516"/>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516"/>
      <c r="AJ193" s="481" t="s">
        <v>227</v>
      </c>
      <c r="AK193" s="481" t="s">
        <v>228</v>
      </c>
    </row>
    <row r="194" spans="1:37" ht="15.6" x14ac:dyDescent="0.3">
      <c r="A194" s="152">
        <v>2014</v>
      </c>
      <c r="B194" s="178"/>
      <c r="C194" s="182"/>
      <c r="D194" s="183"/>
      <c r="E194" s="179">
        <f>IFERROR(IF($G$19="Y",$F$19,$AD80)*(SUMIF($H$5:$H$16,"Y",$F$5:$F$16)*(AL29-B29)),0)</f>
        <v>0</v>
      </c>
      <c r="F194" s="183" t="str">
        <f>IFERROR(E194-E193,"")</f>
        <v/>
      </c>
      <c r="G194" s="247">
        <f>E194/(AL29-B29)</f>
        <v>0</v>
      </c>
      <c r="H194" s="245" t="s">
        <v>264</v>
      </c>
      <c r="I194" s="416"/>
      <c r="J194" s="416"/>
      <c r="K194" s="167" t="s">
        <v>213</v>
      </c>
      <c r="L194" s="167" t="s">
        <v>213</v>
      </c>
      <c r="M194" s="167" t="s">
        <v>211</v>
      </c>
      <c r="N194" s="167" t="s">
        <v>211</v>
      </c>
      <c r="O194" s="495"/>
      <c r="P194" s="167" t="s">
        <v>213</v>
      </c>
      <c r="Q194" s="167" t="s">
        <v>213</v>
      </c>
      <c r="R194" s="167" t="s">
        <v>211</v>
      </c>
      <c r="S194" s="167" t="s">
        <v>211</v>
      </c>
      <c r="T194" s="496"/>
      <c r="U194" s="496"/>
      <c r="V194" s="496"/>
      <c r="Y194" s="478">
        <v>2014</v>
      </c>
      <c r="Z194" s="479">
        <f>U194</f>
        <v>0</v>
      </c>
      <c r="AA194" s="479">
        <f>V194</f>
        <v>0</v>
      </c>
      <c r="AB194" s="430"/>
      <c r="AC194" s="512"/>
      <c r="AD194" s="479"/>
      <c r="AE194" s="430"/>
      <c r="AF194" s="479">
        <f>Z194-AC194</f>
        <v>0</v>
      </c>
      <c r="AG194" s="479">
        <f t="shared" ref="AG194:AG240" si="50">AA194-AD194</f>
        <v>0</v>
      </c>
      <c r="AH194" s="516"/>
      <c r="AJ194" s="480" t="str">
        <f t="shared" ref="AJ194:AJ240" si="51">IFERROR(AC194/Z194,"")</f>
        <v/>
      </c>
      <c r="AK194" s="480" t="str">
        <f t="shared" ref="AK194:AK240" si="52">IFERROR(AG194/(AD194+AG194),"")</f>
        <v/>
      </c>
    </row>
    <row r="195" spans="1:37" ht="15.6" x14ac:dyDescent="0.3">
      <c r="A195" s="152">
        <v>2015</v>
      </c>
      <c r="B195" s="178"/>
      <c r="C195" s="182"/>
      <c r="D195" s="183"/>
      <c r="E195" s="179">
        <f t="shared" ref="E195:E240" si="53">IFERROR(IF($G$19="Y",$F$19,$AD81)*(SUMIF($H$5:$H$16,"Y",$F$5:$F$16)*(AL30-B30)),0)</f>
        <v>0</v>
      </c>
      <c r="F195" s="183">
        <f>IFERROR(E195-E194,"")</f>
        <v>0</v>
      </c>
      <c r="G195" s="247">
        <f t="shared" ref="G195:G240" si="54">E195/(AL30-B30)</f>
        <v>0</v>
      </c>
      <c r="H195" s="246"/>
      <c r="I195" s="417"/>
      <c r="J195" s="417"/>
      <c r="K195" s="439"/>
      <c r="L195" s="440"/>
      <c r="M195" s="439"/>
      <c r="N195" s="440"/>
      <c r="O195" s="495"/>
      <c r="P195" s="259">
        <f>IF(P$194="Y",IFERROR(E195*($F$8/SUMIF($H$5:$H$16,"Y",$F$5:$F$16))*$F$21*'Emissions Factors'!$B12,""),"")</f>
        <v>0</v>
      </c>
      <c r="Q195" s="259">
        <f>IF($X$135="Y",IFERROR($E195*(SUM($F$7,$F$5,$F$6)/SUMIF($H$5:$H$16,"Y",$F$5:$F$16))*('Emissions Factors'!$T$143*$F$22)/10^6,""),"")</f>
        <v>0</v>
      </c>
      <c r="R195" s="441"/>
      <c r="S195" s="441"/>
      <c r="T195" s="496"/>
      <c r="U195" s="441">
        <f>SUM(P195:S195)</f>
        <v>0</v>
      </c>
      <c r="V195" s="441">
        <f t="shared" ref="V195:V240" si="55">SUM(K195:N195)</f>
        <v>0</v>
      </c>
      <c r="Y195" s="478">
        <v>2015</v>
      </c>
      <c r="Z195" s="479">
        <f t="shared" ref="Z195:AA240" si="56">U195</f>
        <v>0</v>
      </c>
      <c r="AA195" s="479">
        <f t="shared" si="56"/>
        <v>0</v>
      </c>
      <c r="AB195" s="430"/>
      <c r="AC195" s="479"/>
      <c r="AD195" s="479"/>
      <c r="AE195" s="430"/>
      <c r="AF195" s="479">
        <f t="shared" ref="AF195:AF240" si="57">Z195-AC195</f>
        <v>0</v>
      </c>
      <c r="AG195" s="479">
        <f t="shared" si="50"/>
        <v>0</v>
      </c>
      <c r="AH195" s="516"/>
      <c r="AJ195" s="480" t="str">
        <f t="shared" si="51"/>
        <v/>
      </c>
      <c r="AK195" s="480" t="str">
        <f t="shared" si="52"/>
        <v/>
      </c>
    </row>
    <row r="196" spans="1:37" ht="15.6" x14ac:dyDescent="0.3">
      <c r="A196" s="152">
        <v>2016</v>
      </c>
      <c r="B196" s="178"/>
      <c r="C196" s="182"/>
      <c r="D196" s="183"/>
      <c r="E196" s="179">
        <f t="shared" si="53"/>
        <v>0</v>
      </c>
      <c r="F196" s="183">
        <f t="shared" ref="F196" si="58">IFERROR(E196-E195,"")</f>
        <v>0</v>
      </c>
      <c r="G196" s="247">
        <f t="shared" si="54"/>
        <v>0</v>
      </c>
      <c r="H196" s="246"/>
      <c r="I196" s="417"/>
      <c r="J196" s="417"/>
      <c r="K196" s="439"/>
      <c r="L196" s="440"/>
      <c r="M196" s="439"/>
      <c r="N196" s="440"/>
      <c r="O196" s="495"/>
      <c r="P196" s="259">
        <f>IF(P$194="Y",IFERROR(E196*($F$8/SUMIF($H$5:$H$16,"Y",$F$5:$F$16))*$F$21*'Emissions Factors'!$B13,""),"")</f>
        <v>0</v>
      </c>
      <c r="Q196" s="259">
        <f>IF($X$135="Y",IFERROR($E196*(SUM($F$7,$F$5,$F$6)/SUMIF($H$5:$H$16,"Y",$F$5:$F$16))*('Emissions Factors'!$T$143*$F$22)/10^6,""),"")</f>
        <v>0</v>
      </c>
      <c r="R196" s="441"/>
      <c r="S196" s="441"/>
      <c r="T196" s="496"/>
      <c r="U196" s="441">
        <f t="shared" ref="U196:U240" si="59">SUM(P196:S196)</f>
        <v>0</v>
      </c>
      <c r="V196" s="441">
        <f t="shared" si="55"/>
        <v>0</v>
      </c>
      <c r="Y196" s="478">
        <v>2016</v>
      </c>
      <c r="Z196" s="479">
        <f t="shared" si="56"/>
        <v>0</v>
      </c>
      <c r="AA196" s="479">
        <f t="shared" si="56"/>
        <v>0</v>
      </c>
      <c r="AB196" s="430"/>
      <c r="AC196" s="479"/>
      <c r="AD196" s="479"/>
      <c r="AE196" s="430"/>
      <c r="AF196" s="479">
        <f t="shared" si="57"/>
        <v>0</v>
      </c>
      <c r="AG196" s="479">
        <f t="shared" si="50"/>
        <v>0</v>
      </c>
      <c r="AH196" s="516"/>
      <c r="AJ196" s="480" t="str">
        <f t="shared" si="51"/>
        <v/>
      </c>
      <c r="AK196" s="480" t="str">
        <f t="shared" si="52"/>
        <v/>
      </c>
    </row>
    <row r="197" spans="1:37" ht="15.6" x14ac:dyDescent="0.3">
      <c r="A197" s="152">
        <v>2017</v>
      </c>
      <c r="B197" s="178"/>
      <c r="C197" s="182"/>
      <c r="D197" s="183"/>
      <c r="E197" s="179">
        <f t="shared" si="53"/>
        <v>0</v>
      </c>
      <c r="F197" s="183">
        <f>IFERROR(E197-E196,"")</f>
        <v>0</v>
      </c>
      <c r="G197" s="247">
        <f t="shared" si="54"/>
        <v>0</v>
      </c>
      <c r="H197" s="246"/>
      <c r="I197" s="417"/>
      <c r="J197" s="417"/>
      <c r="K197" s="439"/>
      <c r="L197" s="440"/>
      <c r="M197" s="439"/>
      <c r="N197" s="440"/>
      <c r="O197" s="495"/>
      <c r="P197" s="259">
        <f>IF(P$194="Y",IFERROR(E197*($F$8/SUMIF($H$5:$H$16,"Y",$F$5:$F$16))*$F$21*'Emissions Factors'!$B14,""),"")</f>
        <v>0</v>
      </c>
      <c r="Q197" s="259">
        <f>IF($X$135="Y",IFERROR($E197*(SUM($F$7,$F$5,$F$6)/SUMIF($H$5:$H$16,"Y",$F$5:$F$16))*('Emissions Factors'!$T$143*$F$22)/10^6,""),"")</f>
        <v>0</v>
      </c>
      <c r="R197" s="441"/>
      <c r="S197" s="441"/>
      <c r="T197" s="496"/>
      <c r="U197" s="441">
        <f t="shared" si="59"/>
        <v>0</v>
      </c>
      <c r="V197" s="441">
        <f t="shared" si="55"/>
        <v>0</v>
      </c>
      <c r="Y197" s="478">
        <v>2017</v>
      </c>
      <c r="Z197" s="479">
        <f t="shared" si="56"/>
        <v>0</v>
      </c>
      <c r="AA197" s="479">
        <f t="shared" si="56"/>
        <v>0</v>
      </c>
      <c r="AB197" s="430"/>
      <c r="AC197" s="479"/>
      <c r="AD197" s="479"/>
      <c r="AE197" s="430"/>
      <c r="AF197" s="479">
        <f t="shared" si="57"/>
        <v>0</v>
      </c>
      <c r="AG197" s="479">
        <f t="shared" si="50"/>
        <v>0</v>
      </c>
      <c r="AH197" s="516"/>
      <c r="AJ197" s="480" t="str">
        <f t="shared" si="51"/>
        <v/>
      </c>
      <c r="AK197" s="480" t="str">
        <f t="shared" si="52"/>
        <v/>
      </c>
    </row>
    <row r="198" spans="1:37" ht="15.6" x14ac:dyDescent="0.3">
      <c r="A198" s="152">
        <v>2018</v>
      </c>
      <c r="B198" s="178"/>
      <c r="C198" s="182"/>
      <c r="D198" s="183"/>
      <c r="E198" s="179">
        <f t="shared" si="53"/>
        <v>0</v>
      </c>
      <c r="F198" s="183">
        <f t="shared" ref="F198:F240" si="60">IFERROR(E198-E197,"")</f>
        <v>0</v>
      </c>
      <c r="G198" s="247">
        <f t="shared" si="54"/>
        <v>0</v>
      </c>
      <c r="H198" s="246"/>
      <c r="I198" s="417"/>
      <c r="J198" s="417"/>
      <c r="K198" s="439"/>
      <c r="L198" s="440"/>
      <c r="M198" s="439"/>
      <c r="N198" s="440"/>
      <c r="O198" s="495"/>
      <c r="P198" s="259">
        <f>IF(P$194="Y",IFERROR(E198*($F$8/SUMIF($H$5:$H$16,"Y",$F$5:$F$16))*$F$21*'Emissions Factors'!$B15,""),"")</f>
        <v>0</v>
      </c>
      <c r="Q198" s="259">
        <f>IF($X$135="Y",IFERROR($E198*(SUM($F$7,$F$5,$F$6)/SUMIF($H$5:$H$16,"Y",$F$5:$F$16))*('Emissions Factors'!$T$143*$F$22)/10^6,""),"")</f>
        <v>0</v>
      </c>
      <c r="R198" s="441"/>
      <c r="S198" s="441"/>
      <c r="T198" s="496"/>
      <c r="U198" s="441">
        <f t="shared" si="59"/>
        <v>0</v>
      </c>
      <c r="V198" s="441">
        <f t="shared" si="55"/>
        <v>0</v>
      </c>
      <c r="Y198" s="478">
        <v>2018</v>
      </c>
      <c r="Z198" s="479">
        <f t="shared" si="56"/>
        <v>0</v>
      </c>
      <c r="AA198" s="479">
        <f t="shared" si="56"/>
        <v>0</v>
      </c>
      <c r="AB198" s="430"/>
      <c r="AC198" s="479"/>
      <c r="AD198" s="479"/>
      <c r="AE198" s="430"/>
      <c r="AF198" s="479">
        <f t="shared" si="57"/>
        <v>0</v>
      </c>
      <c r="AG198" s="479">
        <f t="shared" si="50"/>
        <v>0</v>
      </c>
      <c r="AH198" s="516"/>
      <c r="AJ198" s="480" t="str">
        <f t="shared" si="51"/>
        <v/>
      </c>
      <c r="AK198" s="480" t="str">
        <f t="shared" si="52"/>
        <v/>
      </c>
    </row>
    <row r="199" spans="1:37" ht="15.6" x14ac:dyDescent="0.3">
      <c r="A199" s="152">
        <v>2019</v>
      </c>
      <c r="B199" s="178"/>
      <c r="C199" s="182"/>
      <c r="D199" s="183"/>
      <c r="E199" s="179">
        <f t="shared" si="53"/>
        <v>0</v>
      </c>
      <c r="F199" s="183">
        <f t="shared" si="60"/>
        <v>0</v>
      </c>
      <c r="G199" s="247">
        <f t="shared" si="54"/>
        <v>0</v>
      </c>
      <c r="H199" s="246"/>
      <c r="I199" s="417"/>
      <c r="J199" s="417"/>
      <c r="K199" s="439"/>
      <c r="L199" s="440"/>
      <c r="M199" s="439"/>
      <c r="N199" s="440"/>
      <c r="O199" s="495"/>
      <c r="P199" s="259">
        <f>IF(P$194="Y",IFERROR(E199*($F$8/SUMIF($H$5:$H$16,"Y",$F$5:$F$16))*$F$21*'Emissions Factors'!$B16,""),"")</f>
        <v>0</v>
      </c>
      <c r="Q199" s="259">
        <f>IF($X$135="Y",IFERROR($E199*(SUM($F$7,$F$5,$F$6)/SUMIF($H$5:$H$16,"Y",$F$5:$F$16))*('Emissions Factors'!$T$143*$F$22)/10^6,""),"")</f>
        <v>0</v>
      </c>
      <c r="R199" s="441"/>
      <c r="S199" s="441"/>
      <c r="T199" s="496"/>
      <c r="U199" s="441">
        <f t="shared" si="59"/>
        <v>0</v>
      </c>
      <c r="V199" s="441">
        <f t="shared" si="55"/>
        <v>0</v>
      </c>
      <c r="Y199" s="478">
        <v>2019</v>
      </c>
      <c r="Z199" s="479">
        <f t="shared" si="56"/>
        <v>0</v>
      </c>
      <c r="AA199" s="479">
        <f t="shared" si="56"/>
        <v>0</v>
      </c>
      <c r="AB199" s="430"/>
      <c r="AC199" s="479"/>
      <c r="AD199" s="479"/>
      <c r="AE199" s="430"/>
      <c r="AF199" s="479">
        <f t="shared" si="57"/>
        <v>0</v>
      </c>
      <c r="AG199" s="479">
        <f t="shared" si="50"/>
        <v>0</v>
      </c>
      <c r="AH199" s="516"/>
      <c r="AJ199" s="480" t="str">
        <f t="shared" si="51"/>
        <v/>
      </c>
      <c r="AK199" s="480" t="str">
        <f t="shared" si="52"/>
        <v/>
      </c>
    </row>
    <row r="200" spans="1:37" ht="15.6" x14ac:dyDescent="0.3">
      <c r="A200" s="152">
        <v>2020</v>
      </c>
      <c r="B200" s="178"/>
      <c r="C200" s="182"/>
      <c r="D200" s="183"/>
      <c r="E200" s="179">
        <f t="shared" si="53"/>
        <v>0</v>
      </c>
      <c r="F200" s="183">
        <f t="shared" si="60"/>
        <v>0</v>
      </c>
      <c r="G200" s="247">
        <f t="shared" si="54"/>
        <v>0</v>
      </c>
      <c r="H200" s="246"/>
      <c r="I200" s="417"/>
      <c r="J200" s="417"/>
      <c r="K200" s="439"/>
      <c r="L200" s="440"/>
      <c r="M200" s="439"/>
      <c r="N200" s="440"/>
      <c r="O200" s="495"/>
      <c r="P200" s="259">
        <f>IF(P$194="Y",IFERROR(E200*($F$8/SUMIF($H$5:$H$16,"Y",$F$5:$F$16))*$F$21*'Emissions Factors'!$B17,""),"")</f>
        <v>0</v>
      </c>
      <c r="Q200" s="259">
        <f>IF($X$135="Y",IFERROR($E200*(SUM($F$7,$F$5,$F$6)/SUMIF($H$5:$H$16,"Y",$F$5:$F$16))*('Emissions Factors'!$T$143*$F$22)/10^6,""),"")</f>
        <v>0</v>
      </c>
      <c r="R200" s="441"/>
      <c r="S200" s="441"/>
      <c r="T200" s="496"/>
      <c r="U200" s="441">
        <f t="shared" si="59"/>
        <v>0</v>
      </c>
      <c r="V200" s="441">
        <f t="shared" si="55"/>
        <v>0</v>
      </c>
      <c r="X200" s="430"/>
      <c r="Y200" s="478">
        <v>2020</v>
      </c>
      <c r="Z200" s="479">
        <f t="shared" si="56"/>
        <v>0</v>
      </c>
      <c r="AA200" s="479">
        <f t="shared" si="56"/>
        <v>0</v>
      </c>
      <c r="AB200" s="430"/>
      <c r="AC200" s="479"/>
      <c r="AD200" s="479"/>
      <c r="AE200" s="430"/>
      <c r="AF200" s="479">
        <f t="shared" si="57"/>
        <v>0</v>
      </c>
      <c r="AG200" s="479">
        <f t="shared" si="50"/>
        <v>0</v>
      </c>
      <c r="AH200" s="516"/>
      <c r="AJ200" s="480" t="str">
        <f t="shared" si="51"/>
        <v/>
      </c>
      <c r="AK200" s="480" t="str">
        <f t="shared" si="52"/>
        <v/>
      </c>
    </row>
    <row r="201" spans="1:37" ht="15.6" x14ac:dyDescent="0.3">
      <c r="A201" s="152">
        <v>2021</v>
      </c>
      <c r="B201" s="178"/>
      <c r="C201" s="182"/>
      <c r="D201" s="183"/>
      <c r="E201" s="179">
        <f t="shared" si="53"/>
        <v>3.1084954465002022</v>
      </c>
      <c r="F201" s="183">
        <f t="shared" si="60"/>
        <v>3.1084954465002022</v>
      </c>
      <c r="G201" s="247">
        <f t="shared" si="54"/>
        <v>0.49139717272118194</v>
      </c>
      <c r="H201" s="246"/>
      <c r="I201" s="417"/>
      <c r="J201" s="417"/>
      <c r="K201" s="439"/>
      <c r="L201" s="440"/>
      <c r="M201" s="439"/>
      <c r="N201" s="440"/>
      <c r="O201" s="495"/>
      <c r="P201" s="259">
        <f>IF(P$194="Y",IFERROR(E201*($F$8/SUMIF($H$5:$H$16,"Y",$F$5:$F$16))*$F$21*'Emissions Factors'!$B18,""),"")</f>
        <v>0.10335895639330944</v>
      </c>
      <c r="Q201" s="259">
        <f>IF($X$135="Y",IFERROR($E201*(SUM($F$7,$F$5,$F$6)/SUMIF($H$5:$H$16,"Y",$F$5:$F$16))*('Emissions Factors'!$T$143*$F$22)/10^6,""),"")</f>
        <v>0.85332356562547418</v>
      </c>
      <c r="R201" s="441"/>
      <c r="S201" s="441"/>
      <c r="T201" s="496"/>
      <c r="U201" s="441">
        <f t="shared" si="59"/>
        <v>0.95668252201878357</v>
      </c>
      <c r="V201" s="441">
        <f t="shared" si="55"/>
        <v>0</v>
      </c>
      <c r="X201" s="430"/>
      <c r="Y201" s="478">
        <v>2021</v>
      </c>
      <c r="Z201" s="479">
        <f t="shared" si="56"/>
        <v>0.95668252201878357</v>
      </c>
      <c r="AA201" s="479">
        <f t="shared" si="56"/>
        <v>0</v>
      </c>
      <c r="AB201" s="430"/>
      <c r="AC201" s="479"/>
      <c r="AD201" s="479"/>
      <c r="AE201" s="430"/>
      <c r="AF201" s="479">
        <f t="shared" si="57"/>
        <v>0.95668252201878357</v>
      </c>
      <c r="AG201" s="479">
        <f t="shared" si="50"/>
        <v>0</v>
      </c>
      <c r="AH201" s="516"/>
      <c r="AJ201" s="480">
        <f t="shared" si="51"/>
        <v>0</v>
      </c>
      <c r="AK201" s="480" t="str">
        <f t="shared" si="52"/>
        <v/>
      </c>
    </row>
    <row r="202" spans="1:37" ht="15.6" x14ac:dyDescent="0.3">
      <c r="A202" s="152">
        <v>2022</v>
      </c>
      <c r="B202" s="178"/>
      <c r="C202" s="182"/>
      <c r="D202" s="183"/>
      <c r="E202" s="179">
        <f t="shared" si="53"/>
        <v>6.8898045360079108</v>
      </c>
      <c r="F202" s="183">
        <f t="shared" si="60"/>
        <v>3.7813090895077086</v>
      </c>
      <c r="G202" s="247">
        <f t="shared" si="54"/>
        <v>0.4835022068425231</v>
      </c>
      <c r="H202" s="246"/>
      <c r="I202" s="417"/>
      <c r="J202" s="417"/>
      <c r="K202" s="182"/>
      <c r="L202" s="178"/>
      <c r="M202" s="182"/>
      <c r="N202" s="178"/>
      <c r="O202" s="495"/>
      <c r="P202" s="259">
        <f>IF(P$194="Y",IFERROR(E202*($F$8/SUMIF($H$5:$H$16,"Y",$F$5:$F$16))*$F$21*'Emissions Factors'!$B19,""),"")</f>
        <v>0.22772722673310858</v>
      </c>
      <c r="Q202" s="259">
        <f>IF($X$135="Y",IFERROR($E202*(SUM($F$7,$F$5,$F$6)/SUMIF($H$5:$H$16,"Y",$F$5:$F$16))*('Emissions Factors'!$T$143*$F$22)/10^6,""),"")</f>
        <v>1.8913434728521659</v>
      </c>
      <c r="R202" s="180"/>
      <c r="S202" s="180"/>
      <c r="T202" s="496"/>
      <c r="U202" s="180">
        <f t="shared" si="59"/>
        <v>2.1190706995852744</v>
      </c>
      <c r="V202" s="180">
        <f t="shared" si="55"/>
        <v>0</v>
      </c>
      <c r="X202" s="430"/>
      <c r="Y202" s="478">
        <v>2022</v>
      </c>
      <c r="Z202" s="479">
        <f t="shared" si="56"/>
        <v>2.1190706995852744</v>
      </c>
      <c r="AA202" s="479">
        <f t="shared" si="56"/>
        <v>0</v>
      </c>
      <c r="AB202" s="430"/>
      <c r="AC202" s="479"/>
      <c r="AD202" s="479"/>
      <c r="AE202" s="430"/>
      <c r="AF202" s="479">
        <f t="shared" si="57"/>
        <v>2.1190706995852744</v>
      </c>
      <c r="AG202" s="479">
        <f t="shared" si="50"/>
        <v>0</v>
      </c>
      <c r="AH202" s="516"/>
      <c r="AJ202" s="480">
        <f t="shared" si="51"/>
        <v>0</v>
      </c>
      <c r="AK202" s="480" t="str">
        <f t="shared" si="52"/>
        <v/>
      </c>
    </row>
    <row r="203" spans="1:37" ht="15.6" x14ac:dyDescent="0.3">
      <c r="A203" s="152">
        <v>2023</v>
      </c>
      <c r="B203" s="178"/>
      <c r="C203" s="182"/>
      <c r="D203" s="183"/>
      <c r="E203" s="179">
        <f t="shared" si="53"/>
        <v>11.240410296192131</v>
      </c>
      <c r="F203" s="183">
        <f t="shared" si="60"/>
        <v>4.3506057601842203</v>
      </c>
      <c r="G203" s="247">
        <f t="shared" si="54"/>
        <v>0.47757173610522524</v>
      </c>
      <c r="H203" s="246"/>
      <c r="I203" s="417"/>
      <c r="J203" s="417"/>
      <c r="K203" s="182"/>
      <c r="L203" s="178"/>
      <c r="M203" s="182"/>
      <c r="N203" s="178"/>
      <c r="O203" s="495"/>
      <c r="P203" s="259">
        <f>IF(P$194="Y",IFERROR(E203*($F$8/SUMIF($H$5:$H$16,"Y",$F$5:$F$16))*$F$21*'Emissions Factors'!$B20,""),"")</f>
        <v>0.36935817499709717</v>
      </c>
      <c r="Q203" s="259">
        <f>IF($X$135="Y",IFERROR($E203*(SUM($F$7,$F$5,$F$6)/SUMIF($H$5:$H$16,"Y",$F$5:$F$16))*('Emissions Factors'!$T$143*$F$22)/10^6,""),"")</f>
        <v>3.0856429285875544</v>
      </c>
      <c r="R203" s="180"/>
      <c r="S203" s="180"/>
      <c r="T203" s="496"/>
      <c r="U203" s="180">
        <f t="shared" si="59"/>
        <v>3.4550011035846517</v>
      </c>
      <c r="V203" s="180">
        <f t="shared" si="55"/>
        <v>0</v>
      </c>
      <c r="X203" s="430"/>
      <c r="Y203" s="478">
        <v>2023</v>
      </c>
      <c r="Z203" s="479">
        <f t="shared" si="56"/>
        <v>3.4550011035846517</v>
      </c>
      <c r="AA203" s="479">
        <f t="shared" si="56"/>
        <v>0</v>
      </c>
      <c r="AB203" s="430"/>
      <c r="AC203" s="479"/>
      <c r="AD203" s="479"/>
      <c r="AE203" s="430"/>
      <c r="AF203" s="479">
        <f t="shared" si="57"/>
        <v>3.4550011035846517</v>
      </c>
      <c r="AG203" s="479">
        <f t="shared" si="50"/>
        <v>0</v>
      </c>
      <c r="AH203" s="516"/>
      <c r="AJ203" s="480">
        <f t="shared" si="51"/>
        <v>0</v>
      </c>
      <c r="AK203" s="480" t="str">
        <f t="shared" si="52"/>
        <v/>
      </c>
    </row>
    <row r="204" spans="1:37" ht="15.6" x14ac:dyDescent="0.3">
      <c r="A204" s="152">
        <v>2024</v>
      </c>
      <c r="B204" s="178"/>
      <c r="C204" s="182"/>
      <c r="D204" s="183"/>
      <c r="E204" s="179">
        <f t="shared" si="53"/>
        <v>16.107298893552144</v>
      </c>
      <c r="F204" s="183">
        <f t="shared" si="60"/>
        <v>4.8668885973600133</v>
      </c>
      <c r="G204" s="247">
        <f t="shared" si="54"/>
        <v>0.47281102862904734</v>
      </c>
      <c r="H204" s="246"/>
      <c r="I204" s="417"/>
      <c r="J204" s="417"/>
      <c r="K204" s="182"/>
      <c r="L204" s="178"/>
      <c r="M204" s="182"/>
      <c r="N204" s="178"/>
      <c r="O204" s="495"/>
      <c r="P204" s="259">
        <f>IF(P$194="Y",IFERROR(E204*($F$8/SUMIF($H$5:$H$16,"Y",$F$5:$F$16))*$F$21*'Emissions Factors'!$B21,""),"")</f>
        <v>0.52624523518428745</v>
      </c>
      <c r="Q204" s="259">
        <f>IF($X$135="Y",IFERROR($E204*(SUM($F$7,$F$5,$F$6)/SUMIF($H$5:$H$16,"Y",$F$5:$F$16))*('Emissions Factors'!$T$143*$F$22)/10^6,""),"")</f>
        <v>4.4216689266558591</v>
      </c>
      <c r="R204" s="180"/>
      <c r="S204" s="180"/>
      <c r="T204" s="496"/>
      <c r="U204" s="180">
        <f t="shared" si="59"/>
        <v>4.9479141618401465</v>
      </c>
      <c r="V204" s="180">
        <f t="shared" si="55"/>
        <v>0</v>
      </c>
      <c r="X204" s="430"/>
      <c r="Y204" s="478">
        <v>2024</v>
      </c>
      <c r="Z204" s="479">
        <f t="shared" si="56"/>
        <v>4.9479141618401465</v>
      </c>
      <c r="AA204" s="479">
        <f t="shared" si="56"/>
        <v>0</v>
      </c>
      <c r="AB204" s="430"/>
      <c r="AC204" s="479"/>
      <c r="AD204" s="479"/>
      <c r="AE204" s="430"/>
      <c r="AF204" s="479">
        <f>Z204-AC204</f>
        <v>4.9479141618401465</v>
      </c>
      <c r="AG204" s="479">
        <f t="shared" si="50"/>
        <v>0</v>
      </c>
      <c r="AH204" s="516"/>
      <c r="AJ204" s="480">
        <f t="shared" si="51"/>
        <v>0</v>
      </c>
      <c r="AK204" s="480" t="str">
        <f t="shared" si="52"/>
        <v/>
      </c>
    </row>
    <row r="205" spans="1:37" ht="15.6" x14ac:dyDescent="0.3">
      <c r="A205" s="152">
        <v>2025</v>
      </c>
      <c r="B205" s="178"/>
      <c r="C205" s="182"/>
      <c r="D205" s="183"/>
      <c r="E205" s="179">
        <f t="shared" si="53"/>
        <v>21.448430966842476</v>
      </c>
      <c r="F205" s="183">
        <f t="shared" si="60"/>
        <v>5.341132073290332</v>
      </c>
      <c r="G205" s="247">
        <f t="shared" si="54"/>
        <v>0.46882368362236948</v>
      </c>
      <c r="H205" s="246"/>
      <c r="I205" s="417"/>
      <c r="J205" s="417"/>
      <c r="K205" s="182"/>
      <c r="L205" s="178"/>
      <c r="M205" s="182"/>
      <c r="N205" s="178"/>
      <c r="O205" s="495"/>
      <c r="P205" s="259">
        <f>IF(P$194="Y",IFERROR(E205*($F$8/SUMIF($H$5:$H$16,"Y",$F$5:$F$16))*$F$21*'Emissions Factors'!$B22,""),"")</f>
        <v>0.69718216199724625</v>
      </c>
      <c r="Q205" s="259">
        <f>IF($X$135="Y",IFERROR($E205*(SUM($F$7,$F$5,$F$6)/SUMIF($H$5:$H$16,"Y",$F$5:$F$16))*('Emissions Factors'!$T$143*$F$22)/10^6,""),"")</f>
        <v>5.887881100261624</v>
      </c>
      <c r="R205" s="180"/>
      <c r="S205" s="180"/>
      <c r="T205" s="496"/>
      <c r="U205" s="180">
        <f t="shared" si="59"/>
        <v>6.5850632622588705</v>
      </c>
      <c r="V205" s="180">
        <f t="shared" si="55"/>
        <v>0</v>
      </c>
      <c r="X205" s="430"/>
      <c r="Y205" s="478">
        <v>2025</v>
      </c>
      <c r="Z205" s="479">
        <f t="shared" si="56"/>
        <v>6.5850632622588705</v>
      </c>
      <c r="AA205" s="479">
        <f t="shared" si="56"/>
        <v>0</v>
      </c>
      <c r="AB205" s="430"/>
      <c r="AC205" s="479"/>
      <c r="AD205" s="479"/>
      <c r="AE205" s="430"/>
      <c r="AF205" s="479">
        <f t="shared" si="57"/>
        <v>6.5850632622588705</v>
      </c>
      <c r="AG205" s="479">
        <f t="shared" si="50"/>
        <v>0</v>
      </c>
      <c r="AH205" s="516"/>
      <c r="AJ205" s="480">
        <f t="shared" si="51"/>
        <v>0</v>
      </c>
      <c r="AK205" s="480" t="str">
        <f t="shared" si="52"/>
        <v/>
      </c>
    </row>
    <row r="206" spans="1:37" ht="15.6" x14ac:dyDescent="0.3">
      <c r="A206" s="152">
        <v>2026</v>
      </c>
      <c r="B206" s="178"/>
      <c r="C206" s="182"/>
      <c r="D206" s="183"/>
      <c r="E206" s="179">
        <f t="shared" si="53"/>
        <v>27.218497290999508</v>
      </c>
      <c r="F206" s="183">
        <f t="shared" si="60"/>
        <v>5.7700663241570318</v>
      </c>
      <c r="G206" s="247">
        <f t="shared" si="54"/>
        <v>0.46536585914060757</v>
      </c>
      <c r="H206" s="246"/>
      <c r="I206" s="417"/>
      <c r="J206" s="417"/>
      <c r="K206" s="182"/>
      <c r="L206" s="178"/>
      <c r="M206" s="182"/>
      <c r="N206" s="178"/>
      <c r="O206" s="495"/>
      <c r="P206" s="259">
        <f>IF(P$194="Y",IFERROR(E206*($F$8/SUMIF($H$5:$H$16,"Y",$F$5:$F$16))*$F$21*'Emissions Factors'!$B23,""),"")</f>
        <v>0.87930227935643201</v>
      </c>
      <c r="Q206" s="259">
        <f>IF($X$135="Y",IFERROR($E206*(SUM($F$7,$F$5,$F$6)/SUMIF($H$5:$H$16,"Y",$F$5:$F$16))*('Emissions Factors'!$T$143*$F$22)/10^6,""),"")</f>
        <v>7.4718414612680046</v>
      </c>
      <c r="R206" s="180"/>
      <c r="S206" s="180"/>
      <c r="T206" s="496"/>
      <c r="U206" s="180">
        <f t="shared" si="59"/>
        <v>8.3511437406244369</v>
      </c>
      <c r="V206" s="180">
        <f t="shared" si="55"/>
        <v>0</v>
      </c>
      <c r="X206" s="430"/>
      <c r="Y206" s="478">
        <v>2026</v>
      </c>
      <c r="Z206" s="479">
        <f t="shared" si="56"/>
        <v>8.3511437406244369</v>
      </c>
      <c r="AA206" s="479">
        <f t="shared" si="56"/>
        <v>0</v>
      </c>
      <c r="AB206" s="430"/>
      <c r="AC206" s="479"/>
      <c r="AD206" s="479"/>
      <c r="AE206" s="430"/>
      <c r="AF206" s="479">
        <f t="shared" si="57"/>
        <v>8.3511437406244369</v>
      </c>
      <c r="AG206" s="479">
        <f t="shared" si="50"/>
        <v>0</v>
      </c>
      <c r="AH206" s="516"/>
      <c r="AJ206" s="480">
        <f t="shared" si="51"/>
        <v>0</v>
      </c>
      <c r="AK206" s="480" t="str">
        <f t="shared" si="52"/>
        <v/>
      </c>
    </row>
    <row r="207" spans="1:37" ht="15.6" x14ac:dyDescent="0.3">
      <c r="A207" s="152">
        <v>2027</v>
      </c>
      <c r="B207" s="178"/>
      <c r="C207" s="182"/>
      <c r="D207" s="183"/>
      <c r="E207" s="179">
        <f>IFERROR(IF($G$19="Y",$F$19,$AD93)*(SUMIF($H$5:$H$16,"Y",$F$5:$F$16)*(AL42-B42)),0)</f>
        <v>33.372785462929414</v>
      </c>
      <c r="F207" s="183">
        <f t="shared" si="60"/>
        <v>6.1542881719299061</v>
      </c>
      <c r="G207" s="247">
        <f t="shared" si="54"/>
        <v>0.46226101335262443</v>
      </c>
      <c r="H207" s="246"/>
      <c r="I207" s="417"/>
      <c r="J207" s="417"/>
      <c r="K207" s="182"/>
      <c r="L207" s="178"/>
      <c r="M207" s="182"/>
      <c r="N207" s="178"/>
      <c r="O207" s="495"/>
      <c r="P207" s="259">
        <f>IF(P$194="Y",IFERROR(E207*($F$8/SUMIF($H$5:$H$16,"Y",$F$5:$F$16))*$F$21*'Emissions Factors'!$B24,""),"")</f>
        <v>1.0721770245661388</v>
      </c>
      <c r="Q207" s="259">
        <f>IF($X$135="Y",IFERROR($E207*(SUM($F$7,$F$5,$F$6)/SUMIF($H$5:$H$16,"Y",$F$5:$F$16))*('Emissions Factors'!$T$143*$F$22)/10^6,""),"")</f>
        <v>9.1612758571493274</v>
      </c>
      <c r="R207" s="180"/>
      <c r="S207" s="180"/>
      <c r="T207" s="496"/>
      <c r="U207" s="180">
        <f t="shared" si="59"/>
        <v>10.233452881715467</v>
      </c>
      <c r="V207" s="180">
        <f t="shared" si="55"/>
        <v>0</v>
      </c>
      <c r="X207" s="430"/>
      <c r="Y207" s="478">
        <v>2027</v>
      </c>
      <c r="Z207" s="479">
        <f t="shared" si="56"/>
        <v>10.233452881715467</v>
      </c>
      <c r="AA207" s="479">
        <f t="shared" si="56"/>
        <v>0</v>
      </c>
      <c r="AB207" s="430"/>
      <c r="AC207" s="479"/>
      <c r="AD207" s="479"/>
      <c r="AE207" s="430"/>
      <c r="AF207" s="479">
        <f t="shared" si="57"/>
        <v>10.233452881715467</v>
      </c>
      <c r="AG207" s="479">
        <f t="shared" si="50"/>
        <v>0</v>
      </c>
      <c r="AH207" s="516"/>
      <c r="AJ207" s="480">
        <f t="shared" si="51"/>
        <v>0</v>
      </c>
      <c r="AK207" s="480" t="str">
        <f t="shared" si="52"/>
        <v/>
      </c>
    </row>
    <row r="208" spans="1:37" ht="15.6" x14ac:dyDescent="0.3">
      <c r="A208" s="152">
        <v>2028</v>
      </c>
      <c r="B208" s="178"/>
      <c r="C208" s="182"/>
      <c r="D208" s="183"/>
      <c r="E208" s="179">
        <f>IFERROR(IF($G$19="Y",$F$19,$AD94)*(SUMIF($H$5:$H$16,"Y",$F$5:$F$16)*(AL43-B43)),0)</f>
        <v>39.889717457887592</v>
      </c>
      <c r="F208" s="183">
        <f t="shared" si="60"/>
        <v>6.5169319949581777</v>
      </c>
      <c r="G208" s="247">
        <f t="shared" si="54"/>
        <v>0.45937033166034524</v>
      </c>
      <c r="H208" s="246"/>
      <c r="I208" s="417"/>
      <c r="J208" s="417"/>
      <c r="K208" s="182"/>
      <c r="L208" s="178"/>
      <c r="M208" s="182"/>
      <c r="N208" s="178"/>
      <c r="O208" s="495"/>
      <c r="P208" s="259">
        <f>IF(P$194="Y",IFERROR(E208*($F$8/SUMIF($H$5:$H$16,"Y",$F$5:$F$16))*$F$21*'Emissions Factors'!$B25,""),"")</f>
        <v>1.2745590303069381</v>
      </c>
      <c r="Q208" s="259">
        <f>IF($X$135="Y",IFERROR($E208*(SUM($F$7,$F$5,$F$6)/SUMIF($H$5:$H$16,"Y",$F$5:$F$16))*('Emissions Factors'!$T$143*$F$22)/10^6,""),"")</f>
        <v>10.950260831580456</v>
      </c>
      <c r="R208" s="180"/>
      <c r="S208" s="180"/>
      <c r="T208" s="496"/>
      <c r="U208" s="180">
        <f t="shared" si="59"/>
        <v>12.224819861887394</v>
      </c>
      <c r="V208" s="180">
        <f t="shared" si="55"/>
        <v>0</v>
      </c>
      <c r="X208" s="430"/>
      <c r="Y208" s="478">
        <v>2028</v>
      </c>
      <c r="Z208" s="479">
        <f t="shared" si="56"/>
        <v>12.224819861887394</v>
      </c>
      <c r="AA208" s="479">
        <f t="shared" si="56"/>
        <v>0</v>
      </c>
      <c r="AB208" s="430"/>
      <c r="AC208" s="479"/>
      <c r="AD208" s="479"/>
      <c r="AE208" s="430"/>
      <c r="AF208" s="479">
        <f t="shared" si="57"/>
        <v>12.224819861887394</v>
      </c>
      <c r="AG208" s="479">
        <f t="shared" si="50"/>
        <v>0</v>
      </c>
      <c r="AH208" s="516"/>
      <c r="AJ208" s="480">
        <f t="shared" si="51"/>
        <v>0</v>
      </c>
      <c r="AK208" s="480" t="str">
        <f t="shared" si="52"/>
        <v/>
      </c>
    </row>
    <row r="209" spans="1:37" ht="15.6" x14ac:dyDescent="0.3">
      <c r="A209" s="152">
        <v>2029</v>
      </c>
      <c r="B209" s="178"/>
      <c r="C209" s="182"/>
      <c r="D209" s="183"/>
      <c r="E209" s="179">
        <f t="shared" si="53"/>
        <v>46.753446525516061</v>
      </c>
      <c r="F209" s="183">
        <f t="shared" si="60"/>
        <v>6.8637290676284692</v>
      </c>
      <c r="G209" s="247">
        <f t="shared" si="54"/>
        <v>0.45659289206617104</v>
      </c>
      <c r="H209" s="246"/>
      <c r="I209" s="417"/>
      <c r="J209" s="417"/>
      <c r="K209" s="182"/>
      <c r="L209" s="178"/>
      <c r="M209" s="182"/>
      <c r="N209" s="178"/>
      <c r="O209" s="495"/>
      <c r="P209" s="259">
        <f>IF(P$194="Y",IFERROR(E209*($F$8/SUMIF($H$5:$H$16,"Y",$F$5:$F$16))*$F$21*'Emissions Factors'!$B26,""),"")</f>
        <v>1.4857941317042389</v>
      </c>
      <c r="Q209" s="259">
        <f>IF($X$135="Y",IFERROR($E209*(SUM($F$7,$F$5,$F$6)/SUMIF($H$5:$H$16,"Y",$F$5:$F$16))*('Emissions Factors'!$T$143*$F$22)/10^6,""),"")</f>
        <v>12.834446239691705</v>
      </c>
      <c r="R209" s="180"/>
      <c r="S209" s="180"/>
      <c r="T209" s="496"/>
      <c r="U209" s="180">
        <f t="shared" si="59"/>
        <v>14.320240371395943</v>
      </c>
      <c r="V209" s="180">
        <f t="shared" si="55"/>
        <v>0</v>
      </c>
      <c r="X209" s="430"/>
      <c r="Y209" s="478">
        <v>2029</v>
      </c>
      <c r="Z209" s="479">
        <f t="shared" si="56"/>
        <v>14.320240371395943</v>
      </c>
      <c r="AA209" s="479">
        <f t="shared" si="56"/>
        <v>0</v>
      </c>
      <c r="AB209" s="430"/>
      <c r="AC209" s="479"/>
      <c r="AD209" s="479"/>
      <c r="AE209" s="430"/>
      <c r="AF209" s="479">
        <f t="shared" si="57"/>
        <v>14.320240371395943</v>
      </c>
      <c r="AG209" s="479">
        <f t="shared" si="50"/>
        <v>0</v>
      </c>
      <c r="AH209" s="516"/>
      <c r="AJ209" s="480">
        <f t="shared" si="51"/>
        <v>0</v>
      </c>
      <c r="AK209" s="480" t="str">
        <f t="shared" si="52"/>
        <v/>
      </c>
    </row>
    <row r="210" spans="1:37" ht="15.6" x14ac:dyDescent="0.3">
      <c r="A210" s="152">
        <v>2030</v>
      </c>
      <c r="B210" s="178"/>
      <c r="C210" s="182"/>
      <c r="D210" s="183"/>
      <c r="E210" s="179">
        <f t="shared" si="53"/>
        <v>53.950037695497009</v>
      </c>
      <c r="F210" s="183">
        <f t="shared" si="60"/>
        <v>7.1965911699809482</v>
      </c>
      <c r="G210" s="247">
        <f t="shared" si="54"/>
        <v>0.45387408947708896</v>
      </c>
      <c r="H210" s="246"/>
      <c r="I210" s="417"/>
      <c r="J210" s="417"/>
      <c r="K210" s="182"/>
      <c r="L210" s="178"/>
      <c r="M210" s="182"/>
      <c r="N210" s="178"/>
      <c r="O210" s="495"/>
      <c r="P210" s="259">
        <f>IF(P$194="Y",IFERROR(E210*($F$8/SUMIF($H$5:$H$16,"Y",$F$5:$F$16))*$F$21*'Emissions Factors'!$B27,""),"")</f>
        <v>1.7056948660111333</v>
      </c>
      <c r="Q210" s="259">
        <f>IF($X$135="Y",IFERROR($E210*(SUM($F$7,$F$5,$F$6)/SUMIF($H$5:$H$16,"Y",$F$5:$F$16))*('Emissions Factors'!$T$143*$F$22)/10^6,""),"")</f>
        <v>14.810006745797963</v>
      </c>
      <c r="R210" s="180"/>
      <c r="S210" s="180"/>
      <c r="T210" s="496"/>
      <c r="U210" s="180">
        <f t="shared" si="59"/>
        <v>16.515701611809096</v>
      </c>
      <c r="V210" s="180">
        <f t="shared" si="55"/>
        <v>0</v>
      </c>
      <c r="X210" s="430"/>
      <c r="Y210" s="478">
        <v>2030</v>
      </c>
      <c r="Z210" s="479">
        <f t="shared" si="56"/>
        <v>16.515701611809096</v>
      </c>
      <c r="AA210" s="479">
        <f t="shared" si="56"/>
        <v>0</v>
      </c>
      <c r="AB210" s="430"/>
      <c r="AC210" s="479"/>
      <c r="AD210" s="479"/>
      <c r="AE210" s="430"/>
      <c r="AF210" s="479">
        <f t="shared" si="57"/>
        <v>16.515701611809096</v>
      </c>
      <c r="AG210" s="479">
        <f t="shared" si="50"/>
        <v>0</v>
      </c>
      <c r="AH210" s="516"/>
      <c r="AJ210" s="480">
        <f t="shared" si="51"/>
        <v>0</v>
      </c>
      <c r="AK210" s="480" t="str">
        <f t="shared" si="52"/>
        <v/>
      </c>
    </row>
    <row r="211" spans="1:37" ht="15.6" x14ac:dyDescent="0.3">
      <c r="A211" s="152">
        <v>2031</v>
      </c>
      <c r="B211" s="178"/>
      <c r="C211" s="182"/>
      <c r="D211" s="183"/>
      <c r="E211" s="179">
        <f t="shared" si="53"/>
        <v>61.458431224099186</v>
      </c>
      <c r="F211" s="183">
        <f t="shared" si="60"/>
        <v>7.508393528602177</v>
      </c>
      <c r="G211" s="247">
        <f t="shared" si="54"/>
        <v>0.45121023391946385</v>
      </c>
      <c r="H211" s="246"/>
      <c r="I211" s="417"/>
      <c r="J211" s="417"/>
      <c r="K211" s="182"/>
      <c r="L211" s="178"/>
      <c r="M211" s="182"/>
      <c r="N211" s="178"/>
      <c r="O211" s="495"/>
      <c r="P211" s="259">
        <f>IF(P$194="Y",IFERROR(E211*($F$8/SUMIF($H$5:$H$16,"Y",$F$5:$F$16))*$F$21*'Emissions Factors'!$B28,""),"")</f>
        <v>1.9322653557040637</v>
      </c>
      <c r="Q211" s="259">
        <f>IF($X$135="Y",IFERROR($E211*(SUM($F$7,$F$5,$F$6)/SUMIF($H$5:$H$16,"Y",$F$5:$F$16))*('Emissions Factors'!$T$143*$F$22)/10^6,""),"")</f>
        <v>16.871161168642516</v>
      </c>
      <c r="R211" s="180"/>
      <c r="S211" s="180"/>
      <c r="T211" s="496"/>
      <c r="U211" s="180">
        <f t="shared" si="59"/>
        <v>18.80342652434658</v>
      </c>
      <c r="V211" s="180">
        <f t="shared" si="55"/>
        <v>0</v>
      </c>
      <c r="X211" s="430"/>
      <c r="Y211" s="478">
        <v>2031</v>
      </c>
      <c r="Z211" s="479">
        <f t="shared" si="56"/>
        <v>18.80342652434658</v>
      </c>
      <c r="AA211" s="479">
        <f t="shared" si="56"/>
        <v>0</v>
      </c>
      <c r="AB211" s="430"/>
      <c r="AC211" s="479"/>
      <c r="AD211" s="479"/>
      <c r="AE211" s="430"/>
      <c r="AF211" s="479">
        <f t="shared" si="57"/>
        <v>18.80342652434658</v>
      </c>
      <c r="AG211" s="479">
        <f t="shared" si="50"/>
        <v>0</v>
      </c>
      <c r="AH211" s="516"/>
      <c r="AJ211" s="480">
        <f t="shared" si="51"/>
        <v>0</v>
      </c>
      <c r="AK211" s="480" t="str">
        <f t="shared" si="52"/>
        <v/>
      </c>
    </row>
    <row r="212" spans="1:37" ht="15.6" x14ac:dyDescent="0.3">
      <c r="A212" s="152">
        <v>2032</v>
      </c>
      <c r="B212" s="178"/>
      <c r="C212" s="182"/>
      <c r="D212" s="183"/>
      <c r="E212" s="179">
        <f t="shared" si="53"/>
        <v>69.224094804297891</v>
      </c>
      <c r="F212" s="183">
        <f t="shared" si="60"/>
        <v>7.7656635801987051</v>
      </c>
      <c r="G212" s="247">
        <f t="shared" si="54"/>
        <v>0.44861899464499599</v>
      </c>
      <c r="H212" s="246"/>
      <c r="I212" s="417"/>
      <c r="J212" s="417"/>
      <c r="K212" s="182"/>
      <c r="L212" s="178"/>
      <c r="M212" s="182"/>
      <c r="N212" s="178"/>
      <c r="O212" s="495"/>
      <c r="P212" s="259">
        <f>IF(P$194="Y",IFERROR(E212*($F$8/SUMIF($H$5:$H$16,"Y",$F$5:$F$16))*$F$21*'Emissions Factors'!$B29,""),"")</f>
        <v>2.1648595250697351</v>
      </c>
      <c r="Q212" s="259">
        <f>IF($X$135="Y",IFERROR($E212*(SUM($F$7,$F$5,$F$6)/SUMIF($H$5:$H$16,"Y",$F$5:$F$16))*('Emissions Factors'!$T$143*$F$22)/10^6,""),"")</f>
        <v>19.002939660762827</v>
      </c>
      <c r="R212" s="180"/>
      <c r="S212" s="180"/>
      <c r="T212" s="496"/>
      <c r="U212" s="180">
        <f t="shared" si="59"/>
        <v>21.167799185832564</v>
      </c>
      <c r="V212" s="180">
        <f t="shared" si="55"/>
        <v>0</v>
      </c>
      <c r="X212" s="430"/>
      <c r="Y212" s="478">
        <v>2032</v>
      </c>
      <c r="Z212" s="479">
        <f t="shared" si="56"/>
        <v>21.167799185832564</v>
      </c>
      <c r="AA212" s="479">
        <f t="shared" si="56"/>
        <v>0</v>
      </c>
      <c r="AB212" s="430"/>
      <c r="AC212" s="479"/>
      <c r="AD212" s="479"/>
      <c r="AE212" s="430"/>
      <c r="AF212" s="479">
        <f t="shared" si="57"/>
        <v>21.167799185832564</v>
      </c>
      <c r="AG212" s="479">
        <f t="shared" si="50"/>
        <v>0</v>
      </c>
      <c r="AH212" s="516"/>
      <c r="AJ212" s="480">
        <f t="shared" si="51"/>
        <v>0</v>
      </c>
      <c r="AK212" s="480" t="str">
        <f t="shared" si="52"/>
        <v/>
      </c>
    </row>
    <row r="213" spans="1:37" ht="15.6" x14ac:dyDescent="0.3">
      <c r="A213" s="152">
        <v>2033</v>
      </c>
      <c r="B213" s="178"/>
      <c r="C213" s="182"/>
      <c r="D213" s="183"/>
      <c r="E213" s="179">
        <f t="shared" si="53"/>
        <v>77.13758696201792</v>
      </c>
      <c r="F213" s="183">
        <f t="shared" si="60"/>
        <v>7.9134921577200288</v>
      </c>
      <c r="G213" s="247">
        <f t="shared" si="54"/>
        <v>0.4461202749791538</v>
      </c>
      <c r="H213" s="246"/>
      <c r="I213" s="417"/>
      <c r="J213" s="417"/>
      <c r="K213" s="182"/>
      <c r="L213" s="178"/>
      <c r="M213" s="182"/>
      <c r="N213" s="178"/>
      <c r="O213" s="495"/>
      <c r="P213" s="259">
        <f>IF(P$194="Y",IFERROR(E213*($F$8/SUMIF($H$5:$H$16,"Y",$F$5:$F$16))*$F$21*'Emissions Factors'!$B30,""),"")</f>
        <v>2.3995642338643419</v>
      </c>
      <c r="Q213" s="259">
        <f>IF($X$135="Y",IFERROR($E213*(SUM($F$7,$F$5,$F$6)/SUMIF($H$5:$H$16,"Y",$F$5:$F$16))*('Emissions Factors'!$T$143*$F$22)/10^6,""),"")</f>
        <v>21.175299074117508</v>
      </c>
      <c r="R213" s="180"/>
      <c r="S213" s="180"/>
      <c r="T213" s="496"/>
      <c r="U213" s="180">
        <f t="shared" si="59"/>
        <v>23.57486330798185</v>
      </c>
      <c r="V213" s="180">
        <f t="shared" si="55"/>
        <v>0</v>
      </c>
      <c r="X213" s="430"/>
      <c r="Y213" s="478">
        <v>2033</v>
      </c>
      <c r="Z213" s="479">
        <f t="shared" si="56"/>
        <v>23.57486330798185</v>
      </c>
      <c r="AA213" s="479">
        <f t="shared" si="56"/>
        <v>0</v>
      </c>
      <c r="AB213" s="430"/>
      <c r="AC213" s="479"/>
      <c r="AD213" s="479"/>
      <c r="AE213" s="430"/>
      <c r="AF213" s="479">
        <f t="shared" si="57"/>
        <v>23.57486330798185</v>
      </c>
      <c r="AG213" s="479">
        <f t="shared" si="50"/>
        <v>0</v>
      </c>
      <c r="AH213" s="516"/>
      <c r="AJ213" s="480">
        <f t="shared" si="51"/>
        <v>0</v>
      </c>
      <c r="AK213" s="480" t="str">
        <f t="shared" si="52"/>
        <v/>
      </c>
    </row>
    <row r="214" spans="1:37" ht="15.6" x14ac:dyDescent="0.3">
      <c r="A214" s="152">
        <v>2034</v>
      </c>
      <c r="B214" s="178"/>
      <c r="C214" s="182"/>
      <c r="D214" s="183"/>
      <c r="E214" s="179">
        <f t="shared" si="53"/>
        <v>85.064347813604329</v>
      </c>
      <c r="F214" s="183">
        <f t="shared" si="60"/>
        <v>7.9267608515864083</v>
      </c>
      <c r="G214" s="247">
        <f t="shared" si="54"/>
        <v>0.4437255138297056</v>
      </c>
      <c r="H214" s="246"/>
      <c r="I214" s="417"/>
      <c r="J214" s="417"/>
      <c r="K214" s="182"/>
      <c r="L214" s="178"/>
      <c r="M214" s="182"/>
      <c r="N214" s="178"/>
      <c r="O214" s="495"/>
      <c r="P214" s="259">
        <f>IF(P$194="Y",IFERROR(E214*($F$8/SUMIF($H$5:$H$16,"Y",$F$5:$F$16))*$F$21*'Emissions Factors'!$B31,""),"")</f>
        <v>2.6321537516753906</v>
      </c>
      <c r="Q214" s="259">
        <f>IF($X$135="Y",IFERROR($E214*(SUM($F$7,$F$5,$F$6)/SUMIF($H$5:$H$16,"Y",$F$5:$F$16))*('Emissions Factors'!$T$143*$F$22)/10^6,""),"")</f>
        <v>23.351300921362196</v>
      </c>
      <c r="R214" s="180"/>
      <c r="S214" s="180"/>
      <c r="T214" s="496"/>
      <c r="U214" s="180">
        <f t="shared" si="59"/>
        <v>25.983454673037585</v>
      </c>
      <c r="V214" s="180">
        <f t="shared" si="55"/>
        <v>0</v>
      </c>
      <c r="X214" s="430"/>
      <c r="Y214" s="478">
        <v>2034</v>
      </c>
      <c r="Z214" s="479">
        <f t="shared" si="56"/>
        <v>25.983454673037585</v>
      </c>
      <c r="AA214" s="479">
        <f t="shared" si="56"/>
        <v>0</v>
      </c>
      <c r="AB214" s="430"/>
      <c r="AC214" s="479"/>
      <c r="AD214" s="479"/>
      <c r="AE214" s="430"/>
      <c r="AF214" s="479">
        <f t="shared" si="57"/>
        <v>25.983454673037585</v>
      </c>
      <c r="AG214" s="479">
        <f t="shared" si="50"/>
        <v>0</v>
      </c>
      <c r="AH214" s="516"/>
      <c r="AJ214" s="480">
        <f t="shared" si="51"/>
        <v>0</v>
      </c>
      <c r="AK214" s="480" t="str">
        <f t="shared" si="52"/>
        <v/>
      </c>
    </row>
    <row r="215" spans="1:37" ht="15.6" x14ac:dyDescent="0.3">
      <c r="A215" s="152">
        <v>2035</v>
      </c>
      <c r="B215" s="178"/>
      <c r="C215" s="182"/>
      <c r="D215" s="183"/>
      <c r="E215" s="179">
        <f t="shared" si="53"/>
        <v>92.907090998179967</v>
      </c>
      <c r="F215" s="183">
        <f t="shared" si="60"/>
        <v>7.8427431845756388</v>
      </c>
      <c r="G215" s="247">
        <f t="shared" si="54"/>
        <v>0.44142129776842959</v>
      </c>
      <c r="H215" s="246"/>
      <c r="I215" s="417"/>
      <c r="J215" s="417"/>
      <c r="K215" s="182"/>
      <c r="L215" s="178"/>
      <c r="M215" s="182"/>
      <c r="N215" s="178"/>
      <c r="O215" s="495"/>
      <c r="P215" s="259">
        <f>IF(P$194="Y",IFERROR(E215*($F$8/SUMIF($H$5:$H$16,"Y",$F$5:$F$16))*$F$21*'Emissions Factors'!$B32,""),"")</f>
        <v>2.8592134178771142</v>
      </c>
      <c r="Q215" s="259">
        <f>IF($X$135="Y",IFERROR($E215*(SUM($F$7,$F$5,$F$6)/SUMIF($H$5:$H$16,"Y",$F$5:$F$16))*('Emissions Factors'!$T$143*$F$22)/10^6,""),"")</f>
        <v>25.504238795561694</v>
      </c>
      <c r="R215" s="180"/>
      <c r="S215" s="180"/>
      <c r="T215" s="496"/>
      <c r="U215" s="180">
        <f t="shared" si="59"/>
        <v>28.363452213438809</v>
      </c>
      <c r="V215" s="180">
        <f t="shared" si="55"/>
        <v>0</v>
      </c>
      <c r="X215" s="430"/>
      <c r="Y215" s="478">
        <v>2035</v>
      </c>
      <c r="Z215" s="479">
        <f t="shared" si="56"/>
        <v>28.363452213438809</v>
      </c>
      <c r="AA215" s="479">
        <f t="shared" si="56"/>
        <v>0</v>
      </c>
      <c r="AB215" s="430"/>
      <c r="AC215" s="479"/>
      <c r="AD215" s="479"/>
      <c r="AE215" s="430"/>
      <c r="AF215" s="479">
        <f t="shared" si="57"/>
        <v>28.363452213438809</v>
      </c>
      <c r="AG215" s="479">
        <f t="shared" si="50"/>
        <v>0</v>
      </c>
      <c r="AH215" s="516"/>
      <c r="AJ215" s="480">
        <f t="shared" si="51"/>
        <v>0</v>
      </c>
      <c r="AK215" s="480" t="str">
        <f t="shared" si="52"/>
        <v/>
      </c>
    </row>
    <row r="216" spans="1:37" ht="15.6" x14ac:dyDescent="0.3">
      <c r="A216" s="152">
        <v>2036</v>
      </c>
      <c r="B216" s="178"/>
      <c r="C216" s="182"/>
      <c r="D216" s="183"/>
      <c r="E216" s="179">
        <f t="shared" si="53"/>
        <v>100.6217407388298</v>
      </c>
      <c r="F216" s="183">
        <f t="shared" si="60"/>
        <v>7.7146497406498327</v>
      </c>
      <c r="G216" s="247">
        <f t="shared" si="54"/>
        <v>0.43917489730067455</v>
      </c>
      <c r="H216" s="246"/>
      <c r="I216" s="417"/>
      <c r="J216" s="417"/>
      <c r="K216" s="182"/>
      <c r="L216" s="178"/>
      <c r="M216" s="182"/>
      <c r="N216" s="178"/>
      <c r="O216" s="495"/>
      <c r="P216" s="259">
        <f>IF(P$194="Y",IFERROR(E216*($F$8/SUMIF($H$5:$H$16,"Y",$F$5:$F$16))*$F$21*'Emissions Factors'!$B33,""),"")</f>
        <v>3.0805914367544567</v>
      </c>
      <c r="Q216" s="259">
        <f>IF($X$135="Y",IFERROR($E216*(SUM($F$7,$F$5,$F$6)/SUMIF($H$5:$H$16,"Y",$F$5:$F$16))*('Emissions Factors'!$T$143*$F$22)/10^6,""),"")</f>
        <v>27.622013306589121</v>
      </c>
      <c r="R216" s="180"/>
      <c r="S216" s="180"/>
      <c r="T216" s="496"/>
      <c r="U216" s="180">
        <f t="shared" si="59"/>
        <v>30.702604743343578</v>
      </c>
      <c r="V216" s="180">
        <f t="shared" si="55"/>
        <v>0</v>
      </c>
      <c r="X216" s="430"/>
      <c r="Y216" s="478">
        <v>2036</v>
      </c>
      <c r="Z216" s="479">
        <f t="shared" si="56"/>
        <v>30.702604743343578</v>
      </c>
      <c r="AA216" s="479">
        <f t="shared" si="56"/>
        <v>0</v>
      </c>
      <c r="AB216" s="430"/>
      <c r="AC216" s="479"/>
      <c r="AD216" s="479"/>
      <c r="AE216" s="430"/>
      <c r="AF216" s="479">
        <f t="shared" si="57"/>
        <v>30.702604743343578</v>
      </c>
      <c r="AG216" s="479">
        <f t="shared" si="50"/>
        <v>0</v>
      </c>
      <c r="AH216" s="516"/>
      <c r="AJ216" s="480">
        <f t="shared" si="51"/>
        <v>0</v>
      </c>
      <c r="AK216" s="480" t="str">
        <f t="shared" si="52"/>
        <v/>
      </c>
    </row>
    <row r="217" spans="1:37" ht="15.6" x14ac:dyDescent="0.3">
      <c r="A217" s="152">
        <v>2037</v>
      </c>
      <c r="B217" s="178"/>
      <c r="C217" s="182"/>
      <c r="D217" s="183"/>
      <c r="E217" s="179">
        <f t="shared" si="53"/>
        <v>108.22240665915112</v>
      </c>
      <c r="F217" s="183">
        <f t="shared" si="60"/>
        <v>7.6006659203213189</v>
      </c>
      <c r="G217" s="247">
        <f t="shared" si="54"/>
        <v>0.43695065121151244</v>
      </c>
      <c r="H217" s="246"/>
      <c r="I217" s="417"/>
      <c r="J217" s="417"/>
      <c r="K217" s="182"/>
      <c r="L217" s="178"/>
      <c r="M217" s="182"/>
      <c r="N217" s="178"/>
      <c r="O217" s="495"/>
      <c r="P217" s="259">
        <f>IF(P$194="Y",IFERROR(E217*($F$8/SUMIF($H$5:$H$16,"Y",$F$5:$F$16))*$F$21*'Emissions Factors'!$B34,""),"")</f>
        <v>3.2956234137822835</v>
      </c>
      <c r="Q217" s="259">
        <f>IF($X$135="Y",IFERROR($E217*(SUM($F$7,$F$5,$F$6)/SUMIF($H$5:$H$16,"Y",$F$5:$F$16))*('Emissions Factors'!$T$143*$F$22)/10^6,""),"")</f>
        <v>29.7084977347902</v>
      </c>
      <c r="R217" s="180"/>
      <c r="S217" s="180"/>
      <c r="T217" s="496"/>
      <c r="U217" s="180">
        <f t="shared" si="59"/>
        <v>33.00412114857248</v>
      </c>
      <c r="V217" s="180">
        <f t="shared" si="55"/>
        <v>0</v>
      </c>
      <c r="X217" s="430"/>
      <c r="Y217" s="478">
        <v>2037</v>
      </c>
      <c r="Z217" s="479">
        <f t="shared" si="56"/>
        <v>33.00412114857248</v>
      </c>
      <c r="AA217" s="479">
        <f t="shared" si="56"/>
        <v>0</v>
      </c>
      <c r="AB217" s="430"/>
      <c r="AC217" s="479"/>
      <c r="AD217" s="479"/>
      <c r="AE217" s="430"/>
      <c r="AF217" s="479">
        <f t="shared" si="57"/>
        <v>33.00412114857248</v>
      </c>
      <c r="AG217" s="479">
        <f t="shared" si="50"/>
        <v>0</v>
      </c>
      <c r="AH217" s="516"/>
      <c r="AJ217" s="480">
        <f t="shared" si="51"/>
        <v>0</v>
      </c>
      <c r="AK217" s="480" t="str">
        <f t="shared" si="52"/>
        <v/>
      </c>
    </row>
    <row r="218" spans="1:37" ht="15.6" x14ac:dyDescent="0.3">
      <c r="A218" s="152">
        <v>2038</v>
      </c>
      <c r="B218" s="178"/>
      <c r="C218" s="182"/>
      <c r="D218" s="183"/>
      <c r="E218" s="179">
        <f t="shared" si="53"/>
        <v>115.74579199712744</v>
      </c>
      <c r="F218" s="183">
        <f t="shared" si="60"/>
        <v>7.5233853379763218</v>
      </c>
      <c r="G218" s="247">
        <f t="shared" si="54"/>
        <v>0.43472630901685966</v>
      </c>
      <c r="H218" s="246"/>
      <c r="I218" s="417"/>
      <c r="J218" s="417"/>
      <c r="K218" s="182"/>
      <c r="L218" s="178"/>
      <c r="M218" s="182"/>
      <c r="N218" s="178"/>
      <c r="O218" s="495"/>
      <c r="P218" s="259">
        <f>IF(P$194="Y",IFERROR(E218*($F$8/SUMIF($H$5:$H$16,"Y",$F$5:$F$16))*$F$21*'Emissions Factors'!$B35,""),"")</f>
        <v>3.5058513185808597</v>
      </c>
      <c r="Q218" s="259">
        <f>IF($X$135="Y",IFERROR($E218*(SUM($F$7,$F$5,$F$6)/SUMIF($H$5:$H$16,"Y",$F$5:$F$16))*('Emissions Factors'!$T$143*$F$22)/10^6,""),"")</f>
        <v>31.773767609772452</v>
      </c>
      <c r="R218" s="180"/>
      <c r="S218" s="180"/>
      <c r="T218" s="496"/>
      <c r="U218" s="180">
        <f t="shared" si="59"/>
        <v>35.279618928353315</v>
      </c>
      <c r="V218" s="180">
        <f t="shared" si="55"/>
        <v>0</v>
      </c>
      <c r="X218" s="430"/>
      <c r="Y218" s="478">
        <v>2038</v>
      </c>
      <c r="Z218" s="479">
        <f t="shared" si="56"/>
        <v>35.279618928353315</v>
      </c>
      <c r="AA218" s="479">
        <f t="shared" si="56"/>
        <v>0</v>
      </c>
      <c r="AB218" s="430"/>
      <c r="AC218" s="479"/>
      <c r="AD218" s="479"/>
      <c r="AE218" s="430"/>
      <c r="AF218" s="479">
        <f t="shared" si="57"/>
        <v>35.279618928353315</v>
      </c>
      <c r="AG218" s="479">
        <f t="shared" si="50"/>
        <v>0</v>
      </c>
      <c r="AH218" s="516"/>
      <c r="AJ218" s="480">
        <f t="shared" si="51"/>
        <v>0</v>
      </c>
      <c r="AK218" s="480" t="str">
        <f t="shared" si="52"/>
        <v/>
      </c>
    </row>
    <row r="219" spans="1:37" ht="15.6" x14ac:dyDescent="0.3">
      <c r="A219" s="152">
        <v>2039</v>
      </c>
      <c r="B219" s="178"/>
      <c r="C219" s="182"/>
      <c r="D219" s="183"/>
      <c r="E219" s="179">
        <f t="shared" si="53"/>
        <v>123.25658158420951</v>
      </c>
      <c r="F219" s="183">
        <f t="shared" si="60"/>
        <v>7.5107895870820727</v>
      </c>
      <c r="G219" s="247">
        <f t="shared" si="54"/>
        <v>0.43248477673354435</v>
      </c>
      <c r="H219" s="246"/>
      <c r="I219" s="417"/>
      <c r="J219" s="417"/>
      <c r="K219" s="182"/>
      <c r="L219" s="178"/>
      <c r="M219" s="182"/>
      <c r="N219" s="178"/>
      <c r="O219" s="495"/>
      <c r="P219" s="259">
        <f>IF(P$194="Y",IFERROR(E219*($F$8/SUMIF($H$5:$H$16,"Y",$F$5:$F$16))*$F$21*'Emissions Factors'!$B36,""),"")</f>
        <v>3.7131461712038911</v>
      </c>
      <c r="Q219" s="259">
        <f>IF($X$135="Y",IFERROR($E219*(SUM($F$7,$F$5,$F$6)/SUMIF($H$5:$H$16,"Y",$F$5:$F$16))*('Emissions Factors'!$T$143*$F$22)/10^6,""),"")</f>
        <v>33.835579782708869</v>
      </c>
      <c r="R219" s="180"/>
      <c r="S219" s="180"/>
      <c r="T219" s="496"/>
      <c r="U219" s="180">
        <f t="shared" si="59"/>
        <v>37.548725953912758</v>
      </c>
      <c r="V219" s="180">
        <f t="shared" si="55"/>
        <v>0</v>
      </c>
      <c r="X219" s="430"/>
      <c r="Y219" s="478">
        <v>2039</v>
      </c>
      <c r="Z219" s="479">
        <f t="shared" si="56"/>
        <v>37.548725953912758</v>
      </c>
      <c r="AA219" s="479">
        <f t="shared" si="56"/>
        <v>0</v>
      </c>
      <c r="AB219" s="430"/>
      <c r="AC219" s="479"/>
      <c r="AD219" s="479"/>
      <c r="AE219" s="430"/>
      <c r="AF219" s="479">
        <f t="shared" si="57"/>
        <v>37.548725953912758</v>
      </c>
      <c r="AG219" s="479">
        <f t="shared" si="50"/>
        <v>0</v>
      </c>
      <c r="AH219" s="516"/>
      <c r="AJ219" s="480">
        <f t="shared" si="51"/>
        <v>0</v>
      </c>
      <c r="AK219" s="480" t="str">
        <f t="shared" si="52"/>
        <v/>
      </c>
    </row>
    <row r="220" spans="1:37" ht="15.6" x14ac:dyDescent="0.3">
      <c r="A220" s="152">
        <v>2040</v>
      </c>
      <c r="B220" s="178"/>
      <c r="C220" s="182"/>
      <c r="D220" s="183"/>
      <c r="E220" s="179">
        <f t="shared" si="53"/>
        <v>130.80587987443437</v>
      </c>
      <c r="F220" s="183">
        <f t="shared" si="60"/>
        <v>7.5492982902248542</v>
      </c>
      <c r="G220" s="247">
        <f t="shared" si="54"/>
        <v>0.43021477568631555</v>
      </c>
      <c r="H220" s="246"/>
      <c r="I220" s="417"/>
      <c r="J220" s="417"/>
      <c r="K220" s="182"/>
      <c r="L220" s="178"/>
      <c r="M220" s="182"/>
      <c r="N220" s="178"/>
      <c r="O220" s="495"/>
      <c r="P220" s="259">
        <f>IF(P$194="Y",IFERROR(E220*($F$8/SUMIF($H$5:$H$16,"Y",$F$5:$F$16))*$F$21*'Emissions Factors'!$B37,""),"")</f>
        <v>3.9175612571939094</v>
      </c>
      <c r="Q220" s="259">
        <f>IF($X$135="Y",IFERROR($E220*(SUM($F$7,$F$5,$F$6)/SUMIF($H$5:$H$16,"Y",$F$5:$F$16))*('Emissions Factors'!$T$143*$F$22)/10^6,""),"")</f>
        <v>35.907963109581004</v>
      </c>
      <c r="R220" s="180"/>
      <c r="S220" s="180"/>
      <c r="T220" s="496"/>
      <c r="U220" s="180">
        <f t="shared" si="59"/>
        <v>39.825524366774914</v>
      </c>
      <c r="V220" s="180">
        <f t="shared" si="55"/>
        <v>0</v>
      </c>
      <c r="X220" s="430"/>
      <c r="Y220" s="478">
        <v>2040</v>
      </c>
      <c r="Z220" s="479">
        <f t="shared" si="56"/>
        <v>39.825524366774914</v>
      </c>
      <c r="AA220" s="479">
        <f t="shared" si="56"/>
        <v>0</v>
      </c>
      <c r="AB220" s="430"/>
      <c r="AC220" s="479"/>
      <c r="AD220" s="479"/>
      <c r="AE220" s="430"/>
      <c r="AF220" s="479">
        <f t="shared" si="57"/>
        <v>39.825524366774914</v>
      </c>
      <c r="AG220" s="479">
        <f t="shared" si="50"/>
        <v>0</v>
      </c>
      <c r="AH220" s="516"/>
      <c r="AJ220" s="480">
        <f t="shared" si="51"/>
        <v>0</v>
      </c>
      <c r="AK220" s="480" t="str">
        <f t="shared" si="52"/>
        <v/>
      </c>
    </row>
    <row r="221" spans="1:37" ht="15.6" x14ac:dyDescent="0.3">
      <c r="A221" s="152">
        <v>2041</v>
      </c>
      <c r="B221" s="178"/>
      <c r="C221" s="182"/>
      <c r="D221" s="183"/>
      <c r="E221" s="179">
        <f t="shared" si="53"/>
        <v>138.40077254505076</v>
      </c>
      <c r="F221" s="183">
        <f t="shared" si="60"/>
        <v>7.5948926706163888</v>
      </c>
      <c r="G221" s="247">
        <f t="shared" si="54"/>
        <v>0.42791529960182084</v>
      </c>
      <c r="H221" s="246"/>
      <c r="I221" s="417"/>
      <c r="J221" s="417"/>
      <c r="K221" s="182"/>
      <c r="L221" s="178"/>
      <c r="M221" s="182"/>
      <c r="N221" s="178"/>
      <c r="O221" s="495"/>
      <c r="P221" s="259">
        <f>IF(P$194="Y",IFERROR(E221*($F$8/SUMIF($H$5:$H$16,"Y",$F$5:$F$16))*$F$21*'Emissions Factors'!$B38,""),"")</f>
        <v>4.1239808244173188</v>
      </c>
      <c r="Q221" s="259">
        <f>IF($X$135="Y",IFERROR($E221*(SUM($F$7,$F$5,$F$6)/SUMIF($H$5:$H$16,"Y",$F$5:$F$16))*('Emissions Factors'!$T$143*$F$22)/10^6,""),"")</f>
        <v>37.992862703540482</v>
      </c>
      <c r="R221" s="180"/>
      <c r="S221" s="180"/>
      <c r="T221" s="496"/>
      <c r="U221" s="180">
        <f t="shared" si="59"/>
        <v>42.116843527957798</v>
      </c>
      <c r="V221" s="180">
        <f t="shared" si="55"/>
        <v>0</v>
      </c>
      <c r="X221" s="430"/>
      <c r="Y221" s="478">
        <v>2041</v>
      </c>
      <c r="Z221" s="479">
        <f t="shared" si="56"/>
        <v>42.116843527957798</v>
      </c>
      <c r="AA221" s="479">
        <f t="shared" si="56"/>
        <v>0</v>
      </c>
      <c r="AB221" s="430"/>
      <c r="AC221" s="479"/>
      <c r="AD221" s="479"/>
      <c r="AE221" s="430"/>
      <c r="AF221" s="479">
        <f t="shared" si="57"/>
        <v>42.116843527957798</v>
      </c>
      <c r="AG221" s="479">
        <f t="shared" si="50"/>
        <v>0</v>
      </c>
      <c r="AH221" s="516"/>
      <c r="AJ221" s="480">
        <f t="shared" si="51"/>
        <v>0</v>
      </c>
      <c r="AK221" s="480" t="str">
        <f t="shared" si="52"/>
        <v/>
      </c>
    </row>
    <row r="222" spans="1:37" ht="15.6" x14ac:dyDescent="0.3">
      <c r="A222" s="152">
        <v>2042</v>
      </c>
      <c r="B222" s="178"/>
      <c r="C222" s="182"/>
      <c r="D222" s="183"/>
      <c r="E222" s="179">
        <f t="shared" si="53"/>
        <v>146.03486012917034</v>
      </c>
      <c r="F222" s="183">
        <f t="shared" si="60"/>
        <v>7.6340875841195839</v>
      </c>
      <c r="G222" s="247">
        <f t="shared" si="54"/>
        <v>0.42558028051494418</v>
      </c>
      <c r="H222" s="246"/>
      <c r="I222" s="417"/>
      <c r="J222" s="417"/>
      <c r="K222" s="182"/>
      <c r="L222" s="178"/>
      <c r="M222" s="182"/>
      <c r="N222" s="178"/>
      <c r="O222" s="495"/>
      <c r="P222" s="259">
        <f>IF(P$194="Y",IFERROR(E222*($F$8/SUMIF($H$5:$H$16,"Y",$F$5:$F$16))*$F$21*'Emissions Factors'!$B39,""),"")</f>
        <v>4.3274283704869489</v>
      </c>
      <c r="Q222" s="259">
        <f>IF($X$135="Y",IFERROR($E222*(SUM($F$7,$F$5,$F$6)/SUMIF($H$5:$H$16,"Y",$F$5:$F$16))*('Emissions Factors'!$T$143*$F$22)/10^6,""),"")</f>
        <v>40.088521825355336</v>
      </c>
      <c r="R222" s="180"/>
      <c r="S222" s="180"/>
      <c r="T222" s="496"/>
      <c r="U222" s="180">
        <f t="shared" si="59"/>
        <v>44.415950195842285</v>
      </c>
      <c r="V222" s="180">
        <f t="shared" si="55"/>
        <v>0</v>
      </c>
      <c r="X222" s="430"/>
      <c r="Y222" s="478">
        <v>2042</v>
      </c>
      <c r="Z222" s="479">
        <f t="shared" si="56"/>
        <v>44.415950195842285</v>
      </c>
      <c r="AA222" s="479">
        <f t="shared" si="56"/>
        <v>0</v>
      </c>
      <c r="AB222" s="430"/>
      <c r="AC222" s="479"/>
      <c r="AD222" s="479"/>
      <c r="AE222" s="430"/>
      <c r="AF222" s="479">
        <f t="shared" si="57"/>
        <v>44.415950195842285</v>
      </c>
      <c r="AG222" s="479">
        <f t="shared" si="50"/>
        <v>0</v>
      </c>
      <c r="AH222" s="516"/>
      <c r="AJ222" s="480">
        <f t="shared" si="51"/>
        <v>0</v>
      </c>
      <c r="AK222" s="480" t="str">
        <f t="shared" si="52"/>
        <v/>
      </c>
    </row>
    <row r="223" spans="1:37" ht="15.6" x14ac:dyDescent="0.3">
      <c r="A223" s="152">
        <v>2043</v>
      </c>
      <c r="B223" s="178"/>
      <c r="C223" s="182"/>
      <c r="D223" s="183"/>
      <c r="E223" s="179">
        <f t="shared" si="53"/>
        <v>153.73258983136705</v>
      </c>
      <c r="F223" s="183">
        <f t="shared" si="60"/>
        <v>7.6977297021967104</v>
      </c>
      <c r="G223" s="247">
        <f t="shared" si="54"/>
        <v>0.42319504545017145</v>
      </c>
      <c r="H223" s="246"/>
      <c r="I223" s="417"/>
      <c r="J223" s="417"/>
      <c r="K223" s="182"/>
      <c r="L223" s="178"/>
      <c r="M223" s="182"/>
      <c r="N223" s="178"/>
      <c r="O223" s="495"/>
      <c r="P223" s="259">
        <f>IF(P$194="Y",IFERROR(E223*($F$8/SUMIF($H$5:$H$16,"Y",$F$5:$F$16))*$F$21*'Emissions Factors'!$B40,""),"")</f>
        <v>4.5301174544104494</v>
      </c>
      <c r="Q223" s="259">
        <f>IF($X$135="Y",IFERROR($E223*(SUM($F$7,$F$5,$F$6)/SUMIF($H$5:$H$16,"Y",$F$5:$F$16))*('Emissions Factors'!$T$143*$F$22)/10^6,""),"")</f>
        <v>42.201651559579382</v>
      </c>
      <c r="R223" s="180"/>
      <c r="S223" s="180"/>
      <c r="T223" s="496"/>
      <c r="U223" s="180">
        <f t="shared" si="59"/>
        <v>46.731769013989833</v>
      </c>
      <c r="V223" s="180">
        <f t="shared" si="55"/>
        <v>0</v>
      </c>
      <c r="X223" s="430"/>
      <c r="Y223" s="478">
        <v>2043</v>
      </c>
      <c r="Z223" s="479">
        <f t="shared" si="56"/>
        <v>46.731769013989833</v>
      </c>
      <c r="AA223" s="479">
        <f t="shared" si="56"/>
        <v>0</v>
      </c>
      <c r="AB223" s="430"/>
      <c r="AC223" s="479"/>
      <c r="AD223" s="479"/>
      <c r="AE223" s="430"/>
      <c r="AF223" s="479">
        <f t="shared" si="57"/>
        <v>46.731769013989833</v>
      </c>
      <c r="AG223" s="479">
        <f t="shared" si="50"/>
        <v>0</v>
      </c>
      <c r="AH223" s="516"/>
      <c r="AJ223" s="480">
        <f t="shared" si="51"/>
        <v>0</v>
      </c>
      <c r="AK223" s="480" t="str">
        <f t="shared" si="52"/>
        <v/>
      </c>
    </row>
    <row r="224" spans="1:37" ht="15.6" x14ac:dyDescent="0.3">
      <c r="A224" s="152">
        <v>2044</v>
      </c>
      <c r="B224" s="178"/>
      <c r="C224" s="182"/>
      <c r="D224" s="183"/>
      <c r="E224" s="179">
        <f t="shared" si="53"/>
        <v>161.52105287398365</v>
      </c>
      <c r="F224" s="183">
        <f t="shared" si="60"/>
        <v>7.7884630426165984</v>
      </c>
      <c r="G224" s="247">
        <f t="shared" si="54"/>
        <v>0.42074446086621653</v>
      </c>
      <c r="H224" s="246"/>
      <c r="I224" s="417"/>
      <c r="J224" s="417"/>
      <c r="K224" s="182"/>
      <c r="L224" s="178"/>
      <c r="M224" s="182"/>
      <c r="N224" s="178"/>
      <c r="O224" s="495"/>
      <c r="P224" s="259">
        <f>IF(P$194="Y",IFERROR(E224*($F$8/SUMIF($H$5:$H$16,"Y",$F$5:$F$16))*$F$21*'Emissions Factors'!$B41,""),"")</f>
        <v>4.7327639234479317</v>
      </c>
      <c r="Q224" s="259">
        <f>IF($X$135="Y",IFERROR($E224*(SUM($F$7,$F$5,$F$6)/SUMIF($H$5:$H$16,"Y",$F$5:$F$16))*('Emissions Factors'!$T$143*$F$22)/10^6,""),"")</f>
        <v>44.339688808998716</v>
      </c>
      <c r="R224" s="180"/>
      <c r="S224" s="180"/>
      <c r="T224" s="496"/>
      <c r="U224" s="180">
        <f t="shared" si="59"/>
        <v>49.072452732446649</v>
      </c>
      <c r="V224" s="180">
        <f t="shared" si="55"/>
        <v>0</v>
      </c>
      <c r="X224" s="430"/>
      <c r="Y224" s="478">
        <v>2044</v>
      </c>
      <c r="Z224" s="479">
        <f t="shared" si="56"/>
        <v>49.072452732446649</v>
      </c>
      <c r="AA224" s="479">
        <f t="shared" si="56"/>
        <v>0</v>
      </c>
      <c r="AB224" s="430"/>
      <c r="AC224" s="479"/>
      <c r="AD224" s="479"/>
      <c r="AE224" s="430"/>
      <c r="AF224" s="479">
        <f t="shared" si="57"/>
        <v>49.072452732446649</v>
      </c>
      <c r="AG224" s="479">
        <f t="shared" si="50"/>
        <v>0</v>
      </c>
      <c r="AH224" s="516"/>
      <c r="AJ224" s="480">
        <f t="shared" si="51"/>
        <v>0</v>
      </c>
      <c r="AK224" s="480" t="str">
        <f t="shared" si="52"/>
        <v/>
      </c>
    </row>
    <row r="225" spans="1:37" ht="15.6" x14ac:dyDescent="0.3">
      <c r="A225" s="152">
        <v>2045</v>
      </c>
      <c r="B225" s="178"/>
      <c r="C225" s="182"/>
      <c r="D225" s="183"/>
      <c r="E225" s="179">
        <f t="shared" si="53"/>
        <v>169.42352925335882</v>
      </c>
      <c r="F225" s="183">
        <f t="shared" si="60"/>
        <v>7.9024763793751731</v>
      </c>
      <c r="G225" s="247">
        <f t="shared" si="54"/>
        <v>0.41822288582485012</v>
      </c>
      <c r="H225" s="246"/>
      <c r="I225" s="417"/>
      <c r="J225" s="417"/>
      <c r="K225" s="182"/>
      <c r="L225" s="178"/>
      <c r="M225" s="182"/>
      <c r="N225" s="178"/>
      <c r="O225" s="495"/>
      <c r="P225" s="259">
        <f>IF(P$194="Y",IFERROR(E225*($F$8/SUMIF($H$5:$H$16,"Y",$F$5:$F$16))*$F$21*'Emissions Factors'!$B42,""),"")</f>
        <v>4.9349354448959231</v>
      </c>
      <c r="Q225" s="259">
        <f>IF($X$135="Y",IFERROR($E225*(SUM($F$7,$F$5,$F$6)/SUMIF($H$5:$H$16,"Y",$F$5:$F$16))*('Emissions Factors'!$T$143*$F$22)/10^6,""),"")</f>
        <v>46.509024243899134</v>
      </c>
      <c r="R225" s="180"/>
      <c r="S225" s="180"/>
      <c r="T225" s="496"/>
      <c r="U225" s="180">
        <f t="shared" si="59"/>
        <v>51.443959688795054</v>
      </c>
      <c r="V225" s="180">
        <f t="shared" si="55"/>
        <v>0</v>
      </c>
      <c r="X225" s="430"/>
      <c r="Y225" s="478">
        <v>2045</v>
      </c>
      <c r="Z225" s="479">
        <f t="shared" si="56"/>
        <v>51.443959688795054</v>
      </c>
      <c r="AA225" s="479">
        <f t="shared" si="56"/>
        <v>0</v>
      </c>
      <c r="AB225" s="430"/>
      <c r="AC225" s="479"/>
      <c r="AD225" s="479"/>
      <c r="AE225" s="430"/>
      <c r="AF225" s="479">
        <f t="shared" si="57"/>
        <v>51.443959688795054</v>
      </c>
      <c r="AG225" s="479">
        <f t="shared" si="50"/>
        <v>0</v>
      </c>
      <c r="AH225" s="516"/>
      <c r="AJ225" s="480">
        <f t="shared" si="51"/>
        <v>0</v>
      </c>
      <c r="AK225" s="480" t="str">
        <f t="shared" si="52"/>
        <v/>
      </c>
    </row>
    <row r="226" spans="1:37" ht="15.6" x14ac:dyDescent="0.3">
      <c r="A226" s="152">
        <v>2046</v>
      </c>
      <c r="B226" s="178"/>
      <c r="C226" s="182"/>
      <c r="D226" s="183"/>
      <c r="E226" s="179">
        <f t="shared" si="53"/>
        <v>177.45209832459551</v>
      </c>
      <c r="F226" s="183">
        <f t="shared" si="60"/>
        <v>8.0285690712366886</v>
      </c>
      <c r="G226" s="247">
        <f t="shared" si="54"/>
        <v>0.41563770189834182</v>
      </c>
      <c r="H226" s="246"/>
      <c r="I226" s="417"/>
      <c r="J226" s="417"/>
      <c r="K226" s="182"/>
      <c r="L226" s="178"/>
      <c r="M226" s="182"/>
      <c r="N226" s="178"/>
      <c r="O226" s="495"/>
      <c r="P226" s="259">
        <f>IF(P$194="Y",IFERROR(E226*($F$8/SUMIF($H$5:$H$16,"Y",$F$5:$F$16))*$F$21*'Emissions Factors'!$B43,""),"")</f>
        <v>5.1399099341778554</v>
      </c>
      <c r="Q226" s="259">
        <f>IF($X$135="Y",IFERROR($E226*(SUM($F$7,$F$5,$F$6)/SUMIF($H$5:$H$16,"Y",$F$5:$F$16))*('Emissions Factors'!$T$143*$F$22)/10^6,""),"")</f>
        <v>48.712973808776731</v>
      </c>
      <c r="R226" s="180"/>
      <c r="S226" s="180"/>
      <c r="T226" s="496"/>
      <c r="U226" s="180">
        <f t="shared" si="59"/>
        <v>53.852883742954589</v>
      </c>
      <c r="V226" s="180">
        <f t="shared" si="55"/>
        <v>0</v>
      </c>
      <c r="X226" s="430"/>
      <c r="Y226" s="478">
        <v>2046</v>
      </c>
      <c r="Z226" s="479">
        <f t="shared" si="56"/>
        <v>53.852883742954589</v>
      </c>
      <c r="AA226" s="479">
        <f t="shared" si="56"/>
        <v>0</v>
      </c>
      <c r="AB226" s="430"/>
      <c r="AC226" s="479"/>
      <c r="AD226" s="479"/>
      <c r="AE226" s="430"/>
      <c r="AF226" s="479">
        <f t="shared" si="57"/>
        <v>53.852883742954589</v>
      </c>
      <c r="AG226" s="479">
        <f t="shared" si="50"/>
        <v>0</v>
      </c>
      <c r="AH226" s="516"/>
      <c r="AJ226" s="480">
        <f t="shared" si="51"/>
        <v>0</v>
      </c>
      <c r="AK226" s="480" t="str">
        <f t="shared" si="52"/>
        <v/>
      </c>
    </row>
    <row r="227" spans="1:37" ht="15.6" x14ac:dyDescent="0.3">
      <c r="A227" s="152">
        <v>2047</v>
      </c>
      <c r="B227" s="178"/>
      <c r="C227" s="182"/>
      <c r="D227" s="183"/>
      <c r="E227" s="179">
        <f t="shared" si="53"/>
        <v>185.61653468678549</v>
      </c>
      <c r="F227" s="183">
        <f t="shared" si="60"/>
        <v>8.1644363621899743</v>
      </c>
      <c r="G227" s="247">
        <f t="shared" si="54"/>
        <v>0.41299938475130321</v>
      </c>
      <c r="H227" s="246"/>
      <c r="I227" s="417"/>
      <c r="J227" s="417"/>
      <c r="K227" s="182"/>
      <c r="L227" s="178"/>
      <c r="M227" s="182"/>
      <c r="N227" s="178"/>
      <c r="O227" s="495"/>
      <c r="P227" s="259">
        <f>IF(P$194="Y",IFERROR(E227*($F$8/SUMIF($H$5:$H$16,"Y",$F$5:$F$16))*$F$21*'Emissions Factors'!$B44,""),"")</f>
        <v>5.3448015400126989</v>
      </c>
      <c r="Q227" s="259">
        <f>IF($X$135="Y",IFERROR($E227*(SUM($F$7,$F$5,$F$6)/SUMIF($H$5:$H$16,"Y",$F$5:$F$16))*('Emissions Factors'!$T$143*$F$22)/10^6,""),"")</f>
        <v>50.954220761784214</v>
      </c>
      <c r="R227" s="180"/>
      <c r="S227" s="180"/>
      <c r="T227" s="496"/>
      <c r="U227" s="180">
        <f t="shared" si="59"/>
        <v>56.29902230179691</v>
      </c>
      <c r="V227" s="180">
        <f t="shared" si="55"/>
        <v>0</v>
      </c>
      <c r="X227" s="430"/>
      <c r="Y227" s="478">
        <v>2047</v>
      </c>
      <c r="Z227" s="479">
        <f t="shared" si="56"/>
        <v>56.29902230179691</v>
      </c>
      <c r="AA227" s="479">
        <f t="shared" si="56"/>
        <v>0</v>
      </c>
      <c r="AB227" s="430"/>
      <c r="AC227" s="479"/>
      <c r="AD227" s="479"/>
      <c r="AE227" s="430"/>
      <c r="AF227" s="479">
        <f t="shared" si="57"/>
        <v>56.29902230179691</v>
      </c>
      <c r="AG227" s="479">
        <f t="shared" si="50"/>
        <v>0</v>
      </c>
      <c r="AH227" s="516"/>
      <c r="AJ227" s="480">
        <f t="shared" si="51"/>
        <v>0</v>
      </c>
      <c r="AK227" s="480" t="str">
        <f t="shared" si="52"/>
        <v/>
      </c>
    </row>
    <row r="228" spans="1:37" ht="15.6" x14ac:dyDescent="0.3">
      <c r="A228" s="152">
        <v>2048</v>
      </c>
      <c r="B228" s="178"/>
      <c r="C228" s="182"/>
      <c r="D228" s="183"/>
      <c r="E228" s="179">
        <f t="shared" si="53"/>
        <v>193.9336635692398</v>
      </c>
      <c r="F228" s="183">
        <f t="shared" si="60"/>
        <v>8.3171288824543126</v>
      </c>
      <c r="G228" s="247">
        <f t="shared" si="54"/>
        <v>0.41031214725035359</v>
      </c>
      <c r="H228" s="246"/>
      <c r="I228" s="417"/>
      <c r="J228" s="417"/>
      <c r="K228" s="182"/>
      <c r="L228" s="178"/>
      <c r="M228" s="182"/>
      <c r="N228" s="178"/>
      <c r="O228" s="495"/>
      <c r="P228" s="259">
        <f>IF(P$194="Y",IFERROR(E228*($F$8/SUMIF($H$5:$H$16,"Y",$F$5:$F$16))*$F$21*'Emissions Factors'!$B45,""),"")</f>
        <v>5.5509693362633037</v>
      </c>
      <c r="Q228" s="259">
        <f>IF($X$135="Y",IFERROR($E228*(SUM($F$7,$F$5,$F$6)/SUMIF($H$5:$H$16,"Y",$F$5:$F$16))*('Emissions Factors'!$T$143*$F$22)/10^6,""),"")</f>
        <v>53.237383853347744</v>
      </c>
      <c r="R228" s="180"/>
      <c r="S228" s="180"/>
      <c r="T228" s="496"/>
      <c r="U228" s="180">
        <f t="shared" si="59"/>
        <v>58.788353189611044</v>
      </c>
      <c r="V228" s="180">
        <f t="shared" si="55"/>
        <v>0</v>
      </c>
      <c r="X228" s="430"/>
      <c r="Y228" s="478">
        <v>2048</v>
      </c>
      <c r="Z228" s="479">
        <f t="shared" si="56"/>
        <v>58.788353189611044</v>
      </c>
      <c r="AA228" s="479">
        <f t="shared" si="56"/>
        <v>0</v>
      </c>
      <c r="AB228" s="430"/>
      <c r="AC228" s="479"/>
      <c r="AD228" s="479"/>
      <c r="AE228" s="430"/>
      <c r="AF228" s="479">
        <f t="shared" si="57"/>
        <v>58.788353189611044</v>
      </c>
      <c r="AG228" s="479">
        <f t="shared" si="50"/>
        <v>0</v>
      </c>
      <c r="AH228" s="516"/>
      <c r="AJ228" s="480">
        <f t="shared" si="51"/>
        <v>0</v>
      </c>
      <c r="AK228" s="480" t="str">
        <f t="shared" si="52"/>
        <v/>
      </c>
    </row>
    <row r="229" spans="1:37" ht="15.6" x14ac:dyDescent="0.3">
      <c r="A229" s="152">
        <v>2049</v>
      </c>
      <c r="B229" s="178"/>
      <c r="C229" s="182"/>
      <c r="D229" s="183"/>
      <c r="E229" s="179">
        <f t="shared" si="53"/>
        <v>202.42083022780798</v>
      </c>
      <c r="F229" s="183">
        <f t="shared" si="60"/>
        <v>8.4871666585681851</v>
      </c>
      <c r="G229" s="247">
        <f t="shared" si="54"/>
        <v>0.4075815181992144</v>
      </c>
      <c r="H229" s="246"/>
      <c r="I229" s="417"/>
      <c r="J229" s="417"/>
      <c r="K229" s="182"/>
      <c r="L229" s="178"/>
      <c r="M229" s="182"/>
      <c r="N229" s="178"/>
      <c r="O229" s="495"/>
      <c r="P229" s="259">
        <f>IF(P$194="Y",IFERROR(E229*($F$8/SUMIF($H$5:$H$16,"Y",$F$5:$F$16))*$F$21*'Emissions Factors'!$B46,""),"")</f>
        <v>5.7640339604154782</v>
      </c>
      <c r="Q229" s="259">
        <f>IF($X$135="Y",IFERROR($E229*(SUM($F$7,$F$5,$F$6)/SUMIF($H$5:$H$16,"Y",$F$5:$F$16))*('Emissions Factors'!$T$143*$F$22)/10^6,""),"")</f>
        <v>55.567224588131829</v>
      </c>
      <c r="R229" s="180"/>
      <c r="S229" s="180"/>
      <c r="T229" s="496"/>
      <c r="U229" s="180">
        <f t="shared" si="59"/>
        <v>61.331258548547311</v>
      </c>
      <c r="V229" s="180">
        <f t="shared" si="55"/>
        <v>0</v>
      </c>
      <c r="X229" s="430"/>
      <c r="Y229" s="478">
        <v>2049</v>
      </c>
      <c r="Z229" s="479">
        <f t="shared" si="56"/>
        <v>61.331258548547311</v>
      </c>
      <c r="AA229" s="479">
        <f t="shared" si="56"/>
        <v>0</v>
      </c>
      <c r="AB229" s="430"/>
      <c r="AC229" s="479"/>
      <c r="AD229" s="479"/>
      <c r="AE229" s="430"/>
      <c r="AF229" s="479">
        <f t="shared" si="57"/>
        <v>61.331258548547311</v>
      </c>
      <c r="AG229" s="479">
        <f t="shared" si="50"/>
        <v>0</v>
      </c>
      <c r="AH229" s="516"/>
      <c r="AJ229" s="480">
        <f t="shared" si="51"/>
        <v>0</v>
      </c>
      <c r="AK229" s="480" t="str">
        <f t="shared" si="52"/>
        <v/>
      </c>
    </row>
    <row r="230" spans="1:37" ht="15.6" x14ac:dyDescent="0.3">
      <c r="A230" s="152">
        <v>2050</v>
      </c>
      <c r="B230" s="178"/>
      <c r="C230" s="182"/>
      <c r="D230" s="183"/>
      <c r="E230" s="179">
        <f t="shared" si="53"/>
        <v>211.09105283935241</v>
      </c>
      <c r="F230" s="183">
        <f t="shared" si="60"/>
        <v>8.6702226115444319</v>
      </c>
      <c r="G230" s="247">
        <f t="shared" si="54"/>
        <v>0.40481574123991904</v>
      </c>
      <c r="H230" s="246"/>
      <c r="I230" s="417"/>
      <c r="J230" s="417"/>
      <c r="K230" s="182"/>
      <c r="L230" s="178"/>
      <c r="M230" s="182"/>
      <c r="N230" s="178"/>
      <c r="O230" s="495"/>
      <c r="P230" s="259">
        <f>IF(P$194="Y",IFERROR(E230*($F$8/SUMIF($H$5:$H$16,"Y",$F$5:$F$16))*$F$21*'Emissions Factors'!$B47,""),"")</f>
        <v>5.990251758989281</v>
      </c>
      <c r="Q230" s="259">
        <f>IF($X$135="Y",IFERROR($E230*(SUM($F$7,$F$5,$F$6)/SUMIF($H$5:$H$16,"Y",$F$5:$F$16))*('Emissions Factors'!$T$143*$F$22)/10^6,""),"")</f>
        <v>57.947316629759094</v>
      </c>
      <c r="R230" s="180"/>
      <c r="S230" s="180"/>
      <c r="T230" s="496"/>
      <c r="U230" s="180">
        <f t="shared" si="59"/>
        <v>63.937568388748375</v>
      </c>
      <c r="V230" s="180">
        <f t="shared" si="55"/>
        <v>0</v>
      </c>
      <c r="X230" s="430"/>
      <c r="Y230" s="478">
        <v>2050</v>
      </c>
      <c r="Z230" s="479">
        <f t="shared" si="56"/>
        <v>63.937568388748375</v>
      </c>
      <c r="AA230" s="479">
        <f t="shared" si="56"/>
        <v>0</v>
      </c>
      <c r="AB230" s="430"/>
      <c r="AC230" s="479"/>
      <c r="AD230" s="479"/>
      <c r="AE230" s="430"/>
      <c r="AF230" s="479">
        <f t="shared" si="57"/>
        <v>63.937568388748375</v>
      </c>
      <c r="AG230" s="479">
        <f t="shared" si="50"/>
        <v>0</v>
      </c>
      <c r="AH230" s="516"/>
      <c r="AJ230" s="480">
        <f t="shared" si="51"/>
        <v>0</v>
      </c>
      <c r="AK230" s="480" t="str">
        <f t="shared" si="52"/>
        <v/>
      </c>
    </row>
    <row r="231" spans="1:37" ht="15.6" x14ac:dyDescent="0.3">
      <c r="A231" s="152">
        <v>2051</v>
      </c>
      <c r="B231" s="178"/>
      <c r="C231" s="182"/>
      <c r="D231" s="183"/>
      <c r="E231" s="179">
        <f t="shared" si="53"/>
        <v>219.95078118740702</v>
      </c>
      <c r="F231" s="183">
        <f t="shared" si="60"/>
        <v>8.8597283480546025</v>
      </c>
      <c r="G231" s="247">
        <f t="shared" si="54"/>
        <v>0.40202411891704531</v>
      </c>
      <c r="H231" s="246"/>
      <c r="I231" s="417"/>
      <c r="J231" s="417"/>
      <c r="K231" s="182"/>
      <c r="L231" s="178"/>
      <c r="M231" s="182"/>
      <c r="N231" s="178"/>
      <c r="O231" s="495"/>
      <c r="P231" s="259">
        <f>IF(P$194="Y",IFERROR(E231*($F$8/SUMIF($H$5:$H$16,"Y",$F$5:$F$16))*$F$21*'Emissions Factors'!$B48,""),"")</f>
        <v>6.2178132959392212</v>
      </c>
      <c r="Q231" s="259">
        <f>IF($X$135="Y",IFERROR($E231*(SUM($F$7,$F$5,$F$6)/SUMIF($H$5:$H$16,"Y",$F$5:$F$16))*('Emissions Factors'!$T$143*$F$22)/10^6,""),"")</f>
        <v>60.379430530053511</v>
      </c>
      <c r="R231" s="180"/>
      <c r="S231" s="180"/>
      <c r="T231" s="496"/>
      <c r="U231" s="180">
        <f t="shared" si="59"/>
        <v>66.597243825992734</v>
      </c>
      <c r="V231" s="180">
        <f t="shared" si="55"/>
        <v>0</v>
      </c>
      <c r="Y231" s="478">
        <v>2051</v>
      </c>
      <c r="Z231" s="479">
        <f t="shared" si="56"/>
        <v>66.597243825992734</v>
      </c>
      <c r="AA231" s="479">
        <f t="shared" si="56"/>
        <v>0</v>
      </c>
      <c r="AB231" s="430"/>
      <c r="AC231" s="479"/>
      <c r="AD231" s="479"/>
      <c r="AE231" s="430"/>
      <c r="AF231" s="479">
        <f t="shared" si="57"/>
        <v>66.597243825992734</v>
      </c>
      <c r="AG231" s="479">
        <f t="shared" si="50"/>
        <v>0</v>
      </c>
      <c r="AH231" s="516"/>
      <c r="AJ231" s="480">
        <f t="shared" si="51"/>
        <v>0</v>
      </c>
      <c r="AK231" s="480" t="str">
        <f t="shared" si="52"/>
        <v/>
      </c>
    </row>
    <row r="232" spans="1:37" ht="15.6" x14ac:dyDescent="0.3">
      <c r="A232" s="152">
        <v>2052</v>
      </c>
      <c r="B232" s="178"/>
      <c r="C232" s="182"/>
      <c r="D232" s="183"/>
      <c r="E232" s="179">
        <f t="shared" si="53"/>
        <v>229.00155323367085</v>
      </c>
      <c r="F232" s="183">
        <f t="shared" si="60"/>
        <v>9.0507720462638304</v>
      </c>
      <c r="G232" s="247">
        <f t="shared" si="54"/>
        <v>0.39921938884654307</v>
      </c>
      <c r="H232" s="246"/>
      <c r="I232" s="417"/>
      <c r="J232" s="417"/>
      <c r="K232" s="182"/>
      <c r="L232" s="178"/>
      <c r="M232" s="182"/>
      <c r="N232" s="178"/>
      <c r="O232" s="495"/>
      <c r="P232" s="259">
        <f>IF(P$194="Y",IFERROR(E232*($F$8/SUMIF($H$5:$H$16,"Y",$F$5:$F$16))*$F$21*'Emissions Factors'!$B49,""),"")</f>
        <v>6.4497657488302185</v>
      </c>
      <c r="Q232" s="259">
        <f>IF($X$135="Y",IFERROR($E232*(SUM($F$7,$F$5,$F$6)/SUMIF($H$5:$H$16,"Y",$F$5:$F$16))*('Emissions Factors'!$T$143*$F$22)/10^6,""),"")</f>
        <v>62.863988480066496</v>
      </c>
      <c r="R232" s="180"/>
      <c r="S232" s="180"/>
      <c r="T232" s="496"/>
      <c r="U232" s="180">
        <f t="shared" si="59"/>
        <v>69.313754228896713</v>
      </c>
      <c r="V232" s="180">
        <f t="shared" si="55"/>
        <v>0</v>
      </c>
      <c r="Y232" s="478">
        <v>2052</v>
      </c>
      <c r="Z232" s="479">
        <f t="shared" si="56"/>
        <v>69.313754228896713</v>
      </c>
      <c r="AA232" s="479">
        <f t="shared" si="56"/>
        <v>0</v>
      </c>
      <c r="AB232" s="430"/>
      <c r="AC232" s="479"/>
      <c r="AD232" s="479"/>
      <c r="AE232" s="430"/>
      <c r="AF232" s="479">
        <f t="shared" si="57"/>
        <v>69.313754228896713</v>
      </c>
      <c r="AG232" s="479">
        <f t="shared" si="50"/>
        <v>0</v>
      </c>
      <c r="AH232" s="516"/>
      <c r="AJ232" s="480">
        <f t="shared" si="51"/>
        <v>0</v>
      </c>
      <c r="AK232" s="480" t="str">
        <f t="shared" si="52"/>
        <v/>
      </c>
    </row>
    <row r="233" spans="1:37" ht="15.6" x14ac:dyDescent="0.3">
      <c r="A233" s="152">
        <v>2053</v>
      </c>
      <c r="B233" s="178"/>
      <c r="C233" s="182"/>
      <c r="D233" s="183"/>
      <c r="E233" s="179">
        <f t="shared" si="53"/>
        <v>238.24479581065418</v>
      </c>
      <c r="F233" s="183">
        <f t="shared" si="60"/>
        <v>9.2432425769833344</v>
      </c>
      <c r="G233" s="247">
        <f t="shared" si="54"/>
        <v>0.39641782115481661</v>
      </c>
      <c r="H233" s="246"/>
      <c r="I233" s="417"/>
      <c r="J233" s="417"/>
      <c r="K233" s="182"/>
      <c r="L233" s="178"/>
      <c r="M233" s="182"/>
      <c r="N233" s="178"/>
      <c r="O233" s="495"/>
      <c r="P233" s="259">
        <f>IF(P$194="Y",IFERROR(E233*($F$8/SUMIF($H$5:$H$16,"Y",$F$5:$F$16))*$F$21*'Emissions Factors'!$B50,""),"")</f>
        <v>6.6847082639545441</v>
      </c>
      <c r="Q233" s="259">
        <f>IF($X$135="Y",IFERROR($E233*(SUM($F$7,$F$5,$F$6)/SUMIF($H$5:$H$16,"Y",$F$5:$F$16))*('Emissions Factors'!$T$143*$F$22)/10^6,""),"")</f>
        <v>65.401382164401141</v>
      </c>
      <c r="R233" s="180"/>
      <c r="S233" s="180"/>
      <c r="T233" s="496"/>
      <c r="U233" s="180">
        <f t="shared" si="59"/>
        <v>72.086090428355689</v>
      </c>
      <c r="V233" s="180">
        <f t="shared" si="55"/>
        <v>0</v>
      </c>
      <c r="Y233" s="478">
        <v>2053</v>
      </c>
      <c r="Z233" s="479">
        <f t="shared" si="56"/>
        <v>72.086090428355689</v>
      </c>
      <c r="AA233" s="479">
        <f t="shared" si="56"/>
        <v>0</v>
      </c>
      <c r="AB233" s="430"/>
      <c r="AC233" s="479"/>
      <c r="AD233" s="479"/>
      <c r="AE233" s="430"/>
      <c r="AF233" s="479">
        <f t="shared" si="57"/>
        <v>72.086090428355689</v>
      </c>
      <c r="AG233" s="479">
        <f t="shared" si="50"/>
        <v>0</v>
      </c>
      <c r="AH233" s="516"/>
      <c r="AJ233" s="480">
        <f t="shared" si="51"/>
        <v>0</v>
      </c>
      <c r="AK233" s="480" t="str">
        <f t="shared" si="52"/>
        <v/>
      </c>
    </row>
    <row r="234" spans="1:37" ht="15.6" x14ac:dyDescent="0.3">
      <c r="A234" s="152">
        <v>2054</v>
      </c>
      <c r="B234" s="178"/>
      <c r="C234" s="182"/>
      <c r="D234" s="183"/>
      <c r="E234" s="179">
        <f t="shared" si="53"/>
        <v>247.67918268174324</v>
      </c>
      <c r="F234" s="183">
        <f t="shared" si="60"/>
        <v>9.4343868710890604</v>
      </c>
      <c r="G234" s="247">
        <f t="shared" si="54"/>
        <v>0.39363589725379877</v>
      </c>
      <c r="H234" s="246"/>
      <c r="I234" s="417"/>
      <c r="J234" s="417"/>
      <c r="K234" s="182"/>
      <c r="L234" s="178"/>
      <c r="M234" s="182"/>
      <c r="N234" s="178"/>
      <c r="O234" s="495"/>
      <c r="P234" s="259">
        <f>IF(P$194="Y",IFERROR(E234*($F$8/SUMIF($H$5:$H$16,"Y",$F$5:$F$16))*$F$21*'Emissions Factors'!$B51,""),"")</f>
        <v>6.922454311860804</v>
      </c>
      <c r="Q234" s="259">
        <f>IF($X$135="Y",IFERROR($E234*(SUM($F$7,$F$5,$F$6)/SUMIF($H$5:$H$16,"Y",$F$5:$F$16))*('Emissions Factors'!$T$143*$F$22)/10^6,""),"")</f>
        <v>67.991247513373068</v>
      </c>
      <c r="R234" s="180"/>
      <c r="S234" s="180"/>
      <c r="T234" s="496"/>
      <c r="U234" s="180">
        <f t="shared" si="59"/>
        <v>74.913701825233872</v>
      </c>
      <c r="V234" s="180">
        <f t="shared" si="55"/>
        <v>0</v>
      </c>
      <c r="Y234" s="478">
        <v>2054</v>
      </c>
      <c r="Z234" s="479">
        <f t="shared" si="56"/>
        <v>74.913701825233872</v>
      </c>
      <c r="AA234" s="479">
        <f t="shared" si="56"/>
        <v>0</v>
      </c>
      <c r="AB234" s="430"/>
      <c r="AC234" s="479"/>
      <c r="AD234" s="479"/>
      <c r="AE234" s="430"/>
      <c r="AF234" s="479">
        <f t="shared" si="57"/>
        <v>74.913701825233872</v>
      </c>
      <c r="AG234" s="479">
        <f t="shared" si="50"/>
        <v>0</v>
      </c>
      <c r="AH234" s="516"/>
      <c r="AJ234" s="480">
        <f t="shared" si="51"/>
        <v>0</v>
      </c>
      <c r="AK234" s="480" t="str">
        <f t="shared" si="52"/>
        <v/>
      </c>
    </row>
    <row r="235" spans="1:37" ht="15.6" x14ac:dyDescent="0.3">
      <c r="A235" s="152">
        <v>2055</v>
      </c>
      <c r="B235" s="178"/>
      <c r="C235" s="182"/>
      <c r="D235" s="183"/>
      <c r="E235" s="179">
        <f t="shared" si="53"/>
        <v>257.30204892688556</v>
      </c>
      <c r="F235" s="183">
        <f t="shared" si="60"/>
        <v>9.622866245142319</v>
      </c>
      <c r="G235" s="247">
        <f t="shared" si="54"/>
        <v>0.39088634426867086</v>
      </c>
      <c r="H235" s="246"/>
      <c r="I235" s="417"/>
      <c r="J235" s="417"/>
      <c r="K235" s="182"/>
      <c r="L235" s="178"/>
      <c r="M235" s="182"/>
      <c r="N235" s="178"/>
      <c r="O235" s="495"/>
      <c r="P235" s="259">
        <f>IF(P$194="Y",IFERROR(E235*($F$8/SUMIF($H$5:$H$16,"Y",$F$5:$F$16))*$F$21*'Emissions Factors'!$B52,""),"")</f>
        <v>7.1621791039795184</v>
      </c>
      <c r="Q235" s="259">
        <f>IF($X$135="Y",IFERROR($E235*(SUM($F$7,$F$5,$F$6)/SUMIF($H$5:$H$16,"Y",$F$5:$F$16))*('Emissions Factors'!$T$143*$F$22)/10^6,""),"")</f>
        <v>70.632852970793607</v>
      </c>
      <c r="R235" s="180"/>
      <c r="S235" s="180"/>
      <c r="T235" s="496"/>
      <c r="U235" s="180">
        <f t="shared" si="59"/>
        <v>77.795032074773133</v>
      </c>
      <c r="V235" s="180">
        <f t="shared" si="55"/>
        <v>0</v>
      </c>
      <c r="Y235" s="478">
        <v>2055</v>
      </c>
      <c r="Z235" s="479">
        <f t="shared" si="56"/>
        <v>77.795032074773133</v>
      </c>
      <c r="AA235" s="479">
        <f t="shared" si="56"/>
        <v>0</v>
      </c>
      <c r="AB235" s="430"/>
      <c r="AC235" s="479"/>
      <c r="AD235" s="479"/>
      <c r="AE235" s="430"/>
      <c r="AF235" s="479">
        <f t="shared" si="57"/>
        <v>77.795032074773133</v>
      </c>
      <c r="AG235" s="479">
        <f t="shared" si="50"/>
        <v>0</v>
      </c>
      <c r="AH235" s="516"/>
      <c r="AJ235" s="480">
        <f t="shared" si="51"/>
        <v>0</v>
      </c>
      <c r="AK235" s="480" t="str">
        <f t="shared" si="52"/>
        <v/>
      </c>
    </row>
    <row r="236" spans="1:37" ht="15.6" x14ac:dyDescent="0.3">
      <c r="A236" s="152">
        <v>2056</v>
      </c>
      <c r="B236" s="178"/>
      <c r="C236" s="182"/>
      <c r="D236" s="183"/>
      <c r="E236" s="179">
        <f t="shared" si="53"/>
        <v>267.11255982020776</v>
      </c>
      <c r="F236" s="183">
        <f t="shared" si="60"/>
        <v>9.8105108933222027</v>
      </c>
      <c r="G236" s="247">
        <f t="shared" si="54"/>
        <v>0.38817363365626351</v>
      </c>
      <c r="H236" s="246"/>
      <c r="I236" s="417"/>
      <c r="J236" s="417"/>
      <c r="K236" s="182"/>
      <c r="L236" s="178"/>
      <c r="M236" s="182"/>
      <c r="N236" s="178"/>
      <c r="O236" s="495"/>
      <c r="P236" s="259">
        <f>IF(P$194="Y",IFERROR(E236*($F$8/SUMIF($H$5:$H$16,"Y",$F$5:$F$16))*$F$21*'Emissions Factors'!$B53,""),"")</f>
        <v>7.4054903324661971</v>
      </c>
      <c r="Q236" s="259">
        <f>IF($X$135="Y",IFERROR($E236*(SUM($F$7,$F$5,$F$6)/SUMIF($H$5:$H$16,"Y",$F$5:$F$16))*('Emissions Factors'!$T$143*$F$22)/10^6,""),"")</f>
        <v>73.325969393248911</v>
      </c>
      <c r="R236" s="180"/>
      <c r="S236" s="180"/>
      <c r="T236" s="496"/>
      <c r="U236" s="180">
        <f t="shared" si="59"/>
        <v>80.731459725715112</v>
      </c>
      <c r="V236" s="180">
        <f t="shared" si="55"/>
        <v>0</v>
      </c>
      <c r="Y236" s="478">
        <v>2056</v>
      </c>
      <c r="Z236" s="479">
        <f t="shared" si="56"/>
        <v>80.731459725715112</v>
      </c>
      <c r="AA236" s="479">
        <f t="shared" si="56"/>
        <v>0</v>
      </c>
      <c r="AB236" s="430"/>
      <c r="AC236" s="479"/>
      <c r="AD236" s="479"/>
      <c r="AE236" s="430"/>
      <c r="AF236" s="479">
        <f t="shared" si="57"/>
        <v>80.731459725715112</v>
      </c>
      <c r="AG236" s="479">
        <f t="shared" si="50"/>
        <v>0</v>
      </c>
      <c r="AH236" s="516"/>
      <c r="AJ236" s="480">
        <f t="shared" si="51"/>
        <v>0</v>
      </c>
      <c r="AK236" s="480" t="str">
        <f t="shared" si="52"/>
        <v/>
      </c>
    </row>
    <row r="237" spans="1:37" ht="15.6" x14ac:dyDescent="0.3">
      <c r="A237" s="152">
        <v>2057</v>
      </c>
      <c r="B237" s="178"/>
      <c r="C237" s="182"/>
      <c r="D237" s="183"/>
      <c r="E237" s="179">
        <f t="shared" si="53"/>
        <v>277.1057640101485</v>
      </c>
      <c r="F237" s="183">
        <f t="shared" si="60"/>
        <v>9.9932041899407409</v>
      </c>
      <c r="G237" s="247">
        <f t="shared" si="54"/>
        <v>0.38550167131635088</v>
      </c>
      <c r="H237" s="246"/>
      <c r="I237" s="417"/>
      <c r="J237" s="417"/>
      <c r="K237" s="182"/>
      <c r="L237" s="178"/>
      <c r="M237" s="182"/>
      <c r="N237" s="178"/>
      <c r="O237" s="495"/>
      <c r="P237" s="259">
        <f>IF(P$194="Y",IFERROR(E237*($F$8/SUMIF($H$5:$H$16,"Y",$F$5:$F$16))*$F$21*'Emissions Factors'!$B54,""),"")</f>
        <v>7.6502989254900005</v>
      </c>
      <c r="Q237" s="259">
        <f>IF($X$135="Y",IFERROR($E237*(SUM($F$7,$F$5,$F$6)/SUMIF($H$5:$H$16,"Y",$F$5:$F$16))*('Emissions Factors'!$T$143*$F$22)/10^6,""),"")</f>
        <v>76.06923756852791</v>
      </c>
      <c r="R237" s="180"/>
      <c r="S237" s="180"/>
      <c r="T237" s="496"/>
      <c r="U237" s="180">
        <f t="shared" si="59"/>
        <v>83.719536494017916</v>
      </c>
      <c r="V237" s="180">
        <f t="shared" si="55"/>
        <v>0</v>
      </c>
      <c r="Y237" s="478">
        <v>2057</v>
      </c>
      <c r="Z237" s="479">
        <f t="shared" si="56"/>
        <v>83.719536494017916</v>
      </c>
      <c r="AA237" s="479">
        <f t="shared" si="56"/>
        <v>0</v>
      </c>
      <c r="AB237" s="430"/>
      <c r="AC237" s="479"/>
      <c r="AD237" s="479"/>
      <c r="AE237" s="430"/>
      <c r="AF237" s="479">
        <f t="shared" si="57"/>
        <v>83.719536494017916</v>
      </c>
      <c r="AG237" s="479">
        <f t="shared" si="50"/>
        <v>0</v>
      </c>
      <c r="AH237" s="516"/>
      <c r="AJ237" s="480">
        <f t="shared" si="51"/>
        <v>0</v>
      </c>
      <c r="AK237" s="480" t="str">
        <f t="shared" si="52"/>
        <v/>
      </c>
    </row>
    <row r="238" spans="1:37" ht="15.6" x14ac:dyDescent="0.3">
      <c r="A238" s="152">
        <v>2058</v>
      </c>
      <c r="B238" s="178"/>
      <c r="C238" s="182"/>
      <c r="D238" s="183"/>
      <c r="E238" s="179">
        <f t="shared" si="53"/>
        <v>287.26741569597391</v>
      </c>
      <c r="F238" s="183">
        <f t="shared" si="60"/>
        <v>10.161651685825404</v>
      </c>
      <c r="G238" s="247">
        <f t="shared" si="54"/>
        <v>0.38287801457421294</v>
      </c>
      <c r="H238" s="246"/>
      <c r="I238" s="417"/>
      <c r="J238" s="417"/>
      <c r="K238" s="182"/>
      <c r="L238" s="178"/>
      <c r="M238" s="182"/>
      <c r="N238" s="178"/>
      <c r="O238" s="495"/>
      <c r="P238" s="259">
        <f>IF(P$194="Y",IFERROR(E238*($F$8/SUMIF($H$5:$H$16,"Y",$F$5:$F$16))*$F$21*'Emissions Factors'!$B55,""),"")</f>
        <v>7.8966433572307331</v>
      </c>
      <c r="Q238" s="259">
        <f>IF($X$135="Y",IFERROR($E238*(SUM($F$7,$F$5,$F$6)/SUMIF($H$5:$H$16,"Y",$F$5:$F$16))*('Emissions Factors'!$T$143*$F$22)/10^6,""),"")</f>
        <v>78.858746833839973</v>
      </c>
      <c r="R238" s="180"/>
      <c r="S238" s="180"/>
      <c r="T238" s="496"/>
      <c r="U238" s="180">
        <f t="shared" si="59"/>
        <v>86.755390191070703</v>
      </c>
      <c r="V238" s="180">
        <f t="shared" si="55"/>
        <v>0</v>
      </c>
      <c r="Y238" s="478">
        <v>2058</v>
      </c>
      <c r="Z238" s="479">
        <f t="shared" si="56"/>
        <v>86.755390191070703</v>
      </c>
      <c r="AA238" s="479">
        <f t="shared" si="56"/>
        <v>0</v>
      </c>
      <c r="AB238" s="430"/>
      <c r="AC238" s="479"/>
      <c r="AD238" s="479"/>
      <c r="AE238" s="430"/>
      <c r="AF238" s="479">
        <f t="shared" si="57"/>
        <v>86.755390191070703</v>
      </c>
      <c r="AG238" s="479">
        <f t="shared" si="50"/>
        <v>0</v>
      </c>
      <c r="AH238" s="516"/>
      <c r="AJ238" s="480">
        <f t="shared" si="51"/>
        <v>0</v>
      </c>
      <c r="AK238" s="480" t="str">
        <f t="shared" si="52"/>
        <v/>
      </c>
    </row>
    <row r="239" spans="1:37" ht="15.6" x14ac:dyDescent="0.3">
      <c r="A239" s="152">
        <v>2059</v>
      </c>
      <c r="B239" s="178"/>
      <c r="C239" s="182"/>
      <c r="D239" s="183"/>
      <c r="E239" s="179">
        <f t="shared" si="53"/>
        <v>297.57916142401069</v>
      </c>
      <c r="F239" s="183">
        <f t="shared" si="60"/>
        <v>10.311745728036783</v>
      </c>
      <c r="G239" s="247">
        <f t="shared" si="54"/>
        <v>0.38030964435298376</v>
      </c>
      <c r="H239" s="246"/>
      <c r="I239" s="417"/>
      <c r="J239" s="417"/>
      <c r="K239" s="182"/>
      <c r="L239" s="178"/>
      <c r="M239" s="182"/>
      <c r="N239" s="178"/>
      <c r="O239" s="495"/>
      <c r="P239" s="259">
        <f>IF(P$194="Y",IFERROR(E239*($F$8/SUMIF($H$5:$H$16,"Y",$F$5:$F$16))*$F$21*'Emissions Factors'!$B56,""),"")</f>
        <v>8.143855400182554</v>
      </c>
      <c r="Q239" s="259">
        <f>IF($X$135="Y",IFERROR($E239*(SUM($F$7,$F$5,$F$6)/SUMIF($H$5:$H$16,"Y",$F$5:$F$16))*('Emissions Factors'!$T$143*$F$22)/10^6,""),"")</f>
        <v>81.689458920736698</v>
      </c>
      <c r="R239" s="180"/>
      <c r="S239" s="180"/>
      <c r="T239" s="496"/>
      <c r="U239" s="180">
        <f t="shared" si="59"/>
        <v>89.833314320919257</v>
      </c>
      <c r="V239" s="180">
        <f t="shared" si="55"/>
        <v>0</v>
      </c>
      <c r="Y239" s="478">
        <v>2059</v>
      </c>
      <c r="Z239" s="479">
        <f t="shared" si="56"/>
        <v>89.833314320919257</v>
      </c>
      <c r="AA239" s="479">
        <f t="shared" si="56"/>
        <v>0</v>
      </c>
      <c r="AB239" s="430"/>
      <c r="AC239" s="479"/>
      <c r="AD239" s="479"/>
      <c r="AE239" s="430"/>
      <c r="AF239" s="479">
        <f t="shared" si="57"/>
        <v>89.833314320919257</v>
      </c>
      <c r="AG239" s="479">
        <f t="shared" si="50"/>
        <v>0</v>
      </c>
      <c r="AH239" s="516"/>
      <c r="AJ239" s="480">
        <f t="shared" si="51"/>
        <v>0</v>
      </c>
      <c r="AK239" s="480" t="str">
        <f t="shared" si="52"/>
        <v/>
      </c>
    </row>
    <row r="240" spans="1:37" ht="15.6" x14ac:dyDescent="0.3">
      <c r="A240" s="152">
        <v>2060</v>
      </c>
      <c r="B240" s="178"/>
      <c r="C240" s="182"/>
      <c r="D240" s="183"/>
      <c r="E240" s="179">
        <f t="shared" si="53"/>
        <v>308.02463408558481</v>
      </c>
      <c r="F240" s="183">
        <f t="shared" si="60"/>
        <v>10.445472661574115</v>
      </c>
      <c r="G240" s="247">
        <f t="shared" si="54"/>
        <v>0.37779977584320457</v>
      </c>
      <c r="H240" s="246"/>
      <c r="I240" s="417"/>
      <c r="J240" s="417"/>
      <c r="K240" s="182"/>
      <c r="L240" s="178"/>
      <c r="M240" s="182"/>
      <c r="N240" s="178"/>
      <c r="O240" s="495"/>
      <c r="P240" s="259">
        <f>IF(P$194="Y",IFERROR(E240*($F$8/SUMIF($H$5:$H$16,"Y",$F$5:$F$16))*$F$21*'Emissions Factors'!$B57,""),"")</f>
        <v>8.3941340963823663</v>
      </c>
      <c r="Q240" s="259">
        <f>IF($X$135="Y",IFERROR($E240*(SUM($F$7,$F$5,$F$6)/SUMIF($H$5:$H$16,"Y",$F$5:$F$16))*('Emissions Factors'!$T$143*$F$22)/10^6,""),"")</f>
        <v>84.556880839032658</v>
      </c>
      <c r="R240" s="180"/>
      <c r="S240" s="180"/>
      <c r="T240" s="496"/>
      <c r="U240" s="180">
        <f t="shared" si="59"/>
        <v>92.951014935415031</v>
      </c>
      <c r="V240" s="180">
        <f t="shared" si="55"/>
        <v>0</v>
      </c>
      <c r="Y240" s="478">
        <v>2060</v>
      </c>
      <c r="Z240" s="479">
        <f t="shared" si="56"/>
        <v>92.951014935415031</v>
      </c>
      <c r="AA240" s="479">
        <f t="shared" si="56"/>
        <v>0</v>
      </c>
      <c r="AB240" s="430"/>
      <c r="AC240" s="479"/>
      <c r="AD240" s="479"/>
      <c r="AE240" s="430"/>
      <c r="AF240" s="479">
        <f t="shared" si="57"/>
        <v>92.951014935415031</v>
      </c>
      <c r="AG240" s="479">
        <f t="shared" si="50"/>
        <v>0</v>
      </c>
      <c r="AH240" s="516"/>
      <c r="AJ240" s="480">
        <f t="shared" si="51"/>
        <v>0</v>
      </c>
      <c r="AK240" s="480" t="str">
        <f t="shared" si="52"/>
        <v/>
      </c>
    </row>
    <row r="241" spans="1:10" x14ac:dyDescent="0.25">
      <c r="A241" s="13"/>
      <c r="B241" s="13"/>
      <c r="C241" s="13"/>
      <c r="D241" s="13"/>
      <c r="E241" s="13"/>
      <c r="F241" s="13"/>
      <c r="G241" s="13"/>
      <c r="H241" s="13"/>
      <c r="I241" s="13"/>
      <c r="J241" s="13"/>
    </row>
    <row r="244" spans="1:10" ht="13.95" customHeight="1" x14ac:dyDescent="0.25"/>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x14ac:dyDescent="0.25">
      <c r="L280" s="170"/>
      <c r="M280" s="170"/>
      <c r="S280" s="170"/>
    </row>
    <row r="281" spans="12:19" x14ac:dyDescent="0.25">
      <c r="L281" s="170"/>
      <c r="M281" s="170"/>
      <c r="S281" s="170"/>
    </row>
    <row r="282" spans="12:19" ht="13.8" thickBot="1" x14ac:dyDescent="0.3">
      <c r="L282" s="209"/>
      <c r="M282" s="209"/>
      <c r="S282" s="209"/>
    </row>
    <row r="293" spans="1:13" x14ac:dyDescent="0.25">
      <c r="A293" s="13"/>
      <c r="B293" s="13"/>
      <c r="C293" s="13"/>
      <c r="D293" s="13"/>
      <c r="E293" s="13"/>
      <c r="F293" s="13"/>
      <c r="G293" s="13"/>
      <c r="H293" s="13"/>
      <c r="I293" s="13"/>
      <c r="J293" s="13"/>
      <c r="K293" s="13"/>
    </row>
    <row r="302" spans="1:13" ht="13.8" thickBot="1" x14ac:dyDescent="0.3"/>
    <row r="303" spans="1:13" x14ac:dyDescent="0.25">
      <c r="L303" s="202"/>
      <c r="M303" s="202"/>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row>
    <row r="311" spans="12:29" x14ac:dyDescent="0.25">
      <c r="L311" s="170"/>
      <c r="M311" s="170"/>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x14ac:dyDescent="0.25">
      <c r="L331" s="170"/>
      <c r="M331" s="170"/>
      <c r="AC331" s="251"/>
    </row>
    <row r="332" spans="12:29" x14ac:dyDescent="0.25">
      <c r="L332" s="170"/>
      <c r="M332" s="170"/>
      <c r="AC332" s="251"/>
    </row>
    <row r="333" spans="12:29" ht="13.8" thickBot="1" x14ac:dyDescent="0.3">
      <c r="L333" s="209"/>
      <c r="M333" s="209"/>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row r="342" spans="29:29" x14ac:dyDescent="0.25">
      <c r="AC342" s="251"/>
    </row>
    <row r="343" spans="29:29" x14ac:dyDescent="0.25">
      <c r="AC343" s="251"/>
    </row>
  </sheetData>
  <mergeCells count="66">
    <mergeCell ref="AC191:AD191"/>
    <mergeCell ref="AF191:AG191"/>
    <mergeCell ref="AJ191:AK191"/>
    <mergeCell ref="K192:N192"/>
    <mergeCell ref="P192:S192"/>
    <mergeCell ref="U192:V192"/>
    <mergeCell ref="Z192:AA192"/>
    <mergeCell ref="AC192:AD192"/>
    <mergeCell ref="AF192:AG192"/>
    <mergeCell ref="AJ192:AK192"/>
    <mergeCell ref="Y191:AA191"/>
    <mergeCell ref="B191:D191"/>
    <mergeCell ref="E191:H191"/>
    <mergeCell ref="K191:N191"/>
    <mergeCell ref="P191:S191"/>
    <mergeCell ref="U191:V191"/>
    <mergeCell ref="AU133:AV133"/>
    <mergeCell ref="AX133:AY133"/>
    <mergeCell ref="BA133:BB133"/>
    <mergeCell ref="BE133:BF133"/>
    <mergeCell ref="B190:H190"/>
    <mergeCell ref="K190:V190"/>
    <mergeCell ref="Y190:AG190"/>
    <mergeCell ref="R133:U133"/>
    <mergeCell ref="W133:Z133"/>
    <mergeCell ref="AB133:AC133"/>
    <mergeCell ref="AE133:AH133"/>
    <mergeCell ref="AJ133:AM133"/>
    <mergeCell ref="AO133:AP133"/>
    <mergeCell ref="BE132:BF132"/>
    <mergeCell ref="AE131:AP131"/>
    <mergeCell ref="AT131:BB131"/>
    <mergeCell ref="B132:D132"/>
    <mergeCell ref="E132:H132"/>
    <mergeCell ref="J132:L132"/>
    <mergeCell ref="M132:P132"/>
    <mergeCell ref="R132:U132"/>
    <mergeCell ref="W132:Z132"/>
    <mergeCell ref="AB132:AC132"/>
    <mergeCell ref="AE132:AH132"/>
    <mergeCell ref="AJ132:AM132"/>
    <mergeCell ref="AO132:AP132"/>
    <mergeCell ref="AT132:AV132"/>
    <mergeCell ref="AX132:AY132"/>
    <mergeCell ref="BA132:BB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dataValidations count="1">
    <dataValidation type="list" allowBlank="1" showInputMessage="1" showErrorMessage="1" sqref="C27:G27 G19 G5:H16 AE135:AH135 AJ135:AM135 R135:U135 W135:Z135 K194:N194 P194:S194">
      <formula1>"Y,N"</formula1>
    </dataValidation>
  </dataValidations>
  <pageMargins left="0.7" right="0.7" top="0.75" bottom="0.75" header="0.3" footer="0.3"/>
  <pageSetup paperSize="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6"/>
  </sheetPr>
  <dimension ref="A1:EG183"/>
  <sheetViews>
    <sheetView showGridLines="0" topLeftCell="E1" zoomScale="96" zoomScaleNormal="96" zoomScalePageLayoutView="80" workbookViewId="0">
      <selection activeCell="P26" sqref="P26"/>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36.5" style="153"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WaterHeating_cluster_lldc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61</v>
      </c>
      <c r="E3" s="249">
        <v>1.4999999999999999E-2</v>
      </c>
      <c r="F3" s="167" t="s">
        <v>211</v>
      </c>
      <c r="G3" s="167" t="s">
        <v>213</v>
      </c>
      <c r="I3" s="618"/>
      <c r="J3" s="618"/>
      <c r="K3" s="618"/>
      <c r="L3" s="618"/>
      <c r="M3" s="166"/>
      <c r="N3" s="164">
        <f ca="1">SUM(OFFSET(O27,B3-2015,0,B4-B3+1,4))/1000</f>
        <v>0.39359555118689366</v>
      </c>
      <c r="O3" s="165" t="s">
        <v>209</v>
      </c>
      <c r="Q3" s="165"/>
      <c r="S3" s="671" t="s">
        <v>210</v>
      </c>
      <c r="T3" s="671"/>
      <c r="U3" s="671"/>
      <c r="V3" s="671"/>
      <c r="W3" s="671"/>
    </row>
    <row r="4" spans="1:137" ht="13.8" x14ac:dyDescent="0.25">
      <c r="A4" s="153" t="s">
        <v>215</v>
      </c>
      <c r="B4" s="234">
        <v>2050</v>
      </c>
      <c r="D4" s="248" t="s">
        <v>167</v>
      </c>
      <c r="E4" s="249">
        <v>0.151</v>
      </c>
      <c r="F4" s="167" t="s">
        <v>211</v>
      </c>
      <c r="G4" s="167" t="s">
        <v>213</v>
      </c>
      <c r="I4" s="168"/>
      <c r="J4" s="168"/>
      <c r="K4" s="168"/>
      <c r="L4" s="168"/>
      <c r="M4" s="168"/>
      <c r="N4" s="168"/>
      <c r="S4" s="671"/>
      <c r="T4" s="671"/>
      <c r="U4" s="671"/>
      <c r="V4" s="671"/>
      <c r="W4" s="671"/>
    </row>
    <row r="5" spans="1:137" ht="12.75" customHeight="1" x14ac:dyDescent="0.25">
      <c r="D5" s="248" t="s">
        <v>23</v>
      </c>
      <c r="E5" s="249">
        <v>0.25800000000000001</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172</v>
      </c>
      <c r="E6" s="249">
        <v>0.13400000000000001</v>
      </c>
      <c r="F6" s="167" t="s">
        <v>211</v>
      </c>
      <c r="G6" s="167" t="s">
        <v>213</v>
      </c>
      <c r="I6" s="618"/>
      <c r="J6" s="618"/>
      <c r="K6" s="618"/>
      <c r="L6" s="618"/>
      <c r="M6" s="163"/>
      <c r="N6" s="164">
        <f>SUM(O27:R72)/1000</f>
        <v>0.85213204002763365</v>
      </c>
      <c r="O6" s="165" t="s">
        <v>209</v>
      </c>
    </row>
    <row r="7" spans="1:137" ht="13.8" x14ac:dyDescent="0.25">
      <c r="D7" s="248" t="s">
        <v>195</v>
      </c>
      <c r="E7" s="249">
        <v>0.316</v>
      </c>
      <c r="F7" s="167" t="s">
        <v>213</v>
      </c>
      <c r="G7" s="167" t="s">
        <v>211</v>
      </c>
      <c r="I7" s="172"/>
      <c r="J7" s="172"/>
      <c r="K7" s="172"/>
      <c r="L7" s="172"/>
      <c r="M7" s="172"/>
      <c r="N7" s="172"/>
      <c r="O7" s="172"/>
      <c r="P7" s="165"/>
    </row>
    <row r="8" spans="1:137" ht="13.8" x14ac:dyDescent="0.25">
      <c r="D8" s="248" t="s">
        <v>176</v>
      </c>
      <c r="E8" s="249">
        <v>5.5E-2</v>
      </c>
      <c r="F8" s="167" t="s">
        <v>211</v>
      </c>
      <c r="G8" s="167" t="s">
        <v>213</v>
      </c>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322</v>
      </c>
      <c r="P15" s="260" t="s">
        <v>268</v>
      </c>
    </row>
    <row r="16" spans="1:137" ht="13.8" x14ac:dyDescent="0.25">
      <c r="F16" s="153" t="s">
        <v>217</v>
      </c>
      <c r="O16" s="261">
        <v>0.25807604271849455</v>
      </c>
      <c r="P16" s="261">
        <v>4559.9356816308</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0</v>
      </c>
      <c r="F26" s="183" t="str">
        <f>IFERROR(E26-E25,"")</f>
        <v/>
      </c>
      <c r="G26" s="247">
        <f t="shared" ref="G26:G72" si="1">IFERROR(E26/(B85-B137),"")</f>
        <v>0</v>
      </c>
      <c r="H26" s="245" t="s">
        <v>264</v>
      </c>
      <c r="J26" s="182"/>
      <c r="K26" s="182"/>
      <c r="L26" s="182"/>
      <c r="M26" s="182"/>
      <c r="N26" s="163"/>
      <c r="O26" s="259">
        <f>IF($O$24="Y",IFERROR(E26*($E$6/SUMIF($G$3:$G$14,"Y",$E$3:$E$14))*$O$16*'Emissions Factors'!$B12,""),"")</f>
        <v>0</v>
      </c>
      <c r="P26" s="259">
        <f>IF($P$24="Y",IFERROR($E26*(SUM($E$3,$E$4,$E$5)/SUMIF($G$3:$G$14,"Y",$E$3:$E$14))*('Emissions Factors'!$T$143*$P$16)/10^6,""),"")</f>
        <v>0</v>
      </c>
      <c r="Q26" s="259"/>
      <c r="R26" s="245" t="s">
        <v>264</v>
      </c>
      <c r="T26" s="180" t="str">
        <f t="shared" ref="T26:T72" si="2">IF(AND(A26&gt;=$B$3,A26&lt;=$B$4),SUM(O26:R26),"")</f>
        <v/>
      </c>
      <c r="U26" s="180" t="str">
        <f t="shared" ref="U26:U72" si="3">IF(AND(A26&gt;=$B$3,A26&lt;=$B$4),SUM(J26:M26),"")</f>
        <v/>
      </c>
      <c r="V26" s="177"/>
      <c r="X26" s="180">
        <f t="shared" ref="X26:X72" si="4">SUM(O26:R26)</f>
        <v>0</v>
      </c>
      <c r="Y26" s="180">
        <f t="shared" ref="Y26:Y72" si="5">SUM(J26:M26)</f>
        <v>0</v>
      </c>
    </row>
    <row r="27" spans="1:26" ht="15.6" x14ac:dyDescent="0.3">
      <c r="A27" s="152">
        <v>2015</v>
      </c>
      <c r="B27" s="178">
        <f t="shared" si="0"/>
        <v>0</v>
      </c>
      <c r="C27" s="182">
        <f>IFERROR(B27-B26,"")</f>
        <v>0</v>
      </c>
      <c r="D27" s="183"/>
      <c r="E27" s="179">
        <f t="shared" ref="E27:E72" si="6">IFERROR(IF($F$17="Y",$E$17,$Y86)*(SUMIF($G$3:$G$14,"Y",$E$3:$E$14))*(B86-B138),0)</f>
        <v>0</v>
      </c>
      <c r="F27" s="183">
        <f>IFERROR(E27-E26,"")</f>
        <v>0</v>
      </c>
      <c r="G27" s="247">
        <f t="shared" si="1"/>
        <v>0</v>
      </c>
      <c r="H27" s="246"/>
      <c r="J27" s="182"/>
      <c r="K27" s="182"/>
      <c r="L27" s="182"/>
      <c r="M27" s="182"/>
      <c r="N27" s="163"/>
      <c r="O27" s="259">
        <f>IF($O$24="Y",IFERROR(E27*($E$6/SUMIF($G$3:$G$14,"Y",$E$3:$E$14))*$O$16*'Emissions Factors'!B12,""),"")</f>
        <v>0</v>
      </c>
      <c r="P27" s="259">
        <f>IF($P$24="Y",IFERROR($E27*(SUM($E$3,$E$4,$E$5)/SUMIF($G$3:$G$14,"Y",$E$3:$E$14))*('Emissions Factors'!$T$143*$P$16)/10^6,""),"")</f>
        <v>0</v>
      </c>
      <c r="Q27" s="259"/>
      <c r="R27" s="258"/>
      <c r="T27" s="180" t="str">
        <f t="shared" si="2"/>
        <v/>
      </c>
      <c r="U27" s="180" t="str">
        <f t="shared" si="3"/>
        <v/>
      </c>
      <c r="V27" s="177"/>
      <c r="X27" s="180">
        <f t="shared" si="4"/>
        <v>0</v>
      </c>
      <c r="Y27" s="180">
        <f t="shared" si="5"/>
        <v>0</v>
      </c>
    </row>
    <row r="28" spans="1:26" ht="15.6" x14ac:dyDescent="0.3">
      <c r="A28" s="152">
        <v>2016</v>
      </c>
      <c r="B28" s="178">
        <f t="shared" si="0"/>
        <v>-2.464614841290313E-3</v>
      </c>
      <c r="C28" s="182">
        <f t="shared" ref="C28:C72" si="7">IFERROR(B28-B27,"")</f>
        <v>-2.464614841290313E-3</v>
      </c>
      <c r="D28" s="183"/>
      <c r="E28" s="179">
        <f t="shared" si="6"/>
        <v>-4.7810408155410196E-3</v>
      </c>
      <c r="F28" s="183">
        <f t="shared" ref="F28:F72" si="8">IFERROR(E28-E27,"")</f>
        <v>-4.7810408155410196E-3</v>
      </c>
      <c r="G28" s="247">
        <f t="shared" si="1"/>
        <v>0.6130000000000001</v>
      </c>
      <c r="H28" s="246"/>
      <c r="J28" s="182"/>
      <c r="K28" s="182"/>
      <c r="L28" s="182"/>
      <c r="M28" s="182"/>
      <c r="N28" s="163"/>
      <c r="O28" s="259">
        <f>IF($O$24="Y",IFERROR(E28*($E$6/SUMIF($G$3:$G$14,"Y",$E$3:$E$14))*$O$16*'Emissions Factors'!B13,""),"")</f>
        <v>-1.6535334778485257E-4</v>
      </c>
      <c r="P28" s="259">
        <f>IF($P$24="Y",IFERROR($E28*(SUM($E$3,$E$4,$E$5)/SUMIF($G$3:$G$14,"Y",$E$3:$E$14))*('Emissions Factors'!$T$143*$P$16)/10^6,""),"")</f>
        <v>-1.3124596340366947E-3</v>
      </c>
      <c r="Q28" s="259"/>
      <c r="R28" s="258"/>
      <c r="T28" s="180" t="str">
        <f t="shared" si="2"/>
        <v/>
      </c>
      <c r="U28" s="180" t="str">
        <f t="shared" si="3"/>
        <v/>
      </c>
      <c r="V28" s="177"/>
      <c r="X28" s="180">
        <f t="shared" si="4"/>
        <v>-1.4778129818215472E-3</v>
      </c>
      <c r="Y28" s="180">
        <f t="shared" si="5"/>
        <v>0</v>
      </c>
    </row>
    <row r="29" spans="1:26" ht="15.6" x14ac:dyDescent="0.3">
      <c r="A29" s="152">
        <v>2017</v>
      </c>
      <c r="B29" s="178">
        <f t="shared" si="0"/>
        <v>-2.4161482970048382E-3</v>
      </c>
      <c r="C29" s="182">
        <f>IFERROR(B29-B28,"")</f>
        <v>4.8466544285474811E-5</v>
      </c>
      <c r="D29" s="183"/>
      <c r="E29" s="179">
        <f t="shared" si="6"/>
        <v>-4.6870218546328042E-3</v>
      </c>
      <c r="F29" s="183">
        <f>IFERROR(E29-E28,"")</f>
        <v>9.4018960908215377E-5</v>
      </c>
      <c r="G29" s="247">
        <f t="shared" si="1"/>
        <v>0.6130000000000001</v>
      </c>
      <c r="H29" s="246"/>
      <c r="J29" s="182"/>
      <c r="K29" s="182"/>
      <c r="L29" s="182"/>
      <c r="M29" s="182"/>
      <c r="N29" s="163"/>
      <c r="O29" s="259">
        <f>IF($O$24="Y",IFERROR(E29*($E$6/SUMIF($G$3:$G$14,"Y",$E$3:$E$14))*$O$16*'Emissions Factors'!B14,""),"")</f>
        <v>-1.6011995942805389E-4</v>
      </c>
      <c r="P29" s="259">
        <f>IF($P$24="Y",IFERROR($E29*(SUM($E$3,$E$4,$E$5)/SUMIF($G$3:$G$14,"Y",$E$3:$E$14))*('Emissions Factors'!$T$143*$P$16)/10^6,""),"")</f>
        <v>-1.2866501720833474E-3</v>
      </c>
      <c r="Q29" s="259"/>
      <c r="R29" s="258"/>
      <c r="T29" s="180" t="str">
        <f t="shared" si="2"/>
        <v/>
      </c>
      <c r="U29" s="180" t="str">
        <f t="shared" si="3"/>
        <v/>
      </c>
      <c r="V29" s="177"/>
      <c r="X29" s="180">
        <f t="shared" si="4"/>
        <v>-1.4467701315114014E-3</v>
      </c>
      <c r="Y29" s="180">
        <f t="shared" si="5"/>
        <v>0</v>
      </c>
    </row>
    <row r="30" spans="1:26" ht="15.6" x14ac:dyDescent="0.3">
      <c r="A30" s="152">
        <v>2018</v>
      </c>
      <c r="B30" s="178">
        <f t="shared" si="0"/>
        <v>-2.3602674985559132E-3</v>
      </c>
      <c r="C30" s="182">
        <f t="shared" si="7"/>
        <v>5.5880798448924938E-5</v>
      </c>
      <c r="D30" s="183"/>
      <c r="E30" s="179">
        <f t="shared" si="6"/>
        <v>-4.5786201791606805E-3</v>
      </c>
      <c r="F30" s="183">
        <f t="shared" si="8"/>
        <v>1.084016754721237E-4</v>
      </c>
      <c r="G30" s="247">
        <f t="shared" si="1"/>
        <v>0.6130000000000001</v>
      </c>
      <c r="H30" s="246"/>
      <c r="J30" s="182"/>
      <c r="K30" s="182"/>
      <c r="L30" s="182"/>
      <c r="M30" s="182"/>
      <c r="N30" s="163"/>
      <c r="O30" s="259">
        <f>IF($O$24="Y",IFERROR(E30*($E$6/SUMIF($G$3:$G$14,"Y",$E$3:$E$14))*$O$16*'Emissions Factors'!B15,""),"")</f>
        <v>-1.549352725145681E-4</v>
      </c>
      <c r="P30" s="259">
        <f>IF($P$24="Y",IFERROR($E30*(SUM($E$3,$E$4,$E$5)/SUMIF($G$3:$G$14,"Y",$E$3:$E$14))*('Emissions Factors'!$T$143*$P$16)/10^6,""),"")</f>
        <v>-1.2568924626622851E-3</v>
      </c>
      <c r="Q30" s="259"/>
      <c r="R30" s="258"/>
      <c r="T30" s="180" t="str">
        <f t="shared" si="2"/>
        <v/>
      </c>
      <c r="U30" s="180" t="str">
        <f t="shared" si="3"/>
        <v/>
      </c>
      <c r="V30" s="177"/>
      <c r="X30" s="180">
        <f t="shared" si="4"/>
        <v>-1.4118277351768533E-3</v>
      </c>
      <c r="Y30" s="180">
        <f t="shared" si="5"/>
        <v>0</v>
      </c>
    </row>
    <row r="31" spans="1:26" ht="15.6" x14ac:dyDescent="0.3">
      <c r="A31" s="152">
        <v>2019</v>
      </c>
      <c r="B31" s="178">
        <f t="shared" si="0"/>
        <v>-2.3094508993381168E-3</v>
      </c>
      <c r="C31" s="182">
        <f t="shared" si="7"/>
        <v>5.0816599217796445E-5</v>
      </c>
      <c r="D31" s="183"/>
      <c r="E31" s="179">
        <f t="shared" si="6"/>
        <v>-4.4800424091590695E-3</v>
      </c>
      <c r="F31" s="183">
        <f t="shared" si="8"/>
        <v>9.857777000161095E-5</v>
      </c>
      <c r="G31" s="247">
        <f t="shared" si="1"/>
        <v>0.6130000000000001</v>
      </c>
      <c r="H31" s="246"/>
      <c r="J31" s="182"/>
      <c r="K31" s="182"/>
      <c r="L31" s="182"/>
      <c r="M31" s="182"/>
      <c r="N31" s="163"/>
      <c r="O31" s="259">
        <f>IF($O$24="Y",IFERROR(E31*($E$6/SUMIF($G$3:$G$14,"Y",$E$3:$E$14))*$O$16*'Emissions Factors'!B16,""),"")</f>
        <v>-1.5080801872519704E-4</v>
      </c>
      <c r="P31" s="259">
        <f>IF($P$24="Y",IFERROR($E31*(SUM($E$3,$E$4,$E$5)/SUMIF($G$3:$G$14,"Y",$E$3:$E$14))*('Emissions Factors'!$T$143*$P$16)/10^6,""),"")</f>
        <v>-1.2298315466542241E-3</v>
      </c>
      <c r="Q31" s="259"/>
      <c r="R31" s="258"/>
      <c r="T31" s="180" t="str">
        <f t="shared" si="2"/>
        <v/>
      </c>
      <c r="U31" s="180" t="str">
        <f t="shared" si="3"/>
        <v/>
      </c>
      <c r="V31" s="177"/>
      <c r="X31" s="180">
        <f t="shared" si="4"/>
        <v>-1.3806395653794211E-3</v>
      </c>
      <c r="Y31" s="180">
        <f t="shared" si="5"/>
        <v>0</v>
      </c>
    </row>
    <row r="32" spans="1:26" ht="15.6" x14ac:dyDescent="0.3">
      <c r="A32" s="152">
        <v>2020</v>
      </c>
      <c r="B32" s="178">
        <f t="shared" si="0"/>
        <v>-2.2641438114987976E-3</v>
      </c>
      <c r="C32" s="182">
        <f t="shared" si="7"/>
        <v>4.5307087839319225E-5</v>
      </c>
      <c r="D32" s="183"/>
      <c r="E32" s="179">
        <f t="shared" si="6"/>
        <v>-4.3921523938251997E-3</v>
      </c>
      <c r="F32" s="183">
        <f t="shared" si="8"/>
        <v>8.7890015333869781E-5</v>
      </c>
      <c r="G32" s="247">
        <f t="shared" si="1"/>
        <v>0.6130000000000001</v>
      </c>
      <c r="H32" s="246"/>
      <c r="J32" s="182"/>
      <c r="K32" s="182"/>
      <c r="L32" s="182"/>
      <c r="M32" s="182"/>
      <c r="N32" s="163"/>
      <c r="O32" s="259">
        <f>IF($O$24="Y",IFERROR(E32*($E$6/SUMIF($G$3:$G$14,"Y",$E$3:$E$14))*$O$16*'Emissions Factors'!B17,""),"")</f>
        <v>-1.4692382411358445E-4</v>
      </c>
      <c r="P32" s="259">
        <f>IF($P$24="Y",IFERROR($E32*(SUM($E$3,$E$4,$E$5)/SUMIF($G$3:$G$14,"Y",$E$3:$E$14))*('Emissions Factors'!$T$143*$P$16)/10^6,""),"")</f>
        <v>-1.2057045622148501E-3</v>
      </c>
      <c r="Q32" s="259"/>
      <c r="R32" s="258"/>
      <c r="T32" s="180">
        <f t="shared" si="2"/>
        <v>-1.3526283863284346E-3</v>
      </c>
      <c r="U32" s="180">
        <f t="shared" si="3"/>
        <v>0</v>
      </c>
      <c r="V32" s="177"/>
      <c r="X32" s="180">
        <f t="shared" si="4"/>
        <v>-1.3526283863284346E-3</v>
      </c>
      <c r="Y32" s="180">
        <f t="shared" si="5"/>
        <v>0</v>
      </c>
    </row>
    <row r="33" spans="1:25" ht="15.6" x14ac:dyDescent="0.3">
      <c r="A33" s="152">
        <v>2021</v>
      </c>
      <c r="B33" s="178">
        <f t="shared" si="0"/>
        <v>0.39654078560667788</v>
      </c>
      <c r="C33" s="182">
        <f t="shared" si="7"/>
        <v>0.39880492941817669</v>
      </c>
      <c r="D33" s="183"/>
      <c r="E33" s="179">
        <f t="shared" si="6"/>
        <v>0.76923892904080238</v>
      </c>
      <c r="F33" s="183">
        <f t="shared" si="8"/>
        <v>0.77363108143462755</v>
      </c>
      <c r="G33" s="247">
        <f t="shared" si="1"/>
        <v>0.12160282727880638</v>
      </c>
      <c r="H33" s="246"/>
      <c r="J33" s="182"/>
      <c r="K33" s="182"/>
      <c r="L33" s="182"/>
      <c r="M33" s="182"/>
      <c r="N33" s="163"/>
      <c r="O33" s="259">
        <f>IF($O$24="Y",IFERROR(E33*($E$6/SUMIF($G$3:$G$14,"Y",$E$3:$E$14))*$O$16*'Emissions Factors'!B18,""),"")</f>
        <v>2.5577561328674499E-2</v>
      </c>
      <c r="P33" s="259">
        <f>IF($P$24="Y",IFERROR($E33*(SUM($E$3,$E$4,$E$5)/SUMIF($G$3:$G$14,"Y",$E$3:$E$14))*('Emissions Factors'!$T$143*$P$16)/10^6,""),"")</f>
        <v>0.21116637197781907</v>
      </c>
      <c r="Q33" s="259"/>
      <c r="R33" s="258"/>
      <c r="T33" s="180">
        <f t="shared" si="2"/>
        <v>0.23674393330649357</v>
      </c>
      <c r="U33" s="180">
        <f t="shared" si="3"/>
        <v>0</v>
      </c>
      <c r="V33" s="177"/>
      <c r="X33" s="180">
        <f t="shared" si="4"/>
        <v>0.23674393330649357</v>
      </c>
      <c r="Y33" s="180">
        <f t="shared" si="5"/>
        <v>0</v>
      </c>
    </row>
    <row r="34" spans="1:25" ht="15.6" x14ac:dyDescent="0.3">
      <c r="A34" s="152">
        <v>2022</v>
      </c>
      <c r="B34" s="178">
        <f t="shared" si="0"/>
        <v>0.9512560151529833</v>
      </c>
      <c r="C34" s="182">
        <f t="shared" si="7"/>
        <v>0.55471522954630537</v>
      </c>
      <c r="D34" s="183"/>
      <c r="E34" s="179">
        <f t="shared" si="6"/>
        <v>1.8453162572429711</v>
      </c>
      <c r="F34" s="183">
        <f t="shared" si="8"/>
        <v>1.0760773282021687</v>
      </c>
      <c r="G34" s="247">
        <f t="shared" si="1"/>
        <v>0.12949779315747154</v>
      </c>
      <c r="H34" s="246"/>
      <c r="J34" s="182"/>
      <c r="K34" s="182"/>
      <c r="L34" s="182"/>
      <c r="M34" s="182"/>
      <c r="N34" s="163"/>
      <c r="O34" s="259">
        <f>IF($O$24="Y",IFERROR(E34*($E$6/SUMIF($G$3:$G$14,"Y",$E$3:$E$14))*$O$16*'Emissions Factors'!B19,""),"")</f>
        <v>6.0992841162798829E-2</v>
      </c>
      <c r="P34" s="259">
        <f>IF($P$24="Y",IFERROR($E34*(SUM($E$3,$E$4,$E$5)/SUMIF($G$3:$G$14,"Y",$E$3:$E$14))*('Emissions Factors'!$T$143*$P$16)/10^6,""),"")</f>
        <v>0.50656398744611264</v>
      </c>
      <c r="Q34" s="259"/>
      <c r="R34" s="258"/>
      <c r="T34" s="180">
        <f t="shared" si="2"/>
        <v>0.56755682860891143</v>
      </c>
      <c r="U34" s="180">
        <f t="shared" si="3"/>
        <v>0</v>
      </c>
      <c r="V34" s="177"/>
      <c r="X34" s="180">
        <f t="shared" si="4"/>
        <v>0.56755682860891143</v>
      </c>
      <c r="Y34" s="180">
        <f t="shared" si="5"/>
        <v>0</v>
      </c>
    </row>
    <row r="35" spans="1:25" ht="15.6" x14ac:dyDescent="0.3">
      <c r="A35" s="152">
        <v>2023</v>
      </c>
      <c r="B35" s="178">
        <f t="shared" si="0"/>
        <v>1.6431585352547153</v>
      </c>
      <c r="C35" s="182">
        <f t="shared" si="7"/>
        <v>0.69190252010173203</v>
      </c>
      <c r="D35" s="183"/>
      <c r="E35" s="179">
        <f t="shared" si="6"/>
        <v>3.1875195636428502</v>
      </c>
      <c r="F35" s="183">
        <f t="shared" si="8"/>
        <v>1.3422033063998791</v>
      </c>
      <c r="G35" s="247">
        <f t="shared" si="1"/>
        <v>0.13542826389477786</v>
      </c>
      <c r="H35" s="246"/>
      <c r="J35" s="182"/>
      <c r="K35" s="182"/>
      <c r="L35" s="182"/>
      <c r="M35" s="182"/>
      <c r="N35" s="163"/>
      <c r="O35" s="259">
        <f>IF($O$24="Y",IFERROR(E35*($E$6/SUMIF($G$3:$G$14,"Y",$E$3:$E$14))*$O$16*'Emissions Factors'!B20,""),"")</f>
        <v>0.10474140870049095</v>
      </c>
      <c r="P35" s="259">
        <f>IF($P$24="Y",IFERROR($E35*(SUM($E$3,$E$4,$E$5)/SUMIF($G$3:$G$14,"Y",$E$3:$E$14))*('Emissions Factors'!$T$143*$P$16)/10^6,""),"")</f>
        <v>0.87501674246010364</v>
      </c>
      <c r="Q35" s="259"/>
      <c r="R35" s="258"/>
      <c r="T35" s="180">
        <f t="shared" si="2"/>
        <v>0.97975815116059461</v>
      </c>
      <c r="U35" s="180">
        <f t="shared" si="3"/>
        <v>0</v>
      </c>
      <c r="V35" s="177"/>
      <c r="X35" s="180">
        <f t="shared" si="4"/>
        <v>0.97975815116059461</v>
      </c>
      <c r="Y35" s="180">
        <f t="shared" si="5"/>
        <v>0</v>
      </c>
    </row>
    <row r="36" spans="1:25" ht="15.6" x14ac:dyDescent="0.3">
      <c r="A36" s="152">
        <v>2024</v>
      </c>
      <c r="B36" s="178">
        <f t="shared" si="0"/>
        <v>2.4619292985578753</v>
      </c>
      <c r="C36" s="182">
        <f t="shared" si="7"/>
        <v>0.81877076330316001</v>
      </c>
      <c r="D36" s="183"/>
      <c r="E36" s="179">
        <f t="shared" si="6"/>
        <v>4.7758312025822089</v>
      </c>
      <c r="F36" s="183">
        <f t="shared" si="8"/>
        <v>1.5883116389393588</v>
      </c>
      <c r="G36" s="247">
        <f t="shared" si="1"/>
        <v>0.14018897137095485</v>
      </c>
      <c r="H36" s="246"/>
      <c r="J36" s="182"/>
      <c r="K36" s="182"/>
      <c r="L36" s="182"/>
      <c r="M36" s="182"/>
      <c r="N36" s="163"/>
      <c r="O36" s="259">
        <f>IF($O$24="Y",IFERROR(E36*($E$6/SUMIF($G$3:$G$14,"Y",$E$3:$E$14))*$O$16*'Emissions Factors'!B21,""),"")</f>
        <v>0.15603227027775626</v>
      </c>
      <c r="P36" s="259">
        <f>IF($P$24="Y",IFERROR($E36*(SUM($E$3,$E$4,$E$5)/SUMIF($G$3:$G$14,"Y",$E$3:$E$14))*('Emissions Factors'!$T$143*$P$16)/10^6,""),"")</f>
        <v>1.3110295256186348</v>
      </c>
      <c r="Q36" s="259"/>
      <c r="R36" s="258"/>
      <c r="T36" s="180">
        <f t="shared" si="2"/>
        <v>1.4670617958963912</v>
      </c>
      <c r="U36" s="180">
        <f t="shared" si="3"/>
        <v>0</v>
      </c>
      <c r="V36" s="177"/>
      <c r="X36" s="180">
        <f t="shared" si="4"/>
        <v>1.4670617958963912</v>
      </c>
      <c r="Y36" s="180">
        <f t="shared" si="5"/>
        <v>0</v>
      </c>
    </row>
    <row r="37" spans="1:25" ht="15.6" x14ac:dyDescent="0.3">
      <c r="A37" s="152">
        <v>2025</v>
      </c>
      <c r="B37" s="178">
        <f t="shared" si="0"/>
        <v>3.4002160889171709</v>
      </c>
      <c r="C37" s="182">
        <f t="shared" si="7"/>
        <v>0.93828679035929552</v>
      </c>
      <c r="D37" s="183"/>
      <c r="E37" s="179">
        <f t="shared" si="6"/>
        <v>6.5959888053994504</v>
      </c>
      <c r="F37" s="183">
        <f t="shared" si="8"/>
        <v>1.8201576028172415</v>
      </c>
      <c r="G37" s="247">
        <f t="shared" si="1"/>
        <v>0.14417631637763212</v>
      </c>
      <c r="H37" s="246"/>
      <c r="J37" s="182"/>
      <c r="K37" s="182"/>
      <c r="L37" s="182"/>
      <c r="M37" s="182"/>
      <c r="N37" s="163"/>
      <c r="O37" s="259">
        <f>IF($O$24="Y",IFERROR(E37*($E$6/SUMIF($G$3:$G$14,"Y",$E$3:$E$14))*$O$16*'Emissions Factors'!B22,""),"")</f>
        <v>0.21440289702156259</v>
      </c>
      <c r="P37" s="259">
        <f>IF($P$24="Y",IFERROR($E37*(SUM($E$3,$E$4,$E$5)/SUMIF($G$3:$G$14,"Y",$E$3:$E$14))*('Emissions Factors'!$T$143*$P$16)/10^6,""),"")</f>
        <v>1.810687126013393</v>
      </c>
      <c r="Q37" s="259"/>
      <c r="R37" s="258"/>
      <c r="T37" s="180">
        <f t="shared" si="2"/>
        <v>2.0250900230349558</v>
      </c>
      <c r="U37" s="180">
        <f t="shared" si="3"/>
        <v>0</v>
      </c>
      <c r="V37" s="177"/>
      <c r="X37" s="180">
        <f t="shared" si="4"/>
        <v>2.0250900230349558</v>
      </c>
      <c r="Y37" s="180">
        <f t="shared" si="5"/>
        <v>0</v>
      </c>
    </row>
    <row r="38" spans="1:25" ht="15.6" x14ac:dyDescent="0.3">
      <c r="A38" s="152">
        <v>2026</v>
      </c>
      <c r="B38" s="178">
        <f t="shared" si="0"/>
        <v>4.4512607437947693</v>
      </c>
      <c r="C38" s="182">
        <f t="shared" si="7"/>
        <v>1.0510446548775985</v>
      </c>
      <c r="D38" s="183"/>
      <c r="E38" s="179">
        <f t="shared" si="6"/>
        <v>8.6348823922347915</v>
      </c>
      <c r="F38" s="183">
        <f t="shared" si="8"/>
        <v>2.0388935868353411</v>
      </c>
      <c r="G38" s="247">
        <f t="shared" si="1"/>
        <v>0.14763414085939375</v>
      </c>
      <c r="H38" s="246"/>
      <c r="J38" s="182"/>
      <c r="K38" s="182"/>
      <c r="L38" s="182"/>
      <c r="M38" s="182"/>
      <c r="N38" s="163"/>
      <c r="O38" s="259">
        <f>IF($O$24="Y",IFERROR(E38*($E$6/SUMIF($G$3:$G$14,"Y",$E$3:$E$14))*$O$16*'Emissions Factors'!B23,""),"")</f>
        <v>0.27895264342816911</v>
      </c>
      <c r="P38" s="259">
        <f>IF($P$24="Y",IFERROR($E38*(SUM($E$3,$E$4,$E$5)/SUMIF($G$3:$G$14,"Y",$E$3:$E$14))*('Emissions Factors'!$T$143*$P$16)/10^6,""),"")</f>
        <v>2.3703906788714466</v>
      </c>
      <c r="Q38" s="259"/>
      <c r="R38" s="258"/>
      <c r="T38" s="180">
        <f t="shared" si="2"/>
        <v>2.6493433222996159</v>
      </c>
      <c r="U38" s="180">
        <f t="shared" si="3"/>
        <v>0</v>
      </c>
      <c r="V38" s="177"/>
      <c r="X38" s="180">
        <f t="shared" si="4"/>
        <v>2.6493433222996159</v>
      </c>
      <c r="Y38" s="180">
        <f t="shared" si="5"/>
        <v>0</v>
      </c>
    </row>
    <row r="39" spans="1:25" ht="15.6" x14ac:dyDescent="0.3">
      <c r="A39" s="152">
        <v>2027</v>
      </c>
      <c r="B39" s="178">
        <f t="shared" si="0"/>
        <v>5.6099293134410742</v>
      </c>
      <c r="C39" s="182">
        <f t="shared" si="7"/>
        <v>1.1586685696463048</v>
      </c>
      <c r="D39" s="183"/>
      <c r="E39" s="179">
        <f t="shared" si="6"/>
        <v>10.882552750441075</v>
      </c>
      <c r="F39" s="183">
        <f t="shared" si="8"/>
        <v>2.2476703582062836</v>
      </c>
      <c r="G39" s="247">
        <f t="shared" si="1"/>
        <v>0.15073898664737662</v>
      </c>
      <c r="H39" s="246"/>
      <c r="J39" s="182"/>
      <c r="K39" s="182"/>
      <c r="L39" s="182"/>
      <c r="M39" s="182"/>
      <c r="N39" s="163"/>
      <c r="O39" s="259">
        <f>IF($O$24="Y",IFERROR(E39*($E$6/SUMIF($G$3:$G$14,"Y",$E$3:$E$14))*$O$16*'Emissions Factors'!B24,""),"")</f>
        <v>0.34962688507415224</v>
      </c>
      <c r="P39" s="259">
        <f>IF($P$24="Y",IFERROR($E39*(SUM($E$3,$E$4,$E$5)/SUMIF($G$3:$G$14,"Y",$E$3:$E$14))*('Emissions Factors'!$T$143*$P$16)/10^6,""),"")</f>
        <v>2.9874062471505325</v>
      </c>
      <c r="Q39" s="259"/>
      <c r="R39" s="258"/>
      <c r="T39" s="180">
        <f t="shared" si="2"/>
        <v>3.3370331322246849</v>
      </c>
      <c r="U39" s="180">
        <f t="shared" si="3"/>
        <v>0</v>
      </c>
      <c r="V39" s="177"/>
      <c r="X39" s="180">
        <f t="shared" si="4"/>
        <v>3.3370331322246849</v>
      </c>
      <c r="Y39" s="180">
        <f t="shared" si="5"/>
        <v>0</v>
      </c>
    </row>
    <row r="40" spans="1:25" ht="15.6" x14ac:dyDescent="0.3">
      <c r="A40" s="152">
        <v>2028</v>
      </c>
      <c r="B40" s="178">
        <f t="shared" si="0"/>
        <v>6.8770109890800315</v>
      </c>
      <c r="C40" s="182">
        <f t="shared" si="7"/>
        <v>1.2670816756389573</v>
      </c>
      <c r="D40" s="183"/>
      <c r="E40" s="179">
        <f t="shared" si="6"/>
        <v>13.340530811095126</v>
      </c>
      <c r="F40" s="183">
        <f t="shared" si="8"/>
        <v>2.4579780606540513</v>
      </c>
      <c r="G40" s="247">
        <f t="shared" si="1"/>
        <v>0.15362966833965513</v>
      </c>
      <c r="H40" s="246"/>
      <c r="J40" s="182"/>
      <c r="K40" s="182"/>
      <c r="L40" s="182"/>
      <c r="M40" s="182"/>
      <c r="N40" s="163"/>
      <c r="O40" s="259">
        <f>IF($O$24="Y",IFERROR(E40*($E$6/SUMIF($G$3:$G$14,"Y",$E$3:$E$14))*$O$16*'Emissions Factors'!B25,""),"")</f>
        <v>0.42625756956839733</v>
      </c>
      <c r="P40" s="259">
        <f>IF($P$24="Y",IFERROR($E40*(SUM($E$3,$E$4,$E$5)/SUMIF($G$3:$G$14,"Y",$E$3:$E$14))*('Emissions Factors'!$T$143*$P$16)/10^6,""),"")</f>
        <v>3.6621540919022388</v>
      </c>
      <c r="Q40" s="259"/>
      <c r="R40" s="258"/>
      <c r="T40" s="180">
        <f t="shared" si="2"/>
        <v>4.0884116614706363</v>
      </c>
      <c r="U40" s="180">
        <f t="shared" si="3"/>
        <v>0</v>
      </c>
      <c r="V40" s="177"/>
      <c r="X40" s="180">
        <f t="shared" si="4"/>
        <v>4.0884116614706363</v>
      </c>
      <c r="Y40" s="180">
        <f t="shared" si="5"/>
        <v>0</v>
      </c>
    </row>
    <row r="41" spans="1:25" ht="15.6" x14ac:dyDescent="0.3">
      <c r="A41" s="152">
        <v>2029</v>
      </c>
      <c r="B41" s="178">
        <f t="shared" si="0"/>
        <v>8.255959972880337</v>
      </c>
      <c r="C41" s="182">
        <f t="shared" si="7"/>
        <v>1.3789489838003055</v>
      </c>
      <c r="D41" s="183"/>
      <c r="E41" s="179">
        <f t="shared" si="6"/>
        <v>16.015517289163441</v>
      </c>
      <c r="F41" s="183">
        <f t="shared" si="8"/>
        <v>2.6749864780683144</v>
      </c>
      <c r="G41" s="247">
        <f t="shared" si="1"/>
        <v>0.15640710793382911</v>
      </c>
      <c r="H41" s="246"/>
      <c r="J41" s="182"/>
      <c r="K41" s="182"/>
      <c r="L41" s="182"/>
      <c r="M41" s="182"/>
      <c r="N41" s="163"/>
      <c r="O41" s="259">
        <f>IF($O$24="Y",IFERROR(E41*($E$6/SUMIF($G$3:$G$14,"Y",$E$3:$E$14))*$O$16*'Emissions Factors'!B26,""),"")</f>
        <v>0.50896272623367134</v>
      </c>
      <c r="P41" s="259">
        <f>IF($P$24="Y",IFERROR($E41*(SUM($E$3,$E$4,$E$5)/SUMIF($G$3:$G$14,"Y",$E$3:$E$14))*('Emissions Factors'!$T$143*$P$16)/10^6,""),"")</f>
        <v>4.3964736489841547</v>
      </c>
      <c r="Q41" s="259"/>
      <c r="R41" s="258"/>
      <c r="T41" s="180">
        <f t="shared" si="2"/>
        <v>4.9054363752178265</v>
      </c>
      <c r="U41" s="180">
        <f t="shared" si="3"/>
        <v>0</v>
      </c>
      <c r="V41" s="177"/>
      <c r="X41" s="180">
        <f t="shared" si="4"/>
        <v>4.9054363752178265</v>
      </c>
      <c r="Y41" s="180">
        <f t="shared" si="5"/>
        <v>0</v>
      </c>
    </row>
    <row r="42" spans="1:25" ht="15.6" x14ac:dyDescent="0.3">
      <c r="A42" s="152">
        <v>2030</v>
      </c>
      <c r="B42" s="178">
        <f t="shared" si="0"/>
        <v>9.7504323085490494</v>
      </c>
      <c r="C42" s="182">
        <f t="shared" si="7"/>
        <v>1.4944723356687124</v>
      </c>
      <c r="D42" s="183"/>
      <c r="E42" s="179">
        <f t="shared" si="6"/>
        <v>18.914604446647367</v>
      </c>
      <c r="F42" s="183">
        <f t="shared" si="8"/>
        <v>2.8990871574839261</v>
      </c>
      <c r="G42" s="247">
        <f t="shared" si="1"/>
        <v>0.15912591052291172</v>
      </c>
      <c r="H42" s="246"/>
      <c r="J42" s="182"/>
      <c r="K42" s="182"/>
      <c r="L42" s="182"/>
      <c r="M42" s="182"/>
      <c r="N42" s="163"/>
      <c r="O42" s="259">
        <f>IF($O$24="Y",IFERROR(E42*($E$6/SUMIF($G$3:$G$14,"Y",$E$3:$E$14))*$O$16*'Emissions Factors'!B27,""),"")</f>
        <v>0.59800780639622408</v>
      </c>
      <c r="P42" s="259">
        <f>IF($P$24="Y",IFERROR($E42*(SUM($E$3,$E$4,$E$5)/SUMIF($G$3:$G$14,"Y",$E$3:$E$14))*('Emissions Factors'!$T$143*$P$16)/10^6,""),"")</f>
        <v>5.1923118391505518</v>
      </c>
      <c r="Q42" s="259"/>
      <c r="R42" s="258"/>
      <c r="T42" s="180">
        <f t="shared" si="2"/>
        <v>5.7903196455467763</v>
      </c>
      <c r="U42" s="180">
        <f t="shared" si="3"/>
        <v>0</v>
      </c>
      <c r="V42" s="177"/>
      <c r="X42" s="180">
        <f t="shared" si="4"/>
        <v>5.7903196455467763</v>
      </c>
      <c r="Y42" s="180">
        <f t="shared" si="5"/>
        <v>0</v>
      </c>
    </row>
    <row r="43" spans="1:25" ht="15.6" x14ac:dyDescent="0.3">
      <c r="A43" s="152">
        <v>2031</v>
      </c>
      <c r="B43" s="178">
        <f t="shared" si="0"/>
        <v>11.360048465160666</v>
      </c>
      <c r="C43" s="182">
        <f t="shared" si="7"/>
        <v>1.6096161566116169</v>
      </c>
      <c r="D43" s="183"/>
      <c r="E43" s="179">
        <f t="shared" si="6"/>
        <v>22.037056041593321</v>
      </c>
      <c r="F43" s="183">
        <f t="shared" si="8"/>
        <v>3.1224515949459537</v>
      </c>
      <c r="G43" s="247">
        <f t="shared" si="1"/>
        <v>0.16178976608053502</v>
      </c>
      <c r="H43" s="246"/>
      <c r="J43" s="182"/>
      <c r="K43" s="182"/>
      <c r="L43" s="182"/>
      <c r="M43" s="182"/>
      <c r="N43" s="163"/>
      <c r="O43" s="259">
        <f>IF($O$24="Y",IFERROR(E43*($E$6/SUMIF($G$3:$G$14,"Y",$E$3:$E$14))*$O$16*'Emissions Factors'!B28,""),"")</f>
        <v>0.69284944445803875</v>
      </c>
      <c r="P43" s="259">
        <f>IF($P$24="Y",IFERROR($E43*(SUM($E$3,$E$4,$E$5)/SUMIF($G$3:$G$14,"Y",$E$3:$E$14))*('Emissions Factors'!$T$143*$P$16)/10^6,""),"")</f>
        <v>6.0494665541404347</v>
      </c>
      <c r="Q43" s="259"/>
      <c r="R43" s="258"/>
      <c r="T43" s="180">
        <f t="shared" si="2"/>
        <v>6.7423159985984737</v>
      </c>
      <c r="U43" s="180">
        <f t="shared" si="3"/>
        <v>0</v>
      </c>
      <c r="V43" s="177"/>
      <c r="X43" s="180">
        <f t="shared" si="4"/>
        <v>6.7423159985984737</v>
      </c>
      <c r="Y43" s="180">
        <f t="shared" si="5"/>
        <v>0</v>
      </c>
    </row>
    <row r="44" spans="1:25" ht="15.6" x14ac:dyDescent="0.3">
      <c r="A44" s="152">
        <v>2032</v>
      </c>
      <c r="B44" s="178">
        <f t="shared" si="0"/>
        <v>13.075486844052291</v>
      </c>
      <c r="C44" s="182">
        <f t="shared" si="7"/>
        <v>1.7154383788916245</v>
      </c>
      <c r="D44" s="183"/>
      <c r="E44" s="179">
        <f t="shared" si="6"/>
        <v>25.364789352544481</v>
      </c>
      <c r="F44" s="183">
        <f t="shared" si="8"/>
        <v>3.3277333109511602</v>
      </c>
      <c r="G44" s="247">
        <f t="shared" si="1"/>
        <v>0.16438100535500411</v>
      </c>
      <c r="H44" s="246"/>
      <c r="J44" s="182"/>
      <c r="K44" s="182"/>
      <c r="L44" s="182"/>
      <c r="M44" s="182"/>
      <c r="N44" s="163"/>
      <c r="O44" s="259">
        <f>IF($O$24="Y",IFERROR(E44*($E$6/SUMIF($G$3:$G$14,"Y",$E$3:$E$14))*$O$16*'Emissions Factors'!B29,""),"")</f>
        <v>0.79323833683173073</v>
      </c>
      <c r="P44" s="259">
        <f>IF($P$24="Y",IFERROR($E44*(SUM($E$3,$E$4,$E$5)/SUMIF($G$3:$G$14,"Y",$E$3:$E$14))*('Emissions Factors'!$T$143*$P$16)/10^6,""),"")</f>
        <v>6.9629738451189684</v>
      </c>
      <c r="Q44" s="259"/>
      <c r="R44" s="258"/>
      <c r="T44" s="180">
        <f t="shared" si="2"/>
        <v>7.7562121819506995</v>
      </c>
      <c r="U44" s="180">
        <f t="shared" si="3"/>
        <v>0</v>
      </c>
      <c r="V44" s="177"/>
      <c r="X44" s="180">
        <f t="shared" si="4"/>
        <v>7.7562121819506995</v>
      </c>
      <c r="Y44" s="180">
        <f t="shared" si="5"/>
        <v>0</v>
      </c>
    </row>
    <row r="45" spans="1:25" ht="15.6" x14ac:dyDescent="0.3">
      <c r="A45" s="152">
        <v>2033</v>
      </c>
      <c r="B45" s="178">
        <f t="shared" si="0"/>
        <v>14.874564915723331</v>
      </c>
      <c r="C45" s="182">
        <f t="shared" si="7"/>
        <v>1.7990780716710404</v>
      </c>
      <c r="D45" s="183"/>
      <c r="E45" s="179">
        <f t="shared" si="6"/>
        <v>28.854773080184824</v>
      </c>
      <c r="F45" s="183">
        <f t="shared" si="8"/>
        <v>3.4899837276403431</v>
      </c>
      <c r="G45" s="247">
        <f t="shared" si="1"/>
        <v>0.16687972502084591</v>
      </c>
      <c r="H45" s="246"/>
      <c r="J45" s="182"/>
      <c r="K45" s="182"/>
      <c r="L45" s="182"/>
      <c r="M45" s="182"/>
      <c r="N45" s="163"/>
      <c r="O45" s="259">
        <f>IF($O$24="Y",IFERROR(E45*($E$6/SUMIF($G$3:$G$14,"Y",$E$3:$E$14))*$O$16*'Emissions Factors'!B30,""),"")</f>
        <v>0.89760237760063633</v>
      </c>
      <c r="P45" s="259">
        <f>IF($P$24="Y",IFERROR($E45*(SUM($E$3,$E$4,$E$5)/SUMIF($G$3:$G$14,"Y",$E$3:$E$14))*('Emissions Factors'!$T$143*$P$16)/10^6,""),"")</f>
        <v>7.9210210450265341</v>
      </c>
      <c r="Q45" s="259"/>
      <c r="R45" s="258"/>
      <c r="T45" s="180">
        <f t="shared" si="2"/>
        <v>8.8186234226271711</v>
      </c>
      <c r="U45" s="180">
        <f t="shared" si="3"/>
        <v>0</v>
      </c>
      <c r="V45" s="177"/>
      <c r="X45" s="180">
        <f t="shared" si="4"/>
        <v>8.8186234226271711</v>
      </c>
      <c r="Y45" s="180">
        <f t="shared" si="5"/>
        <v>0</v>
      </c>
    </row>
    <row r="46" spans="1:25" ht="15.6" x14ac:dyDescent="0.3">
      <c r="A46" s="152">
        <v>2034</v>
      </c>
      <c r="B46" s="178">
        <f t="shared" si="0"/>
        <v>16.728279952780152</v>
      </c>
      <c r="C46" s="182">
        <f t="shared" si="7"/>
        <v>1.8537150370568209</v>
      </c>
      <c r="D46" s="183"/>
      <c r="E46" s="179">
        <f t="shared" si="6"/>
        <v>32.450745604602012</v>
      </c>
      <c r="F46" s="183">
        <f t="shared" si="8"/>
        <v>3.5959725244171885</v>
      </c>
      <c r="G46" s="247">
        <f t="shared" si="1"/>
        <v>0.1692744861702945</v>
      </c>
      <c r="H46" s="246"/>
      <c r="J46" s="182"/>
      <c r="K46" s="182"/>
      <c r="L46" s="182"/>
      <c r="M46" s="182"/>
      <c r="N46" s="163"/>
      <c r="O46" s="259">
        <f>IF($O$24="Y",IFERROR(E46*($E$6/SUMIF($G$3:$G$14,"Y",$E$3:$E$14))*$O$16*'Emissions Factors'!B31,""),"")</f>
        <v>1.0041263347481564</v>
      </c>
      <c r="P46" s="259">
        <f>IF($P$24="Y",IFERROR($E46*(SUM($E$3,$E$4,$E$5)/SUMIF($G$3:$G$14,"Y",$E$3:$E$14))*('Emissions Factors'!$T$143*$P$16)/10^6,""),"")</f>
        <v>8.908163586889259</v>
      </c>
      <c r="Q46" s="259"/>
      <c r="R46" s="258"/>
      <c r="T46" s="180">
        <f t="shared" si="2"/>
        <v>9.9122899216374147</v>
      </c>
      <c r="U46" s="180">
        <f t="shared" si="3"/>
        <v>0</v>
      </c>
      <c r="V46" s="177"/>
      <c r="X46" s="180">
        <f t="shared" si="4"/>
        <v>9.9122899216374147</v>
      </c>
      <c r="Y46" s="180">
        <f t="shared" si="5"/>
        <v>0</v>
      </c>
    </row>
    <row r="47" spans="1:25" ht="15.6" x14ac:dyDescent="0.3">
      <c r="A47" s="152">
        <v>2035</v>
      </c>
      <c r="B47" s="178">
        <f t="shared" si="0"/>
        <v>18.615965509284869</v>
      </c>
      <c r="C47" s="182">
        <f t="shared" si="7"/>
        <v>1.8876855565047173</v>
      </c>
      <c r="D47" s="183"/>
      <c r="E47" s="179">
        <f t="shared" si="6"/>
        <v>36.112616636682354</v>
      </c>
      <c r="F47" s="183">
        <f t="shared" si="8"/>
        <v>3.6618710320803416</v>
      </c>
      <c r="G47" s="247">
        <f t="shared" si="1"/>
        <v>0.17157870223157007</v>
      </c>
      <c r="H47" s="246"/>
      <c r="J47" s="182"/>
      <c r="K47" s="182"/>
      <c r="L47" s="182"/>
      <c r="M47" s="182"/>
      <c r="N47" s="163"/>
      <c r="O47" s="259">
        <f>IF($O$24="Y",IFERROR(E47*($E$6/SUMIF($G$3:$G$14,"Y",$E$3:$E$14))*$O$16*'Emissions Factors'!B32,""),"")</f>
        <v>1.1113648800421188</v>
      </c>
      <c r="P47" s="259">
        <f>IF($P$24="Y",IFERROR($E47*(SUM($E$3,$E$4,$E$5)/SUMIF($G$3:$G$14,"Y",$E$3:$E$14))*('Emissions Factors'!$T$143*$P$16)/10^6,""),"")</f>
        <v>9.9133961502740782</v>
      </c>
      <c r="Q47" s="259"/>
      <c r="R47" s="258"/>
      <c r="T47" s="180">
        <f t="shared" si="2"/>
        <v>11.024761030316197</v>
      </c>
      <c r="U47" s="180">
        <f t="shared" si="3"/>
        <v>0</v>
      </c>
      <c r="V47" s="177"/>
      <c r="X47" s="180">
        <f t="shared" si="4"/>
        <v>11.024761030316197</v>
      </c>
      <c r="Y47" s="180">
        <f t="shared" si="5"/>
        <v>0</v>
      </c>
    </row>
    <row r="48" spans="1:25" ht="15.6" x14ac:dyDescent="0.3">
      <c r="A48" s="152">
        <v>2036</v>
      </c>
      <c r="B48" s="178">
        <f t="shared" si="0"/>
        <v>20.530211365909171</v>
      </c>
      <c r="C48" s="182">
        <f t="shared" si="7"/>
        <v>1.9142458566243015</v>
      </c>
      <c r="D48" s="183"/>
      <c r="E48" s="179">
        <f t="shared" si="6"/>
        <v>39.826011288931404</v>
      </c>
      <c r="F48" s="183">
        <f t="shared" si="8"/>
        <v>3.7133946522490504</v>
      </c>
      <c r="G48" s="247">
        <f t="shared" si="1"/>
        <v>0.17382510269932511</v>
      </c>
      <c r="H48" s="246"/>
      <c r="J48" s="182"/>
      <c r="K48" s="182"/>
      <c r="L48" s="182"/>
      <c r="M48" s="182"/>
      <c r="N48" s="163"/>
      <c r="O48" s="259">
        <f>IF($O$24="Y",IFERROR(E48*($E$6/SUMIF($G$3:$G$14,"Y",$E$3:$E$14))*$O$16*'Emissions Factors'!B33,""),"")</f>
        <v>1.2192958344381273</v>
      </c>
      <c r="P48" s="259">
        <f>IF($P$24="Y",IFERROR($E48*(SUM($E$3,$E$4,$E$5)/SUMIF($G$3:$G$14,"Y",$E$3:$E$14))*('Emissions Factors'!$T$143*$P$16)/10^6,""),"")</f>
        <v>10.932772636348501</v>
      </c>
      <c r="Q48" s="259"/>
      <c r="R48" s="258"/>
      <c r="T48" s="180">
        <f t="shared" si="2"/>
        <v>12.152068470786627</v>
      </c>
      <c r="U48" s="180">
        <f t="shared" si="3"/>
        <v>0</v>
      </c>
      <c r="V48" s="177"/>
      <c r="X48" s="180">
        <f t="shared" si="4"/>
        <v>12.152068470786627</v>
      </c>
      <c r="Y48" s="180">
        <f t="shared" si="5"/>
        <v>0</v>
      </c>
    </row>
    <row r="49" spans="1:25" ht="15.6" x14ac:dyDescent="0.3">
      <c r="A49" s="152">
        <v>2037</v>
      </c>
      <c r="B49" s="178">
        <f t="shared" si="0"/>
        <v>22.47738724126588</v>
      </c>
      <c r="C49" s="182">
        <f t="shared" si="7"/>
        <v>1.9471758753567094</v>
      </c>
      <c r="D49" s="183"/>
      <c r="E49" s="179">
        <f t="shared" si="6"/>
        <v>43.60328600916452</v>
      </c>
      <c r="F49" s="183">
        <f t="shared" si="8"/>
        <v>3.7772747202331161</v>
      </c>
      <c r="G49" s="247">
        <f t="shared" si="1"/>
        <v>0.17604934878848666</v>
      </c>
      <c r="H49" s="246"/>
      <c r="J49" s="182"/>
      <c r="K49" s="182"/>
      <c r="L49" s="182"/>
      <c r="M49" s="182"/>
      <c r="N49" s="163"/>
      <c r="O49" s="259">
        <f>IF($O$24="Y",IFERROR(E49*($E$6/SUMIF($G$3:$G$14,"Y",$E$3:$E$14))*$O$16*'Emissions Factors'!B34,""),"")</f>
        <v>1.3278212407734975</v>
      </c>
      <c r="P49" s="259">
        <f>IF($P$24="Y",IFERROR($E49*(SUM($E$3,$E$4,$E$5)/SUMIF($G$3:$G$14,"Y",$E$3:$E$14))*('Emissions Factors'!$T$143*$P$16)/10^6,""),"")</f>
        <v>11.969685055263341</v>
      </c>
      <c r="Q49" s="259"/>
      <c r="R49" s="258"/>
      <c r="T49" s="180">
        <f t="shared" si="2"/>
        <v>13.297506296036838</v>
      </c>
      <c r="U49" s="180">
        <f t="shared" si="3"/>
        <v>0</v>
      </c>
      <c r="V49" s="177"/>
      <c r="X49" s="180">
        <f t="shared" si="4"/>
        <v>13.297506296036838</v>
      </c>
      <c r="Y49" s="180">
        <f t="shared" si="5"/>
        <v>0</v>
      </c>
    </row>
    <row r="50" spans="1:25" ht="15.6" x14ac:dyDescent="0.3">
      <c r="A50" s="152">
        <v>2038</v>
      </c>
      <c r="B50" s="178">
        <f t="shared" si="0"/>
        <v>24.468263647599873</v>
      </c>
      <c r="C50" s="182">
        <f t="shared" si="7"/>
        <v>1.9908764063339923</v>
      </c>
      <c r="D50" s="183"/>
      <c r="E50" s="179">
        <f t="shared" si="6"/>
        <v>47.465334227780772</v>
      </c>
      <c r="F50" s="183">
        <f t="shared" si="8"/>
        <v>3.8620482186162519</v>
      </c>
      <c r="G50" s="247">
        <f t="shared" si="1"/>
        <v>0.17827369098314047</v>
      </c>
      <c r="H50" s="246"/>
      <c r="J50" s="182"/>
      <c r="K50" s="182"/>
      <c r="L50" s="182"/>
      <c r="M50" s="182"/>
      <c r="N50" s="163"/>
      <c r="O50" s="259">
        <f>IF($O$24="Y",IFERROR(E50*($E$6/SUMIF($G$3:$G$14,"Y",$E$3:$E$14))*$O$16*'Emissions Factors'!B35,""),"")</f>
        <v>1.4376885908169887</v>
      </c>
      <c r="P50" s="259">
        <f>IF($P$24="Y",IFERROR($E50*(SUM($E$3,$E$4,$E$5)/SUMIF($G$3:$G$14,"Y",$E$3:$E$14))*('Emissions Factors'!$T$143*$P$16)/10^6,""),"")</f>
        <v>13.029868933041756</v>
      </c>
      <c r="Q50" s="259"/>
      <c r="R50" s="258"/>
      <c r="T50" s="180">
        <f t="shared" si="2"/>
        <v>14.467557523858744</v>
      </c>
      <c r="U50" s="180">
        <f t="shared" si="3"/>
        <v>0</v>
      </c>
      <c r="V50" s="177"/>
      <c r="X50" s="180">
        <f t="shared" si="4"/>
        <v>14.467557523858744</v>
      </c>
      <c r="Y50" s="180">
        <f t="shared" si="5"/>
        <v>0</v>
      </c>
    </row>
    <row r="51" spans="1:25" ht="15.6" x14ac:dyDescent="0.3">
      <c r="A51" s="152">
        <v>2039</v>
      </c>
      <c r="B51" s="178">
        <f t="shared" si="0"/>
        <v>26.520379511925942</v>
      </c>
      <c r="C51" s="182">
        <f t="shared" si="7"/>
        <v>2.0521158643260691</v>
      </c>
      <c r="D51" s="183"/>
      <c r="E51" s="179">
        <f t="shared" si="6"/>
        <v>51.446179243071533</v>
      </c>
      <c r="F51" s="183">
        <f t="shared" si="8"/>
        <v>3.9808450152907611</v>
      </c>
      <c r="G51" s="247">
        <f t="shared" si="1"/>
        <v>0.18051522326645572</v>
      </c>
      <c r="H51" s="246"/>
      <c r="J51" s="182"/>
      <c r="K51" s="182"/>
      <c r="L51" s="182"/>
      <c r="M51" s="182"/>
      <c r="N51" s="163"/>
      <c r="O51" s="259">
        <f>IF($O$24="Y",IFERROR(E51*($E$6/SUMIF($G$3:$G$14,"Y",$E$3:$E$14))*$O$16*'Emissions Factors'!B36,""),"")</f>
        <v>1.5498335344386414</v>
      </c>
      <c r="P51" s="259">
        <f>IF($P$24="Y",IFERROR($E51*(SUM($E$3,$E$4,$E$5)/SUMIF($G$3:$G$14,"Y",$E$3:$E$14))*('Emissions Factors'!$T$143*$P$16)/10^6,""),"")</f>
        <v>14.122664120010702</v>
      </c>
      <c r="Q51" s="259"/>
      <c r="R51" s="258"/>
      <c r="T51" s="180">
        <f t="shared" si="2"/>
        <v>15.672497654449344</v>
      </c>
      <c r="U51" s="180">
        <f t="shared" si="3"/>
        <v>0</v>
      </c>
      <c r="V51" s="177"/>
      <c r="X51" s="180">
        <f t="shared" si="4"/>
        <v>15.672497654449344</v>
      </c>
      <c r="Y51" s="180">
        <f t="shared" si="5"/>
        <v>0</v>
      </c>
    </row>
    <row r="52" spans="1:25" ht="15.6" x14ac:dyDescent="0.3">
      <c r="A52" s="152">
        <v>2040</v>
      </c>
      <c r="B52" s="178">
        <f t="shared" si="0"/>
        <v>28.64901128551578</v>
      </c>
      <c r="C52" s="182">
        <f t="shared" si="7"/>
        <v>2.1286317735898379</v>
      </c>
      <c r="D52" s="183"/>
      <c r="E52" s="179">
        <f t="shared" si="6"/>
        <v>55.575455436775869</v>
      </c>
      <c r="F52" s="183">
        <f t="shared" si="8"/>
        <v>4.1292761937043352</v>
      </c>
      <c r="G52" s="247">
        <f t="shared" si="1"/>
        <v>0.18278522431368452</v>
      </c>
      <c r="H52" s="246"/>
      <c r="J52" s="182"/>
      <c r="K52" s="182"/>
      <c r="L52" s="182"/>
      <c r="M52" s="182"/>
      <c r="N52" s="163"/>
      <c r="O52" s="259">
        <f>IF($O$24="Y",IFERROR(E52*($E$6/SUMIF($G$3:$G$14,"Y",$E$3:$E$14))*$O$16*'Emissions Factors'!B37,""),"")</f>
        <v>1.6644530909391675</v>
      </c>
      <c r="P52" s="259">
        <f>IF($P$24="Y",IFERROR($E52*(SUM($E$3,$E$4,$E$5)/SUMIF($G$3:$G$14,"Y",$E$3:$E$14))*('Emissions Factors'!$T$143*$P$16)/10^6,""),"")</f>
        <v>15.256205650216685</v>
      </c>
      <c r="Q52" s="259"/>
      <c r="R52" s="258"/>
      <c r="T52" s="180">
        <f t="shared" si="2"/>
        <v>16.920658741155854</v>
      </c>
      <c r="U52" s="180">
        <f t="shared" si="3"/>
        <v>0</v>
      </c>
      <c r="V52" s="177"/>
      <c r="X52" s="180">
        <f t="shared" si="4"/>
        <v>16.920658741155854</v>
      </c>
      <c r="Y52" s="180">
        <f t="shared" si="5"/>
        <v>0</v>
      </c>
    </row>
    <row r="53" spans="1:25" ht="15.6" x14ac:dyDescent="0.3">
      <c r="A53" s="152">
        <v>2041</v>
      </c>
      <c r="B53" s="178">
        <f t="shared" si="0"/>
        <v>30.85871434602603</v>
      </c>
      <c r="C53" s="182">
        <f t="shared" si="7"/>
        <v>2.2097030605102503</v>
      </c>
      <c r="D53" s="183"/>
      <c r="E53" s="179">
        <f t="shared" si="6"/>
        <v>59.86199966491759</v>
      </c>
      <c r="F53" s="183">
        <f t="shared" si="8"/>
        <v>4.2865442281417216</v>
      </c>
      <c r="G53" s="247">
        <f t="shared" si="1"/>
        <v>0.18508470039817954</v>
      </c>
      <c r="H53" s="246"/>
      <c r="J53" s="182"/>
      <c r="K53" s="182"/>
      <c r="L53" s="182"/>
      <c r="M53" s="182"/>
      <c r="N53" s="163"/>
      <c r="O53" s="259">
        <f>IF($O$24="Y",IFERROR(E53*($E$6/SUMIF($G$3:$G$14,"Y",$E$3:$E$14))*$O$16*'Emissions Factors'!B38,""),"")</f>
        <v>1.783730930035363</v>
      </c>
      <c r="P53" s="259">
        <f>IF($P$24="Y",IFERROR($E53*(SUM($E$3,$E$4,$E$5)/SUMIF($G$3:$G$14,"Y",$E$3:$E$14))*('Emissions Factors'!$T$143*$P$16)/10^6,""),"")</f>
        <v>16.432919358801154</v>
      </c>
      <c r="Q53" s="259"/>
      <c r="R53" s="258"/>
      <c r="T53" s="180">
        <f t="shared" si="2"/>
        <v>18.216650288836519</v>
      </c>
      <c r="U53" s="180">
        <f t="shared" si="3"/>
        <v>0</v>
      </c>
      <c r="V53" s="177"/>
      <c r="X53" s="180">
        <f t="shared" si="4"/>
        <v>18.216650288836519</v>
      </c>
      <c r="Y53" s="180">
        <f t="shared" si="5"/>
        <v>0</v>
      </c>
    </row>
    <row r="54" spans="1:25" ht="15.6" x14ac:dyDescent="0.3">
      <c r="A54" s="152">
        <v>2042</v>
      </c>
      <c r="B54" s="178">
        <f t="shared" si="0"/>
        <v>33.152549652393155</v>
      </c>
      <c r="C54" s="182">
        <f t="shared" si="7"/>
        <v>2.2938353063671251</v>
      </c>
      <c r="D54" s="183"/>
      <c r="E54" s="179">
        <f t="shared" si="6"/>
        <v>64.311749800370293</v>
      </c>
      <c r="F54" s="183">
        <f t="shared" si="8"/>
        <v>4.4497501354527031</v>
      </c>
      <c r="G54" s="247">
        <f t="shared" si="1"/>
        <v>0.18741971948505601</v>
      </c>
      <c r="H54" s="246"/>
      <c r="J54" s="182"/>
      <c r="K54" s="182"/>
      <c r="L54" s="182"/>
      <c r="M54" s="182"/>
      <c r="N54" s="163"/>
      <c r="O54" s="259">
        <f>IF($O$24="Y",IFERROR(E54*($E$6/SUMIF($G$3:$G$14,"Y",$E$3:$E$14))*$O$16*'Emissions Factors'!B39,""),"")</f>
        <v>1.9057401116118142</v>
      </c>
      <c r="P54" s="259">
        <f>IF($P$24="Y",IFERROR($E54*(SUM($E$3,$E$4,$E$5)/SUMIF($G$3:$G$14,"Y",$E$3:$E$14))*('Emissions Factors'!$T$143*$P$16)/10^6,""),"")</f>
        <v>17.654435271266781</v>
      </c>
      <c r="Q54" s="259"/>
      <c r="R54" s="258"/>
      <c r="T54" s="180">
        <f t="shared" si="2"/>
        <v>19.560175382878594</v>
      </c>
      <c r="U54" s="180">
        <f t="shared" si="3"/>
        <v>0</v>
      </c>
      <c r="V54" s="177"/>
      <c r="X54" s="180">
        <f t="shared" si="4"/>
        <v>19.560175382878594</v>
      </c>
      <c r="Y54" s="180">
        <f t="shared" si="5"/>
        <v>0</v>
      </c>
    </row>
    <row r="55" spans="1:25" ht="15.6" x14ac:dyDescent="0.3">
      <c r="A55" s="152">
        <v>2043</v>
      </c>
      <c r="B55" s="178">
        <f t="shared" si="0"/>
        <v>35.543445240213821</v>
      </c>
      <c r="C55" s="182">
        <f t="shared" si="7"/>
        <v>2.3908955878206655</v>
      </c>
      <c r="D55" s="183"/>
      <c r="E55" s="179">
        <f t="shared" si="6"/>
        <v>68.949784595731245</v>
      </c>
      <c r="F55" s="183">
        <f t="shared" si="8"/>
        <v>4.6380347953609515</v>
      </c>
      <c r="G55" s="247">
        <f t="shared" si="1"/>
        <v>0.18980495454982826</v>
      </c>
      <c r="H55" s="246"/>
      <c r="J55" s="182"/>
      <c r="K55" s="182"/>
      <c r="L55" s="182"/>
      <c r="M55" s="182"/>
      <c r="N55" s="163"/>
      <c r="O55" s="259">
        <f>IF($O$24="Y",IFERROR(E55*($E$6/SUMIF($G$3:$G$14,"Y",$E$3:$E$14))*$O$16*'Emissions Factors'!B40,""),"")</f>
        <v>2.0317788376400068</v>
      </c>
      <c r="P55" s="259">
        <f>IF($P$24="Y",IFERROR($E55*(SUM($E$3,$E$4,$E$5)/SUMIF($G$3:$G$14,"Y",$E$3:$E$14))*('Emissions Factors'!$T$143*$P$16)/10^6,""),"")</f>
        <v>18.927637840544588</v>
      </c>
      <c r="Q55" s="259"/>
      <c r="R55" s="258"/>
      <c r="T55" s="180">
        <f t="shared" si="2"/>
        <v>20.959416678184596</v>
      </c>
      <c r="U55" s="180">
        <f t="shared" si="3"/>
        <v>0</v>
      </c>
      <c r="V55" s="177"/>
      <c r="X55" s="180">
        <f t="shared" si="4"/>
        <v>20.959416678184596</v>
      </c>
      <c r="Y55" s="180">
        <f t="shared" si="5"/>
        <v>0</v>
      </c>
    </row>
    <row r="56" spans="1:25" ht="15.6" x14ac:dyDescent="0.3">
      <c r="A56" s="152">
        <v>2044</v>
      </c>
      <c r="B56" s="178">
        <f t="shared" si="0"/>
        <v>38.04663036105751</v>
      </c>
      <c r="C56" s="182">
        <f t="shared" si="7"/>
        <v>2.503185120843689</v>
      </c>
      <c r="D56" s="183"/>
      <c r="E56" s="179">
        <f t="shared" si="6"/>
        <v>73.805646871291955</v>
      </c>
      <c r="F56" s="183">
        <f t="shared" si="8"/>
        <v>4.8558622755607104</v>
      </c>
      <c r="G56" s="247">
        <f t="shared" si="1"/>
        <v>0.1922555391337836</v>
      </c>
      <c r="H56" s="246"/>
      <c r="J56" s="182"/>
      <c r="K56" s="182"/>
      <c r="L56" s="182"/>
      <c r="M56" s="182"/>
      <c r="N56" s="163"/>
      <c r="O56" s="259">
        <f>IF($O$24="Y",IFERROR(E56*($E$6/SUMIF($G$3:$G$14,"Y",$E$3:$E$14))*$O$16*'Emissions Factors'!B41,""),"")</f>
        <v>2.1625955046969056</v>
      </c>
      <c r="P56" s="259">
        <f>IF($P$24="Y",IFERROR($E56*(SUM($E$3,$E$4,$E$5)/SUMIF($G$3:$G$14,"Y",$E$3:$E$14))*('Emissions Factors'!$T$143*$P$16)/10^6,""),"")</f>
        <v>20.26063696583941</v>
      </c>
      <c r="Q56" s="259"/>
      <c r="R56" s="258"/>
      <c r="T56" s="180">
        <f t="shared" si="2"/>
        <v>22.423232470536316</v>
      </c>
      <c r="U56" s="180">
        <f t="shared" si="3"/>
        <v>0</v>
      </c>
      <c r="V56" s="177"/>
      <c r="X56" s="180">
        <f t="shared" si="4"/>
        <v>22.423232470536316</v>
      </c>
      <c r="Y56" s="180">
        <f t="shared" si="5"/>
        <v>0</v>
      </c>
    </row>
    <row r="57" spans="1:25" ht="15.6" x14ac:dyDescent="0.3">
      <c r="A57" s="152">
        <v>2045</v>
      </c>
      <c r="B57" s="178">
        <f t="shared" si="0"/>
        <v>40.675271922784859</v>
      </c>
      <c r="C57" s="182">
        <f t="shared" si="7"/>
        <v>2.6286415617273491</v>
      </c>
      <c r="D57" s="183"/>
      <c r="E57" s="179">
        <f t="shared" si="6"/>
        <v>78.904878761604806</v>
      </c>
      <c r="F57" s="183">
        <f t="shared" si="8"/>
        <v>5.0992318903128506</v>
      </c>
      <c r="G57" s="247">
        <f t="shared" si="1"/>
        <v>0.1947771141751497</v>
      </c>
      <c r="H57" s="246"/>
      <c r="J57" s="182"/>
      <c r="K57" s="182"/>
      <c r="L57" s="182"/>
      <c r="M57" s="182"/>
      <c r="N57" s="163"/>
      <c r="O57" s="259">
        <f>IF($O$24="Y",IFERROR(E57*($E$6/SUMIF($G$3:$G$14,"Y",$E$3:$E$14))*$O$16*'Emissions Factors'!B42,""),"")</f>
        <v>2.2983258859727682</v>
      </c>
      <c r="P57" s="259">
        <f>IF($P$24="Y",IFERROR($E57*(SUM($E$3,$E$4,$E$5)/SUMIF($G$3:$G$14,"Y",$E$3:$E$14))*('Emissions Factors'!$T$143*$P$16)/10^6,""),"")</f>
        <v>21.660444304625099</v>
      </c>
      <c r="Q57" s="259"/>
      <c r="R57" s="258"/>
      <c r="T57" s="180">
        <f t="shared" si="2"/>
        <v>23.958770190597868</v>
      </c>
      <c r="U57" s="180">
        <f t="shared" si="3"/>
        <v>0</v>
      </c>
      <c r="V57" s="177"/>
      <c r="X57" s="180">
        <f t="shared" si="4"/>
        <v>23.958770190597868</v>
      </c>
      <c r="Y57" s="180">
        <f t="shared" si="5"/>
        <v>0</v>
      </c>
    </row>
    <row r="58" spans="1:25" ht="15.6" x14ac:dyDescent="0.3">
      <c r="A58" s="152">
        <v>2046</v>
      </c>
      <c r="B58" s="178">
        <f t="shared" si="0"/>
        <v>43.43671824887678</v>
      </c>
      <c r="C58" s="182">
        <f t="shared" si="7"/>
        <v>2.7614463260919209</v>
      </c>
      <c r="D58" s="183"/>
      <c r="E58" s="179">
        <f t="shared" si="6"/>
        <v>84.261735084055289</v>
      </c>
      <c r="F58" s="183">
        <f t="shared" si="8"/>
        <v>5.3568563224504828</v>
      </c>
      <c r="G58" s="247">
        <f t="shared" si="1"/>
        <v>0.19736229810165803</v>
      </c>
      <c r="H58" s="246"/>
      <c r="J58" s="182"/>
      <c r="K58" s="182"/>
      <c r="L58" s="182"/>
      <c r="M58" s="182"/>
      <c r="N58" s="163"/>
      <c r="O58" s="259">
        <f>IF($O$24="Y",IFERROR(E58*($E$6/SUMIF($G$3:$G$14,"Y",$E$3:$E$14))*$O$16*'Emissions Factors'!B43,""),"")</f>
        <v>2.4406458605937464</v>
      </c>
      <c r="P58" s="259">
        <f>IF($P$24="Y",IFERROR($E58*(SUM($E$3,$E$4,$E$5)/SUMIF($G$3:$G$14,"Y",$E$3:$E$14))*('Emissions Factors'!$T$143*$P$16)/10^6,""),"")</f>
        <v>23.130972994883713</v>
      </c>
      <c r="Q58" s="259"/>
      <c r="R58" s="258"/>
      <c r="T58" s="180">
        <f t="shared" si="2"/>
        <v>25.57161885547746</v>
      </c>
      <c r="U58" s="180">
        <f t="shared" si="3"/>
        <v>0</v>
      </c>
      <c r="V58" s="177"/>
      <c r="X58" s="180">
        <f t="shared" si="4"/>
        <v>25.57161885547746</v>
      </c>
      <c r="Y58" s="180">
        <f t="shared" si="5"/>
        <v>0</v>
      </c>
    </row>
    <row r="59" spans="1:25" ht="15.6" x14ac:dyDescent="0.3">
      <c r="A59" s="152">
        <v>2047</v>
      </c>
      <c r="B59" s="178">
        <f t="shared" si="0"/>
        <v>46.336710084100218</v>
      </c>
      <c r="C59" s="182">
        <f t="shared" si="7"/>
        <v>2.8999918352234388</v>
      </c>
      <c r="D59" s="183"/>
      <c r="E59" s="179">
        <f t="shared" si="6"/>
        <v>89.887352156814686</v>
      </c>
      <c r="F59" s="183">
        <f t="shared" si="8"/>
        <v>5.6256170727593968</v>
      </c>
      <c r="G59" s="247">
        <f t="shared" si="1"/>
        <v>0.20000061524869692</v>
      </c>
      <c r="H59" s="246"/>
      <c r="J59" s="182"/>
      <c r="K59" s="182"/>
      <c r="L59" s="182"/>
      <c r="M59" s="182"/>
      <c r="N59" s="163"/>
      <c r="O59" s="259">
        <f>IF($O$24="Y",IFERROR(E59*($E$6/SUMIF($G$3:$G$14,"Y",$E$3:$E$14))*$O$16*'Emissions Factors'!B44,""),"")</f>
        <v>2.5882934354210301</v>
      </c>
      <c r="P59" s="259">
        <f>IF($P$24="Y",IFERROR($E59*(SUM($E$3,$E$4,$E$5)/SUMIF($G$3:$G$14,"Y",$E$3:$E$14))*('Emissions Factors'!$T$143*$P$16)/10^6,""),"")</f>
        <v>24.675280104863671</v>
      </c>
      <c r="Q59" s="259"/>
      <c r="R59" s="258"/>
      <c r="T59" s="180">
        <f t="shared" si="2"/>
        <v>27.2635735402847</v>
      </c>
      <c r="U59" s="180">
        <f t="shared" si="3"/>
        <v>0</v>
      </c>
      <c r="V59" s="177"/>
      <c r="X59" s="180">
        <f t="shared" si="4"/>
        <v>27.2635735402847</v>
      </c>
      <c r="Y59" s="180">
        <f t="shared" si="5"/>
        <v>0</v>
      </c>
    </row>
    <row r="60" spans="1:25" ht="15.6" x14ac:dyDescent="0.3">
      <c r="A60" s="152">
        <v>2048</v>
      </c>
      <c r="B60" s="178">
        <f t="shared" si="0"/>
        <v>49.384783850001355</v>
      </c>
      <c r="C60" s="182">
        <f t="shared" si="7"/>
        <v>3.0480737659011368</v>
      </c>
      <c r="D60" s="183"/>
      <c r="E60" s="179">
        <f t="shared" si="6"/>
        <v>95.800229430540597</v>
      </c>
      <c r="F60" s="183">
        <f t="shared" si="8"/>
        <v>5.9128772737259112</v>
      </c>
      <c r="G60" s="247">
        <f t="shared" si="1"/>
        <v>0.20268785274964649</v>
      </c>
      <c r="H60" s="246"/>
      <c r="J60" s="182"/>
      <c r="K60" s="182"/>
      <c r="L60" s="182"/>
      <c r="M60" s="182"/>
      <c r="N60" s="163"/>
      <c r="O60" s="259">
        <f>IF($O$24="Y",IFERROR(E60*($E$6/SUMIF($G$3:$G$14,"Y",$E$3:$E$14))*$O$16*'Emissions Factors'!B45,""),"")</f>
        <v>2.7420929723531891</v>
      </c>
      <c r="P60" s="259">
        <f>IF($P$24="Y",IFERROR($E60*(SUM($E$3,$E$4,$E$5)/SUMIF($G$3:$G$14,"Y",$E$3:$E$14))*('Emissions Factors'!$T$143*$P$16)/10^6,""),"")</f>
        <v>26.298443981137758</v>
      </c>
      <c r="Q60" s="259"/>
      <c r="R60" s="258"/>
      <c r="T60" s="180">
        <f t="shared" si="2"/>
        <v>29.040536953490946</v>
      </c>
      <c r="U60" s="180">
        <f t="shared" si="3"/>
        <v>0</v>
      </c>
      <c r="V60" s="177"/>
      <c r="X60" s="180">
        <f t="shared" si="4"/>
        <v>29.040536953490946</v>
      </c>
      <c r="Y60" s="180">
        <f t="shared" si="5"/>
        <v>0</v>
      </c>
    </row>
    <row r="61" spans="1:25" ht="15.6" x14ac:dyDescent="0.3">
      <c r="A61" s="152">
        <v>2049</v>
      </c>
      <c r="B61" s="178">
        <f t="shared" si="0"/>
        <v>52.590444596672278</v>
      </c>
      <c r="C61" s="182">
        <f t="shared" si="7"/>
        <v>3.2056607466709224</v>
      </c>
      <c r="D61" s="183"/>
      <c r="E61" s="179">
        <f t="shared" si="6"/>
        <v>102.01880549924086</v>
      </c>
      <c r="F61" s="183">
        <f t="shared" si="8"/>
        <v>6.2185760687002585</v>
      </c>
      <c r="G61" s="247">
        <f t="shared" si="1"/>
        <v>0.20541848180078592</v>
      </c>
      <c r="H61" s="246"/>
      <c r="J61" s="182"/>
      <c r="K61" s="182"/>
      <c r="L61" s="182"/>
      <c r="M61" s="182"/>
      <c r="N61" s="163"/>
      <c r="O61" s="259">
        <f>IF($O$24="Y",IFERROR(E61*($E$6/SUMIF($G$3:$G$14,"Y",$E$3:$E$14))*$O$16*'Emissions Factors'!B46,""),"")</f>
        <v>2.9050362990649488</v>
      </c>
      <c r="P61" s="259">
        <f>IF($P$24="Y",IFERROR($E61*(SUM($E$3,$E$4,$E$5)/SUMIF($G$3:$G$14,"Y",$E$3:$E$14))*('Emissions Factors'!$T$143*$P$16)/10^6,""),"")</f>
        <v>28.005526264314657</v>
      </c>
      <c r="Q61" s="259"/>
      <c r="R61" s="258"/>
      <c r="T61" s="180">
        <f t="shared" si="2"/>
        <v>30.910562563379607</v>
      </c>
      <c r="U61" s="180">
        <f t="shared" si="3"/>
        <v>0</v>
      </c>
      <c r="V61" s="177"/>
      <c r="X61" s="180">
        <f t="shared" si="4"/>
        <v>30.910562563379607</v>
      </c>
      <c r="Y61" s="180">
        <f t="shared" si="5"/>
        <v>0</v>
      </c>
    </row>
    <row r="62" spans="1:25" ht="15.6" x14ac:dyDescent="0.3">
      <c r="A62" s="152">
        <v>2050</v>
      </c>
      <c r="B62" s="178">
        <f t="shared" si="0"/>
        <v>55.961188692278213</v>
      </c>
      <c r="C62" s="182">
        <f t="shared" si="7"/>
        <v>3.3707440956059358</v>
      </c>
      <c r="D62" s="183"/>
      <c r="E62" s="179">
        <f t="shared" si="6"/>
        <v>108.55762236824859</v>
      </c>
      <c r="F62" s="183">
        <f t="shared" si="8"/>
        <v>6.5388168690077322</v>
      </c>
      <c r="G62" s="247">
        <f t="shared" si="1"/>
        <v>0.20818425876008145</v>
      </c>
      <c r="H62" s="246"/>
      <c r="J62" s="182"/>
      <c r="K62" s="182"/>
      <c r="L62" s="182"/>
      <c r="M62" s="182"/>
      <c r="N62" s="163"/>
      <c r="O62" s="259">
        <f>IF($O$24="Y",IFERROR(E62*($E$6/SUMIF($G$3:$G$14,"Y",$E$3:$E$14))*$O$16*'Emissions Factors'!B47,""),"")</f>
        <v>3.0806018521210681</v>
      </c>
      <c r="P62" s="259">
        <f>IF($P$24="Y",IFERROR($E62*(SUM($E$3,$E$4,$E$5)/SUMIF($G$3:$G$14,"Y",$E$3:$E$14))*('Emissions Factors'!$T$143*$P$16)/10^6,""),"")</f>
        <v>29.800518929308193</v>
      </c>
      <c r="Q62" s="259"/>
      <c r="R62" s="258"/>
      <c r="T62" s="180">
        <f t="shared" si="2"/>
        <v>32.88112078142926</v>
      </c>
      <c r="U62" s="180">
        <f t="shared" si="3"/>
        <v>0</v>
      </c>
      <c r="V62" s="177"/>
      <c r="X62" s="180">
        <f t="shared" si="4"/>
        <v>32.88112078142926</v>
      </c>
      <c r="Y62" s="180">
        <f t="shared" si="5"/>
        <v>0</v>
      </c>
    </row>
    <row r="63" spans="1:25" ht="15.6" x14ac:dyDescent="0.3">
      <c r="A63" s="152">
        <v>2051</v>
      </c>
      <c r="B63" s="178">
        <f t="shared" si="0"/>
        <v>59.502171771782464</v>
      </c>
      <c r="C63" s="182">
        <f t="shared" si="7"/>
        <v>3.540983079504251</v>
      </c>
      <c r="D63" s="183"/>
      <c r="E63" s="179">
        <f t="shared" si="6"/>
        <v>115.42668131678056</v>
      </c>
      <c r="F63" s="183">
        <f t="shared" si="8"/>
        <v>6.869058948531972</v>
      </c>
      <c r="G63" s="247">
        <f t="shared" si="1"/>
        <v>0.21097588108295465</v>
      </c>
      <c r="H63" s="246"/>
      <c r="J63" s="182"/>
      <c r="K63" s="182"/>
      <c r="L63" s="182"/>
      <c r="M63" s="182"/>
      <c r="N63" s="163"/>
      <c r="O63" s="259">
        <f>IF($O$24="Y",IFERROR(E63*($E$6/SUMIF($G$3:$G$14,"Y",$E$3:$E$14))*$O$16*'Emissions Factors'!B48,""),"")</f>
        <v>3.2630097966604015</v>
      </c>
      <c r="P63" s="259">
        <f>IF($P$24="Y",IFERROR($E63*(SUM($E$3,$E$4,$E$5)/SUMIF($G$3:$G$14,"Y",$E$3:$E$14))*('Emissions Factors'!$T$143*$P$16)/10^6,""),"")</f>
        <v>31.686167460996494</v>
      </c>
      <c r="Q63" s="259"/>
      <c r="R63" s="258"/>
      <c r="T63" s="180" t="str">
        <f t="shared" si="2"/>
        <v/>
      </c>
      <c r="U63" s="180" t="str">
        <f t="shared" si="3"/>
        <v/>
      </c>
      <c r="V63" s="177"/>
      <c r="X63" s="180">
        <f t="shared" si="4"/>
        <v>34.949177257656892</v>
      </c>
      <c r="Y63" s="180">
        <f t="shared" si="5"/>
        <v>0</v>
      </c>
    </row>
    <row r="64" spans="1:25" ht="15.6" x14ac:dyDescent="0.3">
      <c r="A64" s="152">
        <v>2052</v>
      </c>
      <c r="B64" s="178">
        <f t="shared" si="0"/>
        <v>63.215230369981349</v>
      </c>
      <c r="C64" s="182">
        <f t="shared" si="7"/>
        <v>3.7130585981988844</v>
      </c>
      <c r="D64" s="183"/>
      <c r="E64" s="179">
        <f t="shared" si="6"/>
        <v>122.62954498986889</v>
      </c>
      <c r="F64" s="183">
        <f t="shared" si="8"/>
        <v>7.2028636730883306</v>
      </c>
      <c r="G64" s="247">
        <f t="shared" si="1"/>
        <v>0.2137806111534572</v>
      </c>
      <c r="H64" s="246"/>
      <c r="J64" s="182"/>
      <c r="K64" s="182"/>
      <c r="L64" s="182"/>
      <c r="M64" s="182"/>
      <c r="N64" s="163"/>
      <c r="O64" s="259">
        <f>IF($O$24="Y",IFERROR(E64*($E$6/SUMIF($G$3:$G$14,"Y",$E$3:$E$14))*$O$16*'Emissions Factors'!B49,""),"")</f>
        <v>3.4538273994291724</v>
      </c>
      <c r="P64" s="259">
        <f>IF($P$24="Y",IFERROR($E64*(SUM($E$3,$E$4,$E$5)/SUMIF($G$3:$G$14,"Y",$E$3:$E$14))*('Emissions Factors'!$T$143*$P$16)/10^6,""),"")</f>
        <v>33.663449853079143</v>
      </c>
      <c r="Q64" s="259"/>
      <c r="R64" s="258"/>
      <c r="T64" s="180" t="str">
        <f t="shared" si="2"/>
        <v/>
      </c>
      <c r="U64" s="180" t="str">
        <f t="shared" si="3"/>
        <v/>
      </c>
      <c r="V64" s="177"/>
      <c r="X64" s="180">
        <f t="shared" si="4"/>
        <v>37.117277252508316</v>
      </c>
      <c r="Y64" s="180">
        <f t="shared" si="5"/>
        <v>0</v>
      </c>
    </row>
    <row r="65" spans="1:25" ht="15.6" x14ac:dyDescent="0.3">
      <c r="A65" s="152">
        <v>2053</v>
      </c>
      <c r="B65" s="178">
        <f t="shared" si="0"/>
        <v>67.099545600618129</v>
      </c>
      <c r="C65" s="182">
        <f t="shared" si="7"/>
        <v>3.8843152306367799</v>
      </c>
      <c r="D65" s="183"/>
      <c r="E65" s="179">
        <f t="shared" si="6"/>
        <v>130.16462485183203</v>
      </c>
      <c r="F65" s="183">
        <f t="shared" si="8"/>
        <v>7.5350798619631405</v>
      </c>
      <c r="G65" s="247">
        <f t="shared" si="1"/>
        <v>0.21658217884518355</v>
      </c>
      <c r="H65" s="246"/>
      <c r="J65" s="182"/>
      <c r="K65" s="182"/>
      <c r="L65" s="182"/>
      <c r="M65" s="182"/>
      <c r="N65" s="163"/>
      <c r="O65" s="259">
        <f>IF($O$24="Y",IFERROR(E65*($E$6/SUMIF($G$3:$G$14,"Y",$E$3:$E$14))*$O$16*'Emissions Factors'!B50,""),"")</f>
        <v>3.6521785941259735</v>
      </c>
      <c r="P65" s="259">
        <f>IF($P$24="Y",IFERROR($E65*(SUM($E$3,$E$4,$E$5)/SUMIF($G$3:$G$14,"Y",$E$3:$E$14))*('Emissions Factors'!$T$143*$P$16)/10^6,""),"")</f>
        <v>35.731930031270281</v>
      </c>
      <c r="Q65" s="259"/>
      <c r="R65" s="258"/>
      <c r="T65" s="180" t="str">
        <f t="shared" si="2"/>
        <v/>
      </c>
      <c r="U65" s="180" t="str">
        <f t="shared" si="3"/>
        <v/>
      </c>
      <c r="V65" s="177"/>
      <c r="X65" s="180">
        <f t="shared" si="4"/>
        <v>39.384108625396252</v>
      </c>
      <c r="Y65" s="180">
        <f t="shared" si="5"/>
        <v>0</v>
      </c>
    </row>
    <row r="66" spans="1:25" ht="15.6" x14ac:dyDescent="0.3">
      <c r="A66" s="152">
        <v>2054</v>
      </c>
      <c r="B66" s="178">
        <f t="shared" si="0"/>
        <v>71.151977934721302</v>
      </c>
      <c r="C66" s="182">
        <f t="shared" si="7"/>
        <v>4.0524323341031732</v>
      </c>
      <c r="D66" s="183"/>
      <c r="E66" s="179">
        <f t="shared" si="6"/>
        <v>138.02583061387392</v>
      </c>
      <c r="F66" s="183">
        <f t="shared" si="8"/>
        <v>7.8612057620418909</v>
      </c>
      <c r="G66" s="247">
        <f t="shared" si="1"/>
        <v>0.21936410274620138</v>
      </c>
      <c r="H66" s="246"/>
      <c r="J66" s="182"/>
      <c r="K66" s="182"/>
      <c r="L66" s="182"/>
      <c r="M66" s="182"/>
      <c r="N66" s="163"/>
      <c r="O66" s="259">
        <f>IF($O$24="Y",IFERROR(E66*($E$6/SUMIF($G$3:$G$14,"Y",$E$3:$E$14))*$O$16*'Emissions Factors'!B51,""),"")</f>
        <v>3.8577223000163343</v>
      </c>
      <c r="P66" s="259">
        <f>IF($P$24="Y",IFERROR($E66*(SUM($E$3,$E$4,$E$5)/SUMIF($G$3:$G$14,"Y",$E$3:$E$14))*('Emissions Factors'!$T$143*$P$16)/10^6,""),"")</f>
        <v>37.889936129858491</v>
      </c>
      <c r="Q66" s="259"/>
      <c r="R66" s="258"/>
      <c r="T66" s="180" t="str">
        <f t="shared" si="2"/>
        <v/>
      </c>
      <c r="U66" s="180" t="str">
        <f t="shared" si="3"/>
        <v/>
      </c>
      <c r="V66" s="177"/>
      <c r="X66" s="180">
        <f t="shared" si="4"/>
        <v>41.747658429874825</v>
      </c>
      <c r="Y66" s="180">
        <f t="shared" si="5"/>
        <v>0</v>
      </c>
    </row>
    <row r="67" spans="1:25" ht="15.6" x14ac:dyDescent="0.3">
      <c r="A67" s="152">
        <v>2055</v>
      </c>
      <c r="B67" s="178">
        <f t="shared" si="0"/>
        <v>75.369323010227234</v>
      </c>
      <c r="C67" s="182">
        <f t="shared" si="7"/>
        <v>4.2173450755059321</v>
      </c>
      <c r="D67" s="183"/>
      <c r="E67" s="179">
        <f t="shared" si="6"/>
        <v>146.20694621920666</v>
      </c>
      <c r="F67" s="183">
        <f t="shared" si="8"/>
        <v>8.1811156053327352</v>
      </c>
      <c r="G67" s="247">
        <f t="shared" si="1"/>
        <v>0.22211365573132913</v>
      </c>
      <c r="H67" s="246"/>
      <c r="J67" s="182"/>
      <c r="K67" s="182"/>
      <c r="L67" s="182"/>
      <c r="M67" s="182"/>
      <c r="N67" s="163"/>
      <c r="O67" s="259">
        <f>IF($O$24="Y",IFERROR(E67*($E$6/SUMIF($G$3:$G$14,"Y",$E$3:$E$14))*$O$16*'Emissions Factors'!B52,""),"")</f>
        <v>4.0697706817150845</v>
      </c>
      <c r="P67" s="259">
        <f>IF($P$24="Y",IFERROR($E67*(SUM($E$3,$E$4,$E$5)/SUMIF($G$3:$G$14,"Y",$E$3:$E$14))*('Emissions Factors'!$T$143*$P$16)/10^6,""),"")</f>
        <v>40.135761758136852</v>
      </c>
      <c r="Q67" s="259"/>
      <c r="R67" s="258"/>
      <c r="T67" s="180" t="str">
        <f t="shared" si="2"/>
        <v/>
      </c>
      <c r="U67" s="180" t="str">
        <f t="shared" si="3"/>
        <v/>
      </c>
      <c r="V67" s="177"/>
      <c r="X67" s="180">
        <f t="shared" si="4"/>
        <v>44.205532439851936</v>
      </c>
      <c r="Y67" s="180">
        <f t="shared" si="5"/>
        <v>0</v>
      </c>
    </row>
    <row r="68" spans="1:25" ht="15.6" x14ac:dyDescent="0.3">
      <c r="A68" s="152">
        <v>2056</v>
      </c>
      <c r="B68" s="178">
        <f t="shared" si="0"/>
        <v>79.752099694675309</v>
      </c>
      <c r="C68" s="182">
        <f t="shared" si="7"/>
        <v>4.3827766844480749</v>
      </c>
      <c r="D68" s="183"/>
      <c r="E68" s="179">
        <f t="shared" si="6"/>
        <v>154.70897820517712</v>
      </c>
      <c r="F68" s="183">
        <f t="shared" si="8"/>
        <v>8.5020319859704614</v>
      </c>
      <c r="G68" s="247">
        <f t="shared" si="1"/>
        <v>0.22482636634373657</v>
      </c>
      <c r="H68" s="246"/>
      <c r="J68" s="182"/>
      <c r="K68" s="182"/>
      <c r="L68" s="182"/>
      <c r="M68" s="182"/>
      <c r="N68" s="163"/>
      <c r="O68" s="259">
        <f>IF($O$24="Y",IFERROR(E68*($E$6/SUMIF($G$3:$G$14,"Y",$E$3:$E$14))*$O$16*'Emissions Factors'!B53,""),"")</f>
        <v>4.2891874617027561</v>
      </c>
      <c r="P68" s="259">
        <f>IF($P$24="Y",IFERROR($E68*(SUM($E$3,$E$4,$E$5)/SUMIF($G$3:$G$14,"Y",$E$3:$E$14))*('Emissions Factors'!$T$143*$P$16)/10^6,""),"")</f>
        <v>42.469683224066102</v>
      </c>
      <c r="Q68" s="259"/>
      <c r="R68" s="258"/>
      <c r="T68" s="180" t="str">
        <f t="shared" si="2"/>
        <v/>
      </c>
      <c r="U68" s="180" t="str">
        <f t="shared" si="3"/>
        <v/>
      </c>
      <c r="V68" s="177"/>
      <c r="X68" s="180">
        <f t="shared" si="4"/>
        <v>46.758870685768855</v>
      </c>
      <c r="Y68" s="180">
        <f t="shared" si="5"/>
        <v>0</v>
      </c>
    </row>
    <row r="69" spans="1:25" ht="15.6" x14ac:dyDescent="0.3">
      <c r="A69" s="152">
        <v>2057</v>
      </c>
      <c r="B69" s="178">
        <f t="shared" si="0"/>
        <v>84.299328044046817</v>
      </c>
      <c r="C69" s="182">
        <f t="shared" si="7"/>
        <v>4.5472283493715082</v>
      </c>
      <c r="D69" s="183"/>
      <c r="E69" s="179">
        <f t="shared" si="6"/>
        <v>163.53002560443261</v>
      </c>
      <c r="F69" s="183">
        <f t="shared" si="8"/>
        <v>8.821047399255491</v>
      </c>
      <c r="G69" s="247">
        <f t="shared" si="1"/>
        <v>0.22749832868364894</v>
      </c>
      <c r="H69" s="246"/>
      <c r="J69" s="182"/>
      <c r="K69" s="182"/>
      <c r="L69" s="182"/>
      <c r="M69" s="182"/>
      <c r="N69" s="163"/>
      <c r="O69" s="259">
        <f>IF($O$24="Y",IFERROR(E69*($E$6/SUMIF($G$3:$G$14,"Y",$E$3:$E$14))*$O$16*'Emissions Factors'!B54,""),"")</f>
        <v>4.5147151075541156</v>
      </c>
      <c r="P69" s="259">
        <f>IF($P$24="Y",IFERROR($E69*(SUM($E$3,$E$4,$E$5)/SUMIF($G$3:$G$14,"Y",$E$3:$E$14))*('Emissions Factors'!$T$143*$P$16)/10^6,""),"")</f>
        <v>44.891178686688939</v>
      </c>
      <c r="Q69" s="259"/>
      <c r="R69" s="258"/>
      <c r="T69" s="180" t="str">
        <f t="shared" si="2"/>
        <v/>
      </c>
      <c r="U69" s="180" t="str">
        <f t="shared" si="3"/>
        <v/>
      </c>
      <c r="V69" s="177"/>
      <c r="X69" s="180">
        <f t="shared" si="4"/>
        <v>49.405893794243056</v>
      </c>
      <c r="Y69" s="180">
        <f t="shared" si="5"/>
        <v>0</v>
      </c>
    </row>
    <row r="70" spans="1:25" ht="15.6" x14ac:dyDescent="0.3">
      <c r="A70" s="152">
        <v>2058</v>
      </c>
      <c r="B70" s="178">
        <f t="shared" si="0"/>
        <v>89.004232314440131</v>
      </c>
      <c r="C70" s="182">
        <f t="shared" si="7"/>
        <v>4.7049042703933139</v>
      </c>
      <c r="D70" s="183"/>
      <c r="E70" s="179">
        <f t="shared" si="6"/>
        <v>172.65694433149307</v>
      </c>
      <c r="F70" s="183">
        <f t="shared" si="8"/>
        <v>9.1269187270604561</v>
      </c>
      <c r="G70" s="247">
        <f t="shared" si="1"/>
        <v>0.23012198542578724</v>
      </c>
      <c r="H70" s="246"/>
      <c r="J70" s="182"/>
      <c r="K70" s="182"/>
      <c r="L70" s="182"/>
      <c r="M70" s="182"/>
      <c r="N70" s="163"/>
      <c r="O70" s="259">
        <f>IF($O$24="Y",IFERROR(E70*($E$6/SUMIF($G$3:$G$14,"Y",$E$3:$E$14))*$O$16*'Emissions Factors'!B55,""),"")</f>
        <v>4.746136310767632</v>
      </c>
      <c r="P70" s="259">
        <f>IF($P$24="Y",IFERROR($E70*(SUM($E$3,$E$4,$E$5)/SUMIF($G$3:$G$14,"Y",$E$3:$E$14))*('Emissions Factors'!$T$143*$P$16)/10^6,""),"")</f>
        <v>47.396639918783634</v>
      </c>
      <c r="Q70" s="259"/>
      <c r="R70" s="258"/>
      <c r="T70" s="180" t="str">
        <f t="shared" si="2"/>
        <v/>
      </c>
      <c r="U70" s="180" t="str">
        <f t="shared" si="3"/>
        <v/>
      </c>
      <c r="V70" s="177"/>
      <c r="X70" s="180">
        <f t="shared" si="4"/>
        <v>52.142776229551266</v>
      </c>
      <c r="Y70" s="180">
        <f t="shared" si="5"/>
        <v>0</v>
      </c>
    </row>
    <row r="71" spans="1:25" ht="15.6" x14ac:dyDescent="0.3">
      <c r="A71" s="152">
        <v>2059</v>
      </c>
      <c r="B71" s="178">
        <f t="shared" si="0"/>
        <v>93.857756326064361</v>
      </c>
      <c r="C71" s="182">
        <f t="shared" si="7"/>
        <v>4.8535240116242306</v>
      </c>
      <c r="D71" s="183"/>
      <c r="E71" s="179">
        <f t="shared" si="6"/>
        <v>182.07216654391601</v>
      </c>
      <c r="F71" s="183">
        <f t="shared" si="8"/>
        <v>9.4152222124229468</v>
      </c>
      <c r="G71" s="247">
        <f t="shared" si="1"/>
        <v>0.23269035564701632</v>
      </c>
      <c r="H71" s="246"/>
      <c r="J71" s="182"/>
      <c r="K71" s="182"/>
      <c r="L71" s="182"/>
      <c r="M71" s="182"/>
      <c r="N71" s="163"/>
      <c r="O71" s="259">
        <f>IF($O$24="Y",IFERROR(E71*($E$6/SUMIF($G$3:$G$14,"Y",$E$3:$E$14))*$O$16*'Emissions Factors'!B56,""),"")</f>
        <v>4.9827729523669788</v>
      </c>
      <c r="P71" s="259">
        <f>IF($P$24="Y",IFERROR($E71*(SUM($E$3,$E$4,$E$5)/SUMIF($G$3:$G$14,"Y",$E$3:$E$14))*('Emissions Factors'!$T$143*$P$16)/10^6,""),"")</f>
        <v>49.981244312689533</v>
      </c>
      <c r="Q71" s="259"/>
      <c r="R71" s="258"/>
      <c r="T71" s="180" t="str">
        <f t="shared" si="2"/>
        <v/>
      </c>
      <c r="U71" s="180" t="str">
        <f t="shared" si="3"/>
        <v/>
      </c>
      <c r="V71" s="177"/>
      <c r="X71" s="180">
        <f t="shared" si="4"/>
        <v>54.964017265056512</v>
      </c>
      <c r="Y71" s="180">
        <f t="shared" si="5"/>
        <v>0</v>
      </c>
    </row>
    <row r="72" spans="1:25" ht="15.6" x14ac:dyDescent="0.3">
      <c r="A72" s="152">
        <v>2060</v>
      </c>
      <c r="B72" s="178">
        <f t="shared" si="0"/>
        <v>98.852599387095736</v>
      </c>
      <c r="C72" s="182">
        <f t="shared" si="7"/>
        <v>4.994843061031375</v>
      </c>
      <c r="D72" s="183"/>
      <c r="E72" s="179">
        <f t="shared" si="6"/>
        <v>191.76152982370158</v>
      </c>
      <c r="F72" s="183">
        <f t="shared" si="8"/>
        <v>9.6893632797855673</v>
      </c>
      <c r="G72" s="247">
        <f t="shared" si="1"/>
        <v>0.2352002241567957</v>
      </c>
      <c r="H72" s="246"/>
      <c r="J72" s="182"/>
      <c r="K72" s="182"/>
      <c r="L72" s="182"/>
      <c r="M72" s="182"/>
      <c r="N72" s="163"/>
      <c r="O72" s="259">
        <f>IF($O$24="Y",IFERROR(E72*($E$6/SUMIF($G$3:$G$14,"Y",$E$3:$E$14))*$O$16*'Emissions Factors'!B57,""),"")</f>
        <v>5.2257898159545544</v>
      </c>
      <c r="P72" s="259">
        <f>IF($P$24="Y",IFERROR($E72*(SUM($E$3,$E$4,$E$5)/SUMIF($G$3:$G$14,"Y",$E$3:$E$14))*('Emissions Factors'!$T$143*$P$16)/10^6,""),"")</f>
        <v>52.641104095291482</v>
      </c>
      <c r="Q72" s="259"/>
      <c r="R72" s="258"/>
      <c r="T72" s="180" t="str">
        <f t="shared" si="2"/>
        <v/>
      </c>
      <c r="U72" s="180" t="str">
        <f t="shared" si="3"/>
        <v/>
      </c>
      <c r="V72" s="177"/>
      <c r="X72" s="180">
        <f t="shared" si="4"/>
        <v>57.866893911246038</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4732.0573166560607</v>
      </c>
      <c r="C85" s="253">
        <f>(C137/Population_Tables!P3)*Population_Tables!D3</f>
        <v>1553.6067189846804</v>
      </c>
      <c r="D85" s="253">
        <f>(D137/Population_Tables!Q3)*Population_Tables!E3</f>
        <v>515.63814641175497</v>
      </c>
      <c r="E85" s="253">
        <f>(E137/Population_Tables!R3)*Population_Tables!F3</f>
        <v>969.5889917679483</v>
      </c>
      <c r="F85" s="253">
        <f>(F137/Population_Tables!S3)*Population_Tables!G3</f>
        <v>266.1926442063214</v>
      </c>
      <c r="G85" s="253">
        <f>(G137/Population_Tables!T3)*Population_Tables!H3</f>
        <v>322.43650019573755</v>
      </c>
      <c r="H85" s="253">
        <f>(H137/Population_Tables!U3)*Population_Tables!I3</f>
        <v>738.30060628367983</v>
      </c>
      <c r="I85" s="253">
        <f>(I137/Population_Tables!V3)*Population_Tables!J3</f>
        <v>386.78294705354386</v>
      </c>
      <c r="J85" s="253">
        <f>(J137/Population_Tables!W3)*Population_Tables!K3</f>
        <v>595.84560800759175</v>
      </c>
      <c r="K85" s="253">
        <f>(K137/Population_Tables!X3)*Population_Tables!L3</f>
        <v>588.8135754148019</v>
      </c>
      <c r="N85" s="195">
        <f t="shared" ref="N85:N131" si="9">SUMIF($C$83:$G$83,"Y",C85:G85)-H85</f>
        <v>497.48102969058982</v>
      </c>
      <c r="O85" s="195">
        <f>H85</f>
        <v>738.30060628367983</v>
      </c>
      <c r="P85" s="195">
        <f t="shared" ref="P85:P131" si="10">SUMIF($C$83:$G$83,"N",C85:G85)-(IF($E$83="N",H85))</f>
        <v>2391.6813655921728</v>
      </c>
      <c r="Q85" s="195">
        <f>N85+P85+O85</f>
        <v>3627.4630015664425</v>
      </c>
      <c r="R85" s="196">
        <f>N85/Q85</f>
        <v>0.13714296451149557</v>
      </c>
      <c r="U85" s="197">
        <v>0</v>
      </c>
      <c r="V85" s="195">
        <f>O85-O137</f>
        <v>0</v>
      </c>
      <c r="W85" s="197">
        <v>0</v>
      </c>
      <c r="X85" s="195">
        <f>U85+V85+W85</f>
        <v>0</v>
      </c>
      <c r="Y85" s="196">
        <v>0</v>
      </c>
      <c r="AC85" s="251">
        <f>(B85-B137)/((SUM(C85:G85)-SUM(C137:G137)))</f>
        <v>2.6471883717758695</v>
      </c>
      <c r="AF85" s="250">
        <f>B85</f>
        <v>4732.0573166560607</v>
      </c>
      <c r="AG85" s="250">
        <f>SUM(C85:G85)</f>
        <v>3627.4630015664425</v>
      </c>
      <c r="AH85" s="250">
        <f>AG85-AF85</f>
        <v>-1104.5943150896182</v>
      </c>
      <c r="AI85" s="251">
        <f>AH85/AG85</f>
        <v>-0.3045087750344036</v>
      </c>
    </row>
    <row r="86" spans="1:35" ht="15.6" x14ac:dyDescent="0.3">
      <c r="A86" s="194">
        <v>2015</v>
      </c>
      <c r="B86" s="253">
        <f>(B138/Population_Tables!O4)*Population_Tables!C4</f>
        <v>4770.3281342106775</v>
      </c>
      <c r="C86" s="253">
        <f>(C138/Population_Tables!P4)*Population_Tables!D4</f>
        <v>1562.2408570262396</v>
      </c>
      <c r="D86" s="253">
        <f>(D138/Population_Tables!Q4)*Population_Tables!E4</f>
        <v>518.14027167939901</v>
      </c>
      <c r="E86" s="253">
        <f>(E138/Population_Tables!R4)*Population_Tables!F4</f>
        <v>999.27154073879672</v>
      </c>
      <c r="F86" s="253">
        <f>(F138/Population_Tables!S4)*Population_Tables!G4</f>
        <v>274.62474543531806</v>
      </c>
      <c r="G86" s="253">
        <f>(G138/Population_Tables!T4)*Population_Tables!H4</f>
        <v>328.7304123445353</v>
      </c>
      <c r="H86" s="253">
        <f>(H138/Population_Tables!U4)*Population_Tables!I4</f>
        <v>750.79728308202266</v>
      </c>
      <c r="I86" s="253">
        <f>(I138/Population_Tables!V4)*Population_Tables!J4</f>
        <v>390.07386937529793</v>
      </c>
      <c r="J86" s="253">
        <f>(J138/Population_Tables!W4)*Population_Tables!K4</f>
        <v>599.08537663246682</v>
      </c>
      <c r="K86" s="253">
        <f>(K138/Population_Tables!X4)*Population_Tables!L4</f>
        <v>594.24439570538539</v>
      </c>
      <c r="N86" s="195">
        <f t="shared" si="9"/>
        <v>523.09900309209206</v>
      </c>
      <c r="O86" s="195">
        <f t="shared" ref="O86:O131" si="11">H86</f>
        <v>750.79728308202266</v>
      </c>
      <c r="P86" s="195">
        <f t="shared" si="10"/>
        <v>2409.1115410501739</v>
      </c>
      <c r="Q86" s="195">
        <f t="shared" ref="Q86:Q131" si="12">N86+P86+O86</f>
        <v>3683.0078272242886</v>
      </c>
      <c r="R86" s="196">
        <f t="shared" ref="R86:R130" si="13">N86/Q86</f>
        <v>0.14203038050188652</v>
      </c>
      <c r="U86" s="197">
        <v>0</v>
      </c>
      <c r="V86" s="195">
        <f t="shared" ref="V86:W131" si="14">O86-O138</f>
        <v>0</v>
      </c>
      <c r="W86" s="197">
        <v>0</v>
      </c>
      <c r="X86" s="195">
        <f>U86+V86+W86</f>
        <v>0</v>
      </c>
      <c r="Y86" s="196">
        <v>0</v>
      </c>
      <c r="AC86" s="251">
        <f t="shared" ref="AC86:AC131" si="15">(B86-B138)/((SUM(C86:G86)-SUM(C138:G138)))</f>
        <v>2.5846302545213042</v>
      </c>
    </row>
    <row r="87" spans="1:35" ht="15.6" x14ac:dyDescent="0.3">
      <c r="A87" s="194">
        <v>2016</v>
      </c>
      <c r="B87" s="253">
        <f>(B139/Population_Tables!O5)*Population_Tables!C5</f>
        <v>4811.5393786470941</v>
      </c>
      <c r="C87" s="253">
        <f>(C139/Population_Tables!P5)*Population_Tables!D5</f>
        <v>1567.9917748200321</v>
      </c>
      <c r="D87" s="253">
        <f>(D139/Population_Tables!Q5)*Population_Tables!E5</f>
        <v>520.9423578979638</v>
      </c>
      <c r="E87" s="253">
        <f>(E139/Population_Tables!R5)*Population_Tables!F5</f>
        <v>1021.6332080518906</v>
      </c>
      <c r="F87" s="253">
        <f>(F139/Population_Tables!S5)*Population_Tables!G5</f>
        <v>282.11156737446487</v>
      </c>
      <c r="G87" s="253">
        <f>(G139/Population_Tables!T5)*Population_Tables!H5</f>
        <v>333.98540669414865</v>
      </c>
      <c r="H87" s="253">
        <f>(H139/Population_Tables!U5)*Population_Tables!I5</f>
        <v>760.24316792267757</v>
      </c>
      <c r="I87" s="253">
        <f>(I139/Population_Tables!V5)*Population_Tables!J5</f>
        <v>394.95426860056079</v>
      </c>
      <c r="J87" s="253">
        <f>(J139/Population_Tables!W5)*Population_Tables!K5</f>
        <v>601.55934210746784</v>
      </c>
      <c r="K87" s="253">
        <f>(K139/Population_Tables!X5)*Population_Tables!L5</f>
        <v>598.47677291385935</v>
      </c>
      <c r="N87" s="195">
        <f t="shared" si="9"/>
        <v>543.50160750367797</v>
      </c>
      <c r="O87" s="195">
        <f t="shared" si="11"/>
        <v>760.24316792267757</v>
      </c>
      <c r="P87" s="195">
        <f t="shared" si="10"/>
        <v>2422.9195394121443</v>
      </c>
      <c r="Q87" s="195">
        <f t="shared" si="12"/>
        <v>3726.6643148384996</v>
      </c>
      <c r="R87" s="196">
        <f t="shared" si="13"/>
        <v>0.14584131050913593</v>
      </c>
      <c r="U87" s="195">
        <f>N87-N139</f>
        <v>-3.0644117440488117E-3</v>
      </c>
      <c r="V87" s="195">
        <f>O87-O139</f>
        <v>0</v>
      </c>
      <c r="W87" s="195">
        <f>P87-P139</f>
        <v>0</v>
      </c>
      <c r="X87" s="195">
        <f>U87+V87+W87</f>
        <v>-3.0644117440488117E-3</v>
      </c>
      <c r="Y87" s="196">
        <f t="shared" ref="Y87:Y131" si="16">U87/X87</f>
        <v>1</v>
      </c>
      <c r="AC87" s="251">
        <f>(B87-B139)/((SUM(C87:G87)-SUM(C139:G139)))</f>
        <v>2.5451586493658862</v>
      </c>
    </row>
    <row r="88" spans="1:35" ht="15.6" x14ac:dyDescent="0.3">
      <c r="A88" s="194">
        <v>2017</v>
      </c>
      <c r="B88" s="253">
        <f>(B140/Population_Tables!O6)*Population_Tables!C6</f>
        <v>4851.7173235294067</v>
      </c>
      <c r="C88" s="253">
        <f>(C140/Population_Tables!P6)*Population_Tables!D6</f>
        <v>1573.4374892408357</v>
      </c>
      <c r="D88" s="253">
        <f>(D140/Population_Tables!Q6)*Population_Tables!E6</f>
        <v>523.7101280899268</v>
      </c>
      <c r="E88" s="253">
        <f>(E140/Population_Tables!R6)*Population_Tables!F6</f>
        <v>1044.1974236644367</v>
      </c>
      <c r="F88" s="253">
        <f>(F140/Population_Tables!S6)*Population_Tables!G6</f>
        <v>289.63959434269532</v>
      </c>
      <c r="G88" s="253">
        <f>(G140/Population_Tables!T6)*Population_Tables!H6</f>
        <v>339.21727526015485</v>
      </c>
      <c r="H88" s="253">
        <f>(H140/Population_Tables!U6)*Population_Tables!I6</f>
        <v>769.42240299989328</v>
      </c>
      <c r="I88" s="253">
        <f>(I140/Population_Tables!V6)*Population_Tables!J6</f>
        <v>399.50830142708048</v>
      </c>
      <c r="J88" s="253">
        <f>(J140/Population_Tables!W6)*Population_Tables!K6</f>
        <v>603.86847548105163</v>
      </c>
      <c r="K88" s="253">
        <f>(K140/Population_Tables!X6)*Population_Tables!L6</f>
        <v>602.50765098285558</v>
      </c>
      <c r="N88" s="195">
        <f t="shared" si="9"/>
        <v>564.41461500723869</v>
      </c>
      <c r="O88" s="195">
        <f>H88</f>
        <v>769.42240299989328</v>
      </c>
      <c r="P88" s="195">
        <f t="shared" si="10"/>
        <v>2436.3648925909174</v>
      </c>
      <c r="Q88" s="195">
        <f t="shared" si="12"/>
        <v>3770.2019105980494</v>
      </c>
      <c r="R88" s="196">
        <f t="shared" si="13"/>
        <v>0.14970408174179411</v>
      </c>
      <c r="U88" s="195">
        <f>N88-N140</f>
        <v>-3.0508719362387637E-3</v>
      </c>
      <c r="V88" s="195">
        <f t="shared" si="14"/>
        <v>0</v>
      </c>
      <c r="W88" s="195">
        <f t="shared" si="14"/>
        <v>0</v>
      </c>
      <c r="X88" s="195">
        <f t="shared" ref="X88:X131" si="17">U88+V88+W88</f>
        <v>-3.0508719362387637E-3</v>
      </c>
      <c r="Y88" s="196">
        <f t="shared" si="16"/>
        <v>1</v>
      </c>
      <c r="AC88" s="251">
        <f t="shared" si="15"/>
        <v>2.5061815355739823</v>
      </c>
    </row>
    <row r="89" spans="1:35" ht="15.6" x14ac:dyDescent="0.3">
      <c r="A89" s="194">
        <v>2018</v>
      </c>
      <c r="B89" s="253">
        <f>(B141/Population_Tables!O7)*Population_Tables!C7</f>
        <v>4890.8752222456515</v>
      </c>
      <c r="C89" s="253">
        <f>(C141/Population_Tables!P7)*Population_Tables!D7</f>
        <v>1578.5897710085712</v>
      </c>
      <c r="D89" s="253">
        <f>(D141/Population_Tables!Q7)*Population_Tables!E7</f>
        <v>526.44397697194279</v>
      </c>
      <c r="E89" s="253">
        <f>(E141/Population_Tables!R7)*Population_Tables!F7</f>
        <v>1066.9599996424015</v>
      </c>
      <c r="F89" s="253">
        <f>(F141/Population_Tables!S7)*Population_Tables!G7</f>
        <v>297.2081024095321</v>
      </c>
      <c r="G89" s="253">
        <f>(G141/Population_Tables!T7)*Population_Tables!H7</f>
        <v>344.42543201772219</v>
      </c>
      <c r="H89" s="253">
        <f>(H141/Population_Tables!U7)*Population_Tables!I7</f>
        <v>778.33418949738063</v>
      </c>
      <c r="I89" s="253">
        <f>(I141/Population_Tables!V7)*Population_Tables!J7</f>
        <v>403.74802429475193</v>
      </c>
      <c r="J89" s="253">
        <f>(J141/Population_Tables!W7)*Population_Tables!K7</f>
        <v>606.01866343958625</v>
      </c>
      <c r="K89" s="253">
        <f>(K141/Population_Tables!X7)*Population_Tables!L7</f>
        <v>606.34434941183758</v>
      </c>
      <c r="N89" s="195">
        <f t="shared" si="9"/>
        <v>585.83391255455297</v>
      </c>
      <c r="O89" s="195">
        <f t="shared" si="11"/>
        <v>778.33418949738063</v>
      </c>
      <c r="P89" s="195">
        <f t="shared" si="10"/>
        <v>2449.4591799982363</v>
      </c>
      <c r="Q89" s="195">
        <f t="shared" si="12"/>
        <v>3813.6272820501699</v>
      </c>
      <c r="R89" s="196">
        <f t="shared" si="13"/>
        <v>0.15361593287103142</v>
      </c>
      <c r="U89" s="195">
        <f t="shared" ref="U89:U131" si="18">N89-N141</f>
        <v>-3.0268222883478302E-3</v>
      </c>
      <c r="V89" s="195">
        <f t="shared" si="14"/>
        <v>0</v>
      </c>
      <c r="W89" s="195">
        <f t="shared" si="14"/>
        <v>0</v>
      </c>
      <c r="X89" s="195">
        <f t="shared" si="17"/>
        <v>-3.0268222883478302E-3</v>
      </c>
      <c r="Y89" s="196">
        <f t="shared" si="16"/>
        <v>1</v>
      </c>
      <c r="AC89" s="251">
        <f t="shared" si="15"/>
        <v>2.4676707893000511</v>
      </c>
    </row>
    <row r="90" spans="1:35" ht="16.2" thickBot="1" x14ac:dyDescent="0.35">
      <c r="A90" s="198">
        <v>2019</v>
      </c>
      <c r="B90" s="253">
        <f>(B142/Population_Tables!O8)*Population_Tables!C8</f>
        <v>4929.0262911316258</v>
      </c>
      <c r="C90" s="253">
        <f>(C142/Population_Tables!P8)*Population_Tables!D8</f>
        <v>1583.4603908431595</v>
      </c>
      <c r="D90" s="253">
        <f>(D142/Population_Tables!Q8)*Population_Tables!E8</f>
        <v>529.14429926066657</v>
      </c>
      <c r="E90" s="253">
        <f>(E142/Population_Tables!R8)*Population_Tables!F8</f>
        <v>1089.9167327418106</v>
      </c>
      <c r="F90" s="253">
        <f>(F142/Population_Tables!S8)*Population_Tables!G8</f>
        <v>304.81636764449803</v>
      </c>
      <c r="G90" s="253">
        <f>(G142/Population_Tables!T8)*Population_Tables!H8</f>
        <v>349.60929094201856</v>
      </c>
      <c r="H90" s="253">
        <f>(H142/Population_Tables!U8)*Population_Tables!I8</f>
        <v>786.97772859885151</v>
      </c>
      <c r="I90" s="253">
        <f>(I142/Population_Tables!V8)*Population_Tables!J8</f>
        <v>407.68549364347007</v>
      </c>
      <c r="J90" s="253">
        <f>(J142/Population_Tables!W8)*Population_Tables!K8</f>
        <v>608.01579266943986</v>
      </c>
      <c r="K90" s="253">
        <f>(K142/Population_Tables!X8)*Population_Tables!L8</f>
        <v>609.99418770026864</v>
      </c>
      <c r="N90" s="195">
        <f t="shared" si="9"/>
        <v>607.75537178745719</v>
      </c>
      <c r="O90" s="195">
        <f t="shared" si="11"/>
        <v>786.97772859885151</v>
      </c>
      <c r="P90" s="195">
        <f t="shared" si="10"/>
        <v>2462.2139810458448</v>
      </c>
      <c r="Q90" s="195">
        <f t="shared" si="12"/>
        <v>3856.9470814321535</v>
      </c>
      <c r="R90" s="199">
        <f t="shared" si="13"/>
        <v>0.1575742054417264</v>
      </c>
      <c r="U90" s="200">
        <f t="shared" si="18"/>
        <v>-3.0080806778869373E-3</v>
      </c>
      <c r="V90" s="195">
        <f t="shared" si="14"/>
        <v>0</v>
      </c>
      <c r="W90" s="200">
        <f t="shared" si="14"/>
        <v>0</v>
      </c>
      <c r="X90" s="195">
        <f t="shared" si="17"/>
        <v>-3.0080806778869373E-3</v>
      </c>
      <c r="Y90" s="199">
        <f t="shared" si="16"/>
        <v>1</v>
      </c>
      <c r="AC90" s="251">
        <f t="shared" si="15"/>
        <v>2.429585408750071</v>
      </c>
    </row>
    <row r="91" spans="1:35" ht="15.6" x14ac:dyDescent="0.3">
      <c r="A91" s="201">
        <v>2020</v>
      </c>
      <c r="B91" s="253">
        <f>(B143/Population_Tables!O9)*Population_Tables!C9</f>
        <v>4966.1837846026892</v>
      </c>
      <c r="C91" s="253">
        <f>(C143/Population_Tables!P9)*Population_Tables!D9</f>
        <v>1588.061119464521</v>
      </c>
      <c r="D91" s="253">
        <f>(D143/Population_Tables!Q9)*Population_Tables!E9</f>
        <v>531.81148967275283</v>
      </c>
      <c r="E91" s="253">
        <f>(E143/Population_Tables!R9)*Population_Tables!F9</f>
        <v>1113.063434413152</v>
      </c>
      <c r="F91" s="253">
        <f>(F143/Population_Tables!S9)*Population_Tables!G9</f>
        <v>312.46366611711579</v>
      </c>
      <c r="G91" s="253">
        <f>(G143/Population_Tables!T9)*Population_Tables!H9</f>
        <v>354.76826600821198</v>
      </c>
      <c r="H91" s="253">
        <f>(H143/Population_Tables!U9)*Population_Tables!I9</f>
        <v>795.35222148801677</v>
      </c>
      <c r="I91" s="253">
        <f>(I143/Population_Tables!V9)*Population_Tables!J9</f>
        <v>411.33276591312966</v>
      </c>
      <c r="J91" s="253">
        <f>(J143/Population_Tables!W9)*Population_Tables!K9</f>
        <v>609.86574985698064</v>
      </c>
      <c r="K91" s="253">
        <f>(K143/Population_Tables!X9)*Population_Tables!L9</f>
        <v>613.46448534761203</v>
      </c>
      <c r="L91" s="202"/>
      <c r="M91" s="202"/>
      <c r="N91" s="195">
        <f t="shared" si="9"/>
        <v>630.17487904225095</v>
      </c>
      <c r="O91" s="195">
        <f t="shared" si="11"/>
        <v>795.35222148801677</v>
      </c>
      <c r="P91" s="195">
        <f t="shared" si="10"/>
        <v>2474.6408751454856</v>
      </c>
      <c r="Q91" s="195">
        <f t="shared" si="12"/>
        <v>3900.167975675753</v>
      </c>
      <c r="R91" s="203">
        <f t="shared" si="13"/>
        <v>0.16157634311457195</v>
      </c>
      <c r="S91" s="202"/>
      <c r="T91" s="202"/>
      <c r="U91" s="204">
        <f>N91-N143</f>
        <v>-2.9957705195329254E-3</v>
      </c>
      <c r="V91" s="195">
        <f t="shared" si="14"/>
        <v>0</v>
      </c>
      <c r="W91" s="204">
        <f t="shared" si="14"/>
        <v>0</v>
      </c>
      <c r="X91" s="195">
        <f t="shared" si="17"/>
        <v>-2.9957705195329254E-3</v>
      </c>
      <c r="Y91" s="205">
        <f>U91/X91</f>
        <v>1</v>
      </c>
      <c r="AC91" s="251">
        <f t="shared" si="15"/>
        <v>2.3917092500255595</v>
      </c>
    </row>
    <row r="92" spans="1:35" ht="15.6" x14ac:dyDescent="0.3">
      <c r="A92" s="206">
        <v>2021</v>
      </c>
      <c r="B92" s="253">
        <f>(B144/Population_Tables!O10)*Population_Tables!C10</f>
        <v>5008.6938285089882</v>
      </c>
      <c r="C92" s="253">
        <f>(C144/Population_Tables!P10)*Population_Tables!D10</f>
        <v>1594.0554149253303</v>
      </c>
      <c r="D92" s="253">
        <f>(D144/Population_Tables!Q10)*Population_Tables!E10</f>
        <v>535.0799899503902</v>
      </c>
      <c r="E92" s="253">
        <f>(E144/Population_Tables!R10)*Population_Tables!F10</f>
        <v>1137.7557215089516</v>
      </c>
      <c r="F92" s="253">
        <f>(F144/Population_Tables!S10)*Population_Tables!G10</f>
        <v>320.57851041592573</v>
      </c>
      <c r="G92" s="253">
        <f>(G144/Population_Tables!T10)*Population_Tables!H10</f>
        <v>360.58334700098141</v>
      </c>
      <c r="H92" s="253">
        <f>(H144/Population_Tables!U10)*Population_Tables!I10</f>
        <v>804.2999803757366</v>
      </c>
      <c r="I92" s="253">
        <f>(I144/Population_Tables!V10)*Population_Tables!J10</f>
        <v>415.17899032320582</v>
      </c>
      <c r="J92" s="253">
        <f>(J144/Population_Tables!W10)*Population_Tables!K10</f>
        <v>612.2071488583988</v>
      </c>
      <c r="K92" s="253">
        <f>(K144/Population_Tables!X10)*Population_Tables!L10</f>
        <v>617.41415633678923</v>
      </c>
      <c r="L92" s="170"/>
      <c r="M92" s="170"/>
      <c r="N92" s="195">
        <f t="shared" si="9"/>
        <v>654.03425154914066</v>
      </c>
      <c r="O92" s="195">
        <f t="shared" si="11"/>
        <v>804.2999803757366</v>
      </c>
      <c r="P92" s="195">
        <f t="shared" si="10"/>
        <v>2489.7187518767018</v>
      </c>
      <c r="Q92" s="195">
        <f t="shared" si="12"/>
        <v>3948.0529838015791</v>
      </c>
      <c r="R92" s="196">
        <f t="shared" si="13"/>
        <v>0.16565994788635569</v>
      </c>
      <c r="S92" s="170"/>
      <c r="T92" s="170"/>
      <c r="U92" s="195">
        <f t="shared" si="18"/>
        <v>0.94293987867843043</v>
      </c>
      <c r="V92" s="195">
        <f t="shared" si="14"/>
        <v>0.8431110271479838</v>
      </c>
      <c r="W92" s="195">
        <f t="shared" si="14"/>
        <v>2.9673101677990417</v>
      </c>
      <c r="X92" s="195">
        <f t="shared" si="17"/>
        <v>4.7533610736254559</v>
      </c>
      <c r="Y92" s="207">
        <f t="shared" si="16"/>
        <v>0.19837329083002669</v>
      </c>
      <c r="AC92" s="251">
        <f t="shared" si="15"/>
        <v>1.3308122099759336</v>
      </c>
    </row>
    <row r="93" spans="1:35" ht="15.6" x14ac:dyDescent="0.3">
      <c r="A93" s="206">
        <v>2022</v>
      </c>
      <c r="B93" s="253">
        <f>(B145/Population_Tables!O11)*Population_Tables!C11</f>
        <v>5051.8277883844848</v>
      </c>
      <c r="C93" s="253">
        <f>(C145/Population_Tables!P11)*Population_Tables!D11</f>
        <v>1600.2693956073647</v>
      </c>
      <c r="D93" s="253">
        <f>(D145/Population_Tables!Q11)*Population_Tables!E11</f>
        <v>538.43087751564576</v>
      </c>
      <c r="E93" s="253">
        <f>(E145/Population_Tables!R11)*Population_Tables!F11</f>
        <v>1163.1293112993487</v>
      </c>
      <c r="F93" s="253">
        <f>(F145/Population_Tables!S11)*Population_Tables!G11</f>
        <v>328.8193359092611</v>
      </c>
      <c r="G93" s="253">
        <f>(G145/Population_Tables!T11)*Population_Tables!H11</f>
        <v>366.4132445695891</v>
      </c>
      <c r="H93" s="253">
        <f>(H145/Population_Tables!U11)*Population_Tables!I11</f>
        <v>813.1895577733103</v>
      </c>
      <c r="I93" s="253">
        <f>(I145/Population_Tables!V11)*Population_Tables!J11</f>
        <v>418.95992380771116</v>
      </c>
      <c r="J93" s="253">
        <f>(J145/Population_Tables!W11)*Population_Tables!K11</f>
        <v>614.56591274476386</v>
      </c>
      <c r="K93" s="253">
        <f>(K145/Population_Tables!X11)*Population_Tables!L11</f>
        <v>621.41149077173179</v>
      </c>
      <c r="L93" s="170"/>
      <c r="M93" s="170"/>
      <c r="N93" s="195">
        <f t="shared" si="9"/>
        <v>678.75908943529953</v>
      </c>
      <c r="O93" s="195">
        <f t="shared" si="11"/>
        <v>813.1895577733103</v>
      </c>
      <c r="P93" s="195">
        <f t="shared" si="10"/>
        <v>2505.1135176925995</v>
      </c>
      <c r="Q93" s="195">
        <f t="shared" si="12"/>
        <v>3997.0621649012091</v>
      </c>
      <c r="R93" s="196">
        <f t="shared" si="13"/>
        <v>0.1698144941040905</v>
      </c>
      <c r="S93" s="170"/>
      <c r="T93" s="170"/>
      <c r="U93" s="195">
        <f t="shared" si="18"/>
        <v>2.264511534374833</v>
      </c>
      <c r="V93" s="195">
        <f t="shared" si="14"/>
        <v>1.8986844090322847</v>
      </c>
      <c r="W93" s="195">
        <f t="shared" si="14"/>
        <v>6.5562575447597737</v>
      </c>
      <c r="X93" s="195">
        <f t="shared" si="17"/>
        <v>10.719453488166891</v>
      </c>
      <c r="Y93" s="207">
        <f t="shared" si="16"/>
        <v>0.21125251738576103</v>
      </c>
      <c r="AC93" s="251">
        <f t="shared" si="15"/>
        <v>1.3293391531572678</v>
      </c>
    </row>
    <row r="94" spans="1:35" ht="15.6" x14ac:dyDescent="0.3">
      <c r="A94" s="206">
        <v>2023</v>
      </c>
      <c r="B94" s="253">
        <f>(B146/Population_Tables!O12)*Population_Tables!C12</f>
        <v>5095.3708005743083</v>
      </c>
      <c r="C94" s="253">
        <f>(C146/Population_Tables!P12)*Population_Tables!D12</f>
        <v>1606.6396149338441</v>
      </c>
      <c r="D94" s="253">
        <f>(D146/Population_Tables!Q12)*Population_Tables!E12</f>
        <v>541.85402112608983</v>
      </c>
      <c r="E94" s="253">
        <f>(E146/Population_Tables!R12)*Population_Tables!F12</f>
        <v>1189.1153287077886</v>
      </c>
      <c r="F94" s="253">
        <f>(F146/Population_Tables!S12)*Population_Tables!G12</f>
        <v>337.18238892155097</v>
      </c>
      <c r="G94" s="253">
        <f>(G146/Population_Tables!T12)*Population_Tables!H12</f>
        <v>372.27602238746192</v>
      </c>
      <c r="H94" s="253">
        <f>(H146/Population_Tables!U12)*Population_Tables!I12</f>
        <v>821.99038882128878</v>
      </c>
      <c r="I94" s="253">
        <f>(I146/Population_Tables!V12)*Population_Tables!J12</f>
        <v>422.64308663912772</v>
      </c>
      <c r="J94" s="253">
        <f>(J146/Population_Tables!W12)*Population_Tables!K12</f>
        <v>616.92468959881683</v>
      </c>
      <c r="K94" s="253">
        <f>(K146/Population_Tables!X12)*Population_Tables!L12</f>
        <v>625.4294054727053</v>
      </c>
      <c r="L94" s="170"/>
      <c r="M94" s="170"/>
      <c r="N94" s="195">
        <f t="shared" si="9"/>
        <v>704.30732880805078</v>
      </c>
      <c r="O94" s="195">
        <f t="shared" si="11"/>
        <v>821.99038882128878</v>
      </c>
      <c r="P94" s="195">
        <f t="shared" si="10"/>
        <v>2520.7696584473961</v>
      </c>
      <c r="Q94" s="195">
        <f t="shared" si="12"/>
        <v>4047.0673760767359</v>
      </c>
      <c r="R94" s="196">
        <f t="shared" si="13"/>
        <v>0.17402905940518656</v>
      </c>
      <c r="S94" s="170"/>
      <c r="T94" s="170"/>
      <c r="U94" s="195">
        <f>N94-N146</f>
        <v>3.9237678441789967</v>
      </c>
      <c r="V94" s="195">
        <f t="shared" si="14"/>
        <v>3.1369541024922682</v>
      </c>
      <c r="W94" s="195">
        <f t="shared" si="14"/>
        <v>10.699748573356374</v>
      </c>
      <c r="X94" s="195">
        <f t="shared" si="17"/>
        <v>17.760470520027638</v>
      </c>
      <c r="Y94" s="207">
        <f t="shared" si="16"/>
        <v>0.22092702103552664</v>
      </c>
      <c r="AC94" s="251">
        <f t="shared" si="15"/>
        <v>1.3252233539162008</v>
      </c>
    </row>
    <row r="95" spans="1:35" ht="15.6" x14ac:dyDescent="0.3">
      <c r="A95" s="206">
        <v>2024</v>
      </c>
      <c r="B95" s="253">
        <f>(B147/Population_Tables!O13)*Population_Tables!C13</f>
        <v>5139.2169830903777</v>
      </c>
      <c r="C95" s="253">
        <f>(C147/Population_Tables!P13)*Population_Tables!D13</f>
        <v>1613.1166170976257</v>
      </c>
      <c r="D95" s="253">
        <f>(D147/Population_Tables!Q13)*Population_Tables!E13</f>
        <v>545.33829210589818</v>
      </c>
      <c r="E95" s="253">
        <f>(E147/Population_Tables!R13)*Population_Tables!F13</f>
        <v>1215.6601972105327</v>
      </c>
      <c r="F95" s="253">
        <f>(F147/Population_Tables!S13)*Population_Tables!G13</f>
        <v>345.67289201630518</v>
      </c>
      <c r="G95" s="253">
        <f>(G147/Population_Tables!T13)*Population_Tables!H13</f>
        <v>378.21611843646923</v>
      </c>
      <c r="H95" s="253">
        <f>(H147/Population_Tables!U13)*Population_Tables!I13</f>
        <v>830.67745548587777</v>
      </c>
      <c r="I95" s="253">
        <f>(I147/Population_Tables!V13)*Population_Tables!J13</f>
        <v>426.20715517527924</v>
      </c>
      <c r="J95" s="253">
        <f>(J147/Population_Tables!W13)*Population_Tables!K13</f>
        <v>619.27036515519683</v>
      </c>
      <c r="K95" s="253">
        <f>(K147/Population_Tables!X13)*Population_Tables!L13</f>
        <v>629.44738566559408</v>
      </c>
      <c r="L95" s="170"/>
      <c r="M95" s="170"/>
      <c r="N95" s="195">
        <f t="shared" si="9"/>
        <v>730.65563374096018</v>
      </c>
      <c r="O95" s="195">
        <f t="shared" si="11"/>
        <v>830.67745548587777</v>
      </c>
      <c r="P95" s="195">
        <f t="shared" si="10"/>
        <v>2536.6710276399931</v>
      </c>
      <c r="Q95" s="195">
        <f t="shared" si="12"/>
        <v>4098.0041168668313</v>
      </c>
      <c r="R95" s="196">
        <f t="shared" si="13"/>
        <v>0.17829548553494134</v>
      </c>
      <c r="S95" s="170"/>
      <c r="T95" s="170"/>
      <c r="U95" s="195">
        <f t="shared" si="18"/>
        <v>5.9014854219421977</v>
      </c>
      <c r="V95" s="195">
        <f t="shared" si="14"/>
        <v>4.5337008900221463</v>
      </c>
      <c r="W95" s="195">
        <f t="shared" si="14"/>
        <v>15.370057340747735</v>
      </c>
      <c r="X95" s="195">
        <f t="shared" si="17"/>
        <v>25.805243652712079</v>
      </c>
      <c r="Y95" s="207">
        <f t="shared" si="16"/>
        <v>0.22869326487920852</v>
      </c>
      <c r="AC95" s="251">
        <f t="shared" si="15"/>
        <v>1.3201617804219441</v>
      </c>
    </row>
    <row r="96" spans="1:35" ht="15.6" x14ac:dyDescent="0.3">
      <c r="A96" s="206">
        <v>2025</v>
      </c>
      <c r="B96" s="253">
        <f>(B148/Population_Tables!O14)*Population_Tables!C14</f>
        <v>5183.287745542083</v>
      </c>
      <c r="C96" s="253">
        <f>(C148/Population_Tables!P14)*Population_Tables!D14</f>
        <v>1619.6646632564991</v>
      </c>
      <c r="D96" s="253">
        <f>(D148/Population_Tables!Q14)*Population_Tables!E14</f>
        <v>548.87615121928593</v>
      </c>
      <c r="E96" s="253">
        <f>(E148/Population_Tables!R14)*Population_Tables!F14</f>
        <v>1242.7233423559401</v>
      </c>
      <c r="F96" s="253">
        <f>(F148/Population_Tables!S14)*Population_Tables!G14</f>
        <v>354.29543695976605</v>
      </c>
      <c r="G96" s="253">
        <f>(G148/Population_Tables!T14)*Population_Tables!H14</f>
        <v>384.26646701758608</v>
      </c>
      <c r="H96" s="253">
        <f>(H148/Population_Tables!U14)*Population_Tables!I14</f>
        <v>839.23148169017702</v>
      </c>
      <c r="I96" s="253">
        <f>(I148/Population_Tables!V14)*Population_Tables!J14</f>
        <v>429.63897237120449</v>
      </c>
      <c r="J96" s="253">
        <f>(J148/Population_Tables!W14)*Population_Tables!K14</f>
        <v>621.59394576354794</v>
      </c>
      <c r="K96" s="253">
        <f>(K148/Population_Tables!X14)*Population_Tables!L14</f>
        <v>633.45147680653417</v>
      </c>
      <c r="L96" s="170"/>
      <c r="M96" s="170"/>
      <c r="N96" s="195">
        <f t="shared" si="9"/>
        <v>757.78729762552905</v>
      </c>
      <c r="O96" s="195">
        <f t="shared" si="11"/>
        <v>839.23148169017702</v>
      </c>
      <c r="P96" s="195">
        <f t="shared" si="10"/>
        <v>2552.8072814933707</v>
      </c>
      <c r="Q96" s="195">
        <f t="shared" si="12"/>
        <v>4149.8260608090768</v>
      </c>
      <c r="R96" s="196">
        <f t="shared" si="13"/>
        <v>0.18260700244332312</v>
      </c>
      <c r="S96" s="170"/>
      <c r="T96" s="170"/>
      <c r="U96" s="195">
        <f t="shared" si="18"/>
        <v>8.185070199451161</v>
      </c>
      <c r="V96" s="195">
        <f t="shared" si="14"/>
        <v>6.0704475110102294</v>
      </c>
      <c r="W96" s="195">
        <f t="shared" si="14"/>
        <v>20.545260658169354</v>
      </c>
      <c r="X96" s="195">
        <f t="shared" si="17"/>
        <v>34.800778368630745</v>
      </c>
      <c r="Y96" s="207">
        <f t="shared" si="16"/>
        <v>0.23519790599939983</v>
      </c>
      <c r="AC96" s="251">
        <f t="shared" si="15"/>
        <v>1.3146102885341846</v>
      </c>
    </row>
    <row r="97" spans="1:29" ht="15.6" x14ac:dyDescent="0.3">
      <c r="A97" s="206">
        <v>2026</v>
      </c>
      <c r="B97" s="253">
        <f>(B149/Population_Tables!O15)*Population_Tables!C15</f>
        <v>5227.5010432565741</v>
      </c>
      <c r="C97" s="253">
        <f>(C149/Population_Tables!P15)*Population_Tables!D15</f>
        <v>1626.262713339996</v>
      </c>
      <c r="D97" s="253">
        <f>(D149/Population_Tables!Q15)*Population_Tables!E15</f>
        <v>552.46980331023224</v>
      </c>
      <c r="E97" s="253">
        <f>(E149/Population_Tables!R15)*Population_Tables!F15</f>
        <v>1270.2768589907239</v>
      </c>
      <c r="F97" s="253">
        <f>(F149/Population_Tables!S15)*Population_Tables!G15</f>
        <v>363.05102317974581</v>
      </c>
      <c r="G97" s="253">
        <f>(G149/Population_Tables!T15)*Population_Tables!H15</f>
        <v>390.42927929048881</v>
      </c>
      <c r="H97" s="253">
        <f>(H149/Population_Tables!U15)*Population_Tables!I15</f>
        <v>847.63945742331032</v>
      </c>
      <c r="I97" s="253">
        <f>(I149/Population_Tables!V15)*Population_Tables!J15</f>
        <v>432.93181421763546</v>
      </c>
      <c r="J97" s="253">
        <f>(J149/Population_Tables!W15)*Population_Tables!K15</f>
        <v>623.89096504314807</v>
      </c>
      <c r="K97" s="253">
        <f>(K149/Population_Tables!X15)*Population_Tables!L15</f>
        <v>637.43466363457628</v>
      </c>
      <c r="L97" s="170"/>
      <c r="M97" s="170"/>
      <c r="N97" s="195">
        <f t="shared" si="9"/>
        <v>785.6884247471595</v>
      </c>
      <c r="O97" s="195">
        <f t="shared" si="11"/>
        <v>847.63945742331032</v>
      </c>
      <c r="P97" s="195">
        <f t="shared" si="10"/>
        <v>2569.1617959407172</v>
      </c>
      <c r="Q97" s="195">
        <f t="shared" si="12"/>
        <v>4202.4896781111865</v>
      </c>
      <c r="R97" s="196">
        <f t="shared" si="13"/>
        <v>0.18695784759197506</v>
      </c>
      <c r="S97" s="170"/>
      <c r="T97" s="170"/>
      <c r="U97" s="195">
        <f>N97-N149</f>
        <v>10.764739002394208</v>
      </c>
      <c r="V97" s="195">
        <f t="shared" si="14"/>
        <v>7.7349827708687826</v>
      </c>
      <c r="W97" s="195">
        <f t="shared" si="14"/>
        <v>26.197155047067554</v>
      </c>
      <c r="X97" s="195">
        <f t="shared" si="17"/>
        <v>44.696876820330544</v>
      </c>
      <c r="Y97" s="207">
        <f t="shared" si="16"/>
        <v>0.2408387289712785</v>
      </c>
      <c r="AC97" s="251">
        <f t="shared" si="15"/>
        <v>1.3085564056344567</v>
      </c>
    </row>
    <row r="98" spans="1:29" ht="15.6" x14ac:dyDescent="0.3">
      <c r="A98" s="206">
        <v>2027</v>
      </c>
      <c r="B98" s="253">
        <f>(B150/Population_Tables!O16)*Population_Tables!C16</f>
        <v>5271.7809450833165</v>
      </c>
      <c r="C98" s="253">
        <f>(C150/Population_Tables!P16)*Population_Tables!D16</f>
        <v>1632.9034367126633</v>
      </c>
      <c r="D98" s="253">
        <f>(D150/Population_Tables!Q16)*Population_Tables!E16</f>
        <v>556.12357942702158</v>
      </c>
      <c r="E98" s="253">
        <f>(E150/Population_Tables!R16)*Population_Tables!F16</f>
        <v>1298.3075152325703</v>
      </c>
      <c r="F98" s="253">
        <f>(F150/Population_Tables!S16)*Population_Tables!G16</f>
        <v>371.93672947464819</v>
      </c>
      <c r="G98" s="253">
        <f>(G150/Population_Tables!T16)*Population_Tables!H16</f>
        <v>396.68601417120107</v>
      </c>
      <c r="H98" s="253">
        <f>(H150/Population_Tables!U16)*Population_Tables!I16</f>
        <v>855.89467445987134</v>
      </c>
      <c r="I98" s="253">
        <f>(I150/Population_Tables!V16)*Population_Tables!J16</f>
        <v>436.08699379502269</v>
      </c>
      <c r="J98" s="253">
        <f>(J150/Population_Tables!W16)*Population_Tables!K16</f>
        <v>626.16125235285926</v>
      </c>
      <c r="K98" s="253">
        <f>(K150/Population_Tables!X16)*Population_Tables!L16</f>
        <v>641.39654660489089</v>
      </c>
      <c r="L98" s="170"/>
      <c r="M98" s="170"/>
      <c r="N98" s="195">
        <f t="shared" si="9"/>
        <v>814.34957024734717</v>
      </c>
      <c r="O98" s="195">
        <f t="shared" si="11"/>
        <v>855.89467445987134</v>
      </c>
      <c r="P98" s="195">
        <f t="shared" si="10"/>
        <v>2585.7130303108856</v>
      </c>
      <c r="Q98" s="195">
        <f t="shared" si="12"/>
        <v>4255.9572750181042</v>
      </c>
      <c r="R98" s="196">
        <f t="shared" si="13"/>
        <v>0.19134345521452234</v>
      </c>
      <c r="S98" s="170"/>
      <c r="T98" s="170"/>
      <c r="U98" s="195">
        <f t="shared" si="18"/>
        <v>13.635159512552264</v>
      </c>
      <c r="V98" s="195">
        <f t="shared" si="14"/>
        <v>9.5213972604801711</v>
      </c>
      <c r="W98" s="195">
        <f t="shared" si="14"/>
        <v>32.292620424550933</v>
      </c>
      <c r="X98" s="195">
        <f t="shared" si="17"/>
        <v>55.449177197583367</v>
      </c>
      <c r="Y98" s="207">
        <f t="shared" si="16"/>
        <v>0.24590373025673179</v>
      </c>
      <c r="AC98" s="251">
        <f t="shared" si="15"/>
        <v>1.3019972996265112</v>
      </c>
    </row>
    <row r="99" spans="1:29" ht="15.6" x14ac:dyDescent="0.3">
      <c r="A99" s="206">
        <v>2028</v>
      </c>
      <c r="B99" s="253">
        <f>(B151/Population_Tables!O17)*Population_Tables!C17</f>
        <v>5316.1080035945724</v>
      </c>
      <c r="C99" s="253">
        <f>(C151/Population_Tables!P17)*Population_Tables!D17</f>
        <v>1639.5920336802167</v>
      </c>
      <c r="D99" s="253">
        <f>(D151/Population_Tables!Q17)*Population_Tables!E17</f>
        <v>559.8357081974325</v>
      </c>
      <c r="E99" s="253">
        <f>(E151/Population_Tables!R17)*Population_Tables!F17</f>
        <v>1326.8185363670889</v>
      </c>
      <c r="F99" s="253">
        <f>(F151/Population_Tables!S17)*Population_Tables!G17</f>
        <v>380.95131980145658</v>
      </c>
      <c r="G99" s="253">
        <f>(G151/Population_Tables!T17)*Population_Tables!H17</f>
        <v>403.02848626362186</v>
      </c>
      <c r="H99" s="253">
        <f>(H151/Population_Tables!U17)*Population_Tables!I17</f>
        <v>863.99597818366772</v>
      </c>
      <c r="I99" s="253">
        <f>(I151/Population_Tables!V17)*Population_Tables!J17</f>
        <v>439.11568591550753</v>
      </c>
      <c r="J99" s="253">
        <f>(J151/Population_Tables!W17)*Population_Tables!K17</f>
        <v>628.40884144544566</v>
      </c>
      <c r="K99" s="253">
        <f>(K151/Population_Tables!X17)*Population_Tables!L17</f>
        <v>645.34230945751551</v>
      </c>
      <c r="L99" s="170"/>
      <c r="M99" s="170"/>
      <c r="N99" s="195">
        <f t="shared" si="9"/>
        <v>843.77387798487769</v>
      </c>
      <c r="O99" s="195">
        <f t="shared" si="11"/>
        <v>863.99597818366772</v>
      </c>
      <c r="P99" s="195">
        <f t="shared" si="10"/>
        <v>2602.4562281412709</v>
      </c>
      <c r="Q99" s="195">
        <f t="shared" si="12"/>
        <v>4310.2260843098165</v>
      </c>
      <c r="R99" s="196">
        <f t="shared" si="13"/>
        <v>0.19576093260082172</v>
      </c>
      <c r="S99" s="170"/>
      <c r="T99" s="170"/>
      <c r="U99" s="195">
        <f t="shared" si="18"/>
        <v>16.803588128996466</v>
      </c>
      <c r="V99" s="195">
        <f t="shared" si="14"/>
        <v>11.429335179940495</v>
      </c>
      <c r="W99" s="195">
        <f t="shared" si="14"/>
        <v>38.815320916270593</v>
      </c>
      <c r="X99" s="195">
        <f t="shared" si="17"/>
        <v>67.048244225207554</v>
      </c>
      <c r="Y99" s="207">
        <f t="shared" si="16"/>
        <v>0.25061936107610949</v>
      </c>
      <c r="AC99" s="251">
        <f t="shared" si="15"/>
        <v>1.2951217821069889</v>
      </c>
    </row>
    <row r="100" spans="1:29" ht="15.6" x14ac:dyDescent="0.3">
      <c r="A100" s="206">
        <v>2029</v>
      </c>
      <c r="B100" s="253">
        <f>(B152/Population_Tables!O18)*Population_Tables!C18</f>
        <v>5360.4805544919309</v>
      </c>
      <c r="C100" s="253">
        <f>(C152/Population_Tables!P18)*Population_Tables!D18</f>
        <v>1646.3419593410176</v>
      </c>
      <c r="D100" s="253">
        <f>(D152/Population_Tables!Q18)*Population_Tables!E18</f>
        <v>563.60297043762228</v>
      </c>
      <c r="E100" s="253">
        <f>(E152/Population_Tables!R18)*Population_Tables!F18</f>
        <v>1355.8249044301824</v>
      </c>
      <c r="F100" s="253">
        <f>(F152/Population_Tables!S18)*Population_Tables!G18</f>
        <v>390.09239033089312</v>
      </c>
      <c r="G100" s="253">
        <f>(G152/Population_Tables!T18)*Population_Tables!H18</f>
        <v>409.4433930957627</v>
      </c>
      <c r="H100" s="253">
        <f>(H152/Population_Tables!U18)*Population_Tables!I18</f>
        <v>871.9464241916761</v>
      </c>
      <c r="I100" s="253">
        <f>(I152/Population_Tables!V18)*Population_Tables!J18</f>
        <v>442.03488490905886</v>
      </c>
      <c r="J100" s="253">
        <f>(J152/Population_Tables!W18)*Population_Tables!K18</f>
        <v>630.64023669690812</v>
      </c>
      <c r="K100" s="253">
        <f>(K152/Population_Tables!X18)*Population_Tables!L18</f>
        <v>649.28120787177454</v>
      </c>
      <c r="L100" s="170"/>
      <c r="M100" s="170"/>
      <c r="N100" s="195">
        <f t="shared" si="9"/>
        <v>873.97087056939938</v>
      </c>
      <c r="O100" s="195">
        <f t="shared" si="11"/>
        <v>871.9464241916761</v>
      </c>
      <c r="P100" s="195">
        <f t="shared" si="10"/>
        <v>2619.3883228744025</v>
      </c>
      <c r="Q100" s="195">
        <f t="shared" si="12"/>
        <v>4365.3056176354776</v>
      </c>
      <c r="R100" s="196">
        <f t="shared" si="13"/>
        <v>0.20020840397488518</v>
      </c>
      <c r="S100" s="170"/>
      <c r="T100" s="170"/>
      <c r="U100" s="195">
        <f t="shared" si="18"/>
        <v>20.283660001661133</v>
      </c>
      <c r="V100" s="195">
        <f t="shared" si="14"/>
        <v>13.462650942515097</v>
      </c>
      <c r="W100" s="195">
        <f t="shared" si="14"/>
        <v>45.750610553014667</v>
      </c>
      <c r="X100" s="195">
        <f t="shared" si="17"/>
        <v>79.496921497190897</v>
      </c>
      <c r="Y100" s="207">
        <f t="shared" si="16"/>
        <v>0.25515025764083049</v>
      </c>
      <c r="AC100" s="251">
        <f t="shared" si="15"/>
        <v>1.2880543061874068</v>
      </c>
    </row>
    <row r="101" spans="1:29" ht="15.6" x14ac:dyDescent="0.3">
      <c r="A101" s="206">
        <v>2030</v>
      </c>
      <c r="B101" s="253">
        <f>(B153/Population_Tables!O19)*Population_Tables!C19</f>
        <v>5404.9006909436584</v>
      </c>
      <c r="C101" s="253">
        <f>(C153/Population_Tables!P19)*Population_Tables!D19</f>
        <v>1653.1655937326827</v>
      </c>
      <c r="D101" s="253">
        <f>(D153/Population_Tables!Q19)*Population_Tables!E19</f>
        <v>567.4237386622259</v>
      </c>
      <c r="E101" s="253">
        <f>(E153/Population_Tables!R19)*Population_Tables!F19</f>
        <v>1385.3408287080524</v>
      </c>
      <c r="F101" s="253">
        <f>(F153/Population_Tables!S19)*Population_Tables!G19</f>
        <v>399.35849225777372</v>
      </c>
      <c r="G101" s="253">
        <f>(G153/Population_Tables!T19)*Population_Tables!H19</f>
        <v>415.92014733758549</v>
      </c>
      <c r="H101" s="253">
        <f>(H153/Population_Tables!U19)*Population_Tables!I19</f>
        <v>879.74834565958338</v>
      </c>
      <c r="I101" s="253">
        <f>(I153/Population_Tables!V19)*Population_Tables!J19</f>
        <v>444.86081379625131</v>
      </c>
      <c r="J101" s="253">
        <f>(J153/Population_Tables!W19)*Population_Tables!K19</f>
        <v>632.86197159386984</v>
      </c>
      <c r="K101" s="253">
        <f>(K153/Population_Tables!X19)*Population_Tables!L19</f>
        <v>653.22148411561932</v>
      </c>
      <c r="L101" s="170"/>
      <c r="M101" s="170"/>
      <c r="N101" s="195">
        <f t="shared" si="9"/>
        <v>904.95097530624287</v>
      </c>
      <c r="O101" s="195">
        <f t="shared" si="11"/>
        <v>879.74834565958338</v>
      </c>
      <c r="P101" s="195">
        <f t="shared" si="10"/>
        <v>2636.5094797324941</v>
      </c>
      <c r="Q101" s="195">
        <f t="shared" si="12"/>
        <v>4421.2088006983204</v>
      </c>
      <c r="R101" s="196">
        <f t="shared" si="13"/>
        <v>0.20468406178041348</v>
      </c>
      <c r="S101" s="170"/>
      <c r="T101" s="170"/>
      <c r="U101" s="195">
        <f t="shared" si="18"/>
        <v>24.089914976162618</v>
      </c>
      <c r="V101" s="195">
        <f t="shared" si="14"/>
        <v>15.624476540179103</v>
      </c>
      <c r="W101" s="195">
        <f t="shared" si="14"/>
        <v>53.087075145251674</v>
      </c>
      <c r="X101" s="195">
        <f t="shared" si="17"/>
        <v>92.801466661593395</v>
      </c>
      <c r="Y101" s="207">
        <f t="shared" si="16"/>
        <v>0.25958549840605499</v>
      </c>
      <c r="AC101" s="251">
        <f t="shared" si="15"/>
        <v>1.2808595827468772</v>
      </c>
    </row>
    <row r="102" spans="1:29" ht="15.6" x14ac:dyDescent="0.3">
      <c r="A102" s="206">
        <v>2031</v>
      </c>
      <c r="B102" s="253">
        <f>(B154/Population_Tables!O20)*Population_Tables!C20</f>
        <v>5449.3461125170961</v>
      </c>
      <c r="C102" s="253">
        <f>(C154/Population_Tables!P20)*Population_Tables!D20</f>
        <v>1660.0626182952462</v>
      </c>
      <c r="D102" s="253">
        <f>(D154/Population_Tables!Q20)*Population_Tables!E20</f>
        <v>571.29816697034289</v>
      </c>
      <c r="E102" s="253">
        <f>(E154/Population_Tables!R20)*Population_Tables!F20</f>
        <v>1415.3632204236485</v>
      </c>
      <c r="F102" s="253">
        <f>(F154/Population_Tables!S20)*Population_Tables!G20</f>
        <v>408.74991436614465</v>
      </c>
      <c r="G102" s="253">
        <f>(G154/Population_Tables!T20)*Population_Tables!H20</f>
        <v>422.45707722711705</v>
      </c>
      <c r="H102" s="253">
        <f>(H154/Population_Tables!U20)*Population_Tables!I20</f>
        <v>887.39782485305432</v>
      </c>
      <c r="I102" s="253">
        <f>(I154/Population_Tables!V20)*Population_Tables!J20</f>
        <v>447.59985015030588</v>
      </c>
      <c r="J102" s="253">
        <f>(J154/Population_Tables!W20)*Population_Tables!K20</f>
        <v>635.0764581720515</v>
      </c>
      <c r="K102" s="253">
        <f>(K154/Population_Tables!X20)*Population_Tables!L20</f>
        <v>657.1650274876788</v>
      </c>
      <c r="L102" s="170"/>
      <c r="M102" s="170"/>
      <c r="N102" s="195">
        <f t="shared" si="9"/>
        <v>936.71530993673878</v>
      </c>
      <c r="O102" s="195">
        <f t="shared" si="11"/>
        <v>887.39782485305432</v>
      </c>
      <c r="P102" s="195">
        <f t="shared" si="10"/>
        <v>2653.8178624927064</v>
      </c>
      <c r="Q102" s="195">
        <f t="shared" si="12"/>
        <v>4477.9309972824994</v>
      </c>
      <c r="R102" s="196">
        <f t="shared" si="13"/>
        <v>0.20918484686458963</v>
      </c>
      <c r="S102" s="170"/>
      <c r="T102" s="170"/>
      <c r="U102" s="195">
        <f t="shared" si="18"/>
        <v>28.227583334117185</v>
      </c>
      <c r="V102" s="195">
        <f t="shared" si="14"/>
        <v>17.911693054886086</v>
      </c>
      <c r="W102" s="195">
        <f t="shared" si="14"/>
        <v>60.811299058399072</v>
      </c>
      <c r="X102" s="195">
        <f t="shared" si="17"/>
        <v>106.95057544740234</v>
      </c>
      <c r="Y102" s="207">
        <f t="shared" si="16"/>
        <v>0.26393110290462479</v>
      </c>
      <c r="AC102" s="251">
        <f t="shared" si="15"/>
        <v>1.2735599797492756</v>
      </c>
    </row>
    <row r="103" spans="1:29" ht="15.6" x14ac:dyDescent="0.3">
      <c r="A103" s="206">
        <v>2032</v>
      </c>
      <c r="B103" s="253">
        <f>(B155/Population_Tables!O21)*Population_Tables!C21</f>
        <v>5493.7116165890502</v>
      </c>
      <c r="C103" s="253">
        <f>(C155/Population_Tables!P21)*Population_Tables!D21</f>
        <v>1667.0100074439911</v>
      </c>
      <c r="D103" s="253">
        <f>(D155/Population_Tables!Q21)*Population_Tables!E21</f>
        <v>575.22192121579292</v>
      </c>
      <c r="E103" s="253">
        <f>(E155/Population_Tables!R21)*Population_Tables!F21</f>
        <v>1445.8621846066208</v>
      </c>
      <c r="F103" s="253">
        <f>(F155/Population_Tables!S21)*Population_Tables!G21</f>
        <v>418.26108678379308</v>
      </c>
      <c r="G103" s="253">
        <f>(G155/Population_Tables!T21)*Population_Tables!H21</f>
        <v>429.05043291101845</v>
      </c>
      <c r="H103" s="253">
        <f>(H155/Population_Tables!U21)*Population_Tables!I21</f>
        <v>894.87945939561212</v>
      </c>
      <c r="I103" s="253">
        <f>(I155/Population_Tables!V21)*Population_Tables!J21</f>
        <v>450.24756165054424</v>
      </c>
      <c r="J103" s="253">
        <f>(J155/Population_Tables!W21)*Population_Tables!K21</f>
        <v>637.27878206704884</v>
      </c>
      <c r="K103" s="253">
        <f>(K155/Population_Tables!X21)*Population_Tables!L21</f>
        <v>661.10276864619777</v>
      </c>
      <c r="L103" s="170"/>
      <c r="M103" s="170"/>
      <c r="N103" s="195">
        <f t="shared" si="9"/>
        <v>969.2438119948016</v>
      </c>
      <c r="O103" s="195">
        <f t="shared" si="11"/>
        <v>894.87945939561212</v>
      </c>
      <c r="P103" s="195">
        <f t="shared" si="10"/>
        <v>2671.2823615708025</v>
      </c>
      <c r="Q103" s="195">
        <f t="shared" si="12"/>
        <v>4535.4056329612158</v>
      </c>
      <c r="R103" s="196">
        <f t="shared" si="13"/>
        <v>0.21370609167806051</v>
      </c>
      <c r="S103" s="170"/>
      <c r="T103" s="170"/>
      <c r="U103" s="195">
        <f t="shared" si="18"/>
        <v>32.68071514972462</v>
      </c>
      <c r="V103" s="195">
        <f t="shared" si="14"/>
        <v>20.309696926447714</v>
      </c>
      <c r="W103" s="195">
        <f t="shared" si="14"/>
        <v>68.880593296476945</v>
      </c>
      <c r="X103" s="195">
        <f t="shared" si="17"/>
        <v>121.87100537264928</v>
      </c>
      <c r="Y103" s="207">
        <f t="shared" si="16"/>
        <v>0.26815824690865264</v>
      </c>
      <c r="AC103" s="251">
        <f t="shared" si="15"/>
        <v>1.2661327249004481</v>
      </c>
    </row>
    <row r="104" spans="1:29" ht="15.6" x14ac:dyDescent="0.3">
      <c r="A104" s="206">
        <v>2033</v>
      </c>
      <c r="B104" s="253">
        <f>(B156/Population_Tables!O22)*Population_Tables!C22</f>
        <v>5537.7617268904742</v>
      </c>
      <c r="C104" s="253">
        <f>(C156/Population_Tables!P22)*Population_Tables!D22</f>
        <v>1673.957926550765</v>
      </c>
      <c r="D104" s="253">
        <f>(D156/Population_Tables!Q22)*Population_Tables!E22</f>
        <v>579.17877953040738</v>
      </c>
      <c r="E104" s="253">
        <f>(E156/Population_Tables!R22)*Population_Tables!F22</f>
        <v>1476.7762851058624</v>
      </c>
      <c r="F104" s="253">
        <f>(F156/Population_Tables!S22)*Population_Tables!G22</f>
        <v>427.87284052415271</v>
      </c>
      <c r="G104" s="253">
        <f>(G156/Population_Tables!T22)*Population_Tables!H22</f>
        <v>435.68130953707225</v>
      </c>
      <c r="H104" s="253">
        <f>(H156/Population_Tables!U22)*Population_Tables!I22</f>
        <v>902.16363234210837</v>
      </c>
      <c r="I104" s="253">
        <f>(I156/Population_Tables!V22)*Population_Tables!J22</f>
        <v>452.78942719842775</v>
      </c>
      <c r="J104" s="253">
        <f>(J156/Population_Tables!W22)*Population_Tables!K22</f>
        <v>639.45529560219336</v>
      </c>
      <c r="K104" s="253">
        <f>(K156/Population_Tables!X22)*Population_Tables!L22</f>
        <v>665.01260115036416</v>
      </c>
      <c r="L104" s="170"/>
      <c r="M104" s="170"/>
      <c r="N104" s="195">
        <f t="shared" si="9"/>
        <v>1002.4854932879067</v>
      </c>
      <c r="O104" s="195">
        <f t="shared" si="11"/>
        <v>902.16363234210837</v>
      </c>
      <c r="P104" s="195">
        <f t="shared" si="10"/>
        <v>2688.8180156182448</v>
      </c>
      <c r="Q104" s="195">
        <f t="shared" si="12"/>
        <v>4593.4671412482594</v>
      </c>
      <c r="R104" s="196">
        <f t="shared" si="13"/>
        <v>0.21824157275140202</v>
      </c>
      <c r="S104" s="170"/>
      <c r="T104" s="170"/>
      <c r="U104" s="195">
        <f t="shared" si="18"/>
        <v>37.402434770746254</v>
      </c>
      <c r="V104" s="195">
        <f t="shared" si="14"/>
        <v>22.789670026004046</v>
      </c>
      <c r="W104" s="195">
        <f t="shared" si="14"/>
        <v>77.198417099204562</v>
      </c>
      <c r="X104" s="195">
        <f t="shared" si="17"/>
        <v>137.39052189595486</v>
      </c>
      <c r="Y104" s="207">
        <f t="shared" si="16"/>
        <v>0.27223446169795412</v>
      </c>
      <c r="AC104" s="251">
        <f t="shared" si="15"/>
        <v>1.2585118655956007</v>
      </c>
    </row>
    <row r="105" spans="1:29" ht="15.6" x14ac:dyDescent="0.3">
      <c r="A105" s="206">
        <v>2034</v>
      </c>
      <c r="B105" s="253">
        <f>(B157/Population_Tables!O23)*Population_Tables!C23</f>
        <v>5581.1984080492575</v>
      </c>
      <c r="C105" s="253">
        <f>(C157/Population_Tables!P23)*Population_Tables!D23</f>
        <v>1680.840606683875</v>
      </c>
      <c r="D105" s="253">
        <f>(D157/Population_Tables!Q23)*Population_Tables!E23</f>
        <v>583.14696619463939</v>
      </c>
      <c r="E105" s="253">
        <f>(E157/Population_Tables!R23)*Population_Tables!F23</f>
        <v>1508.0226694967066</v>
      </c>
      <c r="F105" s="253">
        <f>(F157/Population_Tables!S23)*Population_Tables!G23</f>
        <v>437.56036654310304</v>
      </c>
      <c r="G105" s="253">
        <f>(G157/Population_Tables!T23)*Population_Tables!H23</f>
        <v>442.32544430590355</v>
      </c>
      <c r="H105" s="253">
        <f>(H157/Population_Tables!U23)*Population_Tables!I23</f>
        <v>909.21180606467601</v>
      </c>
      <c r="I105" s="253">
        <f>(I157/Population_Tables!V23)*Population_Tables!J23</f>
        <v>455.20494744104337</v>
      </c>
      <c r="J105" s="253">
        <f>(J157/Population_Tables!W23)*Population_Tables!K23</f>
        <v>641.58663405651237</v>
      </c>
      <c r="K105" s="253">
        <f>(K157/Population_Tables!X23)*Population_Tables!L23</f>
        <v>668.86507438707201</v>
      </c>
      <c r="L105" s="170"/>
      <c r="M105" s="170"/>
      <c r="N105" s="195">
        <f t="shared" si="9"/>
        <v>1036.3712299751337</v>
      </c>
      <c r="O105" s="195">
        <f t="shared" si="11"/>
        <v>909.21180606467601</v>
      </c>
      <c r="P105" s="195">
        <f t="shared" si="10"/>
        <v>2706.3130171844182</v>
      </c>
      <c r="Q105" s="195">
        <f t="shared" si="12"/>
        <v>4651.8960532242281</v>
      </c>
      <c r="R105" s="196">
        <f t="shared" si="13"/>
        <v>0.22278469211641672</v>
      </c>
      <c r="S105" s="170"/>
      <c r="T105" s="170"/>
      <c r="U105" s="195">
        <f t="shared" si="18"/>
        <v>42.327730896547223</v>
      </c>
      <c r="V105" s="195">
        <f t="shared" si="14"/>
        <v>25.313873541976704</v>
      </c>
      <c r="W105" s="195">
        <f t="shared" si="14"/>
        <v>85.641383604223392</v>
      </c>
      <c r="X105" s="195">
        <f t="shared" si="17"/>
        <v>153.28298804274732</v>
      </c>
      <c r="Y105" s="207">
        <f t="shared" si="16"/>
        <v>0.27614108673783766</v>
      </c>
      <c r="AC105" s="251">
        <f t="shared" si="15"/>
        <v>1.2506598786659178</v>
      </c>
    </row>
    <row r="106" spans="1:29" ht="15.6" x14ac:dyDescent="0.3">
      <c r="A106" s="206">
        <v>2035</v>
      </c>
      <c r="B106" s="253">
        <f>(B158/Population_Tables!O24)*Population_Tables!C24</f>
        <v>5623.8108104250659</v>
      </c>
      <c r="C106" s="253">
        <f>(C158/Population_Tables!P24)*Population_Tables!D24</f>
        <v>1687.6117066653021</v>
      </c>
      <c r="D106" s="253">
        <f>(D158/Population_Tables!Q24)*Population_Tables!E24</f>
        <v>587.11027894506765</v>
      </c>
      <c r="E106" s="253">
        <f>(E158/Population_Tables!R24)*Population_Tables!F24</f>
        <v>1539.5378052148048</v>
      </c>
      <c r="F106" s="253">
        <f>(F158/Population_Tables!S24)*Population_Tables!G24</f>
        <v>447.30601696627213</v>
      </c>
      <c r="G106" s="253">
        <f>(G158/Population_Tables!T24)*Population_Tables!H24</f>
        <v>448.96459194187747</v>
      </c>
      <c r="H106" s="253">
        <f>(H158/Population_Tables!U24)*Population_Tables!I24</f>
        <v>915.99411890347972</v>
      </c>
      <c r="I106" s="253">
        <f>(I158/Population_Tables!V24)*Population_Tables!J24</f>
        <v>457.48322806055518</v>
      </c>
      <c r="J106" s="253">
        <f>(J158/Population_Tables!W24)*Population_Tables!K24</f>
        <v>643.65973547793556</v>
      </c>
      <c r="K106" s="253">
        <f>(K158/Population_Tables!X24)*Population_Tables!L24</f>
        <v>672.64014946709278</v>
      </c>
      <c r="L106" s="170"/>
      <c r="M106" s="170"/>
      <c r="N106" s="195">
        <f t="shared" si="9"/>
        <v>1070.8497032775972</v>
      </c>
      <c r="O106" s="195">
        <f t="shared" si="11"/>
        <v>915.99411890347972</v>
      </c>
      <c r="P106" s="195">
        <f t="shared" si="10"/>
        <v>2723.6865775522474</v>
      </c>
      <c r="Q106" s="195">
        <f t="shared" si="12"/>
        <v>4710.530399733324</v>
      </c>
      <c r="R106" s="196">
        <f t="shared" si="13"/>
        <v>0.22733102483283432</v>
      </c>
      <c r="S106" s="170"/>
      <c r="T106" s="170"/>
      <c r="U106" s="195">
        <f t="shared" si="18"/>
        <v>47.409397288528339</v>
      </c>
      <c r="V106" s="195">
        <f t="shared" si="14"/>
        <v>27.853244630818836</v>
      </c>
      <c r="W106" s="195">
        <f t="shared" si="14"/>
        <v>94.117124682713893</v>
      </c>
      <c r="X106" s="195">
        <f t="shared" si="17"/>
        <v>169.37976660206107</v>
      </c>
      <c r="Y106" s="207">
        <f t="shared" si="16"/>
        <v>0.27990000364040796</v>
      </c>
      <c r="AC106" s="251">
        <f t="shared" si="15"/>
        <v>1.242607723922392</v>
      </c>
    </row>
    <row r="107" spans="1:29" ht="15.6" x14ac:dyDescent="0.3">
      <c r="A107" s="206">
        <v>2036</v>
      </c>
      <c r="B107" s="253">
        <f>(B159/Population_Tables!O25)*Population_Tables!C25</f>
        <v>5665.5168380245123</v>
      </c>
      <c r="C107" s="253">
        <f>(C159/Population_Tables!P25)*Population_Tables!D25</f>
        <v>1694.2541736287578</v>
      </c>
      <c r="D107" s="253">
        <f>(D159/Population_Tables!Q25)*Population_Tables!E25</f>
        <v>591.06070319580795</v>
      </c>
      <c r="E107" s="253">
        <f>(E159/Population_Tables!R25)*Population_Tables!F25</f>
        <v>1571.2916427101172</v>
      </c>
      <c r="F107" s="253">
        <f>(F159/Population_Tables!S25)*Population_Tables!G25</f>
        <v>457.10309937863383</v>
      </c>
      <c r="G107" s="253">
        <f>(G159/Population_Tables!T25)*Population_Tables!H25</f>
        <v>455.58938597334213</v>
      </c>
      <c r="H107" s="253">
        <f>(H159/Population_Tables!U25)*Population_Tables!I25</f>
        <v>922.4949301838368</v>
      </c>
      <c r="I107" s="253">
        <f>(I159/Population_Tables!V25)*Population_Tables!J25</f>
        <v>459.62836355153939</v>
      </c>
      <c r="J107" s="253">
        <f>(J159/Population_Tables!W25)*Population_Tables!K25</f>
        <v>645.67035297510006</v>
      </c>
      <c r="K107" s="253">
        <f>(K159/Population_Tables!X25)*Population_Tables!L25</f>
        <v>676.33249807166567</v>
      </c>
      <c r="L107" s="170"/>
      <c r="M107" s="170"/>
      <c r="N107" s="195">
        <f t="shared" si="9"/>
        <v>1105.8998119049143</v>
      </c>
      <c r="O107" s="195">
        <f t="shared" si="11"/>
        <v>922.4949301838368</v>
      </c>
      <c r="P107" s="195">
        <f t="shared" si="10"/>
        <v>2740.9042627979079</v>
      </c>
      <c r="Q107" s="195">
        <f t="shared" si="12"/>
        <v>4769.2990048866586</v>
      </c>
      <c r="R107" s="196">
        <f t="shared" si="13"/>
        <v>0.2318789010233582</v>
      </c>
      <c r="S107" s="170"/>
      <c r="T107" s="170"/>
      <c r="U107" s="195">
        <f t="shared" si="18"/>
        <v>52.630445196591609</v>
      </c>
      <c r="V107" s="195">
        <f t="shared" si="14"/>
        <v>30.392941434136219</v>
      </c>
      <c r="W107" s="195">
        <f t="shared" si="14"/>
        <v>102.57962699910922</v>
      </c>
      <c r="X107" s="195">
        <f t="shared" si="17"/>
        <v>185.60301362983705</v>
      </c>
      <c r="Y107" s="207">
        <f t="shared" si="16"/>
        <v>0.28356460472973094</v>
      </c>
      <c r="AC107" s="251">
        <f t="shared" si="15"/>
        <v>1.2344380342434702</v>
      </c>
    </row>
    <row r="108" spans="1:29" ht="15.6" x14ac:dyDescent="0.3">
      <c r="A108" s="206">
        <v>2037</v>
      </c>
      <c r="B108" s="253">
        <f>(B160/Population_Tables!O26)*Population_Tables!C26</f>
        <v>5706.3729213400557</v>
      </c>
      <c r="C108" s="253">
        <f>(C160/Population_Tables!P26)*Population_Tables!D26</f>
        <v>1700.7837562591119</v>
      </c>
      <c r="D108" s="253">
        <f>(D160/Population_Tables!Q26)*Population_Tables!E26</f>
        <v>595.00155925942283</v>
      </c>
      <c r="E108" s="253">
        <f>(E160/Population_Tables!R26)*Population_Tables!F26</f>
        <v>1603.2926041998855</v>
      </c>
      <c r="F108" s="253">
        <f>(F160/Population_Tables!S26)*Population_Tables!G26</f>
        <v>466.95657099901871</v>
      </c>
      <c r="G108" s="253">
        <f>(G160/Population_Tables!T26)*Population_Tables!H26</f>
        <v>462.20166224002503</v>
      </c>
      <c r="H108" s="253">
        <f>(H160/Population_Tables!U26)*Population_Tables!I26</f>
        <v>928.7152520723215</v>
      </c>
      <c r="I108" s="253">
        <f>(I160/Population_Tables!V26)*Population_Tables!J26</f>
        <v>461.65791687777659</v>
      </c>
      <c r="J108" s="253">
        <f>(J160/Population_Tables!W26)*Population_Tables!K26</f>
        <v>647.62580954821465</v>
      </c>
      <c r="K108" s="253">
        <f>(K160/Population_Tables!X26)*Population_Tables!L26</f>
        <v>679.95175701524749</v>
      </c>
      <c r="L108" s="170"/>
      <c r="M108" s="170"/>
      <c r="N108" s="195">
        <f t="shared" si="9"/>
        <v>1141.5339231265825</v>
      </c>
      <c r="O108" s="195">
        <f t="shared" si="11"/>
        <v>928.7152520723215</v>
      </c>
      <c r="P108" s="195">
        <f t="shared" si="10"/>
        <v>2757.98697775856</v>
      </c>
      <c r="Q108" s="195">
        <f t="shared" si="12"/>
        <v>4828.2361529574637</v>
      </c>
      <c r="R108" s="196">
        <f t="shared" si="13"/>
        <v>0.23642876755880157</v>
      </c>
      <c r="S108" s="170"/>
      <c r="T108" s="170"/>
      <c r="U108" s="195">
        <f t="shared" si="18"/>
        <v>58.007354430520763</v>
      </c>
      <c r="V108" s="195">
        <f t="shared" si="14"/>
        <v>32.93477493479179</v>
      </c>
      <c r="W108" s="195">
        <f t="shared" si="14"/>
        <v>111.03821597882597</v>
      </c>
      <c r="X108" s="195">
        <f t="shared" si="17"/>
        <v>201.98034534413853</v>
      </c>
      <c r="Y108" s="207">
        <f t="shared" si="16"/>
        <v>0.28719306490780855</v>
      </c>
      <c r="AC108" s="251">
        <f t="shared" si="15"/>
        <v>1.2262405858844219</v>
      </c>
    </row>
    <row r="109" spans="1:29" ht="15.6" x14ac:dyDescent="0.3">
      <c r="A109" s="206">
        <v>2038</v>
      </c>
      <c r="B109" s="253">
        <f>(B161/Population_Tables!O27)*Population_Tables!C27</f>
        <v>5746.4862748722644</v>
      </c>
      <c r="C109" s="253">
        <f>(C161/Population_Tables!P27)*Population_Tables!D27</f>
        <v>1707.2290407155938</v>
      </c>
      <c r="D109" s="253">
        <f>(D161/Population_Tables!Q27)*Population_Tables!E27</f>
        <v>598.94154095257784</v>
      </c>
      <c r="E109" s="253">
        <f>(E161/Population_Tables!R27)*Population_Tables!F27</f>
        <v>1635.5639164486049</v>
      </c>
      <c r="F109" s="253">
        <f>(F161/Population_Tables!S27)*Population_Tables!G27</f>
        <v>476.8753961560468</v>
      </c>
      <c r="G109" s="253">
        <f>(G161/Population_Tables!T27)*Population_Tables!H27</f>
        <v>468.80969910486874</v>
      </c>
      <c r="H109" s="253">
        <f>(H161/Population_Tables!U27)*Population_Tables!I27</f>
        <v>934.66288312918789</v>
      </c>
      <c r="I109" s="253">
        <f>(I161/Population_Tables!V27)*Population_Tables!J27</f>
        <v>463.59228363777441</v>
      </c>
      <c r="J109" s="253">
        <f>(J161/Population_Tables!W27)*Population_Tables!K27</f>
        <v>649.5385339002454</v>
      </c>
      <c r="K109" s="253">
        <f>(K161/Population_Tables!X27)*Population_Tables!L27</f>
        <v>683.51221986465828</v>
      </c>
      <c r="L109" s="170"/>
      <c r="M109" s="170"/>
      <c r="N109" s="195">
        <f t="shared" si="9"/>
        <v>1177.7764294754638</v>
      </c>
      <c r="O109" s="195">
        <f t="shared" si="11"/>
        <v>934.66288312918789</v>
      </c>
      <c r="P109" s="195">
        <f t="shared" si="10"/>
        <v>2774.9802807730402</v>
      </c>
      <c r="Q109" s="195">
        <f t="shared" si="12"/>
        <v>4887.4195933776919</v>
      </c>
      <c r="R109" s="196">
        <f t="shared" si="13"/>
        <v>0.24098123907170071</v>
      </c>
      <c r="S109" s="170"/>
      <c r="T109" s="170"/>
      <c r="U109" s="195">
        <f t="shared" si="18"/>
        <v>63.568630063463161</v>
      </c>
      <c r="V109" s="195">
        <f t="shared" si="14"/>
        <v>35.487342509328187</v>
      </c>
      <c r="W109" s="195">
        <f t="shared" si="14"/>
        <v>119.5268705489575</v>
      </c>
      <c r="X109" s="195">
        <f t="shared" si="17"/>
        <v>218.58284312174885</v>
      </c>
      <c r="Y109" s="207">
        <f t="shared" si="16"/>
        <v>0.29082168186482943</v>
      </c>
      <c r="AC109" s="251">
        <f t="shared" si="15"/>
        <v>1.2180727191600755</v>
      </c>
    </row>
    <row r="110" spans="1:29" ht="15.6" x14ac:dyDescent="0.3">
      <c r="A110" s="206">
        <v>2039</v>
      </c>
      <c r="B110" s="253">
        <f>(B162/Population_Tables!O28)*Population_Tables!C28</f>
        <v>5786.0311791271833</v>
      </c>
      <c r="C110" s="253">
        <f>(C162/Population_Tables!P28)*Population_Tables!D28</f>
        <v>1713.6354953358643</v>
      </c>
      <c r="D110" s="253">
        <f>(D162/Population_Tables!Q28)*Population_Tables!E28</f>
        <v>602.89609649853548</v>
      </c>
      <c r="E110" s="253">
        <f>(E162/Population_Tables!R28)*Population_Tables!F28</f>
        <v>1668.1507403336802</v>
      </c>
      <c r="F110" s="253">
        <f>(F162/Population_Tables!S28)*Population_Tables!G28</f>
        <v>486.87407680595595</v>
      </c>
      <c r="G110" s="253">
        <f>(G162/Population_Tables!T28)*Population_Tables!H28</f>
        <v>475.42790561884556</v>
      </c>
      <c r="H110" s="253">
        <f>(H162/Population_Tables!U28)*Population_Tables!I28</f>
        <v>940.35478761407194</v>
      </c>
      <c r="I110" s="253">
        <f>(I162/Population_Tables!V28)*Population_Tables!J28</f>
        <v>465.45790698802944</v>
      </c>
      <c r="J110" s="253">
        <f>(J162/Population_Tables!W28)*Population_Tables!K28</f>
        <v>651.4274235768512</v>
      </c>
      <c r="K110" s="253">
        <f>(K162/Population_Tables!X28)*Population_Tables!L28</f>
        <v>687.0354493133467</v>
      </c>
      <c r="L110" s="170"/>
      <c r="M110" s="170"/>
      <c r="N110" s="195">
        <f t="shared" si="9"/>
        <v>1214.6700295255641</v>
      </c>
      <c r="O110" s="195">
        <f t="shared" si="11"/>
        <v>940.35478761407194</v>
      </c>
      <c r="P110" s="195">
        <f t="shared" si="10"/>
        <v>2791.9594974532456</v>
      </c>
      <c r="Q110" s="195">
        <f t="shared" si="12"/>
        <v>4946.9843145928817</v>
      </c>
      <c r="R110" s="196">
        <f t="shared" si="13"/>
        <v>0.24553747339413728</v>
      </c>
      <c r="S110" s="170"/>
      <c r="T110" s="170"/>
      <c r="U110" s="195">
        <f t="shared" si="18"/>
        <v>69.361083209710614</v>
      </c>
      <c r="V110" s="195">
        <f t="shared" si="14"/>
        <v>38.068407233669632</v>
      </c>
      <c r="W110" s="195">
        <f t="shared" si="14"/>
        <v>128.10933690965658</v>
      </c>
      <c r="X110" s="195">
        <f t="shared" si="17"/>
        <v>235.53882735303682</v>
      </c>
      <c r="Y110" s="207">
        <f t="shared" si="16"/>
        <v>0.29447834138084128</v>
      </c>
      <c r="AC110" s="251">
        <f t="shared" si="15"/>
        <v>1.2099760807695852</v>
      </c>
    </row>
    <row r="111" spans="1:29" ht="15.6" x14ac:dyDescent="0.3">
      <c r="A111" s="206">
        <v>2040</v>
      </c>
      <c r="B111" s="253">
        <f>(B163/Population_Tables!O29)*Population_Tables!C29</f>
        <v>5825.1526009176032</v>
      </c>
      <c r="C111" s="253">
        <f>(C163/Population_Tables!P29)*Population_Tables!D29</f>
        <v>1720.0415782334121</v>
      </c>
      <c r="D111" s="253">
        <f>(D163/Population_Tables!Q29)*Population_Tables!E29</f>
        <v>606.8777345257929</v>
      </c>
      <c r="E111" s="253">
        <f>(E163/Population_Tables!R29)*Population_Tables!F29</f>
        <v>1701.0930395803737</v>
      </c>
      <c r="F111" s="253">
        <f>(F163/Population_Tables!S29)*Population_Tables!G29</f>
        <v>496.96462772732798</v>
      </c>
      <c r="G111" s="253">
        <f>(G163/Population_Tables!T29)*Population_Tables!H29</f>
        <v>482.06845705661283</v>
      </c>
      <c r="H111" s="253">
        <f>(H163/Population_Tables!U29)*Population_Tables!I29</f>
        <v>945.80476165992604</v>
      </c>
      <c r="I111" s="253">
        <f>(I163/Population_Tables!V29)*Population_Tables!J29</f>
        <v>467.27949726346293</v>
      </c>
      <c r="J111" s="253">
        <f>(J163/Population_Tables!W29)*Population_Tables!K29</f>
        <v>653.30853437914755</v>
      </c>
      <c r="K111" s="253">
        <f>(K163/Population_Tables!X29)*Population_Tables!L29</f>
        <v>690.54032532830593</v>
      </c>
      <c r="L111" s="170"/>
      <c r="M111" s="170"/>
      <c r="N111" s="195">
        <f t="shared" si="9"/>
        <v>1252.2529056477756</v>
      </c>
      <c r="O111" s="195">
        <f t="shared" si="11"/>
        <v>945.80476165992604</v>
      </c>
      <c r="P111" s="195">
        <f t="shared" si="10"/>
        <v>2808.987769815818</v>
      </c>
      <c r="Q111" s="195">
        <f t="shared" si="12"/>
        <v>5007.0454371235192</v>
      </c>
      <c r="R111" s="196">
        <f>N111/Q111</f>
        <v>0.25009817094193942</v>
      </c>
      <c r="S111" s="170"/>
      <c r="T111" s="170"/>
      <c r="U111" s="195">
        <f t="shared" si="18"/>
        <v>75.427008780440701</v>
      </c>
      <c r="V111" s="195">
        <f t="shared" si="14"/>
        <v>40.692564057057439</v>
      </c>
      <c r="W111" s="195">
        <f t="shared" si="14"/>
        <v>136.83717766582231</v>
      </c>
      <c r="X111" s="195">
        <f t="shared" si="17"/>
        <v>252.95675050332045</v>
      </c>
      <c r="Y111" s="207">
        <f t="shared" si="16"/>
        <v>0.29818144259981155</v>
      </c>
      <c r="AC111" s="251">
        <f t="shared" si="15"/>
        <v>1.2019756528145755</v>
      </c>
    </row>
    <row r="112" spans="1:29" ht="15.6" x14ac:dyDescent="0.3">
      <c r="A112" s="206">
        <v>2041</v>
      </c>
      <c r="B112" s="253">
        <f>(B164/Population_Tables!O30)*Population_Tables!C30</f>
        <v>5863.8897708368968</v>
      </c>
      <c r="C112" s="253">
        <f>(C164/Population_Tables!P30)*Population_Tables!D30</f>
        <v>1726.4648547606105</v>
      </c>
      <c r="D112" s="253">
        <f>(D164/Population_Tables!Q30)*Population_Tables!E30</f>
        <v>610.88950495203142</v>
      </c>
      <c r="E112" s="253">
        <f>(E164/Population_Tables!R30)*Population_Tables!F30</f>
        <v>1734.4005781336098</v>
      </c>
      <c r="F112" s="253">
        <f>(F164/Population_Tables!S30)*Population_Tables!G30</f>
        <v>507.15008456960146</v>
      </c>
      <c r="G112" s="253">
        <f>(G164/Population_Tables!T30)*Population_Tables!H30</f>
        <v>488.73379865382839</v>
      </c>
      <c r="H112" s="253">
        <f>(H164/Population_Tables!U30)*Population_Tables!I30</f>
        <v>951.01290020357283</v>
      </c>
      <c r="I112" s="253">
        <f>(I164/Population_Tables!V30)*Population_Tables!J30</f>
        <v>469.0726684573761</v>
      </c>
      <c r="J112" s="253">
        <f>(J164/Population_Tables!W30)*Population_Tables!K30</f>
        <v>655.18999050395121</v>
      </c>
      <c r="K112" s="253">
        <f>(K164/Population_Tables!X30)*Population_Tables!L30</f>
        <v>694.03644970843777</v>
      </c>
      <c r="L112" s="170"/>
      <c r="M112" s="170"/>
      <c r="N112" s="195">
        <f t="shared" si="9"/>
        <v>1290.5377624996386</v>
      </c>
      <c r="O112" s="195">
        <f t="shared" si="11"/>
        <v>951.01290020357283</v>
      </c>
      <c r="P112" s="195">
        <f t="shared" si="10"/>
        <v>2826.08815836647</v>
      </c>
      <c r="Q112" s="195">
        <f t="shared" si="12"/>
        <v>5067.6388210696814</v>
      </c>
      <c r="R112" s="196">
        <f t="shared" si="13"/>
        <v>0.25466253773532166</v>
      </c>
      <c r="S112" s="170"/>
      <c r="T112" s="170"/>
      <c r="U112" s="195">
        <f t="shared" si="18"/>
        <v>81.78322397347938</v>
      </c>
      <c r="V112" s="195">
        <f t="shared" si="14"/>
        <v>43.36070673260258</v>
      </c>
      <c r="W112" s="195">
        <f t="shared" si="14"/>
        <v>145.7218739114237</v>
      </c>
      <c r="X112" s="195">
        <f t="shared" si="17"/>
        <v>270.86580461750566</v>
      </c>
      <c r="Y112" s="207">
        <f t="shared" si="16"/>
        <v>0.30193262707696494</v>
      </c>
      <c r="AC112" s="251">
        <f t="shared" si="15"/>
        <v>1.1940610137176051</v>
      </c>
    </row>
    <row r="113" spans="1:29" ht="15.6" x14ac:dyDescent="0.3">
      <c r="A113" s="206">
        <v>2042</v>
      </c>
      <c r="B113" s="253">
        <f>(B165/Population_Tables!O31)*Population_Tables!C31</f>
        <v>5902.2551917014589</v>
      </c>
      <c r="C113" s="253">
        <f>(C165/Population_Tables!P31)*Population_Tables!D31</f>
        <v>1732.9129164821345</v>
      </c>
      <c r="D113" s="253">
        <f>(D165/Population_Tables!Q31)*Population_Tables!E31</f>
        <v>614.9306780799493</v>
      </c>
      <c r="E113" s="253">
        <f>(E165/Population_Tables!R31)*Population_Tables!F31</f>
        <v>1768.0773597679454</v>
      </c>
      <c r="F113" s="253">
        <f>(F165/Population_Tables!S31)*Population_Tables!G31</f>
        <v>517.43105374893321</v>
      </c>
      <c r="G113" s="253">
        <f>(G165/Population_Tables!T31)*Population_Tables!H31</f>
        <v>495.42300976339197</v>
      </c>
      <c r="H113" s="253">
        <f>(H165/Population_Tables!U31)*Population_Tables!I31</f>
        <v>955.97576493975942</v>
      </c>
      <c r="I113" s="253">
        <f>(I165/Population_Tables!V31)*Population_Tables!J31</f>
        <v>470.85290270479413</v>
      </c>
      <c r="J113" s="253">
        <f>(J165/Population_Tables!W31)*Population_Tables!K31</f>
        <v>657.07588594718243</v>
      </c>
      <c r="K113" s="253">
        <f>(K165/Population_Tables!X31)*Population_Tables!L31</f>
        <v>697.52994456962756</v>
      </c>
      <c r="L113" s="170"/>
      <c r="M113" s="170"/>
      <c r="N113" s="195">
        <f t="shared" si="9"/>
        <v>1329.5326485771193</v>
      </c>
      <c r="O113" s="195">
        <f t="shared" si="11"/>
        <v>955.97576493975942</v>
      </c>
      <c r="P113" s="195">
        <f t="shared" si="10"/>
        <v>2843.2666043254758</v>
      </c>
      <c r="Q113" s="195">
        <f t="shared" si="12"/>
        <v>5128.7750178423548</v>
      </c>
      <c r="R113" s="196">
        <f t="shared" si="13"/>
        <v>0.25923005863034437</v>
      </c>
      <c r="S113" s="170"/>
      <c r="T113" s="170"/>
      <c r="U113" s="195">
        <f t="shared" si="18"/>
        <v>88.441889825078988</v>
      </c>
      <c r="V113" s="195">
        <f t="shared" si="14"/>
        <v>46.070195771340764</v>
      </c>
      <c r="W113" s="195">
        <f t="shared" si="14"/>
        <v>154.75778745499247</v>
      </c>
      <c r="X113" s="195">
        <f t="shared" si="17"/>
        <v>289.26987305141222</v>
      </c>
      <c r="Y113" s="207">
        <f t="shared" si="16"/>
        <v>0.30574179361346809</v>
      </c>
      <c r="AC113" s="251">
        <f t="shared" si="15"/>
        <v>1.1862380148012299</v>
      </c>
    </row>
    <row r="114" spans="1:29" ht="15.6" x14ac:dyDescent="0.3">
      <c r="A114" s="206">
        <v>2043</v>
      </c>
      <c r="B114" s="253">
        <f>(B166/Population_Tables!O32)*Population_Tables!C32</f>
        <v>5940.3429120881829</v>
      </c>
      <c r="C114" s="253">
        <f>(C166/Population_Tables!P32)*Population_Tables!D32</f>
        <v>1739.4073188482885</v>
      </c>
      <c r="D114" s="253">
        <f>(D166/Population_Tables!Q32)*Population_Tables!E32</f>
        <v>619.00617232108846</v>
      </c>
      <c r="E114" s="253">
        <f>(E166/Population_Tables!R32)*Population_Tables!F32</f>
        <v>1802.1561292792562</v>
      </c>
      <c r="F114" s="253">
        <f>(F166/Population_Tables!S32)*Population_Tables!G32</f>
        <v>527.81498579754475</v>
      </c>
      <c r="G114" s="253">
        <f>(G166/Population_Tables!T32)*Population_Tables!H32</f>
        <v>502.14152015128741</v>
      </c>
      <c r="H114" s="253">
        <f>(H166/Population_Tables!U32)*Population_Tables!I32</f>
        <v>960.70116964896306</v>
      </c>
      <c r="I114" s="253">
        <f>(I166/Population_Tables!V32)*Population_Tables!J32</f>
        <v>472.64542803721088</v>
      </c>
      <c r="J114" s="253">
        <f>(J166/Population_Tables!W32)*Population_Tables!K32</f>
        <v>658.97529104019043</v>
      </c>
      <c r="K114" s="253">
        <f>(K166/Population_Tables!X32)*Population_Tables!L32</f>
        <v>701.03328598149847</v>
      </c>
      <c r="L114" s="170"/>
      <c r="M114" s="170"/>
      <c r="N114" s="195">
        <f t="shared" si="9"/>
        <v>1369.2699454278377</v>
      </c>
      <c r="O114" s="195">
        <f t="shared" si="11"/>
        <v>960.70116964896306</v>
      </c>
      <c r="P114" s="195">
        <f t="shared" si="10"/>
        <v>2860.5550113206641</v>
      </c>
      <c r="Q114" s="195">
        <f t="shared" si="12"/>
        <v>5190.5261263974644</v>
      </c>
      <c r="R114" s="196">
        <f t="shared" si="13"/>
        <v>0.26380176345980422</v>
      </c>
      <c r="S114" s="170"/>
      <c r="T114" s="170"/>
      <c r="U114" s="195">
        <f t="shared" si="18"/>
        <v>95.439500423144636</v>
      </c>
      <c r="V114" s="195">
        <f t="shared" si="14"/>
        <v>48.829643770037819</v>
      </c>
      <c r="W114" s="195">
        <f t="shared" si="14"/>
        <v>163.9652425126128</v>
      </c>
      <c r="X114" s="195">
        <f t="shared" si="17"/>
        <v>308.23438670579526</v>
      </c>
      <c r="Y114" s="207">
        <f t="shared" si="16"/>
        <v>0.30963287854784383</v>
      </c>
      <c r="AC114" s="251">
        <f t="shared" si="15"/>
        <v>1.178539876996332</v>
      </c>
    </row>
    <row r="115" spans="1:29" ht="15.6" x14ac:dyDescent="0.3">
      <c r="A115" s="206">
        <v>2044</v>
      </c>
      <c r="B115" s="253">
        <f>(B167/Population_Tables!O33)*Population_Tables!C33</f>
        <v>5978.2585761456794</v>
      </c>
      <c r="C115" s="253">
        <f>(C167/Population_Tables!P33)*Population_Tables!D33</f>
        <v>1745.9699791263697</v>
      </c>
      <c r="D115" s="253">
        <f>(D167/Population_Tables!Q33)*Population_Tables!E33</f>
        <v>623.12092994787031</v>
      </c>
      <c r="E115" s="253">
        <f>(E167/Population_Tables!R33)*Population_Tables!F33</f>
        <v>1836.6772259246623</v>
      </c>
      <c r="F115" s="253">
        <f>(F167/Population_Tables!S33)*Population_Tables!G33</f>
        <v>538.31013847805775</v>
      </c>
      <c r="G115" s="253">
        <f>(G167/Population_Tables!T33)*Population_Tables!H33</f>
        <v>508.8953442130499</v>
      </c>
      <c r="H115" s="253">
        <f>(H167/Population_Tables!U33)*Population_Tables!I33</f>
        <v>965.19906895321162</v>
      </c>
      <c r="I115" s="253">
        <f>(I167/Population_Tables!V33)*Population_Tables!J33</f>
        <v>474.47797304693052</v>
      </c>
      <c r="J115" s="253">
        <f>(J167/Population_Tables!W33)*Population_Tables!K33</f>
        <v>660.89723584008573</v>
      </c>
      <c r="K115" s="253">
        <f>(K167/Population_Tables!X33)*Population_Tables!L33</f>
        <v>704.55964979975795</v>
      </c>
      <c r="L115" s="170"/>
      <c r="M115" s="170"/>
      <c r="N115" s="195">
        <f t="shared" si="9"/>
        <v>1409.7882954495085</v>
      </c>
      <c r="O115" s="195">
        <f t="shared" si="11"/>
        <v>965.19906895321162</v>
      </c>
      <c r="P115" s="195">
        <f t="shared" si="10"/>
        <v>2877.9862532872899</v>
      </c>
      <c r="Q115" s="195">
        <f t="shared" si="12"/>
        <v>5252.9736176900096</v>
      </c>
      <c r="R115" s="196">
        <f t="shared" si="13"/>
        <v>0.26837909307251795</v>
      </c>
      <c r="S115" s="170"/>
      <c r="T115" s="170"/>
      <c r="U115" s="195">
        <f t="shared" si="18"/>
        <v>102.81881070567761</v>
      </c>
      <c r="V115" s="195">
        <f t="shared" si="14"/>
        <v>51.649804167009961</v>
      </c>
      <c r="W115" s="195">
        <f t="shared" si="14"/>
        <v>173.36553360779681</v>
      </c>
      <c r="X115" s="195">
        <f t="shared" si="17"/>
        <v>327.83414848048437</v>
      </c>
      <c r="Y115" s="207">
        <f t="shared" si="16"/>
        <v>0.31363056954940222</v>
      </c>
      <c r="AC115" s="251">
        <f t="shared" si="15"/>
        <v>1.1709990435051809</v>
      </c>
    </row>
    <row r="116" spans="1:29" ht="15.6" x14ac:dyDescent="0.3">
      <c r="A116" s="206">
        <v>2045</v>
      </c>
      <c r="B116" s="253">
        <f>(B168/Population_Tables!O34)*Population_Tables!C34</f>
        <v>6016.0950842839911</v>
      </c>
      <c r="C116" s="253">
        <f>(C168/Population_Tables!P34)*Population_Tables!D34</f>
        <v>1752.6248683670144</v>
      </c>
      <c r="D116" s="253">
        <f>(D168/Population_Tables!Q34)*Population_Tables!E34</f>
        <v>627.27998558076797</v>
      </c>
      <c r="E116" s="253">
        <f>(E168/Population_Tables!R34)*Population_Tables!F34</f>
        <v>1871.6777087710848</v>
      </c>
      <c r="F116" s="253">
        <f>(F168/Population_Tables!S34)*Population_Tables!G34</f>
        <v>548.92369715204109</v>
      </c>
      <c r="G116" s="253">
        <f>(G168/Population_Tables!T34)*Population_Tables!H34</f>
        <v>515.69016818874991</v>
      </c>
      <c r="H116" s="253">
        <f>(H168/Population_Tables!U34)*Population_Tables!I34</f>
        <v>969.47776706875266</v>
      </c>
      <c r="I116" s="253">
        <f>(I168/Population_Tables!V34)*Population_Tables!J34</f>
        <v>476.3761084227562</v>
      </c>
      <c r="J116" s="253">
        <f>(J168/Population_Tables!W34)*Population_Tables!K34</f>
        <v>662.85145502069099</v>
      </c>
      <c r="K116" s="253">
        <f>(K168/Population_Tables!X34)*Population_Tables!L34</f>
        <v>708.1227402347339</v>
      </c>
      <c r="L116" s="170"/>
      <c r="M116" s="170"/>
      <c r="N116" s="195">
        <f t="shared" si="9"/>
        <v>1451.123638854373</v>
      </c>
      <c r="O116" s="195">
        <f t="shared" si="11"/>
        <v>969.47776706875266</v>
      </c>
      <c r="P116" s="195">
        <f t="shared" si="10"/>
        <v>2895.5950221365324</v>
      </c>
      <c r="Q116" s="195">
        <f t="shared" si="12"/>
        <v>5316.1964280596585</v>
      </c>
      <c r="R116" s="196">
        <f t="shared" si="13"/>
        <v>0.27296275795889169</v>
      </c>
      <c r="S116" s="170"/>
      <c r="T116" s="170"/>
      <c r="U116" s="195">
        <f t="shared" si="18"/>
        <v>110.61987342520388</v>
      </c>
      <c r="V116" s="195">
        <f t="shared" si="14"/>
        <v>54.539779994793662</v>
      </c>
      <c r="W116" s="195">
        <f t="shared" si="14"/>
        <v>182.98177323998016</v>
      </c>
      <c r="X116" s="195">
        <f t="shared" si="17"/>
        <v>348.1414266599777</v>
      </c>
      <c r="Y116" s="207">
        <f t="shared" si="16"/>
        <v>0.31774406880122297</v>
      </c>
      <c r="AC116" s="251">
        <f t="shared" si="15"/>
        <v>1.1636174491969151</v>
      </c>
    </row>
    <row r="117" spans="1:29" ht="15.6" x14ac:dyDescent="0.3">
      <c r="A117" s="206">
        <v>2046</v>
      </c>
      <c r="B117" s="253">
        <f>(B169/Population_Tables!O35)*Population_Tables!C35</f>
        <v>6053.9086518260438</v>
      </c>
      <c r="C117" s="253">
        <f>(C169/Population_Tables!P35)*Population_Tables!D35</f>
        <v>1759.393571371721</v>
      </c>
      <c r="D117" s="253">
        <f>(D169/Population_Tables!Q35)*Population_Tables!E35</f>
        <v>631.48752875557966</v>
      </c>
      <c r="E117" s="253">
        <f>(E169/Population_Tables!R35)*Population_Tables!F35</f>
        <v>1907.1809238049598</v>
      </c>
      <c r="F117" s="253">
        <f>(F169/Population_Tables!S35)*Population_Tables!G35</f>
        <v>559.66017773980172</v>
      </c>
      <c r="G117" s="253">
        <f>(G169/Population_Tables!T35)*Population_Tables!H35</f>
        <v>522.52986244890326</v>
      </c>
      <c r="H117" s="253">
        <f>(H169/Population_Tables!U35)*Population_Tables!I35</f>
        <v>973.54152931111423</v>
      </c>
      <c r="I117" s="253">
        <f>(I169/Population_Tables!V35)*Population_Tables!J35</f>
        <v>478.35851535416617</v>
      </c>
      <c r="J117" s="253">
        <f>(J169/Population_Tables!W35)*Population_Tables!K35</f>
        <v>664.84735196319457</v>
      </c>
      <c r="K117" s="253">
        <f>(K169/Population_Tables!X35)*Population_Tables!L35</f>
        <v>711.73424246494722</v>
      </c>
      <c r="L117" s="170"/>
      <c r="M117" s="170"/>
      <c r="N117" s="195">
        <f t="shared" si="9"/>
        <v>1493.2995722336473</v>
      </c>
      <c r="O117" s="195">
        <f t="shared" si="11"/>
        <v>973.54152931111423</v>
      </c>
      <c r="P117" s="195">
        <f t="shared" si="10"/>
        <v>2913.4109625762039</v>
      </c>
      <c r="Q117" s="195">
        <f t="shared" si="12"/>
        <v>5380.2520641209658</v>
      </c>
      <c r="R117" s="196">
        <f t="shared" si="13"/>
        <v>0.27755197236797585</v>
      </c>
      <c r="S117" s="170"/>
      <c r="T117" s="170"/>
      <c r="U117" s="195">
        <f t="shared" si="18"/>
        <v>118.8703977132252</v>
      </c>
      <c r="V117" s="195">
        <f t="shared" si="14"/>
        <v>57.504635385205233</v>
      </c>
      <c r="W117" s="195">
        <f t="shared" si="14"/>
        <v>192.83202670523178</v>
      </c>
      <c r="X117" s="195">
        <f t="shared" si="17"/>
        <v>369.20705980366222</v>
      </c>
      <c r="Y117" s="207">
        <f t="shared" si="16"/>
        <v>0.32196133458671777</v>
      </c>
      <c r="AC117" s="251">
        <f t="shared" si="15"/>
        <v>1.1563683792295536</v>
      </c>
    </row>
    <row r="118" spans="1:29" ht="15.6" x14ac:dyDescent="0.3">
      <c r="A118" s="206">
        <v>2047</v>
      </c>
      <c r="B118" s="253">
        <f>(B170/Population_Tables!O36)*Population_Tables!C36</f>
        <v>6091.7466470226145</v>
      </c>
      <c r="C118" s="253">
        <f>(C170/Population_Tables!P36)*Population_Tables!D36</f>
        <v>1766.3024554525289</v>
      </c>
      <c r="D118" s="253">
        <f>(D170/Population_Tables!Q36)*Population_Tables!E36</f>
        <v>635.74768586156597</v>
      </c>
      <c r="E118" s="253">
        <f>(E170/Population_Tables!R36)*Population_Tables!F36</f>
        <v>1943.2073190763779</v>
      </c>
      <c r="F118" s="253">
        <f>(F170/Population_Tables!S36)*Population_Tables!G36</f>
        <v>570.5229297396038</v>
      </c>
      <c r="G118" s="253">
        <f>(G170/Population_Tables!T36)*Population_Tables!H36</f>
        <v>529.41831698331919</v>
      </c>
      <c r="H118" s="253">
        <f>(H170/Population_Tables!U36)*Population_Tables!I36</f>
        <v>977.39198892725449</v>
      </c>
      <c r="I118" s="253">
        <f>(I170/Population_Tables!V36)*Population_Tables!J36</f>
        <v>480.44304548829012</v>
      </c>
      <c r="J118" s="253">
        <f>(J170/Population_Tables!W36)*Population_Tables!K36</f>
        <v>666.89563002895238</v>
      </c>
      <c r="K118" s="253">
        <f>(K170/Population_Tables!X36)*Population_Tables!L36</f>
        <v>715.40808644310539</v>
      </c>
      <c r="L118" s="170"/>
      <c r="M118" s="170"/>
      <c r="N118" s="195">
        <f t="shared" si="9"/>
        <v>1536.3382598887272</v>
      </c>
      <c r="O118" s="195">
        <f t="shared" si="11"/>
        <v>977.39198892725449</v>
      </c>
      <c r="P118" s="195">
        <f t="shared" si="10"/>
        <v>2931.4684582974137</v>
      </c>
      <c r="Q118" s="195">
        <f t="shared" si="12"/>
        <v>5445.1987071133954</v>
      </c>
      <c r="R118" s="196">
        <f t="shared" si="13"/>
        <v>0.28214549046331677</v>
      </c>
      <c r="S118" s="170"/>
      <c r="T118" s="170"/>
      <c r="U118" s="195">
        <f t="shared" si="18"/>
        <v>127.5966604114235</v>
      </c>
      <c r="V118" s="195">
        <f t="shared" si="14"/>
        <v>60.546802401491391</v>
      </c>
      <c r="W118" s="195">
        <f t="shared" si="14"/>
        <v>202.93909828291771</v>
      </c>
      <c r="X118" s="195">
        <f t="shared" si="17"/>
        <v>391.0825610958326</v>
      </c>
      <c r="Y118" s="207">
        <f t="shared" si="16"/>
        <v>0.32626527773033748</v>
      </c>
      <c r="AC118" s="251">
        <f t="shared" si="15"/>
        <v>1.1492084355591803</v>
      </c>
    </row>
    <row r="119" spans="1:29" ht="15.6" x14ac:dyDescent="0.3">
      <c r="A119" s="206">
        <v>2048</v>
      </c>
      <c r="B119" s="253">
        <f>(B171/Population_Tables!O37)*Population_Tables!C37</f>
        <v>6129.6799516036126</v>
      </c>
      <c r="C119" s="253">
        <f>(C171/Population_Tables!P37)*Population_Tables!D37</f>
        <v>1773.387242490739</v>
      </c>
      <c r="D119" s="253">
        <f>(D171/Population_Tables!Q37)*Population_Tables!E37</f>
        <v>640.06479610219742</v>
      </c>
      <c r="E119" s="253">
        <f>(E171/Population_Tables!R37)*Population_Tables!F37</f>
        <v>1979.7890157998293</v>
      </c>
      <c r="F119" s="253">
        <f>(F171/Population_Tables!S37)*Population_Tables!G37</f>
        <v>581.51638645428602</v>
      </c>
      <c r="G119" s="253">
        <f>(G171/Population_Tables!T37)*Population_Tables!H37</f>
        <v>536.36076725987664</v>
      </c>
      <c r="H119" s="253">
        <f>(H171/Population_Tables!U37)*Population_Tables!I37</f>
        <v>981.03165220920243</v>
      </c>
      <c r="I119" s="253">
        <f>(I171/Population_Tables!V37)*Population_Tables!J37</f>
        <v>482.65315234343984</v>
      </c>
      <c r="J119" s="253">
        <f>(J171/Population_Tables!W37)*Population_Tables!K37</f>
        <v>669.00911562589579</v>
      </c>
      <c r="K119" s="253">
        <f>(K171/Population_Tables!X37)*Population_Tables!L37</f>
        <v>719.16317263888095</v>
      </c>
      <c r="L119" s="170"/>
      <c r="M119" s="170"/>
      <c r="N119" s="195">
        <f t="shared" si="9"/>
        <v>1580.273750044913</v>
      </c>
      <c r="O119" s="195">
        <f t="shared" si="11"/>
        <v>981.03165220920243</v>
      </c>
      <c r="P119" s="195">
        <f t="shared" si="10"/>
        <v>2949.8128058528127</v>
      </c>
      <c r="Q119" s="195">
        <f t="shared" si="12"/>
        <v>5511.1182081069283</v>
      </c>
      <c r="R119" s="196">
        <f t="shared" si="13"/>
        <v>0.28674285151792051</v>
      </c>
      <c r="S119" s="170"/>
      <c r="T119" s="170"/>
      <c r="U119" s="195">
        <f t="shared" si="18"/>
        <v>136.83682228538532</v>
      </c>
      <c r="V119" s="195">
        <f t="shared" si="14"/>
        <v>63.669586151969838</v>
      </c>
      <c r="W119" s="195">
        <f t="shared" si="14"/>
        <v>213.3367051139453</v>
      </c>
      <c r="X119" s="195">
        <f t="shared" si="17"/>
        <v>413.84311355130046</v>
      </c>
      <c r="Y119" s="207">
        <f t="shared" si="16"/>
        <v>0.33064902569273485</v>
      </c>
      <c r="AC119" s="251">
        <f t="shared" si="15"/>
        <v>1.1420972727991263</v>
      </c>
    </row>
    <row r="120" spans="1:29" ht="15.6" x14ac:dyDescent="0.3">
      <c r="A120" s="206">
        <v>2049</v>
      </c>
      <c r="B120" s="253">
        <f>(B172/Population_Tables!O38)*Population_Tables!C38</f>
        <v>6167.7801963525944</v>
      </c>
      <c r="C120" s="253">
        <f>(C172/Population_Tables!P38)*Population_Tables!D38</f>
        <v>1780.6884211928464</v>
      </c>
      <c r="D120" s="253">
        <f>(D172/Population_Tables!Q38)*Population_Tables!E38</f>
        <v>644.44359642523136</v>
      </c>
      <c r="E120" s="253">
        <f>(E172/Population_Tables!R38)*Population_Tables!F38</f>
        <v>2016.9600085730058</v>
      </c>
      <c r="F120" s="253">
        <f>(F172/Population_Tables!S38)*Population_Tables!G38</f>
        <v>592.6446594062229</v>
      </c>
      <c r="G120" s="253">
        <f>(G172/Population_Tables!T38)*Population_Tables!H38</f>
        <v>543.36293220674281</v>
      </c>
      <c r="H120" s="253">
        <f>(H172/Population_Tables!U38)*Population_Tables!I38</f>
        <v>984.46198819257177</v>
      </c>
      <c r="I120" s="253">
        <f>(I172/Population_Tables!V38)*Population_Tables!J38</f>
        <v>485.01315992686176</v>
      </c>
      <c r="J120" s="253">
        <f>(J172/Population_Tables!W38)*Population_Tables!K38</f>
        <v>671.20208258847413</v>
      </c>
      <c r="K120" s="253">
        <f>(K172/Population_Tables!X38)*Population_Tables!L38</f>
        <v>723.02044018999504</v>
      </c>
      <c r="L120" s="170"/>
      <c r="M120" s="170"/>
      <c r="N120" s="195">
        <f t="shared" si="9"/>
        <v>1625.142679786657</v>
      </c>
      <c r="O120" s="195">
        <f t="shared" si="11"/>
        <v>984.46198819257177</v>
      </c>
      <c r="P120" s="195">
        <f t="shared" si="10"/>
        <v>2968.4949498248207</v>
      </c>
      <c r="Q120" s="195">
        <f t="shared" si="12"/>
        <v>5578.0996178040496</v>
      </c>
      <c r="R120" s="196">
        <f t="shared" si="13"/>
        <v>0.29134343076261388</v>
      </c>
      <c r="S120" s="170"/>
      <c r="T120" s="170"/>
      <c r="U120" s="195">
        <f t="shared" si="18"/>
        <v>146.63163295984759</v>
      </c>
      <c r="V120" s="195">
        <f t="shared" si="14"/>
        <v>66.875254488542623</v>
      </c>
      <c r="W120" s="195">
        <f t="shared" si="14"/>
        <v>224.06421236899087</v>
      </c>
      <c r="X120" s="195">
        <f t="shared" si="17"/>
        <v>437.57109981738108</v>
      </c>
      <c r="Y120" s="207">
        <f t="shared" si="16"/>
        <v>0.3351035592182478</v>
      </c>
      <c r="AC120" s="251">
        <f t="shared" si="15"/>
        <v>1.1349901397468511</v>
      </c>
    </row>
    <row r="121" spans="1:29" ht="16.2" thickBot="1" x14ac:dyDescent="0.35">
      <c r="A121" s="208">
        <v>2050</v>
      </c>
      <c r="B121" s="253">
        <f>(B173/Population_Tables!O39)*Population_Tables!C39</f>
        <v>6206.105596608324</v>
      </c>
      <c r="C121" s="253">
        <f>(C173/Population_Tables!P39)*Population_Tables!D39</f>
        <v>1788.2425162824975</v>
      </c>
      <c r="D121" s="253">
        <f>(D173/Population_Tables!Q39)*Population_Tables!E39</f>
        <v>648.88835308576301</v>
      </c>
      <c r="E121" s="253">
        <f>(E173/Population_Tables!R39)*Population_Tables!F39</f>
        <v>2054.7501476784182</v>
      </c>
      <c r="F121" s="253">
        <f>(F173/Population_Tables!S39)*Population_Tables!G39</f>
        <v>603.91124648695302</v>
      </c>
      <c r="G121" s="253">
        <f>(G173/Population_Tables!T39)*Population_Tables!H39</f>
        <v>550.42983149000781</v>
      </c>
      <c r="H121" s="253">
        <f>(H173/Population_Tables!U39)*Population_Tables!I39</f>
        <v>987.68408798791017</v>
      </c>
      <c r="I121" s="253">
        <f>(I173/Population_Tables!V39)*Population_Tables!J39</f>
        <v>487.54484583966786</v>
      </c>
      <c r="J121" s="253">
        <f>(J173/Population_Tables!W39)*Population_Tables!K39</f>
        <v>673.48784028033708</v>
      </c>
      <c r="K121" s="253">
        <f>(K173/Population_Tables!X39)*Population_Tables!L39</f>
        <v>726.99880071503594</v>
      </c>
      <c r="L121" s="209"/>
      <c r="M121" s="209"/>
      <c r="N121" s="195">
        <f t="shared" si="9"/>
        <v>1670.9773061774613</v>
      </c>
      <c r="O121" s="195">
        <f t="shared" si="11"/>
        <v>987.68408798791017</v>
      </c>
      <c r="P121" s="195">
        <f t="shared" si="10"/>
        <v>2987.5607008582683</v>
      </c>
      <c r="Q121" s="195">
        <f t="shared" si="12"/>
        <v>5646.2220950236397</v>
      </c>
      <c r="R121" s="210">
        <f t="shared" si="13"/>
        <v>0.29594608183234516</v>
      </c>
      <c r="S121" s="209"/>
      <c r="T121" s="209"/>
      <c r="U121" s="211">
        <f t="shared" si="18"/>
        <v>157.0174620385983</v>
      </c>
      <c r="V121" s="195">
        <f t="shared" si="14"/>
        <v>70.16569733804613</v>
      </c>
      <c r="W121" s="211">
        <f t="shared" si="14"/>
        <v>235.15585128114253</v>
      </c>
      <c r="X121" s="195">
        <f t="shared" si="17"/>
        <v>462.33901065778696</v>
      </c>
      <c r="Y121" s="212">
        <f t="shared" si="16"/>
        <v>0.33961543027745744</v>
      </c>
      <c r="AC121" s="251">
        <f t="shared" si="15"/>
        <v>1.1278514311728476</v>
      </c>
    </row>
    <row r="122" spans="1:29" ht="15.6" x14ac:dyDescent="0.3">
      <c r="A122" s="213">
        <v>2051</v>
      </c>
      <c r="B122" s="253">
        <f>(B174/Population_Tables!O40)*Population_Tables!C40</f>
        <v>6244.6962451656045</v>
      </c>
      <c r="C122" s="253">
        <f>(C174/Population_Tables!P40)*Population_Tables!D40</f>
        <v>1796.0753991196207</v>
      </c>
      <c r="D122" s="253">
        <f>(D174/Population_Tables!Q40)*Population_Tables!E40</f>
        <v>653.4030434527607</v>
      </c>
      <c r="E122" s="253">
        <f>(E174/Population_Tables!R40)*Population_Tables!F40</f>
        <v>2093.1835705230792</v>
      </c>
      <c r="F122" s="253">
        <f>(F174/Population_Tables!S40)*Population_Tables!G40</f>
        <v>615.31894251581184</v>
      </c>
      <c r="G122" s="253">
        <f>(G174/Population_Tables!T40)*Population_Tables!H40</f>
        <v>557.56496791310769</v>
      </c>
      <c r="H122" s="253">
        <f>(H174/Population_Tables!U40)*Population_Tables!I40</f>
        <v>990.69961490746425</v>
      </c>
      <c r="I122" s="253">
        <f>(I174/Population_Tables!V40)*Population_Tables!J40</f>
        <v>490.26657997980851</v>
      </c>
      <c r="J122" s="253">
        <f>(J174/Population_Tables!W40)*Population_Tables!K40</f>
        <v>675.8774495729524</v>
      </c>
      <c r="K122" s="253">
        <f>(K174/Population_Tables!X40)*Population_Tables!L40</f>
        <v>731.11181107177492</v>
      </c>
      <c r="N122" s="195">
        <f t="shared" si="9"/>
        <v>1717.8028981314269</v>
      </c>
      <c r="O122" s="195">
        <f t="shared" si="11"/>
        <v>990.69961490746425</v>
      </c>
      <c r="P122" s="195">
        <f t="shared" si="10"/>
        <v>3007.0434104854894</v>
      </c>
      <c r="Q122" s="195">
        <f t="shared" si="12"/>
        <v>5715.5459235243798</v>
      </c>
      <c r="R122" s="214">
        <f t="shared" si="13"/>
        <v>0.30054922506373238</v>
      </c>
      <c r="U122" s="215">
        <f t="shared" si="18"/>
        <v>168.02369097602445</v>
      </c>
      <c r="V122" s="195">
        <f t="shared" si="14"/>
        <v>73.543376829015529</v>
      </c>
      <c r="W122" s="215">
        <f t="shared" si="14"/>
        <v>246.63339397098889</v>
      </c>
      <c r="X122" s="195">
        <f t="shared" si="17"/>
        <v>488.20046177602887</v>
      </c>
      <c r="Y122" s="214">
        <f t="shared" si="16"/>
        <v>0.34416946343059479</v>
      </c>
      <c r="AC122" s="251">
        <f t="shared" si="15"/>
        <v>1.1206634662185153</v>
      </c>
    </row>
    <row r="123" spans="1:29" ht="15.6" x14ac:dyDescent="0.3">
      <c r="A123" s="194">
        <v>2052</v>
      </c>
      <c r="B123" s="253">
        <f>(B175/Population_Tables!O41)*Population_Tables!C41</f>
        <v>6283.5737185777743</v>
      </c>
      <c r="C123" s="253">
        <f>(C175/Population_Tables!P41)*Population_Tables!D41</f>
        <v>1804.2097110694176</v>
      </c>
      <c r="D123" s="253">
        <f>(D175/Population_Tables!Q41)*Population_Tables!E41</f>
        <v>657.99094951289874</v>
      </c>
      <c r="E123" s="253">
        <f>(E175/Population_Tables!R41)*Population_Tables!F41</f>
        <v>2132.2762575006618</v>
      </c>
      <c r="F123" s="253">
        <f>(F175/Population_Tables!S41)*Population_Tables!G41</f>
        <v>626.86960611496283</v>
      </c>
      <c r="G123" s="253">
        <f>(G175/Population_Tables!T41)*Population_Tables!H41</f>
        <v>564.77086331002147</v>
      </c>
      <c r="H123" s="253">
        <f>(H175/Population_Tables!U41)*Population_Tables!I41</f>
        <v>993.50919789418958</v>
      </c>
      <c r="I123" s="253">
        <f>(I175/Population_Tables!V41)*Population_Tables!J41</f>
        <v>493.19303480316358</v>
      </c>
      <c r="J123" s="253">
        <f>(J175/Population_Tables!W41)*Population_Tables!K41</f>
        <v>678.38083684208584</v>
      </c>
      <c r="K123" s="253">
        <f>(K175/Population_Tables!X41)*Population_Tables!L41</f>
        <v>735.37095355683391</v>
      </c>
      <c r="N123" s="195">
        <f t="shared" si="9"/>
        <v>1765.6366657214353</v>
      </c>
      <c r="O123" s="195">
        <f t="shared" si="11"/>
        <v>993.50919789418958</v>
      </c>
      <c r="P123" s="195">
        <f t="shared" si="10"/>
        <v>3026.9715238923377</v>
      </c>
      <c r="Q123" s="195">
        <f t="shared" si="12"/>
        <v>5786.1173875079621</v>
      </c>
      <c r="R123" s="196">
        <f t="shared" si="13"/>
        <v>0.30515050896364238</v>
      </c>
      <c r="U123" s="195">
        <f t="shared" si="18"/>
        <v>179.6716423852929</v>
      </c>
      <c r="V123" s="195">
        <f t="shared" si="14"/>
        <v>77.009720720694759</v>
      </c>
      <c r="W123" s="195">
        <f t="shared" si="14"/>
        <v>258.51370621264277</v>
      </c>
      <c r="X123" s="195">
        <f t="shared" si="17"/>
        <v>515.19506931863043</v>
      </c>
      <c r="Y123" s="196">
        <f t="shared" si="16"/>
        <v>0.34874487953255656</v>
      </c>
      <c r="AC123" s="251">
        <f t="shared" si="15"/>
        <v>1.1134099667457256</v>
      </c>
    </row>
    <row r="124" spans="1:29" ht="15.6" x14ac:dyDescent="0.3">
      <c r="A124" s="194">
        <v>2053</v>
      </c>
      <c r="B124" s="253">
        <f>(B176/Population_Tables!O42)*Population_Tables!C42</f>
        <v>6322.7510088795671</v>
      </c>
      <c r="C124" s="253">
        <f>(C176/Population_Tables!P42)*Population_Tables!D42</f>
        <v>1812.6763269183562</v>
      </c>
      <c r="D124" s="253">
        <f>(D176/Population_Tables!Q42)*Population_Tables!E42</f>
        <v>662.65543986809143</v>
      </c>
      <c r="E124" s="253">
        <f>(E176/Population_Tables!R42)*Population_Tables!F42</f>
        <v>2172.0387564277876</v>
      </c>
      <c r="F124" s="253">
        <f>(F176/Population_Tables!S42)*Population_Tables!G42</f>
        <v>638.56423081638968</v>
      </c>
      <c r="G124" s="253">
        <f>(G176/Population_Tables!T42)*Population_Tables!H42</f>
        <v>572.04987591028078</v>
      </c>
      <c r="H124" s="253">
        <f>(H176/Population_Tables!U42)*Population_Tables!I42</f>
        <v>996.11097223225613</v>
      </c>
      <c r="I124" s="253">
        <f>(I176/Population_Tables!V42)*Population_Tables!J42</f>
        <v>496.33724831275731</v>
      </c>
      <c r="J124" s="253">
        <f>(J176/Population_Tables!W42)*Population_Tables!K42</f>
        <v>681.01086440058202</v>
      </c>
      <c r="K124" s="253">
        <f>(K176/Population_Tables!X42)*Population_Tables!L42</f>
        <v>739.79025071072158</v>
      </c>
      <c r="N124" s="195">
        <f t="shared" si="9"/>
        <v>1814.492015011921</v>
      </c>
      <c r="O124" s="195">
        <f t="shared" si="11"/>
        <v>996.11097223225613</v>
      </c>
      <c r="P124" s="195">
        <f t="shared" si="10"/>
        <v>3047.3816426967282</v>
      </c>
      <c r="Q124" s="195">
        <f t="shared" si="12"/>
        <v>5857.9846299409055</v>
      </c>
      <c r="R124" s="196">
        <f t="shared" si="13"/>
        <v>0.3097468036597128</v>
      </c>
      <c r="U124" s="195">
        <f t="shared" si="18"/>
        <v>191.97883487112449</v>
      </c>
      <c r="V124" s="195">
        <f t="shared" si="14"/>
        <v>80.563663113542475</v>
      </c>
      <c r="W124" s="195">
        <f t="shared" si="14"/>
        <v>270.82181021227416</v>
      </c>
      <c r="X124" s="195">
        <f t="shared" si="17"/>
        <v>543.36430819694112</v>
      </c>
      <c r="Y124" s="196">
        <f t="shared" si="16"/>
        <v>0.35331513677843968</v>
      </c>
      <c r="AC124" s="251">
        <f t="shared" si="15"/>
        <v>1.1060611672204148</v>
      </c>
    </row>
    <row r="125" spans="1:29" ht="15.6" x14ac:dyDescent="0.3">
      <c r="A125" s="194">
        <v>2054</v>
      </c>
      <c r="B125" s="253">
        <f>(B177/Population_Tables!O43)*Population_Tables!C43</f>
        <v>6362.229273159166</v>
      </c>
      <c r="C125" s="253">
        <f>(C177/Population_Tables!P43)*Population_Tables!D43</f>
        <v>1821.5059979922366</v>
      </c>
      <c r="D125" s="253">
        <f>(D177/Population_Tables!Q43)*Population_Tables!E43</f>
        <v>667.39971541646662</v>
      </c>
      <c r="E125" s="253">
        <f>(E177/Population_Tables!R43)*Population_Tables!F43</f>
        <v>2212.475569617965</v>
      </c>
      <c r="F125" s="253">
        <f>(F177/Population_Tables!S43)*Population_Tables!G43</f>
        <v>650.40310965887863</v>
      </c>
      <c r="G125" s="253">
        <f>(G177/Population_Tables!T43)*Population_Tables!H43</f>
        <v>579.40337678470212</v>
      </c>
      <c r="H125" s="253">
        <f>(H177/Population_Tables!U43)*Population_Tables!I43</f>
        <v>998.50160437565262</v>
      </c>
      <c r="I125" s="253">
        <f>(I177/Population_Tables!V43)*Population_Tables!J43</f>
        <v>499.71031479430576</v>
      </c>
      <c r="J125" s="253">
        <f>(J177/Population_Tables!W43)*Population_Tables!K43</f>
        <v>683.7803486212531</v>
      </c>
      <c r="K125" s="253">
        <f>(K177/Population_Tables!X43)*Population_Tables!L43</f>
        <v>744.38326560871542</v>
      </c>
      <c r="N125" s="195">
        <f t="shared" si="9"/>
        <v>1864.377074901191</v>
      </c>
      <c r="O125" s="195">
        <f t="shared" si="11"/>
        <v>998.50160437565262</v>
      </c>
      <c r="P125" s="195">
        <f t="shared" si="10"/>
        <v>3068.3090901934056</v>
      </c>
      <c r="Q125" s="195">
        <f t="shared" si="12"/>
        <v>5931.1877694702489</v>
      </c>
      <c r="R125" s="196">
        <f t="shared" si="13"/>
        <v>0.31433452242023863</v>
      </c>
      <c r="U125" s="195">
        <f t="shared" si="18"/>
        <v>204.95750987211045</v>
      </c>
      <c r="V125" s="195">
        <f t="shared" si="14"/>
        <v>84.20266927783598</v>
      </c>
      <c r="W125" s="195">
        <f t="shared" si="14"/>
        <v>283.58144985288436</v>
      </c>
      <c r="X125" s="195">
        <f t="shared" si="17"/>
        <v>572.74162900283079</v>
      </c>
      <c r="Y125" s="196">
        <f t="shared" si="16"/>
        <v>0.35785334868874608</v>
      </c>
      <c r="AC125" s="251">
        <f t="shared" si="15"/>
        <v>1.0985910556568126</v>
      </c>
    </row>
    <row r="126" spans="1:29" ht="15.6" x14ac:dyDescent="0.3">
      <c r="A126" s="194">
        <v>2055</v>
      </c>
      <c r="B126" s="253">
        <f>(B178/Population_Tables!O44)*Population_Tables!C44</f>
        <v>6402.0072795138358</v>
      </c>
      <c r="C126" s="253">
        <f>(C178/Population_Tables!P44)*Population_Tables!D44</f>
        <v>1830.7264634765957</v>
      </c>
      <c r="D126" s="253">
        <f>(D178/Population_Tables!Q44)*Population_Tables!E44</f>
        <v>672.22672285097565</v>
      </c>
      <c r="E126" s="253">
        <f>(E178/Population_Tables!R44)*Population_Tables!F44</f>
        <v>2253.5906785060047</v>
      </c>
      <c r="F126" s="253">
        <f>(F178/Population_Tables!S44)*Population_Tables!G44</f>
        <v>662.38634191638391</v>
      </c>
      <c r="G126" s="253">
        <f>(G178/Population_Tables!T44)*Population_Tables!H44</f>
        <v>586.83255316555528</v>
      </c>
      <c r="H126" s="253">
        <f>(H178/Population_Tables!U44)*Population_Tables!I44</f>
        <v>1000.6775791237327</v>
      </c>
      <c r="I126" s="253">
        <f>(I178/Population_Tables!V44)*Population_Tables!J44</f>
        <v>503.32373126188611</v>
      </c>
      <c r="J126" s="253">
        <f>(J178/Population_Tables!W44)*Population_Tables!K44</f>
        <v>686.7014408787162</v>
      </c>
      <c r="K126" s="253">
        <f>(K178/Population_Tables!X44)*Population_Tables!L44</f>
        <v>749.16231977488769</v>
      </c>
      <c r="N126" s="195">
        <f t="shared" si="9"/>
        <v>1915.2994412986559</v>
      </c>
      <c r="O126" s="195">
        <f t="shared" si="11"/>
        <v>1000.6775791237327</v>
      </c>
      <c r="P126" s="195">
        <f t="shared" si="10"/>
        <v>3089.785739493127</v>
      </c>
      <c r="Q126" s="195">
        <f t="shared" si="12"/>
        <v>6005.7627599155148</v>
      </c>
      <c r="R126" s="196">
        <f t="shared" si="13"/>
        <v>0.31891027299346719</v>
      </c>
      <c r="U126" s="195">
        <f t="shared" si="18"/>
        <v>218.61937583794906</v>
      </c>
      <c r="V126" s="195">
        <f t="shared" si="14"/>
        <v>87.924022829217279</v>
      </c>
      <c r="W126" s="195">
        <f t="shared" si="14"/>
        <v>296.81291883348786</v>
      </c>
      <c r="X126" s="195">
        <f t="shared" si="17"/>
        <v>603.3563175006542</v>
      </c>
      <c r="Y126" s="196">
        <f t="shared" si="16"/>
        <v>0.36233875323218445</v>
      </c>
      <c r="AC126" s="251">
        <f t="shared" si="15"/>
        <v>1.0909852566404945</v>
      </c>
    </row>
    <row r="127" spans="1:29" ht="15.6" x14ac:dyDescent="0.3">
      <c r="A127" s="194">
        <v>2056</v>
      </c>
      <c r="B127" s="253">
        <f>(B179/Population_Tables!O45)*Population_Tables!C45</f>
        <v>6442.0985640478802</v>
      </c>
      <c r="C127" s="253">
        <f>(C179/Population_Tables!P45)*Population_Tables!D45</f>
        <v>1840.361319195425</v>
      </c>
      <c r="D127" s="253">
        <f>(D179/Population_Tables!Q45)*Population_Tables!E45</f>
        <v>677.13942733942224</v>
      </c>
      <c r="E127" s="253">
        <f>(E179/Population_Tables!R45)*Population_Tables!F45</f>
        <v>2295.3972653402293</v>
      </c>
      <c r="F127" s="253">
        <f>(F179/Population_Tables!S45)*Population_Tables!G45</f>
        <v>674.51501825043681</v>
      </c>
      <c r="G127" s="253">
        <f>(G179/Population_Tables!T45)*Population_Tables!H45</f>
        <v>594.33940472532993</v>
      </c>
      <c r="H127" s="253">
        <f>(H179/Population_Tables!U45)*Population_Tables!I45</f>
        <v>1002.6368509266841</v>
      </c>
      <c r="I127" s="253">
        <f>(I179/Population_Tables!V45)*Population_Tables!J45</f>
        <v>507.19322834470086</v>
      </c>
      <c r="J127" s="253">
        <f>(J179/Population_Tables!W45)*Population_Tables!K45</f>
        <v>689.78499733959836</v>
      </c>
      <c r="K127" s="253">
        <f>(K179/Population_Tables!X45)*Population_Tables!L45</f>
        <v>754.13914172512875</v>
      </c>
      <c r="N127" s="195">
        <f t="shared" si="9"/>
        <v>1967.275432663982</v>
      </c>
      <c r="O127" s="195">
        <f t="shared" si="11"/>
        <v>1002.6368509266841</v>
      </c>
      <c r="P127" s="195">
        <f t="shared" si="10"/>
        <v>3111.8401512601772</v>
      </c>
      <c r="Q127" s="195">
        <f t="shared" si="12"/>
        <v>6081.7524348508432</v>
      </c>
      <c r="R127" s="196">
        <f t="shared" si="13"/>
        <v>0.32347180417780852</v>
      </c>
      <c r="U127" s="195">
        <f t="shared" si="18"/>
        <v>232.98486376859023</v>
      </c>
      <c r="V127" s="195">
        <f t="shared" si="14"/>
        <v>91.72647703416294</v>
      </c>
      <c r="W127" s="195">
        <f t="shared" si="14"/>
        <v>310.53319840662516</v>
      </c>
      <c r="X127" s="195">
        <f t="shared" si="17"/>
        <v>635.24453920937833</v>
      </c>
      <c r="Y127" s="196">
        <f t="shared" si="16"/>
        <v>0.36676405602567136</v>
      </c>
      <c r="AC127" s="251">
        <f t="shared" si="15"/>
        <v>1.0832466034171027</v>
      </c>
    </row>
    <row r="128" spans="1:29" ht="15.6" x14ac:dyDescent="0.3">
      <c r="A128" s="194">
        <v>2057</v>
      </c>
      <c r="B128" s="253">
        <f>(B180/Population_Tables!O46)*Population_Tables!C46</f>
        <v>6482.5052042515945</v>
      </c>
      <c r="C128" s="253">
        <f>(C180/Population_Tables!P46)*Population_Tables!D46</f>
        <v>1850.4282210914305</v>
      </c>
      <c r="D128" s="253">
        <f>(D180/Population_Tables!Q46)*Population_Tables!E46</f>
        <v>682.14048956961562</v>
      </c>
      <c r="E128" s="253">
        <f>(E180/Population_Tables!R46)*Population_Tables!F46</f>
        <v>2337.9039759189372</v>
      </c>
      <c r="F128" s="253">
        <f>(F180/Population_Tables!S46)*Population_Tables!G46</f>
        <v>686.78954115899091</v>
      </c>
      <c r="G128" s="253">
        <f>(G180/Population_Tables!T46)*Population_Tables!H46</f>
        <v>601.92495711296056</v>
      </c>
      <c r="H128" s="253">
        <f>(H180/Population_Tables!U46)*Population_Tables!I46</f>
        <v>1004.376877890702</v>
      </c>
      <c r="I128" s="253">
        <f>(I180/Population_Tables!V46)*Population_Tables!J46</f>
        <v>511.33333238323144</v>
      </c>
      <c r="J128" s="253">
        <f>(J180/Population_Tables!W46)*Population_Tables!K46</f>
        <v>693.04045280933758</v>
      </c>
      <c r="K128" s="253">
        <f>(K180/Population_Tables!X46)*Population_Tables!L46</f>
        <v>759.32289467727753</v>
      </c>
      <c r="N128" s="195">
        <f t="shared" si="9"/>
        <v>2020.316639187226</v>
      </c>
      <c r="O128" s="195">
        <f t="shared" si="11"/>
        <v>1004.376877890702</v>
      </c>
      <c r="P128" s="195">
        <f t="shared" si="10"/>
        <v>3134.493667774007</v>
      </c>
      <c r="Q128" s="195">
        <f t="shared" si="12"/>
        <v>6159.1871848519349</v>
      </c>
      <c r="R128" s="196">
        <f t="shared" si="13"/>
        <v>0.32801676236696381</v>
      </c>
      <c r="U128" s="195">
        <f t="shared" si="18"/>
        <v>248.06967639437789</v>
      </c>
      <c r="V128" s="195">
        <f t="shared" si="14"/>
        <v>95.608288815156357</v>
      </c>
      <c r="W128" s="195">
        <f t="shared" si="14"/>
        <v>324.75205144000438</v>
      </c>
      <c r="X128" s="195">
        <f t="shared" si="17"/>
        <v>668.43001664953863</v>
      </c>
      <c r="Y128" s="196">
        <f t="shared" si="16"/>
        <v>0.37112288529143378</v>
      </c>
      <c r="AC128" s="251">
        <f t="shared" si="15"/>
        <v>1.0753834540894747</v>
      </c>
    </row>
    <row r="129" spans="1:29" ht="15.6" x14ac:dyDescent="0.3">
      <c r="A129" s="194">
        <v>2058</v>
      </c>
      <c r="B129" s="253">
        <f>(B181/Population_Tables!O47)*Population_Tables!C47</f>
        <v>6523.1957742428413</v>
      </c>
      <c r="C129" s="253">
        <f>(C181/Population_Tables!P47)*Population_Tables!D47</f>
        <v>1860.9382744716852</v>
      </c>
      <c r="D129" s="253">
        <f>(D181/Population_Tables!Q47)*Population_Tables!E47</f>
        <v>687.23017902233346</v>
      </c>
      <c r="E129" s="253">
        <f>(E181/Population_Tables!R47)*Population_Tables!F47</f>
        <v>2381.1019712854086</v>
      </c>
      <c r="F129" s="253">
        <f>(F181/Population_Tables!S47)*Population_Tables!G47</f>
        <v>699.20827233246723</v>
      </c>
      <c r="G129" s="253">
        <f>(G181/Population_Tables!T47)*Population_Tables!H47</f>
        <v>609.58794137251766</v>
      </c>
      <c r="H129" s="253">
        <f>(H181/Population_Tables!U47)*Population_Tables!I47</f>
        <v>1005.8922580611569</v>
      </c>
      <c r="I129" s="253">
        <f>(I181/Population_Tables!V47)*Population_Tables!J47</f>
        <v>515.75268831311655</v>
      </c>
      <c r="J129" s="253">
        <f>(J181/Population_Tables!W47)*Population_Tables!K47</f>
        <v>696.47488319368608</v>
      </c>
      <c r="K129" s="253">
        <f>(K181/Population_Tables!X47)*Population_Tables!L47</f>
        <v>764.71944179880609</v>
      </c>
      <c r="N129" s="195">
        <f t="shared" si="9"/>
        <v>2074.417985556719</v>
      </c>
      <c r="O129" s="195">
        <f t="shared" si="11"/>
        <v>1005.8922580611569</v>
      </c>
      <c r="P129" s="195">
        <f t="shared" si="10"/>
        <v>3157.7563948665365</v>
      </c>
      <c r="Q129" s="195">
        <f t="shared" si="12"/>
        <v>6238.0666384844126</v>
      </c>
      <c r="R129" s="196">
        <f t="shared" si="13"/>
        <v>0.33254181235561714</v>
      </c>
      <c r="U129" s="195">
        <f t="shared" si="18"/>
        <v>263.87285094392837</v>
      </c>
      <c r="V129" s="195">
        <f t="shared" si="14"/>
        <v>99.564855033856816</v>
      </c>
      <c r="W129" s="195">
        <f t="shared" si="14"/>
        <v>339.46800435380192</v>
      </c>
      <c r="X129" s="195">
        <f t="shared" si="17"/>
        <v>702.9057103315871</v>
      </c>
      <c r="Y129" s="196">
        <f t="shared" si="16"/>
        <v>0.37540291260324177</v>
      </c>
      <c r="AC129" s="251">
        <f t="shared" si="15"/>
        <v>1.0674041001672856</v>
      </c>
    </row>
    <row r="130" spans="1:29" ht="15.6" x14ac:dyDescent="0.3">
      <c r="A130" s="194">
        <v>2059</v>
      </c>
      <c r="B130" s="253">
        <f>(B182/Population_Tables!O48)*Population_Tables!C48</f>
        <v>6564.1249306681948</v>
      </c>
      <c r="C130" s="253">
        <f>(C182/Population_Tables!P48)*Population_Tables!D48</f>
        <v>1871.8979355043218</v>
      </c>
      <c r="D130" s="253">
        <f>(D182/Population_Tables!Q48)*Population_Tables!E48</f>
        <v>692.40804896026748</v>
      </c>
      <c r="E130" s="253">
        <f>(E182/Population_Tables!R48)*Population_Tables!F48</f>
        <v>2424.9743098401586</v>
      </c>
      <c r="F130" s="253">
        <f>(F182/Population_Tables!S48)*Population_Tables!G48</f>
        <v>711.76867570713364</v>
      </c>
      <c r="G130" s="253">
        <f>(G182/Population_Tables!T48)*Population_Tables!H48</f>
        <v>617.32599914452067</v>
      </c>
      <c r="H130" s="253">
        <f>(H182/Population_Tables!U48)*Population_Tables!I48</f>
        <v>1007.1761609816321</v>
      </c>
      <c r="I130" s="253">
        <f>(I182/Population_Tables!V48)*Population_Tables!J48</f>
        <v>520.4580045264496</v>
      </c>
      <c r="J130" s="253">
        <f>(J182/Population_Tables!W48)*Population_Tables!K48</f>
        <v>700.09420423023596</v>
      </c>
      <c r="K130" s="253">
        <f>(K182/Population_Tables!X48)*Population_Tables!L48</f>
        <v>770.33251096765434</v>
      </c>
      <c r="N130" s="195">
        <f t="shared" si="9"/>
        <v>2129.5668245656602</v>
      </c>
      <c r="O130" s="195">
        <f t="shared" si="11"/>
        <v>1007.1761609816321</v>
      </c>
      <c r="P130" s="195">
        <f t="shared" si="10"/>
        <v>3181.6319836091102</v>
      </c>
      <c r="Q130" s="195">
        <f t="shared" si="12"/>
        <v>6318.3749691564026</v>
      </c>
      <c r="R130" s="196">
        <f t="shared" si="13"/>
        <v>0.33704343837795198</v>
      </c>
      <c r="U130" s="195">
        <f t="shared" si="18"/>
        <v>280.38585275072637</v>
      </c>
      <c r="V130" s="195">
        <f t="shared" si="14"/>
        <v>103.59014405013613</v>
      </c>
      <c r="W130" s="195">
        <f t="shared" si="14"/>
        <v>354.67312880761938</v>
      </c>
      <c r="X130" s="195">
        <f t="shared" si="17"/>
        <v>738.64912560848188</v>
      </c>
      <c r="Y130" s="196">
        <f t="shared" si="16"/>
        <v>0.37959274983200048</v>
      </c>
      <c r="AC130" s="251">
        <f t="shared" si="15"/>
        <v>1.059319553065265</v>
      </c>
    </row>
    <row r="131" spans="1:29" ht="15.6" x14ac:dyDescent="0.3">
      <c r="A131" s="194">
        <v>2060</v>
      </c>
      <c r="B131" s="253">
        <f>(B183/Population_Tables!O49)*Population_Tables!C49</f>
        <v>6605.2561258829382</v>
      </c>
      <c r="C131" s="253">
        <f>(C183/Population_Tables!P49)*Population_Tables!D49</f>
        <v>1883.3140274186474</v>
      </c>
      <c r="D131" s="253">
        <f>(D183/Population_Tables!Q49)*Population_Tables!E49</f>
        <v>697.67377270369138</v>
      </c>
      <c r="E131" s="253">
        <f>(E183/Population_Tables!R49)*Population_Tables!F49</f>
        <v>2469.5074383229598</v>
      </c>
      <c r="F131" s="253">
        <f>(F183/Population_Tables!S49)*Population_Tables!G49</f>
        <v>724.46878520521477</v>
      </c>
      <c r="G131" s="253">
        <f>(G183/Population_Tables!T49)*Population_Tables!H49</f>
        <v>625.13717831351755</v>
      </c>
      <c r="H131" s="253">
        <f>(H183/Population_Tables!U49)*Population_Tables!I49</f>
        <v>1008.2217540395815</v>
      </c>
      <c r="I131" s="253">
        <f>(I183/Population_Tables!V49)*Population_Tables!J49</f>
        <v>525.45831883728943</v>
      </c>
      <c r="J131" s="253">
        <f>(J183/Population_Tables!W49)*Population_Tables!K49</f>
        <v>703.90440250351298</v>
      </c>
      <c r="K131" s="253">
        <f>(K183/Population_Tables!X49)*Population_Tables!L49</f>
        <v>776.16644590743681</v>
      </c>
      <c r="N131" s="195">
        <f t="shared" si="9"/>
        <v>2185.7544694885933</v>
      </c>
      <c r="O131" s="195">
        <f t="shared" si="11"/>
        <v>1008.2217540395815</v>
      </c>
      <c r="P131" s="195">
        <f t="shared" si="10"/>
        <v>3206.1249784358561</v>
      </c>
      <c r="Q131" s="195">
        <f t="shared" si="12"/>
        <v>6400.1012019640311</v>
      </c>
      <c r="R131" s="196">
        <f>N131/Q131</f>
        <v>0.34151873548778255</v>
      </c>
      <c r="U131" s="195">
        <f t="shared" si="18"/>
        <v>297.60410762960123</v>
      </c>
      <c r="V131" s="195">
        <f t="shared" si="14"/>
        <v>107.67812206773658</v>
      </c>
      <c r="W131" s="195">
        <f t="shared" si="14"/>
        <v>370.36038982384161</v>
      </c>
      <c r="X131" s="195">
        <f t="shared" si="17"/>
        <v>775.64261952117943</v>
      </c>
      <c r="Y131" s="196">
        <f t="shared" si="16"/>
        <v>0.38368715196867154</v>
      </c>
      <c r="AC131" s="251">
        <f t="shared" si="15"/>
        <v>1.0511436958863334</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4732.0653203457377</v>
      </c>
      <c r="C137" s="229">
        <v>1553.6067189846804</v>
      </c>
      <c r="D137" s="229">
        <v>515.63814641175497</v>
      </c>
      <c r="E137" s="229">
        <v>969.59201523607851</v>
      </c>
      <c r="F137" s="229">
        <v>266.1926442063214</v>
      </c>
      <c r="G137" s="229">
        <v>322.43650019573755</v>
      </c>
      <c r="H137" s="229">
        <v>738.30060628367983</v>
      </c>
      <c r="I137" s="229">
        <v>386.78294705354386</v>
      </c>
      <c r="J137" s="229">
        <v>595.84560800759175</v>
      </c>
      <c r="K137" s="229">
        <v>588.8135754148019</v>
      </c>
      <c r="N137" s="195">
        <f t="shared" ref="N137:N183" si="19">SUMIF($C$83:$G$83,"Y",C137:G137)-H137</f>
        <v>497.48405315872014</v>
      </c>
      <c r="O137" s="195">
        <f>H137</f>
        <v>738.30060628367983</v>
      </c>
      <c r="P137" s="195">
        <f t="shared" ref="P137:P183" si="20">SUMIF($C$83:$G$83,"N",C137:G137)-(IF($E$83="N",H137))</f>
        <v>2391.6813655921728</v>
      </c>
      <c r="Q137" s="195">
        <f>N137+P137+O137</f>
        <v>3627.4660250345728</v>
      </c>
      <c r="R137" s="196">
        <f>N137/Q137</f>
        <v>0.13714368369693516</v>
      </c>
      <c r="AC137" s="251"/>
    </row>
    <row r="138" spans="1:29" ht="15.6" x14ac:dyDescent="0.3">
      <c r="A138" s="194">
        <v>2015</v>
      </c>
      <c r="B138" s="229">
        <v>4770.3360611005028</v>
      </c>
      <c r="C138" s="229">
        <v>1562.2408570262396</v>
      </c>
      <c r="D138" s="229">
        <v>518.14027167939901</v>
      </c>
      <c r="E138" s="229">
        <v>999.2746076725723</v>
      </c>
      <c r="F138" s="229">
        <v>274.62474543531806</v>
      </c>
      <c r="G138" s="229">
        <v>328.7304123445353</v>
      </c>
      <c r="H138" s="229">
        <v>750.79728308202266</v>
      </c>
      <c r="I138" s="229">
        <v>390.07386937529793</v>
      </c>
      <c r="J138" s="229">
        <v>599.08537663246682</v>
      </c>
      <c r="K138" s="229">
        <v>594.24439570538539</v>
      </c>
      <c r="N138" s="195">
        <f t="shared" si="19"/>
        <v>523.10207002586776</v>
      </c>
      <c r="O138" s="195">
        <f t="shared" ref="O138:O183" si="21">H138</f>
        <v>750.79728308202266</v>
      </c>
      <c r="P138" s="195">
        <f t="shared" si="20"/>
        <v>2409.1115410501739</v>
      </c>
      <c r="Q138" s="195">
        <f t="shared" ref="Q138:Q183" si="22">N138+P138+O138</f>
        <v>3683.0108941580643</v>
      </c>
      <c r="R138" s="196">
        <f t="shared" ref="R138:R182" si="23">N138/Q138</f>
        <v>0.14203109495429522</v>
      </c>
      <c r="AC138" s="251"/>
    </row>
    <row r="139" spans="1:29" ht="15.6" x14ac:dyDescent="0.3">
      <c r="A139" s="194">
        <v>2016</v>
      </c>
      <c r="B139" s="229">
        <v>4811.5471780611488</v>
      </c>
      <c r="C139" s="229">
        <v>1567.9917748200321</v>
      </c>
      <c r="D139" s="229">
        <v>520.9423578979638</v>
      </c>
      <c r="E139" s="229">
        <v>1021.6362724636348</v>
      </c>
      <c r="F139" s="229">
        <v>282.11156737446487</v>
      </c>
      <c r="G139" s="229">
        <v>333.98540669414859</v>
      </c>
      <c r="H139" s="229">
        <v>760.24316792267769</v>
      </c>
      <c r="I139" s="229">
        <v>394.95426860056079</v>
      </c>
      <c r="J139" s="229">
        <v>601.55934210746784</v>
      </c>
      <c r="K139" s="229">
        <v>598.47677291385935</v>
      </c>
      <c r="N139" s="195">
        <f t="shared" si="19"/>
        <v>543.50467191542202</v>
      </c>
      <c r="O139" s="195">
        <f t="shared" si="21"/>
        <v>760.24316792267769</v>
      </c>
      <c r="P139" s="195">
        <f t="shared" si="20"/>
        <v>2422.9195394121443</v>
      </c>
      <c r="Q139" s="195">
        <f t="shared" si="22"/>
        <v>3726.6673792502443</v>
      </c>
      <c r="R139" s="196">
        <f t="shared" si="23"/>
        <v>0.14584201287767407</v>
      </c>
      <c r="AC139" s="251"/>
    </row>
    <row r="140" spans="1:29" ht="15.6" x14ac:dyDescent="0.3">
      <c r="A140" s="194">
        <v>2017</v>
      </c>
      <c r="B140" s="229">
        <v>4851.7249695683213</v>
      </c>
      <c r="C140" s="229">
        <v>1573.4374892408357</v>
      </c>
      <c r="D140" s="229">
        <v>523.7101280899268</v>
      </c>
      <c r="E140" s="229">
        <v>1044.2004745363729</v>
      </c>
      <c r="F140" s="229">
        <v>289.63959434269532</v>
      </c>
      <c r="G140" s="229">
        <v>339.21727526015485</v>
      </c>
      <c r="H140" s="229">
        <v>769.42240299989328</v>
      </c>
      <c r="I140" s="229">
        <v>399.50830142708048</v>
      </c>
      <c r="J140" s="229">
        <v>603.86847548105163</v>
      </c>
      <c r="K140" s="229">
        <v>602.50765098285558</v>
      </c>
      <c r="N140" s="195">
        <f t="shared" si="19"/>
        <v>564.41766587917493</v>
      </c>
      <c r="O140" s="195">
        <f t="shared" si="21"/>
        <v>769.42240299989328</v>
      </c>
      <c r="P140" s="195">
        <f t="shared" si="20"/>
        <v>2436.3648925909174</v>
      </c>
      <c r="Q140" s="195">
        <f t="shared" si="22"/>
        <v>3770.2049614699854</v>
      </c>
      <c r="R140" s="196">
        <f t="shared" si="23"/>
        <v>0.14970476980623121</v>
      </c>
      <c r="AC140" s="251"/>
    </row>
    <row r="141" spans="1:29" ht="15.6" x14ac:dyDescent="0.3">
      <c r="A141" s="194">
        <v>2018</v>
      </c>
      <c r="B141" s="229">
        <v>4890.8826914465963</v>
      </c>
      <c r="C141" s="229">
        <v>1578.5897710085712</v>
      </c>
      <c r="D141" s="229">
        <v>526.44397697194279</v>
      </c>
      <c r="E141" s="229">
        <v>1066.9630264646898</v>
      </c>
      <c r="F141" s="229">
        <v>297.2081024095321</v>
      </c>
      <c r="G141" s="229">
        <v>344.42543201772219</v>
      </c>
      <c r="H141" s="229">
        <v>778.33418949738063</v>
      </c>
      <c r="I141" s="229">
        <v>403.74802429475193</v>
      </c>
      <c r="J141" s="229">
        <v>606.01866343958625</v>
      </c>
      <c r="K141" s="229">
        <v>606.34434941183758</v>
      </c>
      <c r="N141" s="195">
        <f t="shared" si="19"/>
        <v>585.83693937684131</v>
      </c>
      <c r="O141" s="195">
        <f t="shared" si="21"/>
        <v>778.33418949738063</v>
      </c>
      <c r="P141" s="195">
        <f t="shared" si="20"/>
        <v>2449.4591799982363</v>
      </c>
      <c r="Q141" s="195">
        <f t="shared" si="22"/>
        <v>3813.630308872458</v>
      </c>
      <c r="R141" s="196">
        <f t="shared" si="23"/>
        <v>0.15361660463361759</v>
      </c>
      <c r="AC141" s="251"/>
    </row>
    <row r="142" spans="1:29" ht="16.2" thickBot="1" x14ac:dyDescent="0.35">
      <c r="A142" s="198">
        <v>2019</v>
      </c>
      <c r="B142" s="230">
        <v>4929.0335995205478</v>
      </c>
      <c r="C142" s="230">
        <v>1583.4603908431595</v>
      </c>
      <c r="D142" s="230">
        <v>529.14429926066657</v>
      </c>
      <c r="E142" s="230">
        <v>1089.9197408224884</v>
      </c>
      <c r="F142" s="230">
        <v>304.81636764449803</v>
      </c>
      <c r="G142" s="230">
        <v>349.60929094201856</v>
      </c>
      <c r="H142" s="230">
        <v>786.9777285988514</v>
      </c>
      <c r="I142" s="230">
        <v>407.68549364347001</v>
      </c>
      <c r="J142" s="230">
        <v>608.01579266943986</v>
      </c>
      <c r="K142" s="230">
        <v>609.99418770026864</v>
      </c>
      <c r="N142" s="195">
        <f t="shared" si="19"/>
        <v>607.75837986813508</v>
      </c>
      <c r="O142" s="195">
        <f t="shared" si="21"/>
        <v>786.9777285988514</v>
      </c>
      <c r="P142" s="195">
        <f t="shared" si="20"/>
        <v>2462.2139810458448</v>
      </c>
      <c r="Q142" s="195">
        <f t="shared" si="22"/>
        <v>3856.9500895128313</v>
      </c>
      <c r="R142" s="199">
        <f t="shared" si="23"/>
        <v>0.15757486245949856</v>
      </c>
      <c r="AC142" s="251"/>
    </row>
    <row r="143" spans="1:29" ht="15.6" x14ac:dyDescent="0.3">
      <c r="A143" s="201">
        <v>2020</v>
      </c>
      <c r="B143" s="228">
        <v>4966.1909496147509</v>
      </c>
      <c r="C143" s="228">
        <v>1588.061119464521</v>
      </c>
      <c r="D143" s="228">
        <v>531.81148967275283</v>
      </c>
      <c r="E143" s="228">
        <v>1113.0664301836716</v>
      </c>
      <c r="F143" s="228">
        <v>312.46366611711579</v>
      </c>
      <c r="G143" s="228">
        <v>354.76826600821198</v>
      </c>
      <c r="H143" s="228">
        <v>795.35222148801688</v>
      </c>
      <c r="I143" s="228">
        <v>411.33276591312966</v>
      </c>
      <c r="J143" s="228">
        <v>609.86574985698064</v>
      </c>
      <c r="K143" s="228">
        <v>613.46448534761203</v>
      </c>
      <c r="L143" s="202"/>
      <c r="M143" s="202"/>
      <c r="N143" s="195">
        <f t="shared" si="19"/>
        <v>630.17787481277048</v>
      </c>
      <c r="O143" s="195">
        <f t="shared" si="21"/>
        <v>795.35222148801688</v>
      </c>
      <c r="P143" s="195">
        <f t="shared" si="20"/>
        <v>2474.6408751454856</v>
      </c>
      <c r="Q143" s="195">
        <f t="shared" si="22"/>
        <v>3900.1709714462727</v>
      </c>
      <c r="R143" s="220">
        <f t="shared" si="23"/>
        <v>0.16157698711835858</v>
      </c>
      <c r="AC143" s="251"/>
    </row>
    <row r="144" spans="1:29" ht="15.6" x14ac:dyDescent="0.3">
      <c r="A144" s="206">
        <v>2021</v>
      </c>
      <c r="B144" s="229">
        <v>5002.3679975537825</v>
      </c>
      <c r="C144" s="229">
        <v>1592.4037275925762</v>
      </c>
      <c r="D144" s="229">
        <v>534.44594292485647</v>
      </c>
      <c r="E144" s="229">
        <v>1136.3989071221426</v>
      </c>
      <c r="F144" s="229">
        <v>320.1492738969082</v>
      </c>
      <c r="G144" s="229">
        <v>359.90177119147035</v>
      </c>
      <c r="H144" s="229">
        <v>803.45686934858861</v>
      </c>
      <c r="I144" s="229">
        <v>414.70189754362576</v>
      </c>
      <c r="J144" s="229">
        <v>611.57442168857642</v>
      </c>
      <c r="K144" s="229">
        <v>616.76256185333125</v>
      </c>
      <c r="L144" s="170"/>
      <c r="M144" s="170"/>
      <c r="N144" s="195">
        <f t="shared" si="19"/>
        <v>653.09131167046223</v>
      </c>
      <c r="O144" s="195">
        <f t="shared" si="21"/>
        <v>803.45686934858861</v>
      </c>
      <c r="P144" s="195">
        <f t="shared" si="20"/>
        <v>2486.7514417089028</v>
      </c>
      <c r="Q144" s="195">
        <f t="shared" si="22"/>
        <v>3943.2996227279536</v>
      </c>
      <c r="R144" s="221">
        <f t="shared" si="23"/>
        <v>0.16562051432922997</v>
      </c>
      <c r="AC144" s="251"/>
    </row>
    <row r="145" spans="1:29" ht="15.6" x14ac:dyDescent="0.3">
      <c r="A145" s="206">
        <v>2022</v>
      </c>
      <c r="B145" s="229">
        <v>5037.5779991622157</v>
      </c>
      <c r="C145" s="229">
        <v>1596.4999859472459</v>
      </c>
      <c r="D145" s="229">
        <v>537.04805373363217</v>
      </c>
      <c r="E145" s="229">
        <v>1159.9129842118048</v>
      </c>
      <c r="F145" s="229">
        <v>327.87246705339794</v>
      </c>
      <c r="G145" s="229">
        <v>365.00922046696166</v>
      </c>
      <c r="H145" s="229">
        <v>811.29087336427801</v>
      </c>
      <c r="I145" s="229">
        <v>417.80494497485319</v>
      </c>
      <c r="J145" s="229">
        <v>613.1476948505956</v>
      </c>
      <c r="K145" s="229">
        <v>619.89573671688947</v>
      </c>
      <c r="L145" s="170"/>
      <c r="M145" s="170"/>
      <c r="N145" s="195">
        <f t="shared" si="19"/>
        <v>676.4945779009247</v>
      </c>
      <c r="O145" s="195">
        <f t="shared" si="21"/>
        <v>811.29087336427801</v>
      </c>
      <c r="P145" s="195">
        <f t="shared" si="20"/>
        <v>2498.5572601478398</v>
      </c>
      <c r="Q145" s="195">
        <f t="shared" si="22"/>
        <v>3986.3427114130427</v>
      </c>
      <c r="R145" s="221">
        <f t="shared" si="23"/>
        <v>0.16970306540982952</v>
      </c>
      <c r="AC145" s="251"/>
    </row>
    <row r="146" spans="1:29" ht="15.6" x14ac:dyDescent="0.3">
      <c r="A146" s="206">
        <v>2023</v>
      </c>
      <c r="B146" s="229">
        <v>5071.8342102646266</v>
      </c>
      <c r="C146" s="229">
        <v>1600.3616652484507</v>
      </c>
      <c r="D146" s="229">
        <v>539.61821681573474</v>
      </c>
      <c r="E146" s="229">
        <v>1183.6044740265604</v>
      </c>
      <c r="F146" s="229">
        <v>335.63252165610783</v>
      </c>
      <c r="G146" s="229">
        <v>370.09002780985406</v>
      </c>
      <c r="H146" s="229">
        <v>818.85343471879651</v>
      </c>
      <c r="I146" s="229">
        <v>420.65396464670687</v>
      </c>
      <c r="J146" s="229">
        <v>614.59145602940612</v>
      </c>
      <c r="K146" s="229">
        <v>622.87132943775032</v>
      </c>
      <c r="L146" s="170"/>
      <c r="M146" s="170"/>
      <c r="N146" s="195">
        <f t="shared" si="19"/>
        <v>700.38356096387179</v>
      </c>
      <c r="O146" s="195">
        <f t="shared" si="21"/>
        <v>818.85343471879651</v>
      </c>
      <c r="P146" s="195">
        <f t="shared" si="20"/>
        <v>2510.0699098740397</v>
      </c>
      <c r="Q146" s="195">
        <f>N146+P146+O146</f>
        <v>4029.306905556708</v>
      </c>
      <c r="R146" s="221">
        <f t="shared" si="23"/>
        <v>0.17382234150443884</v>
      </c>
      <c r="AC146" s="251"/>
    </row>
    <row r="147" spans="1:29" ht="15.6" x14ac:dyDescent="0.3">
      <c r="A147" s="206">
        <v>2024</v>
      </c>
      <c r="B147" s="229">
        <v>5105.1498866855909</v>
      </c>
      <c r="C147" s="229">
        <v>1604.0005362161112</v>
      </c>
      <c r="D147" s="229">
        <v>542.15682688781885</v>
      </c>
      <c r="E147" s="229">
        <v>1207.4691891403131</v>
      </c>
      <c r="F147" s="229">
        <v>343.42871377456055</v>
      </c>
      <c r="G147" s="229">
        <v>375.14360719531533</v>
      </c>
      <c r="H147" s="229">
        <v>826.14375459585563</v>
      </c>
      <c r="I147" s="229">
        <v>423.2610129990818</v>
      </c>
      <c r="J147" s="229">
        <v>615.91159191137604</v>
      </c>
      <c r="K147" s="229">
        <v>625.69665951537684</v>
      </c>
      <c r="L147" s="170"/>
      <c r="M147" s="170"/>
      <c r="N147" s="195">
        <f t="shared" si="19"/>
        <v>724.75414831901799</v>
      </c>
      <c r="O147" s="195">
        <f t="shared" si="21"/>
        <v>826.14375459585563</v>
      </c>
      <c r="P147" s="195">
        <f t="shared" si="20"/>
        <v>2521.3009702992454</v>
      </c>
      <c r="Q147" s="195">
        <f t="shared" si="22"/>
        <v>4072.198873214119</v>
      </c>
      <c r="R147" s="221">
        <f t="shared" si="23"/>
        <v>0.177976118280044</v>
      </c>
      <c r="AC147" s="251"/>
    </row>
    <row r="148" spans="1:29" ht="15.6" x14ac:dyDescent="0.3">
      <c r="A148" s="206">
        <v>2025</v>
      </c>
      <c r="B148" s="229">
        <v>5137.538284249682</v>
      </c>
      <c r="C148" s="229">
        <v>1607.4283695701483</v>
      </c>
      <c r="D148" s="229">
        <v>544.6642786665393</v>
      </c>
      <c r="E148" s="229">
        <v>1231.5029421269658</v>
      </c>
      <c r="F148" s="229">
        <v>351.26031947827892</v>
      </c>
      <c r="G148" s="229">
        <v>380.16937259851363</v>
      </c>
      <c r="H148" s="229">
        <v>833.16103417916679</v>
      </c>
      <c r="I148" s="229">
        <v>425.63814647187269</v>
      </c>
      <c r="J148" s="229">
        <v>617.11398918287352</v>
      </c>
      <c r="K148" s="229">
        <v>628.37904644923265</v>
      </c>
      <c r="L148" s="170"/>
      <c r="M148" s="170"/>
      <c r="N148" s="195">
        <f t="shared" si="19"/>
        <v>749.60222742607789</v>
      </c>
      <c r="O148" s="195">
        <f t="shared" si="21"/>
        <v>833.16103417916679</v>
      </c>
      <c r="P148" s="195">
        <f t="shared" si="20"/>
        <v>2532.2620208352014</v>
      </c>
      <c r="Q148" s="195">
        <f t="shared" si="22"/>
        <v>4115.0252824404461</v>
      </c>
      <c r="R148" s="221">
        <f t="shared" si="23"/>
        <v>0.18216224104983403</v>
      </c>
      <c r="AC148" s="251"/>
    </row>
    <row r="149" spans="1:29" ht="15.6" x14ac:dyDescent="0.3">
      <c r="A149" s="206">
        <v>2026</v>
      </c>
      <c r="B149" s="229">
        <v>5169.0126587814775</v>
      </c>
      <c r="C149" s="229">
        <v>1610.656936030482</v>
      </c>
      <c r="D149" s="229">
        <v>547.14096686855089</v>
      </c>
      <c r="E149" s="229">
        <v>1255.7015455604212</v>
      </c>
      <c r="F149" s="229">
        <v>359.12661483678556</v>
      </c>
      <c r="G149" s="229">
        <v>385.16673799461682</v>
      </c>
      <c r="H149" s="229">
        <v>839.90447465244154</v>
      </c>
      <c r="I149" s="229">
        <v>427.79742150497458</v>
      </c>
      <c r="J149" s="229">
        <v>618.20453453026664</v>
      </c>
      <c r="K149" s="229">
        <v>630.92580973878103</v>
      </c>
      <c r="L149" s="170"/>
      <c r="M149" s="170"/>
      <c r="N149" s="195">
        <f t="shared" si="19"/>
        <v>774.92368574476529</v>
      </c>
      <c r="O149" s="195">
        <f t="shared" si="21"/>
        <v>839.90447465244154</v>
      </c>
      <c r="P149" s="195">
        <f t="shared" si="20"/>
        <v>2542.9646408936496</v>
      </c>
      <c r="Q149" s="195">
        <f t="shared" si="22"/>
        <v>4157.7928012908569</v>
      </c>
      <c r="R149" s="221">
        <f t="shared" si="23"/>
        <v>0.1863786202872296</v>
      </c>
      <c r="AC149" s="251"/>
    </row>
    <row r="150" spans="1:29" ht="15.6" x14ac:dyDescent="0.3">
      <c r="A150" s="206">
        <v>2027</v>
      </c>
      <c r="B150" s="229">
        <v>5199.5862661055507</v>
      </c>
      <c r="C150" s="229">
        <v>1613.6980063170336</v>
      </c>
      <c r="D150" s="229">
        <v>549.5872862105083</v>
      </c>
      <c r="E150" s="229">
        <v>1280.0608120145828</v>
      </c>
      <c r="F150" s="229">
        <v>367.02687591960336</v>
      </c>
      <c r="G150" s="229">
        <v>390.13511735879297</v>
      </c>
      <c r="H150" s="229">
        <v>846.37327719939117</v>
      </c>
      <c r="I150" s="229">
        <v>429.75089453828235</v>
      </c>
      <c r="J150" s="229">
        <v>619.18911463992367</v>
      </c>
      <c r="K150" s="229">
        <v>633.34426888348514</v>
      </c>
      <c r="L150" s="170"/>
      <c r="M150" s="170"/>
      <c r="N150" s="195">
        <f t="shared" si="19"/>
        <v>800.71441073479491</v>
      </c>
      <c r="O150" s="195">
        <f t="shared" si="21"/>
        <v>846.37327719939117</v>
      </c>
      <c r="P150" s="195">
        <f t="shared" si="20"/>
        <v>2553.4204098863347</v>
      </c>
      <c r="Q150" s="195">
        <f t="shared" si="22"/>
        <v>4200.5080978205206</v>
      </c>
      <c r="R150" s="221">
        <f t="shared" si="23"/>
        <v>0.19062322749722929</v>
      </c>
      <c r="AC150" s="251"/>
    </row>
    <row r="151" spans="1:29" ht="15.6" x14ac:dyDescent="0.3">
      <c r="A151" s="206">
        <v>2028</v>
      </c>
      <c r="B151" s="229">
        <v>5229.2723620464767</v>
      </c>
      <c r="C151" s="229">
        <v>1616.5633511497235</v>
      </c>
      <c r="D151" s="229">
        <v>552.00363140906643</v>
      </c>
      <c r="E151" s="229">
        <v>1304.5765540633533</v>
      </c>
      <c r="F151" s="229">
        <v>374.96037879625499</v>
      </c>
      <c r="G151" s="229">
        <v>395.07392466621002</v>
      </c>
      <c r="H151" s="229">
        <v>852.56664300372722</v>
      </c>
      <c r="I151" s="229">
        <v>431.51062201169088</v>
      </c>
      <c r="J151" s="229">
        <v>620.07361619821245</v>
      </c>
      <c r="K151" s="229">
        <v>635.64174338280861</v>
      </c>
      <c r="L151" s="170"/>
      <c r="M151" s="170"/>
      <c r="N151" s="195">
        <f t="shared" si="19"/>
        <v>826.97028985588122</v>
      </c>
      <c r="O151" s="195">
        <f t="shared" si="21"/>
        <v>852.56664300372722</v>
      </c>
      <c r="P151" s="195">
        <f t="shared" si="20"/>
        <v>2563.6409072250003</v>
      </c>
      <c r="Q151" s="195">
        <f t="shared" si="22"/>
        <v>4243.1778400846088</v>
      </c>
      <c r="R151" s="221">
        <f t="shared" si="23"/>
        <v>0.1948940914150776</v>
      </c>
      <c r="AC151" s="251"/>
    </row>
    <row r="152" spans="1:29" ht="15.6" x14ac:dyDescent="0.3">
      <c r="A152" s="206">
        <v>2029</v>
      </c>
      <c r="B152" s="229">
        <v>5258.0842024288322</v>
      </c>
      <c r="C152" s="229">
        <v>1619.2647412484721</v>
      </c>
      <c r="D152" s="229">
        <v>554.39039718087997</v>
      </c>
      <c r="E152" s="229">
        <v>1329.244584280636</v>
      </c>
      <c r="F152" s="229">
        <v>382.92639953626326</v>
      </c>
      <c r="G152" s="229">
        <v>399.98257389203593</v>
      </c>
      <c r="H152" s="229">
        <v>858.483773249161</v>
      </c>
      <c r="I152" s="229">
        <v>433.08866036509505</v>
      </c>
      <c r="J152" s="229">
        <v>620.86392589150114</v>
      </c>
      <c r="K152" s="229">
        <v>637.82555273621472</v>
      </c>
      <c r="L152" s="170"/>
      <c r="M152" s="170"/>
      <c r="N152" s="195">
        <f t="shared" si="19"/>
        <v>853.68721056773825</v>
      </c>
      <c r="O152" s="195">
        <f t="shared" si="21"/>
        <v>858.483773249161</v>
      </c>
      <c r="P152" s="195">
        <f t="shared" si="20"/>
        <v>2573.6377123213879</v>
      </c>
      <c r="Q152" s="195">
        <f t="shared" si="22"/>
        <v>4285.8086961382869</v>
      </c>
      <c r="R152" s="221">
        <f t="shared" si="23"/>
        <v>0.19918929450513043</v>
      </c>
      <c r="AC152" s="251"/>
    </row>
    <row r="153" spans="1:29" ht="15.6" x14ac:dyDescent="0.3">
      <c r="A153" s="206">
        <v>2030</v>
      </c>
      <c r="B153" s="229">
        <v>5286.0350430771914</v>
      </c>
      <c r="C153" s="229">
        <v>1621.8139473332003</v>
      </c>
      <c r="D153" s="229">
        <v>556.74797824260372</v>
      </c>
      <c r="E153" s="229">
        <v>1354.0607152403336</v>
      </c>
      <c r="F153" s="229">
        <v>390.92421420915088</v>
      </c>
      <c r="G153" s="229">
        <v>404.86047901143883</v>
      </c>
      <c r="H153" s="229">
        <v>864.12386911940428</v>
      </c>
      <c r="I153" s="229">
        <v>434.49706603838979</v>
      </c>
      <c r="J153" s="229">
        <v>621.56593040615803</v>
      </c>
      <c r="K153" s="229">
        <v>639.90301644316673</v>
      </c>
      <c r="L153" s="170"/>
      <c r="M153" s="170"/>
      <c r="N153" s="195">
        <f t="shared" si="19"/>
        <v>880.86106033008025</v>
      </c>
      <c r="O153" s="195">
        <f t="shared" si="21"/>
        <v>864.12386911940428</v>
      </c>
      <c r="P153" s="195">
        <f t="shared" si="20"/>
        <v>2583.4224045872425</v>
      </c>
      <c r="Q153" s="195">
        <f t="shared" si="22"/>
        <v>4328.4073340367268</v>
      </c>
      <c r="R153" s="221">
        <f t="shared" si="23"/>
        <v>0.20350696973535026</v>
      </c>
      <c r="AC153" s="251"/>
    </row>
    <row r="154" spans="1:29" ht="15.6" x14ac:dyDescent="0.3">
      <c r="A154" s="206">
        <v>2031</v>
      </c>
      <c r="B154" s="229">
        <v>5313.1381398161293</v>
      </c>
      <c r="C154" s="229">
        <v>1624.2227401238285</v>
      </c>
      <c r="D154" s="229">
        <v>559.07676931089236</v>
      </c>
      <c r="E154" s="229">
        <v>1379.0207595163492</v>
      </c>
      <c r="F154" s="229">
        <v>398.95309888444058</v>
      </c>
      <c r="G154" s="229">
        <v>409.70705399958655</v>
      </c>
      <c r="H154" s="229">
        <v>869.48613179816823</v>
      </c>
      <c r="I154" s="229">
        <v>435.74789547147003</v>
      </c>
      <c r="J154" s="229">
        <v>622.18551642855095</v>
      </c>
      <c r="K154" s="229">
        <v>641.88145400312806</v>
      </c>
      <c r="L154" s="170"/>
      <c r="M154" s="170"/>
      <c r="N154" s="195">
        <f t="shared" si="19"/>
        <v>908.48772660262159</v>
      </c>
      <c r="O154" s="195">
        <f t="shared" si="21"/>
        <v>869.48613179816823</v>
      </c>
      <c r="P154" s="195">
        <f t="shared" si="20"/>
        <v>2593.0065634343073</v>
      </c>
      <c r="Q154" s="195">
        <f t="shared" si="22"/>
        <v>4370.9804218350973</v>
      </c>
      <c r="R154" s="221">
        <f t="shared" si="23"/>
        <v>0.20784529760515497</v>
      </c>
      <c r="AC154" s="251"/>
    </row>
    <row r="155" spans="1:29" ht="15.6" x14ac:dyDescent="0.3">
      <c r="A155" s="206">
        <v>2032</v>
      </c>
      <c r="B155" s="229">
        <v>5339.4067484702209</v>
      </c>
      <c r="C155" s="229">
        <v>1626.5028903402776</v>
      </c>
      <c r="D155" s="229">
        <v>561.37716510240068</v>
      </c>
      <c r="E155" s="229">
        <v>1404.1205296825863</v>
      </c>
      <c r="F155" s="229">
        <v>407.01232963165512</v>
      </c>
      <c r="G155" s="229">
        <v>414.52171283164716</v>
      </c>
      <c r="H155" s="229">
        <v>874.5697624691644</v>
      </c>
      <c r="I155" s="229">
        <v>436.85320510423065</v>
      </c>
      <c r="J155" s="229">
        <v>622.72857064504819</v>
      </c>
      <c r="K155" s="229">
        <v>643.76818491556196</v>
      </c>
      <c r="L155" s="170"/>
      <c r="M155" s="170"/>
      <c r="N155" s="195">
        <f t="shared" si="19"/>
        <v>936.56309684507698</v>
      </c>
      <c r="O155" s="195">
        <f t="shared" si="21"/>
        <v>874.5697624691644</v>
      </c>
      <c r="P155" s="195">
        <f t="shared" si="20"/>
        <v>2602.4017682743256</v>
      </c>
      <c r="Q155" s="195">
        <f t="shared" si="22"/>
        <v>4413.5346275885668</v>
      </c>
      <c r="R155" s="221">
        <f t="shared" si="23"/>
        <v>0.21220250340638863</v>
      </c>
      <c r="AC155" s="251"/>
    </row>
    <row r="156" spans="1:29" ht="15.6" x14ac:dyDescent="0.3">
      <c r="A156" s="206">
        <v>2033</v>
      </c>
      <c r="B156" s="229">
        <v>5364.8541248640422</v>
      </c>
      <c r="C156" s="229">
        <v>1628.666168702468</v>
      </c>
      <c r="D156" s="229">
        <v>563.64956033378348</v>
      </c>
      <c r="E156" s="229">
        <v>1429.3558383129475</v>
      </c>
      <c r="F156" s="229">
        <v>415.10118252031725</v>
      </c>
      <c r="G156" s="229">
        <v>419.30386948278863</v>
      </c>
      <c r="H156" s="229">
        <v>879.37396231610433</v>
      </c>
      <c r="I156" s="229">
        <v>437.82505137656653</v>
      </c>
      <c r="J156" s="229">
        <v>623.20097974201781</v>
      </c>
      <c r="K156" s="229">
        <v>645.57052867993207</v>
      </c>
      <c r="L156" s="170"/>
      <c r="M156" s="170"/>
      <c r="N156" s="195">
        <f t="shared" si="19"/>
        <v>965.08305851716045</v>
      </c>
      <c r="O156" s="195">
        <f t="shared" si="21"/>
        <v>879.37396231610433</v>
      </c>
      <c r="P156" s="195">
        <f t="shared" si="20"/>
        <v>2611.6195985190402</v>
      </c>
      <c r="Q156" s="195">
        <f t="shared" si="22"/>
        <v>4456.076619352305</v>
      </c>
      <c r="R156" s="221">
        <f t="shared" si="23"/>
        <v>0.21657685469901911</v>
      </c>
      <c r="AC156" s="251"/>
    </row>
    <row r="157" spans="1:29" ht="15.6" x14ac:dyDescent="0.3">
      <c r="A157" s="206">
        <v>2034</v>
      </c>
      <c r="B157" s="229">
        <v>5389.4935248221673</v>
      </c>
      <c r="C157" s="229">
        <v>1630.7243459303204</v>
      </c>
      <c r="D157" s="229">
        <v>565.89434972169556</v>
      </c>
      <c r="E157" s="229">
        <v>1454.7224979813359</v>
      </c>
      <c r="F157" s="229">
        <v>423.21893361994978</v>
      </c>
      <c r="G157" s="229">
        <v>424.05293792817895</v>
      </c>
      <c r="H157" s="229">
        <v>883.89793252269931</v>
      </c>
      <c r="I157" s="229">
        <v>438.67549072837261</v>
      </c>
      <c r="J157" s="229">
        <v>623.60863040582785</v>
      </c>
      <c r="K157" s="229">
        <v>647.29580479570143</v>
      </c>
      <c r="L157" s="170"/>
      <c r="M157" s="170"/>
      <c r="N157" s="195">
        <f t="shared" si="19"/>
        <v>994.04349907858648</v>
      </c>
      <c r="O157" s="195">
        <f t="shared" si="21"/>
        <v>883.89793252269931</v>
      </c>
      <c r="P157" s="195">
        <f t="shared" si="20"/>
        <v>2620.6716335801948</v>
      </c>
      <c r="Q157" s="195">
        <f t="shared" si="22"/>
        <v>4498.613065181481</v>
      </c>
      <c r="R157" s="221">
        <f t="shared" si="23"/>
        <v>0.2209666589848143</v>
      </c>
      <c r="AC157" s="251"/>
    </row>
    <row r="158" spans="1:29" ht="15.6" x14ac:dyDescent="0.3">
      <c r="A158" s="206">
        <v>2035</v>
      </c>
      <c r="B158" s="229">
        <v>5413.338204169173</v>
      </c>
      <c r="C158" s="229">
        <v>1632.6891927437557</v>
      </c>
      <c r="D158" s="229">
        <v>568.11192798279171</v>
      </c>
      <c r="E158" s="229">
        <v>1480.2163212616545</v>
      </c>
      <c r="F158" s="229">
        <v>431.36485900007534</v>
      </c>
      <c r="G158" s="229">
        <v>428.76833214298614</v>
      </c>
      <c r="H158" s="229">
        <v>888.14087427266088</v>
      </c>
      <c r="I158" s="229">
        <v>439.41657959954375</v>
      </c>
      <c r="J158" s="229">
        <v>623.9574093228465</v>
      </c>
      <c r="K158" s="229">
        <v>648.95133276233355</v>
      </c>
      <c r="L158" s="170"/>
      <c r="M158" s="170"/>
      <c r="N158" s="195">
        <f t="shared" si="19"/>
        <v>1023.4403059890689</v>
      </c>
      <c r="O158" s="195">
        <f t="shared" si="21"/>
        <v>888.14087427266088</v>
      </c>
      <c r="P158" s="195">
        <f t="shared" si="20"/>
        <v>2629.5694528695335</v>
      </c>
      <c r="Q158" s="195">
        <f t="shared" si="22"/>
        <v>4541.150633131263</v>
      </c>
      <c r="R158" s="221">
        <f t="shared" si="23"/>
        <v>0.22537026156372517</v>
      </c>
      <c r="AC158" s="251"/>
    </row>
    <row r="159" spans="1:29" ht="15.6" x14ac:dyDescent="0.3">
      <c r="A159" s="206">
        <v>2036</v>
      </c>
      <c r="B159" s="229">
        <v>5436.4014187296325</v>
      </c>
      <c r="C159" s="229">
        <v>1634.5724798626941</v>
      </c>
      <c r="D159" s="229">
        <v>570.3026898337265</v>
      </c>
      <c r="E159" s="229">
        <v>1505.8331207278065</v>
      </c>
      <c r="F159" s="229">
        <v>439.5382347302168</v>
      </c>
      <c r="G159" s="229">
        <v>433.4494661023781</v>
      </c>
      <c r="H159" s="229">
        <v>892.10198874970058</v>
      </c>
      <c r="I159" s="229">
        <v>440.06037442997484</v>
      </c>
      <c r="J159" s="229">
        <v>624.25320317944181</v>
      </c>
      <c r="K159" s="229">
        <v>650.54443207929182</v>
      </c>
      <c r="L159" s="170"/>
      <c r="M159" s="170"/>
      <c r="N159" s="195">
        <f t="shared" si="19"/>
        <v>1053.2693667083227</v>
      </c>
      <c r="O159" s="195">
        <f t="shared" si="21"/>
        <v>892.10198874970058</v>
      </c>
      <c r="P159" s="195">
        <f t="shared" si="20"/>
        <v>2638.3246357987987</v>
      </c>
      <c r="Q159" s="195">
        <f t="shared" si="22"/>
        <v>4583.6959912568218</v>
      </c>
      <c r="R159" s="221">
        <f t="shared" si="23"/>
        <v>0.22978604355903684</v>
      </c>
      <c r="AC159" s="251"/>
    </row>
    <row r="160" spans="1:29" ht="15.6" x14ac:dyDescent="0.3">
      <c r="A160" s="206">
        <v>2037</v>
      </c>
      <c r="B160" s="229">
        <v>5458.6964243281218</v>
      </c>
      <c r="C160" s="229">
        <v>1636.3859780070563</v>
      </c>
      <c r="D160" s="229">
        <v>572.46702999115485</v>
      </c>
      <c r="E160" s="229">
        <v>1531.5687089536946</v>
      </c>
      <c r="F160" s="229">
        <v>447.73833687989679</v>
      </c>
      <c r="G160" s="229">
        <v>438.09575378152294</v>
      </c>
      <c r="H160" s="229">
        <v>895.78047713752972</v>
      </c>
      <c r="I160" s="229">
        <v>440.61893165956087</v>
      </c>
      <c r="J160" s="229">
        <v>624.50189866198184</v>
      </c>
      <c r="K160" s="229">
        <v>652.08242224603953</v>
      </c>
      <c r="L160" s="170"/>
      <c r="M160" s="170"/>
      <c r="N160" s="195">
        <f t="shared" si="19"/>
        <v>1083.5265686960618</v>
      </c>
      <c r="O160" s="195">
        <f t="shared" si="21"/>
        <v>895.78047713752972</v>
      </c>
      <c r="P160" s="195">
        <f t="shared" si="20"/>
        <v>2646.948761779734</v>
      </c>
      <c r="Q160" s="195">
        <f t="shared" si="22"/>
        <v>4626.2558076133255</v>
      </c>
      <c r="R160" s="221">
        <f t="shared" si="23"/>
        <v>0.23421242009854412</v>
      </c>
      <c r="AC160" s="251"/>
    </row>
    <row r="161" spans="1:29" ht="15.6" x14ac:dyDescent="0.3">
      <c r="A161" s="206">
        <v>2038</v>
      </c>
      <c r="B161" s="229">
        <v>5480.2364767892168</v>
      </c>
      <c r="C161" s="229">
        <v>1638.1414578967631</v>
      </c>
      <c r="D161" s="229">
        <v>574.60534317173142</v>
      </c>
      <c r="E161" s="229">
        <v>1557.4188985132223</v>
      </c>
      <c r="F161" s="229">
        <v>455.96444151863818</v>
      </c>
      <c r="G161" s="229">
        <v>442.70660915558852</v>
      </c>
      <c r="H161" s="229">
        <v>899.1755406198597</v>
      </c>
      <c r="I161" s="229">
        <v>441.10430772819666</v>
      </c>
      <c r="J161" s="229">
        <v>624.70938245683476</v>
      </c>
      <c r="K161" s="229">
        <v>653.57262276204006</v>
      </c>
      <c r="L161" s="170"/>
      <c r="M161" s="170"/>
      <c r="N161" s="195">
        <f t="shared" si="19"/>
        <v>1114.2077994120007</v>
      </c>
      <c r="O161" s="195">
        <f t="shared" si="21"/>
        <v>899.1755406198597</v>
      </c>
      <c r="P161" s="195">
        <f t="shared" si="20"/>
        <v>2655.4534102240827</v>
      </c>
      <c r="Q161" s="195">
        <f t="shared" si="22"/>
        <v>4668.8367502559431</v>
      </c>
      <c r="R161" s="221">
        <f t="shared" si="23"/>
        <v>0.23864783864008962</v>
      </c>
      <c r="AC161" s="251"/>
    </row>
    <row r="162" spans="1:29" ht="15.6" x14ac:dyDescent="0.3">
      <c r="A162" s="206">
        <v>2039</v>
      </c>
      <c r="B162" s="229">
        <v>5501.0348319374916</v>
      </c>
      <c r="C162" s="229">
        <v>1639.8506902517352</v>
      </c>
      <c r="D162" s="229">
        <v>576.71802409211114</v>
      </c>
      <c r="E162" s="229">
        <v>1583.3795019802922</v>
      </c>
      <c r="F162" s="229">
        <v>464.21582471596366</v>
      </c>
      <c r="G162" s="229">
        <v>447.2814461997429</v>
      </c>
      <c r="H162" s="229">
        <v>902.28638038040231</v>
      </c>
      <c r="I162" s="229">
        <v>441.52855907577714</v>
      </c>
      <c r="J162" s="229">
        <v>624.88154125036863</v>
      </c>
      <c r="K162" s="229">
        <v>655.02235312675668</v>
      </c>
      <c r="L162" s="170"/>
      <c r="M162" s="170"/>
      <c r="N162" s="195">
        <f t="shared" si="19"/>
        <v>1145.3089463158535</v>
      </c>
      <c r="O162" s="195">
        <f t="shared" si="21"/>
        <v>902.28638038040231</v>
      </c>
      <c r="P162" s="195">
        <f t="shared" si="20"/>
        <v>2663.850160543589</v>
      </c>
      <c r="Q162" s="195">
        <f t="shared" si="22"/>
        <v>4711.4454872398446</v>
      </c>
      <c r="R162" s="221">
        <f t="shared" si="23"/>
        <v>0.24309077743077567</v>
      </c>
      <c r="AC162" s="251"/>
    </row>
    <row r="163" spans="1:29" ht="15.6" x14ac:dyDescent="0.3">
      <c r="A163" s="206">
        <v>2040</v>
      </c>
      <c r="B163" s="229">
        <v>5521.1047455975213</v>
      </c>
      <c r="C163" s="229">
        <v>1641.5254457918929</v>
      </c>
      <c r="D163" s="229">
        <v>578.80546746894868</v>
      </c>
      <c r="E163" s="229">
        <v>1609.4463319288075</v>
      </c>
      <c r="F163" s="229">
        <v>472.49176254139593</v>
      </c>
      <c r="G163" s="229">
        <v>451.81967888915409</v>
      </c>
      <c r="H163" s="229">
        <v>905.1121976028686</v>
      </c>
      <c r="I163" s="229">
        <v>441.90374214219719</v>
      </c>
      <c r="J163" s="229">
        <v>625.0242617289515</v>
      </c>
      <c r="K163" s="229">
        <v>656.43893283965281</v>
      </c>
      <c r="L163" s="170"/>
      <c r="M163" s="170"/>
      <c r="N163" s="195">
        <f t="shared" si="19"/>
        <v>1176.8258968673349</v>
      </c>
      <c r="O163" s="195">
        <f t="shared" si="21"/>
        <v>905.1121976028686</v>
      </c>
      <c r="P163" s="195">
        <f t="shared" si="20"/>
        <v>2672.1505921499956</v>
      </c>
      <c r="Q163" s="195">
        <f t="shared" si="22"/>
        <v>4754.088686620199</v>
      </c>
      <c r="R163" s="221">
        <f t="shared" si="23"/>
        <v>0.24753974409004345</v>
      </c>
      <c r="AC163" s="251"/>
    </row>
    <row r="164" spans="1:29" ht="15.6" x14ac:dyDescent="0.3">
      <c r="A164" s="206">
        <v>2041</v>
      </c>
      <c r="B164" s="229">
        <v>5540.4594735938817</v>
      </c>
      <c r="C164" s="229">
        <v>1643.1774952371572</v>
      </c>
      <c r="D164" s="229">
        <v>580.86806801889873</v>
      </c>
      <c r="E164" s="229">
        <v>1635.6152009326715</v>
      </c>
      <c r="F164" s="229">
        <v>480.79153106445784</v>
      </c>
      <c r="G164" s="229">
        <v>456.32072119898999</v>
      </c>
      <c r="H164" s="229">
        <v>907.65219347097025</v>
      </c>
      <c r="I164" s="229">
        <v>442.24191336735174</v>
      </c>
      <c r="J164" s="229">
        <v>625.14343057895155</v>
      </c>
      <c r="K164" s="229">
        <v>657.82968140019182</v>
      </c>
      <c r="L164" s="170"/>
      <c r="M164" s="170"/>
      <c r="N164" s="195">
        <f t="shared" si="19"/>
        <v>1208.7545385261592</v>
      </c>
      <c r="O164" s="195">
        <f t="shared" si="21"/>
        <v>907.65219347097025</v>
      </c>
      <c r="P164" s="195">
        <f t="shared" si="20"/>
        <v>2680.3662844550463</v>
      </c>
      <c r="Q164" s="195">
        <f>N164+P164+O164</f>
        <v>4796.7730164521754</v>
      </c>
      <c r="R164" s="221">
        <f>N164/Q164</f>
        <v>0.25199327430760671</v>
      </c>
      <c r="AC164" s="251"/>
    </row>
    <row r="165" spans="1:29" ht="15.6" x14ac:dyDescent="0.3">
      <c r="A165" s="206">
        <v>2042</v>
      </c>
      <c r="B165" s="229">
        <v>5559.112271751148</v>
      </c>
      <c r="C165" s="229">
        <v>1644.8186093074485</v>
      </c>
      <c r="D165" s="229">
        <v>582.90622045861619</v>
      </c>
      <c r="E165" s="229">
        <v>1661.8819215657868</v>
      </c>
      <c r="F165" s="229">
        <v>489.11440635467204</v>
      </c>
      <c r="G165" s="229">
        <v>460.78398710441871</v>
      </c>
      <c r="H165" s="229">
        <v>909.90556916841865</v>
      </c>
      <c r="I165" s="229">
        <v>442.55512919113573</v>
      </c>
      <c r="J165" s="229">
        <v>625.24493448673695</v>
      </c>
      <c r="K165" s="229">
        <v>659.2019183078371</v>
      </c>
      <c r="L165" s="170"/>
      <c r="M165" s="170"/>
      <c r="N165" s="195">
        <f t="shared" si="19"/>
        <v>1241.0907587520403</v>
      </c>
      <c r="O165" s="195">
        <f t="shared" si="21"/>
        <v>909.90556916841865</v>
      </c>
      <c r="P165" s="195">
        <f t="shared" si="20"/>
        <v>2688.5088168704833</v>
      </c>
      <c r="Q165" s="195">
        <f t="shared" si="22"/>
        <v>4839.5051447909427</v>
      </c>
      <c r="R165" s="221">
        <f t="shared" si="23"/>
        <v>0.25644993064795119</v>
      </c>
      <c r="AC165" s="251"/>
    </row>
    <row r="166" spans="1:29" ht="15.6" x14ac:dyDescent="0.3">
      <c r="A166" s="206">
        <v>2043</v>
      </c>
      <c r="B166" s="229">
        <v>5577.0763958938951</v>
      </c>
      <c r="C166" s="229">
        <v>1646.4605587226874</v>
      </c>
      <c r="D166" s="229">
        <v>584.92031950475575</v>
      </c>
      <c r="E166" s="229">
        <v>1688.2423064020568</v>
      </c>
      <c r="F166" s="229">
        <v>497.45966448156139</v>
      </c>
      <c r="G166" s="229">
        <v>465.20889058060817</v>
      </c>
      <c r="H166" s="229">
        <v>911.87152587892524</v>
      </c>
      <c r="I166" s="229">
        <v>442.85544605344393</v>
      </c>
      <c r="J166" s="229">
        <v>625.33466013867564</v>
      </c>
      <c r="K166" s="229">
        <v>660.56296306205195</v>
      </c>
      <c r="L166" s="170"/>
      <c r="M166" s="170"/>
      <c r="N166" s="195">
        <f t="shared" si="19"/>
        <v>1273.830445004693</v>
      </c>
      <c r="O166" s="195">
        <f t="shared" si="21"/>
        <v>911.87152587892524</v>
      </c>
      <c r="P166" s="195">
        <f t="shared" si="20"/>
        <v>2696.5897688080513</v>
      </c>
      <c r="Q166" s="195">
        <f t="shared" si="22"/>
        <v>4882.2917396916691</v>
      </c>
      <c r="R166" s="221">
        <f t="shared" si="23"/>
        <v>0.26090830145376342</v>
      </c>
      <c r="AC166" s="251"/>
    </row>
    <row r="167" spans="1:29" ht="15.6" x14ac:dyDescent="0.3">
      <c r="A167" s="206">
        <v>2044</v>
      </c>
      <c r="B167" s="229">
        <v>5594.3651018466981</v>
      </c>
      <c r="C167" s="229">
        <v>1648.1151142027948</v>
      </c>
      <c r="D167" s="229">
        <v>586.91075987397221</v>
      </c>
      <c r="E167" s="229">
        <v>1714.6921680153841</v>
      </c>
      <c r="F167" s="229">
        <v>505.82658151464852</v>
      </c>
      <c r="G167" s="229">
        <v>469.59484560272631</v>
      </c>
      <c r="H167" s="229">
        <v>913.54926478620166</v>
      </c>
      <c r="I167" s="229">
        <v>443.15492039417137</v>
      </c>
      <c r="J167" s="229">
        <v>625.4184942211358</v>
      </c>
      <c r="K167" s="229">
        <v>661.92013516229974</v>
      </c>
      <c r="L167" s="170"/>
      <c r="M167" s="170"/>
      <c r="N167" s="195">
        <f t="shared" si="19"/>
        <v>1306.9694847438309</v>
      </c>
      <c r="O167" s="195">
        <f t="shared" si="21"/>
        <v>913.54926478620166</v>
      </c>
      <c r="P167" s="195">
        <f t="shared" si="20"/>
        <v>2704.620719679493</v>
      </c>
      <c r="Q167" s="195">
        <f t="shared" si="22"/>
        <v>4925.1394692095255</v>
      </c>
      <c r="R167" s="221">
        <f t="shared" si="23"/>
        <v>0.26536699984124446</v>
      </c>
      <c r="AC167" s="251"/>
    </row>
    <row r="168" spans="1:29" ht="15.6" x14ac:dyDescent="0.3">
      <c r="A168" s="206">
        <v>2045</v>
      </c>
      <c r="B168" s="229">
        <v>5610.9916454341319</v>
      </c>
      <c r="C168" s="229">
        <v>1649.7940464676908</v>
      </c>
      <c r="D168" s="229">
        <v>588.87793628292025</v>
      </c>
      <c r="E168" s="229">
        <v>1741.227318979672</v>
      </c>
      <c r="F168" s="229">
        <v>514.21443352345625</v>
      </c>
      <c r="G168" s="229">
        <v>473.9412661459412</v>
      </c>
      <c r="H168" s="229">
        <v>914.93798707395899</v>
      </c>
      <c r="I168" s="229">
        <v>443.46560865321294</v>
      </c>
      <c r="J168" s="229">
        <v>625.50232342048548</v>
      </c>
      <c r="K168" s="229">
        <v>663.28075410804377</v>
      </c>
      <c r="L168" s="170"/>
      <c r="M168" s="170"/>
      <c r="N168" s="195">
        <f t="shared" si="19"/>
        <v>1340.5037654291691</v>
      </c>
      <c r="O168" s="195">
        <f t="shared" si="21"/>
        <v>914.93798707395899</v>
      </c>
      <c r="P168" s="195">
        <f t="shared" si="20"/>
        <v>2712.6132488965522</v>
      </c>
      <c r="Q168" s="195">
        <f t="shared" si="22"/>
        <v>4968.0550013996799</v>
      </c>
      <c r="R168" s="221">
        <f t="shared" si="23"/>
        <v>0.26982466278080675</v>
      </c>
      <c r="AC168" s="251"/>
    </row>
    <row r="169" spans="1:29" ht="15.6" x14ac:dyDescent="0.3">
      <c r="A169" s="206">
        <v>2046</v>
      </c>
      <c r="B169" s="229">
        <v>5626.9692824807726</v>
      </c>
      <c r="C169" s="229">
        <v>1651.5091262372966</v>
      </c>
      <c r="D169" s="229">
        <v>590.82224344825477</v>
      </c>
      <c r="E169" s="229">
        <v>1767.8435718688238</v>
      </c>
      <c r="F169" s="229">
        <v>522.62249657750726</v>
      </c>
      <c r="G169" s="229">
        <v>478.24756618542085</v>
      </c>
      <c r="H169" s="229">
        <v>916.036893925909</v>
      </c>
      <c r="I169" s="229">
        <v>443.79956727046346</v>
      </c>
      <c r="J169" s="229">
        <v>625.59203442309285</v>
      </c>
      <c r="K169" s="229">
        <v>664.65213939874752</v>
      </c>
      <c r="L169" s="170"/>
      <c r="M169" s="170"/>
      <c r="N169" s="195">
        <f t="shared" si="19"/>
        <v>1374.4291745204221</v>
      </c>
      <c r="O169" s="195">
        <f t="shared" si="21"/>
        <v>916.036893925909</v>
      </c>
      <c r="P169" s="195">
        <f t="shared" si="20"/>
        <v>2720.5789358709721</v>
      </c>
      <c r="Q169" s="195">
        <f t="shared" si="22"/>
        <v>5011.0450043173032</v>
      </c>
      <c r="R169" s="221">
        <f t="shared" si="23"/>
        <v>0.27427995025713647</v>
      </c>
      <c r="AC169" s="251"/>
    </row>
    <row r="170" spans="1:29" ht="15.6" x14ac:dyDescent="0.3">
      <c r="A170" s="206">
        <v>2047</v>
      </c>
      <c r="B170" s="229">
        <v>5642.3112688111951</v>
      </c>
      <c r="C170" s="229">
        <v>1653.2721242315326</v>
      </c>
      <c r="D170" s="229">
        <v>592.74407608663034</v>
      </c>
      <c r="E170" s="229">
        <v>1794.5367392567421</v>
      </c>
      <c r="F170" s="229">
        <v>531.05004674632437</v>
      </c>
      <c r="G170" s="229">
        <v>482.5131596963331</v>
      </c>
      <c r="H170" s="229">
        <v>916.8451865257631</v>
      </c>
      <c r="I170" s="229">
        <v>444.16885268581791</v>
      </c>
      <c r="J170" s="229">
        <v>625.69351391532598</v>
      </c>
      <c r="K170" s="229">
        <v>666.04161053387429</v>
      </c>
      <c r="L170" s="170"/>
      <c r="M170" s="170"/>
      <c r="N170" s="195">
        <f t="shared" si="19"/>
        <v>1408.7415994773037</v>
      </c>
      <c r="O170" s="195">
        <f t="shared" si="21"/>
        <v>916.8451865257631</v>
      </c>
      <c r="P170" s="195">
        <f t="shared" si="20"/>
        <v>2728.529360014496</v>
      </c>
      <c r="Q170" s="195">
        <f t="shared" si="22"/>
        <v>5054.1161460175626</v>
      </c>
      <c r="R170" s="221">
        <f t="shared" si="23"/>
        <v>0.2787315445030551</v>
      </c>
      <c r="AC170" s="251"/>
    </row>
    <row r="171" spans="1:29" ht="15.6" x14ac:dyDescent="0.3">
      <c r="A171" s="206">
        <v>2048</v>
      </c>
      <c r="B171" s="229">
        <v>5657.0308602499736</v>
      </c>
      <c r="C171" s="229">
        <v>1655.0948111703194</v>
      </c>
      <c r="D171" s="229">
        <v>594.643828914702</v>
      </c>
      <c r="E171" s="229">
        <v>1821.3026337173301</v>
      </c>
      <c r="F171" s="229">
        <v>539.49636009943038</v>
      </c>
      <c r="G171" s="229">
        <v>486.73746065384614</v>
      </c>
      <c r="H171" s="229">
        <v>917.3620660572326</v>
      </c>
      <c r="I171" s="229">
        <v>444.58552133917112</v>
      </c>
      <c r="J171" s="229">
        <v>625.81264858355303</v>
      </c>
      <c r="K171" s="229">
        <v>667.45648701288735</v>
      </c>
      <c r="L171" s="170"/>
      <c r="M171" s="170"/>
      <c r="N171" s="195">
        <f t="shared" si="19"/>
        <v>1443.4369277595276</v>
      </c>
      <c r="O171" s="195">
        <f t="shared" si="21"/>
        <v>917.3620660572326</v>
      </c>
      <c r="P171" s="195">
        <f t="shared" si="20"/>
        <v>2736.4761007388674</v>
      </c>
      <c r="Q171" s="195">
        <f t="shared" si="22"/>
        <v>5097.2750945556272</v>
      </c>
      <c r="R171" s="221">
        <f t="shared" si="23"/>
        <v>0.28317814930201729</v>
      </c>
      <c r="AC171" s="251"/>
    </row>
    <row r="172" spans="1:29" ht="15.6" x14ac:dyDescent="0.3">
      <c r="A172" s="206">
        <v>2049</v>
      </c>
      <c r="B172" s="229">
        <v>5671.141312621683</v>
      </c>
      <c r="C172" s="229">
        <v>1656.9889577735776</v>
      </c>
      <c r="D172" s="229">
        <v>596.52189664912419</v>
      </c>
      <c r="E172" s="229">
        <v>1848.1370678244907</v>
      </c>
      <c r="F172" s="229">
        <v>547.96071270634798</v>
      </c>
      <c r="G172" s="229">
        <v>490.9198830331278</v>
      </c>
      <c r="H172" s="229">
        <v>917.58673370402914</v>
      </c>
      <c r="I172" s="229">
        <v>445.06162967041803</v>
      </c>
      <c r="J172" s="229">
        <v>625.95532511414194</v>
      </c>
      <c r="K172" s="229">
        <v>668.90408833525009</v>
      </c>
      <c r="L172" s="170"/>
      <c r="M172" s="170"/>
      <c r="N172" s="195">
        <f t="shared" si="19"/>
        <v>1478.5110468268094</v>
      </c>
      <c r="O172" s="195">
        <f t="shared" si="21"/>
        <v>917.58673370402914</v>
      </c>
      <c r="P172" s="195">
        <f t="shared" si="20"/>
        <v>2744.4307374558298</v>
      </c>
      <c r="Q172" s="195">
        <f t="shared" si="22"/>
        <v>5140.5285179866678</v>
      </c>
      <c r="R172" s="221">
        <f t="shared" si="23"/>
        <v>0.28761848935445278</v>
      </c>
      <c r="AC172" s="251"/>
    </row>
    <row r="173" spans="1:29" ht="16.2" thickBot="1" x14ac:dyDescent="0.35">
      <c r="A173" s="208">
        <v>2050</v>
      </c>
      <c r="B173" s="231">
        <v>5684.6558817509003</v>
      </c>
      <c r="C173" s="231">
        <v>1658.9663347612279</v>
      </c>
      <c r="D173" s="231">
        <v>598.37867400655193</v>
      </c>
      <c r="E173" s="231">
        <v>1875.0358541521273</v>
      </c>
      <c r="F173" s="231">
        <v>556.44238063659986</v>
      </c>
      <c r="G173" s="231">
        <v>495.05984080934616</v>
      </c>
      <c r="H173" s="231">
        <v>917.51839064986405</v>
      </c>
      <c r="I173" s="231">
        <v>445.60923411945362</v>
      </c>
      <c r="J173" s="231">
        <v>626.1274301934609</v>
      </c>
      <c r="K173" s="231">
        <v>670.39173400042591</v>
      </c>
      <c r="L173" s="209"/>
      <c r="M173" s="209"/>
      <c r="N173" s="195">
        <f t="shared" si="19"/>
        <v>1513.959844138863</v>
      </c>
      <c r="O173" s="195">
        <f t="shared" si="21"/>
        <v>917.51839064986405</v>
      </c>
      <c r="P173" s="195">
        <f t="shared" si="20"/>
        <v>2752.4048495771258</v>
      </c>
      <c r="Q173" s="195">
        <f t="shared" si="22"/>
        <v>5183.8830843658525</v>
      </c>
      <c r="R173" s="222">
        <f t="shared" si="23"/>
        <v>0.29205130970349935</v>
      </c>
      <c r="AC173" s="251"/>
    </row>
    <row r="174" spans="1:29" ht="15.6" x14ac:dyDescent="0.3">
      <c r="A174" s="213">
        <v>2051</v>
      </c>
      <c r="B174" s="227">
        <v>5697.5878234621996</v>
      </c>
      <c r="C174" s="227">
        <v>1661.0387128531911</v>
      </c>
      <c r="D174" s="227">
        <v>600.21455570363992</v>
      </c>
      <c r="E174" s="227">
        <v>1901.9948052741424</v>
      </c>
      <c r="F174" s="227">
        <v>564.94063995970873</v>
      </c>
      <c r="G174" s="227">
        <v>499.1567479576691</v>
      </c>
      <c r="H174" s="227">
        <v>917.15623807844872</v>
      </c>
      <c r="I174" s="227">
        <v>446.24039112617265</v>
      </c>
      <c r="J174" s="227">
        <v>626.33485050787806</v>
      </c>
      <c r="K174" s="227">
        <v>671.92674350787831</v>
      </c>
      <c r="N174" s="195">
        <f t="shared" si="19"/>
        <v>1549.7792071554024</v>
      </c>
      <c r="O174" s="195">
        <f t="shared" si="21"/>
        <v>917.15623807844872</v>
      </c>
      <c r="P174" s="195">
        <f t="shared" si="20"/>
        <v>2760.4100165145005</v>
      </c>
      <c r="Q174" s="195">
        <f t="shared" si="22"/>
        <v>5227.3454617483521</v>
      </c>
      <c r="R174" s="214">
        <f t="shared" si="23"/>
        <v>0.29647537521598183</v>
      </c>
      <c r="AC174" s="251"/>
    </row>
    <row r="175" spans="1:29" ht="15.6" x14ac:dyDescent="0.3">
      <c r="A175" s="194">
        <v>2052</v>
      </c>
      <c r="B175" s="229">
        <v>5709.9503935801567</v>
      </c>
      <c r="C175" s="229">
        <v>1663.2178627693875</v>
      </c>
      <c r="D175" s="229">
        <v>602.02993645704282</v>
      </c>
      <c r="E175" s="229">
        <v>1929.0097337644397</v>
      </c>
      <c r="F175" s="229">
        <v>573.4547667451975</v>
      </c>
      <c r="G175" s="229">
        <v>503.21001845326469</v>
      </c>
      <c r="H175" s="229">
        <v>916.49947717349482</v>
      </c>
      <c r="I175" s="229">
        <v>446.96715713047013</v>
      </c>
      <c r="J175" s="229">
        <v>626.58347274376149</v>
      </c>
      <c r="K175" s="229">
        <v>673.51643635707035</v>
      </c>
      <c r="N175" s="195">
        <f t="shared" si="19"/>
        <v>1585.9650233361424</v>
      </c>
      <c r="O175" s="195">
        <f t="shared" si="21"/>
        <v>916.49947717349482</v>
      </c>
      <c r="P175" s="195">
        <f t="shared" si="20"/>
        <v>2768.4578176796949</v>
      </c>
      <c r="Q175" s="195">
        <f t="shared" si="22"/>
        <v>5270.9223181893321</v>
      </c>
      <c r="R175" s="196">
        <f t="shared" si="23"/>
        <v>0.3008894701147774</v>
      </c>
      <c r="AC175" s="251"/>
    </row>
    <row r="176" spans="1:29" ht="15.6" x14ac:dyDescent="0.3">
      <c r="A176" s="194">
        <v>2053</v>
      </c>
      <c r="B176" s="229">
        <v>5721.756847929345</v>
      </c>
      <c r="C176" s="229">
        <v>1665.5155552297379</v>
      </c>
      <c r="D176" s="229">
        <v>603.82521098341545</v>
      </c>
      <c r="E176" s="229">
        <v>1956.0764521969215</v>
      </c>
      <c r="F176" s="229">
        <v>581.98403706258887</v>
      </c>
      <c r="G176" s="229">
        <v>507.21906627130096</v>
      </c>
      <c r="H176" s="229">
        <v>915.54730911871366</v>
      </c>
      <c r="I176" s="229">
        <v>447.80158857224092</v>
      </c>
      <c r="J176" s="229">
        <v>626.87918358747925</v>
      </c>
      <c r="K176" s="229">
        <v>675.16813204746552</v>
      </c>
      <c r="N176" s="195">
        <f t="shared" si="19"/>
        <v>1622.5131801407965</v>
      </c>
      <c r="O176" s="195">
        <f t="shared" si="21"/>
        <v>915.54730911871366</v>
      </c>
      <c r="P176" s="195">
        <f t="shared" si="20"/>
        <v>2776.5598324844541</v>
      </c>
      <c r="Q176" s="195">
        <f t="shared" si="22"/>
        <v>5314.6203217439652</v>
      </c>
      <c r="R176" s="196">
        <f t="shared" si="23"/>
        <v>0.30529239755896187</v>
      </c>
      <c r="AC176" s="251"/>
    </row>
    <row r="177" spans="1:29" ht="15.6" x14ac:dyDescent="0.3">
      <c r="A177" s="194">
        <v>2054</v>
      </c>
      <c r="B177" s="229">
        <v>5733.0204423343421</v>
      </c>
      <c r="C177" s="229">
        <v>1667.9435609541626</v>
      </c>
      <c r="D177" s="229">
        <v>605.6007739994127</v>
      </c>
      <c r="E177" s="229">
        <v>1983.1907731454914</v>
      </c>
      <c r="F177" s="229">
        <v>590.52772698140552</v>
      </c>
      <c r="G177" s="229">
        <v>511.18330538694579</v>
      </c>
      <c r="H177" s="229">
        <v>914.29893509781664</v>
      </c>
      <c r="I177" s="229">
        <v>448.7557418913799</v>
      </c>
      <c r="J177" s="229">
        <v>627.2278697253995</v>
      </c>
      <c r="K177" s="229">
        <v>676.88915007852722</v>
      </c>
      <c r="N177" s="195">
        <f t="shared" si="19"/>
        <v>1659.4195650290806</v>
      </c>
      <c r="O177" s="195">
        <f t="shared" si="21"/>
        <v>914.29893509781664</v>
      </c>
      <c r="P177" s="195">
        <f t="shared" si="20"/>
        <v>2784.7276403405212</v>
      </c>
      <c r="Q177" s="195">
        <f t="shared" si="22"/>
        <v>5358.4461404674184</v>
      </c>
      <c r="R177" s="196">
        <f t="shared" si="23"/>
        <v>0.3096829792683759</v>
      </c>
      <c r="AC177" s="251"/>
    </row>
    <row r="178" spans="1:29" ht="15.6" x14ac:dyDescent="0.3">
      <c r="A178" s="194">
        <v>2055</v>
      </c>
      <c r="B178" s="229">
        <v>5743.7544326197212</v>
      </c>
      <c r="C178" s="229">
        <v>1670.5136506625829</v>
      </c>
      <c r="D178" s="229">
        <v>607.35702022168914</v>
      </c>
      <c r="E178" s="229">
        <v>2010.3485091840521</v>
      </c>
      <c r="F178" s="229">
        <v>599.08511257117027</v>
      </c>
      <c r="G178" s="229">
        <v>515.10214977536725</v>
      </c>
      <c r="H178" s="229">
        <v>912.75355629451542</v>
      </c>
      <c r="I178" s="229">
        <v>449.84167352778206</v>
      </c>
      <c r="J178" s="229">
        <v>627.63541784389031</v>
      </c>
      <c r="K178" s="229">
        <v>678.68680994971885</v>
      </c>
      <c r="N178" s="195">
        <f t="shared" si="19"/>
        <v>1696.6800654607068</v>
      </c>
      <c r="O178" s="195">
        <f t="shared" si="21"/>
        <v>912.75355629451542</v>
      </c>
      <c r="P178" s="195">
        <f t="shared" si="20"/>
        <v>2792.9728206596392</v>
      </c>
      <c r="Q178" s="195">
        <f t="shared" si="22"/>
        <v>5402.4064424148619</v>
      </c>
      <c r="R178" s="196">
        <f t="shared" si="23"/>
        <v>0.31406005518946017</v>
      </c>
      <c r="AC178" s="251"/>
    </row>
    <row r="179" spans="1:29" ht="15.6" x14ac:dyDescent="0.3">
      <c r="A179" s="194">
        <v>2056</v>
      </c>
      <c r="B179" s="229">
        <v>5753.9720746100584</v>
      </c>
      <c r="C179" s="229">
        <v>1673.237595074919</v>
      </c>
      <c r="D179" s="229">
        <v>609.09434436689969</v>
      </c>
      <c r="E179" s="229">
        <v>2037.545472886507</v>
      </c>
      <c r="F179" s="229">
        <v>607.65546990140581</v>
      </c>
      <c r="G179" s="229">
        <v>518.97501341173336</v>
      </c>
      <c r="H179" s="229">
        <v>910.91037389252119</v>
      </c>
      <c r="I179" s="229">
        <v>451.07143992134218</v>
      </c>
      <c r="J179" s="229">
        <v>628.10771462931973</v>
      </c>
      <c r="K179" s="229">
        <v>680.56843116050356</v>
      </c>
      <c r="N179" s="195">
        <f t="shared" si="19"/>
        <v>1734.2905688953917</v>
      </c>
      <c r="O179" s="195">
        <f t="shared" si="21"/>
        <v>910.91037389252119</v>
      </c>
      <c r="P179" s="195">
        <f t="shared" si="20"/>
        <v>2801.306952853552</v>
      </c>
      <c r="Q179" s="195">
        <f t="shared" si="22"/>
        <v>5446.5078956414654</v>
      </c>
      <c r="R179" s="196">
        <f t="shared" si="23"/>
        <v>0.31842248319941796</v>
      </c>
      <c r="AC179" s="251"/>
    </row>
    <row r="180" spans="1:29" ht="15.6" x14ac:dyDescent="0.3">
      <c r="A180" s="194">
        <v>2057</v>
      </c>
      <c r="B180" s="229">
        <v>5763.6866241299285</v>
      </c>
      <c r="C180" s="229">
        <v>1676.1271649110915</v>
      </c>
      <c r="D180" s="229">
        <v>610.81314115169903</v>
      </c>
      <c r="E180" s="229">
        <v>2064.7774768267586</v>
      </c>
      <c r="F180" s="229">
        <v>616.23807504163494</v>
      </c>
      <c r="G180" s="229">
        <v>522.80131027121195</v>
      </c>
      <c r="H180" s="229">
        <v>908.76858907554561</v>
      </c>
      <c r="I180" s="229">
        <v>452.45709751195523</v>
      </c>
      <c r="J180" s="229">
        <v>628.65064676805594</v>
      </c>
      <c r="K180" s="229">
        <v>682.54133321034487</v>
      </c>
      <c r="N180" s="195">
        <f t="shared" si="19"/>
        <v>1772.2469627928481</v>
      </c>
      <c r="O180" s="195">
        <f t="shared" si="21"/>
        <v>908.76858907554561</v>
      </c>
      <c r="P180" s="195">
        <f t="shared" si="20"/>
        <v>2809.7416163340026</v>
      </c>
      <c r="Q180" s="195">
        <f t="shared" si="22"/>
        <v>5490.7571682023963</v>
      </c>
      <c r="R180" s="196">
        <f t="shared" si="23"/>
        <v>0.32276913884593789</v>
      </c>
      <c r="AC180" s="251"/>
    </row>
    <row r="181" spans="1:29" ht="15.6" x14ac:dyDescent="0.3">
      <c r="A181" s="194">
        <v>2058</v>
      </c>
      <c r="B181" s="229">
        <v>5772.9113370039067</v>
      </c>
      <c r="C181" s="229">
        <v>1679.1941308910211</v>
      </c>
      <c r="D181" s="229">
        <v>612.51380529274184</v>
      </c>
      <c r="E181" s="229">
        <v>2092.0403335787105</v>
      </c>
      <c r="F181" s="229">
        <v>624.83220406138037</v>
      </c>
      <c r="G181" s="229">
        <v>526.5804543289712</v>
      </c>
      <c r="H181" s="229">
        <v>906.32740302730008</v>
      </c>
      <c r="I181" s="229">
        <v>454.01070273951609</v>
      </c>
      <c r="J181" s="229">
        <v>629.27010094646698</v>
      </c>
      <c r="K181" s="229">
        <v>684.61283559870617</v>
      </c>
      <c r="N181" s="195">
        <f t="shared" si="19"/>
        <v>1810.5451346127907</v>
      </c>
      <c r="O181" s="195">
        <f t="shared" si="21"/>
        <v>906.32740302730008</v>
      </c>
      <c r="P181" s="195">
        <f t="shared" si="20"/>
        <v>2818.2883905127346</v>
      </c>
      <c r="Q181" s="195">
        <f t="shared" si="22"/>
        <v>5535.1609281528254</v>
      </c>
      <c r="R181" s="196">
        <f t="shared" si="23"/>
        <v>0.32709891511988964</v>
      </c>
      <c r="AC181" s="251"/>
    </row>
    <row r="182" spans="1:29" ht="15.6" x14ac:dyDescent="0.3">
      <c r="A182" s="194">
        <v>2059</v>
      </c>
      <c r="B182" s="229">
        <v>5781.6594690565689</v>
      </c>
      <c r="C182" s="229">
        <v>1682.4502637346286</v>
      </c>
      <c r="D182" s="229">
        <v>614.19673150668314</v>
      </c>
      <c r="E182" s="229">
        <v>2119.3298557162652</v>
      </c>
      <c r="F182" s="229">
        <v>633.43713303016489</v>
      </c>
      <c r="G182" s="229">
        <v>530.31185956017896</v>
      </c>
      <c r="H182" s="229">
        <v>903.58601693149592</v>
      </c>
      <c r="I182" s="229">
        <v>455.74431204391976</v>
      </c>
      <c r="J182" s="229">
        <v>629.97196385092093</v>
      </c>
      <c r="K182" s="229">
        <v>686.79025782505062</v>
      </c>
      <c r="N182" s="195">
        <f t="shared" si="19"/>
        <v>1849.1809718149339</v>
      </c>
      <c r="O182" s="195">
        <f t="shared" si="21"/>
        <v>903.58601693149592</v>
      </c>
      <c r="P182" s="195">
        <f t="shared" si="20"/>
        <v>2826.9588548014908</v>
      </c>
      <c r="Q182" s="195">
        <f t="shared" si="22"/>
        <v>5579.7258435479207</v>
      </c>
      <c r="R182" s="196">
        <f t="shared" si="23"/>
        <v>0.33141072225855361</v>
      </c>
      <c r="AC182" s="251"/>
    </row>
    <row r="183" spans="1:29" ht="15.6" x14ac:dyDescent="0.3">
      <c r="A183" s="194">
        <v>2060</v>
      </c>
      <c r="B183" s="229">
        <v>5789.9442761124883</v>
      </c>
      <c r="C183" s="229">
        <v>1685.9073341618341</v>
      </c>
      <c r="D183" s="229">
        <v>615.8623145101775</v>
      </c>
      <c r="E183" s="229">
        <v>2146.6418558133259</v>
      </c>
      <c r="F183" s="229">
        <v>642.0521380175112</v>
      </c>
      <c r="G183" s="229">
        <v>533.99493994000318</v>
      </c>
      <c r="H183" s="229">
        <v>900.54363197184489</v>
      </c>
      <c r="I183" s="229">
        <v>457.66998186506089</v>
      </c>
      <c r="J183" s="229">
        <v>630.76212216778606</v>
      </c>
      <c r="K183" s="229">
        <v>689.08091938884172</v>
      </c>
      <c r="N183" s="195">
        <f t="shared" si="19"/>
        <v>1888.150361858992</v>
      </c>
      <c r="O183" s="195">
        <f t="shared" si="21"/>
        <v>900.54363197184489</v>
      </c>
      <c r="P183" s="195">
        <f t="shared" si="20"/>
        <v>2835.7645886120144</v>
      </c>
      <c r="Q183" s="195">
        <f t="shared" si="22"/>
        <v>5624.4585824428514</v>
      </c>
      <c r="R183" s="196">
        <f>N183/Q183</f>
        <v>0.33570348757709551</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6"/>
  </sheetPr>
  <dimension ref="A1:EG183"/>
  <sheetViews>
    <sheetView showGridLines="0" zoomScale="96" zoomScaleNormal="96" zoomScalePageLayoutView="80" workbookViewId="0">
      <selection activeCell="E25" sqref="E25"/>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36.5" style="153"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WaterHeating_cluster_mdc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61</v>
      </c>
      <c r="E3" s="249">
        <v>1.4999999999999999E-2</v>
      </c>
      <c r="F3" s="167" t="s">
        <v>211</v>
      </c>
      <c r="G3" s="167" t="s">
        <v>213</v>
      </c>
      <c r="I3" s="618"/>
      <c r="J3" s="618"/>
      <c r="K3" s="618"/>
      <c r="L3" s="618"/>
      <c r="M3" s="166"/>
      <c r="N3" s="164">
        <f ca="1">SUM(OFFSET(O27,B3-2015,0,B4-B3+1,4))/1000</f>
        <v>0.90195274259300451</v>
      </c>
      <c r="O3" s="165" t="s">
        <v>209</v>
      </c>
      <c r="Q3" s="165"/>
      <c r="S3" s="671" t="s">
        <v>210</v>
      </c>
      <c r="T3" s="671"/>
      <c r="U3" s="671"/>
      <c r="V3" s="671"/>
      <c r="W3" s="671"/>
    </row>
    <row r="4" spans="1:137" ht="13.8" x14ac:dyDescent="0.25">
      <c r="A4" s="153" t="s">
        <v>215</v>
      </c>
      <c r="B4" s="234">
        <v>2050</v>
      </c>
      <c r="D4" s="248" t="s">
        <v>167</v>
      </c>
      <c r="E4" s="249">
        <v>0.151</v>
      </c>
      <c r="F4" s="167" t="s">
        <v>211</v>
      </c>
      <c r="G4" s="167" t="s">
        <v>213</v>
      </c>
      <c r="I4" s="168"/>
      <c r="J4" s="168"/>
      <c r="K4" s="168"/>
      <c r="L4" s="168"/>
      <c r="M4" s="168"/>
      <c r="N4" s="168"/>
      <c r="S4" s="671"/>
      <c r="T4" s="671"/>
      <c r="U4" s="671"/>
      <c r="V4" s="671"/>
      <c r="W4" s="671"/>
    </row>
    <row r="5" spans="1:137" ht="12.75" customHeight="1" x14ac:dyDescent="0.25">
      <c r="D5" s="248" t="s">
        <v>23</v>
      </c>
      <c r="E5" s="249">
        <v>0.25800000000000001</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172</v>
      </c>
      <c r="E6" s="249">
        <v>0.13400000000000001</v>
      </c>
      <c r="F6" s="167" t="s">
        <v>211</v>
      </c>
      <c r="G6" s="167" t="s">
        <v>213</v>
      </c>
      <c r="I6" s="618"/>
      <c r="J6" s="618"/>
      <c r="K6" s="618"/>
      <c r="L6" s="618"/>
      <c r="M6" s="163"/>
      <c r="N6" s="164">
        <f>SUM(O27:R72)/1000</f>
        <v>1.6966477774902222</v>
      </c>
      <c r="O6" s="165" t="s">
        <v>209</v>
      </c>
    </row>
    <row r="7" spans="1:137" ht="13.8" x14ac:dyDescent="0.25">
      <c r="D7" s="248" t="s">
        <v>195</v>
      </c>
      <c r="E7" s="249">
        <v>0.316</v>
      </c>
      <c r="F7" s="167" t="s">
        <v>213</v>
      </c>
      <c r="G7" s="167" t="s">
        <v>211</v>
      </c>
      <c r="I7" s="172"/>
      <c r="J7" s="172"/>
      <c r="K7" s="172"/>
      <c r="L7" s="172"/>
      <c r="M7" s="172"/>
      <c r="N7" s="172"/>
      <c r="O7" s="172"/>
      <c r="P7" s="165"/>
    </row>
    <row r="8" spans="1:137" ht="13.8" x14ac:dyDescent="0.25">
      <c r="D8" s="248" t="s">
        <v>176</v>
      </c>
      <c r="E8" s="249">
        <v>5.5E-2</v>
      </c>
      <c r="F8" s="167" t="s">
        <v>211</v>
      </c>
      <c r="G8" s="167" t="s">
        <v>213</v>
      </c>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322</v>
      </c>
      <c r="P15" s="260" t="s">
        <v>268</v>
      </c>
    </row>
    <row r="16" spans="1:137" ht="13.8" x14ac:dyDescent="0.25">
      <c r="F16" s="153" t="s">
        <v>217</v>
      </c>
      <c r="O16" s="261">
        <v>0.25807604271849455</v>
      </c>
      <c r="P16" s="261">
        <v>4559.9356816308</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IFERROR(IF($F$17="Y",$E$17,1-$Y85)*(SUMIF($G$3:$G$14,"Y",$E$3:$E$14))*(B85-B137),0)</f>
        <v>-4.9062617720164788E-3</v>
      </c>
      <c r="F26" s="183" t="str">
        <f>IFERROR(E26-E25,"")</f>
        <v/>
      </c>
      <c r="G26" s="247">
        <f t="shared" ref="G26:G72" si="1">IFERROR(E26/(B85-B137),"")</f>
        <v>0.6130000000000001</v>
      </c>
      <c r="H26" s="245" t="s">
        <v>264</v>
      </c>
      <c r="J26" s="182"/>
      <c r="K26" s="182"/>
      <c r="L26" s="182"/>
      <c r="M26" s="182"/>
      <c r="N26" s="163"/>
      <c r="O26" s="259">
        <f>IF($O$24="Y",IFERROR(E26*($E$6/SUMIF($G$3:$G$14,"Y",$E$3:$E$14))*$O$16*'Emissions Factors'!B12,""),"")</f>
        <v>-1.708820447143432E-4</v>
      </c>
      <c r="P26" s="259">
        <f>IF($P$24="Y",IFERROR($E26*(SUM($E$3,$E$4,$E$5)/SUMIF($G$3:$G$14,"Y",$E$3:$E$14))*('Emissions Factors'!$T$143*$P$16)/10^6,""),"")</f>
        <v>-1.346834460993889E-3</v>
      </c>
      <c r="Q26" s="259"/>
      <c r="R26" s="245" t="s">
        <v>264</v>
      </c>
      <c r="T26" s="180" t="str">
        <f t="shared" ref="T26:T72" si="2">IF(AND(A26&gt;=$B$3,A26&lt;=$B$4),SUM(O26:R26),"")</f>
        <v/>
      </c>
      <c r="U26" s="180" t="str">
        <f t="shared" ref="U26:U72" si="3">IF(AND(A26&gt;=$B$3,A26&lt;=$B$4),SUM(J26:M26),"")</f>
        <v/>
      </c>
      <c r="V26" s="177"/>
      <c r="X26" s="180">
        <f t="shared" ref="X26:X72" si="4">SUM(O26:R26)</f>
        <v>-1.5177165057082321E-3</v>
      </c>
      <c r="Y26" s="180">
        <f t="shared" ref="Y26:Y72" si="5">SUM(J26:M26)</f>
        <v>0</v>
      </c>
    </row>
    <row r="27" spans="1:26" ht="15.6" x14ac:dyDescent="0.3">
      <c r="A27" s="152">
        <v>2015</v>
      </c>
      <c r="B27" s="178">
        <f t="shared" si="0"/>
        <v>0</v>
      </c>
      <c r="C27" s="182">
        <f>IFERROR(B27-B26,"")</f>
        <v>0</v>
      </c>
      <c r="D27" s="183"/>
      <c r="E27" s="179">
        <f t="shared" ref="E27:E72" si="6">IFERROR(IF($F$17="Y",$E$17,1-$Y86)*(SUMIF($G$3:$G$14,"Y",$E$3:$E$14))*(B86-B138),0)</f>
        <v>-4.8591834628996374E-3</v>
      </c>
      <c r="F27" s="183">
        <f>IFERROR(E27-E26,"")</f>
        <v>4.7078309116841376E-5</v>
      </c>
      <c r="G27" s="247">
        <f t="shared" si="1"/>
        <v>0.6130000000000001</v>
      </c>
      <c r="H27" s="246"/>
      <c r="J27" s="182"/>
      <c r="K27" s="182"/>
      <c r="L27" s="182"/>
      <c r="M27" s="182"/>
      <c r="N27" s="163"/>
      <c r="O27" s="259">
        <f>IF($O$24="Y",IFERROR(E27*($E$6/SUMIF($G$3:$G$14,"Y",$E$3:$E$14))*$O$16*'Emissions Factors'!B12,""),"")</f>
        <v>-1.6924233650116458E-4</v>
      </c>
      <c r="P27" s="259">
        <f>IF($P$24="Y",IFERROR($E27*(SUM($E$3,$E$4,$E$5)/SUMIF($G$3:$G$14,"Y",$E$3:$E$14))*('Emissions Factors'!$T$143*$P$16)/10^6,""),"")</f>
        <v>-1.3339108356289456E-3</v>
      </c>
      <c r="Q27" s="259"/>
      <c r="R27" s="258"/>
      <c r="T27" s="180" t="str">
        <f t="shared" si="2"/>
        <v/>
      </c>
      <c r="U27" s="180" t="str">
        <f t="shared" si="3"/>
        <v/>
      </c>
      <c r="V27" s="177"/>
      <c r="X27" s="180">
        <f t="shared" si="4"/>
        <v>-1.5031531721301102E-3</v>
      </c>
      <c r="Y27" s="180">
        <f t="shared" si="5"/>
        <v>0</v>
      </c>
    </row>
    <row r="28" spans="1:26" ht="15.6" x14ac:dyDescent="0.3">
      <c r="A28" s="152">
        <v>2016</v>
      </c>
      <c r="B28" s="178">
        <f t="shared" si="0"/>
        <v>-2.464614841290313E-3</v>
      </c>
      <c r="C28" s="182">
        <f t="shared" ref="C28:C72" si="7">IFERROR(B28-B27,"")</f>
        <v>-2.464614841290313E-3</v>
      </c>
      <c r="D28" s="183"/>
      <c r="E28" s="179">
        <f t="shared" si="6"/>
        <v>0</v>
      </c>
      <c r="F28" s="183">
        <f t="shared" ref="F28:F72" si="8">IFERROR(E28-E27,"")</f>
        <v>4.8591834628996374E-3</v>
      </c>
      <c r="G28" s="247">
        <f t="shared" si="1"/>
        <v>0</v>
      </c>
      <c r="H28" s="246"/>
      <c r="J28" s="182"/>
      <c r="K28" s="182"/>
      <c r="L28" s="182"/>
      <c r="M28" s="182"/>
      <c r="N28" s="163"/>
      <c r="O28" s="259">
        <f>IF($O$24="Y",IFERROR(E28*($E$6/SUMIF($G$3:$G$14,"Y",$E$3:$E$14))*$O$16*'Emissions Factors'!B13,""),"")</f>
        <v>0</v>
      </c>
      <c r="P28" s="259">
        <f>IF($P$24="Y",IFERROR($E28*(SUM($E$3,$E$4,$E$5)/SUMIF($G$3:$G$14,"Y",$E$3:$E$14))*('Emissions Factors'!$T$143*$P$16)/10^6,""),"")</f>
        <v>0</v>
      </c>
      <c r="Q28" s="259"/>
      <c r="R28" s="258"/>
      <c r="T28" s="180" t="str">
        <f t="shared" si="2"/>
        <v/>
      </c>
      <c r="U28" s="180" t="str">
        <f t="shared" si="3"/>
        <v/>
      </c>
      <c r="V28" s="177"/>
      <c r="X28" s="180">
        <f t="shared" si="4"/>
        <v>0</v>
      </c>
      <c r="Y28" s="180">
        <f t="shared" si="5"/>
        <v>0</v>
      </c>
    </row>
    <row r="29" spans="1:26" ht="15.6" x14ac:dyDescent="0.3">
      <c r="A29" s="152">
        <v>2017</v>
      </c>
      <c r="B29" s="178">
        <f t="shared" si="0"/>
        <v>-2.4161482970048382E-3</v>
      </c>
      <c r="C29" s="182">
        <f>IFERROR(B29-B28,"")</f>
        <v>4.8466544285474811E-5</v>
      </c>
      <c r="D29" s="183"/>
      <c r="E29" s="179">
        <f t="shared" si="6"/>
        <v>0</v>
      </c>
      <c r="F29" s="183">
        <f>IFERROR(E29-E28,"")</f>
        <v>0</v>
      </c>
      <c r="G29" s="247">
        <f t="shared" si="1"/>
        <v>0</v>
      </c>
      <c r="H29" s="246"/>
      <c r="J29" s="182"/>
      <c r="K29" s="182"/>
      <c r="L29" s="182"/>
      <c r="M29" s="182"/>
      <c r="N29" s="163"/>
      <c r="O29" s="259">
        <f>IF($O$24="Y",IFERROR(E29*($E$6/SUMIF($G$3:$G$14,"Y",$E$3:$E$14))*$O$16*'Emissions Factors'!B14,""),"")</f>
        <v>0</v>
      </c>
      <c r="P29" s="259">
        <f>IF($P$24="Y",IFERROR($E29*(SUM($E$3,$E$4,$E$5)/SUMIF($G$3:$G$14,"Y",$E$3:$E$14))*('Emissions Factors'!$T$143*$P$16)/10^6,""),"")</f>
        <v>0</v>
      </c>
      <c r="Q29" s="259"/>
      <c r="R29" s="258"/>
      <c r="T29" s="180" t="str">
        <f t="shared" si="2"/>
        <v/>
      </c>
      <c r="U29" s="180" t="str">
        <f t="shared" si="3"/>
        <v/>
      </c>
      <c r="V29" s="177"/>
      <c r="X29" s="180">
        <f t="shared" si="4"/>
        <v>0</v>
      </c>
      <c r="Y29" s="180">
        <f t="shared" si="5"/>
        <v>0</v>
      </c>
    </row>
    <row r="30" spans="1:26" ht="15.6" x14ac:dyDescent="0.3">
      <c r="A30" s="152">
        <v>2018</v>
      </c>
      <c r="B30" s="178">
        <f t="shared" si="0"/>
        <v>-2.3602674985559132E-3</v>
      </c>
      <c r="C30" s="182">
        <f t="shared" si="7"/>
        <v>5.5880798448924938E-5</v>
      </c>
      <c r="D30" s="183"/>
      <c r="E30" s="179">
        <f t="shared" si="6"/>
        <v>0</v>
      </c>
      <c r="F30" s="183">
        <f t="shared" si="8"/>
        <v>0</v>
      </c>
      <c r="G30" s="247">
        <f t="shared" si="1"/>
        <v>0</v>
      </c>
      <c r="H30" s="246"/>
      <c r="J30" s="182"/>
      <c r="K30" s="182"/>
      <c r="L30" s="182"/>
      <c r="M30" s="182"/>
      <c r="N30" s="163"/>
      <c r="O30" s="259">
        <f>IF($O$24="Y",IFERROR(E30*($E$6/SUMIF($G$3:$G$14,"Y",$E$3:$E$14))*$O$16*'Emissions Factors'!B15,""),"")</f>
        <v>0</v>
      </c>
      <c r="P30" s="259">
        <f>IF($P$24="Y",IFERROR($E30*(SUM($E$3,$E$4,$E$5)/SUMIF($G$3:$G$14,"Y",$E$3:$E$14))*('Emissions Factors'!$T$143*$P$16)/10^6,""),"")</f>
        <v>0</v>
      </c>
      <c r="Q30" s="259"/>
      <c r="R30" s="258"/>
      <c r="T30" s="180" t="str">
        <f t="shared" si="2"/>
        <v/>
      </c>
      <c r="U30" s="180" t="str">
        <f t="shared" si="3"/>
        <v/>
      </c>
      <c r="V30" s="177"/>
      <c r="X30" s="180">
        <f t="shared" si="4"/>
        <v>0</v>
      </c>
      <c r="Y30" s="180">
        <f t="shared" si="5"/>
        <v>0</v>
      </c>
    </row>
    <row r="31" spans="1:26" ht="15.6" x14ac:dyDescent="0.3">
      <c r="A31" s="152">
        <v>2019</v>
      </c>
      <c r="B31" s="178">
        <f t="shared" si="0"/>
        <v>-2.3094508993381168E-3</v>
      </c>
      <c r="C31" s="182">
        <f t="shared" si="7"/>
        <v>5.0816599217796445E-5</v>
      </c>
      <c r="D31" s="183"/>
      <c r="E31" s="179">
        <f t="shared" si="6"/>
        <v>0</v>
      </c>
      <c r="F31" s="183">
        <f t="shared" si="8"/>
        <v>0</v>
      </c>
      <c r="G31" s="247">
        <f t="shared" si="1"/>
        <v>0</v>
      </c>
      <c r="H31" s="246"/>
      <c r="J31" s="182"/>
      <c r="K31" s="182"/>
      <c r="L31" s="182"/>
      <c r="M31" s="182"/>
      <c r="N31" s="163"/>
      <c r="O31" s="259">
        <f>IF($O$24="Y",IFERROR(E31*($E$6/SUMIF($G$3:$G$14,"Y",$E$3:$E$14))*$O$16*'Emissions Factors'!B16,""),"")</f>
        <v>0</v>
      </c>
      <c r="P31" s="259">
        <f>IF($P$24="Y",IFERROR($E31*(SUM($E$3,$E$4,$E$5)/SUMIF($G$3:$G$14,"Y",$E$3:$E$14))*('Emissions Factors'!$T$143*$P$16)/10^6,""),"")</f>
        <v>0</v>
      </c>
      <c r="Q31" s="259"/>
      <c r="R31" s="258"/>
      <c r="T31" s="180" t="str">
        <f t="shared" si="2"/>
        <v/>
      </c>
      <c r="U31" s="180" t="str">
        <f t="shared" si="3"/>
        <v/>
      </c>
      <c r="V31" s="177"/>
      <c r="X31" s="180">
        <f t="shared" si="4"/>
        <v>0</v>
      </c>
      <c r="Y31" s="180">
        <f t="shared" si="5"/>
        <v>0</v>
      </c>
    </row>
    <row r="32" spans="1:26" ht="15.6" x14ac:dyDescent="0.3">
      <c r="A32" s="152">
        <v>2020</v>
      </c>
      <c r="B32" s="178">
        <f t="shared" si="0"/>
        <v>-2.2641438114987976E-3</v>
      </c>
      <c r="C32" s="182">
        <f t="shared" si="7"/>
        <v>4.5307087839319225E-5</v>
      </c>
      <c r="D32" s="183"/>
      <c r="E32" s="179">
        <f t="shared" si="6"/>
        <v>0</v>
      </c>
      <c r="F32" s="183">
        <f t="shared" si="8"/>
        <v>0</v>
      </c>
      <c r="G32" s="247">
        <f t="shared" si="1"/>
        <v>0</v>
      </c>
      <c r="H32" s="246"/>
      <c r="J32" s="182"/>
      <c r="K32" s="182"/>
      <c r="L32" s="182"/>
      <c r="M32" s="182"/>
      <c r="N32" s="163"/>
      <c r="O32" s="259">
        <f>IF($O$24="Y",IFERROR(E32*($E$6/SUMIF($G$3:$G$14,"Y",$E$3:$E$14))*$O$16*'Emissions Factors'!B17,""),"")</f>
        <v>0</v>
      </c>
      <c r="P32" s="259">
        <f>IF($P$24="Y",IFERROR($E32*(SUM($E$3,$E$4,$E$5)/SUMIF($G$3:$G$14,"Y",$E$3:$E$14))*('Emissions Factors'!$T$143*$P$16)/10^6,""),"")</f>
        <v>0</v>
      </c>
      <c r="Q32" s="259"/>
      <c r="R32" s="258"/>
      <c r="T32" s="180">
        <f t="shared" si="2"/>
        <v>0</v>
      </c>
      <c r="U32" s="180">
        <f t="shared" si="3"/>
        <v>0</v>
      </c>
      <c r="V32" s="177"/>
      <c r="X32" s="180">
        <f t="shared" si="4"/>
        <v>0</v>
      </c>
      <c r="Y32" s="180">
        <f t="shared" si="5"/>
        <v>0</v>
      </c>
    </row>
    <row r="33" spans="1:25" ht="15.6" x14ac:dyDescent="0.3">
      <c r="A33" s="152">
        <v>2021</v>
      </c>
      <c r="B33" s="178">
        <f t="shared" si="0"/>
        <v>0.39654078560667788</v>
      </c>
      <c r="C33" s="182">
        <f t="shared" si="7"/>
        <v>0.39880492941817669</v>
      </c>
      <c r="D33" s="183"/>
      <c r="E33" s="179">
        <f t="shared" si="6"/>
        <v>3.1084954465002768</v>
      </c>
      <c r="F33" s="183">
        <f t="shared" si="8"/>
        <v>3.1084954465002768</v>
      </c>
      <c r="G33" s="247">
        <f t="shared" si="1"/>
        <v>0.49139717272119376</v>
      </c>
      <c r="H33" s="246"/>
      <c r="J33" s="182"/>
      <c r="K33" s="182"/>
      <c r="L33" s="182"/>
      <c r="M33" s="182"/>
      <c r="N33" s="163"/>
      <c r="O33" s="259">
        <f>IF($O$24="Y",IFERROR(E33*($E$6/SUMIF($G$3:$G$14,"Y",$E$3:$E$14))*$O$16*'Emissions Factors'!B18,""),"")</f>
        <v>0.10335895639331193</v>
      </c>
      <c r="P33" s="259">
        <f>IF($P$24="Y",IFERROR($E33*(SUM($E$3,$E$4,$E$5)/SUMIF($G$3:$G$14,"Y",$E$3:$E$14))*('Emissions Factors'!$T$143*$P$16)/10^6,""),"")</f>
        <v>0.85332356562549461</v>
      </c>
      <c r="Q33" s="259"/>
      <c r="R33" s="258"/>
      <c r="T33" s="180">
        <f t="shared" si="2"/>
        <v>0.95668252201880655</v>
      </c>
      <c r="U33" s="180">
        <f t="shared" si="3"/>
        <v>0</v>
      </c>
      <c r="V33" s="177"/>
      <c r="X33" s="180">
        <f t="shared" si="4"/>
        <v>0.95668252201880655</v>
      </c>
      <c r="Y33" s="180">
        <f t="shared" si="5"/>
        <v>0</v>
      </c>
    </row>
    <row r="34" spans="1:25" ht="15.6" x14ac:dyDescent="0.3">
      <c r="A34" s="152">
        <v>2022</v>
      </c>
      <c r="B34" s="178">
        <f t="shared" si="0"/>
        <v>0.9512560151529833</v>
      </c>
      <c r="C34" s="182">
        <f t="shared" si="7"/>
        <v>0.55471522954630537</v>
      </c>
      <c r="D34" s="183"/>
      <c r="E34" s="179">
        <f t="shared" si="6"/>
        <v>6.8898045360079898</v>
      </c>
      <c r="F34" s="183">
        <f t="shared" si="8"/>
        <v>3.7813090895077131</v>
      </c>
      <c r="G34" s="247">
        <f t="shared" si="1"/>
        <v>0.48350220684252865</v>
      </c>
      <c r="H34" s="246"/>
      <c r="J34" s="182"/>
      <c r="K34" s="182"/>
      <c r="L34" s="182"/>
      <c r="M34" s="182"/>
      <c r="N34" s="163"/>
      <c r="O34" s="259">
        <f>IF($O$24="Y",IFERROR(E34*($E$6/SUMIF($G$3:$G$14,"Y",$E$3:$E$14))*$O$16*'Emissions Factors'!B19,""),"")</f>
        <v>0.22772722673311116</v>
      </c>
      <c r="P34" s="259">
        <f>IF($P$24="Y",IFERROR($E34*(SUM($E$3,$E$4,$E$5)/SUMIF($G$3:$G$14,"Y",$E$3:$E$14))*('Emissions Factors'!$T$143*$P$16)/10^6,""),"")</f>
        <v>1.8913434728521872</v>
      </c>
      <c r="Q34" s="259"/>
      <c r="R34" s="258"/>
      <c r="T34" s="180">
        <f t="shared" si="2"/>
        <v>2.1190706995852984</v>
      </c>
      <c r="U34" s="180">
        <f t="shared" si="3"/>
        <v>0</v>
      </c>
      <c r="V34" s="177"/>
      <c r="X34" s="180">
        <f t="shared" si="4"/>
        <v>2.1190706995852984</v>
      </c>
      <c r="Y34" s="180">
        <f t="shared" si="5"/>
        <v>0</v>
      </c>
    </row>
    <row r="35" spans="1:25" ht="15.6" x14ac:dyDescent="0.3">
      <c r="A35" s="152">
        <v>2023</v>
      </c>
      <c r="B35" s="178">
        <f t="shared" si="0"/>
        <v>1.6431585352547153</v>
      </c>
      <c r="C35" s="182">
        <f t="shared" si="7"/>
        <v>0.69190252010173203</v>
      </c>
      <c r="D35" s="183"/>
      <c r="E35" s="179">
        <f t="shared" si="6"/>
        <v>11.24041029619206</v>
      </c>
      <c r="F35" s="183">
        <f t="shared" si="8"/>
        <v>4.3506057601840702</v>
      </c>
      <c r="G35" s="247">
        <f t="shared" si="1"/>
        <v>0.47757173610522224</v>
      </c>
      <c r="H35" s="246"/>
      <c r="J35" s="182"/>
      <c r="K35" s="182"/>
      <c r="L35" s="182"/>
      <c r="M35" s="182"/>
      <c r="N35" s="163"/>
      <c r="O35" s="259">
        <f>IF($O$24="Y",IFERROR(E35*($E$6/SUMIF($G$3:$G$14,"Y",$E$3:$E$14))*$O$16*'Emissions Factors'!B20,""),"")</f>
        <v>0.36935817499709478</v>
      </c>
      <c r="P35" s="259">
        <f>IF($P$24="Y",IFERROR($E35*(SUM($E$3,$E$4,$E$5)/SUMIF($G$3:$G$14,"Y",$E$3:$E$14))*('Emissions Factors'!$T$143*$P$16)/10^6,""),"")</f>
        <v>3.0856429285875344</v>
      </c>
      <c r="Q35" s="259"/>
      <c r="R35" s="258"/>
      <c r="T35" s="180">
        <f t="shared" si="2"/>
        <v>3.4550011035846291</v>
      </c>
      <c r="U35" s="180">
        <f t="shared" si="3"/>
        <v>0</v>
      </c>
      <c r="V35" s="177"/>
      <c r="X35" s="180">
        <f t="shared" si="4"/>
        <v>3.4550011035846291</v>
      </c>
      <c r="Y35" s="180">
        <f t="shared" si="5"/>
        <v>0</v>
      </c>
    </row>
    <row r="36" spans="1:25" ht="15.6" x14ac:dyDescent="0.3">
      <c r="A36" s="152">
        <v>2024</v>
      </c>
      <c r="B36" s="178">
        <f t="shared" si="0"/>
        <v>2.4619292985578753</v>
      </c>
      <c r="C36" s="182">
        <f t="shared" si="7"/>
        <v>0.81877076330316001</v>
      </c>
      <c r="D36" s="183"/>
      <c r="E36" s="179">
        <f t="shared" si="6"/>
        <v>16.107298893552073</v>
      </c>
      <c r="F36" s="183">
        <f t="shared" si="8"/>
        <v>4.8668885973600133</v>
      </c>
      <c r="G36" s="247">
        <f t="shared" si="1"/>
        <v>0.47281102862904523</v>
      </c>
      <c r="H36" s="246"/>
      <c r="J36" s="182"/>
      <c r="K36" s="182"/>
      <c r="L36" s="182"/>
      <c r="M36" s="182"/>
      <c r="N36" s="163"/>
      <c r="O36" s="259">
        <f>IF($O$24="Y",IFERROR(E36*($E$6/SUMIF($G$3:$G$14,"Y",$E$3:$E$14))*$O$16*'Emissions Factors'!B21,""),"")</f>
        <v>0.52624523518428512</v>
      </c>
      <c r="P36" s="259">
        <f>IF($P$24="Y",IFERROR($E36*(SUM($E$3,$E$4,$E$5)/SUMIF($G$3:$G$14,"Y",$E$3:$E$14))*('Emissions Factors'!$T$143*$P$16)/10^6,""),"")</f>
        <v>4.4216689266558387</v>
      </c>
      <c r="Q36" s="259"/>
      <c r="R36" s="258"/>
      <c r="T36" s="180">
        <f t="shared" si="2"/>
        <v>4.9479141618401234</v>
      </c>
      <c r="U36" s="180">
        <f t="shared" si="3"/>
        <v>0</v>
      </c>
      <c r="V36" s="177"/>
      <c r="X36" s="180">
        <f t="shared" si="4"/>
        <v>4.9479141618401234</v>
      </c>
      <c r="Y36" s="180">
        <f t="shared" si="5"/>
        <v>0</v>
      </c>
    </row>
    <row r="37" spans="1:25" ht="15.6" x14ac:dyDescent="0.3">
      <c r="A37" s="152">
        <v>2025</v>
      </c>
      <c r="B37" s="178">
        <f t="shared" si="0"/>
        <v>3.4002160889171709</v>
      </c>
      <c r="C37" s="182">
        <f t="shared" si="7"/>
        <v>0.93828679035929552</v>
      </c>
      <c r="D37" s="183"/>
      <c r="E37" s="179">
        <f t="shared" si="6"/>
        <v>21.448430966842409</v>
      </c>
      <c r="F37" s="183">
        <f t="shared" si="8"/>
        <v>5.3411320732903356</v>
      </c>
      <c r="G37" s="247">
        <f t="shared" si="1"/>
        <v>0.46882368362236804</v>
      </c>
      <c r="H37" s="246"/>
      <c r="J37" s="182"/>
      <c r="K37" s="182"/>
      <c r="L37" s="182"/>
      <c r="M37" s="182"/>
      <c r="N37" s="163"/>
      <c r="O37" s="259">
        <f>IF($O$24="Y",IFERROR(E37*($E$6/SUMIF($G$3:$G$14,"Y",$E$3:$E$14))*$O$16*'Emissions Factors'!B22,""),"")</f>
        <v>0.69718216199724392</v>
      </c>
      <c r="P37" s="259">
        <f>IF($P$24="Y",IFERROR($E37*(SUM($E$3,$E$4,$E$5)/SUMIF($G$3:$G$14,"Y",$E$3:$E$14))*('Emissions Factors'!$T$143*$P$16)/10^6,""),"")</f>
        <v>5.8878811002616045</v>
      </c>
      <c r="Q37" s="259"/>
      <c r="R37" s="258"/>
      <c r="T37" s="180">
        <f t="shared" si="2"/>
        <v>6.5850632622588483</v>
      </c>
      <c r="U37" s="180">
        <f t="shared" si="3"/>
        <v>0</v>
      </c>
      <c r="V37" s="177"/>
      <c r="X37" s="180">
        <f t="shared" si="4"/>
        <v>6.5850632622588483</v>
      </c>
      <c r="Y37" s="180">
        <f t="shared" si="5"/>
        <v>0</v>
      </c>
    </row>
    <row r="38" spans="1:25" ht="15.6" x14ac:dyDescent="0.3">
      <c r="A38" s="152">
        <v>2026</v>
      </c>
      <c r="B38" s="178">
        <f t="shared" si="0"/>
        <v>4.4512607437947693</v>
      </c>
      <c r="C38" s="182">
        <f t="shared" si="7"/>
        <v>1.0510446548775985</v>
      </c>
      <c r="D38" s="183"/>
      <c r="E38" s="179">
        <f t="shared" si="6"/>
        <v>27.218497290999434</v>
      </c>
      <c r="F38" s="183">
        <f t="shared" si="8"/>
        <v>5.7700663241570247</v>
      </c>
      <c r="G38" s="247">
        <f t="shared" si="1"/>
        <v>0.4653658591406063</v>
      </c>
      <c r="H38" s="246"/>
      <c r="J38" s="182"/>
      <c r="K38" s="182"/>
      <c r="L38" s="182"/>
      <c r="M38" s="182"/>
      <c r="N38" s="163"/>
      <c r="O38" s="259">
        <f>IF($O$24="Y",IFERROR(E38*($E$6/SUMIF($G$3:$G$14,"Y",$E$3:$E$14))*$O$16*'Emissions Factors'!B23,""),"")</f>
        <v>0.87930227935642968</v>
      </c>
      <c r="P38" s="259">
        <f>IF($P$24="Y",IFERROR($E38*(SUM($E$3,$E$4,$E$5)/SUMIF($G$3:$G$14,"Y",$E$3:$E$14))*('Emissions Factors'!$T$143*$P$16)/10^6,""),"")</f>
        <v>7.4718414612679833</v>
      </c>
      <c r="Q38" s="259"/>
      <c r="R38" s="258"/>
      <c r="T38" s="180">
        <f t="shared" si="2"/>
        <v>8.3511437406244138</v>
      </c>
      <c r="U38" s="180">
        <f t="shared" si="3"/>
        <v>0</v>
      </c>
      <c r="V38" s="177"/>
      <c r="X38" s="180">
        <f t="shared" si="4"/>
        <v>8.3511437406244138</v>
      </c>
      <c r="Y38" s="180">
        <f t="shared" si="5"/>
        <v>0</v>
      </c>
    </row>
    <row r="39" spans="1:25" ht="15.6" x14ac:dyDescent="0.3">
      <c r="A39" s="152">
        <v>2027</v>
      </c>
      <c r="B39" s="178">
        <f t="shared" si="0"/>
        <v>5.6099293134410742</v>
      </c>
      <c r="C39" s="182">
        <f t="shared" si="7"/>
        <v>1.1586685696463048</v>
      </c>
      <c r="D39" s="183"/>
      <c r="E39" s="179">
        <f t="shared" si="6"/>
        <v>33.37278546292935</v>
      </c>
      <c r="F39" s="183">
        <f t="shared" si="8"/>
        <v>6.1542881719299167</v>
      </c>
      <c r="G39" s="247">
        <f t="shared" si="1"/>
        <v>0.46226101335262354</v>
      </c>
      <c r="H39" s="246"/>
      <c r="J39" s="182"/>
      <c r="K39" s="182"/>
      <c r="L39" s="182"/>
      <c r="M39" s="182"/>
      <c r="N39" s="163"/>
      <c r="O39" s="259">
        <f>IF($O$24="Y",IFERROR(E39*($E$6/SUMIF($G$3:$G$14,"Y",$E$3:$E$14))*$O$16*'Emissions Factors'!B24,""),"")</f>
        <v>1.0721770245661366</v>
      </c>
      <c r="P39" s="259">
        <f>IF($P$24="Y",IFERROR($E39*(SUM($E$3,$E$4,$E$5)/SUMIF($G$3:$G$14,"Y",$E$3:$E$14))*('Emissions Factors'!$T$143*$P$16)/10^6,""),"")</f>
        <v>9.1612758571493078</v>
      </c>
      <c r="Q39" s="259"/>
      <c r="R39" s="258"/>
      <c r="T39" s="180">
        <f t="shared" si="2"/>
        <v>10.233452881715444</v>
      </c>
      <c r="U39" s="180">
        <f t="shared" si="3"/>
        <v>0</v>
      </c>
      <c r="V39" s="177"/>
      <c r="X39" s="180">
        <f t="shared" si="4"/>
        <v>10.233452881715444</v>
      </c>
      <c r="Y39" s="180">
        <f t="shared" si="5"/>
        <v>0</v>
      </c>
    </row>
    <row r="40" spans="1:25" ht="15.6" x14ac:dyDescent="0.3">
      <c r="A40" s="152">
        <v>2028</v>
      </c>
      <c r="B40" s="178">
        <f t="shared" si="0"/>
        <v>6.8770109890800315</v>
      </c>
      <c r="C40" s="182">
        <f t="shared" si="7"/>
        <v>1.2670816756389573</v>
      </c>
      <c r="D40" s="183"/>
      <c r="E40" s="179">
        <f t="shared" si="6"/>
        <v>39.889717457887571</v>
      </c>
      <c r="F40" s="183">
        <f t="shared" si="8"/>
        <v>6.5169319949582203</v>
      </c>
      <c r="G40" s="247">
        <f t="shared" si="1"/>
        <v>0.45937033166034497</v>
      </c>
      <c r="H40" s="246"/>
      <c r="J40" s="182"/>
      <c r="K40" s="182"/>
      <c r="L40" s="182"/>
      <c r="M40" s="182"/>
      <c r="N40" s="163"/>
      <c r="O40" s="259">
        <f>IF($O$24="Y",IFERROR(E40*($E$6/SUMIF($G$3:$G$14,"Y",$E$3:$E$14))*$O$16*'Emissions Factors'!B25,""),"")</f>
        <v>1.2745590303069374</v>
      </c>
      <c r="P40" s="259">
        <f>IF($P$24="Y",IFERROR($E40*(SUM($E$3,$E$4,$E$5)/SUMIF($G$3:$G$14,"Y",$E$3:$E$14))*('Emissions Factors'!$T$143*$P$16)/10^6,""),"")</f>
        <v>10.950260831580449</v>
      </c>
      <c r="Q40" s="259"/>
      <c r="R40" s="258"/>
      <c r="T40" s="180">
        <f t="shared" si="2"/>
        <v>12.224819861887386</v>
      </c>
      <c r="U40" s="180">
        <f t="shared" si="3"/>
        <v>0</v>
      </c>
      <c r="V40" s="177"/>
      <c r="X40" s="180">
        <f t="shared" si="4"/>
        <v>12.224819861887386</v>
      </c>
      <c r="Y40" s="180">
        <f t="shared" si="5"/>
        <v>0</v>
      </c>
    </row>
    <row r="41" spans="1:25" ht="15.6" x14ac:dyDescent="0.3">
      <c r="A41" s="152">
        <v>2029</v>
      </c>
      <c r="B41" s="178">
        <f t="shared" si="0"/>
        <v>8.255959972880337</v>
      </c>
      <c r="C41" s="182">
        <f t="shared" si="7"/>
        <v>1.3789489838003055</v>
      </c>
      <c r="D41" s="183"/>
      <c r="E41" s="179">
        <f t="shared" si="6"/>
        <v>46.753446525516061</v>
      </c>
      <c r="F41" s="183">
        <f t="shared" si="8"/>
        <v>6.8637290676284906</v>
      </c>
      <c r="G41" s="247">
        <f t="shared" si="1"/>
        <v>0.45659289206617104</v>
      </c>
      <c r="H41" s="246"/>
      <c r="J41" s="182"/>
      <c r="K41" s="182"/>
      <c r="L41" s="182"/>
      <c r="M41" s="182"/>
      <c r="N41" s="163"/>
      <c r="O41" s="259">
        <f>IF($O$24="Y",IFERROR(E41*($E$6/SUMIF($G$3:$G$14,"Y",$E$3:$E$14))*$O$16*'Emissions Factors'!B26,""),"")</f>
        <v>1.4857941317042389</v>
      </c>
      <c r="P41" s="259">
        <f>IF($P$24="Y",IFERROR($E41*(SUM($E$3,$E$4,$E$5)/SUMIF($G$3:$G$14,"Y",$E$3:$E$14))*('Emissions Factors'!$T$143*$P$16)/10^6,""),"")</f>
        <v>12.834446239691703</v>
      </c>
      <c r="Q41" s="259"/>
      <c r="R41" s="258"/>
      <c r="T41" s="180">
        <f t="shared" si="2"/>
        <v>14.320240371395942</v>
      </c>
      <c r="U41" s="180">
        <f t="shared" si="3"/>
        <v>0</v>
      </c>
      <c r="V41" s="177"/>
      <c r="X41" s="180">
        <f t="shared" si="4"/>
        <v>14.320240371395942</v>
      </c>
      <c r="Y41" s="180">
        <f t="shared" si="5"/>
        <v>0</v>
      </c>
    </row>
    <row r="42" spans="1:25" ht="15.6" x14ac:dyDescent="0.3">
      <c r="A42" s="152">
        <v>2030</v>
      </c>
      <c r="B42" s="178">
        <f t="shared" si="0"/>
        <v>9.7504323085490494</v>
      </c>
      <c r="C42" s="182">
        <f t="shared" si="7"/>
        <v>1.4944723356687124</v>
      </c>
      <c r="D42" s="183"/>
      <c r="E42" s="179">
        <f t="shared" si="6"/>
        <v>53.950037695496938</v>
      </c>
      <c r="F42" s="183">
        <f t="shared" si="8"/>
        <v>7.1965911699808771</v>
      </c>
      <c r="G42" s="247">
        <f t="shared" si="1"/>
        <v>0.45387408947708835</v>
      </c>
      <c r="H42" s="246"/>
      <c r="J42" s="182"/>
      <c r="K42" s="182"/>
      <c r="L42" s="182"/>
      <c r="M42" s="182"/>
      <c r="N42" s="163"/>
      <c r="O42" s="259">
        <f>IF($O$24="Y",IFERROR(E42*($E$6/SUMIF($G$3:$G$14,"Y",$E$3:$E$14))*$O$16*'Emissions Factors'!B27,""),"")</f>
        <v>1.7056948660111313</v>
      </c>
      <c r="P42" s="259">
        <f>IF($P$24="Y",IFERROR($E42*(SUM($E$3,$E$4,$E$5)/SUMIF($G$3:$G$14,"Y",$E$3:$E$14))*('Emissions Factors'!$T$143*$P$16)/10^6,""),"")</f>
        <v>14.810006745797942</v>
      </c>
      <c r="Q42" s="259"/>
      <c r="R42" s="258"/>
      <c r="T42" s="180">
        <f t="shared" si="2"/>
        <v>16.515701611809074</v>
      </c>
      <c r="U42" s="180">
        <f t="shared" si="3"/>
        <v>0</v>
      </c>
      <c r="V42" s="177"/>
      <c r="X42" s="180">
        <f t="shared" si="4"/>
        <v>16.515701611809074</v>
      </c>
      <c r="Y42" s="180">
        <f t="shared" si="5"/>
        <v>0</v>
      </c>
    </row>
    <row r="43" spans="1:25" ht="15.6" x14ac:dyDescent="0.3">
      <c r="A43" s="152">
        <v>2031</v>
      </c>
      <c r="B43" s="178">
        <f t="shared" si="0"/>
        <v>11.360048465160666</v>
      </c>
      <c r="C43" s="182">
        <f t="shared" si="7"/>
        <v>1.6096161566116169</v>
      </c>
      <c r="D43" s="183"/>
      <c r="E43" s="179">
        <f t="shared" si="6"/>
        <v>61.458431224099357</v>
      </c>
      <c r="F43" s="183">
        <f t="shared" si="8"/>
        <v>7.5083935286024186</v>
      </c>
      <c r="G43" s="247">
        <f t="shared" si="1"/>
        <v>0.45121023391946513</v>
      </c>
      <c r="H43" s="246"/>
      <c r="J43" s="182"/>
      <c r="K43" s="182"/>
      <c r="L43" s="182"/>
      <c r="M43" s="182"/>
      <c r="N43" s="163"/>
      <c r="O43" s="259">
        <f>IF($O$24="Y",IFERROR(E43*($E$6/SUMIF($G$3:$G$14,"Y",$E$3:$E$14))*$O$16*'Emissions Factors'!B28,""),"")</f>
        <v>1.932265355704069</v>
      </c>
      <c r="P43" s="259">
        <f>IF($P$24="Y",IFERROR($E43*(SUM($E$3,$E$4,$E$5)/SUMIF($G$3:$G$14,"Y",$E$3:$E$14))*('Emissions Factors'!$T$143*$P$16)/10^6,""),"")</f>
        <v>16.871161168642562</v>
      </c>
      <c r="Q43" s="259"/>
      <c r="R43" s="258"/>
      <c r="T43" s="180">
        <f t="shared" si="2"/>
        <v>18.80342652434663</v>
      </c>
      <c r="U43" s="180">
        <f t="shared" si="3"/>
        <v>0</v>
      </c>
      <c r="V43" s="177"/>
      <c r="X43" s="180">
        <f t="shared" si="4"/>
        <v>18.80342652434663</v>
      </c>
      <c r="Y43" s="180">
        <f t="shared" si="5"/>
        <v>0</v>
      </c>
    </row>
    <row r="44" spans="1:25" ht="15.6" x14ac:dyDescent="0.3">
      <c r="A44" s="152">
        <v>2032</v>
      </c>
      <c r="B44" s="178">
        <f t="shared" si="0"/>
        <v>13.075486844052291</v>
      </c>
      <c r="C44" s="182">
        <f t="shared" si="7"/>
        <v>1.7154383788916245</v>
      </c>
      <c r="D44" s="183"/>
      <c r="E44" s="179">
        <f t="shared" si="6"/>
        <v>69.224094804297891</v>
      </c>
      <c r="F44" s="183">
        <f t="shared" si="8"/>
        <v>7.7656635801985345</v>
      </c>
      <c r="G44" s="247">
        <f t="shared" si="1"/>
        <v>0.44861899464499599</v>
      </c>
      <c r="H44" s="246"/>
      <c r="J44" s="182"/>
      <c r="K44" s="182"/>
      <c r="L44" s="182"/>
      <c r="M44" s="182"/>
      <c r="N44" s="163"/>
      <c r="O44" s="259">
        <f>IF($O$24="Y",IFERROR(E44*($E$6/SUMIF($G$3:$G$14,"Y",$E$3:$E$14))*$O$16*'Emissions Factors'!B29,""),"")</f>
        <v>2.1648595250697351</v>
      </c>
      <c r="P44" s="259">
        <f>IF($P$24="Y",IFERROR($E44*(SUM($E$3,$E$4,$E$5)/SUMIF($G$3:$G$14,"Y",$E$3:$E$14))*('Emissions Factors'!$T$143*$P$16)/10^6,""),"")</f>
        <v>19.002939660762824</v>
      </c>
      <c r="Q44" s="259"/>
      <c r="R44" s="258"/>
      <c r="T44" s="180">
        <f t="shared" si="2"/>
        <v>21.167799185832557</v>
      </c>
      <c r="U44" s="180">
        <f t="shared" si="3"/>
        <v>0</v>
      </c>
      <c r="V44" s="177"/>
      <c r="X44" s="180">
        <f t="shared" si="4"/>
        <v>21.167799185832557</v>
      </c>
      <c r="Y44" s="180">
        <f t="shared" si="5"/>
        <v>0</v>
      </c>
    </row>
    <row r="45" spans="1:25" ht="15.6" x14ac:dyDescent="0.3">
      <c r="A45" s="152">
        <v>2033</v>
      </c>
      <c r="B45" s="178">
        <f t="shared" si="0"/>
        <v>14.874564915723331</v>
      </c>
      <c r="C45" s="182">
        <f t="shared" si="7"/>
        <v>1.7990780716710404</v>
      </c>
      <c r="D45" s="183"/>
      <c r="E45" s="179">
        <f t="shared" si="6"/>
        <v>77.137586962017977</v>
      </c>
      <c r="F45" s="183">
        <f t="shared" si="8"/>
        <v>7.9134921577200856</v>
      </c>
      <c r="G45" s="247">
        <f t="shared" si="1"/>
        <v>0.44612027497915413</v>
      </c>
      <c r="H45" s="246"/>
      <c r="J45" s="182"/>
      <c r="K45" s="182"/>
      <c r="L45" s="182"/>
      <c r="M45" s="182"/>
      <c r="N45" s="163"/>
      <c r="O45" s="259">
        <f>IF($O$24="Y",IFERROR(E45*($E$6/SUMIF($G$3:$G$14,"Y",$E$3:$E$14))*$O$16*'Emissions Factors'!B30,""),"")</f>
        <v>2.3995642338643441</v>
      </c>
      <c r="P45" s="259">
        <f>IF($P$24="Y",IFERROR($E45*(SUM($E$3,$E$4,$E$5)/SUMIF($G$3:$G$14,"Y",$E$3:$E$14))*('Emissions Factors'!$T$143*$P$16)/10^6,""),"")</f>
        <v>21.175299074117518</v>
      </c>
      <c r="Q45" s="259"/>
      <c r="R45" s="258"/>
      <c r="T45" s="180">
        <f t="shared" si="2"/>
        <v>23.574863307981861</v>
      </c>
      <c r="U45" s="180">
        <f t="shared" si="3"/>
        <v>0</v>
      </c>
      <c r="V45" s="177"/>
      <c r="X45" s="180">
        <f t="shared" si="4"/>
        <v>23.574863307981861</v>
      </c>
      <c r="Y45" s="180">
        <f t="shared" si="5"/>
        <v>0</v>
      </c>
    </row>
    <row r="46" spans="1:25" ht="15.6" x14ac:dyDescent="0.3">
      <c r="A46" s="152">
        <v>2034</v>
      </c>
      <c r="B46" s="178">
        <f t="shared" si="0"/>
        <v>16.728279952780152</v>
      </c>
      <c r="C46" s="182">
        <f t="shared" si="7"/>
        <v>1.8537150370568209</v>
      </c>
      <c r="D46" s="183"/>
      <c r="E46" s="179">
        <f t="shared" si="6"/>
        <v>85.064347813604329</v>
      </c>
      <c r="F46" s="183">
        <f t="shared" si="8"/>
        <v>7.9267608515863515</v>
      </c>
      <c r="G46" s="247">
        <f t="shared" si="1"/>
        <v>0.4437255138297056</v>
      </c>
      <c r="H46" s="246"/>
      <c r="J46" s="182"/>
      <c r="K46" s="182"/>
      <c r="L46" s="182"/>
      <c r="M46" s="182"/>
      <c r="N46" s="163"/>
      <c r="O46" s="259">
        <f>IF($O$24="Y",IFERROR(E46*($E$6/SUMIF($G$3:$G$14,"Y",$E$3:$E$14))*$O$16*'Emissions Factors'!B31,""),"")</f>
        <v>2.6321537516753906</v>
      </c>
      <c r="P46" s="259">
        <f>IF($P$24="Y",IFERROR($E46*(SUM($E$3,$E$4,$E$5)/SUMIF($G$3:$G$14,"Y",$E$3:$E$14))*('Emissions Factors'!$T$143*$P$16)/10^6,""),"")</f>
        <v>23.351300921362192</v>
      </c>
      <c r="Q46" s="259"/>
      <c r="R46" s="258"/>
      <c r="T46" s="180">
        <f t="shared" si="2"/>
        <v>25.983454673037581</v>
      </c>
      <c r="U46" s="180">
        <f t="shared" si="3"/>
        <v>0</v>
      </c>
      <c r="V46" s="177"/>
      <c r="X46" s="180">
        <f t="shared" si="4"/>
        <v>25.983454673037581</v>
      </c>
      <c r="Y46" s="180">
        <f t="shared" si="5"/>
        <v>0</v>
      </c>
    </row>
    <row r="47" spans="1:25" ht="15.6" x14ac:dyDescent="0.3">
      <c r="A47" s="152">
        <v>2035</v>
      </c>
      <c r="B47" s="178">
        <f t="shared" si="0"/>
        <v>18.615965509284869</v>
      </c>
      <c r="C47" s="182">
        <f t="shared" si="7"/>
        <v>1.8876855565047173</v>
      </c>
      <c r="D47" s="183"/>
      <c r="E47" s="179">
        <f t="shared" si="6"/>
        <v>92.907090998180053</v>
      </c>
      <c r="F47" s="183">
        <f t="shared" si="8"/>
        <v>7.8427431845757241</v>
      </c>
      <c r="G47" s="247">
        <f t="shared" si="1"/>
        <v>0.44142129776842998</v>
      </c>
      <c r="H47" s="246"/>
      <c r="J47" s="182"/>
      <c r="K47" s="182"/>
      <c r="L47" s="182"/>
      <c r="M47" s="182"/>
      <c r="N47" s="163"/>
      <c r="O47" s="259">
        <f>IF($O$24="Y",IFERROR(E47*($E$6/SUMIF($G$3:$G$14,"Y",$E$3:$E$14))*$O$16*'Emissions Factors'!B32,""),"")</f>
        <v>2.8592134178771174</v>
      </c>
      <c r="P47" s="259">
        <f>IF($P$24="Y",IFERROR($E47*(SUM($E$3,$E$4,$E$5)/SUMIF($G$3:$G$14,"Y",$E$3:$E$14))*('Emissions Factors'!$T$143*$P$16)/10^6,""),"")</f>
        <v>25.504238795561712</v>
      </c>
      <c r="Q47" s="259"/>
      <c r="R47" s="258"/>
      <c r="T47" s="180">
        <f t="shared" si="2"/>
        <v>28.36345221343883</v>
      </c>
      <c r="U47" s="180">
        <f t="shared" si="3"/>
        <v>0</v>
      </c>
      <c r="V47" s="177"/>
      <c r="X47" s="180">
        <f t="shared" si="4"/>
        <v>28.36345221343883</v>
      </c>
      <c r="Y47" s="180">
        <f t="shared" si="5"/>
        <v>0</v>
      </c>
    </row>
    <row r="48" spans="1:25" ht="15.6" x14ac:dyDescent="0.3">
      <c r="A48" s="152">
        <v>2036</v>
      </c>
      <c r="B48" s="178">
        <f t="shared" si="0"/>
        <v>20.530211365909171</v>
      </c>
      <c r="C48" s="182">
        <f t="shared" si="7"/>
        <v>1.9142458566243015</v>
      </c>
      <c r="D48" s="183"/>
      <c r="E48" s="179">
        <f t="shared" si="6"/>
        <v>100.62174073882991</v>
      </c>
      <c r="F48" s="183">
        <f t="shared" si="8"/>
        <v>7.7146497406498611</v>
      </c>
      <c r="G48" s="247">
        <f t="shared" si="1"/>
        <v>0.43917489730067505</v>
      </c>
      <c r="H48" s="246"/>
      <c r="J48" s="182"/>
      <c r="K48" s="182"/>
      <c r="L48" s="182"/>
      <c r="M48" s="182"/>
      <c r="N48" s="163"/>
      <c r="O48" s="259">
        <f>IF($O$24="Y",IFERROR(E48*($E$6/SUMIF($G$3:$G$14,"Y",$E$3:$E$14))*$O$16*'Emissions Factors'!B33,""),"")</f>
        <v>3.0805914367544602</v>
      </c>
      <c r="P48" s="259">
        <f>IF($P$24="Y",IFERROR($E48*(SUM($E$3,$E$4,$E$5)/SUMIF($G$3:$G$14,"Y",$E$3:$E$14))*('Emissions Factors'!$T$143*$P$16)/10^6,""),"")</f>
        <v>27.622013306589153</v>
      </c>
      <c r="Q48" s="259"/>
      <c r="R48" s="258"/>
      <c r="T48" s="180">
        <f t="shared" si="2"/>
        <v>30.702604743343613</v>
      </c>
      <c r="U48" s="180">
        <f t="shared" si="3"/>
        <v>0</v>
      </c>
      <c r="V48" s="177"/>
      <c r="X48" s="180">
        <f t="shared" si="4"/>
        <v>30.702604743343613</v>
      </c>
      <c r="Y48" s="180">
        <f t="shared" si="5"/>
        <v>0</v>
      </c>
    </row>
    <row r="49" spans="1:25" ht="15.6" x14ac:dyDescent="0.3">
      <c r="A49" s="152">
        <v>2037</v>
      </c>
      <c r="B49" s="178">
        <f t="shared" si="0"/>
        <v>22.47738724126588</v>
      </c>
      <c r="C49" s="182">
        <f t="shared" si="7"/>
        <v>1.9471758753567094</v>
      </c>
      <c r="D49" s="183"/>
      <c r="E49" s="179">
        <f t="shared" si="6"/>
        <v>108.22240665915096</v>
      </c>
      <c r="F49" s="183">
        <f t="shared" si="8"/>
        <v>7.6006659203210489</v>
      </c>
      <c r="G49" s="247">
        <f t="shared" si="1"/>
        <v>0.43695065121151344</v>
      </c>
      <c r="H49" s="246"/>
      <c r="J49" s="182"/>
      <c r="K49" s="182"/>
      <c r="L49" s="182"/>
      <c r="M49" s="182"/>
      <c r="N49" s="163"/>
      <c r="O49" s="259">
        <f>IF($O$24="Y",IFERROR(E49*($E$6/SUMIF($G$3:$G$14,"Y",$E$3:$E$14))*$O$16*'Emissions Factors'!B34,""),"")</f>
        <v>3.2956234137822791</v>
      </c>
      <c r="P49" s="259">
        <f>IF($P$24="Y",IFERROR($E49*(SUM($E$3,$E$4,$E$5)/SUMIF($G$3:$G$14,"Y",$E$3:$E$14))*('Emissions Factors'!$T$143*$P$16)/10^6,""),"")</f>
        <v>29.70849773479015</v>
      </c>
      <c r="Q49" s="259"/>
      <c r="R49" s="258"/>
      <c r="T49" s="180">
        <f t="shared" si="2"/>
        <v>33.00412114857243</v>
      </c>
      <c r="U49" s="180">
        <f t="shared" si="3"/>
        <v>0</v>
      </c>
      <c r="V49" s="177"/>
      <c r="X49" s="180">
        <f t="shared" si="4"/>
        <v>33.00412114857243</v>
      </c>
      <c r="Y49" s="180">
        <f t="shared" si="5"/>
        <v>0</v>
      </c>
    </row>
    <row r="50" spans="1:25" ht="15.6" x14ac:dyDescent="0.3">
      <c r="A50" s="152">
        <v>2038</v>
      </c>
      <c r="B50" s="178">
        <f t="shared" si="0"/>
        <v>24.468263647599873</v>
      </c>
      <c r="C50" s="182">
        <f t="shared" si="7"/>
        <v>1.9908764063339923</v>
      </c>
      <c r="D50" s="183"/>
      <c r="E50" s="179">
        <f t="shared" si="6"/>
        <v>115.74579199712743</v>
      </c>
      <c r="F50" s="183">
        <f t="shared" si="8"/>
        <v>7.5233853379764639</v>
      </c>
      <c r="G50" s="247">
        <f t="shared" si="1"/>
        <v>0.4347263090168596</v>
      </c>
      <c r="H50" s="246"/>
      <c r="J50" s="182"/>
      <c r="K50" s="182"/>
      <c r="L50" s="182"/>
      <c r="M50" s="182"/>
      <c r="N50" s="163"/>
      <c r="O50" s="259">
        <f>IF($O$24="Y",IFERROR(E50*($E$6/SUMIF($G$3:$G$14,"Y",$E$3:$E$14))*$O$16*'Emissions Factors'!B35,""),"")</f>
        <v>3.5058513185808597</v>
      </c>
      <c r="P50" s="259">
        <f>IF($P$24="Y",IFERROR($E50*(SUM($E$3,$E$4,$E$5)/SUMIF($G$3:$G$14,"Y",$E$3:$E$14))*('Emissions Factors'!$T$143*$P$16)/10^6,""),"")</f>
        <v>31.773767609772442</v>
      </c>
      <c r="Q50" s="259"/>
      <c r="R50" s="258"/>
      <c r="T50" s="180">
        <f t="shared" si="2"/>
        <v>35.279618928353301</v>
      </c>
      <c r="U50" s="180">
        <f t="shared" si="3"/>
        <v>0</v>
      </c>
      <c r="V50" s="177"/>
      <c r="X50" s="180">
        <f t="shared" si="4"/>
        <v>35.279618928353301</v>
      </c>
      <c r="Y50" s="180">
        <f t="shared" si="5"/>
        <v>0</v>
      </c>
    </row>
    <row r="51" spans="1:25" ht="15.6" x14ac:dyDescent="0.3">
      <c r="A51" s="152">
        <v>2039</v>
      </c>
      <c r="B51" s="178">
        <f t="shared" si="0"/>
        <v>26.520379511925942</v>
      </c>
      <c r="C51" s="182">
        <f t="shared" si="7"/>
        <v>2.0521158643260691</v>
      </c>
      <c r="D51" s="183"/>
      <c r="E51" s="179">
        <f t="shared" si="6"/>
        <v>123.25658158420951</v>
      </c>
      <c r="F51" s="183">
        <f t="shared" si="8"/>
        <v>7.5107895870820869</v>
      </c>
      <c r="G51" s="247">
        <f t="shared" si="1"/>
        <v>0.43248477673354435</v>
      </c>
      <c r="H51" s="246"/>
      <c r="J51" s="182"/>
      <c r="K51" s="182"/>
      <c r="L51" s="182"/>
      <c r="M51" s="182"/>
      <c r="N51" s="163"/>
      <c r="O51" s="259">
        <f>IF($O$24="Y",IFERROR(E51*($E$6/SUMIF($G$3:$G$14,"Y",$E$3:$E$14))*$O$16*'Emissions Factors'!B36,""),"")</f>
        <v>3.7131461712038911</v>
      </c>
      <c r="P51" s="259">
        <f>IF($P$24="Y",IFERROR($E51*(SUM($E$3,$E$4,$E$5)/SUMIF($G$3:$G$14,"Y",$E$3:$E$14))*('Emissions Factors'!$T$143*$P$16)/10^6,""),"")</f>
        <v>33.835579782708862</v>
      </c>
      <c r="Q51" s="259"/>
      <c r="R51" s="258"/>
      <c r="T51" s="180">
        <f t="shared" si="2"/>
        <v>37.548725953912751</v>
      </c>
      <c r="U51" s="180">
        <f t="shared" si="3"/>
        <v>0</v>
      </c>
      <c r="V51" s="177"/>
      <c r="X51" s="180">
        <f t="shared" si="4"/>
        <v>37.548725953912751</v>
      </c>
      <c r="Y51" s="180">
        <f t="shared" si="5"/>
        <v>0</v>
      </c>
    </row>
    <row r="52" spans="1:25" ht="15.6" x14ac:dyDescent="0.3">
      <c r="A52" s="152">
        <v>2040</v>
      </c>
      <c r="B52" s="178">
        <f t="shared" si="0"/>
        <v>28.64901128551578</v>
      </c>
      <c r="C52" s="182">
        <f t="shared" si="7"/>
        <v>2.1286317735898379</v>
      </c>
      <c r="D52" s="183"/>
      <c r="E52" s="179">
        <f t="shared" si="6"/>
        <v>130.80587987443437</v>
      </c>
      <c r="F52" s="183">
        <f t="shared" si="8"/>
        <v>7.5492982902248542</v>
      </c>
      <c r="G52" s="247">
        <f t="shared" si="1"/>
        <v>0.43021477568631555</v>
      </c>
      <c r="H52" s="246"/>
      <c r="J52" s="182"/>
      <c r="K52" s="182"/>
      <c r="L52" s="182"/>
      <c r="M52" s="182"/>
      <c r="N52" s="163"/>
      <c r="O52" s="259">
        <f>IF($O$24="Y",IFERROR(E52*($E$6/SUMIF($G$3:$G$14,"Y",$E$3:$E$14))*$O$16*'Emissions Factors'!B37,""),"")</f>
        <v>3.9175612571939094</v>
      </c>
      <c r="P52" s="259">
        <f>IF($P$24="Y",IFERROR($E52*(SUM($E$3,$E$4,$E$5)/SUMIF($G$3:$G$14,"Y",$E$3:$E$14))*('Emissions Factors'!$T$143*$P$16)/10^6,""),"")</f>
        <v>35.90796310958099</v>
      </c>
      <c r="Q52" s="259"/>
      <c r="R52" s="258"/>
      <c r="T52" s="180">
        <f t="shared" si="2"/>
        <v>39.8255243667749</v>
      </c>
      <c r="U52" s="180">
        <f t="shared" si="3"/>
        <v>0</v>
      </c>
      <c r="V52" s="177"/>
      <c r="X52" s="180">
        <f t="shared" si="4"/>
        <v>39.8255243667749</v>
      </c>
      <c r="Y52" s="180">
        <f t="shared" si="5"/>
        <v>0</v>
      </c>
    </row>
    <row r="53" spans="1:25" ht="15.6" x14ac:dyDescent="0.3">
      <c r="A53" s="152">
        <v>2041</v>
      </c>
      <c r="B53" s="178">
        <f t="shared" si="0"/>
        <v>30.85871434602603</v>
      </c>
      <c r="C53" s="182">
        <f t="shared" si="7"/>
        <v>2.2097030605102503</v>
      </c>
      <c r="D53" s="183"/>
      <c r="E53" s="179">
        <f t="shared" si="6"/>
        <v>138.40077254505067</v>
      </c>
      <c r="F53" s="183">
        <f t="shared" si="8"/>
        <v>7.5948926706163036</v>
      </c>
      <c r="G53" s="247">
        <f t="shared" si="1"/>
        <v>0.42791529960182056</v>
      </c>
      <c r="H53" s="246"/>
      <c r="J53" s="182"/>
      <c r="K53" s="182"/>
      <c r="L53" s="182"/>
      <c r="M53" s="182"/>
      <c r="N53" s="163"/>
      <c r="O53" s="259">
        <f>IF($O$24="Y",IFERROR(E53*($E$6/SUMIF($G$3:$G$14,"Y",$E$3:$E$14))*$O$16*'Emissions Factors'!B38,""),"")</f>
        <v>4.1239808244173162</v>
      </c>
      <c r="P53" s="259">
        <f>IF($P$24="Y",IFERROR($E53*(SUM($E$3,$E$4,$E$5)/SUMIF($G$3:$G$14,"Y",$E$3:$E$14))*('Emissions Factors'!$T$143*$P$16)/10^6,""),"")</f>
        <v>37.992862703540453</v>
      </c>
      <c r="Q53" s="259"/>
      <c r="R53" s="258"/>
      <c r="T53" s="180">
        <f t="shared" si="2"/>
        <v>42.116843527957769</v>
      </c>
      <c r="U53" s="180">
        <f t="shared" si="3"/>
        <v>0</v>
      </c>
      <c r="V53" s="177"/>
      <c r="X53" s="180">
        <f t="shared" si="4"/>
        <v>42.116843527957769</v>
      </c>
      <c r="Y53" s="180">
        <f t="shared" si="5"/>
        <v>0</v>
      </c>
    </row>
    <row r="54" spans="1:25" ht="15.6" x14ac:dyDescent="0.3">
      <c r="A54" s="152">
        <v>2042</v>
      </c>
      <c r="B54" s="178">
        <f t="shared" si="0"/>
        <v>33.152549652393155</v>
      </c>
      <c r="C54" s="182">
        <f t="shared" si="7"/>
        <v>2.2938353063671251</v>
      </c>
      <c r="D54" s="183"/>
      <c r="E54" s="179">
        <f t="shared" si="6"/>
        <v>146.03486012917034</v>
      </c>
      <c r="F54" s="183">
        <f t="shared" si="8"/>
        <v>7.6340875841196691</v>
      </c>
      <c r="G54" s="247">
        <f t="shared" si="1"/>
        <v>0.42558028051494418</v>
      </c>
      <c r="H54" s="246"/>
      <c r="J54" s="182"/>
      <c r="K54" s="182"/>
      <c r="L54" s="182"/>
      <c r="M54" s="182"/>
      <c r="N54" s="163"/>
      <c r="O54" s="259">
        <f>IF($O$24="Y",IFERROR(E54*($E$6/SUMIF($G$3:$G$14,"Y",$E$3:$E$14))*$O$16*'Emissions Factors'!B39,""),"")</f>
        <v>4.3274283704869489</v>
      </c>
      <c r="P54" s="259">
        <f>IF($P$24="Y",IFERROR($E54*(SUM($E$3,$E$4,$E$5)/SUMIF($G$3:$G$14,"Y",$E$3:$E$14))*('Emissions Factors'!$T$143*$P$16)/10^6,""),"")</f>
        <v>40.088521825355329</v>
      </c>
      <c r="Q54" s="259"/>
      <c r="R54" s="258"/>
      <c r="T54" s="180">
        <f t="shared" si="2"/>
        <v>44.415950195842278</v>
      </c>
      <c r="U54" s="180">
        <f t="shared" si="3"/>
        <v>0</v>
      </c>
      <c r="V54" s="177"/>
      <c r="X54" s="180">
        <f t="shared" si="4"/>
        <v>44.415950195842278</v>
      </c>
      <c r="Y54" s="180">
        <f t="shared" si="5"/>
        <v>0</v>
      </c>
    </row>
    <row r="55" spans="1:25" ht="15.6" x14ac:dyDescent="0.3">
      <c r="A55" s="152">
        <v>2043</v>
      </c>
      <c r="B55" s="178">
        <f t="shared" si="0"/>
        <v>35.543445240213821</v>
      </c>
      <c r="C55" s="182">
        <f t="shared" si="7"/>
        <v>2.3908955878206655</v>
      </c>
      <c r="D55" s="183"/>
      <c r="E55" s="179">
        <f t="shared" si="6"/>
        <v>153.73258983136716</v>
      </c>
      <c r="F55" s="183">
        <f t="shared" si="8"/>
        <v>7.6977297021968241</v>
      </c>
      <c r="G55" s="247">
        <f t="shared" si="1"/>
        <v>0.42319504545017178</v>
      </c>
      <c r="H55" s="246"/>
      <c r="J55" s="182"/>
      <c r="K55" s="182"/>
      <c r="L55" s="182"/>
      <c r="M55" s="182"/>
      <c r="N55" s="163"/>
      <c r="O55" s="259">
        <f>IF($O$24="Y",IFERROR(E55*($E$6/SUMIF($G$3:$G$14,"Y",$E$3:$E$14))*$O$16*'Emissions Factors'!B40,""),"")</f>
        <v>4.5301174544104539</v>
      </c>
      <c r="P55" s="259">
        <f>IF($P$24="Y",IFERROR($E55*(SUM($E$3,$E$4,$E$5)/SUMIF($G$3:$G$14,"Y",$E$3:$E$14))*('Emissions Factors'!$T$143*$P$16)/10^6,""),"")</f>
        <v>42.201651559579403</v>
      </c>
      <c r="Q55" s="259"/>
      <c r="R55" s="258"/>
      <c r="T55" s="180">
        <f t="shared" si="2"/>
        <v>46.731769013989854</v>
      </c>
      <c r="U55" s="180">
        <f t="shared" si="3"/>
        <v>0</v>
      </c>
      <c r="V55" s="177"/>
      <c r="X55" s="180">
        <f t="shared" si="4"/>
        <v>46.731769013989854</v>
      </c>
      <c r="Y55" s="180">
        <f t="shared" si="5"/>
        <v>0</v>
      </c>
    </row>
    <row r="56" spans="1:25" ht="15.6" x14ac:dyDescent="0.3">
      <c r="A56" s="152">
        <v>2044</v>
      </c>
      <c r="B56" s="178">
        <f t="shared" si="0"/>
        <v>38.04663036105751</v>
      </c>
      <c r="C56" s="182">
        <f t="shared" si="7"/>
        <v>2.503185120843689</v>
      </c>
      <c r="D56" s="183"/>
      <c r="E56" s="179">
        <f t="shared" si="6"/>
        <v>161.52105287398365</v>
      </c>
      <c r="F56" s="183">
        <f t="shared" si="8"/>
        <v>7.7884630426164847</v>
      </c>
      <c r="G56" s="247">
        <f t="shared" si="1"/>
        <v>0.42074446086621653</v>
      </c>
      <c r="H56" s="246"/>
      <c r="J56" s="182"/>
      <c r="K56" s="182"/>
      <c r="L56" s="182"/>
      <c r="M56" s="182"/>
      <c r="N56" s="163"/>
      <c r="O56" s="259">
        <f>IF($O$24="Y",IFERROR(E56*($E$6/SUMIF($G$3:$G$14,"Y",$E$3:$E$14))*$O$16*'Emissions Factors'!B41,""),"")</f>
        <v>4.7327639234479317</v>
      </c>
      <c r="P56" s="259">
        <f>IF($P$24="Y",IFERROR($E56*(SUM($E$3,$E$4,$E$5)/SUMIF($G$3:$G$14,"Y",$E$3:$E$14))*('Emissions Factors'!$T$143*$P$16)/10^6,""),"")</f>
        <v>44.339688808998702</v>
      </c>
      <c r="Q56" s="259"/>
      <c r="R56" s="258"/>
      <c r="T56" s="180">
        <f t="shared" si="2"/>
        <v>49.072452732446635</v>
      </c>
      <c r="U56" s="180">
        <f t="shared" si="3"/>
        <v>0</v>
      </c>
      <c r="V56" s="177"/>
      <c r="X56" s="180">
        <f t="shared" si="4"/>
        <v>49.072452732446635</v>
      </c>
      <c r="Y56" s="180">
        <f t="shared" si="5"/>
        <v>0</v>
      </c>
    </row>
    <row r="57" spans="1:25" ht="15.6" x14ac:dyDescent="0.3">
      <c r="A57" s="152">
        <v>2045</v>
      </c>
      <c r="B57" s="178">
        <f t="shared" si="0"/>
        <v>40.675271922784859</v>
      </c>
      <c r="C57" s="182">
        <f t="shared" si="7"/>
        <v>2.6286415617273491</v>
      </c>
      <c r="D57" s="183"/>
      <c r="E57" s="179">
        <f t="shared" si="6"/>
        <v>169.42352925335894</v>
      </c>
      <c r="F57" s="183">
        <f t="shared" si="8"/>
        <v>7.9024763793752868</v>
      </c>
      <c r="G57" s="247">
        <f t="shared" si="1"/>
        <v>0.4182228858248504</v>
      </c>
      <c r="H57" s="246"/>
      <c r="J57" s="182"/>
      <c r="K57" s="182"/>
      <c r="L57" s="182"/>
      <c r="M57" s="182"/>
      <c r="N57" s="163"/>
      <c r="O57" s="259">
        <f>IF($O$24="Y",IFERROR(E57*($E$6/SUMIF($G$3:$G$14,"Y",$E$3:$E$14))*$O$16*'Emissions Factors'!B42,""),"")</f>
        <v>4.9349354448959266</v>
      </c>
      <c r="P57" s="259">
        <f>IF($P$24="Y",IFERROR($E57*(SUM($E$3,$E$4,$E$5)/SUMIF($G$3:$G$14,"Y",$E$3:$E$14))*('Emissions Factors'!$T$143*$P$16)/10^6,""),"")</f>
        <v>46.509024243899169</v>
      </c>
      <c r="Q57" s="259"/>
      <c r="R57" s="258"/>
      <c r="T57" s="180">
        <f t="shared" si="2"/>
        <v>51.443959688795097</v>
      </c>
      <c r="U57" s="180">
        <f t="shared" si="3"/>
        <v>0</v>
      </c>
      <c r="V57" s="177"/>
      <c r="X57" s="180">
        <f t="shared" si="4"/>
        <v>51.443959688795097</v>
      </c>
      <c r="Y57" s="180">
        <f t="shared" si="5"/>
        <v>0</v>
      </c>
    </row>
    <row r="58" spans="1:25" ht="15.6" x14ac:dyDescent="0.3">
      <c r="A58" s="152">
        <v>2046</v>
      </c>
      <c r="B58" s="178">
        <f t="shared" si="0"/>
        <v>43.43671824887678</v>
      </c>
      <c r="C58" s="182">
        <f t="shared" si="7"/>
        <v>2.7614463260919209</v>
      </c>
      <c r="D58" s="183"/>
      <c r="E58" s="179">
        <f t="shared" si="6"/>
        <v>177.45209832459597</v>
      </c>
      <c r="F58" s="183">
        <f t="shared" si="8"/>
        <v>8.0285690712370297</v>
      </c>
      <c r="G58" s="247">
        <f t="shared" si="1"/>
        <v>0.41563770189834204</v>
      </c>
      <c r="H58" s="246"/>
      <c r="J58" s="182"/>
      <c r="K58" s="182"/>
      <c r="L58" s="182"/>
      <c r="M58" s="182"/>
      <c r="N58" s="163"/>
      <c r="O58" s="259">
        <f>IF($O$24="Y",IFERROR(E58*($E$6/SUMIF($G$3:$G$14,"Y",$E$3:$E$14))*$O$16*'Emissions Factors'!B43,""),"")</f>
        <v>5.1399099341778678</v>
      </c>
      <c r="P58" s="259">
        <f>IF($P$24="Y",IFERROR($E58*(SUM($E$3,$E$4,$E$5)/SUMIF($G$3:$G$14,"Y",$E$3:$E$14))*('Emissions Factors'!$T$143*$P$16)/10^6,""),"")</f>
        <v>48.712973808776852</v>
      </c>
      <c r="Q58" s="259"/>
      <c r="R58" s="258"/>
      <c r="T58" s="180">
        <f t="shared" si="2"/>
        <v>53.852883742954717</v>
      </c>
      <c r="U58" s="180">
        <f t="shared" si="3"/>
        <v>0</v>
      </c>
      <c r="V58" s="177"/>
      <c r="X58" s="180">
        <f t="shared" si="4"/>
        <v>53.852883742954717</v>
      </c>
      <c r="Y58" s="180">
        <f t="shared" si="5"/>
        <v>0</v>
      </c>
    </row>
    <row r="59" spans="1:25" ht="15.6" x14ac:dyDescent="0.3">
      <c r="A59" s="152">
        <v>2047</v>
      </c>
      <c r="B59" s="178">
        <f t="shared" si="0"/>
        <v>46.336710084100218</v>
      </c>
      <c r="C59" s="182">
        <f t="shared" si="7"/>
        <v>2.8999918352234388</v>
      </c>
      <c r="D59" s="183"/>
      <c r="E59" s="179">
        <f t="shared" si="6"/>
        <v>185.61653468678549</v>
      </c>
      <c r="F59" s="183">
        <f t="shared" si="8"/>
        <v>8.1644363621895195</v>
      </c>
      <c r="G59" s="247">
        <f t="shared" si="1"/>
        <v>0.41299938475130321</v>
      </c>
      <c r="H59" s="246"/>
      <c r="J59" s="182"/>
      <c r="K59" s="182"/>
      <c r="L59" s="182"/>
      <c r="M59" s="182"/>
      <c r="N59" s="163"/>
      <c r="O59" s="259">
        <f>IF($O$24="Y",IFERROR(E59*($E$6/SUMIF($G$3:$G$14,"Y",$E$3:$E$14))*$O$16*'Emissions Factors'!B44,""),"")</f>
        <v>5.3448015400126989</v>
      </c>
      <c r="P59" s="259">
        <f>IF($P$24="Y",IFERROR($E59*(SUM($E$3,$E$4,$E$5)/SUMIF($G$3:$G$14,"Y",$E$3:$E$14))*('Emissions Factors'!$T$143*$P$16)/10^6,""),"")</f>
        <v>50.954220761784214</v>
      </c>
      <c r="Q59" s="259"/>
      <c r="R59" s="258"/>
      <c r="T59" s="180">
        <f t="shared" si="2"/>
        <v>56.29902230179691</v>
      </c>
      <c r="U59" s="180">
        <f t="shared" si="3"/>
        <v>0</v>
      </c>
      <c r="V59" s="177"/>
      <c r="X59" s="180">
        <f t="shared" si="4"/>
        <v>56.29902230179691</v>
      </c>
      <c r="Y59" s="180">
        <f t="shared" si="5"/>
        <v>0</v>
      </c>
    </row>
    <row r="60" spans="1:25" ht="15.6" x14ac:dyDescent="0.3">
      <c r="A60" s="152">
        <v>2048</v>
      </c>
      <c r="B60" s="178">
        <f t="shared" si="0"/>
        <v>49.384783850001355</v>
      </c>
      <c r="C60" s="182">
        <f t="shared" si="7"/>
        <v>3.0480737659011368</v>
      </c>
      <c r="D60" s="183"/>
      <c r="E60" s="179">
        <f t="shared" si="6"/>
        <v>193.9336635692402</v>
      </c>
      <c r="F60" s="183">
        <f t="shared" si="8"/>
        <v>8.3171288824547105</v>
      </c>
      <c r="G60" s="247">
        <f t="shared" si="1"/>
        <v>0.41031214725035364</v>
      </c>
      <c r="H60" s="246"/>
      <c r="J60" s="182"/>
      <c r="K60" s="182"/>
      <c r="L60" s="182"/>
      <c r="M60" s="182"/>
      <c r="N60" s="163"/>
      <c r="O60" s="259">
        <f>IF($O$24="Y",IFERROR(E60*($E$6/SUMIF($G$3:$G$14,"Y",$E$3:$E$14))*$O$16*'Emissions Factors'!B45,""),"")</f>
        <v>5.5509693362633143</v>
      </c>
      <c r="P60" s="259">
        <f>IF($P$24="Y",IFERROR($E60*(SUM($E$3,$E$4,$E$5)/SUMIF($G$3:$G$14,"Y",$E$3:$E$14))*('Emissions Factors'!$T$143*$P$16)/10^6,""),"")</f>
        <v>53.237383853347843</v>
      </c>
      <c r="Q60" s="259"/>
      <c r="R60" s="258"/>
      <c r="T60" s="180">
        <f t="shared" si="2"/>
        <v>58.788353189611158</v>
      </c>
      <c r="U60" s="180">
        <f t="shared" si="3"/>
        <v>0</v>
      </c>
      <c r="V60" s="177"/>
      <c r="X60" s="180">
        <f t="shared" si="4"/>
        <v>58.788353189611158</v>
      </c>
      <c r="Y60" s="180">
        <f t="shared" si="5"/>
        <v>0</v>
      </c>
    </row>
    <row r="61" spans="1:25" ht="15.6" x14ac:dyDescent="0.3">
      <c r="A61" s="152">
        <v>2049</v>
      </c>
      <c r="B61" s="178">
        <f t="shared" si="0"/>
        <v>52.590444596672278</v>
      </c>
      <c r="C61" s="182">
        <f t="shared" si="7"/>
        <v>3.2056607466709224</v>
      </c>
      <c r="D61" s="183"/>
      <c r="E61" s="179">
        <f t="shared" si="6"/>
        <v>202.42083022780784</v>
      </c>
      <c r="F61" s="183">
        <f t="shared" si="8"/>
        <v>8.4871666585676451</v>
      </c>
      <c r="G61" s="247">
        <f t="shared" si="1"/>
        <v>0.40758151819921412</v>
      </c>
      <c r="H61" s="246"/>
      <c r="J61" s="182"/>
      <c r="K61" s="182"/>
      <c r="L61" s="182"/>
      <c r="M61" s="182"/>
      <c r="N61" s="163"/>
      <c r="O61" s="259">
        <f>IF($O$24="Y",IFERROR(E61*($E$6/SUMIF($G$3:$G$14,"Y",$E$3:$E$14))*$O$16*'Emissions Factors'!B46,""),"")</f>
        <v>5.7640339604154747</v>
      </c>
      <c r="P61" s="259">
        <f>IF($P$24="Y",IFERROR($E61*(SUM($E$3,$E$4,$E$5)/SUMIF($G$3:$G$14,"Y",$E$3:$E$14))*('Emissions Factors'!$T$143*$P$16)/10^6,""),"")</f>
        <v>55.567224588131786</v>
      </c>
      <c r="Q61" s="259"/>
      <c r="R61" s="258"/>
      <c r="T61" s="180">
        <f t="shared" si="2"/>
        <v>61.331258548547261</v>
      </c>
      <c r="U61" s="180">
        <f t="shared" si="3"/>
        <v>0</v>
      </c>
      <c r="V61" s="177"/>
      <c r="X61" s="180">
        <f t="shared" si="4"/>
        <v>61.331258548547261</v>
      </c>
      <c r="Y61" s="180">
        <f t="shared" si="5"/>
        <v>0</v>
      </c>
    </row>
    <row r="62" spans="1:25" ht="15.6" x14ac:dyDescent="0.3">
      <c r="A62" s="152">
        <v>2050</v>
      </c>
      <c r="B62" s="178">
        <f t="shared" si="0"/>
        <v>55.961188692278213</v>
      </c>
      <c r="C62" s="182">
        <f t="shared" si="7"/>
        <v>3.3707440956059358</v>
      </c>
      <c r="D62" s="183"/>
      <c r="E62" s="179">
        <f t="shared" si="6"/>
        <v>211.09105283935219</v>
      </c>
      <c r="F62" s="183">
        <f t="shared" si="8"/>
        <v>8.6702226115443466</v>
      </c>
      <c r="G62" s="247">
        <f t="shared" si="1"/>
        <v>0.40481574123991865</v>
      </c>
      <c r="H62" s="246"/>
      <c r="J62" s="182"/>
      <c r="K62" s="182"/>
      <c r="L62" s="182"/>
      <c r="M62" s="182"/>
      <c r="N62" s="163"/>
      <c r="O62" s="259">
        <f>IF($O$24="Y",IFERROR(E62*($E$6/SUMIF($G$3:$G$14,"Y",$E$3:$E$14))*$O$16*'Emissions Factors'!B47,""),"")</f>
        <v>5.9902517589892748</v>
      </c>
      <c r="P62" s="259">
        <f>IF($P$24="Y",IFERROR($E62*(SUM($E$3,$E$4,$E$5)/SUMIF($G$3:$G$14,"Y",$E$3:$E$14))*('Emissions Factors'!$T$143*$P$16)/10^6,""),"")</f>
        <v>57.947316629759023</v>
      </c>
      <c r="Q62" s="259"/>
      <c r="R62" s="258"/>
      <c r="T62" s="180">
        <f t="shared" si="2"/>
        <v>63.937568388748296</v>
      </c>
      <c r="U62" s="180">
        <f t="shared" si="3"/>
        <v>0</v>
      </c>
      <c r="V62" s="177"/>
      <c r="X62" s="180">
        <f t="shared" si="4"/>
        <v>63.937568388748296</v>
      </c>
      <c r="Y62" s="180">
        <f t="shared" si="5"/>
        <v>0</v>
      </c>
    </row>
    <row r="63" spans="1:25" ht="15.6" x14ac:dyDescent="0.3">
      <c r="A63" s="152">
        <v>2051</v>
      </c>
      <c r="B63" s="178">
        <f t="shared" si="0"/>
        <v>59.502171771782464</v>
      </c>
      <c r="C63" s="182">
        <f t="shared" si="7"/>
        <v>3.540983079504251</v>
      </c>
      <c r="D63" s="183"/>
      <c r="E63" s="179">
        <f t="shared" si="6"/>
        <v>219.95078118740673</v>
      </c>
      <c r="F63" s="183">
        <f t="shared" si="8"/>
        <v>8.8597283480545457</v>
      </c>
      <c r="G63" s="247">
        <f t="shared" si="1"/>
        <v>0.40202411891704548</v>
      </c>
      <c r="H63" s="246"/>
      <c r="J63" s="182"/>
      <c r="K63" s="182"/>
      <c r="L63" s="182"/>
      <c r="M63" s="182"/>
      <c r="N63" s="163"/>
      <c r="O63" s="259">
        <f>IF($O$24="Y",IFERROR(E63*($E$6/SUMIF($G$3:$G$14,"Y",$E$3:$E$14))*$O$16*'Emissions Factors'!B48,""),"")</f>
        <v>6.2178132959392132</v>
      </c>
      <c r="P63" s="259">
        <f>IF($P$24="Y",IFERROR($E63*(SUM($E$3,$E$4,$E$5)/SUMIF($G$3:$G$14,"Y",$E$3:$E$14))*('Emissions Factors'!$T$143*$P$16)/10^6,""),"")</f>
        <v>60.379430530053426</v>
      </c>
      <c r="Q63" s="259"/>
      <c r="R63" s="258"/>
      <c r="T63" s="180" t="str">
        <f t="shared" si="2"/>
        <v/>
      </c>
      <c r="U63" s="180" t="str">
        <f t="shared" si="3"/>
        <v/>
      </c>
      <c r="V63" s="177"/>
      <c r="X63" s="180">
        <f t="shared" si="4"/>
        <v>66.597243825992635</v>
      </c>
      <c r="Y63" s="180">
        <f t="shared" si="5"/>
        <v>0</v>
      </c>
    </row>
    <row r="64" spans="1:25" ht="15.6" x14ac:dyDescent="0.3">
      <c r="A64" s="152">
        <v>2052</v>
      </c>
      <c r="B64" s="178">
        <f t="shared" si="0"/>
        <v>63.215230369981349</v>
      </c>
      <c r="C64" s="182">
        <f t="shared" si="7"/>
        <v>3.7130585981988844</v>
      </c>
      <c r="D64" s="183"/>
      <c r="E64" s="179">
        <f t="shared" si="6"/>
        <v>229.00155323367076</v>
      </c>
      <c r="F64" s="183">
        <f t="shared" si="8"/>
        <v>9.0507720462640293</v>
      </c>
      <c r="G64" s="247">
        <f t="shared" si="1"/>
        <v>0.3992193888465429</v>
      </c>
      <c r="H64" s="246"/>
      <c r="J64" s="182"/>
      <c r="K64" s="182"/>
      <c r="L64" s="182"/>
      <c r="M64" s="182"/>
      <c r="N64" s="163"/>
      <c r="O64" s="259">
        <f>IF($O$24="Y",IFERROR(E64*($E$6/SUMIF($G$3:$G$14,"Y",$E$3:$E$14))*$O$16*'Emissions Factors'!B49,""),"")</f>
        <v>6.4497657488302158</v>
      </c>
      <c r="P64" s="259">
        <f>IF($P$24="Y",IFERROR($E64*(SUM($E$3,$E$4,$E$5)/SUMIF($G$3:$G$14,"Y",$E$3:$E$14))*('Emissions Factors'!$T$143*$P$16)/10^6,""),"")</f>
        <v>62.863988480066453</v>
      </c>
      <c r="Q64" s="259"/>
      <c r="R64" s="258"/>
      <c r="T64" s="180" t="str">
        <f t="shared" si="2"/>
        <v/>
      </c>
      <c r="U64" s="180" t="str">
        <f t="shared" si="3"/>
        <v/>
      </c>
      <c r="V64" s="177"/>
      <c r="X64" s="180">
        <f t="shared" si="4"/>
        <v>69.31375422889667</v>
      </c>
      <c r="Y64" s="180">
        <f t="shared" si="5"/>
        <v>0</v>
      </c>
    </row>
    <row r="65" spans="1:25" ht="15.6" x14ac:dyDescent="0.3">
      <c r="A65" s="152">
        <v>2053</v>
      </c>
      <c r="B65" s="178">
        <f t="shared" si="0"/>
        <v>67.099545600618129</v>
      </c>
      <c r="C65" s="182">
        <f t="shared" si="7"/>
        <v>3.8843152306367799</v>
      </c>
      <c r="D65" s="183"/>
      <c r="E65" s="179">
        <f t="shared" si="6"/>
        <v>238.24479581065413</v>
      </c>
      <c r="F65" s="183">
        <f t="shared" si="8"/>
        <v>9.2432425769833628</v>
      </c>
      <c r="G65" s="247">
        <f t="shared" si="1"/>
        <v>0.3964178211548165</v>
      </c>
      <c r="H65" s="246"/>
      <c r="J65" s="182"/>
      <c r="K65" s="182"/>
      <c r="L65" s="182"/>
      <c r="M65" s="182"/>
      <c r="N65" s="163"/>
      <c r="O65" s="259">
        <f>IF($O$24="Y",IFERROR(E65*($E$6/SUMIF($G$3:$G$14,"Y",$E$3:$E$14))*$O$16*'Emissions Factors'!B50,""),"")</f>
        <v>6.6847082639545423</v>
      </c>
      <c r="P65" s="259">
        <f>IF($P$24="Y",IFERROR($E65*(SUM($E$3,$E$4,$E$5)/SUMIF($G$3:$G$14,"Y",$E$3:$E$14))*('Emissions Factors'!$T$143*$P$16)/10^6,""),"")</f>
        <v>65.401382164401113</v>
      </c>
      <c r="Q65" s="259"/>
      <c r="R65" s="258"/>
      <c r="T65" s="180" t="str">
        <f t="shared" si="2"/>
        <v/>
      </c>
      <c r="U65" s="180" t="str">
        <f t="shared" si="3"/>
        <v/>
      </c>
      <c r="V65" s="177"/>
      <c r="X65" s="180">
        <f t="shared" si="4"/>
        <v>72.086090428355661</v>
      </c>
      <c r="Y65" s="180">
        <f t="shared" si="5"/>
        <v>0</v>
      </c>
    </row>
    <row r="66" spans="1:25" ht="15.6" x14ac:dyDescent="0.3">
      <c r="A66" s="152">
        <v>2054</v>
      </c>
      <c r="B66" s="178">
        <f t="shared" si="0"/>
        <v>71.151977934721302</v>
      </c>
      <c r="C66" s="182">
        <f t="shared" si="7"/>
        <v>4.0524323341031732</v>
      </c>
      <c r="D66" s="183"/>
      <c r="E66" s="179">
        <f t="shared" si="6"/>
        <v>247.67918268174321</v>
      </c>
      <c r="F66" s="183">
        <f t="shared" si="8"/>
        <v>9.4343868710890888</v>
      </c>
      <c r="G66" s="247">
        <f t="shared" si="1"/>
        <v>0.39363589725379872</v>
      </c>
      <c r="H66" s="246"/>
      <c r="J66" s="182"/>
      <c r="K66" s="182"/>
      <c r="L66" s="182"/>
      <c r="M66" s="182"/>
      <c r="N66" s="163"/>
      <c r="O66" s="259">
        <f>IF($O$24="Y",IFERROR(E66*($E$6/SUMIF($G$3:$G$14,"Y",$E$3:$E$14))*$O$16*'Emissions Factors'!B51,""),"")</f>
        <v>6.9224543118608031</v>
      </c>
      <c r="P66" s="259">
        <f>IF($P$24="Y",IFERROR($E66*(SUM($E$3,$E$4,$E$5)/SUMIF($G$3:$G$14,"Y",$E$3:$E$14))*('Emissions Factors'!$T$143*$P$16)/10^6,""),"")</f>
        <v>67.991247513373054</v>
      </c>
      <c r="Q66" s="259"/>
      <c r="R66" s="258"/>
      <c r="T66" s="180" t="str">
        <f t="shared" si="2"/>
        <v/>
      </c>
      <c r="U66" s="180" t="str">
        <f t="shared" si="3"/>
        <v/>
      </c>
      <c r="V66" s="177"/>
      <c r="X66" s="180">
        <f t="shared" si="4"/>
        <v>74.913701825233858</v>
      </c>
      <c r="Y66" s="180">
        <f t="shared" si="5"/>
        <v>0</v>
      </c>
    </row>
    <row r="67" spans="1:25" ht="15.6" x14ac:dyDescent="0.3">
      <c r="A67" s="152">
        <v>2055</v>
      </c>
      <c r="B67" s="178">
        <f t="shared" si="0"/>
        <v>75.369323010227234</v>
      </c>
      <c r="C67" s="182">
        <f t="shared" si="7"/>
        <v>4.2173450755059321</v>
      </c>
      <c r="D67" s="183"/>
      <c r="E67" s="179">
        <f t="shared" si="6"/>
        <v>257.30204892688562</v>
      </c>
      <c r="F67" s="183">
        <f t="shared" si="8"/>
        <v>9.6228662451424043</v>
      </c>
      <c r="G67" s="247">
        <f t="shared" si="1"/>
        <v>0.39088634426867097</v>
      </c>
      <c r="H67" s="246"/>
      <c r="J67" s="182"/>
      <c r="K67" s="182"/>
      <c r="L67" s="182"/>
      <c r="M67" s="182"/>
      <c r="N67" s="163"/>
      <c r="O67" s="259">
        <f>IF($O$24="Y",IFERROR(E67*($E$6/SUMIF($G$3:$G$14,"Y",$E$3:$E$14))*$O$16*'Emissions Factors'!B52,""),"")</f>
        <v>7.1621791039795193</v>
      </c>
      <c r="P67" s="259">
        <f>IF($P$24="Y",IFERROR($E67*(SUM($E$3,$E$4,$E$5)/SUMIF($G$3:$G$14,"Y",$E$3:$E$14))*('Emissions Factors'!$T$143*$P$16)/10^6,""),"")</f>
        <v>70.632852970793621</v>
      </c>
      <c r="Q67" s="259"/>
      <c r="R67" s="258"/>
      <c r="T67" s="180" t="str">
        <f t="shared" si="2"/>
        <v/>
      </c>
      <c r="U67" s="180" t="str">
        <f t="shared" si="3"/>
        <v/>
      </c>
      <c r="V67" s="177"/>
      <c r="X67" s="180">
        <f t="shared" si="4"/>
        <v>77.795032074773147</v>
      </c>
      <c r="Y67" s="180">
        <f t="shared" si="5"/>
        <v>0</v>
      </c>
    </row>
    <row r="68" spans="1:25" ht="15.6" x14ac:dyDescent="0.3">
      <c r="A68" s="152">
        <v>2056</v>
      </c>
      <c r="B68" s="178">
        <f t="shared" si="0"/>
        <v>79.752099694675309</v>
      </c>
      <c r="C68" s="182">
        <f t="shared" si="7"/>
        <v>4.3827766844480749</v>
      </c>
      <c r="D68" s="183"/>
      <c r="E68" s="179">
        <f t="shared" si="6"/>
        <v>267.11255982020776</v>
      </c>
      <c r="F68" s="183">
        <f t="shared" si="8"/>
        <v>9.8105108933221459</v>
      </c>
      <c r="G68" s="247">
        <f t="shared" si="1"/>
        <v>0.38817363365626351</v>
      </c>
      <c r="H68" s="246"/>
      <c r="J68" s="182"/>
      <c r="K68" s="182"/>
      <c r="L68" s="182"/>
      <c r="M68" s="182"/>
      <c r="N68" s="163"/>
      <c r="O68" s="259">
        <f>IF($O$24="Y",IFERROR(E68*($E$6/SUMIF($G$3:$G$14,"Y",$E$3:$E$14))*$O$16*'Emissions Factors'!B53,""),"")</f>
        <v>7.4054903324661971</v>
      </c>
      <c r="P68" s="259">
        <f>IF($P$24="Y",IFERROR($E68*(SUM($E$3,$E$4,$E$5)/SUMIF($G$3:$G$14,"Y",$E$3:$E$14))*('Emissions Factors'!$T$143*$P$16)/10^6,""),"")</f>
        <v>73.325969393248911</v>
      </c>
      <c r="Q68" s="259"/>
      <c r="R68" s="258"/>
      <c r="T68" s="180" t="str">
        <f t="shared" si="2"/>
        <v/>
      </c>
      <c r="U68" s="180" t="str">
        <f t="shared" si="3"/>
        <v/>
      </c>
      <c r="V68" s="177"/>
      <c r="X68" s="180">
        <f t="shared" si="4"/>
        <v>80.731459725715112</v>
      </c>
      <c r="Y68" s="180">
        <f t="shared" si="5"/>
        <v>0</v>
      </c>
    </row>
    <row r="69" spans="1:25" ht="15.6" x14ac:dyDescent="0.3">
      <c r="A69" s="152">
        <v>2057</v>
      </c>
      <c r="B69" s="178">
        <f t="shared" si="0"/>
        <v>84.299328044046817</v>
      </c>
      <c r="C69" s="182">
        <f t="shared" si="7"/>
        <v>4.5472283493715082</v>
      </c>
      <c r="D69" s="183"/>
      <c r="E69" s="179">
        <f t="shared" si="6"/>
        <v>277.10576401014868</v>
      </c>
      <c r="F69" s="183">
        <f t="shared" si="8"/>
        <v>9.9932041899409114</v>
      </c>
      <c r="G69" s="247">
        <f t="shared" si="1"/>
        <v>0.38550167131635116</v>
      </c>
      <c r="H69" s="246"/>
      <c r="J69" s="182"/>
      <c r="K69" s="182"/>
      <c r="L69" s="182"/>
      <c r="M69" s="182"/>
      <c r="N69" s="163"/>
      <c r="O69" s="259">
        <f>IF($O$24="Y",IFERROR(E69*($E$6/SUMIF($G$3:$G$14,"Y",$E$3:$E$14))*$O$16*'Emissions Factors'!B54,""),"")</f>
        <v>7.6502989254900049</v>
      </c>
      <c r="P69" s="259">
        <f>IF($P$24="Y",IFERROR($E69*(SUM($E$3,$E$4,$E$5)/SUMIF($G$3:$G$14,"Y",$E$3:$E$14))*('Emissions Factors'!$T$143*$P$16)/10^6,""),"")</f>
        <v>76.069237568527953</v>
      </c>
      <c r="Q69" s="259"/>
      <c r="R69" s="258"/>
      <c r="T69" s="180" t="str">
        <f t="shared" si="2"/>
        <v/>
      </c>
      <c r="U69" s="180" t="str">
        <f t="shared" si="3"/>
        <v/>
      </c>
      <c r="V69" s="177"/>
      <c r="X69" s="180">
        <f t="shared" si="4"/>
        <v>83.719536494017959</v>
      </c>
      <c r="Y69" s="180">
        <f t="shared" si="5"/>
        <v>0</v>
      </c>
    </row>
    <row r="70" spans="1:25" ht="15.6" x14ac:dyDescent="0.3">
      <c r="A70" s="152">
        <v>2058</v>
      </c>
      <c r="B70" s="178">
        <f t="shared" si="0"/>
        <v>89.004232314440131</v>
      </c>
      <c r="C70" s="182">
        <f t="shared" si="7"/>
        <v>4.7049042703933139</v>
      </c>
      <c r="D70" s="183"/>
      <c r="E70" s="179">
        <f t="shared" si="6"/>
        <v>287.26741569597385</v>
      </c>
      <c r="F70" s="183">
        <f t="shared" si="8"/>
        <v>10.161651685825177</v>
      </c>
      <c r="G70" s="247">
        <f t="shared" si="1"/>
        <v>0.38287801457421283</v>
      </c>
      <c r="H70" s="246"/>
      <c r="J70" s="182"/>
      <c r="K70" s="182"/>
      <c r="L70" s="182"/>
      <c r="M70" s="182"/>
      <c r="N70" s="163"/>
      <c r="O70" s="259">
        <f>IF($O$24="Y",IFERROR(E70*($E$6/SUMIF($G$3:$G$14,"Y",$E$3:$E$14))*$O$16*'Emissions Factors'!B55,""),"")</f>
        <v>7.8966433572307331</v>
      </c>
      <c r="P70" s="259">
        <f>IF($P$24="Y",IFERROR($E70*(SUM($E$3,$E$4,$E$5)/SUMIF($G$3:$G$14,"Y",$E$3:$E$14))*('Emissions Factors'!$T$143*$P$16)/10^6,""),"")</f>
        <v>78.858746833839945</v>
      </c>
      <c r="Q70" s="259"/>
      <c r="R70" s="258"/>
      <c r="T70" s="180" t="str">
        <f t="shared" si="2"/>
        <v/>
      </c>
      <c r="U70" s="180" t="str">
        <f t="shared" si="3"/>
        <v/>
      </c>
      <c r="V70" s="177"/>
      <c r="X70" s="180">
        <f t="shared" si="4"/>
        <v>86.755390191070674</v>
      </c>
      <c r="Y70" s="180">
        <f t="shared" si="5"/>
        <v>0</v>
      </c>
    </row>
    <row r="71" spans="1:25" ht="15.6" x14ac:dyDescent="0.3">
      <c r="A71" s="152">
        <v>2059</v>
      </c>
      <c r="B71" s="178">
        <f t="shared" si="0"/>
        <v>93.857756326064361</v>
      </c>
      <c r="C71" s="182">
        <f t="shared" si="7"/>
        <v>4.8535240116242306</v>
      </c>
      <c r="D71" s="183"/>
      <c r="E71" s="179">
        <f t="shared" si="6"/>
        <v>297.57916142401075</v>
      </c>
      <c r="F71" s="183">
        <f t="shared" si="8"/>
        <v>10.311745728036897</v>
      </c>
      <c r="G71" s="247">
        <f t="shared" si="1"/>
        <v>0.38030964435298381</v>
      </c>
      <c r="H71" s="246"/>
      <c r="J71" s="182"/>
      <c r="K71" s="182"/>
      <c r="L71" s="182"/>
      <c r="M71" s="182"/>
      <c r="N71" s="163"/>
      <c r="O71" s="259">
        <f>IF($O$24="Y",IFERROR(E71*($E$6/SUMIF($G$3:$G$14,"Y",$E$3:$E$14))*$O$16*'Emissions Factors'!B56,""),"")</f>
        <v>8.143855400182554</v>
      </c>
      <c r="P71" s="259">
        <f>IF($P$24="Y",IFERROR($E71*(SUM($E$3,$E$4,$E$5)/SUMIF($G$3:$G$14,"Y",$E$3:$E$14))*('Emissions Factors'!$T$143*$P$16)/10^6,""),"")</f>
        <v>81.689458920736712</v>
      </c>
      <c r="Q71" s="259"/>
      <c r="R71" s="258"/>
      <c r="T71" s="180" t="str">
        <f t="shared" si="2"/>
        <v/>
      </c>
      <c r="U71" s="180" t="str">
        <f t="shared" si="3"/>
        <v/>
      </c>
      <c r="V71" s="177"/>
      <c r="X71" s="180">
        <f t="shared" si="4"/>
        <v>89.833314320919271</v>
      </c>
      <c r="Y71" s="180">
        <f t="shared" si="5"/>
        <v>0</v>
      </c>
    </row>
    <row r="72" spans="1:25" ht="15.6" x14ac:dyDescent="0.3">
      <c r="A72" s="152">
        <v>2060</v>
      </c>
      <c r="B72" s="178">
        <f t="shared" si="0"/>
        <v>98.852599387095736</v>
      </c>
      <c r="C72" s="182">
        <f t="shared" si="7"/>
        <v>4.994843061031375</v>
      </c>
      <c r="D72" s="183"/>
      <c r="E72" s="179">
        <f t="shared" si="6"/>
        <v>308.02463408558435</v>
      </c>
      <c r="F72" s="183">
        <f t="shared" si="8"/>
        <v>10.445472661573604</v>
      </c>
      <c r="G72" s="247">
        <f t="shared" si="1"/>
        <v>0.3777997758432044</v>
      </c>
      <c r="H72" s="246"/>
      <c r="J72" s="182"/>
      <c r="K72" s="182"/>
      <c r="L72" s="182"/>
      <c r="M72" s="182"/>
      <c r="N72" s="163"/>
      <c r="O72" s="259">
        <f>IF($O$24="Y",IFERROR(E72*($E$6/SUMIF($G$3:$G$14,"Y",$E$3:$E$14))*$O$16*'Emissions Factors'!B57,""),"")</f>
        <v>8.3941340963823539</v>
      </c>
      <c r="P72" s="259">
        <f>IF($P$24="Y",IFERROR($E72*(SUM($E$3,$E$4,$E$5)/SUMIF($G$3:$G$14,"Y",$E$3:$E$14))*('Emissions Factors'!$T$143*$P$16)/10^6,""),"")</f>
        <v>84.556880839032516</v>
      </c>
      <c r="Q72" s="259"/>
      <c r="R72" s="258"/>
      <c r="T72" s="180" t="str">
        <f t="shared" si="2"/>
        <v/>
      </c>
      <c r="U72" s="180" t="str">
        <f t="shared" si="3"/>
        <v/>
      </c>
      <c r="V72" s="177"/>
      <c r="X72" s="180">
        <f t="shared" si="4"/>
        <v>92.951014935414875</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4732.0573166560607</v>
      </c>
      <c r="C85" s="253">
        <f>(C137/Population_Tables!P3)*Population_Tables!D3</f>
        <v>1553.6067189846804</v>
      </c>
      <c r="D85" s="253">
        <f>(D137/Population_Tables!Q3)*Population_Tables!E3</f>
        <v>515.63814641175497</v>
      </c>
      <c r="E85" s="253">
        <f>(E137/Population_Tables!R3)*Population_Tables!F3</f>
        <v>969.5889917679483</v>
      </c>
      <c r="F85" s="253">
        <f>(F137/Population_Tables!S3)*Population_Tables!G3</f>
        <v>266.1926442063214</v>
      </c>
      <c r="G85" s="253">
        <f>(G137/Population_Tables!T3)*Population_Tables!H3</f>
        <v>322.43650019573755</v>
      </c>
      <c r="H85" s="253">
        <f>(H137/Population_Tables!U3)*Population_Tables!I3</f>
        <v>738.30060628367983</v>
      </c>
      <c r="I85" s="253">
        <f>(I137/Population_Tables!V3)*Population_Tables!J3</f>
        <v>386.78294705354386</v>
      </c>
      <c r="J85" s="253">
        <f>(J137/Population_Tables!W3)*Population_Tables!K3</f>
        <v>595.84560800759175</v>
      </c>
      <c r="K85" s="253">
        <f>(K137/Population_Tables!X3)*Population_Tables!L3</f>
        <v>588.8135754148019</v>
      </c>
      <c r="N85" s="195">
        <f t="shared" ref="N85:N131" si="9">SUMIF($C$83:$G$83,"Y",C85:G85)-H85</f>
        <v>497.48102969058982</v>
      </c>
      <c r="O85" s="195">
        <f>H85</f>
        <v>738.30060628367983</v>
      </c>
      <c r="P85" s="195">
        <f t="shared" ref="P85:P131" si="10">SUMIF($C$83:$G$83,"N",C85:G85)-(IF($E$83="N",H85))</f>
        <v>2391.6813655921728</v>
      </c>
      <c r="Q85" s="195">
        <f>N85+P85+O85</f>
        <v>3627.4630015664425</v>
      </c>
      <c r="R85" s="196">
        <f>N85/Q85</f>
        <v>0.13714296451149557</v>
      </c>
      <c r="U85" s="197">
        <v>0</v>
      </c>
      <c r="V85" s="195">
        <f>O85-O137</f>
        <v>0</v>
      </c>
      <c r="W85" s="197">
        <v>0</v>
      </c>
      <c r="X85" s="195">
        <f>U85+V85+W85</f>
        <v>0</v>
      </c>
      <c r="Y85" s="196">
        <v>0</v>
      </c>
      <c r="AC85" s="251">
        <f>(B85-B137)/((SUM(C85:G85)-SUM(C137:G137)))</f>
        <v>2.6471883717758695</v>
      </c>
      <c r="AF85" s="250">
        <f>B85</f>
        <v>4732.0573166560607</v>
      </c>
      <c r="AG85" s="250">
        <f>SUM(C85:G85)</f>
        <v>3627.4630015664425</v>
      </c>
      <c r="AH85" s="250">
        <f>AG85-AF85</f>
        <v>-1104.5943150896182</v>
      </c>
      <c r="AI85" s="251">
        <f>AH85/AG85</f>
        <v>-0.3045087750344036</v>
      </c>
    </row>
    <row r="86" spans="1:35" ht="15.6" x14ac:dyDescent="0.3">
      <c r="A86" s="194">
        <v>2015</v>
      </c>
      <c r="B86" s="253">
        <f>(B138/Population_Tables!O4)*Population_Tables!C4</f>
        <v>4770.3281342106775</v>
      </c>
      <c r="C86" s="253">
        <f>(C138/Population_Tables!P4)*Population_Tables!D4</f>
        <v>1562.2408570262396</v>
      </c>
      <c r="D86" s="253">
        <f>(D138/Population_Tables!Q4)*Population_Tables!E4</f>
        <v>518.14027167939901</v>
      </c>
      <c r="E86" s="253">
        <f>(E138/Population_Tables!R4)*Population_Tables!F4</f>
        <v>999.27154073879672</v>
      </c>
      <c r="F86" s="253">
        <f>(F138/Population_Tables!S4)*Population_Tables!G4</f>
        <v>274.62474543531806</v>
      </c>
      <c r="G86" s="253">
        <f>(G138/Population_Tables!T4)*Population_Tables!H4</f>
        <v>328.7304123445353</v>
      </c>
      <c r="H86" s="253">
        <f>(H138/Population_Tables!U4)*Population_Tables!I4</f>
        <v>750.79728308202266</v>
      </c>
      <c r="I86" s="253">
        <f>(I138/Population_Tables!V4)*Population_Tables!J4</f>
        <v>390.07386937529793</v>
      </c>
      <c r="J86" s="253">
        <f>(J138/Population_Tables!W4)*Population_Tables!K4</f>
        <v>599.08537663246682</v>
      </c>
      <c r="K86" s="253">
        <f>(K138/Population_Tables!X4)*Population_Tables!L4</f>
        <v>594.24439570538539</v>
      </c>
      <c r="N86" s="195">
        <f t="shared" si="9"/>
        <v>523.09900309209206</v>
      </c>
      <c r="O86" s="195">
        <f t="shared" ref="O86:O131" si="11">H86</f>
        <v>750.79728308202266</v>
      </c>
      <c r="P86" s="195">
        <f t="shared" si="10"/>
        <v>2409.1115410501739</v>
      </c>
      <c r="Q86" s="195">
        <f t="shared" ref="Q86:Q131" si="12">N86+P86+O86</f>
        <v>3683.0078272242886</v>
      </c>
      <c r="R86" s="196">
        <f t="shared" ref="R86:R130" si="13">N86/Q86</f>
        <v>0.14203038050188652</v>
      </c>
      <c r="U86" s="197">
        <v>0</v>
      </c>
      <c r="V86" s="195">
        <f t="shared" ref="V86:W131" si="14">O86-O138</f>
        <v>0</v>
      </c>
      <c r="W86" s="197">
        <v>0</v>
      </c>
      <c r="X86" s="195">
        <f>U86+V86+W86</f>
        <v>0</v>
      </c>
      <c r="Y86" s="196">
        <v>0</v>
      </c>
      <c r="AC86" s="251">
        <f t="shared" ref="AC86:AC131" si="15">(B86-B138)/((SUM(C86:G86)-SUM(C138:G138)))</f>
        <v>2.5846302545213042</v>
      </c>
    </row>
    <row r="87" spans="1:35" ht="15.6" x14ac:dyDescent="0.3">
      <c r="A87" s="194">
        <v>2016</v>
      </c>
      <c r="B87" s="253">
        <f>(B139/Population_Tables!O5)*Population_Tables!C5</f>
        <v>4811.5393786470941</v>
      </c>
      <c r="C87" s="253">
        <f>(C139/Population_Tables!P5)*Population_Tables!D5</f>
        <v>1567.9917748200321</v>
      </c>
      <c r="D87" s="253">
        <f>(D139/Population_Tables!Q5)*Population_Tables!E5</f>
        <v>520.9423578979638</v>
      </c>
      <c r="E87" s="253">
        <f>(E139/Population_Tables!R5)*Population_Tables!F5</f>
        <v>1021.6332080518906</v>
      </c>
      <c r="F87" s="253">
        <f>(F139/Population_Tables!S5)*Population_Tables!G5</f>
        <v>282.11156737446487</v>
      </c>
      <c r="G87" s="253">
        <f>(G139/Population_Tables!T5)*Population_Tables!H5</f>
        <v>333.98540669414865</v>
      </c>
      <c r="H87" s="253">
        <f>(H139/Population_Tables!U5)*Population_Tables!I5</f>
        <v>760.24316792267757</v>
      </c>
      <c r="I87" s="253">
        <f>(I139/Population_Tables!V5)*Population_Tables!J5</f>
        <v>394.95426860056079</v>
      </c>
      <c r="J87" s="253">
        <f>(J139/Population_Tables!W5)*Population_Tables!K5</f>
        <v>601.55934210746784</v>
      </c>
      <c r="K87" s="253">
        <f>(K139/Population_Tables!X5)*Population_Tables!L5</f>
        <v>598.47677291385935</v>
      </c>
      <c r="N87" s="195">
        <f t="shared" si="9"/>
        <v>543.50160750367797</v>
      </c>
      <c r="O87" s="195">
        <f t="shared" si="11"/>
        <v>760.24316792267757</v>
      </c>
      <c r="P87" s="195">
        <f t="shared" si="10"/>
        <v>2422.9195394121443</v>
      </c>
      <c r="Q87" s="195">
        <f t="shared" si="12"/>
        <v>3726.6643148384996</v>
      </c>
      <c r="R87" s="196">
        <f t="shared" si="13"/>
        <v>0.14584131050913593</v>
      </c>
      <c r="U87" s="195">
        <f>N87-N139</f>
        <v>-3.0644117440488117E-3</v>
      </c>
      <c r="V87" s="195">
        <f>O87-O139</f>
        <v>0</v>
      </c>
      <c r="W87" s="195">
        <f>P87-P139</f>
        <v>0</v>
      </c>
      <c r="X87" s="195">
        <f>U87+V87+W87</f>
        <v>-3.0644117440488117E-3</v>
      </c>
      <c r="Y87" s="196">
        <f t="shared" ref="Y87:Y131" si="16">U87/X87</f>
        <v>1</v>
      </c>
      <c r="AC87" s="251">
        <f>(B87-B139)/((SUM(C87:G87)-SUM(C139:G139)))</f>
        <v>2.5451586493658862</v>
      </c>
    </row>
    <row r="88" spans="1:35" ht="15.6" x14ac:dyDescent="0.3">
      <c r="A88" s="194">
        <v>2017</v>
      </c>
      <c r="B88" s="253">
        <f>(B140/Population_Tables!O6)*Population_Tables!C6</f>
        <v>4851.7173235294067</v>
      </c>
      <c r="C88" s="253">
        <f>(C140/Population_Tables!P6)*Population_Tables!D6</f>
        <v>1573.4374892408357</v>
      </c>
      <c r="D88" s="253">
        <f>(D140/Population_Tables!Q6)*Population_Tables!E6</f>
        <v>523.7101280899268</v>
      </c>
      <c r="E88" s="253">
        <f>(E140/Population_Tables!R6)*Population_Tables!F6</f>
        <v>1044.1974236644367</v>
      </c>
      <c r="F88" s="253">
        <f>(F140/Population_Tables!S6)*Population_Tables!G6</f>
        <v>289.63959434269532</v>
      </c>
      <c r="G88" s="253">
        <f>(G140/Population_Tables!T6)*Population_Tables!H6</f>
        <v>339.21727526015485</v>
      </c>
      <c r="H88" s="253">
        <f>(H140/Population_Tables!U6)*Population_Tables!I6</f>
        <v>769.42240299989328</v>
      </c>
      <c r="I88" s="253">
        <f>(I140/Population_Tables!V6)*Population_Tables!J6</f>
        <v>399.50830142708048</v>
      </c>
      <c r="J88" s="253">
        <f>(J140/Population_Tables!W6)*Population_Tables!K6</f>
        <v>603.86847548105163</v>
      </c>
      <c r="K88" s="253">
        <f>(K140/Population_Tables!X6)*Population_Tables!L6</f>
        <v>602.50765098285558</v>
      </c>
      <c r="N88" s="195">
        <f t="shared" si="9"/>
        <v>564.41461500723869</v>
      </c>
      <c r="O88" s="195">
        <f>H88</f>
        <v>769.42240299989328</v>
      </c>
      <c r="P88" s="195">
        <f t="shared" si="10"/>
        <v>2436.3648925909174</v>
      </c>
      <c r="Q88" s="195">
        <f t="shared" si="12"/>
        <v>3770.2019105980494</v>
      </c>
      <c r="R88" s="196">
        <f t="shared" si="13"/>
        <v>0.14970408174179411</v>
      </c>
      <c r="U88" s="195">
        <f>N88-N140</f>
        <v>-3.0508719362387637E-3</v>
      </c>
      <c r="V88" s="195">
        <f t="shared" si="14"/>
        <v>0</v>
      </c>
      <c r="W88" s="195">
        <f t="shared" si="14"/>
        <v>0</v>
      </c>
      <c r="X88" s="195">
        <f t="shared" ref="X88:X131" si="17">U88+V88+W88</f>
        <v>-3.0508719362387637E-3</v>
      </c>
      <c r="Y88" s="196">
        <f t="shared" si="16"/>
        <v>1</v>
      </c>
      <c r="AC88" s="251">
        <f t="shared" si="15"/>
        <v>2.5061815355739823</v>
      </c>
    </row>
    <row r="89" spans="1:35" ht="15.6" x14ac:dyDescent="0.3">
      <c r="A89" s="194">
        <v>2018</v>
      </c>
      <c r="B89" s="253">
        <f>(B141/Population_Tables!O7)*Population_Tables!C7</f>
        <v>4890.8752222456515</v>
      </c>
      <c r="C89" s="253">
        <f>(C141/Population_Tables!P7)*Population_Tables!D7</f>
        <v>1578.5897710085712</v>
      </c>
      <c r="D89" s="253">
        <f>(D141/Population_Tables!Q7)*Population_Tables!E7</f>
        <v>526.44397697194279</v>
      </c>
      <c r="E89" s="253">
        <f>(E141/Population_Tables!R7)*Population_Tables!F7</f>
        <v>1066.9599996424015</v>
      </c>
      <c r="F89" s="253">
        <f>(F141/Population_Tables!S7)*Population_Tables!G7</f>
        <v>297.2081024095321</v>
      </c>
      <c r="G89" s="253">
        <f>(G141/Population_Tables!T7)*Population_Tables!H7</f>
        <v>344.42543201772219</v>
      </c>
      <c r="H89" s="253">
        <f>(H141/Population_Tables!U7)*Population_Tables!I7</f>
        <v>778.33418949738063</v>
      </c>
      <c r="I89" s="253">
        <f>(I141/Population_Tables!V7)*Population_Tables!J7</f>
        <v>403.74802429475193</v>
      </c>
      <c r="J89" s="253">
        <f>(J141/Population_Tables!W7)*Population_Tables!K7</f>
        <v>606.01866343958625</v>
      </c>
      <c r="K89" s="253">
        <f>(K141/Population_Tables!X7)*Population_Tables!L7</f>
        <v>606.34434941183758</v>
      </c>
      <c r="N89" s="195">
        <f t="shared" si="9"/>
        <v>585.83391255455297</v>
      </c>
      <c r="O89" s="195">
        <f t="shared" si="11"/>
        <v>778.33418949738063</v>
      </c>
      <c r="P89" s="195">
        <f t="shared" si="10"/>
        <v>2449.4591799982363</v>
      </c>
      <c r="Q89" s="195">
        <f t="shared" si="12"/>
        <v>3813.6272820501699</v>
      </c>
      <c r="R89" s="196">
        <f t="shared" si="13"/>
        <v>0.15361593287103142</v>
      </c>
      <c r="U89" s="195">
        <f t="shared" ref="U89:U131" si="18">N89-N141</f>
        <v>-3.0268222883478302E-3</v>
      </c>
      <c r="V89" s="195">
        <f t="shared" si="14"/>
        <v>0</v>
      </c>
      <c r="W89" s="195">
        <f t="shared" si="14"/>
        <v>0</v>
      </c>
      <c r="X89" s="195">
        <f t="shared" si="17"/>
        <v>-3.0268222883478302E-3</v>
      </c>
      <c r="Y89" s="196">
        <f t="shared" si="16"/>
        <v>1</v>
      </c>
      <c r="AC89" s="251">
        <f t="shared" si="15"/>
        <v>2.4676707893000511</v>
      </c>
    </row>
    <row r="90" spans="1:35" ht="16.2" thickBot="1" x14ac:dyDescent="0.35">
      <c r="A90" s="198">
        <v>2019</v>
      </c>
      <c r="B90" s="253">
        <f>(B142/Population_Tables!O8)*Population_Tables!C8</f>
        <v>4929.0262911316258</v>
      </c>
      <c r="C90" s="253">
        <f>(C142/Population_Tables!P8)*Population_Tables!D8</f>
        <v>1583.4603908431595</v>
      </c>
      <c r="D90" s="253">
        <f>(D142/Population_Tables!Q8)*Population_Tables!E8</f>
        <v>529.14429926066657</v>
      </c>
      <c r="E90" s="253">
        <f>(E142/Population_Tables!R8)*Population_Tables!F8</f>
        <v>1089.9167327418106</v>
      </c>
      <c r="F90" s="253">
        <f>(F142/Population_Tables!S8)*Population_Tables!G8</f>
        <v>304.81636764449803</v>
      </c>
      <c r="G90" s="253">
        <f>(G142/Population_Tables!T8)*Population_Tables!H8</f>
        <v>349.60929094201856</v>
      </c>
      <c r="H90" s="253">
        <f>(H142/Population_Tables!U8)*Population_Tables!I8</f>
        <v>786.97772859885151</v>
      </c>
      <c r="I90" s="253">
        <f>(I142/Population_Tables!V8)*Population_Tables!J8</f>
        <v>407.68549364347007</v>
      </c>
      <c r="J90" s="253">
        <f>(J142/Population_Tables!W8)*Population_Tables!K8</f>
        <v>608.01579266943986</v>
      </c>
      <c r="K90" s="253">
        <f>(K142/Population_Tables!X8)*Population_Tables!L8</f>
        <v>609.99418770026864</v>
      </c>
      <c r="N90" s="195">
        <f t="shared" si="9"/>
        <v>607.75537178745719</v>
      </c>
      <c r="O90" s="195">
        <f t="shared" si="11"/>
        <v>786.97772859885151</v>
      </c>
      <c r="P90" s="195">
        <f t="shared" si="10"/>
        <v>2462.2139810458448</v>
      </c>
      <c r="Q90" s="195">
        <f t="shared" si="12"/>
        <v>3856.9470814321535</v>
      </c>
      <c r="R90" s="199">
        <f t="shared" si="13"/>
        <v>0.1575742054417264</v>
      </c>
      <c r="U90" s="200">
        <f t="shared" si="18"/>
        <v>-3.0080806778869373E-3</v>
      </c>
      <c r="V90" s="195">
        <f t="shared" si="14"/>
        <v>0</v>
      </c>
      <c r="W90" s="200">
        <f t="shared" si="14"/>
        <v>0</v>
      </c>
      <c r="X90" s="195">
        <f t="shared" si="17"/>
        <v>-3.0080806778869373E-3</v>
      </c>
      <c r="Y90" s="199">
        <f t="shared" si="16"/>
        <v>1</v>
      </c>
      <c r="AC90" s="251">
        <f t="shared" si="15"/>
        <v>2.429585408750071</v>
      </c>
    </row>
    <row r="91" spans="1:35" ht="15.6" x14ac:dyDescent="0.3">
      <c r="A91" s="201">
        <v>2020</v>
      </c>
      <c r="B91" s="253">
        <f>(B143/Population_Tables!O9)*Population_Tables!C9</f>
        <v>4966.1837846026892</v>
      </c>
      <c r="C91" s="253">
        <f>(C143/Population_Tables!P9)*Population_Tables!D9</f>
        <v>1588.061119464521</v>
      </c>
      <c r="D91" s="253">
        <f>(D143/Population_Tables!Q9)*Population_Tables!E9</f>
        <v>531.81148967275283</v>
      </c>
      <c r="E91" s="253">
        <f>(E143/Population_Tables!R9)*Population_Tables!F9</f>
        <v>1113.063434413152</v>
      </c>
      <c r="F91" s="253">
        <f>(F143/Population_Tables!S9)*Population_Tables!G9</f>
        <v>312.46366611711579</v>
      </c>
      <c r="G91" s="253">
        <f>(G143/Population_Tables!T9)*Population_Tables!H9</f>
        <v>354.76826600821198</v>
      </c>
      <c r="H91" s="253">
        <f>(H143/Population_Tables!U9)*Population_Tables!I9</f>
        <v>795.35222148801677</v>
      </c>
      <c r="I91" s="253">
        <f>(I143/Population_Tables!V9)*Population_Tables!J9</f>
        <v>411.33276591312966</v>
      </c>
      <c r="J91" s="253">
        <f>(J143/Population_Tables!W9)*Population_Tables!K9</f>
        <v>609.86574985698064</v>
      </c>
      <c r="K91" s="253">
        <f>(K143/Population_Tables!X9)*Population_Tables!L9</f>
        <v>613.46448534761203</v>
      </c>
      <c r="L91" s="202"/>
      <c r="M91" s="202"/>
      <c r="N91" s="195">
        <f t="shared" si="9"/>
        <v>630.17487904225095</v>
      </c>
      <c r="O91" s="195">
        <f t="shared" si="11"/>
        <v>795.35222148801677</v>
      </c>
      <c r="P91" s="195">
        <f t="shared" si="10"/>
        <v>2474.6408751454856</v>
      </c>
      <c r="Q91" s="195">
        <f t="shared" si="12"/>
        <v>3900.167975675753</v>
      </c>
      <c r="R91" s="203">
        <f t="shared" si="13"/>
        <v>0.16157634311457195</v>
      </c>
      <c r="S91" s="202"/>
      <c r="T91" s="202"/>
      <c r="U91" s="204">
        <f>N91-N143</f>
        <v>-2.9957705195329254E-3</v>
      </c>
      <c r="V91" s="195">
        <f t="shared" si="14"/>
        <v>0</v>
      </c>
      <c r="W91" s="204">
        <f t="shared" si="14"/>
        <v>0</v>
      </c>
      <c r="X91" s="195">
        <f t="shared" si="17"/>
        <v>-2.9957705195329254E-3</v>
      </c>
      <c r="Y91" s="205">
        <f>U91/X91</f>
        <v>1</v>
      </c>
      <c r="AC91" s="251">
        <f t="shared" si="15"/>
        <v>2.3917092500255595</v>
      </c>
    </row>
    <row r="92" spans="1:35" ht="15.6" x14ac:dyDescent="0.3">
      <c r="A92" s="206">
        <v>2021</v>
      </c>
      <c r="B92" s="253">
        <f>(B144/Population_Tables!O10)*Population_Tables!C10</f>
        <v>5008.6938285089882</v>
      </c>
      <c r="C92" s="253">
        <f>(C144/Population_Tables!P10)*Population_Tables!D10</f>
        <v>1594.0554149253303</v>
      </c>
      <c r="D92" s="253">
        <f>(D144/Population_Tables!Q10)*Population_Tables!E10</f>
        <v>535.0799899503902</v>
      </c>
      <c r="E92" s="253">
        <f>(E144/Population_Tables!R10)*Population_Tables!F10</f>
        <v>1137.7557215089516</v>
      </c>
      <c r="F92" s="253">
        <f>(F144/Population_Tables!S10)*Population_Tables!G10</f>
        <v>320.57851041592573</v>
      </c>
      <c r="G92" s="253">
        <f>(G144/Population_Tables!T10)*Population_Tables!H10</f>
        <v>360.58334700098141</v>
      </c>
      <c r="H92" s="253">
        <f>(H144/Population_Tables!U10)*Population_Tables!I10</f>
        <v>804.2999803757366</v>
      </c>
      <c r="I92" s="253">
        <f>(I144/Population_Tables!V10)*Population_Tables!J10</f>
        <v>415.17899032320582</v>
      </c>
      <c r="J92" s="253">
        <f>(J144/Population_Tables!W10)*Population_Tables!K10</f>
        <v>612.2071488583988</v>
      </c>
      <c r="K92" s="253">
        <f>(K144/Population_Tables!X10)*Population_Tables!L10</f>
        <v>617.41415633678923</v>
      </c>
      <c r="L92" s="170"/>
      <c r="M92" s="170"/>
      <c r="N92" s="195">
        <f t="shared" si="9"/>
        <v>654.03425154914066</v>
      </c>
      <c r="O92" s="195">
        <f t="shared" si="11"/>
        <v>804.2999803757366</v>
      </c>
      <c r="P92" s="195">
        <f t="shared" si="10"/>
        <v>2489.7187518767018</v>
      </c>
      <c r="Q92" s="195">
        <f t="shared" si="12"/>
        <v>3948.0529838015791</v>
      </c>
      <c r="R92" s="196">
        <f t="shared" si="13"/>
        <v>0.16565994788635569</v>
      </c>
      <c r="S92" s="170"/>
      <c r="T92" s="170"/>
      <c r="U92" s="195">
        <f t="shared" si="18"/>
        <v>0.94293987867843043</v>
      </c>
      <c r="V92" s="195">
        <f t="shared" si="14"/>
        <v>0.8431110271479838</v>
      </c>
      <c r="W92" s="195">
        <f t="shared" si="14"/>
        <v>2.9673101677990417</v>
      </c>
      <c r="X92" s="195">
        <f t="shared" si="17"/>
        <v>4.7533610736254559</v>
      </c>
      <c r="Y92" s="207">
        <f t="shared" si="16"/>
        <v>0.19837329083002669</v>
      </c>
      <c r="AC92" s="251">
        <f t="shared" si="15"/>
        <v>1.3308122099759336</v>
      </c>
    </row>
    <row r="93" spans="1:35" ht="15.6" x14ac:dyDescent="0.3">
      <c r="A93" s="206">
        <v>2022</v>
      </c>
      <c r="B93" s="253">
        <f>(B145/Population_Tables!O11)*Population_Tables!C11</f>
        <v>5051.8277883844848</v>
      </c>
      <c r="C93" s="253">
        <f>(C145/Population_Tables!P11)*Population_Tables!D11</f>
        <v>1600.2693956073647</v>
      </c>
      <c r="D93" s="253">
        <f>(D145/Population_Tables!Q11)*Population_Tables!E11</f>
        <v>538.43087751564576</v>
      </c>
      <c r="E93" s="253">
        <f>(E145/Population_Tables!R11)*Population_Tables!F11</f>
        <v>1163.1293112993487</v>
      </c>
      <c r="F93" s="253">
        <f>(F145/Population_Tables!S11)*Population_Tables!G11</f>
        <v>328.8193359092611</v>
      </c>
      <c r="G93" s="253">
        <f>(G145/Population_Tables!T11)*Population_Tables!H11</f>
        <v>366.4132445695891</v>
      </c>
      <c r="H93" s="253">
        <f>(H145/Population_Tables!U11)*Population_Tables!I11</f>
        <v>813.1895577733103</v>
      </c>
      <c r="I93" s="253">
        <f>(I145/Population_Tables!V11)*Population_Tables!J11</f>
        <v>418.95992380771116</v>
      </c>
      <c r="J93" s="253">
        <f>(J145/Population_Tables!W11)*Population_Tables!K11</f>
        <v>614.56591274476386</v>
      </c>
      <c r="K93" s="253">
        <f>(K145/Population_Tables!X11)*Population_Tables!L11</f>
        <v>621.41149077173179</v>
      </c>
      <c r="L93" s="170"/>
      <c r="M93" s="170"/>
      <c r="N93" s="195">
        <f t="shared" si="9"/>
        <v>678.75908943529953</v>
      </c>
      <c r="O93" s="195">
        <f t="shared" si="11"/>
        <v>813.1895577733103</v>
      </c>
      <c r="P93" s="195">
        <f t="shared" si="10"/>
        <v>2505.1135176925995</v>
      </c>
      <c r="Q93" s="195">
        <f t="shared" si="12"/>
        <v>3997.0621649012091</v>
      </c>
      <c r="R93" s="196">
        <f t="shared" si="13"/>
        <v>0.1698144941040905</v>
      </c>
      <c r="S93" s="170"/>
      <c r="T93" s="170"/>
      <c r="U93" s="195">
        <f t="shared" si="18"/>
        <v>2.264511534374833</v>
      </c>
      <c r="V93" s="195">
        <f t="shared" si="14"/>
        <v>1.8986844090322847</v>
      </c>
      <c r="W93" s="195">
        <f t="shared" si="14"/>
        <v>6.5562575447597737</v>
      </c>
      <c r="X93" s="195">
        <f t="shared" si="17"/>
        <v>10.719453488166891</v>
      </c>
      <c r="Y93" s="207">
        <f t="shared" si="16"/>
        <v>0.21125251738576103</v>
      </c>
      <c r="AC93" s="251">
        <f t="shared" si="15"/>
        <v>1.3293391531572678</v>
      </c>
    </row>
    <row r="94" spans="1:35" ht="15.6" x14ac:dyDescent="0.3">
      <c r="A94" s="206">
        <v>2023</v>
      </c>
      <c r="B94" s="253">
        <f>(B146/Population_Tables!O12)*Population_Tables!C12</f>
        <v>5095.3708005743083</v>
      </c>
      <c r="C94" s="253">
        <f>(C146/Population_Tables!P12)*Population_Tables!D12</f>
        <v>1606.6396149338441</v>
      </c>
      <c r="D94" s="253">
        <f>(D146/Population_Tables!Q12)*Population_Tables!E12</f>
        <v>541.85402112608983</v>
      </c>
      <c r="E94" s="253">
        <f>(E146/Population_Tables!R12)*Population_Tables!F12</f>
        <v>1189.1153287077886</v>
      </c>
      <c r="F94" s="253">
        <f>(F146/Population_Tables!S12)*Population_Tables!G12</f>
        <v>337.18238892155097</v>
      </c>
      <c r="G94" s="253">
        <f>(G146/Population_Tables!T12)*Population_Tables!H12</f>
        <v>372.27602238746192</v>
      </c>
      <c r="H94" s="253">
        <f>(H146/Population_Tables!U12)*Population_Tables!I12</f>
        <v>821.99038882128878</v>
      </c>
      <c r="I94" s="253">
        <f>(I146/Population_Tables!V12)*Population_Tables!J12</f>
        <v>422.64308663912772</v>
      </c>
      <c r="J94" s="253">
        <f>(J146/Population_Tables!W12)*Population_Tables!K12</f>
        <v>616.92468959881683</v>
      </c>
      <c r="K94" s="253">
        <f>(K146/Population_Tables!X12)*Population_Tables!L12</f>
        <v>625.4294054727053</v>
      </c>
      <c r="L94" s="170"/>
      <c r="M94" s="170"/>
      <c r="N94" s="195">
        <f t="shared" si="9"/>
        <v>704.30732880805078</v>
      </c>
      <c r="O94" s="195">
        <f t="shared" si="11"/>
        <v>821.99038882128878</v>
      </c>
      <c r="P94" s="195">
        <f t="shared" si="10"/>
        <v>2520.7696584473961</v>
      </c>
      <c r="Q94" s="195">
        <f t="shared" si="12"/>
        <v>4047.0673760767359</v>
      </c>
      <c r="R94" s="196">
        <f t="shared" si="13"/>
        <v>0.17402905940518656</v>
      </c>
      <c r="S94" s="170"/>
      <c r="T94" s="170"/>
      <c r="U94" s="195">
        <f>N94-N146</f>
        <v>3.9237678441789967</v>
      </c>
      <c r="V94" s="195">
        <f t="shared" si="14"/>
        <v>3.1369541024922682</v>
      </c>
      <c r="W94" s="195">
        <f t="shared" si="14"/>
        <v>10.699748573356374</v>
      </c>
      <c r="X94" s="195">
        <f t="shared" si="17"/>
        <v>17.760470520027638</v>
      </c>
      <c r="Y94" s="207">
        <f t="shared" si="16"/>
        <v>0.22092702103552664</v>
      </c>
      <c r="AC94" s="251">
        <f t="shared" si="15"/>
        <v>1.3252233539162008</v>
      </c>
    </row>
    <row r="95" spans="1:35" ht="15.6" x14ac:dyDescent="0.3">
      <c r="A95" s="206">
        <v>2024</v>
      </c>
      <c r="B95" s="253">
        <f>(B147/Population_Tables!O13)*Population_Tables!C13</f>
        <v>5139.2169830903777</v>
      </c>
      <c r="C95" s="253">
        <f>(C147/Population_Tables!P13)*Population_Tables!D13</f>
        <v>1613.1166170976257</v>
      </c>
      <c r="D95" s="253">
        <f>(D147/Population_Tables!Q13)*Population_Tables!E13</f>
        <v>545.33829210589818</v>
      </c>
      <c r="E95" s="253">
        <f>(E147/Population_Tables!R13)*Population_Tables!F13</f>
        <v>1215.6601972105327</v>
      </c>
      <c r="F95" s="253">
        <f>(F147/Population_Tables!S13)*Population_Tables!G13</f>
        <v>345.67289201630518</v>
      </c>
      <c r="G95" s="253">
        <f>(G147/Population_Tables!T13)*Population_Tables!H13</f>
        <v>378.21611843646923</v>
      </c>
      <c r="H95" s="253">
        <f>(H147/Population_Tables!U13)*Population_Tables!I13</f>
        <v>830.67745548587777</v>
      </c>
      <c r="I95" s="253">
        <f>(I147/Population_Tables!V13)*Population_Tables!J13</f>
        <v>426.20715517527924</v>
      </c>
      <c r="J95" s="253">
        <f>(J147/Population_Tables!W13)*Population_Tables!K13</f>
        <v>619.27036515519683</v>
      </c>
      <c r="K95" s="253">
        <f>(K147/Population_Tables!X13)*Population_Tables!L13</f>
        <v>629.44738566559408</v>
      </c>
      <c r="L95" s="170"/>
      <c r="M95" s="170"/>
      <c r="N95" s="195">
        <f t="shared" si="9"/>
        <v>730.65563374096018</v>
      </c>
      <c r="O95" s="195">
        <f t="shared" si="11"/>
        <v>830.67745548587777</v>
      </c>
      <c r="P95" s="195">
        <f t="shared" si="10"/>
        <v>2536.6710276399931</v>
      </c>
      <c r="Q95" s="195">
        <f t="shared" si="12"/>
        <v>4098.0041168668313</v>
      </c>
      <c r="R95" s="196">
        <f t="shared" si="13"/>
        <v>0.17829548553494134</v>
      </c>
      <c r="S95" s="170"/>
      <c r="T95" s="170"/>
      <c r="U95" s="195">
        <f t="shared" si="18"/>
        <v>5.9014854219421977</v>
      </c>
      <c r="V95" s="195">
        <f t="shared" si="14"/>
        <v>4.5337008900221463</v>
      </c>
      <c r="W95" s="195">
        <f t="shared" si="14"/>
        <v>15.370057340747735</v>
      </c>
      <c r="X95" s="195">
        <f t="shared" si="17"/>
        <v>25.805243652712079</v>
      </c>
      <c r="Y95" s="207">
        <f t="shared" si="16"/>
        <v>0.22869326487920852</v>
      </c>
      <c r="AC95" s="251">
        <f t="shared" si="15"/>
        <v>1.3201617804219441</v>
      </c>
    </row>
    <row r="96" spans="1:35" ht="15.6" x14ac:dyDescent="0.3">
      <c r="A96" s="206">
        <v>2025</v>
      </c>
      <c r="B96" s="253">
        <f>(B148/Population_Tables!O14)*Population_Tables!C14</f>
        <v>5183.287745542083</v>
      </c>
      <c r="C96" s="253">
        <f>(C148/Population_Tables!P14)*Population_Tables!D14</f>
        <v>1619.6646632564991</v>
      </c>
      <c r="D96" s="253">
        <f>(D148/Population_Tables!Q14)*Population_Tables!E14</f>
        <v>548.87615121928593</v>
      </c>
      <c r="E96" s="253">
        <f>(E148/Population_Tables!R14)*Population_Tables!F14</f>
        <v>1242.7233423559401</v>
      </c>
      <c r="F96" s="253">
        <f>(F148/Population_Tables!S14)*Population_Tables!G14</f>
        <v>354.29543695976605</v>
      </c>
      <c r="G96" s="253">
        <f>(G148/Population_Tables!T14)*Population_Tables!H14</f>
        <v>384.26646701758608</v>
      </c>
      <c r="H96" s="253">
        <f>(H148/Population_Tables!U14)*Population_Tables!I14</f>
        <v>839.23148169017702</v>
      </c>
      <c r="I96" s="253">
        <f>(I148/Population_Tables!V14)*Population_Tables!J14</f>
        <v>429.63897237120449</v>
      </c>
      <c r="J96" s="253">
        <f>(J148/Population_Tables!W14)*Population_Tables!K14</f>
        <v>621.59394576354794</v>
      </c>
      <c r="K96" s="253">
        <f>(K148/Population_Tables!X14)*Population_Tables!L14</f>
        <v>633.45147680653417</v>
      </c>
      <c r="L96" s="170"/>
      <c r="M96" s="170"/>
      <c r="N96" s="195">
        <f t="shared" si="9"/>
        <v>757.78729762552905</v>
      </c>
      <c r="O96" s="195">
        <f t="shared" si="11"/>
        <v>839.23148169017702</v>
      </c>
      <c r="P96" s="195">
        <f t="shared" si="10"/>
        <v>2552.8072814933707</v>
      </c>
      <c r="Q96" s="195">
        <f t="shared" si="12"/>
        <v>4149.8260608090768</v>
      </c>
      <c r="R96" s="196">
        <f t="shared" si="13"/>
        <v>0.18260700244332312</v>
      </c>
      <c r="S96" s="170"/>
      <c r="T96" s="170"/>
      <c r="U96" s="195">
        <f t="shared" si="18"/>
        <v>8.185070199451161</v>
      </c>
      <c r="V96" s="195">
        <f t="shared" si="14"/>
        <v>6.0704475110102294</v>
      </c>
      <c r="W96" s="195">
        <f t="shared" si="14"/>
        <v>20.545260658169354</v>
      </c>
      <c r="X96" s="195">
        <f t="shared" si="17"/>
        <v>34.800778368630745</v>
      </c>
      <c r="Y96" s="207">
        <f t="shared" si="16"/>
        <v>0.23519790599939983</v>
      </c>
      <c r="AC96" s="251">
        <f t="shared" si="15"/>
        <v>1.3146102885341846</v>
      </c>
    </row>
    <row r="97" spans="1:29" ht="15.6" x14ac:dyDescent="0.3">
      <c r="A97" s="206">
        <v>2026</v>
      </c>
      <c r="B97" s="253">
        <f>(B149/Population_Tables!O15)*Population_Tables!C15</f>
        <v>5227.5010432565741</v>
      </c>
      <c r="C97" s="253">
        <f>(C149/Population_Tables!P15)*Population_Tables!D15</f>
        <v>1626.262713339996</v>
      </c>
      <c r="D97" s="253">
        <f>(D149/Population_Tables!Q15)*Population_Tables!E15</f>
        <v>552.46980331023224</v>
      </c>
      <c r="E97" s="253">
        <f>(E149/Population_Tables!R15)*Population_Tables!F15</f>
        <v>1270.2768589907239</v>
      </c>
      <c r="F97" s="253">
        <f>(F149/Population_Tables!S15)*Population_Tables!G15</f>
        <v>363.05102317974581</v>
      </c>
      <c r="G97" s="253">
        <f>(G149/Population_Tables!T15)*Population_Tables!H15</f>
        <v>390.42927929048881</v>
      </c>
      <c r="H97" s="253">
        <f>(H149/Population_Tables!U15)*Population_Tables!I15</f>
        <v>847.63945742331032</v>
      </c>
      <c r="I97" s="253">
        <f>(I149/Population_Tables!V15)*Population_Tables!J15</f>
        <v>432.93181421763546</v>
      </c>
      <c r="J97" s="253">
        <f>(J149/Population_Tables!W15)*Population_Tables!K15</f>
        <v>623.89096504314807</v>
      </c>
      <c r="K97" s="253">
        <f>(K149/Population_Tables!X15)*Population_Tables!L15</f>
        <v>637.43466363457628</v>
      </c>
      <c r="L97" s="170"/>
      <c r="M97" s="170"/>
      <c r="N97" s="195">
        <f t="shared" si="9"/>
        <v>785.6884247471595</v>
      </c>
      <c r="O97" s="195">
        <f t="shared" si="11"/>
        <v>847.63945742331032</v>
      </c>
      <c r="P97" s="195">
        <f t="shared" si="10"/>
        <v>2569.1617959407172</v>
      </c>
      <c r="Q97" s="195">
        <f t="shared" si="12"/>
        <v>4202.4896781111865</v>
      </c>
      <c r="R97" s="196">
        <f t="shared" si="13"/>
        <v>0.18695784759197506</v>
      </c>
      <c r="S97" s="170"/>
      <c r="T97" s="170"/>
      <c r="U97" s="195">
        <f>N97-N149</f>
        <v>10.764739002394208</v>
      </c>
      <c r="V97" s="195">
        <f t="shared" si="14"/>
        <v>7.7349827708687826</v>
      </c>
      <c r="W97" s="195">
        <f t="shared" si="14"/>
        <v>26.197155047067554</v>
      </c>
      <c r="X97" s="195">
        <f t="shared" si="17"/>
        <v>44.696876820330544</v>
      </c>
      <c r="Y97" s="207">
        <f t="shared" si="16"/>
        <v>0.2408387289712785</v>
      </c>
      <c r="AC97" s="251">
        <f t="shared" si="15"/>
        <v>1.3085564056344567</v>
      </c>
    </row>
    <row r="98" spans="1:29" ht="15.6" x14ac:dyDescent="0.3">
      <c r="A98" s="206">
        <v>2027</v>
      </c>
      <c r="B98" s="253">
        <f>(B150/Population_Tables!O16)*Population_Tables!C16</f>
        <v>5271.7809450833165</v>
      </c>
      <c r="C98" s="253">
        <f>(C150/Population_Tables!P16)*Population_Tables!D16</f>
        <v>1632.9034367126633</v>
      </c>
      <c r="D98" s="253">
        <f>(D150/Population_Tables!Q16)*Population_Tables!E16</f>
        <v>556.12357942702158</v>
      </c>
      <c r="E98" s="253">
        <f>(E150/Population_Tables!R16)*Population_Tables!F16</f>
        <v>1298.3075152325703</v>
      </c>
      <c r="F98" s="253">
        <f>(F150/Population_Tables!S16)*Population_Tables!G16</f>
        <v>371.93672947464819</v>
      </c>
      <c r="G98" s="253">
        <f>(G150/Population_Tables!T16)*Population_Tables!H16</f>
        <v>396.68601417120107</v>
      </c>
      <c r="H98" s="253">
        <f>(H150/Population_Tables!U16)*Population_Tables!I16</f>
        <v>855.89467445987134</v>
      </c>
      <c r="I98" s="253">
        <f>(I150/Population_Tables!V16)*Population_Tables!J16</f>
        <v>436.08699379502269</v>
      </c>
      <c r="J98" s="253">
        <f>(J150/Population_Tables!W16)*Population_Tables!K16</f>
        <v>626.16125235285926</v>
      </c>
      <c r="K98" s="253">
        <f>(K150/Population_Tables!X16)*Population_Tables!L16</f>
        <v>641.39654660489089</v>
      </c>
      <c r="L98" s="170"/>
      <c r="M98" s="170"/>
      <c r="N98" s="195">
        <f t="shared" si="9"/>
        <v>814.34957024734717</v>
      </c>
      <c r="O98" s="195">
        <f t="shared" si="11"/>
        <v>855.89467445987134</v>
      </c>
      <c r="P98" s="195">
        <f t="shared" si="10"/>
        <v>2585.7130303108856</v>
      </c>
      <c r="Q98" s="195">
        <f t="shared" si="12"/>
        <v>4255.9572750181042</v>
      </c>
      <c r="R98" s="196">
        <f t="shared" si="13"/>
        <v>0.19134345521452234</v>
      </c>
      <c r="S98" s="170"/>
      <c r="T98" s="170"/>
      <c r="U98" s="195">
        <f t="shared" si="18"/>
        <v>13.635159512552264</v>
      </c>
      <c r="V98" s="195">
        <f t="shared" si="14"/>
        <v>9.5213972604801711</v>
      </c>
      <c r="W98" s="195">
        <f t="shared" si="14"/>
        <v>32.292620424550933</v>
      </c>
      <c r="X98" s="195">
        <f t="shared" si="17"/>
        <v>55.449177197583367</v>
      </c>
      <c r="Y98" s="207">
        <f t="shared" si="16"/>
        <v>0.24590373025673179</v>
      </c>
      <c r="AC98" s="251">
        <f t="shared" si="15"/>
        <v>1.3019972996265112</v>
      </c>
    </row>
    <row r="99" spans="1:29" ht="15.6" x14ac:dyDescent="0.3">
      <c r="A99" s="206">
        <v>2028</v>
      </c>
      <c r="B99" s="253">
        <f>(B151/Population_Tables!O17)*Population_Tables!C17</f>
        <v>5316.1080035945724</v>
      </c>
      <c r="C99" s="253">
        <f>(C151/Population_Tables!P17)*Population_Tables!D17</f>
        <v>1639.5920336802167</v>
      </c>
      <c r="D99" s="253">
        <f>(D151/Population_Tables!Q17)*Population_Tables!E17</f>
        <v>559.8357081974325</v>
      </c>
      <c r="E99" s="253">
        <f>(E151/Population_Tables!R17)*Population_Tables!F17</f>
        <v>1326.8185363670889</v>
      </c>
      <c r="F99" s="253">
        <f>(F151/Population_Tables!S17)*Population_Tables!G17</f>
        <v>380.95131980145658</v>
      </c>
      <c r="G99" s="253">
        <f>(G151/Population_Tables!T17)*Population_Tables!H17</f>
        <v>403.02848626362186</v>
      </c>
      <c r="H99" s="253">
        <f>(H151/Population_Tables!U17)*Population_Tables!I17</f>
        <v>863.99597818366772</v>
      </c>
      <c r="I99" s="253">
        <f>(I151/Population_Tables!V17)*Population_Tables!J17</f>
        <v>439.11568591550753</v>
      </c>
      <c r="J99" s="253">
        <f>(J151/Population_Tables!W17)*Population_Tables!K17</f>
        <v>628.40884144544566</v>
      </c>
      <c r="K99" s="253">
        <f>(K151/Population_Tables!X17)*Population_Tables!L17</f>
        <v>645.34230945751551</v>
      </c>
      <c r="L99" s="170"/>
      <c r="M99" s="170"/>
      <c r="N99" s="195">
        <f t="shared" si="9"/>
        <v>843.77387798487769</v>
      </c>
      <c r="O99" s="195">
        <f t="shared" si="11"/>
        <v>863.99597818366772</v>
      </c>
      <c r="P99" s="195">
        <f t="shared" si="10"/>
        <v>2602.4562281412709</v>
      </c>
      <c r="Q99" s="195">
        <f t="shared" si="12"/>
        <v>4310.2260843098165</v>
      </c>
      <c r="R99" s="196">
        <f t="shared" si="13"/>
        <v>0.19576093260082172</v>
      </c>
      <c r="S99" s="170"/>
      <c r="T99" s="170"/>
      <c r="U99" s="195">
        <f t="shared" si="18"/>
        <v>16.803588128996466</v>
      </c>
      <c r="V99" s="195">
        <f t="shared" si="14"/>
        <v>11.429335179940495</v>
      </c>
      <c r="W99" s="195">
        <f t="shared" si="14"/>
        <v>38.815320916270593</v>
      </c>
      <c r="X99" s="195">
        <f t="shared" si="17"/>
        <v>67.048244225207554</v>
      </c>
      <c r="Y99" s="207">
        <f t="shared" si="16"/>
        <v>0.25061936107610949</v>
      </c>
      <c r="AC99" s="251">
        <f t="shared" si="15"/>
        <v>1.2951217821069889</v>
      </c>
    </row>
    <row r="100" spans="1:29" ht="15.6" x14ac:dyDescent="0.3">
      <c r="A100" s="206">
        <v>2029</v>
      </c>
      <c r="B100" s="253">
        <f>(B152/Population_Tables!O18)*Population_Tables!C18</f>
        <v>5360.4805544919309</v>
      </c>
      <c r="C100" s="253">
        <f>(C152/Population_Tables!P18)*Population_Tables!D18</f>
        <v>1646.3419593410176</v>
      </c>
      <c r="D100" s="253">
        <f>(D152/Population_Tables!Q18)*Population_Tables!E18</f>
        <v>563.60297043762228</v>
      </c>
      <c r="E100" s="253">
        <f>(E152/Population_Tables!R18)*Population_Tables!F18</f>
        <v>1355.8249044301824</v>
      </c>
      <c r="F100" s="253">
        <f>(F152/Population_Tables!S18)*Population_Tables!G18</f>
        <v>390.09239033089312</v>
      </c>
      <c r="G100" s="253">
        <f>(G152/Population_Tables!T18)*Population_Tables!H18</f>
        <v>409.4433930957627</v>
      </c>
      <c r="H100" s="253">
        <f>(H152/Population_Tables!U18)*Population_Tables!I18</f>
        <v>871.9464241916761</v>
      </c>
      <c r="I100" s="253">
        <f>(I152/Population_Tables!V18)*Population_Tables!J18</f>
        <v>442.03488490905886</v>
      </c>
      <c r="J100" s="253">
        <f>(J152/Population_Tables!W18)*Population_Tables!K18</f>
        <v>630.64023669690812</v>
      </c>
      <c r="K100" s="253">
        <f>(K152/Population_Tables!X18)*Population_Tables!L18</f>
        <v>649.28120787177454</v>
      </c>
      <c r="L100" s="170"/>
      <c r="M100" s="170"/>
      <c r="N100" s="195">
        <f t="shared" si="9"/>
        <v>873.97087056939938</v>
      </c>
      <c r="O100" s="195">
        <f t="shared" si="11"/>
        <v>871.9464241916761</v>
      </c>
      <c r="P100" s="195">
        <f t="shared" si="10"/>
        <v>2619.3883228744025</v>
      </c>
      <c r="Q100" s="195">
        <f t="shared" si="12"/>
        <v>4365.3056176354776</v>
      </c>
      <c r="R100" s="196">
        <f t="shared" si="13"/>
        <v>0.20020840397488518</v>
      </c>
      <c r="S100" s="170"/>
      <c r="T100" s="170"/>
      <c r="U100" s="195">
        <f t="shared" si="18"/>
        <v>20.283660001661133</v>
      </c>
      <c r="V100" s="195">
        <f t="shared" si="14"/>
        <v>13.462650942515097</v>
      </c>
      <c r="W100" s="195">
        <f t="shared" si="14"/>
        <v>45.750610553014667</v>
      </c>
      <c r="X100" s="195">
        <f t="shared" si="17"/>
        <v>79.496921497190897</v>
      </c>
      <c r="Y100" s="207">
        <f t="shared" si="16"/>
        <v>0.25515025764083049</v>
      </c>
      <c r="AC100" s="251">
        <f t="shared" si="15"/>
        <v>1.2880543061874068</v>
      </c>
    </row>
    <row r="101" spans="1:29" ht="15.6" x14ac:dyDescent="0.3">
      <c r="A101" s="206">
        <v>2030</v>
      </c>
      <c r="B101" s="253">
        <f>(B153/Population_Tables!O19)*Population_Tables!C19</f>
        <v>5404.9006909436584</v>
      </c>
      <c r="C101" s="253">
        <f>(C153/Population_Tables!P19)*Population_Tables!D19</f>
        <v>1653.1655937326827</v>
      </c>
      <c r="D101" s="253">
        <f>(D153/Population_Tables!Q19)*Population_Tables!E19</f>
        <v>567.4237386622259</v>
      </c>
      <c r="E101" s="253">
        <f>(E153/Population_Tables!R19)*Population_Tables!F19</f>
        <v>1385.3408287080524</v>
      </c>
      <c r="F101" s="253">
        <f>(F153/Population_Tables!S19)*Population_Tables!G19</f>
        <v>399.35849225777372</v>
      </c>
      <c r="G101" s="253">
        <f>(G153/Population_Tables!T19)*Population_Tables!H19</f>
        <v>415.92014733758549</v>
      </c>
      <c r="H101" s="253">
        <f>(H153/Population_Tables!U19)*Population_Tables!I19</f>
        <v>879.74834565958338</v>
      </c>
      <c r="I101" s="253">
        <f>(I153/Population_Tables!V19)*Population_Tables!J19</f>
        <v>444.86081379625131</v>
      </c>
      <c r="J101" s="253">
        <f>(J153/Population_Tables!W19)*Population_Tables!K19</f>
        <v>632.86197159386984</v>
      </c>
      <c r="K101" s="253">
        <f>(K153/Population_Tables!X19)*Population_Tables!L19</f>
        <v>653.22148411561932</v>
      </c>
      <c r="L101" s="170"/>
      <c r="M101" s="170"/>
      <c r="N101" s="195">
        <f t="shared" si="9"/>
        <v>904.95097530624287</v>
      </c>
      <c r="O101" s="195">
        <f t="shared" si="11"/>
        <v>879.74834565958338</v>
      </c>
      <c r="P101" s="195">
        <f t="shared" si="10"/>
        <v>2636.5094797324941</v>
      </c>
      <c r="Q101" s="195">
        <f t="shared" si="12"/>
        <v>4421.2088006983204</v>
      </c>
      <c r="R101" s="196">
        <f t="shared" si="13"/>
        <v>0.20468406178041348</v>
      </c>
      <c r="S101" s="170"/>
      <c r="T101" s="170"/>
      <c r="U101" s="195">
        <f t="shared" si="18"/>
        <v>24.089914976162618</v>
      </c>
      <c r="V101" s="195">
        <f t="shared" si="14"/>
        <v>15.624476540179103</v>
      </c>
      <c r="W101" s="195">
        <f t="shared" si="14"/>
        <v>53.087075145251674</v>
      </c>
      <c r="X101" s="195">
        <f t="shared" si="17"/>
        <v>92.801466661593395</v>
      </c>
      <c r="Y101" s="207">
        <f t="shared" si="16"/>
        <v>0.25958549840605499</v>
      </c>
      <c r="AC101" s="251">
        <f t="shared" si="15"/>
        <v>1.2808595827468772</v>
      </c>
    </row>
    <row r="102" spans="1:29" ht="15.6" x14ac:dyDescent="0.3">
      <c r="A102" s="206">
        <v>2031</v>
      </c>
      <c r="B102" s="253">
        <f>(B154/Population_Tables!O20)*Population_Tables!C20</f>
        <v>5449.3461125170961</v>
      </c>
      <c r="C102" s="253">
        <f>(C154/Population_Tables!P20)*Population_Tables!D20</f>
        <v>1660.0626182952462</v>
      </c>
      <c r="D102" s="253">
        <f>(D154/Population_Tables!Q20)*Population_Tables!E20</f>
        <v>571.29816697034289</v>
      </c>
      <c r="E102" s="253">
        <f>(E154/Population_Tables!R20)*Population_Tables!F20</f>
        <v>1415.3632204236485</v>
      </c>
      <c r="F102" s="253">
        <f>(F154/Population_Tables!S20)*Population_Tables!G20</f>
        <v>408.74991436614465</v>
      </c>
      <c r="G102" s="253">
        <f>(G154/Population_Tables!T20)*Population_Tables!H20</f>
        <v>422.45707722711705</v>
      </c>
      <c r="H102" s="253">
        <f>(H154/Population_Tables!U20)*Population_Tables!I20</f>
        <v>887.39782485305432</v>
      </c>
      <c r="I102" s="253">
        <f>(I154/Population_Tables!V20)*Population_Tables!J20</f>
        <v>447.59985015030588</v>
      </c>
      <c r="J102" s="253">
        <f>(J154/Population_Tables!W20)*Population_Tables!K20</f>
        <v>635.0764581720515</v>
      </c>
      <c r="K102" s="253">
        <f>(K154/Population_Tables!X20)*Population_Tables!L20</f>
        <v>657.1650274876788</v>
      </c>
      <c r="L102" s="170"/>
      <c r="M102" s="170"/>
      <c r="N102" s="195">
        <f t="shared" si="9"/>
        <v>936.71530993673878</v>
      </c>
      <c r="O102" s="195">
        <f t="shared" si="11"/>
        <v>887.39782485305432</v>
      </c>
      <c r="P102" s="195">
        <f t="shared" si="10"/>
        <v>2653.8178624927064</v>
      </c>
      <c r="Q102" s="195">
        <f t="shared" si="12"/>
        <v>4477.9309972824994</v>
      </c>
      <c r="R102" s="196">
        <f t="shared" si="13"/>
        <v>0.20918484686458963</v>
      </c>
      <c r="S102" s="170"/>
      <c r="T102" s="170"/>
      <c r="U102" s="195">
        <f t="shared" si="18"/>
        <v>28.227583334117185</v>
      </c>
      <c r="V102" s="195">
        <f t="shared" si="14"/>
        <v>17.911693054886086</v>
      </c>
      <c r="W102" s="195">
        <f t="shared" si="14"/>
        <v>60.811299058399072</v>
      </c>
      <c r="X102" s="195">
        <f t="shared" si="17"/>
        <v>106.95057544740234</v>
      </c>
      <c r="Y102" s="207">
        <f t="shared" si="16"/>
        <v>0.26393110290462479</v>
      </c>
      <c r="AC102" s="251">
        <f t="shared" si="15"/>
        <v>1.2735599797492756</v>
      </c>
    </row>
    <row r="103" spans="1:29" ht="15.6" x14ac:dyDescent="0.3">
      <c r="A103" s="206">
        <v>2032</v>
      </c>
      <c r="B103" s="253">
        <f>(B155/Population_Tables!O21)*Population_Tables!C21</f>
        <v>5493.7116165890502</v>
      </c>
      <c r="C103" s="253">
        <f>(C155/Population_Tables!P21)*Population_Tables!D21</f>
        <v>1667.0100074439911</v>
      </c>
      <c r="D103" s="253">
        <f>(D155/Population_Tables!Q21)*Population_Tables!E21</f>
        <v>575.22192121579292</v>
      </c>
      <c r="E103" s="253">
        <f>(E155/Population_Tables!R21)*Population_Tables!F21</f>
        <v>1445.8621846066208</v>
      </c>
      <c r="F103" s="253">
        <f>(F155/Population_Tables!S21)*Population_Tables!G21</f>
        <v>418.26108678379308</v>
      </c>
      <c r="G103" s="253">
        <f>(G155/Population_Tables!T21)*Population_Tables!H21</f>
        <v>429.05043291101845</v>
      </c>
      <c r="H103" s="253">
        <f>(H155/Population_Tables!U21)*Population_Tables!I21</f>
        <v>894.87945939561212</v>
      </c>
      <c r="I103" s="253">
        <f>(I155/Population_Tables!V21)*Population_Tables!J21</f>
        <v>450.24756165054424</v>
      </c>
      <c r="J103" s="253">
        <f>(J155/Population_Tables!W21)*Population_Tables!K21</f>
        <v>637.27878206704884</v>
      </c>
      <c r="K103" s="253">
        <f>(K155/Population_Tables!X21)*Population_Tables!L21</f>
        <v>661.10276864619777</v>
      </c>
      <c r="L103" s="170"/>
      <c r="M103" s="170"/>
      <c r="N103" s="195">
        <f t="shared" si="9"/>
        <v>969.2438119948016</v>
      </c>
      <c r="O103" s="195">
        <f t="shared" si="11"/>
        <v>894.87945939561212</v>
      </c>
      <c r="P103" s="195">
        <f t="shared" si="10"/>
        <v>2671.2823615708025</v>
      </c>
      <c r="Q103" s="195">
        <f t="shared" si="12"/>
        <v>4535.4056329612158</v>
      </c>
      <c r="R103" s="196">
        <f t="shared" si="13"/>
        <v>0.21370609167806051</v>
      </c>
      <c r="S103" s="170"/>
      <c r="T103" s="170"/>
      <c r="U103" s="195">
        <f t="shared" si="18"/>
        <v>32.68071514972462</v>
      </c>
      <c r="V103" s="195">
        <f t="shared" si="14"/>
        <v>20.309696926447714</v>
      </c>
      <c r="W103" s="195">
        <f t="shared" si="14"/>
        <v>68.880593296476945</v>
      </c>
      <c r="X103" s="195">
        <f t="shared" si="17"/>
        <v>121.87100537264928</v>
      </c>
      <c r="Y103" s="207">
        <f t="shared" si="16"/>
        <v>0.26815824690865264</v>
      </c>
      <c r="AC103" s="251">
        <f t="shared" si="15"/>
        <v>1.2661327249004481</v>
      </c>
    </row>
    <row r="104" spans="1:29" ht="15.6" x14ac:dyDescent="0.3">
      <c r="A104" s="206">
        <v>2033</v>
      </c>
      <c r="B104" s="253">
        <f>(B156/Population_Tables!O22)*Population_Tables!C22</f>
        <v>5537.7617268904742</v>
      </c>
      <c r="C104" s="253">
        <f>(C156/Population_Tables!P22)*Population_Tables!D22</f>
        <v>1673.957926550765</v>
      </c>
      <c r="D104" s="253">
        <f>(D156/Population_Tables!Q22)*Population_Tables!E22</f>
        <v>579.17877953040738</v>
      </c>
      <c r="E104" s="253">
        <f>(E156/Population_Tables!R22)*Population_Tables!F22</f>
        <v>1476.7762851058624</v>
      </c>
      <c r="F104" s="253">
        <f>(F156/Population_Tables!S22)*Population_Tables!G22</f>
        <v>427.87284052415271</v>
      </c>
      <c r="G104" s="253">
        <f>(G156/Population_Tables!T22)*Population_Tables!H22</f>
        <v>435.68130953707225</v>
      </c>
      <c r="H104" s="253">
        <f>(H156/Population_Tables!U22)*Population_Tables!I22</f>
        <v>902.16363234210837</v>
      </c>
      <c r="I104" s="253">
        <f>(I156/Population_Tables!V22)*Population_Tables!J22</f>
        <v>452.78942719842775</v>
      </c>
      <c r="J104" s="253">
        <f>(J156/Population_Tables!W22)*Population_Tables!K22</f>
        <v>639.45529560219336</v>
      </c>
      <c r="K104" s="253">
        <f>(K156/Population_Tables!X22)*Population_Tables!L22</f>
        <v>665.01260115036416</v>
      </c>
      <c r="L104" s="170"/>
      <c r="M104" s="170"/>
      <c r="N104" s="195">
        <f t="shared" si="9"/>
        <v>1002.4854932879067</v>
      </c>
      <c r="O104" s="195">
        <f t="shared" si="11"/>
        <v>902.16363234210837</v>
      </c>
      <c r="P104" s="195">
        <f t="shared" si="10"/>
        <v>2688.8180156182448</v>
      </c>
      <c r="Q104" s="195">
        <f t="shared" si="12"/>
        <v>4593.4671412482594</v>
      </c>
      <c r="R104" s="196">
        <f t="shared" si="13"/>
        <v>0.21824157275140202</v>
      </c>
      <c r="S104" s="170"/>
      <c r="T104" s="170"/>
      <c r="U104" s="195">
        <f t="shared" si="18"/>
        <v>37.402434770746254</v>
      </c>
      <c r="V104" s="195">
        <f t="shared" si="14"/>
        <v>22.789670026004046</v>
      </c>
      <c r="W104" s="195">
        <f t="shared" si="14"/>
        <v>77.198417099204562</v>
      </c>
      <c r="X104" s="195">
        <f t="shared" si="17"/>
        <v>137.39052189595486</v>
      </c>
      <c r="Y104" s="207">
        <f t="shared" si="16"/>
        <v>0.27223446169795412</v>
      </c>
      <c r="AC104" s="251">
        <f t="shared" si="15"/>
        <v>1.2585118655956007</v>
      </c>
    </row>
    <row r="105" spans="1:29" ht="15.6" x14ac:dyDescent="0.3">
      <c r="A105" s="206">
        <v>2034</v>
      </c>
      <c r="B105" s="253">
        <f>(B157/Population_Tables!O23)*Population_Tables!C23</f>
        <v>5581.1984080492575</v>
      </c>
      <c r="C105" s="253">
        <f>(C157/Population_Tables!P23)*Population_Tables!D23</f>
        <v>1680.840606683875</v>
      </c>
      <c r="D105" s="253">
        <f>(D157/Population_Tables!Q23)*Population_Tables!E23</f>
        <v>583.14696619463939</v>
      </c>
      <c r="E105" s="253">
        <f>(E157/Population_Tables!R23)*Population_Tables!F23</f>
        <v>1508.0226694967066</v>
      </c>
      <c r="F105" s="253">
        <f>(F157/Population_Tables!S23)*Population_Tables!G23</f>
        <v>437.56036654310304</v>
      </c>
      <c r="G105" s="253">
        <f>(G157/Population_Tables!T23)*Population_Tables!H23</f>
        <v>442.32544430590355</v>
      </c>
      <c r="H105" s="253">
        <f>(H157/Population_Tables!U23)*Population_Tables!I23</f>
        <v>909.21180606467601</v>
      </c>
      <c r="I105" s="253">
        <f>(I157/Population_Tables!V23)*Population_Tables!J23</f>
        <v>455.20494744104337</v>
      </c>
      <c r="J105" s="253">
        <f>(J157/Population_Tables!W23)*Population_Tables!K23</f>
        <v>641.58663405651237</v>
      </c>
      <c r="K105" s="253">
        <f>(K157/Population_Tables!X23)*Population_Tables!L23</f>
        <v>668.86507438707201</v>
      </c>
      <c r="L105" s="170"/>
      <c r="M105" s="170"/>
      <c r="N105" s="195">
        <f t="shared" si="9"/>
        <v>1036.3712299751337</v>
      </c>
      <c r="O105" s="195">
        <f t="shared" si="11"/>
        <v>909.21180606467601</v>
      </c>
      <c r="P105" s="195">
        <f t="shared" si="10"/>
        <v>2706.3130171844182</v>
      </c>
      <c r="Q105" s="195">
        <f t="shared" si="12"/>
        <v>4651.8960532242281</v>
      </c>
      <c r="R105" s="196">
        <f t="shared" si="13"/>
        <v>0.22278469211641672</v>
      </c>
      <c r="S105" s="170"/>
      <c r="T105" s="170"/>
      <c r="U105" s="195">
        <f t="shared" si="18"/>
        <v>42.327730896547223</v>
      </c>
      <c r="V105" s="195">
        <f t="shared" si="14"/>
        <v>25.313873541976704</v>
      </c>
      <c r="W105" s="195">
        <f t="shared" si="14"/>
        <v>85.641383604223392</v>
      </c>
      <c r="X105" s="195">
        <f t="shared" si="17"/>
        <v>153.28298804274732</v>
      </c>
      <c r="Y105" s="207">
        <f t="shared" si="16"/>
        <v>0.27614108673783766</v>
      </c>
      <c r="AC105" s="251">
        <f t="shared" si="15"/>
        <v>1.2506598786659178</v>
      </c>
    </row>
    <row r="106" spans="1:29" ht="15.6" x14ac:dyDescent="0.3">
      <c r="A106" s="206">
        <v>2035</v>
      </c>
      <c r="B106" s="253">
        <f>(B158/Population_Tables!O24)*Population_Tables!C24</f>
        <v>5623.8108104250659</v>
      </c>
      <c r="C106" s="253">
        <f>(C158/Population_Tables!P24)*Population_Tables!D24</f>
        <v>1687.6117066653021</v>
      </c>
      <c r="D106" s="253">
        <f>(D158/Population_Tables!Q24)*Population_Tables!E24</f>
        <v>587.11027894506765</v>
      </c>
      <c r="E106" s="253">
        <f>(E158/Population_Tables!R24)*Population_Tables!F24</f>
        <v>1539.5378052148048</v>
      </c>
      <c r="F106" s="253">
        <f>(F158/Population_Tables!S24)*Population_Tables!G24</f>
        <v>447.30601696627213</v>
      </c>
      <c r="G106" s="253">
        <f>(G158/Population_Tables!T24)*Population_Tables!H24</f>
        <v>448.96459194187747</v>
      </c>
      <c r="H106" s="253">
        <f>(H158/Population_Tables!U24)*Population_Tables!I24</f>
        <v>915.99411890347972</v>
      </c>
      <c r="I106" s="253">
        <f>(I158/Population_Tables!V24)*Population_Tables!J24</f>
        <v>457.48322806055518</v>
      </c>
      <c r="J106" s="253">
        <f>(J158/Population_Tables!W24)*Population_Tables!K24</f>
        <v>643.65973547793556</v>
      </c>
      <c r="K106" s="253">
        <f>(K158/Population_Tables!X24)*Population_Tables!L24</f>
        <v>672.64014946709278</v>
      </c>
      <c r="L106" s="170"/>
      <c r="M106" s="170"/>
      <c r="N106" s="195">
        <f t="shared" si="9"/>
        <v>1070.8497032775972</v>
      </c>
      <c r="O106" s="195">
        <f t="shared" si="11"/>
        <v>915.99411890347972</v>
      </c>
      <c r="P106" s="195">
        <f t="shared" si="10"/>
        <v>2723.6865775522474</v>
      </c>
      <c r="Q106" s="195">
        <f t="shared" si="12"/>
        <v>4710.530399733324</v>
      </c>
      <c r="R106" s="196">
        <f t="shared" si="13"/>
        <v>0.22733102483283432</v>
      </c>
      <c r="S106" s="170"/>
      <c r="T106" s="170"/>
      <c r="U106" s="195">
        <f t="shared" si="18"/>
        <v>47.409397288528339</v>
      </c>
      <c r="V106" s="195">
        <f t="shared" si="14"/>
        <v>27.853244630818836</v>
      </c>
      <c r="W106" s="195">
        <f t="shared" si="14"/>
        <v>94.117124682713893</v>
      </c>
      <c r="X106" s="195">
        <f t="shared" si="17"/>
        <v>169.37976660206107</v>
      </c>
      <c r="Y106" s="207">
        <f t="shared" si="16"/>
        <v>0.27990000364040796</v>
      </c>
      <c r="AC106" s="251">
        <f t="shared" si="15"/>
        <v>1.242607723922392</v>
      </c>
    </row>
    <row r="107" spans="1:29" ht="15.6" x14ac:dyDescent="0.3">
      <c r="A107" s="206">
        <v>2036</v>
      </c>
      <c r="B107" s="253">
        <f>(B159/Population_Tables!O25)*Population_Tables!C25</f>
        <v>5665.5168380245123</v>
      </c>
      <c r="C107" s="253">
        <f>(C159/Population_Tables!P25)*Population_Tables!D25</f>
        <v>1694.2541736287578</v>
      </c>
      <c r="D107" s="253">
        <f>(D159/Population_Tables!Q25)*Population_Tables!E25</f>
        <v>591.06070319580795</v>
      </c>
      <c r="E107" s="253">
        <f>(E159/Population_Tables!R25)*Population_Tables!F25</f>
        <v>1571.2916427101172</v>
      </c>
      <c r="F107" s="253">
        <f>(F159/Population_Tables!S25)*Population_Tables!G25</f>
        <v>457.10309937863383</v>
      </c>
      <c r="G107" s="253">
        <f>(G159/Population_Tables!T25)*Population_Tables!H25</f>
        <v>455.58938597334213</v>
      </c>
      <c r="H107" s="253">
        <f>(H159/Population_Tables!U25)*Population_Tables!I25</f>
        <v>922.4949301838368</v>
      </c>
      <c r="I107" s="253">
        <f>(I159/Population_Tables!V25)*Population_Tables!J25</f>
        <v>459.62836355153939</v>
      </c>
      <c r="J107" s="253">
        <f>(J159/Population_Tables!W25)*Population_Tables!K25</f>
        <v>645.67035297510006</v>
      </c>
      <c r="K107" s="253">
        <f>(K159/Population_Tables!X25)*Population_Tables!L25</f>
        <v>676.33249807166567</v>
      </c>
      <c r="L107" s="170"/>
      <c r="M107" s="170"/>
      <c r="N107" s="195">
        <f t="shared" si="9"/>
        <v>1105.8998119049143</v>
      </c>
      <c r="O107" s="195">
        <f t="shared" si="11"/>
        <v>922.4949301838368</v>
      </c>
      <c r="P107" s="195">
        <f t="shared" si="10"/>
        <v>2740.9042627979079</v>
      </c>
      <c r="Q107" s="195">
        <f t="shared" si="12"/>
        <v>4769.2990048866586</v>
      </c>
      <c r="R107" s="196">
        <f t="shared" si="13"/>
        <v>0.2318789010233582</v>
      </c>
      <c r="S107" s="170"/>
      <c r="T107" s="170"/>
      <c r="U107" s="195">
        <f t="shared" si="18"/>
        <v>52.630445196591609</v>
      </c>
      <c r="V107" s="195">
        <f t="shared" si="14"/>
        <v>30.392941434136219</v>
      </c>
      <c r="W107" s="195">
        <f t="shared" si="14"/>
        <v>102.57962699910922</v>
      </c>
      <c r="X107" s="195">
        <f t="shared" si="17"/>
        <v>185.60301362983705</v>
      </c>
      <c r="Y107" s="207">
        <f t="shared" si="16"/>
        <v>0.28356460472973094</v>
      </c>
      <c r="AC107" s="251">
        <f t="shared" si="15"/>
        <v>1.2344380342434702</v>
      </c>
    </row>
    <row r="108" spans="1:29" ht="15.6" x14ac:dyDescent="0.3">
      <c r="A108" s="206">
        <v>2037</v>
      </c>
      <c r="B108" s="253">
        <f>(B160/Population_Tables!O26)*Population_Tables!C26</f>
        <v>5706.3729213400557</v>
      </c>
      <c r="C108" s="253">
        <f>(C160/Population_Tables!P26)*Population_Tables!D26</f>
        <v>1700.7837562591119</v>
      </c>
      <c r="D108" s="253">
        <f>(D160/Population_Tables!Q26)*Population_Tables!E26</f>
        <v>595.00155925942283</v>
      </c>
      <c r="E108" s="253">
        <f>(E160/Population_Tables!R26)*Population_Tables!F26</f>
        <v>1603.2926041998855</v>
      </c>
      <c r="F108" s="253">
        <f>(F160/Population_Tables!S26)*Population_Tables!G26</f>
        <v>466.95657099901871</v>
      </c>
      <c r="G108" s="253">
        <f>(G160/Population_Tables!T26)*Population_Tables!H26</f>
        <v>462.20166224002503</v>
      </c>
      <c r="H108" s="253">
        <f>(H160/Population_Tables!U26)*Population_Tables!I26</f>
        <v>928.7152520723215</v>
      </c>
      <c r="I108" s="253">
        <f>(I160/Population_Tables!V26)*Population_Tables!J26</f>
        <v>461.65791687777659</v>
      </c>
      <c r="J108" s="253">
        <f>(J160/Population_Tables!W26)*Population_Tables!K26</f>
        <v>647.62580954821465</v>
      </c>
      <c r="K108" s="253">
        <f>(K160/Population_Tables!X26)*Population_Tables!L26</f>
        <v>679.95175701524749</v>
      </c>
      <c r="L108" s="170"/>
      <c r="M108" s="170"/>
      <c r="N108" s="195">
        <f t="shared" si="9"/>
        <v>1141.5339231265825</v>
      </c>
      <c r="O108" s="195">
        <f t="shared" si="11"/>
        <v>928.7152520723215</v>
      </c>
      <c r="P108" s="195">
        <f t="shared" si="10"/>
        <v>2757.98697775856</v>
      </c>
      <c r="Q108" s="195">
        <f t="shared" si="12"/>
        <v>4828.2361529574637</v>
      </c>
      <c r="R108" s="196">
        <f t="shared" si="13"/>
        <v>0.23642876755880157</v>
      </c>
      <c r="S108" s="170"/>
      <c r="T108" s="170"/>
      <c r="U108" s="195">
        <f t="shared" si="18"/>
        <v>58.007354430520763</v>
      </c>
      <c r="V108" s="195">
        <f t="shared" si="14"/>
        <v>32.93477493479179</v>
      </c>
      <c r="W108" s="195">
        <f t="shared" si="14"/>
        <v>111.03821597882597</v>
      </c>
      <c r="X108" s="195">
        <f t="shared" si="17"/>
        <v>201.98034534413853</v>
      </c>
      <c r="Y108" s="207">
        <f t="shared" si="16"/>
        <v>0.28719306490780855</v>
      </c>
      <c r="AC108" s="251">
        <f t="shared" si="15"/>
        <v>1.2262405858844219</v>
      </c>
    </row>
    <row r="109" spans="1:29" ht="15.6" x14ac:dyDescent="0.3">
      <c r="A109" s="206">
        <v>2038</v>
      </c>
      <c r="B109" s="253">
        <f>(B161/Population_Tables!O27)*Population_Tables!C27</f>
        <v>5746.4862748722644</v>
      </c>
      <c r="C109" s="253">
        <f>(C161/Population_Tables!P27)*Population_Tables!D27</f>
        <v>1707.2290407155938</v>
      </c>
      <c r="D109" s="253">
        <f>(D161/Population_Tables!Q27)*Population_Tables!E27</f>
        <v>598.94154095257784</v>
      </c>
      <c r="E109" s="253">
        <f>(E161/Population_Tables!R27)*Population_Tables!F27</f>
        <v>1635.5639164486049</v>
      </c>
      <c r="F109" s="253">
        <f>(F161/Population_Tables!S27)*Population_Tables!G27</f>
        <v>476.8753961560468</v>
      </c>
      <c r="G109" s="253">
        <f>(G161/Population_Tables!T27)*Population_Tables!H27</f>
        <v>468.80969910486874</v>
      </c>
      <c r="H109" s="253">
        <f>(H161/Population_Tables!U27)*Population_Tables!I27</f>
        <v>934.66288312918789</v>
      </c>
      <c r="I109" s="253">
        <f>(I161/Population_Tables!V27)*Population_Tables!J27</f>
        <v>463.59228363777441</v>
      </c>
      <c r="J109" s="253">
        <f>(J161/Population_Tables!W27)*Population_Tables!K27</f>
        <v>649.5385339002454</v>
      </c>
      <c r="K109" s="253">
        <f>(K161/Population_Tables!X27)*Population_Tables!L27</f>
        <v>683.51221986465828</v>
      </c>
      <c r="L109" s="170"/>
      <c r="M109" s="170"/>
      <c r="N109" s="195">
        <f t="shared" si="9"/>
        <v>1177.7764294754638</v>
      </c>
      <c r="O109" s="195">
        <f t="shared" si="11"/>
        <v>934.66288312918789</v>
      </c>
      <c r="P109" s="195">
        <f t="shared" si="10"/>
        <v>2774.9802807730402</v>
      </c>
      <c r="Q109" s="195">
        <f t="shared" si="12"/>
        <v>4887.4195933776919</v>
      </c>
      <c r="R109" s="196">
        <f t="shared" si="13"/>
        <v>0.24098123907170071</v>
      </c>
      <c r="S109" s="170"/>
      <c r="T109" s="170"/>
      <c r="U109" s="195">
        <f t="shared" si="18"/>
        <v>63.568630063463161</v>
      </c>
      <c r="V109" s="195">
        <f t="shared" si="14"/>
        <v>35.487342509328187</v>
      </c>
      <c r="W109" s="195">
        <f t="shared" si="14"/>
        <v>119.5268705489575</v>
      </c>
      <c r="X109" s="195">
        <f t="shared" si="17"/>
        <v>218.58284312174885</v>
      </c>
      <c r="Y109" s="207">
        <f t="shared" si="16"/>
        <v>0.29082168186482943</v>
      </c>
      <c r="AC109" s="251">
        <f t="shared" si="15"/>
        <v>1.2180727191600755</v>
      </c>
    </row>
    <row r="110" spans="1:29" ht="15.6" x14ac:dyDescent="0.3">
      <c r="A110" s="206">
        <v>2039</v>
      </c>
      <c r="B110" s="253">
        <f>(B162/Population_Tables!O28)*Population_Tables!C28</f>
        <v>5786.0311791271833</v>
      </c>
      <c r="C110" s="253">
        <f>(C162/Population_Tables!P28)*Population_Tables!D28</f>
        <v>1713.6354953358643</v>
      </c>
      <c r="D110" s="253">
        <f>(D162/Population_Tables!Q28)*Population_Tables!E28</f>
        <v>602.89609649853548</v>
      </c>
      <c r="E110" s="253">
        <f>(E162/Population_Tables!R28)*Population_Tables!F28</f>
        <v>1668.1507403336802</v>
      </c>
      <c r="F110" s="253">
        <f>(F162/Population_Tables!S28)*Population_Tables!G28</f>
        <v>486.87407680595595</v>
      </c>
      <c r="G110" s="253">
        <f>(G162/Population_Tables!T28)*Population_Tables!H28</f>
        <v>475.42790561884556</v>
      </c>
      <c r="H110" s="253">
        <f>(H162/Population_Tables!U28)*Population_Tables!I28</f>
        <v>940.35478761407194</v>
      </c>
      <c r="I110" s="253">
        <f>(I162/Population_Tables!V28)*Population_Tables!J28</f>
        <v>465.45790698802944</v>
      </c>
      <c r="J110" s="253">
        <f>(J162/Population_Tables!W28)*Population_Tables!K28</f>
        <v>651.4274235768512</v>
      </c>
      <c r="K110" s="253">
        <f>(K162/Population_Tables!X28)*Population_Tables!L28</f>
        <v>687.0354493133467</v>
      </c>
      <c r="L110" s="170"/>
      <c r="M110" s="170"/>
      <c r="N110" s="195">
        <f t="shared" si="9"/>
        <v>1214.6700295255641</v>
      </c>
      <c r="O110" s="195">
        <f t="shared" si="11"/>
        <v>940.35478761407194</v>
      </c>
      <c r="P110" s="195">
        <f t="shared" si="10"/>
        <v>2791.9594974532456</v>
      </c>
      <c r="Q110" s="195">
        <f t="shared" si="12"/>
        <v>4946.9843145928817</v>
      </c>
      <c r="R110" s="196">
        <f t="shared" si="13"/>
        <v>0.24553747339413728</v>
      </c>
      <c r="S110" s="170"/>
      <c r="T110" s="170"/>
      <c r="U110" s="195">
        <f t="shared" si="18"/>
        <v>69.361083209710614</v>
      </c>
      <c r="V110" s="195">
        <f t="shared" si="14"/>
        <v>38.068407233669632</v>
      </c>
      <c r="W110" s="195">
        <f t="shared" si="14"/>
        <v>128.10933690965658</v>
      </c>
      <c r="X110" s="195">
        <f t="shared" si="17"/>
        <v>235.53882735303682</v>
      </c>
      <c r="Y110" s="207">
        <f t="shared" si="16"/>
        <v>0.29447834138084128</v>
      </c>
      <c r="AC110" s="251">
        <f t="shared" si="15"/>
        <v>1.2099760807695852</v>
      </c>
    </row>
    <row r="111" spans="1:29" ht="15.6" x14ac:dyDescent="0.3">
      <c r="A111" s="206">
        <v>2040</v>
      </c>
      <c r="B111" s="253">
        <f>(B163/Population_Tables!O29)*Population_Tables!C29</f>
        <v>5825.1526009176032</v>
      </c>
      <c r="C111" s="253">
        <f>(C163/Population_Tables!P29)*Population_Tables!D29</f>
        <v>1720.0415782334121</v>
      </c>
      <c r="D111" s="253">
        <f>(D163/Population_Tables!Q29)*Population_Tables!E29</f>
        <v>606.8777345257929</v>
      </c>
      <c r="E111" s="253">
        <f>(E163/Population_Tables!R29)*Population_Tables!F29</f>
        <v>1701.0930395803737</v>
      </c>
      <c r="F111" s="253">
        <f>(F163/Population_Tables!S29)*Population_Tables!G29</f>
        <v>496.96462772732798</v>
      </c>
      <c r="G111" s="253">
        <f>(G163/Population_Tables!T29)*Population_Tables!H29</f>
        <v>482.06845705661283</v>
      </c>
      <c r="H111" s="253">
        <f>(H163/Population_Tables!U29)*Population_Tables!I29</f>
        <v>945.80476165992604</v>
      </c>
      <c r="I111" s="253">
        <f>(I163/Population_Tables!V29)*Population_Tables!J29</f>
        <v>467.27949726346293</v>
      </c>
      <c r="J111" s="253">
        <f>(J163/Population_Tables!W29)*Population_Tables!K29</f>
        <v>653.30853437914755</v>
      </c>
      <c r="K111" s="253">
        <f>(K163/Population_Tables!X29)*Population_Tables!L29</f>
        <v>690.54032532830593</v>
      </c>
      <c r="L111" s="170"/>
      <c r="M111" s="170"/>
      <c r="N111" s="195">
        <f t="shared" si="9"/>
        <v>1252.2529056477756</v>
      </c>
      <c r="O111" s="195">
        <f t="shared" si="11"/>
        <v>945.80476165992604</v>
      </c>
      <c r="P111" s="195">
        <f t="shared" si="10"/>
        <v>2808.987769815818</v>
      </c>
      <c r="Q111" s="195">
        <f t="shared" si="12"/>
        <v>5007.0454371235192</v>
      </c>
      <c r="R111" s="196">
        <f>N111/Q111</f>
        <v>0.25009817094193942</v>
      </c>
      <c r="S111" s="170"/>
      <c r="T111" s="170"/>
      <c r="U111" s="195">
        <f t="shared" si="18"/>
        <v>75.427008780440701</v>
      </c>
      <c r="V111" s="195">
        <f t="shared" si="14"/>
        <v>40.692564057057439</v>
      </c>
      <c r="W111" s="195">
        <f t="shared" si="14"/>
        <v>136.83717766582231</v>
      </c>
      <c r="X111" s="195">
        <f t="shared" si="17"/>
        <v>252.95675050332045</v>
      </c>
      <c r="Y111" s="207">
        <f t="shared" si="16"/>
        <v>0.29818144259981155</v>
      </c>
      <c r="AC111" s="251">
        <f t="shared" si="15"/>
        <v>1.2019756528145755</v>
      </c>
    </row>
    <row r="112" spans="1:29" ht="15.6" x14ac:dyDescent="0.3">
      <c r="A112" s="206">
        <v>2041</v>
      </c>
      <c r="B112" s="253">
        <f>(B164/Population_Tables!O30)*Population_Tables!C30</f>
        <v>5863.8897708368968</v>
      </c>
      <c r="C112" s="253">
        <f>(C164/Population_Tables!P30)*Population_Tables!D30</f>
        <v>1726.4648547606105</v>
      </c>
      <c r="D112" s="253">
        <f>(D164/Population_Tables!Q30)*Population_Tables!E30</f>
        <v>610.88950495203142</v>
      </c>
      <c r="E112" s="253">
        <f>(E164/Population_Tables!R30)*Population_Tables!F30</f>
        <v>1734.4005781336098</v>
      </c>
      <c r="F112" s="253">
        <f>(F164/Population_Tables!S30)*Population_Tables!G30</f>
        <v>507.15008456960146</v>
      </c>
      <c r="G112" s="253">
        <f>(G164/Population_Tables!T30)*Population_Tables!H30</f>
        <v>488.73379865382839</v>
      </c>
      <c r="H112" s="253">
        <f>(H164/Population_Tables!U30)*Population_Tables!I30</f>
        <v>951.01290020357283</v>
      </c>
      <c r="I112" s="253">
        <f>(I164/Population_Tables!V30)*Population_Tables!J30</f>
        <v>469.0726684573761</v>
      </c>
      <c r="J112" s="253">
        <f>(J164/Population_Tables!W30)*Population_Tables!K30</f>
        <v>655.18999050395121</v>
      </c>
      <c r="K112" s="253">
        <f>(K164/Population_Tables!X30)*Population_Tables!L30</f>
        <v>694.03644970843777</v>
      </c>
      <c r="L112" s="170"/>
      <c r="M112" s="170"/>
      <c r="N112" s="195">
        <f t="shared" si="9"/>
        <v>1290.5377624996386</v>
      </c>
      <c r="O112" s="195">
        <f t="shared" si="11"/>
        <v>951.01290020357283</v>
      </c>
      <c r="P112" s="195">
        <f t="shared" si="10"/>
        <v>2826.08815836647</v>
      </c>
      <c r="Q112" s="195">
        <f t="shared" si="12"/>
        <v>5067.6388210696814</v>
      </c>
      <c r="R112" s="196">
        <f t="shared" si="13"/>
        <v>0.25466253773532166</v>
      </c>
      <c r="S112" s="170"/>
      <c r="T112" s="170"/>
      <c r="U112" s="195">
        <f t="shared" si="18"/>
        <v>81.78322397347938</v>
      </c>
      <c r="V112" s="195">
        <f t="shared" si="14"/>
        <v>43.36070673260258</v>
      </c>
      <c r="W112" s="195">
        <f t="shared" si="14"/>
        <v>145.7218739114237</v>
      </c>
      <c r="X112" s="195">
        <f t="shared" si="17"/>
        <v>270.86580461750566</v>
      </c>
      <c r="Y112" s="207">
        <f t="shared" si="16"/>
        <v>0.30193262707696494</v>
      </c>
      <c r="AC112" s="251">
        <f t="shared" si="15"/>
        <v>1.1940610137176051</v>
      </c>
    </row>
    <row r="113" spans="1:29" ht="15.6" x14ac:dyDescent="0.3">
      <c r="A113" s="206">
        <v>2042</v>
      </c>
      <c r="B113" s="253">
        <f>(B165/Population_Tables!O31)*Population_Tables!C31</f>
        <v>5902.2551917014589</v>
      </c>
      <c r="C113" s="253">
        <f>(C165/Population_Tables!P31)*Population_Tables!D31</f>
        <v>1732.9129164821345</v>
      </c>
      <c r="D113" s="253">
        <f>(D165/Population_Tables!Q31)*Population_Tables!E31</f>
        <v>614.9306780799493</v>
      </c>
      <c r="E113" s="253">
        <f>(E165/Population_Tables!R31)*Population_Tables!F31</f>
        <v>1768.0773597679454</v>
      </c>
      <c r="F113" s="253">
        <f>(F165/Population_Tables!S31)*Population_Tables!G31</f>
        <v>517.43105374893321</v>
      </c>
      <c r="G113" s="253">
        <f>(G165/Population_Tables!T31)*Population_Tables!H31</f>
        <v>495.42300976339197</v>
      </c>
      <c r="H113" s="253">
        <f>(H165/Population_Tables!U31)*Population_Tables!I31</f>
        <v>955.97576493975942</v>
      </c>
      <c r="I113" s="253">
        <f>(I165/Population_Tables!V31)*Population_Tables!J31</f>
        <v>470.85290270479413</v>
      </c>
      <c r="J113" s="253">
        <f>(J165/Population_Tables!W31)*Population_Tables!K31</f>
        <v>657.07588594718243</v>
      </c>
      <c r="K113" s="253">
        <f>(K165/Population_Tables!X31)*Population_Tables!L31</f>
        <v>697.52994456962756</v>
      </c>
      <c r="L113" s="170"/>
      <c r="M113" s="170"/>
      <c r="N113" s="195">
        <f t="shared" si="9"/>
        <v>1329.5326485771193</v>
      </c>
      <c r="O113" s="195">
        <f t="shared" si="11"/>
        <v>955.97576493975942</v>
      </c>
      <c r="P113" s="195">
        <f t="shared" si="10"/>
        <v>2843.2666043254758</v>
      </c>
      <c r="Q113" s="195">
        <f t="shared" si="12"/>
        <v>5128.7750178423548</v>
      </c>
      <c r="R113" s="196">
        <f t="shared" si="13"/>
        <v>0.25923005863034437</v>
      </c>
      <c r="S113" s="170"/>
      <c r="T113" s="170"/>
      <c r="U113" s="195">
        <f t="shared" si="18"/>
        <v>88.441889825078988</v>
      </c>
      <c r="V113" s="195">
        <f t="shared" si="14"/>
        <v>46.070195771340764</v>
      </c>
      <c r="W113" s="195">
        <f t="shared" si="14"/>
        <v>154.75778745499247</v>
      </c>
      <c r="X113" s="195">
        <f t="shared" si="17"/>
        <v>289.26987305141222</v>
      </c>
      <c r="Y113" s="207">
        <f t="shared" si="16"/>
        <v>0.30574179361346809</v>
      </c>
      <c r="AC113" s="251">
        <f t="shared" si="15"/>
        <v>1.1862380148012299</v>
      </c>
    </row>
    <row r="114" spans="1:29" ht="15.6" x14ac:dyDescent="0.3">
      <c r="A114" s="206">
        <v>2043</v>
      </c>
      <c r="B114" s="253">
        <f>(B166/Population_Tables!O32)*Population_Tables!C32</f>
        <v>5940.3429120881829</v>
      </c>
      <c r="C114" s="253">
        <f>(C166/Population_Tables!P32)*Population_Tables!D32</f>
        <v>1739.4073188482885</v>
      </c>
      <c r="D114" s="253">
        <f>(D166/Population_Tables!Q32)*Population_Tables!E32</f>
        <v>619.00617232108846</v>
      </c>
      <c r="E114" s="253">
        <f>(E166/Population_Tables!R32)*Population_Tables!F32</f>
        <v>1802.1561292792562</v>
      </c>
      <c r="F114" s="253">
        <f>(F166/Population_Tables!S32)*Population_Tables!G32</f>
        <v>527.81498579754475</v>
      </c>
      <c r="G114" s="253">
        <f>(G166/Population_Tables!T32)*Population_Tables!H32</f>
        <v>502.14152015128741</v>
      </c>
      <c r="H114" s="253">
        <f>(H166/Population_Tables!U32)*Population_Tables!I32</f>
        <v>960.70116964896306</v>
      </c>
      <c r="I114" s="253">
        <f>(I166/Population_Tables!V32)*Population_Tables!J32</f>
        <v>472.64542803721088</v>
      </c>
      <c r="J114" s="253">
        <f>(J166/Population_Tables!W32)*Population_Tables!K32</f>
        <v>658.97529104019043</v>
      </c>
      <c r="K114" s="253">
        <f>(K166/Population_Tables!X32)*Population_Tables!L32</f>
        <v>701.03328598149847</v>
      </c>
      <c r="L114" s="170"/>
      <c r="M114" s="170"/>
      <c r="N114" s="195">
        <f t="shared" si="9"/>
        <v>1369.2699454278377</v>
      </c>
      <c r="O114" s="195">
        <f t="shared" si="11"/>
        <v>960.70116964896306</v>
      </c>
      <c r="P114" s="195">
        <f t="shared" si="10"/>
        <v>2860.5550113206641</v>
      </c>
      <c r="Q114" s="195">
        <f t="shared" si="12"/>
        <v>5190.5261263974644</v>
      </c>
      <c r="R114" s="196">
        <f t="shared" si="13"/>
        <v>0.26380176345980422</v>
      </c>
      <c r="S114" s="170"/>
      <c r="T114" s="170"/>
      <c r="U114" s="195">
        <f t="shared" si="18"/>
        <v>95.439500423144636</v>
      </c>
      <c r="V114" s="195">
        <f t="shared" si="14"/>
        <v>48.829643770037819</v>
      </c>
      <c r="W114" s="195">
        <f t="shared" si="14"/>
        <v>163.9652425126128</v>
      </c>
      <c r="X114" s="195">
        <f t="shared" si="17"/>
        <v>308.23438670579526</v>
      </c>
      <c r="Y114" s="207">
        <f t="shared" si="16"/>
        <v>0.30963287854784383</v>
      </c>
      <c r="AC114" s="251">
        <f t="shared" si="15"/>
        <v>1.178539876996332</v>
      </c>
    </row>
    <row r="115" spans="1:29" ht="15.6" x14ac:dyDescent="0.3">
      <c r="A115" s="206">
        <v>2044</v>
      </c>
      <c r="B115" s="253">
        <f>(B167/Population_Tables!O33)*Population_Tables!C33</f>
        <v>5978.2585761456794</v>
      </c>
      <c r="C115" s="253">
        <f>(C167/Population_Tables!P33)*Population_Tables!D33</f>
        <v>1745.9699791263697</v>
      </c>
      <c r="D115" s="253">
        <f>(D167/Population_Tables!Q33)*Population_Tables!E33</f>
        <v>623.12092994787031</v>
      </c>
      <c r="E115" s="253">
        <f>(E167/Population_Tables!R33)*Population_Tables!F33</f>
        <v>1836.6772259246623</v>
      </c>
      <c r="F115" s="253">
        <f>(F167/Population_Tables!S33)*Population_Tables!G33</f>
        <v>538.31013847805775</v>
      </c>
      <c r="G115" s="253">
        <f>(G167/Population_Tables!T33)*Population_Tables!H33</f>
        <v>508.8953442130499</v>
      </c>
      <c r="H115" s="253">
        <f>(H167/Population_Tables!U33)*Population_Tables!I33</f>
        <v>965.19906895321162</v>
      </c>
      <c r="I115" s="253">
        <f>(I167/Population_Tables!V33)*Population_Tables!J33</f>
        <v>474.47797304693052</v>
      </c>
      <c r="J115" s="253">
        <f>(J167/Population_Tables!W33)*Population_Tables!K33</f>
        <v>660.89723584008573</v>
      </c>
      <c r="K115" s="253">
        <f>(K167/Population_Tables!X33)*Population_Tables!L33</f>
        <v>704.55964979975795</v>
      </c>
      <c r="L115" s="170"/>
      <c r="M115" s="170"/>
      <c r="N115" s="195">
        <f t="shared" si="9"/>
        <v>1409.7882954495085</v>
      </c>
      <c r="O115" s="195">
        <f t="shared" si="11"/>
        <v>965.19906895321162</v>
      </c>
      <c r="P115" s="195">
        <f t="shared" si="10"/>
        <v>2877.9862532872899</v>
      </c>
      <c r="Q115" s="195">
        <f t="shared" si="12"/>
        <v>5252.9736176900096</v>
      </c>
      <c r="R115" s="196">
        <f t="shared" si="13"/>
        <v>0.26837909307251795</v>
      </c>
      <c r="S115" s="170"/>
      <c r="T115" s="170"/>
      <c r="U115" s="195">
        <f t="shared" si="18"/>
        <v>102.81881070567761</v>
      </c>
      <c r="V115" s="195">
        <f t="shared" si="14"/>
        <v>51.649804167009961</v>
      </c>
      <c r="W115" s="195">
        <f t="shared" si="14"/>
        <v>173.36553360779681</v>
      </c>
      <c r="X115" s="195">
        <f t="shared" si="17"/>
        <v>327.83414848048437</v>
      </c>
      <c r="Y115" s="207">
        <f t="shared" si="16"/>
        <v>0.31363056954940222</v>
      </c>
      <c r="AC115" s="251">
        <f t="shared" si="15"/>
        <v>1.1709990435051809</v>
      </c>
    </row>
    <row r="116" spans="1:29" ht="15.6" x14ac:dyDescent="0.3">
      <c r="A116" s="206">
        <v>2045</v>
      </c>
      <c r="B116" s="253">
        <f>(B168/Population_Tables!O34)*Population_Tables!C34</f>
        <v>6016.0950842839911</v>
      </c>
      <c r="C116" s="253">
        <f>(C168/Population_Tables!P34)*Population_Tables!D34</f>
        <v>1752.6248683670144</v>
      </c>
      <c r="D116" s="253">
        <f>(D168/Population_Tables!Q34)*Population_Tables!E34</f>
        <v>627.27998558076797</v>
      </c>
      <c r="E116" s="253">
        <f>(E168/Population_Tables!R34)*Population_Tables!F34</f>
        <v>1871.6777087710848</v>
      </c>
      <c r="F116" s="253">
        <f>(F168/Population_Tables!S34)*Population_Tables!G34</f>
        <v>548.92369715204109</v>
      </c>
      <c r="G116" s="253">
        <f>(G168/Population_Tables!T34)*Population_Tables!H34</f>
        <v>515.69016818874991</v>
      </c>
      <c r="H116" s="253">
        <f>(H168/Population_Tables!U34)*Population_Tables!I34</f>
        <v>969.47776706875266</v>
      </c>
      <c r="I116" s="253">
        <f>(I168/Population_Tables!V34)*Population_Tables!J34</f>
        <v>476.3761084227562</v>
      </c>
      <c r="J116" s="253">
        <f>(J168/Population_Tables!W34)*Population_Tables!K34</f>
        <v>662.85145502069099</v>
      </c>
      <c r="K116" s="253">
        <f>(K168/Population_Tables!X34)*Population_Tables!L34</f>
        <v>708.1227402347339</v>
      </c>
      <c r="L116" s="170"/>
      <c r="M116" s="170"/>
      <c r="N116" s="195">
        <f t="shared" si="9"/>
        <v>1451.123638854373</v>
      </c>
      <c r="O116" s="195">
        <f t="shared" si="11"/>
        <v>969.47776706875266</v>
      </c>
      <c r="P116" s="195">
        <f t="shared" si="10"/>
        <v>2895.5950221365324</v>
      </c>
      <c r="Q116" s="195">
        <f t="shared" si="12"/>
        <v>5316.1964280596585</v>
      </c>
      <c r="R116" s="196">
        <f t="shared" si="13"/>
        <v>0.27296275795889169</v>
      </c>
      <c r="S116" s="170"/>
      <c r="T116" s="170"/>
      <c r="U116" s="195">
        <f t="shared" si="18"/>
        <v>110.61987342520388</v>
      </c>
      <c r="V116" s="195">
        <f t="shared" si="14"/>
        <v>54.539779994793662</v>
      </c>
      <c r="W116" s="195">
        <f t="shared" si="14"/>
        <v>182.98177323998016</v>
      </c>
      <c r="X116" s="195">
        <f t="shared" si="17"/>
        <v>348.1414266599777</v>
      </c>
      <c r="Y116" s="207">
        <f t="shared" si="16"/>
        <v>0.31774406880122297</v>
      </c>
      <c r="AC116" s="251">
        <f t="shared" si="15"/>
        <v>1.1636174491969151</v>
      </c>
    </row>
    <row r="117" spans="1:29" ht="15.6" x14ac:dyDescent="0.3">
      <c r="A117" s="206">
        <v>2046</v>
      </c>
      <c r="B117" s="253">
        <f>(B169/Population_Tables!O35)*Population_Tables!C35</f>
        <v>6053.9086518260438</v>
      </c>
      <c r="C117" s="253">
        <f>(C169/Population_Tables!P35)*Population_Tables!D35</f>
        <v>1759.393571371721</v>
      </c>
      <c r="D117" s="253">
        <f>(D169/Population_Tables!Q35)*Population_Tables!E35</f>
        <v>631.48752875557966</v>
      </c>
      <c r="E117" s="253">
        <f>(E169/Population_Tables!R35)*Population_Tables!F35</f>
        <v>1907.1809238049598</v>
      </c>
      <c r="F117" s="253">
        <f>(F169/Population_Tables!S35)*Population_Tables!G35</f>
        <v>559.66017773980172</v>
      </c>
      <c r="G117" s="253">
        <f>(G169/Population_Tables!T35)*Population_Tables!H35</f>
        <v>522.52986244890326</v>
      </c>
      <c r="H117" s="253">
        <f>(H169/Population_Tables!U35)*Population_Tables!I35</f>
        <v>973.54152931111423</v>
      </c>
      <c r="I117" s="253">
        <f>(I169/Population_Tables!V35)*Population_Tables!J35</f>
        <v>478.35851535416617</v>
      </c>
      <c r="J117" s="253">
        <f>(J169/Population_Tables!W35)*Population_Tables!K35</f>
        <v>664.84735196319457</v>
      </c>
      <c r="K117" s="253">
        <f>(K169/Population_Tables!X35)*Population_Tables!L35</f>
        <v>711.73424246494722</v>
      </c>
      <c r="L117" s="170"/>
      <c r="M117" s="170"/>
      <c r="N117" s="195">
        <f t="shared" si="9"/>
        <v>1493.2995722336473</v>
      </c>
      <c r="O117" s="195">
        <f t="shared" si="11"/>
        <v>973.54152931111423</v>
      </c>
      <c r="P117" s="195">
        <f t="shared" si="10"/>
        <v>2913.4109625762039</v>
      </c>
      <c r="Q117" s="195">
        <f t="shared" si="12"/>
        <v>5380.2520641209658</v>
      </c>
      <c r="R117" s="196">
        <f t="shared" si="13"/>
        <v>0.27755197236797585</v>
      </c>
      <c r="S117" s="170"/>
      <c r="T117" s="170"/>
      <c r="U117" s="195">
        <f t="shared" si="18"/>
        <v>118.8703977132252</v>
      </c>
      <c r="V117" s="195">
        <f t="shared" si="14"/>
        <v>57.504635385205233</v>
      </c>
      <c r="W117" s="195">
        <f t="shared" si="14"/>
        <v>192.83202670523178</v>
      </c>
      <c r="X117" s="195">
        <f t="shared" si="17"/>
        <v>369.20705980366222</v>
      </c>
      <c r="Y117" s="207">
        <f t="shared" si="16"/>
        <v>0.32196133458671777</v>
      </c>
      <c r="AC117" s="251">
        <f t="shared" si="15"/>
        <v>1.1563683792295536</v>
      </c>
    </row>
    <row r="118" spans="1:29" ht="15.6" x14ac:dyDescent="0.3">
      <c r="A118" s="206">
        <v>2047</v>
      </c>
      <c r="B118" s="253">
        <f>(B170/Population_Tables!O36)*Population_Tables!C36</f>
        <v>6091.7466470226145</v>
      </c>
      <c r="C118" s="253">
        <f>(C170/Population_Tables!P36)*Population_Tables!D36</f>
        <v>1766.3024554525289</v>
      </c>
      <c r="D118" s="253">
        <f>(D170/Population_Tables!Q36)*Population_Tables!E36</f>
        <v>635.74768586156597</v>
      </c>
      <c r="E118" s="253">
        <f>(E170/Population_Tables!R36)*Population_Tables!F36</f>
        <v>1943.2073190763779</v>
      </c>
      <c r="F118" s="253">
        <f>(F170/Population_Tables!S36)*Population_Tables!G36</f>
        <v>570.5229297396038</v>
      </c>
      <c r="G118" s="253">
        <f>(G170/Population_Tables!T36)*Population_Tables!H36</f>
        <v>529.41831698331919</v>
      </c>
      <c r="H118" s="253">
        <f>(H170/Population_Tables!U36)*Population_Tables!I36</f>
        <v>977.39198892725449</v>
      </c>
      <c r="I118" s="253">
        <f>(I170/Population_Tables!V36)*Population_Tables!J36</f>
        <v>480.44304548829012</v>
      </c>
      <c r="J118" s="253">
        <f>(J170/Population_Tables!W36)*Population_Tables!K36</f>
        <v>666.89563002895238</v>
      </c>
      <c r="K118" s="253">
        <f>(K170/Population_Tables!X36)*Population_Tables!L36</f>
        <v>715.40808644310539</v>
      </c>
      <c r="L118" s="170"/>
      <c r="M118" s="170"/>
      <c r="N118" s="195">
        <f t="shared" si="9"/>
        <v>1536.3382598887272</v>
      </c>
      <c r="O118" s="195">
        <f t="shared" si="11"/>
        <v>977.39198892725449</v>
      </c>
      <c r="P118" s="195">
        <f t="shared" si="10"/>
        <v>2931.4684582974137</v>
      </c>
      <c r="Q118" s="195">
        <f t="shared" si="12"/>
        <v>5445.1987071133954</v>
      </c>
      <c r="R118" s="196">
        <f t="shared" si="13"/>
        <v>0.28214549046331677</v>
      </c>
      <c r="S118" s="170"/>
      <c r="T118" s="170"/>
      <c r="U118" s="195">
        <f t="shared" si="18"/>
        <v>127.5966604114235</v>
      </c>
      <c r="V118" s="195">
        <f t="shared" si="14"/>
        <v>60.546802401491391</v>
      </c>
      <c r="W118" s="195">
        <f t="shared" si="14"/>
        <v>202.93909828291771</v>
      </c>
      <c r="X118" s="195">
        <f t="shared" si="17"/>
        <v>391.0825610958326</v>
      </c>
      <c r="Y118" s="207">
        <f t="shared" si="16"/>
        <v>0.32626527773033748</v>
      </c>
      <c r="AC118" s="251">
        <f t="shared" si="15"/>
        <v>1.1492084355591803</v>
      </c>
    </row>
    <row r="119" spans="1:29" ht="15.6" x14ac:dyDescent="0.3">
      <c r="A119" s="206">
        <v>2048</v>
      </c>
      <c r="B119" s="253">
        <f>(B171/Population_Tables!O37)*Population_Tables!C37</f>
        <v>6129.6799516036126</v>
      </c>
      <c r="C119" s="253">
        <f>(C171/Population_Tables!P37)*Population_Tables!D37</f>
        <v>1773.387242490739</v>
      </c>
      <c r="D119" s="253">
        <f>(D171/Population_Tables!Q37)*Population_Tables!E37</f>
        <v>640.06479610219742</v>
      </c>
      <c r="E119" s="253">
        <f>(E171/Population_Tables!R37)*Population_Tables!F37</f>
        <v>1979.7890157998293</v>
      </c>
      <c r="F119" s="253">
        <f>(F171/Population_Tables!S37)*Population_Tables!G37</f>
        <v>581.51638645428602</v>
      </c>
      <c r="G119" s="253">
        <f>(G171/Population_Tables!T37)*Population_Tables!H37</f>
        <v>536.36076725987664</v>
      </c>
      <c r="H119" s="253">
        <f>(H171/Population_Tables!U37)*Population_Tables!I37</f>
        <v>981.03165220920243</v>
      </c>
      <c r="I119" s="253">
        <f>(I171/Population_Tables!V37)*Population_Tables!J37</f>
        <v>482.65315234343984</v>
      </c>
      <c r="J119" s="253">
        <f>(J171/Population_Tables!W37)*Population_Tables!K37</f>
        <v>669.00911562589579</v>
      </c>
      <c r="K119" s="253">
        <f>(K171/Population_Tables!X37)*Population_Tables!L37</f>
        <v>719.16317263888095</v>
      </c>
      <c r="L119" s="170"/>
      <c r="M119" s="170"/>
      <c r="N119" s="195">
        <f t="shared" si="9"/>
        <v>1580.273750044913</v>
      </c>
      <c r="O119" s="195">
        <f t="shared" si="11"/>
        <v>981.03165220920243</v>
      </c>
      <c r="P119" s="195">
        <f t="shared" si="10"/>
        <v>2949.8128058528127</v>
      </c>
      <c r="Q119" s="195">
        <f t="shared" si="12"/>
        <v>5511.1182081069283</v>
      </c>
      <c r="R119" s="196">
        <f t="shared" si="13"/>
        <v>0.28674285151792051</v>
      </c>
      <c r="S119" s="170"/>
      <c r="T119" s="170"/>
      <c r="U119" s="195">
        <f t="shared" si="18"/>
        <v>136.83682228538532</v>
      </c>
      <c r="V119" s="195">
        <f t="shared" si="14"/>
        <v>63.669586151969838</v>
      </c>
      <c r="W119" s="195">
        <f t="shared" si="14"/>
        <v>213.3367051139453</v>
      </c>
      <c r="X119" s="195">
        <f t="shared" si="17"/>
        <v>413.84311355130046</v>
      </c>
      <c r="Y119" s="207">
        <f t="shared" si="16"/>
        <v>0.33064902569273485</v>
      </c>
      <c r="AC119" s="251">
        <f t="shared" si="15"/>
        <v>1.1420972727991263</v>
      </c>
    </row>
    <row r="120" spans="1:29" ht="15.6" x14ac:dyDescent="0.3">
      <c r="A120" s="206">
        <v>2049</v>
      </c>
      <c r="B120" s="253">
        <f>(B172/Population_Tables!O38)*Population_Tables!C38</f>
        <v>6167.7801963525944</v>
      </c>
      <c r="C120" s="253">
        <f>(C172/Population_Tables!P38)*Population_Tables!D38</f>
        <v>1780.6884211928464</v>
      </c>
      <c r="D120" s="253">
        <f>(D172/Population_Tables!Q38)*Population_Tables!E38</f>
        <v>644.44359642523136</v>
      </c>
      <c r="E120" s="253">
        <f>(E172/Population_Tables!R38)*Population_Tables!F38</f>
        <v>2016.9600085730058</v>
      </c>
      <c r="F120" s="253">
        <f>(F172/Population_Tables!S38)*Population_Tables!G38</f>
        <v>592.6446594062229</v>
      </c>
      <c r="G120" s="253">
        <f>(G172/Population_Tables!T38)*Population_Tables!H38</f>
        <v>543.36293220674281</v>
      </c>
      <c r="H120" s="253">
        <f>(H172/Population_Tables!U38)*Population_Tables!I38</f>
        <v>984.46198819257177</v>
      </c>
      <c r="I120" s="253">
        <f>(I172/Population_Tables!V38)*Population_Tables!J38</f>
        <v>485.01315992686176</v>
      </c>
      <c r="J120" s="253">
        <f>(J172/Population_Tables!W38)*Population_Tables!K38</f>
        <v>671.20208258847413</v>
      </c>
      <c r="K120" s="253">
        <f>(K172/Population_Tables!X38)*Population_Tables!L38</f>
        <v>723.02044018999504</v>
      </c>
      <c r="L120" s="170"/>
      <c r="M120" s="170"/>
      <c r="N120" s="195">
        <f t="shared" si="9"/>
        <v>1625.142679786657</v>
      </c>
      <c r="O120" s="195">
        <f t="shared" si="11"/>
        <v>984.46198819257177</v>
      </c>
      <c r="P120" s="195">
        <f t="shared" si="10"/>
        <v>2968.4949498248207</v>
      </c>
      <c r="Q120" s="195">
        <f t="shared" si="12"/>
        <v>5578.0996178040496</v>
      </c>
      <c r="R120" s="196">
        <f t="shared" si="13"/>
        <v>0.29134343076261388</v>
      </c>
      <c r="S120" s="170"/>
      <c r="T120" s="170"/>
      <c r="U120" s="195">
        <f t="shared" si="18"/>
        <v>146.63163295984759</v>
      </c>
      <c r="V120" s="195">
        <f t="shared" si="14"/>
        <v>66.875254488542623</v>
      </c>
      <c r="W120" s="195">
        <f t="shared" si="14"/>
        <v>224.06421236899087</v>
      </c>
      <c r="X120" s="195">
        <f t="shared" si="17"/>
        <v>437.57109981738108</v>
      </c>
      <c r="Y120" s="207">
        <f t="shared" si="16"/>
        <v>0.3351035592182478</v>
      </c>
      <c r="AC120" s="251">
        <f t="shared" si="15"/>
        <v>1.1349901397468511</v>
      </c>
    </row>
    <row r="121" spans="1:29" ht="16.2" thickBot="1" x14ac:dyDescent="0.35">
      <c r="A121" s="208">
        <v>2050</v>
      </c>
      <c r="B121" s="253">
        <f>(B173/Population_Tables!O39)*Population_Tables!C39</f>
        <v>6206.105596608324</v>
      </c>
      <c r="C121" s="253">
        <f>(C173/Population_Tables!P39)*Population_Tables!D39</f>
        <v>1788.2425162824975</v>
      </c>
      <c r="D121" s="253">
        <f>(D173/Population_Tables!Q39)*Population_Tables!E39</f>
        <v>648.88835308576301</v>
      </c>
      <c r="E121" s="253">
        <f>(E173/Population_Tables!R39)*Population_Tables!F39</f>
        <v>2054.7501476784182</v>
      </c>
      <c r="F121" s="253">
        <f>(F173/Population_Tables!S39)*Population_Tables!G39</f>
        <v>603.91124648695302</v>
      </c>
      <c r="G121" s="253">
        <f>(G173/Population_Tables!T39)*Population_Tables!H39</f>
        <v>550.42983149000781</v>
      </c>
      <c r="H121" s="253">
        <f>(H173/Population_Tables!U39)*Population_Tables!I39</f>
        <v>987.68408798791017</v>
      </c>
      <c r="I121" s="253">
        <f>(I173/Population_Tables!V39)*Population_Tables!J39</f>
        <v>487.54484583966786</v>
      </c>
      <c r="J121" s="253">
        <f>(J173/Population_Tables!W39)*Population_Tables!K39</f>
        <v>673.48784028033708</v>
      </c>
      <c r="K121" s="253">
        <f>(K173/Population_Tables!X39)*Population_Tables!L39</f>
        <v>726.99880071503594</v>
      </c>
      <c r="L121" s="209"/>
      <c r="M121" s="209"/>
      <c r="N121" s="195">
        <f t="shared" si="9"/>
        <v>1670.9773061774613</v>
      </c>
      <c r="O121" s="195">
        <f t="shared" si="11"/>
        <v>987.68408798791017</v>
      </c>
      <c r="P121" s="195">
        <f t="shared" si="10"/>
        <v>2987.5607008582683</v>
      </c>
      <c r="Q121" s="195">
        <f t="shared" si="12"/>
        <v>5646.2220950236397</v>
      </c>
      <c r="R121" s="210">
        <f t="shared" si="13"/>
        <v>0.29594608183234516</v>
      </c>
      <c r="S121" s="209"/>
      <c r="T121" s="209"/>
      <c r="U121" s="211">
        <f t="shared" si="18"/>
        <v>157.0174620385983</v>
      </c>
      <c r="V121" s="195">
        <f t="shared" si="14"/>
        <v>70.16569733804613</v>
      </c>
      <c r="W121" s="211">
        <f t="shared" si="14"/>
        <v>235.15585128114253</v>
      </c>
      <c r="X121" s="195">
        <f t="shared" si="17"/>
        <v>462.33901065778696</v>
      </c>
      <c r="Y121" s="212">
        <f t="shared" si="16"/>
        <v>0.33961543027745744</v>
      </c>
      <c r="AC121" s="251">
        <f t="shared" si="15"/>
        <v>1.1278514311728476</v>
      </c>
    </row>
    <row r="122" spans="1:29" ht="15.6" x14ac:dyDescent="0.3">
      <c r="A122" s="213">
        <v>2051</v>
      </c>
      <c r="B122" s="253">
        <f>(B174/Population_Tables!O40)*Population_Tables!C40</f>
        <v>6244.6962451656045</v>
      </c>
      <c r="C122" s="253">
        <f>(C174/Population_Tables!P40)*Population_Tables!D40</f>
        <v>1796.0753991196207</v>
      </c>
      <c r="D122" s="253">
        <f>(D174/Population_Tables!Q40)*Population_Tables!E40</f>
        <v>653.4030434527607</v>
      </c>
      <c r="E122" s="253">
        <f>(E174/Population_Tables!R40)*Population_Tables!F40</f>
        <v>2093.1835705230792</v>
      </c>
      <c r="F122" s="253">
        <f>(F174/Population_Tables!S40)*Population_Tables!G40</f>
        <v>615.31894251581184</v>
      </c>
      <c r="G122" s="253">
        <f>(G174/Population_Tables!T40)*Population_Tables!H40</f>
        <v>557.56496791310769</v>
      </c>
      <c r="H122" s="253">
        <f>(H174/Population_Tables!U40)*Population_Tables!I40</f>
        <v>990.69961490746425</v>
      </c>
      <c r="I122" s="253">
        <f>(I174/Population_Tables!V40)*Population_Tables!J40</f>
        <v>490.26657997980851</v>
      </c>
      <c r="J122" s="253">
        <f>(J174/Population_Tables!W40)*Population_Tables!K40</f>
        <v>675.8774495729524</v>
      </c>
      <c r="K122" s="253">
        <f>(K174/Population_Tables!X40)*Population_Tables!L40</f>
        <v>731.11181107177492</v>
      </c>
      <c r="N122" s="195">
        <f t="shared" si="9"/>
        <v>1717.8028981314269</v>
      </c>
      <c r="O122" s="195">
        <f t="shared" si="11"/>
        <v>990.69961490746425</v>
      </c>
      <c r="P122" s="195">
        <f t="shared" si="10"/>
        <v>3007.0434104854894</v>
      </c>
      <c r="Q122" s="195">
        <f t="shared" si="12"/>
        <v>5715.5459235243798</v>
      </c>
      <c r="R122" s="214">
        <f t="shared" si="13"/>
        <v>0.30054922506373238</v>
      </c>
      <c r="U122" s="215">
        <f t="shared" si="18"/>
        <v>168.02369097602445</v>
      </c>
      <c r="V122" s="195">
        <f t="shared" si="14"/>
        <v>73.543376829015529</v>
      </c>
      <c r="W122" s="215">
        <f t="shared" si="14"/>
        <v>246.63339397098889</v>
      </c>
      <c r="X122" s="195">
        <f t="shared" si="17"/>
        <v>488.20046177602887</v>
      </c>
      <c r="Y122" s="214">
        <f t="shared" si="16"/>
        <v>0.34416946343059479</v>
      </c>
      <c r="AC122" s="251">
        <f t="shared" si="15"/>
        <v>1.1206634662185153</v>
      </c>
    </row>
    <row r="123" spans="1:29" ht="15.6" x14ac:dyDescent="0.3">
      <c r="A123" s="194">
        <v>2052</v>
      </c>
      <c r="B123" s="253">
        <f>(B175/Population_Tables!O41)*Population_Tables!C41</f>
        <v>6283.5737185777743</v>
      </c>
      <c r="C123" s="253">
        <f>(C175/Population_Tables!P41)*Population_Tables!D41</f>
        <v>1804.2097110694176</v>
      </c>
      <c r="D123" s="253">
        <f>(D175/Population_Tables!Q41)*Population_Tables!E41</f>
        <v>657.99094951289874</v>
      </c>
      <c r="E123" s="253">
        <f>(E175/Population_Tables!R41)*Population_Tables!F41</f>
        <v>2132.2762575006618</v>
      </c>
      <c r="F123" s="253">
        <f>(F175/Population_Tables!S41)*Population_Tables!G41</f>
        <v>626.86960611496283</v>
      </c>
      <c r="G123" s="253">
        <f>(G175/Population_Tables!T41)*Population_Tables!H41</f>
        <v>564.77086331002147</v>
      </c>
      <c r="H123" s="253">
        <f>(H175/Population_Tables!U41)*Population_Tables!I41</f>
        <v>993.50919789418958</v>
      </c>
      <c r="I123" s="253">
        <f>(I175/Population_Tables!V41)*Population_Tables!J41</f>
        <v>493.19303480316358</v>
      </c>
      <c r="J123" s="253">
        <f>(J175/Population_Tables!W41)*Population_Tables!K41</f>
        <v>678.38083684208584</v>
      </c>
      <c r="K123" s="253">
        <f>(K175/Population_Tables!X41)*Population_Tables!L41</f>
        <v>735.37095355683391</v>
      </c>
      <c r="N123" s="195">
        <f t="shared" si="9"/>
        <v>1765.6366657214353</v>
      </c>
      <c r="O123" s="195">
        <f t="shared" si="11"/>
        <v>993.50919789418958</v>
      </c>
      <c r="P123" s="195">
        <f t="shared" si="10"/>
        <v>3026.9715238923377</v>
      </c>
      <c r="Q123" s="195">
        <f t="shared" si="12"/>
        <v>5786.1173875079621</v>
      </c>
      <c r="R123" s="196">
        <f t="shared" si="13"/>
        <v>0.30515050896364238</v>
      </c>
      <c r="U123" s="195">
        <f t="shared" si="18"/>
        <v>179.6716423852929</v>
      </c>
      <c r="V123" s="195">
        <f t="shared" si="14"/>
        <v>77.009720720694759</v>
      </c>
      <c r="W123" s="195">
        <f t="shared" si="14"/>
        <v>258.51370621264277</v>
      </c>
      <c r="X123" s="195">
        <f t="shared" si="17"/>
        <v>515.19506931863043</v>
      </c>
      <c r="Y123" s="196">
        <f t="shared" si="16"/>
        <v>0.34874487953255656</v>
      </c>
      <c r="AC123" s="251">
        <f t="shared" si="15"/>
        <v>1.1134099667457256</v>
      </c>
    </row>
    <row r="124" spans="1:29" ht="15.6" x14ac:dyDescent="0.3">
      <c r="A124" s="194">
        <v>2053</v>
      </c>
      <c r="B124" s="253">
        <f>(B176/Population_Tables!O42)*Population_Tables!C42</f>
        <v>6322.7510088795671</v>
      </c>
      <c r="C124" s="253">
        <f>(C176/Population_Tables!P42)*Population_Tables!D42</f>
        <v>1812.6763269183562</v>
      </c>
      <c r="D124" s="253">
        <f>(D176/Population_Tables!Q42)*Population_Tables!E42</f>
        <v>662.65543986809143</v>
      </c>
      <c r="E124" s="253">
        <f>(E176/Population_Tables!R42)*Population_Tables!F42</f>
        <v>2172.0387564277876</v>
      </c>
      <c r="F124" s="253">
        <f>(F176/Population_Tables!S42)*Population_Tables!G42</f>
        <v>638.56423081638968</v>
      </c>
      <c r="G124" s="253">
        <f>(G176/Population_Tables!T42)*Population_Tables!H42</f>
        <v>572.04987591028078</v>
      </c>
      <c r="H124" s="253">
        <f>(H176/Population_Tables!U42)*Population_Tables!I42</f>
        <v>996.11097223225613</v>
      </c>
      <c r="I124" s="253">
        <f>(I176/Population_Tables!V42)*Population_Tables!J42</f>
        <v>496.33724831275731</v>
      </c>
      <c r="J124" s="253">
        <f>(J176/Population_Tables!W42)*Population_Tables!K42</f>
        <v>681.01086440058202</v>
      </c>
      <c r="K124" s="253">
        <f>(K176/Population_Tables!X42)*Population_Tables!L42</f>
        <v>739.79025071072158</v>
      </c>
      <c r="N124" s="195">
        <f t="shared" si="9"/>
        <v>1814.492015011921</v>
      </c>
      <c r="O124" s="195">
        <f t="shared" si="11"/>
        <v>996.11097223225613</v>
      </c>
      <c r="P124" s="195">
        <f t="shared" si="10"/>
        <v>3047.3816426967282</v>
      </c>
      <c r="Q124" s="195">
        <f t="shared" si="12"/>
        <v>5857.9846299409055</v>
      </c>
      <c r="R124" s="196">
        <f t="shared" si="13"/>
        <v>0.3097468036597128</v>
      </c>
      <c r="U124" s="195">
        <f t="shared" si="18"/>
        <v>191.97883487112449</v>
      </c>
      <c r="V124" s="195">
        <f t="shared" si="14"/>
        <v>80.563663113542475</v>
      </c>
      <c r="W124" s="195">
        <f t="shared" si="14"/>
        <v>270.82181021227416</v>
      </c>
      <c r="X124" s="195">
        <f t="shared" si="17"/>
        <v>543.36430819694112</v>
      </c>
      <c r="Y124" s="196">
        <f t="shared" si="16"/>
        <v>0.35331513677843968</v>
      </c>
      <c r="AC124" s="251">
        <f t="shared" si="15"/>
        <v>1.1060611672204148</v>
      </c>
    </row>
    <row r="125" spans="1:29" ht="15.6" x14ac:dyDescent="0.3">
      <c r="A125" s="194">
        <v>2054</v>
      </c>
      <c r="B125" s="253">
        <f>(B177/Population_Tables!O43)*Population_Tables!C43</f>
        <v>6362.229273159166</v>
      </c>
      <c r="C125" s="253">
        <f>(C177/Population_Tables!P43)*Population_Tables!D43</f>
        <v>1821.5059979922366</v>
      </c>
      <c r="D125" s="253">
        <f>(D177/Population_Tables!Q43)*Population_Tables!E43</f>
        <v>667.39971541646662</v>
      </c>
      <c r="E125" s="253">
        <f>(E177/Population_Tables!R43)*Population_Tables!F43</f>
        <v>2212.475569617965</v>
      </c>
      <c r="F125" s="253">
        <f>(F177/Population_Tables!S43)*Population_Tables!G43</f>
        <v>650.40310965887863</v>
      </c>
      <c r="G125" s="253">
        <f>(G177/Population_Tables!T43)*Population_Tables!H43</f>
        <v>579.40337678470212</v>
      </c>
      <c r="H125" s="253">
        <f>(H177/Population_Tables!U43)*Population_Tables!I43</f>
        <v>998.50160437565262</v>
      </c>
      <c r="I125" s="253">
        <f>(I177/Population_Tables!V43)*Population_Tables!J43</f>
        <v>499.71031479430576</v>
      </c>
      <c r="J125" s="253">
        <f>(J177/Population_Tables!W43)*Population_Tables!K43</f>
        <v>683.7803486212531</v>
      </c>
      <c r="K125" s="253">
        <f>(K177/Population_Tables!X43)*Population_Tables!L43</f>
        <v>744.38326560871542</v>
      </c>
      <c r="N125" s="195">
        <f t="shared" si="9"/>
        <v>1864.377074901191</v>
      </c>
      <c r="O125" s="195">
        <f t="shared" si="11"/>
        <v>998.50160437565262</v>
      </c>
      <c r="P125" s="195">
        <f t="shared" si="10"/>
        <v>3068.3090901934056</v>
      </c>
      <c r="Q125" s="195">
        <f t="shared" si="12"/>
        <v>5931.1877694702489</v>
      </c>
      <c r="R125" s="196">
        <f t="shared" si="13"/>
        <v>0.31433452242023863</v>
      </c>
      <c r="U125" s="195">
        <f t="shared" si="18"/>
        <v>204.95750987211045</v>
      </c>
      <c r="V125" s="195">
        <f t="shared" si="14"/>
        <v>84.20266927783598</v>
      </c>
      <c r="W125" s="195">
        <f t="shared" si="14"/>
        <v>283.58144985288436</v>
      </c>
      <c r="X125" s="195">
        <f t="shared" si="17"/>
        <v>572.74162900283079</v>
      </c>
      <c r="Y125" s="196">
        <f t="shared" si="16"/>
        <v>0.35785334868874608</v>
      </c>
      <c r="AC125" s="251">
        <f t="shared" si="15"/>
        <v>1.0985910556568126</v>
      </c>
    </row>
    <row r="126" spans="1:29" ht="15.6" x14ac:dyDescent="0.3">
      <c r="A126" s="194">
        <v>2055</v>
      </c>
      <c r="B126" s="253">
        <f>(B178/Population_Tables!O44)*Population_Tables!C44</f>
        <v>6402.0072795138358</v>
      </c>
      <c r="C126" s="253">
        <f>(C178/Population_Tables!P44)*Population_Tables!D44</f>
        <v>1830.7264634765957</v>
      </c>
      <c r="D126" s="253">
        <f>(D178/Population_Tables!Q44)*Population_Tables!E44</f>
        <v>672.22672285097565</v>
      </c>
      <c r="E126" s="253">
        <f>(E178/Population_Tables!R44)*Population_Tables!F44</f>
        <v>2253.5906785060047</v>
      </c>
      <c r="F126" s="253">
        <f>(F178/Population_Tables!S44)*Population_Tables!G44</f>
        <v>662.38634191638391</v>
      </c>
      <c r="G126" s="253">
        <f>(G178/Population_Tables!T44)*Population_Tables!H44</f>
        <v>586.83255316555528</v>
      </c>
      <c r="H126" s="253">
        <f>(H178/Population_Tables!U44)*Population_Tables!I44</f>
        <v>1000.6775791237327</v>
      </c>
      <c r="I126" s="253">
        <f>(I178/Population_Tables!V44)*Population_Tables!J44</f>
        <v>503.32373126188611</v>
      </c>
      <c r="J126" s="253">
        <f>(J178/Population_Tables!W44)*Population_Tables!K44</f>
        <v>686.7014408787162</v>
      </c>
      <c r="K126" s="253">
        <f>(K178/Population_Tables!X44)*Population_Tables!L44</f>
        <v>749.16231977488769</v>
      </c>
      <c r="N126" s="195">
        <f t="shared" si="9"/>
        <v>1915.2994412986559</v>
      </c>
      <c r="O126" s="195">
        <f t="shared" si="11"/>
        <v>1000.6775791237327</v>
      </c>
      <c r="P126" s="195">
        <f t="shared" si="10"/>
        <v>3089.785739493127</v>
      </c>
      <c r="Q126" s="195">
        <f t="shared" si="12"/>
        <v>6005.7627599155148</v>
      </c>
      <c r="R126" s="196">
        <f t="shared" si="13"/>
        <v>0.31891027299346719</v>
      </c>
      <c r="U126" s="195">
        <f t="shared" si="18"/>
        <v>218.61937583794906</v>
      </c>
      <c r="V126" s="195">
        <f t="shared" si="14"/>
        <v>87.924022829217279</v>
      </c>
      <c r="W126" s="195">
        <f t="shared" si="14"/>
        <v>296.81291883348786</v>
      </c>
      <c r="X126" s="195">
        <f t="shared" si="17"/>
        <v>603.3563175006542</v>
      </c>
      <c r="Y126" s="196">
        <f t="shared" si="16"/>
        <v>0.36233875323218445</v>
      </c>
      <c r="AC126" s="251">
        <f t="shared" si="15"/>
        <v>1.0909852566404945</v>
      </c>
    </row>
    <row r="127" spans="1:29" ht="15.6" x14ac:dyDescent="0.3">
      <c r="A127" s="194">
        <v>2056</v>
      </c>
      <c r="B127" s="253">
        <f>(B179/Population_Tables!O45)*Population_Tables!C45</f>
        <v>6442.0985640478802</v>
      </c>
      <c r="C127" s="253">
        <f>(C179/Population_Tables!P45)*Population_Tables!D45</f>
        <v>1840.361319195425</v>
      </c>
      <c r="D127" s="253">
        <f>(D179/Population_Tables!Q45)*Population_Tables!E45</f>
        <v>677.13942733942224</v>
      </c>
      <c r="E127" s="253">
        <f>(E179/Population_Tables!R45)*Population_Tables!F45</f>
        <v>2295.3972653402293</v>
      </c>
      <c r="F127" s="253">
        <f>(F179/Population_Tables!S45)*Population_Tables!G45</f>
        <v>674.51501825043681</v>
      </c>
      <c r="G127" s="253">
        <f>(G179/Population_Tables!T45)*Population_Tables!H45</f>
        <v>594.33940472532993</v>
      </c>
      <c r="H127" s="253">
        <f>(H179/Population_Tables!U45)*Population_Tables!I45</f>
        <v>1002.6368509266841</v>
      </c>
      <c r="I127" s="253">
        <f>(I179/Population_Tables!V45)*Population_Tables!J45</f>
        <v>507.19322834470086</v>
      </c>
      <c r="J127" s="253">
        <f>(J179/Population_Tables!W45)*Population_Tables!K45</f>
        <v>689.78499733959836</v>
      </c>
      <c r="K127" s="253">
        <f>(K179/Population_Tables!X45)*Population_Tables!L45</f>
        <v>754.13914172512875</v>
      </c>
      <c r="N127" s="195">
        <f t="shared" si="9"/>
        <v>1967.275432663982</v>
      </c>
      <c r="O127" s="195">
        <f t="shared" si="11"/>
        <v>1002.6368509266841</v>
      </c>
      <c r="P127" s="195">
        <f t="shared" si="10"/>
        <v>3111.8401512601772</v>
      </c>
      <c r="Q127" s="195">
        <f t="shared" si="12"/>
        <v>6081.7524348508432</v>
      </c>
      <c r="R127" s="196">
        <f t="shared" si="13"/>
        <v>0.32347180417780852</v>
      </c>
      <c r="U127" s="195">
        <f t="shared" si="18"/>
        <v>232.98486376859023</v>
      </c>
      <c r="V127" s="195">
        <f t="shared" si="14"/>
        <v>91.72647703416294</v>
      </c>
      <c r="W127" s="195">
        <f t="shared" si="14"/>
        <v>310.53319840662516</v>
      </c>
      <c r="X127" s="195">
        <f t="shared" si="17"/>
        <v>635.24453920937833</v>
      </c>
      <c r="Y127" s="196">
        <f t="shared" si="16"/>
        <v>0.36676405602567136</v>
      </c>
      <c r="AC127" s="251">
        <f t="shared" si="15"/>
        <v>1.0832466034171027</v>
      </c>
    </row>
    <row r="128" spans="1:29" ht="15.6" x14ac:dyDescent="0.3">
      <c r="A128" s="194">
        <v>2057</v>
      </c>
      <c r="B128" s="253">
        <f>(B180/Population_Tables!O46)*Population_Tables!C46</f>
        <v>6482.5052042515945</v>
      </c>
      <c r="C128" s="253">
        <f>(C180/Population_Tables!P46)*Population_Tables!D46</f>
        <v>1850.4282210914305</v>
      </c>
      <c r="D128" s="253">
        <f>(D180/Population_Tables!Q46)*Population_Tables!E46</f>
        <v>682.14048956961562</v>
      </c>
      <c r="E128" s="253">
        <f>(E180/Population_Tables!R46)*Population_Tables!F46</f>
        <v>2337.9039759189372</v>
      </c>
      <c r="F128" s="253">
        <f>(F180/Population_Tables!S46)*Population_Tables!G46</f>
        <v>686.78954115899091</v>
      </c>
      <c r="G128" s="253">
        <f>(G180/Population_Tables!T46)*Population_Tables!H46</f>
        <v>601.92495711296056</v>
      </c>
      <c r="H128" s="253">
        <f>(H180/Population_Tables!U46)*Population_Tables!I46</f>
        <v>1004.376877890702</v>
      </c>
      <c r="I128" s="253">
        <f>(I180/Population_Tables!V46)*Population_Tables!J46</f>
        <v>511.33333238323144</v>
      </c>
      <c r="J128" s="253">
        <f>(J180/Population_Tables!W46)*Population_Tables!K46</f>
        <v>693.04045280933758</v>
      </c>
      <c r="K128" s="253">
        <f>(K180/Population_Tables!X46)*Population_Tables!L46</f>
        <v>759.32289467727753</v>
      </c>
      <c r="N128" s="195">
        <f t="shared" si="9"/>
        <v>2020.316639187226</v>
      </c>
      <c r="O128" s="195">
        <f t="shared" si="11"/>
        <v>1004.376877890702</v>
      </c>
      <c r="P128" s="195">
        <f t="shared" si="10"/>
        <v>3134.493667774007</v>
      </c>
      <c r="Q128" s="195">
        <f t="shared" si="12"/>
        <v>6159.1871848519349</v>
      </c>
      <c r="R128" s="196">
        <f t="shared" si="13"/>
        <v>0.32801676236696381</v>
      </c>
      <c r="U128" s="195">
        <f t="shared" si="18"/>
        <v>248.06967639437789</v>
      </c>
      <c r="V128" s="195">
        <f t="shared" si="14"/>
        <v>95.608288815156357</v>
      </c>
      <c r="W128" s="195">
        <f t="shared" si="14"/>
        <v>324.75205144000438</v>
      </c>
      <c r="X128" s="195">
        <f t="shared" si="17"/>
        <v>668.43001664953863</v>
      </c>
      <c r="Y128" s="196">
        <f t="shared" si="16"/>
        <v>0.37112288529143378</v>
      </c>
      <c r="AC128" s="251">
        <f t="shared" si="15"/>
        <v>1.0753834540894747</v>
      </c>
    </row>
    <row r="129" spans="1:29" ht="15.6" x14ac:dyDescent="0.3">
      <c r="A129" s="194">
        <v>2058</v>
      </c>
      <c r="B129" s="253">
        <f>(B181/Population_Tables!O47)*Population_Tables!C47</f>
        <v>6523.1957742428413</v>
      </c>
      <c r="C129" s="253">
        <f>(C181/Population_Tables!P47)*Population_Tables!D47</f>
        <v>1860.9382744716852</v>
      </c>
      <c r="D129" s="253">
        <f>(D181/Population_Tables!Q47)*Population_Tables!E47</f>
        <v>687.23017902233346</v>
      </c>
      <c r="E129" s="253">
        <f>(E181/Population_Tables!R47)*Population_Tables!F47</f>
        <v>2381.1019712854086</v>
      </c>
      <c r="F129" s="253">
        <f>(F181/Population_Tables!S47)*Population_Tables!G47</f>
        <v>699.20827233246723</v>
      </c>
      <c r="G129" s="253">
        <f>(G181/Population_Tables!T47)*Population_Tables!H47</f>
        <v>609.58794137251766</v>
      </c>
      <c r="H129" s="253">
        <f>(H181/Population_Tables!U47)*Population_Tables!I47</f>
        <v>1005.8922580611569</v>
      </c>
      <c r="I129" s="253">
        <f>(I181/Population_Tables!V47)*Population_Tables!J47</f>
        <v>515.75268831311655</v>
      </c>
      <c r="J129" s="253">
        <f>(J181/Population_Tables!W47)*Population_Tables!K47</f>
        <v>696.47488319368608</v>
      </c>
      <c r="K129" s="253">
        <f>(K181/Population_Tables!X47)*Population_Tables!L47</f>
        <v>764.71944179880609</v>
      </c>
      <c r="N129" s="195">
        <f t="shared" si="9"/>
        <v>2074.417985556719</v>
      </c>
      <c r="O129" s="195">
        <f t="shared" si="11"/>
        <v>1005.8922580611569</v>
      </c>
      <c r="P129" s="195">
        <f t="shared" si="10"/>
        <v>3157.7563948665365</v>
      </c>
      <c r="Q129" s="195">
        <f t="shared" si="12"/>
        <v>6238.0666384844126</v>
      </c>
      <c r="R129" s="196">
        <f t="shared" si="13"/>
        <v>0.33254181235561714</v>
      </c>
      <c r="U129" s="195">
        <f t="shared" si="18"/>
        <v>263.87285094392837</v>
      </c>
      <c r="V129" s="195">
        <f t="shared" si="14"/>
        <v>99.564855033856816</v>
      </c>
      <c r="W129" s="195">
        <f t="shared" si="14"/>
        <v>339.46800435380192</v>
      </c>
      <c r="X129" s="195">
        <f t="shared" si="17"/>
        <v>702.9057103315871</v>
      </c>
      <c r="Y129" s="196">
        <f t="shared" si="16"/>
        <v>0.37540291260324177</v>
      </c>
      <c r="AC129" s="251">
        <f t="shared" si="15"/>
        <v>1.0674041001672856</v>
      </c>
    </row>
    <row r="130" spans="1:29" ht="15.6" x14ac:dyDescent="0.3">
      <c r="A130" s="194">
        <v>2059</v>
      </c>
      <c r="B130" s="253">
        <f>(B182/Population_Tables!O48)*Population_Tables!C48</f>
        <v>6564.1249306681948</v>
      </c>
      <c r="C130" s="253">
        <f>(C182/Population_Tables!P48)*Population_Tables!D48</f>
        <v>1871.8979355043218</v>
      </c>
      <c r="D130" s="253">
        <f>(D182/Population_Tables!Q48)*Population_Tables!E48</f>
        <v>692.40804896026748</v>
      </c>
      <c r="E130" s="253">
        <f>(E182/Population_Tables!R48)*Population_Tables!F48</f>
        <v>2424.9743098401586</v>
      </c>
      <c r="F130" s="253">
        <f>(F182/Population_Tables!S48)*Population_Tables!G48</f>
        <v>711.76867570713364</v>
      </c>
      <c r="G130" s="253">
        <f>(G182/Population_Tables!T48)*Population_Tables!H48</f>
        <v>617.32599914452067</v>
      </c>
      <c r="H130" s="253">
        <f>(H182/Population_Tables!U48)*Population_Tables!I48</f>
        <v>1007.1761609816321</v>
      </c>
      <c r="I130" s="253">
        <f>(I182/Population_Tables!V48)*Population_Tables!J48</f>
        <v>520.4580045264496</v>
      </c>
      <c r="J130" s="253">
        <f>(J182/Population_Tables!W48)*Population_Tables!K48</f>
        <v>700.09420423023596</v>
      </c>
      <c r="K130" s="253">
        <f>(K182/Population_Tables!X48)*Population_Tables!L48</f>
        <v>770.33251096765434</v>
      </c>
      <c r="N130" s="195">
        <f t="shared" si="9"/>
        <v>2129.5668245656602</v>
      </c>
      <c r="O130" s="195">
        <f t="shared" si="11"/>
        <v>1007.1761609816321</v>
      </c>
      <c r="P130" s="195">
        <f t="shared" si="10"/>
        <v>3181.6319836091102</v>
      </c>
      <c r="Q130" s="195">
        <f t="shared" si="12"/>
        <v>6318.3749691564026</v>
      </c>
      <c r="R130" s="196">
        <f t="shared" si="13"/>
        <v>0.33704343837795198</v>
      </c>
      <c r="U130" s="195">
        <f t="shared" si="18"/>
        <v>280.38585275072637</v>
      </c>
      <c r="V130" s="195">
        <f t="shared" si="14"/>
        <v>103.59014405013613</v>
      </c>
      <c r="W130" s="195">
        <f t="shared" si="14"/>
        <v>354.67312880761938</v>
      </c>
      <c r="X130" s="195">
        <f t="shared" si="17"/>
        <v>738.64912560848188</v>
      </c>
      <c r="Y130" s="196">
        <f t="shared" si="16"/>
        <v>0.37959274983200048</v>
      </c>
      <c r="AC130" s="251">
        <f t="shared" si="15"/>
        <v>1.059319553065265</v>
      </c>
    </row>
    <row r="131" spans="1:29" ht="15.6" x14ac:dyDescent="0.3">
      <c r="A131" s="194">
        <v>2060</v>
      </c>
      <c r="B131" s="253">
        <f>(B183/Population_Tables!O49)*Population_Tables!C49</f>
        <v>6605.2561258829382</v>
      </c>
      <c r="C131" s="253">
        <f>(C183/Population_Tables!P49)*Population_Tables!D49</f>
        <v>1883.3140274186474</v>
      </c>
      <c r="D131" s="253">
        <f>(D183/Population_Tables!Q49)*Population_Tables!E49</f>
        <v>697.67377270369138</v>
      </c>
      <c r="E131" s="253">
        <f>(E183/Population_Tables!R49)*Population_Tables!F49</f>
        <v>2469.5074383229598</v>
      </c>
      <c r="F131" s="253">
        <f>(F183/Population_Tables!S49)*Population_Tables!G49</f>
        <v>724.46878520521477</v>
      </c>
      <c r="G131" s="253">
        <f>(G183/Population_Tables!T49)*Population_Tables!H49</f>
        <v>625.13717831351755</v>
      </c>
      <c r="H131" s="253">
        <f>(H183/Population_Tables!U49)*Population_Tables!I49</f>
        <v>1008.2217540395815</v>
      </c>
      <c r="I131" s="253">
        <f>(I183/Population_Tables!V49)*Population_Tables!J49</f>
        <v>525.45831883728943</v>
      </c>
      <c r="J131" s="253">
        <f>(J183/Population_Tables!W49)*Population_Tables!K49</f>
        <v>703.90440250351298</v>
      </c>
      <c r="K131" s="253">
        <f>(K183/Population_Tables!X49)*Population_Tables!L49</f>
        <v>776.16644590743681</v>
      </c>
      <c r="N131" s="195">
        <f t="shared" si="9"/>
        <v>2185.7544694885933</v>
      </c>
      <c r="O131" s="195">
        <f t="shared" si="11"/>
        <v>1008.2217540395815</v>
      </c>
      <c r="P131" s="195">
        <f t="shared" si="10"/>
        <v>3206.1249784358561</v>
      </c>
      <c r="Q131" s="195">
        <f t="shared" si="12"/>
        <v>6400.1012019640311</v>
      </c>
      <c r="R131" s="196">
        <f>N131/Q131</f>
        <v>0.34151873548778255</v>
      </c>
      <c r="U131" s="195">
        <f t="shared" si="18"/>
        <v>297.60410762960123</v>
      </c>
      <c r="V131" s="195">
        <f t="shared" si="14"/>
        <v>107.67812206773658</v>
      </c>
      <c r="W131" s="195">
        <f t="shared" si="14"/>
        <v>370.36038982384161</v>
      </c>
      <c r="X131" s="195">
        <f t="shared" si="17"/>
        <v>775.64261952117943</v>
      </c>
      <c r="Y131" s="196">
        <f t="shared" si="16"/>
        <v>0.38368715196867154</v>
      </c>
      <c r="AC131" s="251">
        <f t="shared" si="15"/>
        <v>1.0511436958863334</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4732.0653203457377</v>
      </c>
      <c r="C137" s="229">
        <v>1553.6067189846804</v>
      </c>
      <c r="D137" s="229">
        <v>515.63814641175497</v>
      </c>
      <c r="E137" s="229">
        <v>969.59201523607851</v>
      </c>
      <c r="F137" s="229">
        <v>266.1926442063214</v>
      </c>
      <c r="G137" s="229">
        <v>322.43650019573755</v>
      </c>
      <c r="H137" s="229">
        <v>738.30060628367983</v>
      </c>
      <c r="I137" s="229">
        <v>386.78294705354386</v>
      </c>
      <c r="J137" s="229">
        <v>595.84560800759175</v>
      </c>
      <c r="K137" s="229">
        <v>588.8135754148019</v>
      </c>
      <c r="N137" s="195">
        <f t="shared" ref="N137:N183" si="19">SUMIF($C$83:$G$83,"Y",C137:G137)-H137</f>
        <v>497.48405315872014</v>
      </c>
      <c r="O137" s="195">
        <f>H137</f>
        <v>738.30060628367983</v>
      </c>
      <c r="P137" s="195">
        <f t="shared" ref="P137:P183" si="20">SUMIF($C$83:$G$83,"N",C137:G137)-(IF($E$83="N",H137))</f>
        <v>2391.6813655921728</v>
      </c>
      <c r="Q137" s="195">
        <f>N137+P137+O137</f>
        <v>3627.4660250345728</v>
      </c>
      <c r="R137" s="196">
        <f>N137/Q137</f>
        <v>0.13714368369693516</v>
      </c>
      <c r="AC137" s="251"/>
    </row>
    <row r="138" spans="1:29" ht="15.6" x14ac:dyDescent="0.3">
      <c r="A138" s="194">
        <v>2015</v>
      </c>
      <c r="B138" s="229">
        <v>4770.3360611005028</v>
      </c>
      <c r="C138" s="229">
        <v>1562.2408570262396</v>
      </c>
      <c r="D138" s="229">
        <v>518.14027167939901</v>
      </c>
      <c r="E138" s="229">
        <v>999.2746076725723</v>
      </c>
      <c r="F138" s="229">
        <v>274.62474543531806</v>
      </c>
      <c r="G138" s="229">
        <v>328.7304123445353</v>
      </c>
      <c r="H138" s="229">
        <v>750.79728308202266</v>
      </c>
      <c r="I138" s="229">
        <v>390.07386937529793</v>
      </c>
      <c r="J138" s="229">
        <v>599.08537663246682</v>
      </c>
      <c r="K138" s="229">
        <v>594.24439570538539</v>
      </c>
      <c r="N138" s="195">
        <f t="shared" si="19"/>
        <v>523.10207002586776</v>
      </c>
      <c r="O138" s="195">
        <f t="shared" ref="O138:O183" si="21">H138</f>
        <v>750.79728308202266</v>
      </c>
      <c r="P138" s="195">
        <f t="shared" si="20"/>
        <v>2409.1115410501739</v>
      </c>
      <c r="Q138" s="195">
        <f t="shared" ref="Q138:Q183" si="22">N138+P138+O138</f>
        <v>3683.0108941580643</v>
      </c>
      <c r="R138" s="196">
        <f t="shared" ref="R138:R182" si="23">N138/Q138</f>
        <v>0.14203109495429522</v>
      </c>
      <c r="AC138" s="251"/>
    </row>
    <row r="139" spans="1:29" ht="15.6" x14ac:dyDescent="0.3">
      <c r="A139" s="194">
        <v>2016</v>
      </c>
      <c r="B139" s="229">
        <v>4811.5471780611488</v>
      </c>
      <c r="C139" s="229">
        <v>1567.9917748200321</v>
      </c>
      <c r="D139" s="229">
        <v>520.9423578979638</v>
      </c>
      <c r="E139" s="229">
        <v>1021.6362724636348</v>
      </c>
      <c r="F139" s="229">
        <v>282.11156737446487</v>
      </c>
      <c r="G139" s="229">
        <v>333.98540669414859</v>
      </c>
      <c r="H139" s="229">
        <v>760.24316792267769</v>
      </c>
      <c r="I139" s="229">
        <v>394.95426860056079</v>
      </c>
      <c r="J139" s="229">
        <v>601.55934210746784</v>
      </c>
      <c r="K139" s="229">
        <v>598.47677291385935</v>
      </c>
      <c r="N139" s="195">
        <f t="shared" si="19"/>
        <v>543.50467191542202</v>
      </c>
      <c r="O139" s="195">
        <f t="shared" si="21"/>
        <v>760.24316792267769</v>
      </c>
      <c r="P139" s="195">
        <f t="shared" si="20"/>
        <v>2422.9195394121443</v>
      </c>
      <c r="Q139" s="195">
        <f t="shared" si="22"/>
        <v>3726.6673792502443</v>
      </c>
      <c r="R139" s="196">
        <f t="shared" si="23"/>
        <v>0.14584201287767407</v>
      </c>
      <c r="AC139" s="251"/>
    </row>
    <row r="140" spans="1:29" ht="15.6" x14ac:dyDescent="0.3">
      <c r="A140" s="194">
        <v>2017</v>
      </c>
      <c r="B140" s="229">
        <v>4851.7249695683213</v>
      </c>
      <c r="C140" s="229">
        <v>1573.4374892408357</v>
      </c>
      <c r="D140" s="229">
        <v>523.7101280899268</v>
      </c>
      <c r="E140" s="229">
        <v>1044.2004745363729</v>
      </c>
      <c r="F140" s="229">
        <v>289.63959434269532</v>
      </c>
      <c r="G140" s="229">
        <v>339.21727526015485</v>
      </c>
      <c r="H140" s="229">
        <v>769.42240299989328</v>
      </c>
      <c r="I140" s="229">
        <v>399.50830142708048</v>
      </c>
      <c r="J140" s="229">
        <v>603.86847548105163</v>
      </c>
      <c r="K140" s="229">
        <v>602.50765098285558</v>
      </c>
      <c r="N140" s="195">
        <f t="shared" si="19"/>
        <v>564.41766587917493</v>
      </c>
      <c r="O140" s="195">
        <f t="shared" si="21"/>
        <v>769.42240299989328</v>
      </c>
      <c r="P140" s="195">
        <f t="shared" si="20"/>
        <v>2436.3648925909174</v>
      </c>
      <c r="Q140" s="195">
        <f t="shared" si="22"/>
        <v>3770.2049614699854</v>
      </c>
      <c r="R140" s="196">
        <f t="shared" si="23"/>
        <v>0.14970476980623121</v>
      </c>
      <c r="AC140" s="251"/>
    </row>
    <row r="141" spans="1:29" ht="15.6" x14ac:dyDescent="0.3">
      <c r="A141" s="194">
        <v>2018</v>
      </c>
      <c r="B141" s="229">
        <v>4890.8826914465963</v>
      </c>
      <c r="C141" s="229">
        <v>1578.5897710085712</v>
      </c>
      <c r="D141" s="229">
        <v>526.44397697194279</v>
      </c>
      <c r="E141" s="229">
        <v>1066.9630264646898</v>
      </c>
      <c r="F141" s="229">
        <v>297.2081024095321</v>
      </c>
      <c r="G141" s="229">
        <v>344.42543201772219</v>
      </c>
      <c r="H141" s="229">
        <v>778.33418949738063</v>
      </c>
      <c r="I141" s="229">
        <v>403.74802429475193</v>
      </c>
      <c r="J141" s="229">
        <v>606.01866343958625</v>
      </c>
      <c r="K141" s="229">
        <v>606.34434941183758</v>
      </c>
      <c r="N141" s="195">
        <f t="shared" si="19"/>
        <v>585.83693937684131</v>
      </c>
      <c r="O141" s="195">
        <f t="shared" si="21"/>
        <v>778.33418949738063</v>
      </c>
      <c r="P141" s="195">
        <f t="shared" si="20"/>
        <v>2449.4591799982363</v>
      </c>
      <c r="Q141" s="195">
        <f t="shared" si="22"/>
        <v>3813.630308872458</v>
      </c>
      <c r="R141" s="196">
        <f t="shared" si="23"/>
        <v>0.15361660463361759</v>
      </c>
      <c r="AC141" s="251"/>
    </row>
    <row r="142" spans="1:29" ht="16.2" thickBot="1" x14ac:dyDescent="0.35">
      <c r="A142" s="198">
        <v>2019</v>
      </c>
      <c r="B142" s="230">
        <v>4929.0335995205478</v>
      </c>
      <c r="C142" s="230">
        <v>1583.4603908431595</v>
      </c>
      <c r="D142" s="230">
        <v>529.14429926066657</v>
      </c>
      <c r="E142" s="230">
        <v>1089.9197408224884</v>
      </c>
      <c r="F142" s="230">
        <v>304.81636764449803</v>
      </c>
      <c r="G142" s="230">
        <v>349.60929094201856</v>
      </c>
      <c r="H142" s="230">
        <v>786.9777285988514</v>
      </c>
      <c r="I142" s="230">
        <v>407.68549364347001</v>
      </c>
      <c r="J142" s="230">
        <v>608.01579266943986</v>
      </c>
      <c r="K142" s="230">
        <v>609.99418770026864</v>
      </c>
      <c r="N142" s="195">
        <f t="shared" si="19"/>
        <v>607.75837986813508</v>
      </c>
      <c r="O142" s="195">
        <f t="shared" si="21"/>
        <v>786.9777285988514</v>
      </c>
      <c r="P142" s="195">
        <f t="shared" si="20"/>
        <v>2462.2139810458448</v>
      </c>
      <c r="Q142" s="195">
        <f t="shared" si="22"/>
        <v>3856.9500895128313</v>
      </c>
      <c r="R142" s="199">
        <f t="shared" si="23"/>
        <v>0.15757486245949856</v>
      </c>
      <c r="AC142" s="251"/>
    </row>
    <row r="143" spans="1:29" ht="15.6" x14ac:dyDescent="0.3">
      <c r="A143" s="201">
        <v>2020</v>
      </c>
      <c r="B143" s="228">
        <v>4966.1909496147509</v>
      </c>
      <c r="C143" s="228">
        <v>1588.061119464521</v>
      </c>
      <c r="D143" s="228">
        <v>531.81148967275283</v>
      </c>
      <c r="E143" s="228">
        <v>1113.0664301836716</v>
      </c>
      <c r="F143" s="228">
        <v>312.46366611711579</v>
      </c>
      <c r="G143" s="228">
        <v>354.76826600821198</v>
      </c>
      <c r="H143" s="228">
        <v>795.35222148801688</v>
      </c>
      <c r="I143" s="228">
        <v>411.33276591312966</v>
      </c>
      <c r="J143" s="228">
        <v>609.86574985698064</v>
      </c>
      <c r="K143" s="228">
        <v>613.46448534761203</v>
      </c>
      <c r="L143" s="202"/>
      <c r="M143" s="202"/>
      <c r="N143" s="195">
        <f t="shared" si="19"/>
        <v>630.17787481277048</v>
      </c>
      <c r="O143" s="195">
        <f t="shared" si="21"/>
        <v>795.35222148801688</v>
      </c>
      <c r="P143" s="195">
        <f t="shared" si="20"/>
        <v>2474.6408751454856</v>
      </c>
      <c r="Q143" s="195">
        <f t="shared" si="22"/>
        <v>3900.1709714462727</v>
      </c>
      <c r="R143" s="220">
        <f t="shared" si="23"/>
        <v>0.16157698711835858</v>
      </c>
      <c r="AC143" s="251"/>
    </row>
    <row r="144" spans="1:29" ht="15.6" x14ac:dyDescent="0.3">
      <c r="A144" s="206">
        <v>2021</v>
      </c>
      <c r="B144" s="229">
        <v>5002.3679975537825</v>
      </c>
      <c r="C144" s="229">
        <v>1592.4037275925762</v>
      </c>
      <c r="D144" s="229">
        <v>534.44594292485647</v>
      </c>
      <c r="E144" s="229">
        <v>1136.3989071221426</v>
      </c>
      <c r="F144" s="229">
        <v>320.1492738969082</v>
      </c>
      <c r="G144" s="229">
        <v>359.90177119147035</v>
      </c>
      <c r="H144" s="229">
        <v>803.45686934858861</v>
      </c>
      <c r="I144" s="229">
        <v>414.70189754362576</v>
      </c>
      <c r="J144" s="229">
        <v>611.57442168857642</v>
      </c>
      <c r="K144" s="229">
        <v>616.76256185333125</v>
      </c>
      <c r="L144" s="170"/>
      <c r="M144" s="170"/>
      <c r="N144" s="195">
        <f t="shared" si="19"/>
        <v>653.09131167046223</v>
      </c>
      <c r="O144" s="195">
        <f t="shared" si="21"/>
        <v>803.45686934858861</v>
      </c>
      <c r="P144" s="195">
        <f t="shared" si="20"/>
        <v>2486.7514417089028</v>
      </c>
      <c r="Q144" s="195">
        <f t="shared" si="22"/>
        <v>3943.2996227279536</v>
      </c>
      <c r="R144" s="221">
        <f t="shared" si="23"/>
        <v>0.16562051432922997</v>
      </c>
      <c r="AC144" s="251"/>
    </row>
    <row r="145" spans="1:29" ht="15.6" x14ac:dyDescent="0.3">
      <c r="A145" s="206">
        <v>2022</v>
      </c>
      <c r="B145" s="229">
        <v>5037.5779991622157</v>
      </c>
      <c r="C145" s="229">
        <v>1596.4999859472459</v>
      </c>
      <c r="D145" s="229">
        <v>537.04805373363217</v>
      </c>
      <c r="E145" s="229">
        <v>1159.9129842118048</v>
      </c>
      <c r="F145" s="229">
        <v>327.87246705339794</v>
      </c>
      <c r="G145" s="229">
        <v>365.00922046696166</v>
      </c>
      <c r="H145" s="229">
        <v>811.29087336427801</v>
      </c>
      <c r="I145" s="229">
        <v>417.80494497485319</v>
      </c>
      <c r="J145" s="229">
        <v>613.1476948505956</v>
      </c>
      <c r="K145" s="229">
        <v>619.89573671688947</v>
      </c>
      <c r="L145" s="170"/>
      <c r="M145" s="170"/>
      <c r="N145" s="195">
        <f t="shared" si="19"/>
        <v>676.4945779009247</v>
      </c>
      <c r="O145" s="195">
        <f t="shared" si="21"/>
        <v>811.29087336427801</v>
      </c>
      <c r="P145" s="195">
        <f t="shared" si="20"/>
        <v>2498.5572601478398</v>
      </c>
      <c r="Q145" s="195">
        <f t="shared" si="22"/>
        <v>3986.3427114130427</v>
      </c>
      <c r="R145" s="221">
        <f t="shared" si="23"/>
        <v>0.16970306540982952</v>
      </c>
      <c r="AC145" s="251"/>
    </row>
    <row r="146" spans="1:29" ht="15.6" x14ac:dyDescent="0.3">
      <c r="A146" s="206">
        <v>2023</v>
      </c>
      <c r="B146" s="229">
        <v>5071.8342102646266</v>
      </c>
      <c r="C146" s="229">
        <v>1600.3616652484507</v>
      </c>
      <c r="D146" s="229">
        <v>539.61821681573474</v>
      </c>
      <c r="E146" s="229">
        <v>1183.6044740265604</v>
      </c>
      <c r="F146" s="229">
        <v>335.63252165610783</v>
      </c>
      <c r="G146" s="229">
        <v>370.09002780985406</v>
      </c>
      <c r="H146" s="229">
        <v>818.85343471879651</v>
      </c>
      <c r="I146" s="229">
        <v>420.65396464670687</v>
      </c>
      <c r="J146" s="229">
        <v>614.59145602940612</v>
      </c>
      <c r="K146" s="229">
        <v>622.87132943775032</v>
      </c>
      <c r="L146" s="170"/>
      <c r="M146" s="170"/>
      <c r="N146" s="195">
        <f t="shared" si="19"/>
        <v>700.38356096387179</v>
      </c>
      <c r="O146" s="195">
        <f t="shared" si="21"/>
        <v>818.85343471879651</v>
      </c>
      <c r="P146" s="195">
        <f t="shared" si="20"/>
        <v>2510.0699098740397</v>
      </c>
      <c r="Q146" s="195">
        <f>N146+P146+O146</f>
        <v>4029.306905556708</v>
      </c>
      <c r="R146" s="221">
        <f t="shared" si="23"/>
        <v>0.17382234150443884</v>
      </c>
      <c r="AC146" s="251"/>
    </row>
    <row r="147" spans="1:29" ht="15.6" x14ac:dyDescent="0.3">
      <c r="A147" s="206">
        <v>2024</v>
      </c>
      <c r="B147" s="229">
        <v>5105.1498866855909</v>
      </c>
      <c r="C147" s="229">
        <v>1604.0005362161112</v>
      </c>
      <c r="D147" s="229">
        <v>542.15682688781885</v>
      </c>
      <c r="E147" s="229">
        <v>1207.4691891403131</v>
      </c>
      <c r="F147" s="229">
        <v>343.42871377456055</v>
      </c>
      <c r="G147" s="229">
        <v>375.14360719531533</v>
      </c>
      <c r="H147" s="229">
        <v>826.14375459585563</v>
      </c>
      <c r="I147" s="229">
        <v>423.2610129990818</v>
      </c>
      <c r="J147" s="229">
        <v>615.91159191137604</v>
      </c>
      <c r="K147" s="229">
        <v>625.69665951537684</v>
      </c>
      <c r="L147" s="170"/>
      <c r="M147" s="170"/>
      <c r="N147" s="195">
        <f t="shared" si="19"/>
        <v>724.75414831901799</v>
      </c>
      <c r="O147" s="195">
        <f t="shared" si="21"/>
        <v>826.14375459585563</v>
      </c>
      <c r="P147" s="195">
        <f t="shared" si="20"/>
        <v>2521.3009702992454</v>
      </c>
      <c r="Q147" s="195">
        <f t="shared" si="22"/>
        <v>4072.198873214119</v>
      </c>
      <c r="R147" s="221">
        <f t="shared" si="23"/>
        <v>0.177976118280044</v>
      </c>
      <c r="AC147" s="251"/>
    </row>
    <row r="148" spans="1:29" ht="15.6" x14ac:dyDescent="0.3">
      <c r="A148" s="206">
        <v>2025</v>
      </c>
      <c r="B148" s="229">
        <v>5137.538284249682</v>
      </c>
      <c r="C148" s="229">
        <v>1607.4283695701483</v>
      </c>
      <c r="D148" s="229">
        <v>544.6642786665393</v>
      </c>
      <c r="E148" s="229">
        <v>1231.5029421269658</v>
      </c>
      <c r="F148" s="229">
        <v>351.26031947827892</v>
      </c>
      <c r="G148" s="229">
        <v>380.16937259851363</v>
      </c>
      <c r="H148" s="229">
        <v>833.16103417916679</v>
      </c>
      <c r="I148" s="229">
        <v>425.63814647187269</v>
      </c>
      <c r="J148" s="229">
        <v>617.11398918287352</v>
      </c>
      <c r="K148" s="229">
        <v>628.37904644923265</v>
      </c>
      <c r="L148" s="170"/>
      <c r="M148" s="170"/>
      <c r="N148" s="195">
        <f t="shared" si="19"/>
        <v>749.60222742607789</v>
      </c>
      <c r="O148" s="195">
        <f t="shared" si="21"/>
        <v>833.16103417916679</v>
      </c>
      <c r="P148" s="195">
        <f t="shared" si="20"/>
        <v>2532.2620208352014</v>
      </c>
      <c r="Q148" s="195">
        <f t="shared" si="22"/>
        <v>4115.0252824404461</v>
      </c>
      <c r="R148" s="221">
        <f t="shared" si="23"/>
        <v>0.18216224104983403</v>
      </c>
      <c r="AC148" s="251"/>
    </row>
    <row r="149" spans="1:29" ht="15.6" x14ac:dyDescent="0.3">
      <c r="A149" s="206">
        <v>2026</v>
      </c>
      <c r="B149" s="229">
        <v>5169.0126587814775</v>
      </c>
      <c r="C149" s="229">
        <v>1610.656936030482</v>
      </c>
      <c r="D149" s="229">
        <v>547.14096686855089</v>
      </c>
      <c r="E149" s="229">
        <v>1255.7015455604212</v>
      </c>
      <c r="F149" s="229">
        <v>359.12661483678556</v>
      </c>
      <c r="G149" s="229">
        <v>385.16673799461682</v>
      </c>
      <c r="H149" s="229">
        <v>839.90447465244154</v>
      </c>
      <c r="I149" s="229">
        <v>427.79742150497458</v>
      </c>
      <c r="J149" s="229">
        <v>618.20453453026664</v>
      </c>
      <c r="K149" s="229">
        <v>630.92580973878103</v>
      </c>
      <c r="L149" s="170"/>
      <c r="M149" s="170"/>
      <c r="N149" s="195">
        <f t="shared" si="19"/>
        <v>774.92368574476529</v>
      </c>
      <c r="O149" s="195">
        <f t="shared" si="21"/>
        <v>839.90447465244154</v>
      </c>
      <c r="P149" s="195">
        <f t="shared" si="20"/>
        <v>2542.9646408936496</v>
      </c>
      <c r="Q149" s="195">
        <f t="shared" si="22"/>
        <v>4157.7928012908569</v>
      </c>
      <c r="R149" s="221">
        <f t="shared" si="23"/>
        <v>0.1863786202872296</v>
      </c>
      <c r="AC149" s="251"/>
    </row>
    <row r="150" spans="1:29" ht="15.6" x14ac:dyDescent="0.3">
      <c r="A150" s="206">
        <v>2027</v>
      </c>
      <c r="B150" s="229">
        <v>5199.5862661055507</v>
      </c>
      <c r="C150" s="229">
        <v>1613.6980063170336</v>
      </c>
      <c r="D150" s="229">
        <v>549.5872862105083</v>
      </c>
      <c r="E150" s="229">
        <v>1280.0608120145828</v>
      </c>
      <c r="F150" s="229">
        <v>367.02687591960336</v>
      </c>
      <c r="G150" s="229">
        <v>390.13511735879297</v>
      </c>
      <c r="H150" s="229">
        <v>846.37327719939117</v>
      </c>
      <c r="I150" s="229">
        <v>429.75089453828235</v>
      </c>
      <c r="J150" s="229">
        <v>619.18911463992367</v>
      </c>
      <c r="K150" s="229">
        <v>633.34426888348514</v>
      </c>
      <c r="L150" s="170"/>
      <c r="M150" s="170"/>
      <c r="N150" s="195">
        <f t="shared" si="19"/>
        <v>800.71441073479491</v>
      </c>
      <c r="O150" s="195">
        <f t="shared" si="21"/>
        <v>846.37327719939117</v>
      </c>
      <c r="P150" s="195">
        <f t="shared" si="20"/>
        <v>2553.4204098863347</v>
      </c>
      <c r="Q150" s="195">
        <f t="shared" si="22"/>
        <v>4200.5080978205206</v>
      </c>
      <c r="R150" s="221">
        <f t="shared" si="23"/>
        <v>0.19062322749722929</v>
      </c>
      <c r="AC150" s="251"/>
    </row>
    <row r="151" spans="1:29" ht="15.6" x14ac:dyDescent="0.3">
      <c r="A151" s="206">
        <v>2028</v>
      </c>
      <c r="B151" s="229">
        <v>5229.2723620464767</v>
      </c>
      <c r="C151" s="229">
        <v>1616.5633511497235</v>
      </c>
      <c r="D151" s="229">
        <v>552.00363140906643</v>
      </c>
      <c r="E151" s="229">
        <v>1304.5765540633533</v>
      </c>
      <c r="F151" s="229">
        <v>374.96037879625499</v>
      </c>
      <c r="G151" s="229">
        <v>395.07392466621002</v>
      </c>
      <c r="H151" s="229">
        <v>852.56664300372722</v>
      </c>
      <c r="I151" s="229">
        <v>431.51062201169088</v>
      </c>
      <c r="J151" s="229">
        <v>620.07361619821245</v>
      </c>
      <c r="K151" s="229">
        <v>635.64174338280861</v>
      </c>
      <c r="L151" s="170"/>
      <c r="M151" s="170"/>
      <c r="N151" s="195">
        <f t="shared" si="19"/>
        <v>826.97028985588122</v>
      </c>
      <c r="O151" s="195">
        <f t="shared" si="21"/>
        <v>852.56664300372722</v>
      </c>
      <c r="P151" s="195">
        <f t="shared" si="20"/>
        <v>2563.6409072250003</v>
      </c>
      <c r="Q151" s="195">
        <f t="shared" si="22"/>
        <v>4243.1778400846088</v>
      </c>
      <c r="R151" s="221">
        <f t="shared" si="23"/>
        <v>0.1948940914150776</v>
      </c>
      <c r="AC151" s="251"/>
    </row>
    <row r="152" spans="1:29" ht="15.6" x14ac:dyDescent="0.3">
      <c r="A152" s="206">
        <v>2029</v>
      </c>
      <c r="B152" s="229">
        <v>5258.0842024288322</v>
      </c>
      <c r="C152" s="229">
        <v>1619.2647412484721</v>
      </c>
      <c r="D152" s="229">
        <v>554.39039718087997</v>
      </c>
      <c r="E152" s="229">
        <v>1329.244584280636</v>
      </c>
      <c r="F152" s="229">
        <v>382.92639953626326</v>
      </c>
      <c r="G152" s="229">
        <v>399.98257389203593</v>
      </c>
      <c r="H152" s="229">
        <v>858.483773249161</v>
      </c>
      <c r="I152" s="229">
        <v>433.08866036509505</v>
      </c>
      <c r="J152" s="229">
        <v>620.86392589150114</v>
      </c>
      <c r="K152" s="229">
        <v>637.82555273621472</v>
      </c>
      <c r="L152" s="170"/>
      <c r="M152" s="170"/>
      <c r="N152" s="195">
        <f t="shared" si="19"/>
        <v>853.68721056773825</v>
      </c>
      <c r="O152" s="195">
        <f t="shared" si="21"/>
        <v>858.483773249161</v>
      </c>
      <c r="P152" s="195">
        <f t="shared" si="20"/>
        <v>2573.6377123213879</v>
      </c>
      <c r="Q152" s="195">
        <f t="shared" si="22"/>
        <v>4285.8086961382869</v>
      </c>
      <c r="R152" s="221">
        <f t="shared" si="23"/>
        <v>0.19918929450513043</v>
      </c>
      <c r="AC152" s="251"/>
    </row>
    <row r="153" spans="1:29" ht="15.6" x14ac:dyDescent="0.3">
      <c r="A153" s="206">
        <v>2030</v>
      </c>
      <c r="B153" s="229">
        <v>5286.0350430771914</v>
      </c>
      <c r="C153" s="229">
        <v>1621.8139473332003</v>
      </c>
      <c r="D153" s="229">
        <v>556.74797824260372</v>
      </c>
      <c r="E153" s="229">
        <v>1354.0607152403336</v>
      </c>
      <c r="F153" s="229">
        <v>390.92421420915088</v>
      </c>
      <c r="G153" s="229">
        <v>404.86047901143883</v>
      </c>
      <c r="H153" s="229">
        <v>864.12386911940428</v>
      </c>
      <c r="I153" s="229">
        <v>434.49706603838979</v>
      </c>
      <c r="J153" s="229">
        <v>621.56593040615803</v>
      </c>
      <c r="K153" s="229">
        <v>639.90301644316673</v>
      </c>
      <c r="L153" s="170"/>
      <c r="M153" s="170"/>
      <c r="N153" s="195">
        <f t="shared" si="19"/>
        <v>880.86106033008025</v>
      </c>
      <c r="O153" s="195">
        <f t="shared" si="21"/>
        <v>864.12386911940428</v>
      </c>
      <c r="P153" s="195">
        <f t="shared" si="20"/>
        <v>2583.4224045872425</v>
      </c>
      <c r="Q153" s="195">
        <f t="shared" si="22"/>
        <v>4328.4073340367268</v>
      </c>
      <c r="R153" s="221">
        <f t="shared" si="23"/>
        <v>0.20350696973535026</v>
      </c>
      <c r="AC153" s="251"/>
    </row>
    <row r="154" spans="1:29" ht="15.6" x14ac:dyDescent="0.3">
      <c r="A154" s="206">
        <v>2031</v>
      </c>
      <c r="B154" s="229">
        <v>5313.1381398161293</v>
      </c>
      <c r="C154" s="229">
        <v>1624.2227401238285</v>
      </c>
      <c r="D154" s="229">
        <v>559.07676931089236</v>
      </c>
      <c r="E154" s="229">
        <v>1379.0207595163492</v>
      </c>
      <c r="F154" s="229">
        <v>398.95309888444058</v>
      </c>
      <c r="G154" s="229">
        <v>409.70705399958655</v>
      </c>
      <c r="H154" s="229">
        <v>869.48613179816823</v>
      </c>
      <c r="I154" s="229">
        <v>435.74789547147003</v>
      </c>
      <c r="J154" s="229">
        <v>622.18551642855095</v>
      </c>
      <c r="K154" s="229">
        <v>641.88145400312806</v>
      </c>
      <c r="L154" s="170"/>
      <c r="M154" s="170"/>
      <c r="N154" s="195">
        <f t="shared" si="19"/>
        <v>908.48772660262159</v>
      </c>
      <c r="O154" s="195">
        <f t="shared" si="21"/>
        <v>869.48613179816823</v>
      </c>
      <c r="P154" s="195">
        <f t="shared" si="20"/>
        <v>2593.0065634343073</v>
      </c>
      <c r="Q154" s="195">
        <f t="shared" si="22"/>
        <v>4370.9804218350973</v>
      </c>
      <c r="R154" s="221">
        <f t="shared" si="23"/>
        <v>0.20784529760515497</v>
      </c>
      <c r="AC154" s="251"/>
    </row>
    <row r="155" spans="1:29" ht="15.6" x14ac:dyDescent="0.3">
      <c r="A155" s="206">
        <v>2032</v>
      </c>
      <c r="B155" s="229">
        <v>5339.4067484702209</v>
      </c>
      <c r="C155" s="229">
        <v>1626.5028903402776</v>
      </c>
      <c r="D155" s="229">
        <v>561.37716510240068</v>
      </c>
      <c r="E155" s="229">
        <v>1404.1205296825863</v>
      </c>
      <c r="F155" s="229">
        <v>407.01232963165512</v>
      </c>
      <c r="G155" s="229">
        <v>414.52171283164716</v>
      </c>
      <c r="H155" s="229">
        <v>874.5697624691644</v>
      </c>
      <c r="I155" s="229">
        <v>436.85320510423065</v>
      </c>
      <c r="J155" s="229">
        <v>622.72857064504819</v>
      </c>
      <c r="K155" s="229">
        <v>643.76818491556196</v>
      </c>
      <c r="L155" s="170"/>
      <c r="M155" s="170"/>
      <c r="N155" s="195">
        <f t="shared" si="19"/>
        <v>936.56309684507698</v>
      </c>
      <c r="O155" s="195">
        <f t="shared" si="21"/>
        <v>874.5697624691644</v>
      </c>
      <c r="P155" s="195">
        <f t="shared" si="20"/>
        <v>2602.4017682743256</v>
      </c>
      <c r="Q155" s="195">
        <f t="shared" si="22"/>
        <v>4413.5346275885668</v>
      </c>
      <c r="R155" s="221">
        <f t="shared" si="23"/>
        <v>0.21220250340638863</v>
      </c>
      <c r="AC155" s="251"/>
    </row>
    <row r="156" spans="1:29" ht="15.6" x14ac:dyDescent="0.3">
      <c r="A156" s="206">
        <v>2033</v>
      </c>
      <c r="B156" s="229">
        <v>5364.8541248640422</v>
      </c>
      <c r="C156" s="229">
        <v>1628.666168702468</v>
      </c>
      <c r="D156" s="229">
        <v>563.64956033378348</v>
      </c>
      <c r="E156" s="229">
        <v>1429.3558383129475</v>
      </c>
      <c r="F156" s="229">
        <v>415.10118252031725</v>
      </c>
      <c r="G156" s="229">
        <v>419.30386948278863</v>
      </c>
      <c r="H156" s="229">
        <v>879.37396231610433</v>
      </c>
      <c r="I156" s="229">
        <v>437.82505137656653</v>
      </c>
      <c r="J156" s="229">
        <v>623.20097974201781</v>
      </c>
      <c r="K156" s="229">
        <v>645.57052867993207</v>
      </c>
      <c r="L156" s="170"/>
      <c r="M156" s="170"/>
      <c r="N156" s="195">
        <f t="shared" si="19"/>
        <v>965.08305851716045</v>
      </c>
      <c r="O156" s="195">
        <f t="shared" si="21"/>
        <v>879.37396231610433</v>
      </c>
      <c r="P156" s="195">
        <f t="shared" si="20"/>
        <v>2611.6195985190402</v>
      </c>
      <c r="Q156" s="195">
        <f t="shared" si="22"/>
        <v>4456.076619352305</v>
      </c>
      <c r="R156" s="221">
        <f t="shared" si="23"/>
        <v>0.21657685469901911</v>
      </c>
      <c r="AC156" s="251"/>
    </row>
    <row r="157" spans="1:29" ht="15.6" x14ac:dyDescent="0.3">
      <c r="A157" s="206">
        <v>2034</v>
      </c>
      <c r="B157" s="229">
        <v>5389.4935248221673</v>
      </c>
      <c r="C157" s="229">
        <v>1630.7243459303204</v>
      </c>
      <c r="D157" s="229">
        <v>565.89434972169556</v>
      </c>
      <c r="E157" s="229">
        <v>1454.7224979813359</v>
      </c>
      <c r="F157" s="229">
        <v>423.21893361994978</v>
      </c>
      <c r="G157" s="229">
        <v>424.05293792817895</v>
      </c>
      <c r="H157" s="229">
        <v>883.89793252269931</v>
      </c>
      <c r="I157" s="229">
        <v>438.67549072837261</v>
      </c>
      <c r="J157" s="229">
        <v>623.60863040582785</v>
      </c>
      <c r="K157" s="229">
        <v>647.29580479570143</v>
      </c>
      <c r="L157" s="170"/>
      <c r="M157" s="170"/>
      <c r="N157" s="195">
        <f t="shared" si="19"/>
        <v>994.04349907858648</v>
      </c>
      <c r="O157" s="195">
        <f t="shared" si="21"/>
        <v>883.89793252269931</v>
      </c>
      <c r="P157" s="195">
        <f t="shared" si="20"/>
        <v>2620.6716335801948</v>
      </c>
      <c r="Q157" s="195">
        <f t="shared" si="22"/>
        <v>4498.613065181481</v>
      </c>
      <c r="R157" s="221">
        <f t="shared" si="23"/>
        <v>0.2209666589848143</v>
      </c>
      <c r="AC157" s="251"/>
    </row>
    <row r="158" spans="1:29" ht="15.6" x14ac:dyDescent="0.3">
      <c r="A158" s="206">
        <v>2035</v>
      </c>
      <c r="B158" s="229">
        <v>5413.338204169173</v>
      </c>
      <c r="C158" s="229">
        <v>1632.6891927437557</v>
      </c>
      <c r="D158" s="229">
        <v>568.11192798279171</v>
      </c>
      <c r="E158" s="229">
        <v>1480.2163212616545</v>
      </c>
      <c r="F158" s="229">
        <v>431.36485900007534</v>
      </c>
      <c r="G158" s="229">
        <v>428.76833214298614</v>
      </c>
      <c r="H158" s="229">
        <v>888.14087427266088</v>
      </c>
      <c r="I158" s="229">
        <v>439.41657959954375</v>
      </c>
      <c r="J158" s="229">
        <v>623.9574093228465</v>
      </c>
      <c r="K158" s="229">
        <v>648.95133276233355</v>
      </c>
      <c r="L158" s="170"/>
      <c r="M158" s="170"/>
      <c r="N158" s="195">
        <f t="shared" si="19"/>
        <v>1023.4403059890689</v>
      </c>
      <c r="O158" s="195">
        <f t="shared" si="21"/>
        <v>888.14087427266088</v>
      </c>
      <c r="P158" s="195">
        <f t="shared" si="20"/>
        <v>2629.5694528695335</v>
      </c>
      <c r="Q158" s="195">
        <f t="shared" si="22"/>
        <v>4541.150633131263</v>
      </c>
      <c r="R158" s="221">
        <f t="shared" si="23"/>
        <v>0.22537026156372517</v>
      </c>
      <c r="AC158" s="251"/>
    </row>
    <row r="159" spans="1:29" ht="15.6" x14ac:dyDescent="0.3">
      <c r="A159" s="206">
        <v>2036</v>
      </c>
      <c r="B159" s="229">
        <v>5436.4014187296325</v>
      </c>
      <c r="C159" s="229">
        <v>1634.5724798626941</v>
      </c>
      <c r="D159" s="229">
        <v>570.3026898337265</v>
      </c>
      <c r="E159" s="229">
        <v>1505.8331207278065</v>
      </c>
      <c r="F159" s="229">
        <v>439.5382347302168</v>
      </c>
      <c r="G159" s="229">
        <v>433.4494661023781</v>
      </c>
      <c r="H159" s="229">
        <v>892.10198874970058</v>
      </c>
      <c r="I159" s="229">
        <v>440.06037442997484</v>
      </c>
      <c r="J159" s="229">
        <v>624.25320317944181</v>
      </c>
      <c r="K159" s="229">
        <v>650.54443207929182</v>
      </c>
      <c r="L159" s="170"/>
      <c r="M159" s="170"/>
      <c r="N159" s="195">
        <f t="shared" si="19"/>
        <v>1053.2693667083227</v>
      </c>
      <c r="O159" s="195">
        <f t="shared" si="21"/>
        <v>892.10198874970058</v>
      </c>
      <c r="P159" s="195">
        <f t="shared" si="20"/>
        <v>2638.3246357987987</v>
      </c>
      <c r="Q159" s="195">
        <f t="shared" si="22"/>
        <v>4583.6959912568218</v>
      </c>
      <c r="R159" s="221">
        <f t="shared" si="23"/>
        <v>0.22978604355903684</v>
      </c>
      <c r="AC159" s="251"/>
    </row>
    <row r="160" spans="1:29" ht="15.6" x14ac:dyDescent="0.3">
      <c r="A160" s="206">
        <v>2037</v>
      </c>
      <c r="B160" s="229">
        <v>5458.6964243281218</v>
      </c>
      <c r="C160" s="229">
        <v>1636.3859780070563</v>
      </c>
      <c r="D160" s="229">
        <v>572.46702999115485</v>
      </c>
      <c r="E160" s="229">
        <v>1531.5687089536946</v>
      </c>
      <c r="F160" s="229">
        <v>447.73833687989679</v>
      </c>
      <c r="G160" s="229">
        <v>438.09575378152294</v>
      </c>
      <c r="H160" s="229">
        <v>895.78047713752972</v>
      </c>
      <c r="I160" s="229">
        <v>440.61893165956087</v>
      </c>
      <c r="J160" s="229">
        <v>624.50189866198184</v>
      </c>
      <c r="K160" s="229">
        <v>652.08242224603953</v>
      </c>
      <c r="L160" s="170"/>
      <c r="M160" s="170"/>
      <c r="N160" s="195">
        <f t="shared" si="19"/>
        <v>1083.5265686960618</v>
      </c>
      <c r="O160" s="195">
        <f t="shared" si="21"/>
        <v>895.78047713752972</v>
      </c>
      <c r="P160" s="195">
        <f t="shared" si="20"/>
        <v>2646.948761779734</v>
      </c>
      <c r="Q160" s="195">
        <f t="shared" si="22"/>
        <v>4626.2558076133255</v>
      </c>
      <c r="R160" s="221">
        <f t="shared" si="23"/>
        <v>0.23421242009854412</v>
      </c>
      <c r="AC160" s="251"/>
    </row>
    <row r="161" spans="1:29" ht="15.6" x14ac:dyDescent="0.3">
      <c r="A161" s="206">
        <v>2038</v>
      </c>
      <c r="B161" s="229">
        <v>5480.2364767892168</v>
      </c>
      <c r="C161" s="229">
        <v>1638.1414578967631</v>
      </c>
      <c r="D161" s="229">
        <v>574.60534317173142</v>
      </c>
      <c r="E161" s="229">
        <v>1557.4188985132223</v>
      </c>
      <c r="F161" s="229">
        <v>455.96444151863818</v>
      </c>
      <c r="G161" s="229">
        <v>442.70660915558852</v>
      </c>
      <c r="H161" s="229">
        <v>899.1755406198597</v>
      </c>
      <c r="I161" s="229">
        <v>441.10430772819666</v>
      </c>
      <c r="J161" s="229">
        <v>624.70938245683476</v>
      </c>
      <c r="K161" s="229">
        <v>653.57262276204006</v>
      </c>
      <c r="L161" s="170"/>
      <c r="M161" s="170"/>
      <c r="N161" s="195">
        <f t="shared" si="19"/>
        <v>1114.2077994120007</v>
      </c>
      <c r="O161" s="195">
        <f t="shared" si="21"/>
        <v>899.1755406198597</v>
      </c>
      <c r="P161" s="195">
        <f t="shared" si="20"/>
        <v>2655.4534102240827</v>
      </c>
      <c r="Q161" s="195">
        <f t="shared" si="22"/>
        <v>4668.8367502559431</v>
      </c>
      <c r="R161" s="221">
        <f t="shared" si="23"/>
        <v>0.23864783864008962</v>
      </c>
      <c r="AC161" s="251"/>
    </row>
    <row r="162" spans="1:29" ht="15.6" x14ac:dyDescent="0.3">
      <c r="A162" s="206">
        <v>2039</v>
      </c>
      <c r="B162" s="229">
        <v>5501.0348319374916</v>
      </c>
      <c r="C162" s="229">
        <v>1639.8506902517352</v>
      </c>
      <c r="D162" s="229">
        <v>576.71802409211114</v>
      </c>
      <c r="E162" s="229">
        <v>1583.3795019802922</v>
      </c>
      <c r="F162" s="229">
        <v>464.21582471596366</v>
      </c>
      <c r="G162" s="229">
        <v>447.2814461997429</v>
      </c>
      <c r="H162" s="229">
        <v>902.28638038040231</v>
      </c>
      <c r="I162" s="229">
        <v>441.52855907577714</v>
      </c>
      <c r="J162" s="229">
        <v>624.88154125036863</v>
      </c>
      <c r="K162" s="229">
        <v>655.02235312675668</v>
      </c>
      <c r="L162" s="170"/>
      <c r="M162" s="170"/>
      <c r="N162" s="195">
        <f t="shared" si="19"/>
        <v>1145.3089463158535</v>
      </c>
      <c r="O162" s="195">
        <f t="shared" si="21"/>
        <v>902.28638038040231</v>
      </c>
      <c r="P162" s="195">
        <f t="shared" si="20"/>
        <v>2663.850160543589</v>
      </c>
      <c r="Q162" s="195">
        <f t="shared" si="22"/>
        <v>4711.4454872398446</v>
      </c>
      <c r="R162" s="221">
        <f t="shared" si="23"/>
        <v>0.24309077743077567</v>
      </c>
      <c r="AC162" s="251"/>
    </row>
    <row r="163" spans="1:29" ht="15.6" x14ac:dyDescent="0.3">
      <c r="A163" s="206">
        <v>2040</v>
      </c>
      <c r="B163" s="229">
        <v>5521.1047455975213</v>
      </c>
      <c r="C163" s="229">
        <v>1641.5254457918929</v>
      </c>
      <c r="D163" s="229">
        <v>578.80546746894868</v>
      </c>
      <c r="E163" s="229">
        <v>1609.4463319288075</v>
      </c>
      <c r="F163" s="229">
        <v>472.49176254139593</v>
      </c>
      <c r="G163" s="229">
        <v>451.81967888915409</v>
      </c>
      <c r="H163" s="229">
        <v>905.1121976028686</v>
      </c>
      <c r="I163" s="229">
        <v>441.90374214219719</v>
      </c>
      <c r="J163" s="229">
        <v>625.0242617289515</v>
      </c>
      <c r="K163" s="229">
        <v>656.43893283965281</v>
      </c>
      <c r="L163" s="170"/>
      <c r="M163" s="170"/>
      <c r="N163" s="195">
        <f t="shared" si="19"/>
        <v>1176.8258968673349</v>
      </c>
      <c r="O163" s="195">
        <f t="shared" si="21"/>
        <v>905.1121976028686</v>
      </c>
      <c r="P163" s="195">
        <f t="shared" si="20"/>
        <v>2672.1505921499956</v>
      </c>
      <c r="Q163" s="195">
        <f t="shared" si="22"/>
        <v>4754.088686620199</v>
      </c>
      <c r="R163" s="221">
        <f t="shared" si="23"/>
        <v>0.24753974409004345</v>
      </c>
      <c r="AC163" s="251"/>
    </row>
    <row r="164" spans="1:29" ht="15.6" x14ac:dyDescent="0.3">
      <c r="A164" s="206">
        <v>2041</v>
      </c>
      <c r="B164" s="229">
        <v>5540.4594735938817</v>
      </c>
      <c r="C164" s="229">
        <v>1643.1774952371572</v>
      </c>
      <c r="D164" s="229">
        <v>580.86806801889873</v>
      </c>
      <c r="E164" s="229">
        <v>1635.6152009326715</v>
      </c>
      <c r="F164" s="229">
        <v>480.79153106445784</v>
      </c>
      <c r="G164" s="229">
        <v>456.32072119898999</v>
      </c>
      <c r="H164" s="229">
        <v>907.65219347097025</v>
      </c>
      <c r="I164" s="229">
        <v>442.24191336735174</v>
      </c>
      <c r="J164" s="229">
        <v>625.14343057895155</v>
      </c>
      <c r="K164" s="229">
        <v>657.82968140019182</v>
      </c>
      <c r="L164" s="170"/>
      <c r="M164" s="170"/>
      <c r="N164" s="195">
        <f t="shared" si="19"/>
        <v>1208.7545385261592</v>
      </c>
      <c r="O164" s="195">
        <f t="shared" si="21"/>
        <v>907.65219347097025</v>
      </c>
      <c r="P164" s="195">
        <f t="shared" si="20"/>
        <v>2680.3662844550463</v>
      </c>
      <c r="Q164" s="195">
        <f>N164+P164+O164</f>
        <v>4796.7730164521754</v>
      </c>
      <c r="R164" s="221">
        <f>N164/Q164</f>
        <v>0.25199327430760671</v>
      </c>
      <c r="AC164" s="251"/>
    </row>
    <row r="165" spans="1:29" ht="15.6" x14ac:dyDescent="0.3">
      <c r="A165" s="206">
        <v>2042</v>
      </c>
      <c r="B165" s="229">
        <v>5559.112271751148</v>
      </c>
      <c r="C165" s="229">
        <v>1644.8186093074485</v>
      </c>
      <c r="D165" s="229">
        <v>582.90622045861619</v>
      </c>
      <c r="E165" s="229">
        <v>1661.8819215657868</v>
      </c>
      <c r="F165" s="229">
        <v>489.11440635467204</v>
      </c>
      <c r="G165" s="229">
        <v>460.78398710441871</v>
      </c>
      <c r="H165" s="229">
        <v>909.90556916841865</v>
      </c>
      <c r="I165" s="229">
        <v>442.55512919113573</v>
      </c>
      <c r="J165" s="229">
        <v>625.24493448673695</v>
      </c>
      <c r="K165" s="229">
        <v>659.2019183078371</v>
      </c>
      <c r="L165" s="170"/>
      <c r="M165" s="170"/>
      <c r="N165" s="195">
        <f t="shared" si="19"/>
        <v>1241.0907587520403</v>
      </c>
      <c r="O165" s="195">
        <f t="shared" si="21"/>
        <v>909.90556916841865</v>
      </c>
      <c r="P165" s="195">
        <f t="shared" si="20"/>
        <v>2688.5088168704833</v>
      </c>
      <c r="Q165" s="195">
        <f t="shared" si="22"/>
        <v>4839.5051447909427</v>
      </c>
      <c r="R165" s="221">
        <f t="shared" si="23"/>
        <v>0.25644993064795119</v>
      </c>
      <c r="AC165" s="251"/>
    </row>
    <row r="166" spans="1:29" ht="15.6" x14ac:dyDescent="0.3">
      <c r="A166" s="206">
        <v>2043</v>
      </c>
      <c r="B166" s="229">
        <v>5577.0763958938951</v>
      </c>
      <c r="C166" s="229">
        <v>1646.4605587226874</v>
      </c>
      <c r="D166" s="229">
        <v>584.92031950475575</v>
      </c>
      <c r="E166" s="229">
        <v>1688.2423064020568</v>
      </c>
      <c r="F166" s="229">
        <v>497.45966448156139</v>
      </c>
      <c r="G166" s="229">
        <v>465.20889058060817</v>
      </c>
      <c r="H166" s="229">
        <v>911.87152587892524</v>
      </c>
      <c r="I166" s="229">
        <v>442.85544605344393</v>
      </c>
      <c r="J166" s="229">
        <v>625.33466013867564</v>
      </c>
      <c r="K166" s="229">
        <v>660.56296306205195</v>
      </c>
      <c r="L166" s="170"/>
      <c r="M166" s="170"/>
      <c r="N166" s="195">
        <f t="shared" si="19"/>
        <v>1273.830445004693</v>
      </c>
      <c r="O166" s="195">
        <f t="shared" si="21"/>
        <v>911.87152587892524</v>
      </c>
      <c r="P166" s="195">
        <f t="shared" si="20"/>
        <v>2696.5897688080513</v>
      </c>
      <c r="Q166" s="195">
        <f t="shared" si="22"/>
        <v>4882.2917396916691</v>
      </c>
      <c r="R166" s="221">
        <f t="shared" si="23"/>
        <v>0.26090830145376342</v>
      </c>
      <c r="AC166" s="251"/>
    </row>
    <row r="167" spans="1:29" ht="15.6" x14ac:dyDescent="0.3">
      <c r="A167" s="206">
        <v>2044</v>
      </c>
      <c r="B167" s="229">
        <v>5594.3651018466981</v>
      </c>
      <c r="C167" s="229">
        <v>1648.1151142027948</v>
      </c>
      <c r="D167" s="229">
        <v>586.91075987397221</v>
      </c>
      <c r="E167" s="229">
        <v>1714.6921680153841</v>
      </c>
      <c r="F167" s="229">
        <v>505.82658151464852</v>
      </c>
      <c r="G167" s="229">
        <v>469.59484560272631</v>
      </c>
      <c r="H167" s="229">
        <v>913.54926478620166</v>
      </c>
      <c r="I167" s="229">
        <v>443.15492039417137</v>
      </c>
      <c r="J167" s="229">
        <v>625.4184942211358</v>
      </c>
      <c r="K167" s="229">
        <v>661.92013516229974</v>
      </c>
      <c r="L167" s="170"/>
      <c r="M167" s="170"/>
      <c r="N167" s="195">
        <f t="shared" si="19"/>
        <v>1306.9694847438309</v>
      </c>
      <c r="O167" s="195">
        <f t="shared" si="21"/>
        <v>913.54926478620166</v>
      </c>
      <c r="P167" s="195">
        <f t="shared" si="20"/>
        <v>2704.620719679493</v>
      </c>
      <c r="Q167" s="195">
        <f t="shared" si="22"/>
        <v>4925.1394692095255</v>
      </c>
      <c r="R167" s="221">
        <f t="shared" si="23"/>
        <v>0.26536699984124446</v>
      </c>
      <c r="AC167" s="251"/>
    </row>
    <row r="168" spans="1:29" ht="15.6" x14ac:dyDescent="0.3">
      <c r="A168" s="206">
        <v>2045</v>
      </c>
      <c r="B168" s="229">
        <v>5610.9916454341319</v>
      </c>
      <c r="C168" s="229">
        <v>1649.7940464676908</v>
      </c>
      <c r="D168" s="229">
        <v>588.87793628292025</v>
      </c>
      <c r="E168" s="229">
        <v>1741.227318979672</v>
      </c>
      <c r="F168" s="229">
        <v>514.21443352345625</v>
      </c>
      <c r="G168" s="229">
        <v>473.9412661459412</v>
      </c>
      <c r="H168" s="229">
        <v>914.93798707395899</v>
      </c>
      <c r="I168" s="229">
        <v>443.46560865321294</v>
      </c>
      <c r="J168" s="229">
        <v>625.50232342048548</v>
      </c>
      <c r="K168" s="229">
        <v>663.28075410804377</v>
      </c>
      <c r="L168" s="170"/>
      <c r="M168" s="170"/>
      <c r="N168" s="195">
        <f t="shared" si="19"/>
        <v>1340.5037654291691</v>
      </c>
      <c r="O168" s="195">
        <f t="shared" si="21"/>
        <v>914.93798707395899</v>
      </c>
      <c r="P168" s="195">
        <f t="shared" si="20"/>
        <v>2712.6132488965522</v>
      </c>
      <c r="Q168" s="195">
        <f t="shared" si="22"/>
        <v>4968.0550013996799</v>
      </c>
      <c r="R168" s="221">
        <f t="shared" si="23"/>
        <v>0.26982466278080675</v>
      </c>
      <c r="AC168" s="251"/>
    </row>
    <row r="169" spans="1:29" ht="15.6" x14ac:dyDescent="0.3">
      <c r="A169" s="206">
        <v>2046</v>
      </c>
      <c r="B169" s="229">
        <v>5626.9692824807726</v>
      </c>
      <c r="C169" s="229">
        <v>1651.5091262372966</v>
      </c>
      <c r="D169" s="229">
        <v>590.82224344825477</v>
      </c>
      <c r="E169" s="229">
        <v>1767.8435718688238</v>
      </c>
      <c r="F169" s="229">
        <v>522.62249657750726</v>
      </c>
      <c r="G169" s="229">
        <v>478.24756618542085</v>
      </c>
      <c r="H169" s="229">
        <v>916.036893925909</v>
      </c>
      <c r="I169" s="229">
        <v>443.79956727046346</v>
      </c>
      <c r="J169" s="229">
        <v>625.59203442309285</v>
      </c>
      <c r="K169" s="229">
        <v>664.65213939874752</v>
      </c>
      <c r="L169" s="170"/>
      <c r="M169" s="170"/>
      <c r="N169" s="195">
        <f t="shared" si="19"/>
        <v>1374.4291745204221</v>
      </c>
      <c r="O169" s="195">
        <f t="shared" si="21"/>
        <v>916.036893925909</v>
      </c>
      <c r="P169" s="195">
        <f t="shared" si="20"/>
        <v>2720.5789358709721</v>
      </c>
      <c r="Q169" s="195">
        <f t="shared" si="22"/>
        <v>5011.0450043173032</v>
      </c>
      <c r="R169" s="221">
        <f t="shared" si="23"/>
        <v>0.27427995025713647</v>
      </c>
      <c r="AC169" s="251"/>
    </row>
    <row r="170" spans="1:29" ht="15.6" x14ac:dyDescent="0.3">
      <c r="A170" s="206">
        <v>2047</v>
      </c>
      <c r="B170" s="229">
        <v>5642.3112688111951</v>
      </c>
      <c r="C170" s="229">
        <v>1653.2721242315326</v>
      </c>
      <c r="D170" s="229">
        <v>592.74407608663034</v>
      </c>
      <c r="E170" s="229">
        <v>1794.5367392567421</v>
      </c>
      <c r="F170" s="229">
        <v>531.05004674632437</v>
      </c>
      <c r="G170" s="229">
        <v>482.5131596963331</v>
      </c>
      <c r="H170" s="229">
        <v>916.8451865257631</v>
      </c>
      <c r="I170" s="229">
        <v>444.16885268581791</v>
      </c>
      <c r="J170" s="229">
        <v>625.69351391532598</v>
      </c>
      <c r="K170" s="229">
        <v>666.04161053387429</v>
      </c>
      <c r="L170" s="170"/>
      <c r="M170" s="170"/>
      <c r="N170" s="195">
        <f t="shared" si="19"/>
        <v>1408.7415994773037</v>
      </c>
      <c r="O170" s="195">
        <f t="shared" si="21"/>
        <v>916.8451865257631</v>
      </c>
      <c r="P170" s="195">
        <f t="shared" si="20"/>
        <v>2728.529360014496</v>
      </c>
      <c r="Q170" s="195">
        <f t="shared" si="22"/>
        <v>5054.1161460175626</v>
      </c>
      <c r="R170" s="221">
        <f t="shared" si="23"/>
        <v>0.2787315445030551</v>
      </c>
      <c r="AC170" s="251"/>
    </row>
    <row r="171" spans="1:29" ht="15.6" x14ac:dyDescent="0.3">
      <c r="A171" s="206">
        <v>2048</v>
      </c>
      <c r="B171" s="229">
        <v>5657.0308602499736</v>
      </c>
      <c r="C171" s="229">
        <v>1655.0948111703194</v>
      </c>
      <c r="D171" s="229">
        <v>594.643828914702</v>
      </c>
      <c r="E171" s="229">
        <v>1821.3026337173301</v>
      </c>
      <c r="F171" s="229">
        <v>539.49636009943038</v>
      </c>
      <c r="G171" s="229">
        <v>486.73746065384614</v>
      </c>
      <c r="H171" s="229">
        <v>917.3620660572326</v>
      </c>
      <c r="I171" s="229">
        <v>444.58552133917112</v>
      </c>
      <c r="J171" s="229">
        <v>625.81264858355303</v>
      </c>
      <c r="K171" s="229">
        <v>667.45648701288735</v>
      </c>
      <c r="L171" s="170"/>
      <c r="M171" s="170"/>
      <c r="N171" s="195">
        <f t="shared" si="19"/>
        <v>1443.4369277595276</v>
      </c>
      <c r="O171" s="195">
        <f t="shared" si="21"/>
        <v>917.3620660572326</v>
      </c>
      <c r="P171" s="195">
        <f t="shared" si="20"/>
        <v>2736.4761007388674</v>
      </c>
      <c r="Q171" s="195">
        <f t="shared" si="22"/>
        <v>5097.2750945556272</v>
      </c>
      <c r="R171" s="221">
        <f t="shared" si="23"/>
        <v>0.28317814930201729</v>
      </c>
      <c r="AC171" s="251"/>
    </row>
    <row r="172" spans="1:29" ht="15.6" x14ac:dyDescent="0.3">
      <c r="A172" s="206">
        <v>2049</v>
      </c>
      <c r="B172" s="229">
        <v>5671.141312621683</v>
      </c>
      <c r="C172" s="229">
        <v>1656.9889577735776</v>
      </c>
      <c r="D172" s="229">
        <v>596.52189664912419</v>
      </c>
      <c r="E172" s="229">
        <v>1848.1370678244907</v>
      </c>
      <c r="F172" s="229">
        <v>547.96071270634798</v>
      </c>
      <c r="G172" s="229">
        <v>490.9198830331278</v>
      </c>
      <c r="H172" s="229">
        <v>917.58673370402914</v>
      </c>
      <c r="I172" s="229">
        <v>445.06162967041803</v>
      </c>
      <c r="J172" s="229">
        <v>625.95532511414194</v>
      </c>
      <c r="K172" s="229">
        <v>668.90408833525009</v>
      </c>
      <c r="L172" s="170"/>
      <c r="M172" s="170"/>
      <c r="N172" s="195">
        <f t="shared" si="19"/>
        <v>1478.5110468268094</v>
      </c>
      <c r="O172" s="195">
        <f t="shared" si="21"/>
        <v>917.58673370402914</v>
      </c>
      <c r="P172" s="195">
        <f t="shared" si="20"/>
        <v>2744.4307374558298</v>
      </c>
      <c r="Q172" s="195">
        <f t="shared" si="22"/>
        <v>5140.5285179866678</v>
      </c>
      <c r="R172" s="221">
        <f t="shared" si="23"/>
        <v>0.28761848935445278</v>
      </c>
      <c r="AC172" s="251"/>
    </row>
    <row r="173" spans="1:29" ht="16.2" thickBot="1" x14ac:dyDescent="0.35">
      <c r="A173" s="208">
        <v>2050</v>
      </c>
      <c r="B173" s="231">
        <v>5684.6558817509003</v>
      </c>
      <c r="C173" s="231">
        <v>1658.9663347612279</v>
      </c>
      <c r="D173" s="231">
        <v>598.37867400655193</v>
      </c>
      <c r="E173" s="231">
        <v>1875.0358541521273</v>
      </c>
      <c r="F173" s="231">
        <v>556.44238063659986</v>
      </c>
      <c r="G173" s="231">
        <v>495.05984080934616</v>
      </c>
      <c r="H173" s="231">
        <v>917.51839064986405</v>
      </c>
      <c r="I173" s="231">
        <v>445.60923411945362</v>
      </c>
      <c r="J173" s="231">
        <v>626.1274301934609</v>
      </c>
      <c r="K173" s="231">
        <v>670.39173400042591</v>
      </c>
      <c r="L173" s="209"/>
      <c r="M173" s="209"/>
      <c r="N173" s="195">
        <f t="shared" si="19"/>
        <v>1513.959844138863</v>
      </c>
      <c r="O173" s="195">
        <f t="shared" si="21"/>
        <v>917.51839064986405</v>
      </c>
      <c r="P173" s="195">
        <f t="shared" si="20"/>
        <v>2752.4048495771258</v>
      </c>
      <c r="Q173" s="195">
        <f t="shared" si="22"/>
        <v>5183.8830843658525</v>
      </c>
      <c r="R173" s="222">
        <f t="shared" si="23"/>
        <v>0.29205130970349935</v>
      </c>
      <c r="AC173" s="251"/>
    </row>
    <row r="174" spans="1:29" ht="15.6" x14ac:dyDescent="0.3">
      <c r="A174" s="213">
        <v>2051</v>
      </c>
      <c r="B174" s="227">
        <v>5697.5878234621996</v>
      </c>
      <c r="C174" s="227">
        <v>1661.0387128531911</v>
      </c>
      <c r="D174" s="227">
        <v>600.21455570363992</v>
      </c>
      <c r="E174" s="227">
        <v>1901.9948052741424</v>
      </c>
      <c r="F174" s="227">
        <v>564.94063995970873</v>
      </c>
      <c r="G174" s="227">
        <v>499.1567479576691</v>
      </c>
      <c r="H174" s="227">
        <v>917.15623807844872</v>
      </c>
      <c r="I174" s="227">
        <v>446.24039112617265</v>
      </c>
      <c r="J174" s="227">
        <v>626.33485050787806</v>
      </c>
      <c r="K174" s="227">
        <v>671.92674350787831</v>
      </c>
      <c r="N174" s="195">
        <f t="shared" si="19"/>
        <v>1549.7792071554024</v>
      </c>
      <c r="O174" s="195">
        <f t="shared" si="21"/>
        <v>917.15623807844872</v>
      </c>
      <c r="P174" s="195">
        <f t="shared" si="20"/>
        <v>2760.4100165145005</v>
      </c>
      <c r="Q174" s="195">
        <f t="shared" si="22"/>
        <v>5227.3454617483521</v>
      </c>
      <c r="R174" s="214">
        <f t="shared" si="23"/>
        <v>0.29647537521598183</v>
      </c>
      <c r="AC174" s="251"/>
    </row>
    <row r="175" spans="1:29" ht="15.6" x14ac:dyDescent="0.3">
      <c r="A175" s="194">
        <v>2052</v>
      </c>
      <c r="B175" s="229">
        <v>5709.9503935801567</v>
      </c>
      <c r="C175" s="229">
        <v>1663.2178627693875</v>
      </c>
      <c r="D175" s="229">
        <v>602.02993645704282</v>
      </c>
      <c r="E175" s="229">
        <v>1929.0097337644397</v>
      </c>
      <c r="F175" s="229">
        <v>573.4547667451975</v>
      </c>
      <c r="G175" s="229">
        <v>503.21001845326469</v>
      </c>
      <c r="H175" s="229">
        <v>916.49947717349482</v>
      </c>
      <c r="I175" s="229">
        <v>446.96715713047013</v>
      </c>
      <c r="J175" s="229">
        <v>626.58347274376149</v>
      </c>
      <c r="K175" s="229">
        <v>673.51643635707035</v>
      </c>
      <c r="N175" s="195">
        <f t="shared" si="19"/>
        <v>1585.9650233361424</v>
      </c>
      <c r="O175" s="195">
        <f t="shared" si="21"/>
        <v>916.49947717349482</v>
      </c>
      <c r="P175" s="195">
        <f t="shared" si="20"/>
        <v>2768.4578176796949</v>
      </c>
      <c r="Q175" s="195">
        <f t="shared" si="22"/>
        <v>5270.9223181893321</v>
      </c>
      <c r="R175" s="196">
        <f t="shared" si="23"/>
        <v>0.3008894701147774</v>
      </c>
      <c r="AC175" s="251"/>
    </row>
    <row r="176" spans="1:29" ht="15.6" x14ac:dyDescent="0.3">
      <c r="A176" s="194">
        <v>2053</v>
      </c>
      <c r="B176" s="229">
        <v>5721.756847929345</v>
      </c>
      <c r="C176" s="229">
        <v>1665.5155552297379</v>
      </c>
      <c r="D176" s="229">
        <v>603.82521098341545</v>
      </c>
      <c r="E176" s="229">
        <v>1956.0764521969215</v>
      </c>
      <c r="F176" s="229">
        <v>581.98403706258887</v>
      </c>
      <c r="G176" s="229">
        <v>507.21906627130096</v>
      </c>
      <c r="H176" s="229">
        <v>915.54730911871366</v>
      </c>
      <c r="I176" s="229">
        <v>447.80158857224092</v>
      </c>
      <c r="J176" s="229">
        <v>626.87918358747925</v>
      </c>
      <c r="K176" s="229">
        <v>675.16813204746552</v>
      </c>
      <c r="N176" s="195">
        <f t="shared" si="19"/>
        <v>1622.5131801407965</v>
      </c>
      <c r="O176" s="195">
        <f t="shared" si="21"/>
        <v>915.54730911871366</v>
      </c>
      <c r="P176" s="195">
        <f t="shared" si="20"/>
        <v>2776.5598324844541</v>
      </c>
      <c r="Q176" s="195">
        <f t="shared" si="22"/>
        <v>5314.6203217439652</v>
      </c>
      <c r="R176" s="196">
        <f t="shared" si="23"/>
        <v>0.30529239755896187</v>
      </c>
      <c r="AC176" s="251"/>
    </row>
    <row r="177" spans="1:29" ht="15.6" x14ac:dyDescent="0.3">
      <c r="A177" s="194">
        <v>2054</v>
      </c>
      <c r="B177" s="229">
        <v>5733.0204423343421</v>
      </c>
      <c r="C177" s="229">
        <v>1667.9435609541626</v>
      </c>
      <c r="D177" s="229">
        <v>605.6007739994127</v>
      </c>
      <c r="E177" s="229">
        <v>1983.1907731454914</v>
      </c>
      <c r="F177" s="229">
        <v>590.52772698140552</v>
      </c>
      <c r="G177" s="229">
        <v>511.18330538694579</v>
      </c>
      <c r="H177" s="229">
        <v>914.29893509781664</v>
      </c>
      <c r="I177" s="229">
        <v>448.7557418913799</v>
      </c>
      <c r="J177" s="229">
        <v>627.2278697253995</v>
      </c>
      <c r="K177" s="229">
        <v>676.88915007852722</v>
      </c>
      <c r="N177" s="195">
        <f t="shared" si="19"/>
        <v>1659.4195650290806</v>
      </c>
      <c r="O177" s="195">
        <f t="shared" si="21"/>
        <v>914.29893509781664</v>
      </c>
      <c r="P177" s="195">
        <f t="shared" si="20"/>
        <v>2784.7276403405212</v>
      </c>
      <c r="Q177" s="195">
        <f t="shared" si="22"/>
        <v>5358.4461404674184</v>
      </c>
      <c r="R177" s="196">
        <f t="shared" si="23"/>
        <v>0.3096829792683759</v>
      </c>
      <c r="AC177" s="251"/>
    </row>
    <row r="178" spans="1:29" ht="15.6" x14ac:dyDescent="0.3">
      <c r="A178" s="194">
        <v>2055</v>
      </c>
      <c r="B178" s="229">
        <v>5743.7544326197212</v>
      </c>
      <c r="C178" s="229">
        <v>1670.5136506625829</v>
      </c>
      <c r="D178" s="229">
        <v>607.35702022168914</v>
      </c>
      <c r="E178" s="229">
        <v>2010.3485091840521</v>
      </c>
      <c r="F178" s="229">
        <v>599.08511257117027</v>
      </c>
      <c r="G178" s="229">
        <v>515.10214977536725</v>
      </c>
      <c r="H178" s="229">
        <v>912.75355629451542</v>
      </c>
      <c r="I178" s="229">
        <v>449.84167352778206</v>
      </c>
      <c r="J178" s="229">
        <v>627.63541784389031</v>
      </c>
      <c r="K178" s="229">
        <v>678.68680994971885</v>
      </c>
      <c r="N178" s="195">
        <f t="shared" si="19"/>
        <v>1696.6800654607068</v>
      </c>
      <c r="O178" s="195">
        <f t="shared" si="21"/>
        <v>912.75355629451542</v>
      </c>
      <c r="P178" s="195">
        <f t="shared" si="20"/>
        <v>2792.9728206596392</v>
      </c>
      <c r="Q178" s="195">
        <f t="shared" si="22"/>
        <v>5402.4064424148619</v>
      </c>
      <c r="R178" s="196">
        <f t="shared" si="23"/>
        <v>0.31406005518946017</v>
      </c>
      <c r="AC178" s="251"/>
    </row>
    <row r="179" spans="1:29" ht="15.6" x14ac:dyDescent="0.3">
      <c r="A179" s="194">
        <v>2056</v>
      </c>
      <c r="B179" s="229">
        <v>5753.9720746100584</v>
      </c>
      <c r="C179" s="229">
        <v>1673.237595074919</v>
      </c>
      <c r="D179" s="229">
        <v>609.09434436689969</v>
      </c>
      <c r="E179" s="229">
        <v>2037.545472886507</v>
      </c>
      <c r="F179" s="229">
        <v>607.65546990140581</v>
      </c>
      <c r="G179" s="229">
        <v>518.97501341173336</v>
      </c>
      <c r="H179" s="229">
        <v>910.91037389252119</v>
      </c>
      <c r="I179" s="229">
        <v>451.07143992134218</v>
      </c>
      <c r="J179" s="229">
        <v>628.10771462931973</v>
      </c>
      <c r="K179" s="229">
        <v>680.56843116050356</v>
      </c>
      <c r="N179" s="195">
        <f t="shared" si="19"/>
        <v>1734.2905688953917</v>
      </c>
      <c r="O179" s="195">
        <f t="shared" si="21"/>
        <v>910.91037389252119</v>
      </c>
      <c r="P179" s="195">
        <f t="shared" si="20"/>
        <v>2801.306952853552</v>
      </c>
      <c r="Q179" s="195">
        <f t="shared" si="22"/>
        <v>5446.5078956414654</v>
      </c>
      <c r="R179" s="196">
        <f t="shared" si="23"/>
        <v>0.31842248319941796</v>
      </c>
      <c r="AC179" s="251"/>
    </row>
    <row r="180" spans="1:29" ht="15.6" x14ac:dyDescent="0.3">
      <c r="A180" s="194">
        <v>2057</v>
      </c>
      <c r="B180" s="229">
        <v>5763.6866241299285</v>
      </c>
      <c r="C180" s="229">
        <v>1676.1271649110915</v>
      </c>
      <c r="D180" s="229">
        <v>610.81314115169903</v>
      </c>
      <c r="E180" s="229">
        <v>2064.7774768267586</v>
      </c>
      <c r="F180" s="229">
        <v>616.23807504163494</v>
      </c>
      <c r="G180" s="229">
        <v>522.80131027121195</v>
      </c>
      <c r="H180" s="229">
        <v>908.76858907554561</v>
      </c>
      <c r="I180" s="229">
        <v>452.45709751195523</v>
      </c>
      <c r="J180" s="229">
        <v>628.65064676805594</v>
      </c>
      <c r="K180" s="229">
        <v>682.54133321034487</v>
      </c>
      <c r="N180" s="195">
        <f t="shared" si="19"/>
        <v>1772.2469627928481</v>
      </c>
      <c r="O180" s="195">
        <f t="shared" si="21"/>
        <v>908.76858907554561</v>
      </c>
      <c r="P180" s="195">
        <f t="shared" si="20"/>
        <v>2809.7416163340026</v>
      </c>
      <c r="Q180" s="195">
        <f t="shared" si="22"/>
        <v>5490.7571682023963</v>
      </c>
      <c r="R180" s="196">
        <f t="shared" si="23"/>
        <v>0.32276913884593789</v>
      </c>
      <c r="AC180" s="251"/>
    </row>
    <row r="181" spans="1:29" ht="15.6" x14ac:dyDescent="0.3">
      <c r="A181" s="194">
        <v>2058</v>
      </c>
      <c r="B181" s="229">
        <v>5772.9113370039067</v>
      </c>
      <c r="C181" s="229">
        <v>1679.1941308910211</v>
      </c>
      <c r="D181" s="229">
        <v>612.51380529274184</v>
      </c>
      <c r="E181" s="229">
        <v>2092.0403335787105</v>
      </c>
      <c r="F181" s="229">
        <v>624.83220406138037</v>
      </c>
      <c r="G181" s="229">
        <v>526.5804543289712</v>
      </c>
      <c r="H181" s="229">
        <v>906.32740302730008</v>
      </c>
      <c r="I181" s="229">
        <v>454.01070273951609</v>
      </c>
      <c r="J181" s="229">
        <v>629.27010094646698</v>
      </c>
      <c r="K181" s="229">
        <v>684.61283559870617</v>
      </c>
      <c r="N181" s="195">
        <f t="shared" si="19"/>
        <v>1810.5451346127907</v>
      </c>
      <c r="O181" s="195">
        <f t="shared" si="21"/>
        <v>906.32740302730008</v>
      </c>
      <c r="P181" s="195">
        <f t="shared" si="20"/>
        <v>2818.2883905127346</v>
      </c>
      <c r="Q181" s="195">
        <f t="shared" si="22"/>
        <v>5535.1609281528254</v>
      </c>
      <c r="R181" s="196">
        <f t="shared" si="23"/>
        <v>0.32709891511988964</v>
      </c>
      <c r="AC181" s="251"/>
    </row>
    <row r="182" spans="1:29" ht="15.6" x14ac:dyDescent="0.3">
      <c r="A182" s="194">
        <v>2059</v>
      </c>
      <c r="B182" s="229">
        <v>5781.6594690565689</v>
      </c>
      <c r="C182" s="229">
        <v>1682.4502637346286</v>
      </c>
      <c r="D182" s="229">
        <v>614.19673150668314</v>
      </c>
      <c r="E182" s="229">
        <v>2119.3298557162652</v>
      </c>
      <c r="F182" s="229">
        <v>633.43713303016489</v>
      </c>
      <c r="G182" s="229">
        <v>530.31185956017896</v>
      </c>
      <c r="H182" s="229">
        <v>903.58601693149592</v>
      </c>
      <c r="I182" s="229">
        <v>455.74431204391976</v>
      </c>
      <c r="J182" s="229">
        <v>629.97196385092093</v>
      </c>
      <c r="K182" s="229">
        <v>686.79025782505062</v>
      </c>
      <c r="N182" s="195">
        <f t="shared" si="19"/>
        <v>1849.1809718149339</v>
      </c>
      <c r="O182" s="195">
        <f t="shared" si="21"/>
        <v>903.58601693149592</v>
      </c>
      <c r="P182" s="195">
        <f t="shared" si="20"/>
        <v>2826.9588548014908</v>
      </c>
      <c r="Q182" s="195">
        <f t="shared" si="22"/>
        <v>5579.7258435479207</v>
      </c>
      <c r="R182" s="196">
        <f t="shared" si="23"/>
        <v>0.33141072225855361</v>
      </c>
      <c r="AC182" s="251"/>
    </row>
    <row r="183" spans="1:29" ht="15.6" x14ac:dyDescent="0.3">
      <c r="A183" s="194">
        <v>2060</v>
      </c>
      <c r="B183" s="229">
        <v>5789.9442761124883</v>
      </c>
      <c r="C183" s="229">
        <v>1685.9073341618341</v>
      </c>
      <c r="D183" s="229">
        <v>615.8623145101775</v>
      </c>
      <c r="E183" s="229">
        <v>2146.6418558133259</v>
      </c>
      <c r="F183" s="229">
        <v>642.0521380175112</v>
      </c>
      <c r="G183" s="229">
        <v>533.99493994000318</v>
      </c>
      <c r="H183" s="229">
        <v>900.54363197184489</v>
      </c>
      <c r="I183" s="229">
        <v>457.66998186506089</v>
      </c>
      <c r="J183" s="229">
        <v>630.76212216778606</v>
      </c>
      <c r="K183" s="229">
        <v>689.08091938884172</v>
      </c>
      <c r="N183" s="195">
        <f t="shared" si="19"/>
        <v>1888.150361858992</v>
      </c>
      <c r="O183" s="195">
        <f t="shared" si="21"/>
        <v>900.54363197184489</v>
      </c>
      <c r="P183" s="195">
        <f t="shared" si="20"/>
        <v>2835.7645886120144</v>
      </c>
      <c r="Q183" s="195">
        <f t="shared" si="22"/>
        <v>5624.4585824428514</v>
      </c>
      <c r="R183" s="196">
        <f>N183/Q183</f>
        <v>0.33570348757709551</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7030A0"/>
  </sheetPr>
  <dimension ref="A1:EX343"/>
  <sheetViews>
    <sheetView showGridLines="0" topLeftCell="A216" zoomScaleNormal="100" zoomScalePageLayoutView="80" workbookViewId="0">
      <selection activeCell="E80" sqref="E80"/>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8.796875"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9.199218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Paper_cluster</v>
      </c>
      <c r="B1" s="156"/>
      <c r="C1" s="157" t="s">
        <v>530</v>
      </c>
      <c r="D1" s="157" t="s">
        <v>525</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SUM(OFFSET(AV136,J2-2015,0,J3-J2+1,1))/1000</f>
        <v>0</v>
      </c>
      <c r="O4" s="164">
        <f>SUM(AV136:AV181)/1000</f>
        <v>0</v>
      </c>
    </row>
    <row r="5" spans="1:154" ht="12.75" customHeight="1" x14ac:dyDescent="0.25">
      <c r="E5" s="498" t="s">
        <v>405</v>
      </c>
      <c r="F5" s="499">
        <v>0.44</v>
      </c>
      <c r="G5" s="167" t="s">
        <v>211</v>
      </c>
      <c r="H5" s="167" t="s">
        <v>213</v>
      </c>
      <c r="L5" s="617"/>
      <c r="M5" s="153" t="s">
        <v>375</v>
      </c>
      <c r="N5" s="164">
        <f ca="1">SUM(OFFSET(AU136,J2-2015,0,J3-J2+1,1))/1000</f>
        <v>8.3634118019124501E-2</v>
      </c>
      <c r="O5" s="164">
        <f>SUM(AU136:AU181)/1000</f>
        <v>0.18693075258206074</v>
      </c>
    </row>
    <row r="6" spans="1:154" ht="13.8" x14ac:dyDescent="0.25">
      <c r="E6" s="498"/>
      <c r="F6" s="499"/>
      <c r="G6" s="167"/>
      <c r="H6" s="167"/>
    </row>
    <row r="7" spans="1:154" ht="13.8" x14ac:dyDescent="0.25">
      <c r="A7" s="35" t="s">
        <v>491</v>
      </c>
      <c r="E7" s="498"/>
      <c r="F7" s="499"/>
      <c r="G7" s="167"/>
      <c r="H7" s="167"/>
      <c r="I7" s="516"/>
      <c r="J7" s="516"/>
      <c r="K7" s="516"/>
      <c r="L7" s="618" t="s">
        <v>369</v>
      </c>
      <c r="M7" s="497" t="s">
        <v>377</v>
      </c>
      <c r="N7" s="164">
        <f ca="1">SUM(OFFSET(AA195,J2-2015,0,J3-J2+1,1))/1000</f>
        <v>0</v>
      </c>
      <c r="O7" s="164">
        <f>SUM(AA195:AA240)/1000</f>
        <v>0</v>
      </c>
      <c r="P7" s="165"/>
    </row>
    <row r="8" spans="1:154" ht="13.8" x14ac:dyDescent="0.25">
      <c r="A8" s="486" t="s">
        <v>368</v>
      </c>
      <c r="B8" s="487" t="s">
        <v>492</v>
      </c>
      <c r="C8" s="487"/>
      <c r="E8" s="498"/>
      <c r="F8" s="499"/>
      <c r="G8" s="167"/>
      <c r="H8" s="167"/>
      <c r="L8" s="618"/>
      <c r="M8" s="153" t="s">
        <v>375</v>
      </c>
      <c r="N8" s="164">
        <f ca="1">SUM(OFFSET(Z195,J2-2015,0,J3-J2+1,1))/1000</f>
        <v>0.70813126095967183</v>
      </c>
      <c r="O8" s="164">
        <f>SUM(Z195:Z240)/1000</f>
        <v>1.6053315174304204</v>
      </c>
    </row>
    <row r="9" spans="1:154" ht="13.8" x14ac:dyDescent="0.25">
      <c r="A9" s="488" t="s">
        <v>369</v>
      </c>
      <c r="B9" s="489" t="s">
        <v>455</v>
      </c>
      <c r="C9" s="489"/>
      <c r="E9" s="498"/>
      <c r="F9" s="499"/>
      <c r="G9" s="167"/>
      <c r="H9" s="167"/>
    </row>
    <row r="10" spans="1:154" ht="39.6" x14ac:dyDescent="0.25">
      <c r="A10" s="527" t="s">
        <v>592</v>
      </c>
      <c r="B10" s="490" t="s">
        <v>509</v>
      </c>
      <c r="C10" s="493" t="s">
        <v>512</v>
      </c>
      <c r="E10" s="498"/>
      <c r="F10" s="499"/>
      <c r="G10" s="167"/>
      <c r="H10" s="167"/>
    </row>
    <row r="11" spans="1:154" ht="39.6" x14ac:dyDescent="0.25">
      <c r="A11" s="527" t="s">
        <v>593</v>
      </c>
      <c r="B11" s="490" t="s">
        <v>507</v>
      </c>
      <c r="C11" s="493" t="s">
        <v>512</v>
      </c>
      <c r="E11" s="498"/>
      <c r="F11" s="499"/>
      <c r="G11" s="167"/>
      <c r="H11" s="167"/>
      <c r="L11" s="617" t="s">
        <v>522</v>
      </c>
      <c r="M11" s="497" t="s">
        <v>377</v>
      </c>
      <c r="N11" s="164">
        <f ca="1">N4+N7</f>
        <v>0</v>
      </c>
      <c r="O11" s="164">
        <f>O4+O7</f>
        <v>0</v>
      </c>
    </row>
    <row r="12" spans="1:154" ht="13.8" x14ac:dyDescent="0.25">
      <c r="A12" s="488" t="s">
        <v>493</v>
      </c>
      <c r="B12" s="489" t="s">
        <v>506</v>
      </c>
      <c r="C12" s="489"/>
      <c r="E12" s="498"/>
      <c r="F12" s="499"/>
      <c r="G12" s="167"/>
      <c r="H12" s="167"/>
      <c r="L12" s="617"/>
      <c r="M12" s="153" t="s">
        <v>375</v>
      </c>
      <c r="N12" s="164">
        <f ca="1">N5+N8</f>
        <v>0.79176537897879629</v>
      </c>
      <c r="O12" s="164">
        <f>O5+O8</f>
        <v>1.7922622700124811</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ht="13.8" x14ac:dyDescent="0.25">
      <c r="E21" s="500" t="s">
        <v>326</v>
      </c>
      <c r="F21" s="501"/>
    </row>
    <row r="22" spans="1:68" ht="13.8" x14ac:dyDescent="0.25">
      <c r="E22" s="500" t="s">
        <v>268</v>
      </c>
      <c r="F22" s="518"/>
    </row>
    <row r="23" spans="1:68" x14ac:dyDescent="0.25">
      <c r="D23" s="443"/>
      <c r="E23" s="443" t="s">
        <v>527</v>
      </c>
      <c r="F23" s="420">
        <v>1318973.9612408415</v>
      </c>
      <c r="G23" s="153" t="s">
        <v>406</v>
      </c>
    </row>
    <row r="24" spans="1:68" ht="13.8" thickBot="1" x14ac:dyDescent="0.3">
      <c r="E24" s="443" t="s">
        <v>528</v>
      </c>
      <c r="F24" s="519">
        <v>524550.5</v>
      </c>
      <c r="G24" s="153" t="s">
        <v>406</v>
      </c>
    </row>
    <row r="25" spans="1:68" ht="15" customHeight="1" thickBot="1" x14ac:dyDescent="0.3">
      <c r="A25" s="646" t="str">
        <f>CONCATENATE("Table 2: REF2, ",C1," TAM ",D1)</f>
        <v>Table 2: REF2, Water Heating TAM (TWh Therms)</v>
      </c>
      <c r="B25" s="647"/>
      <c r="C25" s="647"/>
      <c r="D25" s="647"/>
      <c r="E25" s="647"/>
      <c r="F25" s="699"/>
      <c r="G25" s="647"/>
      <c r="H25" s="647"/>
      <c r="I25" s="647"/>
      <c r="J25" s="647"/>
      <c r="K25" s="648"/>
      <c r="M25" s="638" t="str">
        <f>CONCATENATE("Table 3: REF1 ,",C1," TAM ",D1)</f>
        <v>Table 3: REF1 ,Water Heating TAM (TWh Therms)</v>
      </c>
      <c r="N25" s="639"/>
      <c r="O25" s="639"/>
      <c r="P25" s="639"/>
      <c r="Q25" s="639"/>
      <c r="R25" s="639"/>
      <c r="S25" s="639"/>
      <c r="T25" s="639"/>
      <c r="U25" s="639"/>
      <c r="V25" s="639"/>
      <c r="W25" s="640"/>
      <c r="Y25" s="627" t="str">
        <f>CONCATENATE("Table 3: REF1 ",$C$1," TAM ",$D$1)</f>
        <v>Table 3: REF1 Water Heating TAM (TWh Therms)</v>
      </c>
      <c r="Z25" s="627"/>
      <c r="AA25" s="627"/>
      <c r="AB25" s="627"/>
      <c r="AC25" s="627"/>
      <c r="AD25" s="627"/>
      <c r="AE25" s="627"/>
      <c r="AF25" s="627"/>
      <c r="AG25" s="627"/>
      <c r="AH25" s="627"/>
      <c r="AI25" s="627"/>
      <c r="AK25" s="628" t="str">
        <f>CONCATENATE("Table 3: REF1 ",$C$1," TAM ",$D$1)</f>
        <v>Table 3: REF1 Water Heating TAM (TWh Therms)</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Paper_cluster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528" t="s">
        <v>604</v>
      </c>
      <c r="C27" s="460" t="s">
        <v>211</v>
      </c>
      <c r="D27" s="460" t="s">
        <v>211</v>
      </c>
      <c r="E27" s="460" t="s">
        <v>213</v>
      </c>
      <c r="F27" s="460" t="s">
        <v>213</v>
      </c>
      <c r="G27" s="460" t="s">
        <v>211</v>
      </c>
      <c r="H27" s="435"/>
      <c r="I27" s="435"/>
      <c r="J27" s="435"/>
      <c r="K27" s="435"/>
      <c r="M27" s="455"/>
      <c r="N27" s="461" t="str">
        <f>B27</f>
        <v>Regions included as LLDC:</v>
      </c>
      <c r="O27" s="462" t="str">
        <f>C27</f>
        <v>N</v>
      </c>
      <c r="P27" s="462" t="str">
        <f t="shared" ref="P27:S27" si="0">D27</f>
        <v>N</v>
      </c>
      <c r="Q27" s="462" t="str">
        <f t="shared" si="0"/>
        <v>Y</v>
      </c>
      <c r="R27" s="462" t="str">
        <f t="shared" si="0"/>
        <v>Y</v>
      </c>
      <c r="S27" s="462" t="str">
        <f t="shared" si="0"/>
        <v>N</v>
      </c>
      <c r="T27" s="435"/>
      <c r="U27" s="435"/>
      <c r="V27" s="435"/>
      <c r="W27" s="435"/>
      <c r="Y27" s="455"/>
      <c r="Z27" s="461" t="str">
        <f>B27</f>
        <v>Regions included as LLDC:</v>
      </c>
      <c r="AA27" s="462" t="str">
        <f>O27</f>
        <v>N</v>
      </c>
      <c r="AB27" s="462" t="str">
        <f t="shared" ref="AB27:AE27" si="1">P27</f>
        <v>N</v>
      </c>
      <c r="AC27" s="462" t="str">
        <f t="shared" si="1"/>
        <v>Y</v>
      </c>
      <c r="AD27" s="462" t="str">
        <f t="shared" si="1"/>
        <v>Y</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40.200000000000003" thickBot="1" x14ac:dyDescent="0.3">
      <c r="A28" s="213"/>
      <c r="B28" s="474" t="s">
        <v>4</v>
      </c>
      <c r="C28" s="475" t="s">
        <v>5</v>
      </c>
      <c r="D28" s="475" t="s">
        <v>6</v>
      </c>
      <c r="E28" s="475" t="s">
        <v>7</v>
      </c>
      <c r="F28" s="475" t="s">
        <v>8</v>
      </c>
      <c r="G28" s="475" t="s">
        <v>9</v>
      </c>
      <c r="H28" s="475" t="s">
        <v>10</v>
      </c>
      <c r="I28" s="475" t="s">
        <v>11</v>
      </c>
      <c r="J28" s="475" t="s">
        <v>12</v>
      </c>
      <c r="K28" s="476" t="s">
        <v>13</v>
      </c>
      <c r="M28" s="189"/>
      <c r="N28" s="190" t="s">
        <v>4</v>
      </c>
      <c r="O28" s="191" t="s">
        <v>5</v>
      </c>
      <c r="P28" s="191" t="s">
        <v>6</v>
      </c>
      <c r="Q28" s="191" t="s">
        <v>460</v>
      </c>
      <c r="R28" s="191" t="s">
        <v>8</v>
      </c>
      <c r="S28" s="191" t="s">
        <v>9</v>
      </c>
      <c r="T28" s="191" t="s">
        <v>10</v>
      </c>
      <c r="U28" s="191" t="s">
        <v>11</v>
      </c>
      <c r="V28" s="191" t="s">
        <v>12</v>
      </c>
      <c r="W28" s="192" t="s">
        <v>13</v>
      </c>
      <c r="Y28" s="456"/>
      <c r="Z28" s="457" t="s">
        <v>4</v>
      </c>
      <c r="AA28" s="458" t="s">
        <v>5</v>
      </c>
      <c r="AB28" s="458" t="s">
        <v>6</v>
      </c>
      <c r="AC28" s="458" t="s">
        <v>7</v>
      </c>
      <c r="AD28" s="458" t="s">
        <v>8</v>
      </c>
      <c r="AE28" s="458" t="s">
        <v>9</v>
      </c>
      <c r="AF28" s="458" t="s">
        <v>10</v>
      </c>
      <c r="AG28" s="458" t="s">
        <v>11</v>
      </c>
      <c r="AH28" s="458" t="s">
        <v>12</v>
      </c>
      <c r="AI28" s="458" t="s">
        <v>13</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432.40366379443651</v>
      </c>
      <c r="C29" s="229">
        <v>242.71667404077883</v>
      </c>
      <c r="D29" s="229">
        <v>22.577752457254896</v>
      </c>
      <c r="E29" s="229">
        <v>138.88788223203827</v>
      </c>
      <c r="F29" s="229">
        <v>9.7550255923880087</v>
      </c>
      <c r="G29" s="229">
        <v>23.089263841707499</v>
      </c>
      <c r="H29" s="229">
        <v>110.77857142857144</v>
      </c>
      <c r="I29" s="229">
        <v>10.247</v>
      </c>
      <c r="J29" s="229">
        <v>92.507389000000003</v>
      </c>
      <c r="K29" s="229">
        <v>75.239767771023054</v>
      </c>
      <c r="M29" s="194">
        <v>2014</v>
      </c>
      <c r="N29" s="419">
        <f t="shared" ref="N29:N75" si="2">SUM(O29:S29)</f>
        <v>25.979520540993978</v>
      </c>
      <c r="O29" s="418">
        <f>(C29/Population_Tables!P3)*Population_Tables!D62</f>
        <v>0</v>
      </c>
      <c r="P29" s="418">
        <f>(D29/Population_Tables!Q3)*Population_Tables!E62</f>
        <v>0</v>
      </c>
      <c r="Q29" s="418">
        <f>((E29-H29)/Population_Tables!R3)*Population_Tables!F62</f>
        <v>14.271391453025466</v>
      </c>
      <c r="R29" s="418">
        <f>(F29/Population_Tables!S3)*Population_Tables!G62</f>
        <v>5.5826217703987009</v>
      </c>
      <c r="S29" s="418">
        <f>(G29/Population_Tables!T3)*Population_Tables!H62</f>
        <v>6.1255073175698103</v>
      </c>
      <c r="T29" s="418">
        <f>(H29/Population_Tables!U3)*Population_Tables!I62</f>
        <v>0</v>
      </c>
      <c r="U29" s="418">
        <f>(I29/Population_Tables!V3)*Population_Tables!J62</f>
        <v>0</v>
      </c>
      <c r="V29" s="418">
        <f>(J29/Population_Tables!W3)*Population_Tables!K62</f>
        <v>0</v>
      </c>
      <c r="W29" s="418">
        <f>(K29/Population_Tables!X3)*Population_Tables!L62</f>
        <v>0</v>
      </c>
      <c r="Y29" s="456">
        <v>2014</v>
      </c>
      <c r="Z29" s="459">
        <f>((B29/Population_Tables!O3)*Population_Tables!C3)-N29</f>
        <v>406.42341189736317</v>
      </c>
      <c r="AA29" s="459">
        <f>((C29/Population_Tables!P3)*Population_Tables!D3)-O29</f>
        <v>242.7166740407788</v>
      </c>
      <c r="AB29" s="459">
        <f>((D29/Population_Tables!Q3)*Population_Tables!E3)-P29</f>
        <v>22.577752457254896</v>
      </c>
      <c r="AC29" s="459">
        <f>((E29/Population_Tables!R3)*Population_Tables!F3)-Q29</f>
        <v>124.61605768645529</v>
      </c>
      <c r="AD29" s="459">
        <f>((F29/Population_Tables!S3)*Population_Tables!G3)-R29</f>
        <v>4.1724038219893078</v>
      </c>
      <c r="AE29" s="459">
        <f>((G29/Population_Tables!T3)*Population_Tables!H3)-S29</f>
        <v>16.96375652413769</v>
      </c>
      <c r="AF29" s="459">
        <f>(H29/Population_Tables!U3)*Population_Tables!I3</f>
        <v>110.77857142857144</v>
      </c>
      <c r="AG29" s="459">
        <f>(I29/Population_Tables!V3)*Population_Tables!J3</f>
        <v>10.247</v>
      </c>
      <c r="AH29" s="459">
        <f>(J29/Population_Tables!W3)*Population_Tables!K3</f>
        <v>92.507389000000003</v>
      </c>
      <c r="AI29" s="459">
        <f>(K29/Population_Tables!X3)*Population_Tables!L3</f>
        <v>75.239767771023054</v>
      </c>
      <c r="AK29" s="456">
        <v>2014</v>
      </c>
      <c r="AL29" s="459">
        <f>Z29+N29</f>
        <v>432.40293243835714</v>
      </c>
      <c r="AM29" s="459">
        <f t="shared" ref="AM29:AU44" si="3">AA29+O29</f>
        <v>242.7166740407788</v>
      </c>
      <c r="AN29" s="459">
        <f t="shared" si="3"/>
        <v>22.577752457254896</v>
      </c>
      <c r="AO29" s="459">
        <f t="shared" si="3"/>
        <v>138.88744913948076</v>
      </c>
      <c r="AP29" s="459">
        <f t="shared" si="3"/>
        <v>9.7550255923880087</v>
      </c>
      <c r="AQ29" s="459">
        <f t="shared" si="3"/>
        <v>23.089263841707499</v>
      </c>
      <c r="AR29" s="459">
        <f t="shared" si="3"/>
        <v>110.77857142857144</v>
      </c>
      <c r="AS29" s="459">
        <f t="shared" si="3"/>
        <v>10.247</v>
      </c>
      <c r="AT29" s="459">
        <f t="shared" si="3"/>
        <v>92.507389000000003</v>
      </c>
      <c r="AU29" s="459">
        <f t="shared" si="3"/>
        <v>75.239767771023054</v>
      </c>
      <c r="AW29" s="216">
        <f>(B29/Population_Tables!O3)*Population_Tables!C3</f>
        <v>432.40293243835714</v>
      </c>
      <c r="AX29" s="153" t="str">
        <f>IF(AW29-AL29=0,"OK")</f>
        <v>OK</v>
      </c>
      <c r="AY29" s="421">
        <f t="shared" ref="AY29:AY75" si="4">SUM(BB29:BF29)</f>
        <v>437.02616507161002</v>
      </c>
      <c r="AZ29" s="153" t="str">
        <f t="shared" ref="AZ29:AZ75" si="5">IF(AY29-(SUM(AM29:AQ29))=0,"OK")</f>
        <v>OK</v>
      </c>
      <c r="BB29" s="216">
        <f>(C29/Population_Tables!P3)*Population_Tables!D3</f>
        <v>242.7166740407788</v>
      </c>
      <c r="BC29" s="216">
        <f>(D29/Population_Tables!Q3)*Population_Tables!E3</f>
        <v>22.577752457254896</v>
      </c>
      <c r="BD29" s="216">
        <f>(E29/Population_Tables!R3)*Population_Tables!F3</f>
        <v>138.88744913948076</v>
      </c>
      <c r="BE29" s="216">
        <f>(F29/Population_Tables!S3)*Population_Tables!G3</f>
        <v>9.7550255923880087</v>
      </c>
      <c r="BF29" s="216">
        <f>(G29/Population_Tables!T3)*Population_Tables!H3</f>
        <v>23.089263841707499</v>
      </c>
      <c r="BG29" s="216"/>
      <c r="BN29" s="216"/>
      <c r="BO29" s="216"/>
      <c r="BP29" s="216"/>
    </row>
    <row r="30" spans="1:68" ht="15.6" x14ac:dyDescent="0.3">
      <c r="A30" s="194">
        <v>2015</v>
      </c>
      <c r="B30" s="229">
        <v>440.59229824063544</v>
      </c>
      <c r="C30" s="229">
        <v>248.9172714797898</v>
      </c>
      <c r="D30" s="229">
        <v>23.960728682533301</v>
      </c>
      <c r="E30" s="229">
        <v>144.98545488039542</v>
      </c>
      <c r="F30" s="229">
        <v>10.190211075449591</v>
      </c>
      <c r="G30" s="229">
        <v>23.707307011197013</v>
      </c>
      <c r="H30" s="229">
        <v>113.19754489485025</v>
      </c>
      <c r="I30" s="229">
        <v>10.734412211184107</v>
      </c>
      <c r="J30" s="229">
        <v>93.239344929717433</v>
      </c>
      <c r="K30" s="229">
        <v>74.086895901498096</v>
      </c>
      <c r="M30" s="194">
        <v>2015</v>
      </c>
      <c r="N30" s="419">
        <f t="shared" si="2"/>
        <v>28.345141572177688</v>
      </c>
      <c r="O30" s="418">
        <f>(C30/Population_Tables!P4)*Population_Tables!D63</f>
        <v>0</v>
      </c>
      <c r="P30" s="418">
        <f>(D30/Population_Tables!Q4)*Population_Tables!E63</f>
        <v>0</v>
      </c>
      <c r="Q30" s="418">
        <f>((E30-H30)/Population_Tables!R4)*Population_Tables!F63</f>
        <v>16.18586811757935</v>
      </c>
      <c r="R30" s="418">
        <f>(F30/Population_Tables!S4)*Population_Tables!G63</f>
        <v>5.8518861893198544</v>
      </c>
      <c r="S30" s="418">
        <f>(G30/Population_Tables!T4)*Population_Tables!H63</f>
        <v>6.3073872652784839</v>
      </c>
      <c r="T30" s="418">
        <f>(H30/Population_Tables!U4)*Population_Tables!I63</f>
        <v>0</v>
      </c>
      <c r="U30" s="418">
        <f>(I30/Population_Tables!V4)*Population_Tables!J63</f>
        <v>0</v>
      </c>
      <c r="V30" s="418">
        <f>(J30/Population_Tables!W4)*Population_Tables!K63</f>
        <v>0</v>
      </c>
      <c r="W30" s="418">
        <f>(K30/Population_Tables!X4)*Population_Tables!L63</f>
        <v>0</v>
      </c>
      <c r="Y30" s="456">
        <v>2015</v>
      </c>
      <c r="Z30" s="459">
        <f>((B30/Population_Tables!O4)*Population_Tables!C4)-N30</f>
        <v>412.2464245341676</v>
      </c>
      <c r="AA30" s="459">
        <f>((C30/Population_Tables!P4)*Population_Tables!D4)-O30</f>
        <v>248.9172714797898</v>
      </c>
      <c r="AB30" s="459">
        <f>((D30/Population_Tables!Q4)*Population_Tables!E4)-P30</f>
        <v>23.960728682533301</v>
      </c>
      <c r="AC30" s="459">
        <f>((E30/Population_Tables!R4)*Population_Tables!F4)-Q30</f>
        <v>128.79914177923985</v>
      </c>
      <c r="AD30" s="459">
        <f>((F30/Population_Tables!S4)*Population_Tables!G4)-R30</f>
        <v>4.3383248861297368</v>
      </c>
      <c r="AE30" s="459">
        <f>((G30/Population_Tables!T4)*Population_Tables!H4)-S30</f>
        <v>17.399919745918531</v>
      </c>
      <c r="AF30" s="459">
        <f>(H30/Population_Tables!U4)*Population_Tables!I4</f>
        <v>113.19754489485025</v>
      </c>
      <c r="AG30" s="459">
        <f>(I30/Population_Tables!V4)*Population_Tables!J4</f>
        <v>10.734412211184107</v>
      </c>
      <c r="AH30" s="459">
        <f>(J30/Population_Tables!W4)*Population_Tables!K4</f>
        <v>93.239344929717433</v>
      </c>
      <c r="AI30" s="459">
        <f>(K30/Population_Tables!X4)*Population_Tables!L4</f>
        <v>74.086895901498096</v>
      </c>
      <c r="AK30" s="456">
        <v>2015</v>
      </c>
      <c r="AL30" s="459">
        <f t="shared" ref="AL30:AU68" si="6">Z30+N30</f>
        <v>440.59156610634528</v>
      </c>
      <c r="AM30" s="459">
        <f t="shared" si="3"/>
        <v>248.9172714797898</v>
      </c>
      <c r="AN30" s="459">
        <f t="shared" si="3"/>
        <v>23.960728682533301</v>
      </c>
      <c r="AO30" s="459">
        <f t="shared" si="3"/>
        <v>144.98500989681921</v>
      </c>
      <c r="AP30" s="459">
        <f t="shared" si="3"/>
        <v>10.190211075449591</v>
      </c>
      <c r="AQ30" s="459">
        <f t="shared" si="3"/>
        <v>23.707307011197017</v>
      </c>
      <c r="AR30" s="459">
        <f t="shared" si="3"/>
        <v>113.19754489485025</v>
      </c>
      <c r="AS30" s="459">
        <f t="shared" si="3"/>
        <v>10.734412211184107</v>
      </c>
      <c r="AT30" s="459">
        <f t="shared" si="3"/>
        <v>93.239344929717433</v>
      </c>
      <c r="AU30" s="459">
        <f t="shared" si="3"/>
        <v>74.086895901498096</v>
      </c>
      <c r="AW30" s="216">
        <f>(B30/Population_Tables!O4)*Population_Tables!C4</f>
        <v>440.59156610634528</v>
      </c>
      <c r="AX30" s="153" t="str">
        <f t="shared" ref="AX30:AX75" si="7">IF(AW30-AL30=0,"OK")</f>
        <v>OK</v>
      </c>
      <c r="AY30" s="421">
        <f t="shared" si="4"/>
        <v>451.76052814578895</v>
      </c>
      <c r="AZ30" s="153" t="str">
        <f t="shared" si="5"/>
        <v>OK</v>
      </c>
      <c r="BB30" s="216">
        <f>(C30/Population_Tables!P4)*Population_Tables!D4</f>
        <v>248.9172714797898</v>
      </c>
      <c r="BC30" s="216">
        <f>(D30/Population_Tables!Q4)*Population_Tables!E4</f>
        <v>23.960728682533301</v>
      </c>
      <c r="BD30" s="216">
        <f>(E30/Population_Tables!R4)*Population_Tables!F4</f>
        <v>144.98500989681921</v>
      </c>
      <c r="BE30" s="216">
        <f>(F30/Population_Tables!S4)*Population_Tables!G4</f>
        <v>10.190211075449591</v>
      </c>
      <c r="BF30" s="216">
        <f>(G30/Population_Tables!T4)*Population_Tables!H4</f>
        <v>23.707307011197013</v>
      </c>
      <c r="BG30" s="216"/>
      <c r="BN30" s="216"/>
      <c r="BO30" s="216"/>
      <c r="BP30" s="216"/>
    </row>
    <row r="31" spans="1:68" ht="15.6" x14ac:dyDescent="0.3">
      <c r="A31" s="194">
        <v>2016</v>
      </c>
      <c r="B31" s="229">
        <v>448.86502167831657</v>
      </c>
      <c r="C31" s="229">
        <v>255.30792306614495</v>
      </c>
      <c r="D31" s="229">
        <v>24.931197816107815</v>
      </c>
      <c r="E31" s="229">
        <v>151.8056928454798</v>
      </c>
      <c r="F31" s="229">
        <v>10.58560058398035</v>
      </c>
      <c r="G31" s="229">
        <v>24.327958885687796</v>
      </c>
      <c r="H31" s="229">
        <v>121.55963600379647</v>
      </c>
      <c r="I31" s="229">
        <v>11.49532787329467</v>
      </c>
      <c r="J31" s="229">
        <v>93.696571348898459</v>
      </c>
      <c r="K31" s="229">
        <v>73.53224527956894</v>
      </c>
      <c r="M31" s="194">
        <v>2016</v>
      </c>
      <c r="N31" s="419">
        <f t="shared" si="2"/>
        <v>28.034369925353836</v>
      </c>
      <c r="O31" s="418">
        <f>(C31/Population_Tables!P5)*Population_Tables!D64</f>
        <v>0</v>
      </c>
      <c r="P31" s="418">
        <f>(D31/Population_Tables!Q5)*Population_Tables!E64</f>
        <v>0</v>
      </c>
      <c r="Q31" s="418">
        <f>((E31-H31)/Population_Tables!R5)*Population_Tables!F64</f>
        <v>15.443978685061809</v>
      </c>
      <c r="R31" s="418">
        <f>(F31/Population_Tables!S5)*Population_Tables!G64</f>
        <v>6.0995497977348858</v>
      </c>
      <c r="S31" s="418">
        <f>(G31/Population_Tables!T5)*Population_Tables!H64</f>
        <v>6.490841442557139</v>
      </c>
      <c r="T31" s="418">
        <f>(H31/Population_Tables!U5)*Population_Tables!I64</f>
        <v>0</v>
      </c>
      <c r="U31" s="418">
        <f>(I31/Population_Tables!V5)*Population_Tables!J64</f>
        <v>0</v>
      </c>
      <c r="V31" s="418">
        <f>(J31/Population_Tables!W5)*Population_Tables!K64</f>
        <v>0</v>
      </c>
      <c r="W31" s="418">
        <f>(K31/Population_Tables!X5)*Population_Tables!L64</f>
        <v>0</v>
      </c>
      <c r="Y31" s="456">
        <v>2016</v>
      </c>
      <c r="Z31" s="459">
        <f>((B31/Population_Tables!O5)*Population_Tables!C5)-N31</f>
        <v>420.82992415245729</v>
      </c>
      <c r="AA31" s="459">
        <f>((C31/Population_Tables!P5)*Population_Tables!D5)-O31</f>
        <v>255.30792306614492</v>
      </c>
      <c r="AB31" s="459">
        <f>((D31/Population_Tables!Q5)*Population_Tables!E5)-P31</f>
        <v>24.931197816107815</v>
      </c>
      <c r="AC31" s="459">
        <f>((E31/Population_Tables!R5)*Population_Tables!F5)-Q31</f>
        <v>136.36125881719994</v>
      </c>
      <c r="AD31" s="459">
        <f>((F31/Population_Tables!S5)*Population_Tables!G5)-R31</f>
        <v>4.4860507862454639</v>
      </c>
      <c r="AE31" s="459">
        <f>((G31/Population_Tables!T5)*Population_Tables!H5)-S31</f>
        <v>17.837117443130659</v>
      </c>
      <c r="AF31" s="459">
        <f>(H31/Population_Tables!U5)*Population_Tables!I5</f>
        <v>121.55963600379647</v>
      </c>
      <c r="AG31" s="459">
        <f>(I31/Population_Tables!V5)*Population_Tables!J5</f>
        <v>11.495327873294668</v>
      </c>
      <c r="AH31" s="459">
        <f>(J31/Population_Tables!W5)*Population_Tables!K5</f>
        <v>93.696571348898459</v>
      </c>
      <c r="AI31" s="459">
        <f>(K31/Population_Tables!X5)*Population_Tables!L5</f>
        <v>73.53224527956894</v>
      </c>
      <c r="AK31" s="456">
        <v>2016</v>
      </c>
      <c r="AL31" s="459">
        <f t="shared" si="6"/>
        <v>448.86429407781111</v>
      </c>
      <c r="AM31" s="459">
        <f t="shared" si="3"/>
        <v>255.30792306614492</v>
      </c>
      <c r="AN31" s="459">
        <f t="shared" si="3"/>
        <v>24.931197816107815</v>
      </c>
      <c r="AO31" s="459">
        <f t="shared" si="3"/>
        <v>151.80523750226175</v>
      </c>
      <c r="AP31" s="459">
        <f t="shared" si="3"/>
        <v>10.58560058398035</v>
      </c>
      <c r="AQ31" s="459">
        <f t="shared" si="3"/>
        <v>24.327958885687799</v>
      </c>
      <c r="AR31" s="459">
        <f t="shared" si="3"/>
        <v>121.55963600379647</v>
      </c>
      <c r="AS31" s="459">
        <f t="shared" si="3"/>
        <v>11.495327873294668</v>
      </c>
      <c r="AT31" s="459">
        <f t="shared" si="3"/>
        <v>93.696571348898459</v>
      </c>
      <c r="AU31" s="459">
        <f t="shared" si="3"/>
        <v>73.53224527956894</v>
      </c>
      <c r="AW31" s="216">
        <f>(B31/Population_Tables!O5)*Population_Tables!C5</f>
        <v>448.86429407781111</v>
      </c>
      <c r="AX31" s="153" t="str">
        <f t="shared" si="7"/>
        <v>OK</v>
      </c>
      <c r="AY31" s="421">
        <f t="shared" si="4"/>
        <v>466.9579178541826</v>
      </c>
      <c r="AZ31" s="153" t="str">
        <f t="shared" si="5"/>
        <v>OK</v>
      </c>
      <c r="BB31" s="216">
        <f>(C31/Population_Tables!P5)*Population_Tables!D5</f>
        <v>255.30792306614492</v>
      </c>
      <c r="BC31" s="216">
        <f>(D31/Population_Tables!Q5)*Population_Tables!E5</f>
        <v>24.931197816107815</v>
      </c>
      <c r="BD31" s="216">
        <f>(E31/Population_Tables!R5)*Population_Tables!F5</f>
        <v>151.80523750226175</v>
      </c>
      <c r="BE31" s="216">
        <f>(F31/Population_Tables!S5)*Population_Tables!G5</f>
        <v>10.58560058398035</v>
      </c>
      <c r="BF31" s="216">
        <f>(G31/Population_Tables!T5)*Population_Tables!H5</f>
        <v>24.327958885687796</v>
      </c>
      <c r="BG31" s="216"/>
      <c r="BN31" s="216"/>
      <c r="BO31" s="216"/>
      <c r="BP31" s="216"/>
    </row>
    <row r="32" spans="1:68" ht="15.6" x14ac:dyDescent="0.3">
      <c r="A32" s="194">
        <v>2017</v>
      </c>
      <c r="B32" s="229">
        <v>457.49790596835527</v>
      </c>
      <c r="C32" s="229">
        <v>261.82482909786785</v>
      </c>
      <c r="D32" s="229">
        <v>25.872882057951749</v>
      </c>
      <c r="E32" s="229">
        <v>158.65547496035566</v>
      </c>
      <c r="F32" s="229">
        <v>10.988169668343122</v>
      </c>
      <c r="G32" s="229">
        <v>24.961113198888356</v>
      </c>
      <c r="H32" s="229">
        <v>129.96260133166209</v>
      </c>
      <c r="I32" s="229">
        <v>12.265346857544058</v>
      </c>
      <c r="J32" s="229">
        <v>94.13558515987647</v>
      </c>
      <c r="K32" s="229">
        <v>72.990814901569919</v>
      </c>
      <c r="M32" s="194">
        <v>2017</v>
      </c>
      <c r="N32" s="419">
        <f t="shared" si="2"/>
        <v>27.721833261537302</v>
      </c>
      <c r="O32" s="418">
        <f>(C32/Population_Tables!P6)*Population_Tables!D65</f>
        <v>0</v>
      </c>
      <c r="P32" s="418">
        <f>(D32/Population_Tables!Q6)*Population_Tables!E65</f>
        <v>0</v>
      </c>
      <c r="Q32" s="418">
        <f>((E32-H32)/Population_Tables!R6)*Population_Tables!F65</f>
        <v>14.690875750528358</v>
      </c>
      <c r="R32" s="418">
        <f>(F32/Population_Tables!S6)*Population_Tables!G65</f>
        <v>6.3526280950544969</v>
      </c>
      <c r="S32" s="418">
        <f>(G32/Population_Tables!T6)*Population_Tables!H65</f>
        <v>6.6783294159544466</v>
      </c>
      <c r="T32" s="418">
        <f>(H32/Population_Tables!U6)*Population_Tables!I65</f>
        <v>0</v>
      </c>
      <c r="U32" s="418">
        <f>(I32/Population_Tables!V6)*Population_Tables!J65</f>
        <v>0</v>
      </c>
      <c r="V32" s="418">
        <f>(J32/Population_Tables!W6)*Population_Tables!K65</f>
        <v>0</v>
      </c>
      <c r="W32" s="418">
        <f>(K32/Population_Tables!X6)*Population_Tables!L65</f>
        <v>0</v>
      </c>
      <c r="Y32" s="456">
        <v>2017</v>
      </c>
      <c r="Z32" s="459">
        <f>((B32/Population_Tables!O6)*Population_Tables!C6)-N32</f>
        <v>429.77535171648685</v>
      </c>
      <c r="AA32" s="459">
        <f>((C32/Population_Tables!P6)*Population_Tables!D6)-O32</f>
        <v>261.82482909786785</v>
      </c>
      <c r="AB32" s="459">
        <f>((D32/Population_Tables!Q6)*Population_Tables!E6)-P32</f>
        <v>25.872882057951749</v>
      </c>
      <c r="AC32" s="459">
        <f>((E32/Population_Tables!R6)*Population_Tables!F6)-Q32</f>
        <v>143.96413566135374</v>
      </c>
      <c r="AD32" s="459">
        <f>((F32/Population_Tables!S6)*Population_Tables!G6)-R32</f>
        <v>4.6355415732886254</v>
      </c>
      <c r="AE32" s="459">
        <f>((G32/Population_Tables!T6)*Population_Tables!H6)-S32</f>
        <v>18.282783782933908</v>
      </c>
      <c r="AF32" s="459">
        <f>(H32/Population_Tables!U6)*Population_Tables!I6</f>
        <v>129.96260133166209</v>
      </c>
      <c r="AG32" s="459">
        <f>(I32/Population_Tables!V6)*Population_Tables!J6</f>
        <v>12.265346857544058</v>
      </c>
      <c r="AH32" s="459">
        <f>(J32/Population_Tables!W6)*Population_Tables!K6</f>
        <v>94.13558515987647</v>
      </c>
      <c r="AI32" s="459">
        <f>(K32/Population_Tables!X6)*Population_Tables!L6</f>
        <v>72.990814901569919</v>
      </c>
      <c r="AK32" s="456">
        <v>2017</v>
      </c>
      <c r="AL32" s="459">
        <f t="shared" si="6"/>
        <v>457.49718497802417</v>
      </c>
      <c r="AM32" s="459">
        <f t="shared" si="3"/>
        <v>261.82482909786785</v>
      </c>
      <c r="AN32" s="459">
        <f t="shared" si="3"/>
        <v>25.872882057951749</v>
      </c>
      <c r="AO32" s="459">
        <f t="shared" si="3"/>
        <v>158.6550114118821</v>
      </c>
      <c r="AP32" s="459">
        <f t="shared" si="3"/>
        <v>10.988169668343122</v>
      </c>
      <c r="AQ32" s="459">
        <f t="shared" si="3"/>
        <v>24.961113198888356</v>
      </c>
      <c r="AR32" s="459">
        <f t="shared" si="3"/>
        <v>129.96260133166209</v>
      </c>
      <c r="AS32" s="459">
        <f t="shared" si="3"/>
        <v>12.265346857544058</v>
      </c>
      <c r="AT32" s="459">
        <f t="shared" si="3"/>
        <v>94.13558515987647</v>
      </c>
      <c r="AU32" s="459">
        <f t="shared" si="3"/>
        <v>72.990814901569919</v>
      </c>
      <c r="AW32" s="216">
        <f>(B32/Population_Tables!O6)*Population_Tables!C6</f>
        <v>457.49718497802417</v>
      </c>
      <c r="AX32" s="153" t="str">
        <f t="shared" si="7"/>
        <v>OK</v>
      </c>
      <c r="AY32" s="421">
        <f t="shared" si="4"/>
        <v>482.30200543493316</v>
      </c>
      <c r="AZ32" s="153" t="str">
        <f t="shared" si="5"/>
        <v>OK</v>
      </c>
      <c r="BB32" s="216">
        <f>(C32/Population_Tables!P6)*Population_Tables!D6</f>
        <v>261.82482909786785</v>
      </c>
      <c r="BC32" s="216">
        <f>(D32/Population_Tables!Q6)*Population_Tables!E6</f>
        <v>25.872882057951749</v>
      </c>
      <c r="BD32" s="216">
        <f>(E32/Population_Tables!R6)*Population_Tables!F6</f>
        <v>158.6550114118821</v>
      </c>
      <c r="BE32" s="216">
        <f>(F32/Population_Tables!S6)*Population_Tables!G6</f>
        <v>10.988169668343122</v>
      </c>
      <c r="BF32" s="216">
        <f>(G32/Population_Tables!T6)*Population_Tables!H6</f>
        <v>24.961113198888356</v>
      </c>
      <c r="BG32" s="216"/>
      <c r="BN32" s="216"/>
      <c r="BO32" s="216"/>
      <c r="BP32" s="216"/>
    </row>
    <row r="33" spans="1:68" ht="15.6" x14ac:dyDescent="0.3">
      <c r="A33" s="194">
        <v>2018</v>
      </c>
      <c r="B33" s="229">
        <v>466.48865568267081</v>
      </c>
      <c r="C33" s="229">
        <v>268.47112544911755</v>
      </c>
      <c r="D33" s="229">
        <v>26.787807244991996</v>
      </c>
      <c r="E33" s="229">
        <v>165.54125401961522</v>
      </c>
      <c r="F33" s="229">
        <v>11.398145440062395</v>
      </c>
      <c r="G33" s="229">
        <v>25.607155974260305</v>
      </c>
      <c r="H33" s="229">
        <v>138.41066107933082</v>
      </c>
      <c r="I33" s="229">
        <v>13.050637172646038</v>
      </c>
      <c r="J33" s="229">
        <v>94.557354393598104</v>
      </c>
      <c r="K33" s="229">
        <v>72.46260476750102</v>
      </c>
      <c r="M33" s="194">
        <v>2018</v>
      </c>
      <c r="N33" s="419">
        <f t="shared" si="2"/>
        <v>27.409501839464973</v>
      </c>
      <c r="O33" s="418">
        <f>(C33/Population_Tables!P7)*Population_Tables!D66</f>
        <v>0</v>
      </c>
      <c r="P33" s="418">
        <f>(D33/Population_Tables!Q7)*Population_Tables!E66</f>
        <v>0</v>
      </c>
      <c r="Q33" s="418">
        <f>((E33-H33)/Population_Tables!R7)*Population_Tables!F66</f>
        <v>13.928604802569811</v>
      </c>
      <c r="R33" s="418">
        <f>(F33/Population_Tables!S7)*Population_Tables!G66</f>
        <v>6.6110708488061292</v>
      </c>
      <c r="S33" s="418">
        <f>(G33/Population_Tables!T7)*Population_Tables!H66</f>
        <v>6.8698261880890339</v>
      </c>
      <c r="T33" s="418">
        <f>(H33/Population_Tables!U7)*Population_Tables!I66</f>
        <v>0</v>
      </c>
      <c r="U33" s="418">
        <f>(I33/Population_Tables!V7)*Population_Tables!J66</f>
        <v>0</v>
      </c>
      <c r="V33" s="418">
        <f>(J33/Population_Tables!W7)*Population_Tables!K66</f>
        <v>0</v>
      </c>
      <c r="W33" s="418">
        <f>(K33/Population_Tables!X7)*Population_Tables!L66</f>
        <v>0</v>
      </c>
      <c r="Y33" s="456">
        <v>2018</v>
      </c>
      <c r="Z33" s="459">
        <f>((B33/Population_Tables!O7)*Population_Tables!C7)-N33</f>
        <v>439.07844143652443</v>
      </c>
      <c r="AA33" s="459">
        <f>((C33/Population_Tables!P7)*Population_Tables!D7)-O33</f>
        <v>268.47112544911755</v>
      </c>
      <c r="AB33" s="459">
        <f>((D33/Population_Tables!Q7)*Population_Tables!E7)-P33</f>
        <v>26.787807244991996</v>
      </c>
      <c r="AC33" s="459">
        <f>((E33/Population_Tables!R7)*Population_Tables!F7)-Q33</f>
        <v>151.61217960006255</v>
      </c>
      <c r="AD33" s="459">
        <f>((F33/Population_Tables!S7)*Population_Tables!G7)-R33</f>
        <v>4.7870745912562658</v>
      </c>
      <c r="AE33" s="459">
        <f>((G33/Population_Tables!T7)*Population_Tables!H7)-S33</f>
        <v>18.737329786171273</v>
      </c>
      <c r="AF33" s="459">
        <f>(H33/Population_Tables!U7)*Population_Tables!I7</f>
        <v>138.41066107933082</v>
      </c>
      <c r="AG33" s="459">
        <f>(I33/Population_Tables!V7)*Population_Tables!J7</f>
        <v>13.050637172646038</v>
      </c>
      <c r="AH33" s="459">
        <f>(J33/Population_Tables!W7)*Population_Tables!K7</f>
        <v>94.557354393598118</v>
      </c>
      <c r="AI33" s="459">
        <f>(K33/Population_Tables!X7)*Population_Tables!L7</f>
        <v>72.46260476750102</v>
      </c>
      <c r="AK33" s="456">
        <v>2018</v>
      </c>
      <c r="AL33" s="459">
        <f t="shared" si="6"/>
        <v>466.48794327598938</v>
      </c>
      <c r="AM33" s="459">
        <f t="shared" si="3"/>
        <v>268.47112544911755</v>
      </c>
      <c r="AN33" s="459">
        <f t="shared" si="3"/>
        <v>26.787807244991996</v>
      </c>
      <c r="AO33" s="459">
        <f t="shared" si="3"/>
        <v>165.54078440263237</v>
      </c>
      <c r="AP33" s="459">
        <f t="shared" si="3"/>
        <v>11.398145440062395</v>
      </c>
      <c r="AQ33" s="459">
        <f t="shared" si="3"/>
        <v>25.607155974260309</v>
      </c>
      <c r="AR33" s="459">
        <f t="shared" si="3"/>
        <v>138.41066107933082</v>
      </c>
      <c r="AS33" s="459">
        <f t="shared" si="3"/>
        <v>13.050637172646038</v>
      </c>
      <c r="AT33" s="459">
        <f t="shared" si="3"/>
        <v>94.557354393598118</v>
      </c>
      <c r="AU33" s="459">
        <f t="shared" si="3"/>
        <v>72.46260476750102</v>
      </c>
      <c r="AW33" s="216">
        <f>(B33/Population_Tables!O7)*Population_Tables!C7</f>
        <v>466.48794327598938</v>
      </c>
      <c r="AX33" s="153" t="str">
        <f t="shared" si="7"/>
        <v>OK</v>
      </c>
      <c r="AY33" s="421">
        <f t="shared" si="4"/>
        <v>497.80501851106465</v>
      </c>
      <c r="AZ33" s="153" t="str">
        <f t="shared" si="5"/>
        <v>OK</v>
      </c>
      <c r="BB33" s="216">
        <f>(C33/Population_Tables!P7)*Population_Tables!D7</f>
        <v>268.47112544911755</v>
      </c>
      <c r="BC33" s="216">
        <f>(D33/Population_Tables!Q7)*Population_Tables!E7</f>
        <v>26.787807244991996</v>
      </c>
      <c r="BD33" s="216">
        <f>(E33/Population_Tables!R7)*Population_Tables!F7</f>
        <v>165.54078440263237</v>
      </c>
      <c r="BE33" s="216">
        <f>(F33/Population_Tables!S7)*Population_Tables!G7</f>
        <v>11.398145440062395</v>
      </c>
      <c r="BF33" s="216">
        <f>(G33/Population_Tables!T7)*Population_Tables!H7</f>
        <v>25.607155974260305</v>
      </c>
      <c r="BG33" s="216"/>
      <c r="BN33" s="216"/>
      <c r="BO33" s="216"/>
      <c r="BP33" s="216"/>
    </row>
    <row r="34" spans="1:68" ht="16.2" thickBot="1" x14ac:dyDescent="0.35">
      <c r="A34" s="198">
        <v>2019</v>
      </c>
      <c r="B34" s="230">
        <v>475.83497539318256</v>
      </c>
      <c r="C34" s="230">
        <v>275.24994799405289</v>
      </c>
      <c r="D34" s="230">
        <v>27.677999214155445</v>
      </c>
      <c r="E34" s="230">
        <v>172.46948281785058</v>
      </c>
      <c r="F34" s="230">
        <v>11.815755010662649</v>
      </c>
      <c r="G34" s="230">
        <v>26.266473235265252</v>
      </c>
      <c r="H34" s="230">
        <v>146.90803544768647</v>
      </c>
      <c r="I34" s="230">
        <v>13.857366827314374</v>
      </c>
      <c r="J34" s="230">
        <v>94.962847081010011</v>
      </c>
      <c r="K34" s="230">
        <v>71.94761487736227</v>
      </c>
      <c r="M34" s="198">
        <v>2019</v>
      </c>
      <c r="N34" s="419">
        <f t="shared" si="2"/>
        <v>27.099268701797619</v>
      </c>
      <c r="O34" s="418">
        <f>(C34/Population_Tables!P8)*Population_Tables!D67</f>
        <v>0</v>
      </c>
      <c r="P34" s="418">
        <f>(D34/Population_Tables!Q8)*Population_Tables!E67</f>
        <v>0</v>
      </c>
      <c r="Q34" s="418">
        <f>((E34-H34)/Population_Tables!R8)*Population_Tables!F67</f>
        <v>13.159212739736168</v>
      </c>
      <c r="R34" s="418">
        <f>(F34/Population_Tables!S8)*Population_Tables!G67</f>
        <v>6.874813478962559</v>
      </c>
      <c r="S34" s="418">
        <f>(G34/Population_Tables!T8)*Population_Tables!H67</f>
        <v>7.0652424830988938</v>
      </c>
      <c r="T34" s="418">
        <f>(H34/Population_Tables!U8)*Population_Tables!I67</f>
        <v>0</v>
      </c>
      <c r="U34" s="418">
        <f>(I34/Population_Tables!V8)*Population_Tables!J67</f>
        <v>0</v>
      </c>
      <c r="V34" s="418">
        <f>(J34/Population_Tables!W8)*Population_Tables!K67</f>
        <v>0</v>
      </c>
      <c r="W34" s="418">
        <f>(K34/Population_Tables!X8)*Population_Tables!L67</f>
        <v>0</v>
      </c>
      <c r="Y34" s="456">
        <v>2019</v>
      </c>
      <c r="Z34" s="459">
        <f>((B34/Population_Tables!O8)*Population_Tables!C8)-N34</f>
        <v>448.73500116017027</v>
      </c>
      <c r="AA34" s="459">
        <f>((C34/Population_Tables!P8)*Population_Tables!D8)-O34</f>
        <v>275.24994799405289</v>
      </c>
      <c r="AB34" s="459">
        <f>((D34/Population_Tables!Q8)*Population_Tables!E8)-P34</f>
        <v>27.677999214155445</v>
      </c>
      <c r="AC34" s="459">
        <f>((E34/Population_Tables!R8)*Population_Tables!F8)-Q34</f>
        <v>159.30979407781885</v>
      </c>
      <c r="AD34" s="459">
        <f>((F34/Population_Tables!S8)*Population_Tables!G8)-R34</f>
        <v>4.9409415317000898</v>
      </c>
      <c r="AE34" s="459">
        <f>((G34/Population_Tables!T8)*Population_Tables!H8)-S34</f>
        <v>19.20123075216636</v>
      </c>
      <c r="AF34" s="459">
        <f>(H34/Population_Tables!U8)*Population_Tables!I8</f>
        <v>146.90803544768647</v>
      </c>
      <c r="AG34" s="459">
        <f>(I34/Population_Tables!V8)*Population_Tables!J8</f>
        <v>13.857366827314374</v>
      </c>
      <c r="AH34" s="459">
        <f>(J34/Population_Tables!W8)*Population_Tables!K8</f>
        <v>94.962847081010011</v>
      </c>
      <c r="AI34" s="459">
        <f>(K34/Population_Tables!X8)*Population_Tables!L8</f>
        <v>71.94761487736227</v>
      </c>
      <c r="AK34" s="456">
        <v>2019</v>
      </c>
      <c r="AL34" s="459">
        <f t="shared" si="6"/>
        <v>475.83426986196787</v>
      </c>
      <c r="AM34" s="459">
        <f t="shared" si="3"/>
        <v>275.24994799405289</v>
      </c>
      <c r="AN34" s="459">
        <f t="shared" si="3"/>
        <v>27.677999214155445</v>
      </c>
      <c r="AO34" s="459">
        <f t="shared" si="3"/>
        <v>172.46900681755503</v>
      </c>
      <c r="AP34" s="459">
        <f t="shared" si="3"/>
        <v>11.815755010662649</v>
      </c>
      <c r="AQ34" s="459">
        <f t="shared" si="3"/>
        <v>26.266473235265252</v>
      </c>
      <c r="AR34" s="459">
        <f t="shared" si="3"/>
        <v>146.90803544768647</v>
      </c>
      <c r="AS34" s="459">
        <f t="shared" si="3"/>
        <v>13.857366827314374</v>
      </c>
      <c r="AT34" s="459">
        <f t="shared" si="3"/>
        <v>94.962847081010011</v>
      </c>
      <c r="AU34" s="459">
        <f t="shared" si="3"/>
        <v>71.94761487736227</v>
      </c>
      <c r="AW34" s="216">
        <f>(B34/Population_Tables!O8)*Population_Tables!C8</f>
        <v>475.83426986196787</v>
      </c>
      <c r="AX34" s="153" t="str">
        <f t="shared" si="7"/>
        <v>OK</v>
      </c>
      <c r="AY34" s="421">
        <f t="shared" si="4"/>
        <v>513.47918227169123</v>
      </c>
      <c r="AZ34" s="153" t="str">
        <f t="shared" si="5"/>
        <v>OK</v>
      </c>
      <c r="BB34" s="216">
        <f>(C34/Population_Tables!P8)*Population_Tables!D8</f>
        <v>275.24994799405289</v>
      </c>
      <c r="BC34" s="216">
        <f>(D34/Population_Tables!Q8)*Population_Tables!E8</f>
        <v>27.677999214155445</v>
      </c>
      <c r="BD34" s="216">
        <f>(E34/Population_Tables!R8)*Population_Tables!F8</f>
        <v>172.46900681755503</v>
      </c>
      <c r="BE34" s="216">
        <f>(F34/Population_Tables!S8)*Population_Tables!G8</f>
        <v>11.815755010662649</v>
      </c>
      <c r="BF34" s="216">
        <f>(G34/Population_Tables!T8)*Population_Tables!H8</f>
        <v>26.266473235265252</v>
      </c>
      <c r="BG34" s="216"/>
      <c r="BN34" s="216"/>
      <c r="BO34" s="216"/>
      <c r="BP34" s="216"/>
    </row>
    <row r="35" spans="1:68" ht="15.6" x14ac:dyDescent="0.3">
      <c r="A35" s="201">
        <v>2020</v>
      </c>
      <c r="B35" s="228">
        <v>485.53456967180978</v>
      </c>
      <c r="C35" s="228">
        <v>282.16443260683286</v>
      </c>
      <c r="D35" s="228">
        <v>28.545483802368999</v>
      </c>
      <c r="E35" s="228">
        <v>179.4466141496539</v>
      </c>
      <c r="F35" s="228">
        <v>12.241225491668368</v>
      </c>
      <c r="G35" s="228">
        <v>26.939451005364802</v>
      </c>
      <c r="H35" s="228">
        <v>155.45894463761272</v>
      </c>
      <c r="I35" s="228">
        <v>14.691703830262835</v>
      </c>
      <c r="J35" s="228">
        <v>95.353031253058845</v>
      </c>
      <c r="K35" s="228">
        <v>71.44584523115364</v>
      </c>
      <c r="M35" s="201">
        <v>2020</v>
      </c>
      <c r="N35" s="419">
        <f t="shared" si="2"/>
        <v>26.792687475744231</v>
      </c>
      <c r="O35" s="418">
        <f>(C35/Population_Tables!P9)*Population_Tables!D68</f>
        <v>0</v>
      </c>
      <c r="P35" s="418">
        <f>(D35/Population_Tables!Q9)*Population_Tables!E68</f>
        <v>0</v>
      </c>
      <c r="Q35" s="418">
        <f>((E35-H35)/Population_Tables!R9)*Population_Tables!F68</f>
        <v>12.384277204108731</v>
      </c>
      <c r="R35" s="418">
        <f>(F35/Population_Tables!S9)*Population_Tables!G68</f>
        <v>7.1438676544270168</v>
      </c>
      <c r="S35" s="418">
        <f>(G35/Population_Tables!T9)*Population_Tables!H68</f>
        <v>7.2645426172084857</v>
      </c>
      <c r="T35" s="418">
        <f>(H35/Population_Tables!U9)*Population_Tables!I68</f>
        <v>0</v>
      </c>
      <c r="U35" s="418">
        <f>(I35/Population_Tables!V9)*Population_Tables!J68</f>
        <v>0</v>
      </c>
      <c r="V35" s="418">
        <f>(J35/Population_Tables!W9)*Population_Tables!K68</f>
        <v>0</v>
      </c>
      <c r="W35" s="418">
        <f>(K35/Population_Tables!X9)*Population_Tables!L68</f>
        <v>0</v>
      </c>
      <c r="Y35" s="456">
        <v>2020</v>
      </c>
      <c r="Z35" s="459">
        <f>((B35/Population_Tables!O9)*Population_Tables!C9)-N35</f>
        <v>458.74118168714767</v>
      </c>
      <c r="AA35" s="459">
        <f>((C35/Population_Tables!P9)*Population_Tables!D9)-O35</f>
        <v>282.16443260683286</v>
      </c>
      <c r="AB35" s="459">
        <f>((D35/Population_Tables!Q9)*Population_Tables!E9)-P35</f>
        <v>28.545483802368999</v>
      </c>
      <c r="AC35" s="459">
        <f>((E35/Population_Tables!R9)*Population_Tables!F9)-Q35</f>
        <v>167.06185397268575</v>
      </c>
      <c r="AD35" s="459">
        <f>((F35/Population_Tables!S9)*Population_Tables!G9)-R35</f>
        <v>5.0973578372413515</v>
      </c>
      <c r="AE35" s="459">
        <f>((G35/Population_Tables!T9)*Population_Tables!H9)-S35</f>
        <v>19.674908388156318</v>
      </c>
      <c r="AF35" s="459">
        <f>(H35/Population_Tables!U9)*Population_Tables!I9</f>
        <v>155.45894463761272</v>
      </c>
      <c r="AG35" s="459">
        <f>(I35/Population_Tables!V9)*Population_Tables!J9</f>
        <v>14.691703830262833</v>
      </c>
      <c r="AH35" s="459">
        <f>(J35/Population_Tables!W9)*Population_Tables!K9</f>
        <v>95.353031253058845</v>
      </c>
      <c r="AI35" s="459">
        <f>(K35/Population_Tables!X9)*Population_Tables!L9</f>
        <v>71.44584523115364</v>
      </c>
      <c r="AK35" s="456">
        <v>2020</v>
      </c>
      <c r="AL35" s="459">
        <f t="shared" si="6"/>
        <v>485.5338691628919</v>
      </c>
      <c r="AM35" s="459">
        <f t="shared" si="3"/>
        <v>282.16443260683286</v>
      </c>
      <c r="AN35" s="459">
        <f t="shared" si="3"/>
        <v>28.545483802368999</v>
      </c>
      <c r="AO35" s="459">
        <f t="shared" si="3"/>
        <v>179.44613117679449</v>
      </c>
      <c r="AP35" s="459">
        <f t="shared" si="3"/>
        <v>12.241225491668368</v>
      </c>
      <c r="AQ35" s="459">
        <f t="shared" si="3"/>
        <v>26.939451005364802</v>
      </c>
      <c r="AR35" s="459">
        <f t="shared" si="3"/>
        <v>155.45894463761272</v>
      </c>
      <c r="AS35" s="459">
        <f t="shared" si="3"/>
        <v>14.691703830262833</v>
      </c>
      <c r="AT35" s="459">
        <f t="shared" si="3"/>
        <v>95.353031253058845</v>
      </c>
      <c r="AU35" s="459">
        <f t="shared" si="3"/>
        <v>71.44584523115364</v>
      </c>
      <c r="AW35" s="216">
        <f>(B35/Population_Tables!O9)*Population_Tables!C9</f>
        <v>485.5338691628919</v>
      </c>
      <c r="AX35" s="153" t="str">
        <f t="shared" si="7"/>
        <v>OK</v>
      </c>
      <c r="AY35" s="421">
        <f t="shared" si="4"/>
        <v>529.33672408302959</v>
      </c>
      <c r="AZ35" s="153" t="str">
        <f t="shared" si="5"/>
        <v>OK</v>
      </c>
      <c r="BB35" s="216">
        <f>(C35/Population_Tables!P9)*Population_Tables!D9</f>
        <v>282.16443260683286</v>
      </c>
      <c r="BC35" s="216">
        <f>(D35/Population_Tables!Q9)*Population_Tables!E9</f>
        <v>28.545483802368999</v>
      </c>
      <c r="BD35" s="216">
        <f>(E35/Population_Tables!R9)*Population_Tables!F9</f>
        <v>179.44613117679449</v>
      </c>
      <c r="BE35" s="216">
        <f>(F35/Population_Tables!S9)*Population_Tables!G9</f>
        <v>12.241225491668368</v>
      </c>
      <c r="BF35" s="216">
        <f>(G35/Population_Tables!T9)*Population_Tables!H9</f>
        <v>26.939451005364806</v>
      </c>
      <c r="BG35" s="216"/>
      <c r="BN35" s="216"/>
      <c r="BO35" s="216"/>
      <c r="BP35" s="216"/>
    </row>
    <row r="36" spans="1:68" ht="15.6" x14ac:dyDescent="0.3">
      <c r="A36" s="206">
        <v>2021</v>
      </c>
      <c r="B36" s="229">
        <v>495.58514309047166</v>
      </c>
      <c r="C36" s="229">
        <v>289.21771516161647</v>
      </c>
      <c r="D36" s="229">
        <v>29.392286846559543</v>
      </c>
      <c r="E36" s="229">
        <v>186.47910080961734</v>
      </c>
      <c r="F36" s="229">
        <v>12.674783994604038</v>
      </c>
      <c r="G36" s="229">
        <v>27.62647530802057</v>
      </c>
      <c r="H36" s="229">
        <v>164.06760884999338</v>
      </c>
      <c r="I36" s="229">
        <v>15.559816190205185</v>
      </c>
      <c r="J36" s="229">
        <v>95.728874940691256</v>
      </c>
      <c r="K36" s="229">
        <v>70.957295828875147</v>
      </c>
      <c r="M36" s="206">
        <v>2021</v>
      </c>
      <c r="N36" s="419">
        <f t="shared" si="2"/>
        <v>26.53588895823107</v>
      </c>
      <c r="O36" s="418">
        <f>(C36/Population_Tables!P10)*Population_Tables!D69</f>
        <v>0</v>
      </c>
      <c r="P36" s="418">
        <f>(D36/Population_Tables!Q10)*Population_Tables!E69</f>
        <v>0</v>
      </c>
      <c r="Q36" s="418">
        <f>((E36-H36)/Population_Tables!R10)*Population_Tables!F69</f>
        <v>11.625312604791622</v>
      </c>
      <c r="R36" s="418">
        <f>(F36/Population_Tables!S10)*Population_Tables!G69</f>
        <v>7.4259083740096221</v>
      </c>
      <c r="S36" s="418">
        <f>(G36/Population_Tables!T10)*Population_Tables!H69</f>
        <v>7.4846679794298261</v>
      </c>
      <c r="T36" s="418">
        <f>(H36/Population_Tables!U10)*Population_Tables!I69</f>
        <v>0</v>
      </c>
      <c r="U36" s="418">
        <f>(I36/Population_Tables!V10)*Population_Tables!J69</f>
        <v>0</v>
      </c>
      <c r="V36" s="418">
        <f>(J36/Population_Tables!W10)*Population_Tables!K69</f>
        <v>0</v>
      </c>
      <c r="W36" s="418">
        <f>(K36/Population_Tables!X10)*Population_Tables!L69</f>
        <v>0</v>
      </c>
      <c r="Y36" s="456">
        <v>2021</v>
      </c>
      <c r="Z36" s="459">
        <f>((B36/Population_Tables!O10)*Population_Tables!C10)-N36</f>
        <v>469.67595489488639</v>
      </c>
      <c r="AA36" s="459">
        <f>((C36/Population_Tables!P10)*Population_Tables!D10)-O36</f>
        <v>289.51770016432852</v>
      </c>
      <c r="AB36" s="459">
        <f>((D36/Population_Tables!Q10)*Population_Tables!E10)-P36</f>
        <v>29.427156775493245</v>
      </c>
      <c r="AC36" s="459">
        <f>((E36/Population_Tables!R10)*Population_Tables!F10)-Q36</f>
        <v>175.07643671780119</v>
      </c>
      <c r="AD36" s="459">
        <f>((F36/Population_Tables!S10)*Population_Tables!G10)-R36</f>
        <v>5.2658691939201363</v>
      </c>
      <c r="AE36" s="459">
        <f>((G36/Population_Tables!T10)*Population_Tables!H10)-S36</f>
        <v>20.194125874314107</v>
      </c>
      <c r="AF36" s="459">
        <f>(H36/Population_Tables!U10)*Population_Tables!I10</f>
        <v>164.23977392256455</v>
      </c>
      <c r="AG36" s="459">
        <f>(I36/Population_Tables!V10)*Population_Tables!J10</f>
        <v>15.577716942528504</v>
      </c>
      <c r="AH36" s="459">
        <f>(J36/Population_Tables!W10)*Population_Tables!K10</f>
        <v>95.827914825231005</v>
      </c>
      <c r="AI36" s="459">
        <f>(K36/Population_Tables!X10)*Population_Tables!L10</f>
        <v>71.032260467429495</v>
      </c>
      <c r="AK36" s="456">
        <v>2021</v>
      </c>
      <c r="AL36" s="459">
        <f t="shared" si="6"/>
        <v>496.21184385311744</v>
      </c>
      <c r="AM36" s="459">
        <f t="shared" si="3"/>
        <v>289.51770016432852</v>
      </c>
      <c r="AN36" s="459">
        <f t="shared" si="3"/>
        <v>29.427156775493245</v>
      </c>
      <c r="AO36" s="459">
        <f t="shared" si="3"/>
        <v>186.7017493225928</v>
      </c>
      <c r="AP36" s="459">
        <f t="shared" si="3"/>
        <v>12.691777567929758</v>
      </c>
      <c r="AQ36" s="459">
        <f t="shared" si="3"/>
        <v>27.678793853743933</v>
      </c>
      <c r="AR36" s="459">
        <f t="shared" si="3"/>
        <v>164.23977392256455</v>
      </c>
      <c r="AS36" s="459">
        <f t="shared" si="3"/>
        <v>15.577716942528504</v>
      </c>
      <c r="AT36" s="459">
        <f t="shared" si="3"/>
        <v>95.827914825231005</v>
      </c>
      <c r="AU36" s="459">
        <f t="shared" si="3"/>
        <v>71.032260467429495</v>
      </c>
      <c r="AW36" s="216">
        <f>(B36/Population_Tables!O10)*Population_Tables!C10</f>
        <v>496.21184385311744</v>
      </c>
      <c r="AX36" s="153" t="str">
        <f t="shared" si="7"/>
        <v>OK</v>
      </c>
      <c r="AY36" s="421">
        <f t="shared" si="4"/>
        <v>546.01717768408832</v>
      </c>
      <c r="AZ36" s="153" t="str">
        <f t="shared" si="5"/>
        <v>OK</v>
      </c>
      <c r="BB36" s="216">
        <f>(C36/Population_Tables!P10)*Population_Tables!D10</f>
        <v>289.51770016432852</v>
      </c>
      <c r="BC36" s="216">
        <f>(D36/Population_Tables!Q10)*Population_Tables!E10</f>
        <v>29.427156775493245</v>
      </c>
      <c r="BD36" s="216">
        <f>(E36/Population_Tables!R10)*Population_Tables!F10</f>
        <v>186.7017493225928</v>
      </c>
      <c r="BE36" s="216">
        <f>(F36/Population_Tables!S10)*Population_Tables!G10</f>
        <v>12.691777567929758</v>
      </c>
      <c r="BF36" s="216">
        <f>(G36/Population_Tables!T10)*Population_Tables!H10</f>
        <v>27.678793853743933</v>
      </c>
      <c r="BG36" s="216"/>
      <c r="BN36" s="216"/>
      <c r="BO36" s="216"/>
      <c r="BP36" s="216"/>
    </row>
    <row r="37" spans="1:68" ht="15.6" x14ac:dyDescent="0.3">
      <c r="A37" s="206">
        <v>2022</v>
      </c>
      <c r="B37" s="229">
        <v>505.98440022108753</v>
      </c>
      <c r="C37" s="229">
        <v>296.41293153256265</v>
      </c>
      <c r="D37" s="229">
        <v>30.220434183653975</v>
      </c>
      <c r="E37" s="229">
        <v>193.57339559233304</v>
      </c>
      <c r="F37" s="229">
        <v>13.116657630994141</v>
      </c>
      <c r="G37" s="229">
        <v>28.327932166694161</v>
      </c>
      <c r="H37" s="229">
        <v>172.73824828571216</v>
      </c>
      <c r="I37" s="229">
        <v>16.467871915855191</v>
      </c>
      <c r="J37" s="229">
        <v>96.091346174853882</v>
      </c>
      <c r="K37" s="229">
        <v>70.481966670526774</v>
      </c>
      <c r="M37" s="206">
        <v>2022</v>
      </c>
      <c r="N37" s="419">
        <f t="shared" si="2"/>
        <v>26.294622145183649</v>
      </c>
      <c r="O37" s="418">
        <f>(C37/Population_Tables!P11)*Population_Tables!D70</f>
        <v>0</v>
      </c>
      <c r="P37" s="418">
        <f>(D37/Population_Tables!Q11)*Population_Tables!E70</f>
        <v>0</v>
      </c>
      <c r="Q37" s="418">
        <f>((E37-H37)/Population_Tables!R11)*Population_Tables!F70</f>
        <v>10.865252035242419</v>
      </c>
      <c r="R37" s="418">
        <f>(F37/Population_Tables!S11)*Population_Tables!G70</f>
        <v>7.7175792205659057</v>
      </c>
      <c r="S37" s="418">
        <f>(G37/Population_Tables!T11)*Population_Tables!H70</f>
        <v>7.7117908893753251</v>
      </c>
      <c r="T37" s="418">
        <f>(H37/Population_Tables!U11)*Population_Tables!I70</f>
        <v>0</v>
      </c>
      <c r="U37" s="418">
        <f>(I37/Population_Tables!V11)*Population_Tables!J70</f>
        <v>0</v>
      </c>
      <c r="V37" s="418">
        <f>(J37/Population_Tables!W11)*Population_Tables!K70</f>
        <v>0</v>
      </c>
      <c r="W37" s="418">
        <f>(K37/Population_Tables!X11)*Population_Tables!L70</f>
        <v>0</v>
      </c>
      <c r="Y37" s="456">
        <v>2022</v>
      </c>
      <c r="Z37" s="459">
        <f>((B37/Population_Tables!O11)*Population_Tables!C11)-N37</f>
        <v>481.12105537902568</v>
      </c>
      <c r="AA37" s="459">
        <f>((C37/Population_Tables!P11)*Population_Tables!D11)-O37</f>
        <v>297.11277605328786</v>
      </c>
      <c r="AB37" s="459">
        <f>((D37/Population_Tables!Q11)*Population_Tables!E11)-P37</f>
        <v>30.29824758377973</v>
      </c>
      <c r="AC37" s="459">
        <f>((E37/Population_Tables!R11)*Population_Tables!F11)-Q37</f>
        <v>183.24490395562566</v>
      </c>
      <c r="AD37" s="459">
        <f>((F37/Population_Tables!S11)*Population_Tables!G11)-R37</f>
        <v>5.4369582443631312</v>
      </c>
      <c r="AE37" s="459">
        <f>((G37/Population_Tables!T11)*Population_Tables!H11)-S37</f>
        <v>20.725105920701687</v>
      </c>
      <c r="AF37" s="459">
        <f>(H37/Population_Tables!U11)*Population_Tables!I11</f>
        <v>173.14251194703451</v>
      </c>
      <c r="AG37" s="459">
        <f>(I37/Population_Tables!V11)*Population_Tables!J11</f>
        <v>16.513395655374776</v>
      </c>
      <c r="AH37" s="459">
        <f>(J37/Population_Tables!W11)*Population_Tables!K11</f>
        <v>96.313606598833957</v>
      </c>
      <c r="AI37" s="459">
        <f>(K37/Population_Tables!X11)*Population_Tables!L11</f>
        <v>70.654307469868158</v>
      </c>
      <c r="AK37" s="456">
        <v>2022</v>
      </c>
      <c r="AL37" s="459">
        <f t="shared" si="6"/>
        <v>507.41567752420934</v>
      </c>
      <c r="AM37" s="459">
        <f t="shared" si="3"/>
        <v>297.11277605328786</v>
      </c>
      <c r="AN37" s="459">
        <f t="shared" si="3"/>
        <v>30.29824758377973</v>
      </c>
      <c r="AO37" s="459">
        <f t="shared" si="3"/>
        <v>194.11015599086807</v>
      </c>
      <c r="AP37" s="459">
        <f t="shared" si="3"/>
        <v>13.154537464929037</v>
      </c>
      <c r="AQ37" s="459">
        <f t="shared" si="3"/>
        <v>28.436896810077013</v>
      </c>
      <c r="AR37" s="459">
        <f t="shared" si="3"/>
        <v>173.14251194703451</v>
      </c>
      <c r="AS37" s="459">
        <f t="shared" si="3"/>
        <v>16.513395655374776</v>
      </c>
      <c r="AT37" s="459">
        <f t="shared" si="3"/>
        <v>96.313606598833957</v>
      </c>
      <c r="AU37" s="459">
        <f t="shared" si="3"/>
        <v>70.654307469868158</v>
      </c>
      <c r="AW37" s="216">
        <f>(B37/Population_Tables!O11)*Population_Tables!C11</f>
        <v>507.41567752420934</v>
      </c>
      <c r="AX37" s="153" t="str">
        <f t="shared" si="7"/>
        <v>OK</v>
      </c>
      <c r="AY37" s="421">
        <f t="shared" si="4"/>
        <v>563.11261390294169</v>
      </c>
      <c r="AZ37" s="153" t="str">
        <f t="shared" si="5"/>
        <v>OK</v>
      </c>
      <c r="BB37" s="216">
        <f>(C37/Population_Tables!P11)*Population_Tables!D11</f>
        <v>297.11277605328786</v>
      </c>
      <c r="BC37" s="216">
        <f>(D37/Population_Tables!Q11)*Population_Tables!E11</f>
        <v>30.29824758377973</v>
      </c>
      <c r="BD37" s="216">
        <f>(E37/Population_Tables!R11)*Population_Tables!F11</f>
        <v>194.11015599086807</v>
      </c>
      <c r="BE37" s="216">
        <f>(F37/Population_Tables!S11)*Population_Tables!G11</f>
        <v>13.154537464929037</v>
      </c>
      <c r="BF37" s="216">
        <f>(G37/Population_Tables!T11)*Population_Tables!H11</f>
        <v>28.436896810077013</v>
      </c>
      <c r="BG37" s="216"/>
      <c r="BN37" s="216"/>
      <c r="BO37" s="216"/>
      <c r="BP37" s="216"/>
    </row>
    <row r="38" spans="1:68" ht="15.6" x14ac:dyDescent="0.3">
      <c r="A38" s="206">
        <v>2023</v>
      </c>
      <c r="B38" s="229">
        <v>516.73004563557674</v>
      </c>
      <c r="C38" s="229">
        <v>303.7532175938303</v>
      </c>
      <c r="D38" s="229">
        <v>31.031951650579185</v>
      </c>
      <c r="E38" s="229">
        <v>200.73595129239311</v>
      </c>
      <c r="F38" s="229">
        <v>13.567073512363159</v>
      </c>
      <c r="G38" s="229">
        <v>29.044207604847184</v>
      </c>
      <c r="H38" s="229">
        <v>181.47508314565283</v>
      </c>
      <c r="I38" s="229">
        <v>17.422039015926618</v>
      </c>
      <c r="J38" s="229">
        <v>96.441412986493404</v>
      </c>
      <c r="K38" s="229">
        <v>70.01985775610855</v>
      </c>
      <c r="M38" s="206">
        <v>2023</v>
      </c>
      <c r="N38" s="419">
        <f t="shared" si="2"/>
        <v>26.067659977613857</v>
      </c>
      <c r="O38" s="418">
        <f>(C38/Population_Tables!P12)*Population_Tables!D71</f>
        <v>0</v>
      </c>
      <c r="P38" s="418">
        <f>(D38/Population_Tables!Q12)*Population_Tables!E71</f>
        <v>0</v>
      </c>
      <c r="Q38" s="418">
        <f>((E38-H38)/Population_Tables!R12)*Population_Tables!F71</f>
        <v>10.102516814555402</v>
      </c>
      <c r="R38" s="418">
        <f>(F38/Population_Tables!S12)*Population_Tables!G71</f>
        <v>8.0188632507700444</v>
      </c>
      <c r="S38" s="418">
        <f>(G38/Population_Tables!T12)*Population_Tables!H71</f>
        <v>7.9462799122884116</v>
      </c>
      <c r="T38" s="418">
        <f>(H38/Population_Tables!U12)*Population_Tables!I71</f>
        <v>0</v>
      </c>
      <c r="U38" s="418">
        <f>(I38/Population_Tables!V12)*Population_Tables!J71</f>
        <v>0</v>
      </c>
      <c r="V38" s="418">
        <f>(J38/Population_Tables!W12)*Population_Tables!K71</f>
        <v>0</v>
      </c>
      <c r="W38" s="418">
        <f>(K38/Population_Tables!X12)*Population_Tables!L71</f>
        <v>0</v>
      </c>
      <c r="Y38" s="456">
        <v>2023</v>
      </c>
      <c r="Z38" s="459">
        <f>((B38/Population_Tables!O12)*Population_Tables!C12)-N38</f>
        <v>493.06034720020205</v>
      </c>
      <c r="AA38" s="459">
        <f>((C38/Population_Tables!P12)*Population_Tables!D12)-O38</f>
        <v>304.94479038530574</v>
      </c>
      <c r="AB38" s="459">
        <f>((D38/Population_Tables!Q12)*Population_Tables!E12)-P38</f>
        <v>31.160526574658867</v>
      </c>
      <c r="AC38" s="459">
        <f>((E38/Population_Tables!R12)*Population_Tables!F12)-Q38</f>
        <v>191.56805975270433</v>
      </c>
      <c r="AD38" s="459">
        <f>((F38/Population_Tables!S12)*Population_Tables!G12)-R38</f>
        <v>5.6108596229271051</v>
      </c>
      <c r="AE38" s="459">
        <f>((G38/Population_Tables!T12)*Population_Tables!H12)-S38</f>
        <v>21.269481843074093</v>
      </c>
      <c r="AF38" s="459">
        <f>(H38/Population_Tables!U12)*Population_Tables!I12</f>
        <v>182.17029792089448</v>
      </c>
      <c r="AG38" s="459">
        <f>(I38/Population_Tables!V12)*Population_Tables!J12</f>
        <v>17.504421600834618</v>
      </c>
      <c r="AH38" s="459">
        <f>(J38/Population_Tables!W12)*Population_Tables!K12</f>
        <v>96.807542941691992</v>
      </c>
      <c r="AI38" s="459">
        <f>(K38/Population_Tables!X12)*Population_Tables!L12</f>
        <v>70.307422958794206</v>
      </c>
      <c r="AK38" s="456">
        <v>2023</v>
      </c>
      <c r="AL38" s="459">
        <f t="shared" si="6"/>
        <v>519.1280071778159</v>
      </c>
      <c r="AM38" s="459">
        <f t="shared" si="3"/>
        <v>304.94479038530574</v>
      </c>
      <c r="AN38" s="459">
        <f t="shared" si="3"/>
        <v>31.160526574658867</v>
      </c>
      <c r="AO38" s="459">
        <f t="shared" si="3"/>
        <v>201.67057656725973</v>
      </c>
      <c r="AP38" s="459">
        <f t="shared" si="3"/>
        <v>13.629722873697149</v>
      </c>
      <c r="AQ38" s="459">
        <f t="shared" si="3"/>
        <v>29.215761755362504</v>
      </c>
      <c r="AR38" s="459">
        <f t="shared" si="3"/>
        <v>182.17029792089448</v>
      </c>
      <c r="AS38" s="459">
        <f t="shared" si="3"/>
        <v>17.504421600834618</v>
      </c>
      <c r="AT38" s="459">
        <f t="shared" si="3"/>
        <v>96.807542941691992</v>
      </c>
      <c r="AU38" s="459">
        <f t="shared" si="3"/>
        <v>70.307422958794206</v>
      </c>
      <c r="AW38" s="216">
        <f>(B38/Population_Tables!O12)*Population_Tables!C12</f>
        <v>519.1280071778159</v>
      </c>
      <c r="AX38" s="153" t="str">
        <f t="shared" si="7"/>
        <v>OK</v>
      </c>
      <c r="AY38" s="421">
        <f t="shared" si="4"/>
        <v>580.62137815628387</v>
      </c>
      <c r="AZ38" s="153" t="str">
        <f t="shared" si="5"/>
        <v>OK</v>
      </c>
      <c r="BB38" s="216">
        <f>(C38/Population_Tables!P12)*Population_Tables!D12</f>
        <v>304.94479038530574</v>
      </c>
      <c r="BC38" s="216">
        <f>(D38/Population_Tables!Q12)*Population_Tables!E12</f>
        <v>31.160526574658867</v>
      </c>
      <c r="BD38" s="216">
        <f>(E38/Population_Tables!R12)*Population_Tables!F12</f>
        <v>201.67057656725973</v>
      </c>
      <c r="BE38" s="216">
        <f>(F38/Population_Tables!S12)*Population_Tables!G12</f>
        <v>13.629722873697149</v>
      </c>
      <c r="BF38" s="216">
        <f>(G38/Population_Tables!T12)*Population_Tables!H12</f>
        <v>29.215761755362504</v>
      </c>
      <c r="BG38" s="216"/>
      <c r="BN38" s="216"/>
      <c r="BO38" s="216"/>
      <c r="BP38" s="216"/>
    </row>
    <row r="39" spans="1:68" ht="15.6" x14ac:dyDescent="0.3">
      <c r="A39" s="206">
        <v>2024</v>
      </c>
      <c r="B39" s="229">
        <v>527.81978390585846</v>
      </c>
      <c r="C39" s="229">
        <v>311.24170921957841</v>
      </c>
      <c r="D39" s="229">
        <v>31.828865084262066</v>
      </c>
      <c r="E39" s="229">
        <v>207.97322070438975</v>
      </c>
      <c r="F39" s="229">
        <v>14.026258750235577</v>
      </c>
      <c r="G39" s="229">
        <v>29.775687645941247</v>
      </c>
      <c r="H39" s="229">
        <v>190.2823336306991</v>
      </c>
      <c r="I39" s="229">
        <v>18.428485499133231</v>
      </c>
      <c r="J39" s="229">
        <v>96.780043406556445</v>
      </c>
      <c r="K39" s="229">
        <v>69.570969085620447</v>
      </c>
      <c r="M39" s="206">
        <v>2024</v>
      </c>
      <c r="N39" s="419">
        <f t="shared" si="2"/>
        <v>25.85536225089534</v>
      </c>
      <c r="O39" s="418">
        <f>(C39/Population_Tables!P13)*Population_Tables!D72</f>
        <v>0</v>
      </c>
      <c r="P39" s="418">
        <f>(D39/Population_Tables!Q13)*Population_Tables!E72</f>
        <v>0</v>
      </c>
      <c r="Q39" s="418">
        <f>((E39-H39)/Population_Tables!R13)*Population_Tables!F72</f>
        <v>9.3362050822484495</v>
      </c>
      <c r="R39" s="418">
        <f>(F39/Population_Tables!S13)*Population_Tables!G72</f>
        <v>8.3299911023269555</v>
      </c>
      <c r="S39" s="418">
        <f>(G39/Population_Tables!T13)*Population_Tables!H72</f>
        <v>8.1891660663199328</v>
      </c>
      <c r="T39" s="418">
        <f>(H39/Population_Tables!U13)*Population_Tables!I72</f>
        <v>0</v>
      </c>
      <c r="U39" s="418">
        <f>(I39/Population_Tables!V13)*Population_Tables!J72</f>
        <v>0</v>
      </c>
      <c r="V39" s="418">
        <f>(J39/Population_Tables!W13)*Population_Tables!K72</f>
        <v>0</v>
      </c>
      <c r="W39" s="418">
        <f>(K39/Population_Tables!X13)*Population_Tables!L72</f>
        <v>0</v>
      </c>
      <c r="Y39" s="456">
        <v>2024</v>
      </c>
      <c r="Z39" s="459">
        <f>((B39/Population_Tables!O13)*Population_Tables!C13)-N39</f>
        <v>505.48660765572487</v>
      </c>
      <c r="AA39" s="459">
        <f>((C39/Population_Tables!P13)*Population_Tables!D13)-O39</f>
        <v>313.01060176723291</v>
      </c>
      <c r="AB39" s="459">
        <f>((D39/Population_Tables!Q13)*Population_Tables!E13)-P39</f>
        <v>32.015642087104226</v>
      </c>
      <c r="AC39" s="459">
        <f>((E39/Population_Tables!R13)*Population_Tables!F13)-Q39</f>
        <v>200.04782622045735</v>
      </c>
      <c r="AD39" s="459">
        <f>((F39/Population_Tables!S13)*Population_Tables!G13)-R39</f>
        <v>5.7879240046366203</v>
      </c>
      <c r="AE39" s="459">
        <f>((G39/Population_Tables!T13)*Population_Tables!H13)-S39</f>
        <v>21.830391215810025</v>
      </c>
      <c r="AF39" s="459">
        <f>(H39/Population_Tables!U13)*Population_Tables!I13</f>
        <v>191.32656253219218</v>
      </c>
      <c r="AG39" s="459">
        <f>(I39/Population_Tables!V13)*Population_Tables!J13</f>
        <v>18.556758448223764</v>
      </c>
      <c r="AH39" s="459">
        <f>(J39/Population_Tables!W13)*Population_Tables!K13</f>
        <v>97.307817562131248</v>
      </c>
      <c r="AI39" s="459">
        <f>(K39/Population_Tables!X13)*Population_Tables!L13</f>
        <v>69.988010872686246</v>
      </c>
      <c r="AK39" s="456">
        <v>2024</v>
      </c>
      <c r="AL39" s="459">
        <f t="shared" si="6"/>
        <v>531.34196990662019</v>
      </c>
      <c r="AM39" s="459">
        <f t="shared" si="3"/>
        <v>313.01060176723291</v>
      </c>
      <c r="AN39" s="459">
        <f t="shared" si="3"/>
        <v>32.015642087104226</v>
      </c>
      <c r="AO39" s="459">
        <f t="shared" si="3"/>
        <v>209.38403130270581</v>
      </c>
      <c r="AP39" s="459">
        <f t="shared" si="3"/>
        <v>14.117915106963576</v>
      </c>
      <c r="AQ39" s="459">
        <f t="shared" si="3"/>
        <v>30.019557282129959</v>
      </c>
      <c r="AR39" s="459">
        <f t="shared" si="3"/>
        <v>191.32656253219218</v>
      </c>
      <c r="AS39" s="459">
        <f t="shared" si="3"/>
        <v>18.556758448223764</v>
      </c>
      <c r="AT39" s="459">
        <f t="shared" si="3"/>
        <v>97.307817562131248</v>
      </c>
      <c r="AU39" s="459">
        <f t="shared" si="3"/>
        <v>69.988010872686246</v>
      </c>
      <c r="AW39" s="216">
        <f>(B39/Population_Tables!O13)*Population_Tables!C13</f>
        <v>531.34196990662019</v>
      </c>
      <c r="AX39" s="153" t="str">
        <f t="shared" si="7"/>
        <v>OK</v>
      </c>
      <c r="AY39" s="421">
        <f t="shared" si="4"/>
        <v>598.54774754613652</v>
      </c>
      <c r="AZ39" s="153" t="str">
        <f t="shared" si="5"/>
        <v>OK</v>
      </c>
      <c r="BB39" s="216">
        <f>(C39/Population_Tables!P13)*Population_Tables!D13</f>
        <v>313.01060176723291</v>
      </c>
      <c r="BC39" s="216">
        <f>(D39/Population_Tables!Q13)*Population_Tables!E13</f>
        <v>32.015642087104226</v>
      </c>
      <c r="BD39" s="216">
        <f>(E39/Population_Tables!R13)*Population_Tables!F13</f>
        <v>209.38403130270581</v>
      </c>
      <c r="BE39" s="216">
        <f>(F39/Population_Tables!S13)*Population_Tables!G13</f>
        <v>14.117915106963576</v>
      </c>
      <c r="BF39" s="216">
        <f>(G39/Population_Tables!T13)*Population_Tables!H13</f>
        <v>30.019557282129959</v>
      </c>
      <c r="BG39" s="216"/>
      <c r="BN39" s="216"/>
      <c r="BO39" s="216"/>
      <c r="BP39" s="216"/>
    </row>
    <row r="40" spans="1:68" ht="15.6" x14ac:dyDescent="0.3">
      <c r="A40" s="206">
        <v>2025</v>
      </c>
      <c r="B40" s="229">
        <v>539.25131960385215</v>
      </c>
      <c r="C40" s="229">
        <v>318.88154228396593</v>
      </c>
      <c r="D40" s="229">
        <v>32.613200321629513</v>
      </c>
      <c r="E40" s="229">
        <v>215.29165662291507</v>
      </c>
      <c r="F40" s="229">
        <v>14.49444045613588</v>
      </c>
      <c r="G40" s="229">
        <v>30.522758313437961</v>
      </c>
      <c r="H40" s="229">
        <v>199.16421994173476</v>
      </c>
      <c r="I40" s="229">
        <v>19.493379374188795</v>
      </c>
      <c r="J40" s="229">
        <v>97.108205465989656</v>
      </c>
      <c r="K40" s="229">
        <v>69.13530065906248</v>
      </c>
      <c r="M40" s="206">
        <v>2025</v>
      </c>
      <c r="N40" s="419">
        <f t="shared" si="2"/>
        <v>25.658537151248559</v>
      </c>
      <c r="O40" s="418">
        <f>(C40/Population_Tables!P14)*Population_Tables!D73</f>
        <v>0</v>
      </c>
      <c r="P40" s="418">
        <f>(D40/Population_Tables!Q14)*Population_Tables!E73</f>
        <v>0</v>
      </c>
      <c r="Q40" s="418">
        <f>((E40-H40)/Population_Tables!R14)*Population_Tables!F73</f>
        <v>8.5659528031782468</v>
      </c>
      <c r="R40" s="418">
        <f>(F40/Population_Tables!S14)*Population_Tables!G73</f>
        <v>8.6512237406296091</v>
      </c>
      <c r="S40" s="418">
        <f>(G40/Population_Tables!T14)*Population_Tables!H73</f>
        <v>8.4413606074407035</v>
      </c>
      <c r="T40" s="418">
        <f>(H40/Population_Tables!U14)*Population_Tables!I73</f>
        <v>0</v>
      </c>
      <c r="U40" s="418">
        <f>(I40/Population_Tables!V14)*Population_Tables!J73</f>
        <v>0</v>
      </c>
      <c r="V40" s="418">
        <f>(J40/Population_Tables!W14)*Population_Tables!K73</f>
        <v>0</v>
      </c>
      <c r="W40" s="418">
        <f>(K40/Population_Tables!X14)*Population_Tables!L73</f>
        <v>0</v>
      </c>
      <c r="Y40" s="456">
        <v>2025</v>
      </c>
      <c r="Z40" s="459">
        <f>((B40/Population_Tables!O14)*Population_Tables!C14)-N40</f>
        <v>518.39478216688815</v>
      </c>
      <c r="AA40" s="459">
        <f>((C40/Population_Tables!P14)*Population_Tables!D14)-O40</f>
        <v>321.30897748195645</v>
      </c>
      <c r="AB40" s="459">
        <f>((D40/Population_Tables!Q14)*Population_Tables!E14)-P40</f>
        <v>32.865397222862313</v>
      </c>
      <c r="AC40" s="459">
        <f>((E40/Population_Tables!R14)*Population_Tables!F14)-Q40</f>
        <v>208.6872570329966</v>
      </c>
      <c r="AD40" s="459">
        <f>((F40/Population_Tables!S14)*Population_Tables!G14)-R40</f>
        <v>5.9684581025155801</v>
      </c>
      <c r="AE40" s="459">
        <f>((G40/Population_Tables!T14)*Population_Tables!H14)-S40</f>
        <v>22.410342202198827</v>
      </c>
      <c r="AF40" s="459">
        <f>(H40/Population_Tables!U14)*Population_Tables!I14</f>
        <v>200.61533910553331</v>
      </c>
      <c r="AG40" s="459">
        <f>(I40/Population_Tables!V14)*Population_Tables!J14</f>
        <v>19.676609232020418</v>
      </c>
      <c r="AH40" s="459">
        <f>(J40/Population_Tables!W14)*Population_Tables!K14</f>
        <v>97.813165249336791</v>
      </c>
      <c r="AI40" s="459">
        <f>(K40/Population_Tables!X14)*Population_Tables!L14</f>
        <v>69.693377825711821</v>
      </c>
      <c r="AK40" s="456">
        <v>2025</v>
      </c>
      <c r="AL40" s="459">
        <f t="shared" si="6"/>
        <v>544.05331931813669</v>
      </c>
      <c r="AM40" s="459">
        <f t="shared" si="3"/>
        <v>321.30897748195645</v>
      </c>
      <c r="AN40" s="459">
        <f t="shared" si="3"/>
        <v>32.865397222862313</v>
      </c>
      <c r="AO40" s="459">
        <f t="shared" si="3"/>
        <v>217.25320983617485</v>
      </c>
      <c r="AP40" s="459">
        <f t="shared" si="3"/>
        <v>14.619681843145189</v>
      </c>
      <c r="AQ40" s="459">
        <f t="shared" si="3"/>
        <v>30.85170280963953</v>
      </c>
      <c r="AR40" s="459">
        <f t="shared" si="3"/>
        <v>200.61533910553331</v>
      </c>
      <c r="AS40" s="459">
        <f t="shared" si="3"/>
        <v>19.676609232020418</v>
      </c>
      <c r="AT40" s="459">
        <f t="shared" si="3"/>
        <v>97.813165249336791</v>
      </c>
      <c r="AU40" s="459">
        <f t="shared" si="3"/>
        <v>69.693377825711821</v>
      </c>
      <c r="AW40" s="216">
        <f>(B40/Population_Tables!O14)*Population_Tables!C14</f>
        <v>544.05331931813669</v>
      </c>
      <c r="AX40" s="153" t="str">
        <f t="shared" si="7"/>
        <v>OK</v>
      </c>
      <c r="AY40" s="421">
        <f t="shared" si="4"/>
        <v>616.89896919377827</v>
      </c>
      <c r="AZ40" s="153" t="str">
        <f t="shared" si="5"/>
        <v>OK</v>
      </c>
      <c r="BB40" s="216">
        <f>(C40/Population_Tables!P14)*Population_Tables!D14</f>
        <v>321.30897748195645</v>
      </c>
      <c r="BC40" s="216">
        <f>(D40/Population_Tables!Q14)*Population_Tables!E14</f>
        <v>32.865397222862313</v>
      </c>
      <c r="BD40" s="216">
        <f>(E40/Population_Tables!R14)*Population_Tables!F14</f>
        <v>217.25320983617485</v>
      </c>
      <c r="BE40" s="216">
        <f>(F40/Population_Tables!S14)*Population_Tables!G14</f>
        <v>14.619681843145189</v>
      </c>
      <c r="BF40" s="216">
        <f>(G40/Population_Tables!T14)*Population_Tables!H14</f>
        <v>30.85170280963953</v>
      </c>
      <c r="BG40" s="216"/>
      <c r="BN40" s="216"/>
      <c r="BO40" s="216"/>
      <c r="BP40" s="216"/>
    </row>
    <row r="41" spans="1:68" ht="15.6" x14ac:dyDescent="0.3">
      <c r="A41" s="206">
        <v>2026</v>
      </c>
      <c r="B41" s="229">
        <v>551.02235730147686</v>
      </c>
      <c r="C41" s="229">
        <v>326.67585266115179</v>
      </c>
      <c r="D41" s="229">
        <v>33.386983199608423</v>
      </c>
      <c r="E41" s="229">
        <v>222.6977118425612</v>
      </c>
      <c r="F41" s="229">
        <v>14.971845741588552</v>
      </c>
      <c r="G41" s="229">
        <v>31.285805630798933</v>
      </c>
      <c r="H41" s="229">
        <v>208.12496227964354</v>
      </c>
      <c r="I41" s="229">
        <v>20.622888649807081</v>
      </c>
      <c r="J41" s="229">
        <v>97.426867195739689</v>
      </c>
      <c r="K41" s="229">
        <v>68.712852476434648</v>
      </c>
      <c r="M41" s="206">
        <v>2026</v>
      </c>
      <c r="N41" s="419">
        <f t="shared" si="2"/>
        <v>25.477827519386956</v>
      </c>
      <c r="O41" s="418">
        <f>(C41/Population_Tables!P15)*Population_Tables!D74</f>
        <v>0</v>
      </c>
      <c r="P41" s="418">
        <f>(D41/Population_Tables!Q15)*Population_Tables!E74</f>
        <v>0</v>
      </c>
      <c r="Q41" s="418">
        <f>((E41-H41)/Population_Tables!R15)*Population_Tables!F74</f>
        <v>7.7918310333200216</v>
      </c>
      <c r="R41" s="418">
        <f>(F41/Population_Tables!S15)*Population_Tables!G74</f>
        <v>8.9827810719619059</v>
      </c>
      <c r="S41" s="418">
        <f>(G41/Population_Tables!T15)*Population_Tables!H74</f>
        <v>8.7032154141050295</v>
      </c>
      <c r="T41" s="418">
        <f>(H41/Population_Tables!U15)*Population_Tables!I74</f>
        <v>0</v>
      </c>
      <c r="U41" s="418">
        <f>(I41/Population_Tables!V15)*Population_Tables!J74</f>
        <v>0</v>
      </c>
      <c r="V41" s="418">
        <f>(J41/Population_Tables!W15)*Population_Tables!K74</f>
        <v>0</v>
      </c>
      <c r="W41" s="418">
        <f>(K41/Population_Tables!X15)*Population_Tables!L74</f>
        <v>0</v>
      </c>
      <c r="Y41" s="456">
        <v>2026</v>
      </c>
      <c r="Z41" s="459">
        <f>((B41/Population_Tables!O15)*Population_Tables!C15)-N41</f>
        <v>531.77945502133673</v>
      </c>
      <c r="AA41" s="459">
        <f>((C41/Population_Tables!P15)*Population_Tables!D15)-O41</f>
        <v>329.84103979379455</v>
      </c>
      <c r="AB41" s="459">
        <f>((D41/Population_Tables!Q15)*Population_Tables!E15)-P41</f>
        <v>33.712153098272985</v>
      </c>
      <c r="AC41" s="459">
        <f>((E41/Population_Tables!R15)*Population_Tables!F15)-Q41</f>
        <v>217.49080153486463</v>
      </c>
      <c r="AD41" s="459">
        <f>((F41/Population_Tables!S15)*Population_Tables!G15)-R41</f>
        <v>6.1526716926385951</v>
      </c>
      <c r="AE41" s="459">
        <f>((G41/Population_Tables!T15)*Population_Tables!H15)-S41</f>
        <v>23.010048841402572</v>
      </c>
      <c r="AF41" s="459">
        <f>(H41/Population_Tables!U15)*Population_Tables!I15</f>
        <v>210.04166000659268</v>
      </c>
      <c r="AG41" s="459">
        <f>(I41/Population_Tables!V15)*Population_Tables!J15</f>
        <v>20.870403019634473</v>
      </c>
      <c r="AH41" s="459">
        <f>(J41/Population_Tables!W15)*Population_Tables!K15</f>
        <v>98.323028707750041</v>
      </c>
      <c r="AI41" s="459">
        <f>(K41/Population_Tables!X15)*Population_Tables!L15</f>
        <v>69.421718575473477</v>
      </c>
      <c r="AK41" s="456">
        <v>2026</v>
      </c>
      <c r="AL41" s="459">
        <f t="shared" si="6"/>
        <v>557.25728254072374</v>
      </c>
      <c r="AM41" s="459">
        <f t="shared" si="3"/>
        <v>329.84103979379455</v>
      </c>
      <c r="AN41" s="459">
        <f t="shared" si="3"/>
        <v>33.712153098272985</v>
      </c>
      <c r="AO41" s="459">
        <f t="shared" si="3"/>
        <v>225.28263256818465</v>
      </c>
      <c r="AP41" s="459">
        <f t="shared" si="3"/>
        <v>15.135452764600501</v>
      </c>
      <c r="AQ41" s="459">
        <f t="shared" si="3"/>
        <v>31.713264255507603</v>
      </c>
      <c r="AR41" s="459">
        <f t="shared" si="3"/>
        <v>210.04166000659268</v>
      </c>
      <c r="AS41" s="459">
        <f t="shared" si="3"/>
        <v>20.870403019634473</v>
      </c>
      <c r="AT41" s="459">
        <f t="shared" si="3"/>
        <v>98.323028707750041</v>
      </c>
      <c r="AU41" s="459">
        <f t="shared" si="3"/>
        <v>69.421718575473477</v>
      </c>
      <c r="AW41" s="216">
        <f>(B41/Population_Tables!O15)*Population_Tables!C15</f>
        <v>557.25728254072374</v>
      </c>
      <c r="AX41" s="153" t="str">
        <f t="shared" si="7"/>
        <v>OK</v>
      </c>
      <c r="AY41" s="421">
        <f t="shared" si="4"/>
        <v>635.68454248036028</v>
      </c>
      <c r="AZ41" s="153" t="str">
        <f t="shared" si="5"/>
        <v>OK</v>
      </c>
      <c r="BB41" s="216">
        <f>(C41/Population_Tables!P15)*Population_Tables!D15</f>
        <v>329.84103979379455</v>
      </c>
      <c r="BC41" s="216">
        <f>(D41/Population_Tables!Q15)*Population_Tables!E15</f>
        <v>33.712153098272985</v>
      </c>
      <c r="BD41" s="216">
        <f>(E41/Population_Tables!R15)*Population_Tables!F15</f>
        <v>225.28263256818465</v>
      </c>
      <c r="BE41" s="216">
        <f>(F41/Population_Tables!S15)*Population_Tables!G15</f>
        <v>15.135452764600501</v>
      </c>
      <c r="BF41" s="216">
        <f>(G41/Population_Tables!T15)*Population_Tables!H15</f>
        <v>31.713264255507603</v>
      </c>
      <c r="BG41" s="216"/>
      <c r="BN41" s="216"/>
      <c r="BO41" s="216"/>
      <c r="BP41" s="216"/>
    </row>
    <row r="42" spans="1:68" ht="15.6" x14ac:dyDescent="0.3">
      <c r="A42" s="206">
        <v>2027</v>
      </c>
      <c r="B42" s="229">
        <v>563.13060157065206</v>
      </c>
      <c r="C42" s="229">
        <v>334.62777622529495</v>
      </c>
      <c r="D42" s="229">
        <v>34.152239555125682</v>
      </c>
      <c r="E42" s="229">
        <v>230.19783915792033</v>
      </c>
      <c r="F42" s="229">
        <v>15.458701718118075</v>
      </c>
      <c r="G42" s="229">
        <v>32.06521562148577</v>
      </c>
      <c r="H42" s="229">
        <v>217.16878084530919</v>
      </c>
      <c r="I42" s="229">
        <v>21.82318133470185</v>
      </c>
      <c r="J42" s="229">
        <v>97.736996626753211</v>
      </c>
      <c r="K42" s="229">
        <v>68.303624537736937</v>
      </c>
      <c r="M42" s="206">
        <v>2027</v>
      </c>
      <c r="N42" s="419">
        <f t="shared" si="2"/>
        <v>25.313802126814814</v>
      </c>
      <c r="O42" s="418">
        <f>(C42/Population_Tables!P16)*Population_Tables!D75</f>
        <v>0</v>
      </c>
      <c r="P42" s="418">
        <f>(D42/Population_Tables!Q16)*Population_Tables!E75</f>
        <v>0</v>
      </c>
      <c r="Q42" s="418">
        <f>((E42-H42)/Population_Tables!R16)*Population_Tables!F75</f>
        <v>7.0142597927887778</v>
      </c>
      <c r="R42" s="418">
        <f>(F42/Population_Tables!S16)*Population_Tables!G75</f>
        <v>9.3248273505835346</v>
      </c>
      <c r="S42" s="418">
        <f>(G42/Population_Tables!T16)*Population_Tables!H75</f>
        <v>8.9747149834425013</v>
      </c>
      <c r="T42" s="418">
        <f>(H42/Population_Tables!U16)*Population_Tables!I75</f>
        <v>0</v>
      </c>
      <c r="U42" s="418">
        <f>(I42/Population_Tables!V16)*Population_Tables!J75</f>
        <v>0</v>
      </c>
      <c r="V42" s="418">
        <f>(J42/Population_Tables!W16)*Population_Tables!K75</f>
        <v>0</v>
      </c>
      <c r="W42" s="418">
        <f>(K42/Population_Tables!X16)*Population_Tables!L75</f>
        <v>0</v>
      </c>
      <c r="Y42" s="456">
        <v>2027</v>
      </c>
      <c r="Z42" s="459">
        <f>((B42/Population_Tables!O16)*Population_Tables!C16)-N42</f>
        <v>545.63569712574827</v>
      </c>
      <c r="AA42" s="459">
        <f>((C42/Population_Tables!P16)*Population_Tables!D16)-O42</f>
        <v>338.61034944505553</v>
      </c>
      <c r="AB42" s="459">
        <f>((D42/Population_Tables!Q16)*Population_Tables!E16)-P42</f>
        <v>34.558415348004928</v>
      </c>
      <c r="AC42" s="459">
        <f>((E42/Population_Tables!R16)*Population_Tables!F16)-Q42</f>
        <v>226.46494819785602</v>
      </c>
      <c r="AD42" s="459">
        <f>((F42/Population_Tables!S16)*Population_Tables!G16)-R42</f>
        <v>6.3406711079555489</v>
      </c>
      <c r="AE42" s="459">
        <f>((G42/Population_Tables!T16)*Population_Tables!H16)-S42</f>
        <v>23.628919020438687</v>
      </c>
      <c r="AF42" s="459">
        <f>(H42/Population_Tables!U16)*Population_Tables!I16</f>
        <v>219.61185211268713</v>
      </c>
      <c r="AG42" s="459">
        <f>(I42/Population_Tables!V16)*Population_Tables!J16</f>
        <v>22.144934808148541</v>
      </c>
      <c r="AH42" s="459">
        <f>(J42/Population_Tables!W16)*Population_Tables!K16</f>
        <v>98.837525986877267</v>
      </c>
      <c r="AI42" s="459">
        <f>(K42/Population_Tables!X16)*Population_Tables!L16</f>
        <v>69.172030207730714</v>
      </c>
      <c r="AK42" s="456">
        <v>2027</v>
      </c>
      <c r="AL42" s="459">
        <f t="shared" si="6"/>
        <v>570.9494992525631</v>
      </c>
      <c r="AM42" s="459">
        <f t="shared" si="3"/>
        <v>338.61034944505553</v>
      </c>
      <c r="AN42" s="459">
        <f t="shared" si="3"/>
        <v>34.558415348004928</v>
      </c>
      <c r="AO42" s="459">
        <f t="shared" si="3"/>
        <v>233.4792079906448</v>
      </c>
      <c r="AP42" s="459">
        <f t="shared" si="3"/>
        <v>15.665498458539084</v>
      </c>
      <c r="AQ42" s="459">
        <f t="shared" si="3"/>
        <v>32.60363400388119</v>
      </c>
      <c r="AR42" s="459">
        <f t="shared" si="3"/>
        <v>219.61185211268713</v>
      </c>
      <c r="AS42" s="459">
        <f t="shared" si="3"/>
        <v>22.144934808148541</v>
      </c>
      <c r="AT42" s="459">
        <f t="shared" si="3"/>
        <v>98.837525986877267</v>
      </c>
      <c r="AU42" s="459">
        <f t="shared" si="3"/>
        <v>69.172030207730714</v>
      </c>
      <c r="AW42" s="216">
        <f>(B42/Population_Tables!O16)*Population_Tables!C16</f>
        <v>570.9494992525631</v>
      </c>
      <c r="AX42" s="153" t="str">
        <f t="shared" si="7"/>
        <v>OK</v>
      </c>
      <c r="AY42" s="421">
        <f t="shared" si="4"/>
        <v>654.91710524612552</v>
      </c>
      <c r="AZ42" s="153" t="str">
        <f t="shared" si="5"/>
        <v>OK</v>
      </c>
      <c r="BB42" s="216">
        <f>(C42/Population_Tables!P16)*Population_Tables!D16</f>
        <v>338.61034944505553</v>
      </c>
      <c r="BC42" s="216">
        <f>(D42/Population_Tables!Q16)*Population_Tables!E16</f>
        <v>34.558415348004928</v>
      </c>
      <c r="BD42" s="216">
        <f>(E42/Population_Tables!R16)*Population_Tables!F16</f>
        <v>233.4792079906448</v>
      </c>
      <c r="BE42" s="216">
        <f>(F42/Population_Tables!S16)*Population_Tables!G16</f>
        <v>15.665498458539084</v>
      </c>
      <c r="BF42" s="216">
        <f>(G42/Population_Tables!T16)*Population_Tables!H16</f>
        <v>32.60363400388119</v>
      </c>
      <c r="BG42" s="216"/>
      <c r="BN42" s="216"/>
      <c r="BO42" s="216"/>
      <c r="BP42" s="216"/>
    </row>
    <row r="43" spans="1:68" ht="15.6" x14ac:dyDescent="0.3">
      <c r="A43" s="206">
        <v>2028</v>
      </c>
      <c r="B43" s="229">
        <v>575.5737569832969</v>
      </c>
      <c r="C43" s="229">
        <v>342.74044885055434</v>
      </c>
      <c r="D43" s="229">
        <v>34.910995225108181</v>
      </c>
      <c r="E43" s="229">
        <v>237.79849136358459</v>
      </c>
      <c r="F43" s="229">
        <v>15.955235497248932</v>
      </c>
      <c r="G43" s="229">
        <v>32.86137430896008</v>
      </c>
      <c r="H43" s="229">
        <v>226.29989583961549</v>
      </c>
      <c r="I43" s="229">
        <v>23.100425437586864</v>
      </c>
      <c r="J43" s="229">
        <v>98.039561789976844</v>
      </c>
      <c r="K43" s="229">
        <v>67.907616842969375</v>
      </c>
      <c r="M43" s="206">
        <v>2028</v>
      </c>
      <c r="N43" s="419">
        <f t="shared" si="2"/>
        <v>25.16765426221788</v>
      </c>
      <c r="O43" s="418">
        <f>(C43/Population_Tables!P17)*Population_Tables!D76</f>
        <v>0</v>
      </c>
      <c r="P43" s="418">
        <f>(D43/Population_Tables!Q17)*Population_Tables!E76</f>
        <v>0</v>
      </c>
      <c r="Q43" s="418">
        <f>((E43-H43)/Population_Tables!R17)*Population_Tables!F76</f>
        <v>6.2339196702759869</v>
      </c>
      <c r="R43" s="418">
        <f>(F43/Population_Tables!S17)*Population_Tables!G76</f>
        <v>9.6776005562532319</v>
      </c>
      <c r="S43" s="418">
        <f>(G43/Population_Tables!T17)*Population_Tables!H76</f>
        <v>9.2561340356886603</v>
      </c>
      <c r="T43" s="418">
        <f>(H43/Population_Tables!U17)*Population_Tables!I76</f>
        <v>0</v>
      </c>
      <c r="U43" s="418">
        <f>(I43/Population_Tables!V17)*Population_Tables!J76</f>
        <v>0</v>
      </c>
      <c r="V43" s="418">
        <f>(J43/Population_Tables!W17)*Population_Tables!K76</f>
        <v>0</v>
      </c>
      <c r="W43" s="418">
        <f>(K43/Population_Tables!X17)*Population_Tables!L76</f>
        <v>0</v>
      </c>
      <c r="Y43" s="456">
        <v>2028</v>
      </c>
      <c r="Z43" s="459">
        <f>((B43/Population_Tables!O17)*Population_Tables!C17)-N43</f>
        <v>559.96389833498597</v>
      </c>
      <c r="AA43" s="459">
        <f>((C43/Population_Tables!P17)*Population_Tables!D17)-O43</f>
        <v>347.62294292746418</v>
      </c>
      <c r="AB43" s="459">
        <f>((D43/Population_Tables!Q17)*Population_Tables!E17)-P43</f>
        <v>35.406328189971781</v>
      </c>
      <c r="AC43" s="459">
        <f>((E43/Population_Tables!R17)*Population_Tables!F17)-Q43</f>
        <v>235.61884495177696</v>
      </c>
      <c r="AD43" s="459">
        <f>((F43/Population_Tables!S17)*Population_Tables!G17)-R43</f>
        <v>6.5325602077531713</v>
      </c>
      <c r="AE43" s="459">
        <f>((G43/Population_Tables!T17)*Population_Tables!H17)-S43</f>
        <v>24.266883094515777</v>
      </c>
      <c r="AF43" s="459">
        <f>(H43/Population_Tables!U17)*Population_Tables!I17</f>
        <v>229.33362626052906</v>
      </c>
      <c r="AG43" s="459">
        <f>(I43/Population_Tables!V17)*Population_Tables!J17</f>
        <v>23.507553797114106</v>
      </c>
      <c r="AH43" s="459">
        <f>(J43/Population_Tables!W17)*Population_Tables!K17</f>
        <v>99.357440521327788</v>
      </c>
      <c r="AI43" s="459">
        <f>(K43/Population_Tables!X17)*Population_Tables!L17</f>
        <v>68.943958982262117</v>
      </c>
      <c r="AK43" s="456">
        <v>2028</v>
      </c>
      <c r="AL43" s="459">
        <f t="shared" si="6"/>
        <v>585.13155259720384</v>
      </c>
      <c r="AM43" s="459">
        <f t="shared" si="3"/>
        <v>347.62294292746418</v>
      </c>
      <c r="AN43" s="459">
        <f t="shared" si="3"/>
        <v>35.406328189971781</v>
      </c>
      <c r="AO43" s="459">
        <f t="shared" si="3"/>
        <v>241.85276462205294</v>
      </c>
      <c r="AP43" s="459">
        <f t="shared" si="3"/>
        <v>16.210160764006403</v>
      </c>
      <c r="AQ43" s="459">
        <f t="shared" si="3"/>
        <v>33.523017130204437</v>
      </c>
      <c r="AR43" s="459">
        <f t="shared" si="3"/>
        <v>229.33362626052906</v>
      </c>
      <c r="AS43" s="459">
        <f t="shared" si="3"/>
        <v>23.507553797114106</v>
      </c>
      <c r="AT43" s="459">
        <f t="shared" si="3"/>
        <v>99.357440521327788</v>
      </c>
      <c r="AU43" s="459">
        <f t="shared" si="3"/>
        <v>68.943958982262117</v>
      </c>
      <c r="AW43" s="216">
        <f>(B43/Population_Tables!O17)*Population_Tables!C17</f>
        <v>585.13155259720384</v>
      </c>
      <c r="AX43" s="153" t="str">
        <f t="shared" si="7"/>
        <v>OK</v>
      </c>
      <c r="AY43" s="421">
        <f t="shared" si="4"/>
        <v>674.6152136336998</v>
      </c>
      <c r="AZ43" s="153" t="str">
        <f t="shared" si="5"/>
        <v>OK</v>
      </c>
      <c r="BB43" s="216">
        <f>(C43/Population_Tables!P17)*Population_Tables!D17</f>
        <v>347.62294292746418</v>
      </c>
      <c r="BC43" s="216">
        <f>(D43/Population_Tables!Q17)*Population_Tables!E17</f>
        <v>35.406328189971781</v>
      </c>
      <c r="BD43" s="216">
        <f>(E43/Population_Tables!R17)*Population_Tables!F17</f>
        <v>241.85276462205294</v>
      </c>
      <c r="BE43" s="216">
        <f>(F43/Population_Tables!S17)*Population_Tables!G17</f>
        <v>16.210160764006403</v>
      </c>
      <c r="BF43" s="216">
        <f>(G43/Population_Tables!T17)*Population_Tables!H17</f>
        <v>33.523017130204437</v>
      </c>
      <c r="BG43" s="216"/>
      <c r="BN43" s="216"/>
      <c r="BO43" s="216"/>
      <c r="BP43" s="216"/>
    </row>
    <row r="44" spans="1:68" ht="15.6" x14ac:dyDescent="0.3">
      <c r="A44" s="206">
        <v>2029</v>
      </c>
      <c r="B44" s="229">
        <v>588.34952811133076</v>
      </c>
      <c r="C44" s="229">
        <v>351.01700641108903</v>
      </c>
      <c r="D44" s="229">
        <v>35.66527604648283</v>
      </c>
      <c r="E44" s="229">
        <v>245.50612125414614</v>
      </c>
      <c r="F44" s="229">
        <v>16.461674190505608</v>
      </c>
      <c r="G44" s="229">
        <v>33.67466771668348</v>
      </c>
      <c r="H44" s="229">
        <v>235.52252746344612</v>
      </c>
      <c r="I44" s="229">
        <v>24.460788967175901</v>
      </c>
      <c r="J44" s="229">
        <v>98.335530716357255</v>
      </c>
      <c r="K44" s="229">
        <v>67.524829392131934</v>
      </c>
      <c r="M44" s="206">
        <v>2029</v>
      </c>
      <c r="N44" s="419">
        <f t="shared" si="2"/>
        <v>25.040662770785886</v>
      </c>
      <c r="O44" s="418">
        <f>(C44/Population_Tables!P18)*Population_Tables!D77</f>
        <v>0</v>
      </c>
      <c r="P44" s="418">
        <f>(D44/Population_Tables!Q18)*Population_Tables!E77</f>
        <v>0</v>
      </c>
      <c r="Q44" s="418">
        <f>((E44-H44)/Population_Tables!R18)*Population_Tables!F77</f>
        <v>5.4516390252653935</v>
      </c>
      <c r="R44" s="418">
        <f>(F44/Population_Tables!S18)*Population_Tables!G77</f>
        <v>10.041334769949962</v>
      </c>
      <c r="S44" s="418">
        <f>(G44/Population_Tables!T18)*Population_Tables!H77</f>
        <v>9.5476889755705301</v>
      </c>
      <c r="T44" s="418">
        <f>(H44/Population_Tables!U18)*Population_Tables!I77</f>
        <v>0</v>
      </c>
      <c r="U44" s="418">
        <f>(I44/Population_Tables!V18)*Population_Tables!J77</f>
        <v>0</v>
      </c>
      <c r="V44" s="418">
        <f>(J44/Population_Tables!W18)*Population_Tables!K77</f>
        <v>0</v>
      </c>
      <c r="W44" s="418">
        <f>(K44/Population_Tables!X18)*Population_Tables!L77</f>
        <v>0</v>
      </c>
      <c r="Y44" s="456">
        <v>2029</v>
      </c>
      <c r="Z44" s="459">
        <f>((B44/Population_Tables!O18)*Population_Tables!C18)-N44</f>
        <v>574.76643108070891</v>
      </c>
      <c r="AA44" s="459">
        <f>((C44/Population_Tables!P18)*Population_Tables!D18)-O44</f>
        <v>356.88668528117756</v>
      </c>
      <c r="AB44" s="459">
        <f>((D44/Population_Tables!Q18)*Population_Tables!E18)-P44</f>
        <v>36.257943181359195</v>
      </c>
      <c r="AC44" s="459">
        <f>((E44/Population_Tables!R18)*Population_Tables!F18)-Q44</f>
        <v>244.96376030966383</v>
      </c>
      <c r="AD44" s="459">
        <f>((F44/Population_Tables!S18)*Population_Tables!G18)-R44</f>
        <v>6.7283991569859829</v>
      </c>
      <c r="AE44" s="459">
        <f>((G44/Population_Tables!T18)*Population_Tables!H18)-S44</f>
        <v>24.923488298799612</v>
      </c>
      <c r="AF44" s="459">
        <f>(H44/Population_Tables!U18)*Population_Tables!I18</f>
        <v>239.21596661179339</v>
      </c>
      <c r="AG44" s="459">
        <f>(I44/Population_Tables!V18)*Population_Tables!J18</f>
        <v>24.966070519545319</v>
      </c>
      <c r="AH44" s="459">
        <f>(J44/Population_Tables!W18)*Population_Tables!K18</f>
        <v>99.883951668850713</v>
      </c>
      <c r="AI44" s="459">
        <f>(K44/Population_Tables!X18)*Population_Tables!L18</f>
        <v>68.737607957188402</v>
      </c>
      <c r="AK44" s="456">
        <v>2029</v>
      </c>
      <c r="AL44" s="459">
        <f t="shared" si="6"/>
        <v>599.80709385149476</v>
      </c>
      <c r="AM44" s="459">
        <f t="shared" si="3"/>
        <v>356.88668528117756</v>
      </c>
      <c r="AN44" s="459">
        <f t="shared" si="3"/>
        <v>36.257943181359195</v>
      </c>
      <c r="AO44" s="459">
        <f t="shared" si="3"/>
        <v>250.41539933492922</v>
      </c>
      <c r="AP44" s="459">
        <f t="shared" si="3"/>
        <v>16.769733926935945</v>
      </c>
      <c r="AQ44" s="459">
        <f t="shared" si="3"/>
        <v>34.471177274370142</v>
      </c>
      <c r="AR44" s="459">
        <f t="shared" si="3"/>
        <v>239.21596661179339</v>
      </c>
      <c r="AS44" s="459">
        <f t="shared" si="3"/>
        <v>24.966070519545319</v>
      </c>
      <c r="AT44" s="459">
        <f t="shared" si="3"/>
        <v>99.883951668850713</v>
      </c>
      <c r="AU44" s="459">
        <f t="shared" si="3"/>
        <v>68.737607957188402</v>
      </c>
      <c r="AW44" s="216">
        <f>(B44/Population_Tables!O18)*Population_Tables!C18</f>
        <v>599.80709385149476</v>
      </c>
      <c r="AX44" s="153" t="str">
        <f t="shared" si="7"/>
        <v>OK</v>
      </c>
      <c r="AY44" s="421">
        <f t="shared" si="4"/>
        <v>694.80093899877204</v>
      </c>
      <c r="AZ44" s="153" t="str">
        <f t="shared" si="5"/>
        <v>OK</v>
      </c>
      <c r="BB44" s="216">
        <f>(C44/Population_Tables!P18)*Population_Tables!D18</f>
        <v>356.88668528117756</v>
      </c>
      <c r="BC44" s="216">
        <f>(D44/Population_Tables!Q18)*Population_Tables!E18</f>
        <v>36.257943181359195</v>
      </c>
      <c r="BD44" s="216">
        <f>(E44/Population_Tables!R18)*Population_Tables!F18</f>
        <v>250.41539933492922</v>
      </c>
      <c r="BE44" s="216">
        <f>(F44/Population_Tables!S18)*Population_Tables!G18</f>
        <v>16.769733926935945</v>
      </c>
      <c r="BF44" s="216">
        <f>(G44/Population_Tables!T18)*Population_Tables!H18</f>
        <v>34.471177274370142</v>
      </c>
      <c r="BG44" s="216"/>
      <c r="BN44" s="216"/>
      <c r="BO44" s="216"/>
      <c r="BP44" s="216"/>
    </row>
    <row r="45" spans="1:68" ht="15.6" x14ac:dyDescent="0.3">
      <c r="A45" s="206">
        <v>2030</v>
      </c>
      <c r="B45" s="229">
        <v>601.45561952667276</v>
      </c>
      <c r="C45" s="229">
        <v>359.46058478105783</v>
      </c>
      <c r="D45" s="229">
        <v>36.4171078561765</v>
      </c>
      <c r="E45" s="229">
        <v>253.32718162419707</v>
      </c>
      <c r="F45" s="229">
        <v>16.978244909412588</v>
      </c>
      <c r="G45" s="229">
        <v>34.505481868117563</v>
      </c>
      <c r="H45" s="229">
        <v>244.84089591768486</v>
      </c>
      <c r="I45" s="229">
        <v>25.910439932182719</v>
      </c>
      <c r="J45" s="229">
        <v>98.625871436841095</v>
      </c>
      <c r="K45" s="229">
        <v>67.155262185224629</v>
      </c>
      <c r="M45" s="206">
        <v>2030</v>
      </c>
      <c r="N45" s="419">
        <f t="shared" si="2"/>
        <v>24.934193629652047</v>
      </c>
      <c r="O45" s="418">
        <f>(C45/Population_Tables!P19)*Population_Tables!D78</f>
        <v>0</v>
      </c>
      <c r="P45" s="418">
        <f>(D45/Population_Tables!Q19)*Population_Tables!E78</f>
        <v>0</v>
      </c>
      <c r="Q45" s="418">
        <f>((E45-H45)/Population_Tables!R19)*Population_Tables!F78</f>
        <v>4.6682786728773475</v>
      </c>
      <c r="R45" s="418">
        <f>(F45/Population_Tables!S19)*Population_Tables!G78</f>
        <v>10.416281090472628</v>
      </c>
      <c r="S45" s="418">
        <f>(G45/Population_Tables!T19)*Population_Tables!H78</f>
        <v>9.8496338663020708</v>
      </c>
      <c r="T45" s="418">
        <f>(H45/Population_Tables!U19)*Population_Tables!I78</f>
        <v>0</v>
      </c>
      <c r="U45" s="418">
        <f>(I45/Population_Tables!V19)*Population_Tables!J78</f>
        <v>0</v>
      </c>
      <c r="V45" s="418">
        <f>(J45/Population_Tables!W19)*Population_Tables!K78</f>
        <v>0</v>
      </c>
      <c r="W45" s="418">
        <f>(K45/Population_Tables!X19)*Population_Tables!L78</f>
        <v>0</v>
      </c>
      <c r="Y45" s="456">
        <v>2030</v>
      </c>
      <c r="Z45" s="459">
        <f>((B45/Population_Tables!O19)*Population_Tables!C19)-N45</f>
        <v>590.04619659856837</v>
      </c>
      <c r="AA45" s="459">
        <f>((C45/Population_Tables!P19)*Population_Tables!D19)-O45</f>
        <v>366.40939735424968</v>
      </c>
      <c r="AB45" s="459">
        <f>((D45/Population_Tables!Q19)*Population_Tables!E19)-P45</f>
        <v>37.115413613613249</v>
      </c>
      <c r="AC45" s="459">
        <f>((E45/Population_Tables!R19)*Population_Tables!F19)-Q45</f>
        <v>254.51100610775453</v>
      </c>
      <c r="AD45" s="459">
        <f>((F45/Population_Tables!S19)*Population_Tables!G19)-R45</f>
        <v>6.9282732803103624</v>
      </c>
      <c r="AE45" s="459">
        <f>((G45/Population_Tables!T19)*Population_Tables!H19)-S45</f>
        <v>25.598442314372399</v>
      </c>
      <c r="AF45" s="459">
        <f>(H45/Population_Tables!U19)*Population_Tables!I19</f>
        <v>249.26793580288182</v>
      </c>
      <c r="AG45" s="459">
        <f>(I45/Population_Tables!V19)*Population_Tables!J19</f>
        <v>26.52846312437762</v>
      </c>
      <c r="AH45" s="459">
        <f>(J45/Population_Tables!W19)*Population_Tables!K19</f>
        <v>100.4182507347163</v>
      </c>
      <c r="AI45" s="459">
        <f>(K45/Population_Tables!X19)*Population_Tables!L19</f>
        <v>68.552982098189645</v>
      </c>
      <c r="AK45" s="456">
        <v>2030</v>
      </c>
      <c r="AL45" s="459">
        <f t="shared" si="6"/>
        <v>614.98039022822047</v>
      </c>
      <c r="AM45" s="459">
        <f t="shared" si="6"/>
        <v>366.40939735424968</v>
      </c>
      <c r="AN45" s="459">
        <f t="shared" si="6"/>
        <v>37.115413613613249</v>
      </c>
      <c r="AO45" s="459">
        <f t="shared" si="6"/>
        <v>259.17928478063186</v>
      </c>
      <c r="AP45" s="459">
        <f t="shared" si="6"/>
        <v>17.344554370782991</v>
      </c>
      <c r="AQ45" s="459">
        <f t="shared" si="6"/>
        <v>35.44807618067447</v>
      </c>
      <c r="AR45" s="459">
        <f t="shared" si="6"/>
        <v>249.26793580288182</v>
      </c>
      <c r="AS45" s="459">
        <f t="shared" si="6"/>
        <v>26.52846312437762</v>
      </c>
      <c r="AT45" s="459">
        <f t="shared" si="6"/>
        <v>100.4182507347163</v>
      </c>
      <c r="AU45" s="459">
        <f t="shared" si="6"/>
        <v>68.552982098189645</v>
      </c>
      <c r="AW45" s="216">
        <f>(B45/Population_Tables!O19)*Population_Tables!C19</f>
        <v>614.98039022822047</v>
      </c>
      <c r="AX45" s="153" t="str">
        <f t="shared" si="7"/>
        <v>OK</v>
      </c>
      <c r="AY45" s="421">
        <f t="shared" si="4"/>
        <v>715.49672629995234</v>
      </c>
      <c r="AZ45" s="153" t="str">
        <f t="shared" si="5"/>
        <v>OK</v>
      </c>
      <c r="BB45" s="216">
        <f>(C45/Population_Tables!P19)*Population_Tables!D19</f>
        <v>366.40939735424968</v>
      </c>
      <c r="BC45" s="216">
        <f>(D45/Population_Tables!Q19)*Population_Tables!E19</f>
        <v>37.115413613613249</v>
      </c>
      <c r="BD45" s="216">
        <f>(E45/Population_Tables!R19)*Population_Tables!F19</f>
        <v>259.17928478063186</v>
      </c>
      <c r="BE45" s="216">
        <f>(F45/Population_Tables!S19)*Population_Tables!G19</f>
        <v>17.344554370782991</v>
      </c>
      <c r="BF45" s="216">
        <f>(G45/Population_Tables!T19)*Population_Tables!H19</f>
        <v>35.44807618067447</v>
      </c>
      <c r="BG45" s="216"/>
      <c r="BN45" s="216"/>
      <c r="BO45" s="216"/>
      <c r="BP45" s="216"/>
    </row>
    <row r="46" spans="1:68" ht="15.6" x14ac:dyDescent="0.3">
      <c r="A46" s="206">
        <v>2031</v>
      </c>
      <c r="B46" s="229">
        <v>614.88973580124252</v>
      </c>
      <c r="C46" s="229">
        <v>368.07431983461981</v>
      </c>
      <c r="D46" s="229">
        <v>37.168516491116101</v>
      </c>
      <c r="E46" s="229">
        <v>261.26812526832958</v>
      </c>
      <c r="F46" s="229">
        <v>17.505174765494353</v>
      </c>
      <c r="G46" s="229">
        <v>35.354202786723953</v>
      </c>
      <c r="H46" s="229">
        <v>254.25922140321552</v>
      </c>
      <c r="I46" s="229">
        <v>27.455546341321089</v>
      </c>
      <c r="J46" s="229">
        <v>98.911551982375002</v>
      </c>
      <c r="K46" s="229">
        <v>66.798915222247444</v>
      </c>
      <c r="M46" s="206">
        <v>2031</v>
      </c>
      <c r="N46" s="419">
        <f t="shared" si="2"/>
        <v>24.849709039078377</v>
      </c>
      <c r="O46" s="418">
        <f>(C46/Population_Tables!P20)*Population_Tables!D79</f>
        <v>0</v>
      </c>
      <c r="P46" s="418">
        <f>(D46/Population_Tables!Q20)*Population_Tables!E79</f>
        <v>0</v>
      </c>
      <c r="Q46" s="418">
        <f>((E46-H46)/Population_Tables!R20)*Population_Tables!F79</f>
        <v>3.8846771182883648</v>
      </c>
      <c r="R46" s="418">
        <f>(F46/Population_Tables!S20)*Population_Tables!G79</f>
        <v>10.802697760173931</v>
      </c>
      <c r="S46" s="418">
        <f>(G46/Population_Tables!T20)*Population_Tables!H79</f>
        <v>10.16233416061608</v>
      </c>
      <c r="T46" s="418">
        <f>(H46/Population_Tables!U20)*Population_Tables!I79</f>
        <v>0</v>
      </c>
      <c r="U46" s="418">
        <f>(I46/Population_Tables!V20)*Population_Tables!J79</f>
        <v>0</v>
      </c>
      <c r="V46" s="418">
        <f>(J46/Population_Tables!W20)*Population_Tables!K79</f>
        <v>0</v>
      </c>
      <c r="W46" s="418">
        <f>(K46/Population_Tables!X20)*Population_Tables!L79</f>
        <v>0</v>
      </c>
      <c r="Y46" s="456">
        <v>2031</v>
      </c>
      <c r="Z46" s="459">
        <f>((B46/Population_Tables!O20)*Population_Tables!C20)-N46</f>
        <v>605.8033820795207</v>
      </c>
      <c r="AA46" s="459">
        <f>((C46/Population_Tables!P20)*Population_Tables!D20)-O46</f>
        <v>376.19619773659684</v>
      </c>
      <c r="AB46" s="459">
        <f>((D46/Population_Tables!Q20)*Population_Tables!E20)-P46</f>
        <v>37.981018897556055</v>
      </c>
      <c r="AC46" s="459">
        <f>((E46/Population_Tables!R20)*Population_Tables!F20)-Q46</f>
        <v>264.26886054384573</v>
      </c>
      <c r="AD46" s="459">
        <f>((F46/Population_Tables!S20)*Population_Tables!G20)-R46</f>
        <v>7.1323394819675947</v>
      </c>
      <c r="AE46" s="459">
        <f>((G46/Population_Tables!T20)*Population_Tables!H20)-S46</f>
        <v>26.292086214067705</v>
      </c>
      <c r="AF46" s="459">
        <f>(H46/Population_Tables!U20)*Population_Tables!I20</f>
        <v>259.49704287453699</v>
      </c>
      <c r="AG46" s="459">
        <f>(I46/Population_Tables!V20)*Population_Tables!J20</f>
        <v>28.202312749837958</v>
      </c>
      <c r="AH46" s="459">
        <f>(J46/Population_Tables!W20)*Population_Tables!K20</f>
        <v>100.96088135552257</v>
      </c>
      <c r="AI46" s="459">
        <f>(K46/Population_Tables!X20)*Population_Tables!L20</f>
        <v>68.389436529757475</v>
      </c>
      <c r="AK46" s="456">
        <v>2031</v>
      </c>
      <c r="AL46" s="459">
        <f t="shared" si="6"/>
        <v>630.65309111859904</v>
      </c>
      <c r="AM46" s="459">
        <f t="shared" si="6"/>
        <v>376.19619773659684</v>
      </c>
      <c r="AN46" s="459">
        <f t="shared" si="6"/>
        <v>37.981018897556055</v>
      </c>
      <c r="AO46" s="459">
        <f t="shared" si="6"/>
        <v>268.15353766213411</v>
      </c>
      <c r="AP46" s="459">
        <f t="shared" si="6"/>
        <v>17.935037242141526</v>
      </c>
      <c r="AQ46" s="459">
        <f t="shared" si="6"/>
        <v>36.454420374683785</v>
      </c>
      <c r="AR46" s="459">
        <f t="shared" si="6"/>
        <v>259.49704287453699</v>
      </c>
      <c r="AS46" s="459">
        <f t="shared" si="6"/>
        <v>28.202312749837958</v>
      </c>
      <c r="AT46" s="459">
        <f t="shared" si="6"/>
        <v>100.96088135552257</v>
      </c>
      <c r="AU46" s="459">
        <f t="shared" si="6"/>
        <v>68.389436529757475</v>
      </c>
      <c r="AW46" s="216">
        <f>(B46/Population_Tables!O20)*Population_Tables!C20</f>
        <v>630.65309111859904</v>
      </c>
      <c r="AX46" s="153" t="str">
        <f t="shared" si="7"/>
        <v>OK</v>
      </c>
      <c r="AY46" s="421">
        <f t="shared" si="4"/>
        <v>736.72021191311239</v>
      </c>
      <c r="AZ46" s="153" t="str">
        <f t="shared" si="5"/>
        <v>OK</v>
      </c>
      <c r="BB46" s="216">
        <f>(C46/Population_Tables!P20)*Population_Tables!D20</f>
        <v>376.19619773659684</v>
      </c>
      <c r="BC46" s="216">
        <f>(D46/Population_Tables!Q20)*Population_Tables!E20</f>
        <v>37.981018897556055</v>
      </c>
      <c r="BD46" s="216">
        <f>(E46/Population_Tables!R20)*Population_Tables!F20</f>
        <v>268.15353766213411</v>
      </c>
      <c r="BE46" s="216">
        <f>(F46/Population_Tables!S20)*Population_Tables!G20</f>
        <v>17.935037242141526</v>
      </c>
      <c r="BF46" s="216">
        <f>(G46/Population_Tables!T20)*Population_Tables!H20</f>
        <v>36.454420374683785</v>
      </c>
      <c r="BG46" s="216"/>
      <c r="BN46" s="216"/>
      <c r="BO46" s="216"/>
      <c r="BP46" s="216"/>
    </row>
    <row r="47" spans="1:68" ht="15.6" x14ac:dyDescent="0.3">
      <c r="A47" s="206">
        <v>2032</v>
      </c>
      <c r="B47" s="229">
        <v>628.64958150695884</v>
      </c>
      <c r="C47" s="229">
        <v>376.8613474459338</v>
      </c>
      <c r="D47" s="229">
        <v>37.921527788228516</v>
      </c>
      <c r="E47" s="229">
        <v>269.33540498113581</v>
      </c>
      <c r="F47" s="229">
        <v>18.042690870275386</v>
      </c>
      <c r="G47" s="229">
        <v>36.221216495964256</v>
      </c>
      <c r="H47" s="229">
        <v>263.78172412092175</v>
      </c>
      <c r="I47" s="229">
        <v>29.102276203304768</v>
      </c>
      <c r="J47" s="229">
        <v>99.193540383905642</v>
      </c>
      <c r="K47" s="229">
        <v>66.455788503200409</v>
      </c>
      <c r="M47" s="206">
        <v>2032</v>
      </c>
      <c r="N47" s="419">
        <f t="shared" si="2"/>
        <v>24.788248128118788</v>
      </c>
      <c r="O47" s="418">
        <f>(C47/Population_Tables!P21)*Population_Tables!D80</f>
        <v>0</v>
      </c>
      <c r="P47" s="418">
        <f>(D47/Population_Tables!Q21)*Population_Tables!E80</f>
        <v>0</v>
      </c>
      <c r="Q47" s="418">
        <f>((E47-H47)/Population_Tables!R21)*Population_Tables!F80</f>
        <v>3.1016931454062315</v>
      </c>
      <c r="R47" s="418">
        <f>(F47/Population_Tables!S21)*Population_Tables!G80</f>
        <v>11.200620939376824</v>
      </c>
      <c r="S47" s="418">
        <f>(G47/Population_Tables!T21)*Population_Tables!H80</f>
        <v>10.48593404333573</v>
      </c>
      <c r="T47" s="418">
        <f>(H47/Population_Tables!U21)*Population_Tables!I80</f>
        <v>0</v>
      </c>
      <c r="U47" s="418">
        <f>(I47/Population_Tables!V21)*Population_Tables!J80</f>
        <v>0</v>
      </c>
      <c r="V47" s="418">
        <f>(J47/Population_Tables!W21)*Population_Tables!K80</f>
        <v>0</v>
      </c>
      <c r="W47" s="418">
        <f>(K47/Population_Tables!X21)*Population_Tables!L80</f>
        <v>0</v>
      </c>
      <c r="Y47" s="456">
        <v>2032</v>
      </c>
      <c r="Z47" s="459">
        <f>((B47/Population_Tables!O21)*Population_Tables!C21)-N47</f>
        <v>622.02883687446354</v>
      </c>
      <c r="AA47" s="459">
        <f>((C47/Population_Tables!P21)*Population_Tables!D21)-O47</f>
        <v>386.24686211271808</v>
      </c>
      <c r="AB47" s="459">
        <f>((D47/Population_Tables!Q21)*Population_Tables!E21)-P47</f>
        <v>38.85675340179526</v>
      </c>
      <c r="AC47" s="459">
        <f>((E47/Population_Tables!R21)*Population_Tables!F21)-Q47</f>
        <v>274.24050704731246</v>
      </c>
      <c r="AD47" s="459">
        <f>((F47/Population_Tables!S21)*Population_Tables!G21)-R47</f>
        <v>7.3407227558744044</v>
      </c>
      <c r="AE47" s="459">
        <f>((G47/Population_Tables!T21)*Population_Tables!H21)-S47</f>
        <v>27.004812851432746</v>
      </c>
      <c r="AF47" s="459">
        <f>(H47/Population_Tables!U21)*Population_Tables!I21</f>
        <v>269.90739539556824</v>
      </c>
      <c r="AG47" s="459">
        <f>(I47/Population_Tables!V21)*Population_Tables!J21</f>
        <v>29.994581122261138</v>
      </c>
      <c r="AH47" s="459">
        <f>(J47/Population_Tables!W21)*Population_Tables!K21</f>
        <v>101.51122268132707</v>
      </c>
      <c r="AI47" s="459">
        <f>(K47/Population_Tables!X21)*Population_Tables!L21</f>
        <v>68.245226778012409</v>
      </c>
      <c r="AK47" s="456">
        <v>2032</v>
      </c>
      <c r="AL47" s="459">
        <f t="shared" si="6"/>
        <v>646.8170850025823</v>
      </c>
      <c r="AM47" s="459">
        <f t="shared" si="6"/>
        <v>386.24686211271808</v>
      </c>
      <c r="AN47" s="459">
        <f t="shared" si="6"/>
        <v>38.85675340179526</v>
      </c>
      <c r="AO47" s="459">
        <f t="shared" si="6"/>
        <v>277.34220019271868</v>
      </c>
      <c r="AP47" s="459">
        <f t="shared" si="6"/>
        <v>18.541343695251228</v>
      </c>
      <c r="AQ47" s="459">
        <f t="shared" si="6"/>
        <v>37.490746894768478</v>
      </c>
      <c r="AR47" s="459">
        <f t="shared" si="6"/>
        <v>269.90739539556824</v>
      </c>
      <c r="AS47" s="459">
        <f t="shared" si="6"/>
        <v>29.994581122261138</v>
      </c>
      <c r="AT47" s="459">
        <f t="shared" si="6"/>
        <v>101.51122268132707</v>
      </c>
      <c r="AU47" s="459">
        <f t="shared" si="6"/>
        <v>68.245226778012409</v>
      </c>
      <c r="AW47" s="216">
        <f>(B47/Population_Tables!O21)*Population_Tables!C21</f>
        <v>646.8170850025823</v>
      </c>
      <c r="AX47" s="153" t="str">
        <f t="shared" si="7"/>
        <v>OK</v>
      </c>
      <c r="AY47" s="421">
        <f t="shared" si="4"/>
        <v>758.47790629725171</v>
      </c>
      <c r="AZ47" s="153" t="str">
        <f t="shared" si="5"/>
        <v>OK</v>
      </c>
      <c r="BB47" s="216">
        <f>(C47/Population_Tables!P21)*Population_Tables!D21</f>
        <v>386.24686211271808</v>
      </c>
      <c r="BC47" s="216">
        <f>(D47/Population_Tables!Q21)*Population_Tables!E21</f>
        <v>38.85675340179526</v>
      </c>
      <c r="BD47" s="216">
        <f>(E47/Population_Tables!R21)*Population_Tables!F21</f>
        <v>277.34220019271868</v>
      </c>
      <c r="BE47" s="216">
        <f>(F47/Population_Tables!S21)*Population_Tables!G21</f>
        <v>18.541343695251228</v>
      </c>
      <c r="BF47" s="216">
        <f>(G47/Population_Tables!T21)*Population_Tables!H21</f>
        <v>37.490746894768478</v>
      </c>
      <c r="BG47" s="216"/>
      <c r="BN47" s="216"/>
      <c r="BO47" s="216"/>
      <c r="BP47" s="216"/>
    </row>
    <row r="48" spans="1:68" ht="15.6" x14ac:dyDescent="0.3">
      <c r="A48" s="206">
        <v>2033</v>
      </c>
      <c r="B48" s="229">
        <v>642.73286121574142</v>
      </c>
      <c r="C48" s="229">
        <v>385.82480348915885</v>
      </c>
      <c r="D48" s="229">
        <v>38.678167584440651</v>
      </c>
      <c r="E48" s="229">
        <v>277.53547355720787</v>
      </c>
      <c r="F48" s="229">
        <v>18.59102033528017</v>
      </c>
      <c r="G48" s="229">
        <v>37.106909019300069</v>
      </c>
      <c r="H48" s="229">
        <v>273.41262427168732</v>
      </c>
      <c r="I48" s="229">
        <v>30.856797526847522</v>
      </c>
      <c r="J48" s="229">
        <v>99.472804672379652</v>
      </c>
      <c r="K48" s="229">
        <v>66.125882028083495</v>
      </c>
      <c r="M48" s="206">
        <v>2033</v>
      </c>
      <c r="N48" s="419">
        <f t="shared" si="2"/>
        <v>24.749909084761157</v>
      </c>
      <c r="O48" s="418">
        <f>(C48/Population_Tables!P22)*Population_Tables!D81</f>
        <v>0</v>
      </c>
      <c r="P48" s="418">
        <f>(D48/Population_Tables!Q22)*Population_Tables!E81</f>
        <v>0</v>
      </c>
      <c r="Q48" s="418">
        <f>((E48-H48)/Population_Tables!R22)*Population_Tables!F81</f>
        <v>2.3203022937419697</v>
      </c>
      <c r="R48" s="418">
        <f>(F48/Population_Tables!S22)*Population_Tables!G81</f>
        <v>11.609630966882873</v>
      </c>
      <c r="S48" s="418">
        <f>(G48/Population_Tables!T22)*Population_Tables!H81</f>
        <v>10.819975824136316</v>
      </c>
      <c r="T48" s="418">
        <f>(H48/Population_Tables!U22)*Population_Tables!I81</f>
        <v>0</v>
      </c>
      <c r="U48" s="418">
        <f>(I48/Population_Tables!V22)*Population_Tables!J81</f>
        <v>0</v>
      </c>
      <c r="V48" s="418">
        <f>(J48/Population_Tables!W22)*Population_Tables!K81</f>
        <v>0</v>
      </c>
      <c r="W48" s="418">
        <f>(K48/Population_Tables!X22)*Population_Tables!L81</f>
        <v>0</v>
      </c>
      <c r="Y48" s="456">
        <v>2033</v>
      </c>
      <c r="Z48" s="459">
        <f>((B48/Population_Tables!O22)*Population_Tables!C22)-N48</f>
        <v>638.69803499993293</v>
      </c>
      <c r="AA48" s="459">
        <f>((C48/Population_Tables!P22)*Population_Tables!D22)-O48</f>
        <v>396.55424817666011</v>
      </c>
      <c r="AB48" s="459">
        <f>((D48/Population_Tables!Q22)*Population_Tables!E22)-P48</f>
        <v>39.74379733883422</v>
      </c>
      <c r="AC48" s="459">
        <f>((E48/Population_Tables!R22)*Population_Tables!F22)-Q48</f>
        <v>284.42271483253239</v>
      </c>
      <c r="AD48" s="459">
        <f>((F48/Population_Tables!S22)*Population_Tables!G22)-R48</f>
        <v>7.5533900363378823</v>
      </c>
      <c r="AE48" s="459">
        <f>((G48/Population_Tables!T22)*Population_Tables!H22)-S48</f>
        <v>27.736278699208263</v>
      </c>
      <c r="AF48" s="459">
        <f>(H48/Population_Tables!U22)*Population_Tables!I22</f>
        <v>280.498328141841</v>
      </c>
      <c r="AG48" s="459">
        <f>(I48/Population_Tables!V22)*Population_Tables!J22</f>
        <v>31.911448724623956</v>
      </c>
      <c r="AH48" s="459">
        <f>(J48/Population_Tables!W22)*Population_Tables!K22</f>
        <v>102.06725243353644</v>
      </c>
      <c r="AI48" s="459">
        <f>(K48/Population_Tables!X22)*Population_Tables!L22</f>
        <v>68.117336305263862</v>
      </c>
      <c r="AK48" s="456">
        <v>2033</v>
      </c>
      <c r="AL48" s="459">
        <f t="shared" si="6"/>
        <v>663.44794408469409</v>
      </c>
      <c r="AM48" s="459">
        <f t="shared" si="6"/>
        <v>396.55424817666011</v>
      </c>
      <c r="AN48" s="459">
        <f t="shared" si="6"/>
        <v>39.74379733883422</v>
      </c>
      <c r="AO48" s="459">
        <f t="shared" si="6"/>
        <v>286.74301712627437</v>
      </c>
      <c r="AP48" s="459">
        <f t="shared" si="6"/>
        <v>19.163021003220756</v>
      </c>
      <c r="AQ48" s="459">
        <f t="shared" si="6"/>
        <v>38.556254523344577</v>
      </c>
      <c r="AR48" s="459">
        <f t="shared" si="6"/>
        <v>280.498328141841</v>
      </c>
      <c r="AS48" s="459">
        <f t="shared" si="6"/>
        <v>31.911448724623956</v>
      </c>
      <c r="AT48" s="459">
        <f t="shared" si="6"/>
        <v>102.06725243353644</v>
      </c>
      <c r="AU48" s="459">
        <f t="shared" si="6"/>
        <v>68.117336305263862</v>
      </c>
      <c r="AW48" s="216">
        <f>(B48/Population_Tables!O22)*Population_Tables!C22</f>
        <v>663.44794408469409</v>
      </c>
      <c r="AX48" s="153" t="str">
        <f t="shared" si="7"/>
        <v>OK</v>
      </c>
      <c r="AY48" s="421">
        <f t="shared" si="4"/>
        <v>780.76033816833399</v>
      </c>
      <c r="AZ48" s="153" t="str">
        <f t="shared" si="5"/>
        <v>OK</v>
      </c>
      <c r="BB48" s="216">
        <f>(C48/Population_Tables!P22)*Population_Tables!D22</f>
        <v>396.55424817666011</v>
      </c>
      <c r="BC48" s="216">
        <f>(D48/Population_Tables!Q22)*Population_Tables!E22</f>
        <v>39.74379733883422</v>
      </c>
      <c r="BD48" s="216">
        <f>(E48/Population_Tables!R22)*Population_Tables!F22</f>
        <v>286.74301712627437</v>
      </c>
      <c r="BE48" s="216">
        <f>(F48/Population_Tables!S22)*Population_Tables!G22</f>
        <v>19.163021003220756</v>
      </c>
      <c r="BF48" s="216">
        <f>(G48/Population_Tables!T22)*Population_Tables!H22</f>
        <v>38.556254523344577</v>
      </c>
      <c r="BG48" s="216"/>
      <c r="BN48" s="216"/>
      <c r="BO48" s="216"/>
      <c r="BP48" s="216"/>
    </row>
    <row r="49" spans="1:68" ht="15.6" x14ac:dyDescent="0.3">
      <c r="A49" s="206">
        <v>2034</v>
      </c>
      <c r="B49" s="229">
        <v>657.13727949950942</v>
      </c>
      <c r="C49" s="229">
        <v>394.96782383845385</v>
      </c>
      <c r="D49" s="229">
        <v>39.44046171667938</v>
      </c>
      <c r="E49" s="229">
        <v>285.87478379113799</v>
      </c>
      <c r="F49" s="229">
        <v>19.150390272033199</v>
      </c>
      <c r="G49" s="229">
        <v>38.011666380193013</v>
      </c>
      <c r="H49" s="229">
        <v>283.15614205639605</v>
      </c>
      <c r="I49" s="229">
        <v>32.725278320663129</v>
      </c>
      <c r="J49" s="229">
        <v>99.750312878743671</v>
      </c>
      <c r="K49" s="229">
        <v>65.809195796896717</v>
      </c>
      <c r="M49" s="206">
        <v>2034</v>
      </c>
      <c r="N49" s="419">
        <f t="shared" si="2"/>
        <v>24.734497338285603</v>
      </c>
      <c r="O49" s="418">
        <f>(C49/Population_Tables!P23)*Population_Tables!D82</f>
        <v>0</v>
      </c>
      <c r="P49" s="418">
        <f>(D49/Population_Tables!Q23)*Population_Tables!E82</f>
        <v>0</v>
      </c>
      <c r="Q49" s="418">
        <f>((E49-H49)/Population_Tables!R23)*Population_Tables!F82</f>
        <v>1.5417261539006442</v>
      </c>
      <c r="R49" s="418">
        <f>(F49/Population_Tables!S23)*Population_Tables!G82</f>
        <v>12.0290830950187</v>
      </c>
      <c r="S49" s="418">
        <f>(G49/Population_Tables!T23)*Population_Tables!H82</f>
        <v>11.163688089366259</v>
      </c>
      <c r="T49" s="418">
        <f>(H49/Population_Tables!U23)*Population_Tables!I82</f>
        <v>0</v>
      </c>
      <c r="U49" s="418">
        <f>(I49/Population_Tables!V23)*Population_Tables!J82</f>
        <v>0</v>
      </c>
      <c r="V49" s="418">
        <f>(J49/Population_Tables!W23)*Population_Tables!K82</f>
        <v>0</v>
      </c>
      <c r="W49" s="418">
        <f>(K49/Population_Tables!X23)*Population_Tables!L82</f>
        <v>0</v>
      </c>
      <c r="Y49" s="456">
        <v>2034</v>
      </c>
      <c r="Z49" s="459">
        <f>((B49/Population_Tables!O23)*Population_Tables!C23)-N49</f>
        <v>655.77722817371409</v>
      </c>
      <c r="AA49" s="459">
        <f>((C49/Population_Tables!P23)*Population_Tables!D23)-O49</f>
        <v>407.10617848934942</v>
      </c>
      <c r="AB49" s="459">
        <f>((D49/Population_Tables!Q23)*Population_Tables!E23)-P49</f>
        <v>40.642896693894357</v>
      </c>
      <c r="AC49" s="459">
        <f>((E49/Population_Tables!R23)*Population_Tables!F23)-Q49</f>
        <v>294.80734055314133</v>
      </c>
      <c r="AD49" s="459">
        <f>((F49/Population_Tables!S23)*Population_Tables!G23)-R49</f>
        <v>7.7702479868914072</v>
      </c>
      <c r="AE49" s="459">
        <f>((G49/Population_Tables!T23)*Population_Tables!H23)-S49</f>
        <v>28.485906846995967</v>
      </c>
      <c r="AF49" s="459">
        <f>(H49/Population_Tables!U23)*Population_Tables!I23</f>
        <v>291.26542538981482</v>
      </c>
      <c r="AG49" s="459">
        <f>(I49/Population_Tables!V23)*Population_Tables!J23</f>
        <v>33.958379058781297</v>
      </c>
      <c r="AH49" s="459">
        <f>(J49/Population_Tables!W23)*Population_Tables!K23</f>
        <v>102.6260131202941</v>
      </c>
      <c r="AI49" s="459">
        <f>(K49/Population_Tables!X23)*Population_Tables!L23</f>
        <v>68.002097829040366</v>
      </c>
      <c r="AK49" s="456">
        <v>2034</v>
      </c>
      <c r="AL49" s="459">
        <f t="shared" si="6"/>
        <v>680.51172551199966</v>
      </c>
      <c r="AM49" s="459">
        <f t="shared" si="6"/>
        <v>407.10617848934942</v>
      </c>
      <c r="AN49" s="459">
        <f t="shared" si="6"/>
        <v>40.642896693894357</v>
      </c>
      <c r="AO49" s="459">
        <f t="shared" si="6"/>
        <v>296.34906670704197</v>
      </c>
      <c r="AP49" s="459">
        <f t="shared" si="6"/>
        <v>19.799331081910108</v>
      </c>
      <c r="AQ49" s="459">
        <f t="shared" si="6"/>
        <v>39.649594936362227</v>
      </c>
      <c r="AR49" s="459">
        <f t="shared" si="6"/>
        <v>291.26542538981482</v>
      </c>
      <c r="AS49" s="459">
        <f t="shared" si="6"/>
        <v>33.958379058781297</v>
      </c>
      <c r="AT49" s="459">
        <f t="shared" si="6"/>
        <v>102.6260131202941</v>
      </c>
      <c r="AU49" s="459">
        <f t="shared" si="6"/>
        <v>68.002097829040366</v>
      </c>
      <c r="AW49" s="216">
        <f>(B49/Population_Tables!O23)*Population_Tables!C23</f>
        <v>680.51172551199966</v>
      </c>
      <c r="AX49" s="153" t="str">
        <f t="shared" si="7"/>
        <v>OK</v>
      </c>
      <c r="AY49" s="421">
        <f t="shared" si="4"/>
        <v>803.54706790855801</v>
      </c>
      <c r="AZ49" s="153" t="str">
        <f t="shared" si="5"/>
        <v>OK</v>
      </c>
      <c r="BB49" s="216">
        <f>(C49/Population_Tables!P23)*Population_Tables!D23</f>
        <v>407.10617848934942</v>
      </c>
      <c r="BC49" s="216">
        <f>(D49/Population_Tables!Q23)*Population_Tables!E23</f>
        <v>40.642896693894357</v>
      </c>
      <c r="BD49" s="216">
        <f>(E49/Population_Tables!R23)*Population_Tables!F23</f>
        <v>296.34906670704197</v>
      </c>
      <c r="BE49" s="216">
        <f>(F49/Population_Tables!S23)*Population_Tables!G23</f>
        <v>19.799331081910108</v>
      </c>
      <c r="BF49" s="216">
        <f>(G49/Population_Tables!T23)*Population_Tables!H23</f>
        <v>39.649594936362227</v>
      </c>
      <c r="BG49" s="216"/>
      <c r="BN49" s="216"/>
      <c r="BO49" s="216"/>
      <c r="BP49" s="216"/>
    </row>
    <row r="50" spans="1:68" ht="15.6" x14ac:dyDescent="0.3">
      <c r="A50" s="206">
        <v>2035</v>
      </c>
      <c r="B50" s="229">
        <v>671.86054093018208</v>
      </c>
      <c r="C50" s="229">
        <v>404.2935443679778</v>
      </c>
      <c r="D50" s="229">
        <v>40.210436021871615</v>
      </c>
      <c r="E50" s="229">
        <v>294.35978847751824</v>
      </c>
      <c r="F50" s="229">
        <v>19.721027792058941</v>
      </c>
      <c r="G50" s="229">
        <v>38.93587460210469</v>
      </c>
      <c r="H50" s="229">
        <v>293.01649767593159</v>
      </c>
      <c r="I50" s="229">
        <v>34.713886593465347</v>
      </c>
      <c r="J50" s="229">
        <v>100.02703303394438</v>
      </c>
      <c r="K50" s="229">
        <v>65.505729809640073</v>
      </c>
      <c r="M50" s="206">
        <v>2035</v>
      </c>
      <c r="N50" s="419">
        <f t="shared" si="2"/>
        <v>24.742584979141199</v>
      </c>
      <c r="O50" s="418">
        <f>(C50/Population_Tables!P24)*Population_Tables!D83</f>
        <v>0</v>
      </c>
      <c r="P50" s="418">
        <f>(D50/Population_Tables!Q24)*Population_Tables!E83</f>
        <v>0</v>
      </c>
      <c r="Q50" s="418">
        <f>((E50-H50)/Population_Tables!R24)*Population_Tables!F83</f>
        <v>0.76751481198744842</v>
      </c>
      <c r="R50" s="418">
        <f>(F50/Population_Tables!S24)*Population_Tables!G83</f>
        <v>12.458550875237872</v>
      </c>
      <c r="S50" s="418">
        <f>(G50/Population_Tables!T24)*Population_Tables!H83</f>
        <v>11.516519291915877</v>
      </c>
      <c r="T50" s="418">
        <f>(H50/Population_Tables!U24)*Population_Tables!I83</f>
        <v>0</v>
      </c>
      <c r="U50" s="418">
        <f>(I50/Population_Tables!V24)*Population_Tables!J83</f>
        <v>0</v>
      </c>
      <c r="V50" s="418">
        <f>(J50/Population_Tables!W24)*Population_Tables!K83</f>
        <v>0</v>
      </c>
      <c r="W50" s="418">
        <f>(K50/Population_Tables!X24)*Population_Tables!L83</f>
        <v>0</v>
      </c>
      <c r="Y50" s="456">
        <v>2035</v>
      </c>
      <c r="Z50" s="459">
        <f>((B50/Population_Tables!O24)*Population_Tables!C24)-N50</f>
        <v>673.24014410125869</v>
      </c>
      <c r="AA50" s="459">
        <f>((C50/Population_Tables!P24)*Population_Tables!D24)-O50</f>
        <v>417.8936943032059</v>
      </c>
      <c r="AB50" s="459">
        <f>((D50/Population_Tables!Q24)*Population_Tables!E24)-P50</f>
        <v>41.555121704853434</v>
      </c>
      <c r="AC50" s="459">
        <f>((E50/Population_Tables!R24)*Population_Tables!F24)-Q50</f>
        <v>305.38910310039228</v>
      </c>
      <c r="AD50" s="459">
        <f>((F50/Population_Tables!S24)*Population_Tables!G24)-R50</f>
        <v>7.9912706809160561</v>
      </c>
      <c r="AE50" s="459">
        <f>((G50/Population_Tables!T24)*Population_Tables!H24)-S50</f>
        <v>29.253350453978776</v>
      </c>
      <c r="AF50" s="459">
        <f>(H50/Population_Tables!U24)*Population_Tables!I24</f>
        <v>302.20587340117032</v>
      </c>
      <c r="AG50" s="459">
        <f>(I50/Population_Tables!V24)*Population_Tables!J24</f>
        <v>36.141150868225104</v>
      </c>
      <c r="AH50" s="459">
        <f>(J50/Population_Tables!W24)*Population_Tables!K24</f>
        <v>103.18552622548998</v>
      </c>
      <c r="AI50" s="459">
        <f>(K50/Population_Tables!X24)*Population_Tables!L24</f>
        <v>67.896900222938768</v>
      </c>
      <c r="AK50" s="456">
        <v>2035</v>
      </c>
      <c r="AL50" s="459">
        <f t="shared" si="6"/>
        <v>697.98272908039985</v>
      </c>
      <c r="AM50" s="459">
        <f t="shared" si="6"/>
        <v>417.8936943032059</v>
      </c>
      <c r="AN50" s="459">
        <f t="shared" si="6"/>
        <v>41.555121704853434</v>
      </c>
      <c r="AO50" s="459">
        <f t="shared" si="6"/>
        <v>306.15661791237972</v>
      </c>
      <c r="AP50" s="459">
        <f t="shared" si="6"/>
        <v>20.449821556153928</v>
      </c>
      <c r="AQ50" s="459">
        <f t="shared" si="6"/>
        <v>40.769869745894653</v>
      </c>
      <c r="AR50" s="459">
        <f t="shared" si="6"/>
        <v>302.20587340117032</v>
      </c>
      <c r="AS50" s="459">
        <f t="shared" si="6"/>
        <v>36.141150868225104</v>
      </c>
      <c r="AT50" s="459">
        <f t="shared" si="6"/>
        <v>103.18552622548998</v>
      </c>
      <c r="AU50" s="459">
        <f t="shared" si="6"/>
        <v>67.896900222938768</v>
      </c>
      <c r="AW50" s="216">
        <f>(B50/Population_Tables!O24)*Population_Tables!C24</f>
        <v>697.98272908039985</v>
      </c>
      <c r="AX50" s="153" t="str">
        <f t="shared" si="7"/>
        <v>OK</v>
      </c>
      <c r="AY50" s="421">
        <f t="shared" si="4"/>
        <v>826.8251252224876</v>
      </c>
      <c r="AZ50" s="153" t="str">
        <f t="shared" si="5"/>
        <v>OK</v>
      </c>
      <c r="BB50" s="216">
        <f>(C50/Population_Tables!P24)*Population_Tables!D24</f>
        <v>417.8936943032059</v>
      </c>
      <c r="BC50" s="216">
        <f>(D50/Population_Tables!Q24)*Population_Tables!E24</f>
        <v>41.555121704853434</v>
      </c>
      <c r="BD50" s="216">
        <f>(E50/Population_Tables!R24)*Population_Tables!F24</f>
        <v>306.15661791237972</v>
      </c>
      <c r="BE50" s="216">
        <f>(F50/Population_Tables!S24)*Population_Tables!G24</f>
        <v>20.449821556153928</v>
      </c>
      <c r="BF50" s="216">
        <f>(G50/Population_Tables!T24)*Population_Tables!H24</f>
        <v>40.769869745894653</v>
      </c>
      <c r="BG50" s="216"/>
      <c r="BN50" s="216"/>
      <c r="BO50" s="216"/>
      <c r="BP50" s="216"/>
    </row>
    <row r="51" spans="1:68" ht="15.6" x14ac:dyDescent="0.3">
      <c r="A51" s="206">
        <v>2036</v>
      </c>
      <c r="B51" s="229">
        <v>686.90035007967867</v>
      </c>
      <c r="C51" s="229">
        <v>413.80510095188959</v>
      </c>
      <c r="D51" s="229">
        <v>40.99011633694424</v>
      </c>
      <c r="E51" s="229">
        <v>302.99694041094074</v>
      </c>
      <c r="F51" s="229">
        <v>20.303160006881889</v>
      </c>
      <c r="G51" s="229">
        <v>39.879919708496715</v>
      </c>
      <c r="H51" s="229">
        <v>302.99791133117776</v>
      </c>
      <c r="I51" s="229">
        <v>36.828790353967939</v>
      </c>
      <c r="J51" s="229">
        <v>100.30393316892841</v>
      </c>
      <c r="K51" s="229">
        <v>65.215484066313564</v>
      </c>
      <c r="M51" s="206">
        <v>2036</v>
      </c>
      <c r="N51" s="419">
        <f t="shared" si="2"/>
        <v>24.775776755819862</v>
      </c>
      <c r="O51" s="418">
        <f>(C51/Population_Tables!P25)*Population_Tables!D84</f>
        <v>0</v>
      </c>
      <c r="P51" s="418">
        <f>(D51/Population_Tables!Q25)*Population_Tables!E84</f>
        <v>0</v>
      </c>
      <c r="Q51" s="418">
        <f>((E51-H51)/Population_Tables!R25)*Population_Tables!F84</f>
        <v>-5.5886340292735028E-4</v>
      </c>
      <c r="R51" s="418">
        <f>(F51/Population_Tables!S25)*Population_Tables!G84</f>
        <v>12.897988123027485</v>
      </c>
      <c r="S51" s="418">
        <f>(G51/Population_Tables!T25)*Population_Tables!H84</f>
        <v>11.878347496195303</v>
      </c>
      <c r="T51" s="418">
        <f>(H51/Population_Tables!U25)*Population_Tables!I84</f>
        <v>0</v>
      </c>
      <c r="U51" s="418">
        <f>(I51/Population_Tables!V25)*Population_Tables!J84</f>
        <v>0</v>
      </c>
      <c r="V51" s="418">
        <f>(J51/Population_Tables!W25)*Population_Tables!K84</f>
        <v>0</v>
      </c>
      <c r="W51" s="418">
        <f>(K51/Population_Tables!X25)*Population_Tables!L84</f>
        <v>0</v>
      </c>
      <c r="Y51" s="456">
        <v>2036</v>
      </c>
      <c r="Z51" s="459">
        <f>((B51/Population_Tables!O25)*Population_Tables!C25)-N51</f>
        <v>691.07377144232316</v>
      </c>
      <c r="AA51" s="459">
        <f>((C51/Population_Tables!P25)*Population_Tables!D25)-O51</f>
        <v>428.91399922229255</v>
      </c>
      <c r="AB51" s="459">
        <f>((D51/Population_Tables!Q25)*Population_Tables!E25)-P51</f>
        <v>42.482084370417198</v>
      </c>
      <c r="AC51" s="459">
        <f>((E51/Population_Tables!R25)*Population_Tables!F25)-Q51</f>
        <v>316.16876746565322</v>
      </c>
      <c r="AD51" s="459">
        <f>((F51/Population_Tables!S25)*Population_Tables!G25)-R51</f>
        <v>8.2165285060488849</v>
      </c>
      <c r="AE51" s="459">
        <f>((G51/Population_Tables!T25)*Population_Tables!H25)-S51</f>
        <v>30.038576052094015</v>
      </c>
      <c r="AF51" s="459">
        <f>(H51/Population_Tables!U25)*Population_Tables!I25</f>
        <v>313.32071958616291</v>
      </c>
      <c r="AG51" s="459">
        <f>(I51/Population_Tables!V25)*Population_Tables!J25</f>
        <v>38.466441482952973</v>
      </c>
      <c r="AH51" s="459">
        <f>(J51/Population_Tables!W25)*Population_Tables!K25</f>
        <v>103.74520403599216</v>
      </c>
      <c r="AI51" s="459">
        <f>(K51/Population_Tables!X25)*Population_Tables!L25</f>
        <v>67.800674445164915</v>
      </c>
      <c r="AK51" s="456">
        <v>2036</v>
      </c>
      <c r="AL51" s="459">
        <f t="shared" si="6"/>
        <v>715.849548198143</v>
      </c>
      <c r="AM51" s="459">
        <f t="shared" si="6"/>
        <v>428.91399922229255</v>
      </c>
      <c r="AN51" s="459">
        <f t="shared" si="6"/>
        <v>42.482084370417198</v>
      </c>
      <c r="AO51" s="459">
        <f t="shared" si="6"/>
        <v>316.16820860225027</v>
      </c>
      <c r="AP51" s="459">
        <f t="shared" si="6"/>
        <v>21.11451662907637</v>
      </c>
      <c r="AQ51" s="459">
        <f t="shared" si="6"/>
        <v>41.916923548289319</v>
      </c>
      <c r="AR51" s="459">
        <f t="shared" si="6"/>
        <v>313.32071958616291</v>
      </c>
      <c r="AS51" s="459">
        <f t="shared" si="6"/>
        <v>38.466441482952973</v>
      </c>
      <c r="AT51" s="459">
        <f t="shared" si="6"/>
        <v>103.74520403599216</v>
      </c>
      <c r="AU51" s="459">
        <f t="shared" si="6"/>
        <v>67.800674445164915</v>
      </c>
      <c r="AW51" s="216">
        <f>(B51/Population_Tables!O25)*Population_Tables!C25</f>
        <v>715.849548198143</v>
      </c>
      <c r="AX51" s="153" t="str">
        <f t="shared" si="7"/>
        <v>OK</v>
      </c>
      <c r="AY51" s="421">
        <f t="shared" si="4"/>
        <v>850.59573237232564</v>
      </c>
      <c r="AZ51" s="153" t="str">
        <f t="shared" si="5"/>
        <v>OK</v>
      </c>
      <c r="BB51" s="216">
        <f>(C51/Population_Tables!P25)*Population_Tables!D25</f>
        <v>428.91399922229255</v>
      </c>
      <c r="BC51" s="216">
        <f>(D51/Population_Tables!Q25)*Population_Tables!E25</f>
        <v>42.482084370417198</v>
      </c>
      <c r="BD51" s="216">
        <f>(E51/Population_Tables!R25)*Population_Tables!F25</f>
        <v>316.16820860225027</v>
      </c>
      <c r="BE51" s="216">
        <f>(F51/Population_Tables!S25)*Population_Tables!G25</f>
        <v>21.11451662907637</v>
      </c>
      <c r="BF51" s="216">
        <f>(G51/Population_Tables!T25)*Population_Tables!H25</f>
        <v>41.916923548289319</v>
      </c>
      <c r="BG51" s="216"/>
      <c r="BN51" s="216"/>
      <c r="BO51" s="216"/>
      <c r="BP51" s="216"/>
    </row>
    <row r="52" spans="1:68" ht="15.6" x14ac:dyDescent="0.3">
      <c r="A52" s="206">
        <v>2037</v>
      </c>
      <c r="B52" s="229">
        <v>702.25441151991845</v>
      </c>
      <c r="C52" s="229">
        <v>423.5056294643482</v>
      </c>
      <c r="D52" s="229">
        <v>41.781528498824144</v>
      </c>
      <c r="E52" s="229">
        <v>311.79269238599773</v>
      </c>
      <c r="F52" s="229">
        <v>20.897014028026526</v>
      </c>
      <c r="G52" s="229">
        <v>40.844187722830682</v>
      </c>
      <c r="H52" s="229">
        <v>313.10460322301827</v>
      </c>
      <c r="I52" s="229">
        <v>39.076157610884678</v>
      </c>
      <c r="J52" s="229">
        <v>100.58198131464241</v>
      </c>
      <c r="K52" s="229">
        <v>64.938458566917177</v>
      </c>
      <c r="M52" s="206">
        <v>2037</v>
      </c>
      <c r="N52" s="419">
        <f t="shared" si="2"/>
        <v>24.836656389331544</v>
      </c>
      <c r="O52" s="418">
        <f>(C52/Population_Tables!P26)*Population_Tables!D85</f>
        <v>0</v>
      </c>
      <c r="P52" s="418">
        <f>(D52/Population_Tables!Q26)*Population_Tables!E85</f>
        <v>0</v>
      </c>
      <c r="Q52" s="418">
        <f>((E52-H52)/Population_Tables!R26)*Population_Tables!F85</f>
        <v>-0.76064529225152244</v>
      </c>
      <c r="R52" s="418">
        <f>(F52/Population_Tables!S26)*Population_Tables!G85</f>
        <v>13.347761366823281</v>
      </c>
      <c r="S52" s="418">
        <f>(G52/Population_Tables!T26)*Population_Tables!H85</f>
        <v>12.249540314759786</v>
      </c>
      <c r="T52" s="418">
        <f>(H52/Population_Tables!U26)*Population_Tables!I85</f>
        <v>0</v>
      </c>
      <c r="U52" s="418">
        <f>(I52/Population_Tables!V26)*Population_Tables!J85</f>
        <v>0</v>
      </c>
      <c r="V52" s="418">
        <f>(J52/Population_Tables!W26)*Population_Tables!K85</f>
        <v>0</v>
      </c>
      <c r="W52" s="418">
        <f>(K52/Population_Tables!X26)*Population_Tables!L85</f>
        <v>0</v>
      </c>
      <c r="Y52" s="456">
        <v>2037</v>
      </c>
      <c r="Z52" s="459">
        <f>((B52/Population_Tables!O26)*Population_Tables!C26)-N52</f>
        <v>709.28102414867283</v>
      </c>
      <c r="AA52" s="459">
        <f>((C52/Population_Tables!P26)*Population_Tables!D26)-O52</f>
        <v>440.17212623301259</v>
      </c>
      <c r="AB52" s="459">
        <f>((D52/Population_Tables!Q26)*Population_Tables!E26)-P52</f>
        <v>43.42621199587073</v>
      </c>
      <c r="AC52" s="459">
        <f>((E52/Population_Tables!R26)*Population_Tables!F26)-Q52</f>
        <v>327.15469788917875</v>
      </c>
      <c r="AD52" s="459">
        <f>((F52/Population_Tables!S26)*Population_Tables!G26)-R52</f>
        <v>8.446213396752043</v>
      </c>
      <c r="AE52" s="459">
        <f>((G52/Population_Tables!T26)*Population_Tables!H26)-S52</f>
        <v>30.842069899181006</v>
      </c>
      <c r="AF52" s="459">
        <f>(H52/Population_Tables!U26)*Population_Tables!I26</f>
        <v>324.61638529617699</v>
      </c>
      <c r="AG52" s="459">
        <f>(I52/Population_Tables!V26)*Population_Tables!J26</f>
        <v>40.941993695738319</v>
      </c>
      <c r="AH52" s="459">
        <f>(J52/Population_Tables!W26)*Population_Tables!K26</f>
        <v>104.30630749789938</v>
      </c>
      <c r="AI52" s="459">
        <f>(K52/Population_Tables!X26)*Population_Tables!L26</f>
        <v>67.713861766660074</v>
      </c>
      <c r="AK52" s="456">
        <v>2037</v>
      </c>
      <c r="AL52" s="459">
        <f t="shared" si="6"/>
        <v>734.11768053800438</v>
      </c>
      <c r="AM52" s="459">
        <f t="shared" si="6"/>
        <v>440.17212623301259</v>
      </c>
      <c r="AN52" s="459">
        <f t="shared" si="6"/>
        <v>43.42621199587073</v>
      </c>
      <c r="AO52" s="459">
        <f t="shared" si="6"/>
        <v>326.39405259692722</v>
      </c>
      <c r="AP52" s="459">
        <f t="shared" si="6"/>
        <v>21.793974763575324</v>
      </c>
      <c r="AQ52" s="459">
        <f t="shared" si="6"/>
        <v>43.09161021394079</v>
      </c>
      <c r="AR52" s="459">
        <f t="shared" si="6"/>
        <v>324.61638529617699</v>
      </c>
      <c r="AS52" s="459">
        <f t="shared" si="6"/>
        <v>40.941993695738319</v>
      </c>
      <c r="AT52" s="459">
        <f t="shared" si="6"/>
        <v>104.30630749789938</v>
      </c>
      <c r="AU52" s="459">
        <f t="shared" si="6"/>
        <v>67.713861766660074</v>
      </c>
      <c r="AW52" s="216">
        <f>(B52/Population_Tables!O26)*Population_Tables!C26</f>
        <v>734.11768053800438</v>
      </c>
      <c r="AX52" s="153" t="str">
        <f t="shared" si="7"/>
        <v>OK</v>
      </c>
      <c r="AY52" s="421">
        <f t="shared" si="4"/>
        <v>874.87797580332676</v>
      </c>
      <c r="AZ52" s="153" t="str">
        <f t="shared" si="5"/>
        <v>OK</v>
      </c>
      <c r="BB52" s="216">
        <f>(C52/Population_Tables!P26)*Population_Tables!D26</f>
        <v>440.17212623301259</v>
      </c>
      <c r="BC52" s="216">
        <f>(D52/Population_Tables!Q26)*Population_Tables!E26</f>
        <v>43.42621199587073</v>
      </c>
      <c r="BD52" s="216">
        <f>(E52/Population_Tables!R26)*Population_Tables!F26</f>
        <v>326.39405259692722</v>
      </c>
      <c r="BE52" s="216">
        <f>(F52/Population_Tables!S26)*Population_Tables!G26</f>
        <v>21.793974763575324</v>
      </c>
      <c r="BF52" s="216">
        <f>(G52/Population_Tables!T26)*Population_Tables!H26</f>
        <v>43.09161021394079</v>
      </c>
      <c r="BG52" s="216"/>
      <c r="BN52" s="216"/>
      <c r="BO52" s="216"/>
      <c r="BP52" s="216"/>
    </row>
    <row r="53" spans="1:68" ht="15.6" x14ac:dyDescent="0.3">
      <c r="A53" s="206">
        <v>2038</v>
      </c>
      <c r="B53" s="229">
        <v>717.92042982282078</v>
      </c>
      <c r="C53" s="229">
        <v>433.3982657795126</v>
      </c>
      <c r="D53" s="229">
        <v>42.586698344438219</v>
      </c>
      <c r="E53" s="229">
        <v>320.75349719728126</v>
      </c>
      <c r="F53" s="229">
        <v>21.502816967017338</v>
      </c>
      <c r="G53" s="229">
        <v>41.829064668568222</v>
      </c>
      <c r="H53" s="229">
        <v>323.34079355233689</v>
      </c>
      <c r="I53" s="229">
        <v>41.462156372929321</v>
      </c>
      <c r="J53" s="229">
        <v>100.86214550203303</v>
      </c>
      <c r="K53" s="229">
        <v>64.674653311450925</v>
      </c>
      <c r="M53" s="206">
        <v>2038</v>
      </c>
      <c r="N53" s="419">
        <f t="shared" si="2"/>
        <v>24.928139215679508</v>
      </c>
      <c r="O53" s="418">
        <f>(C53/Population_Tables!P27)*Population_Tables!D86</f>
        <v>0</v>
      </c>
      <c r="P53" s="418">
        <f>(D53/Population_Tables!Q27)*Population_Tables!E86</f>
        <v>0</v>
      </c>
      <c r="Q53" s="418">
        <f>((E53-H53)/Population_Tables!R27)*Population_Tables!F86</f>
        <v>-1.5109192811438832</v>
      </c>
      <c r="R53" s="418">
        <f>(F53/Population_Tables!S27)*Population_Tables!G86</f>
        <v>13.808383318423266</v>
      </c>
      <c r="S53" s="418">
        <f>(G53/Population_Tables!T27)*Population_Tables!H86</f>
        <v>12.630675178400127</v>
      </c>
      <c r="T53" s="418">
        <f>(H53/Population_Tables!U27)*Population_Tables!I86</f>
        <v>0</v>
      </c>
      <c r="U53" s="418">
        <f>(I53/Population_Tables!V27)*Population_Tables!J86</f>
        <v>0</v>
      </c>
      <c r="V53" s="418">
        <f>(J53/Population_Tables!W27)*Population_Tables!K86</f>
        <v>0</v>
      </c>
      <c r="W53" s="418">
        <f>(K53/Population_Tables!X27)*Population_Tables!L86</f>
        <v>0</v>
      </c>
      <c r="Y53" s="456">
        <v>2038</v>
      </c>
      <c r="Z53" s="459">
        <f>((B53/Population_Tables!O27)*Population_Tables!C27)-N53</f>
        <v>727.87147333759356</v>
      </c>
      <c r="AA53" s="459">
        <f>((C53/Population_Tables!P27)*Population_Tables!D27)-O53</f>
        <v>451.67656429655472</v>
      </c>
      <c r="AB53" s="459">
        <f>((D53/Population_Tables!Q27)*Population_Tables!E27)-P53</f>
        <v>44.390368160703304</v>
      </c>
      <c r="AC53" s="459">
        <f>((E53/Population_Tables!R27)*Population_Tables!F27)-Q53</f>
        <v>338.35853721578525</v>
      </c>
      <c r="AD53" s="459">
        <f>((F53/Population_Tables!S27)*Population_Tables!G27)-R53</f>
        <v>8.6805728937426903</v>
      </c>
      <c r="AE53" s="459">
        <f>((G53/Population_Tables!T27)*Population_Tables!H27)-S53</f>
        <v>31.664735858071907</v>
      </c>
      <c r="AF53" s="459">
        <f>(H53/Population_Tables!U27)*Population_Tables!I27</f>
        <v>336.10193414132539</v>
      </c>
      <c r="AG53" s="459">
        <f>(I53/Population_Tables!V27)*Population_Tables!J27</f>
        <v>43.575942063383543</v>
      </c>
      <c r="AH53" s="459">
        <f>(J53/Population_Tables!W27)*Population_Tables!K27</f>
        <v>104.87092391308936</v>
      </c>
      <c r="AI53" s="459">
        <f>(K53/Population_Tables!X27)*Population_Tables!L27</f>
        <v>67.637343294873546</v>
      </c>
      <c r="AK53" s="456">
        <v>2038</v>
      </c>
      <c r="AL53" s="459">
        <f t="shared" si="6"/>
        <v>752.79961255327305</v>
      </c>
      <c r="AM53" s="459">
        <f t="shared" si="6"/>
        <v>451.67656429655472</v>
      </c>
      <c r="AN53" s="459">
        <f t="shared" si="6"/>
        <v>44.390368160703304</v>
      </c>
      <c r="AO53" s="459">
        <f t="shared" si="6"/>
        <v>336.84761793464139</v>
      </c>
      <c r="AP53" s="459">
        <f t="shared" si="6"/>
        <v>22.488956212165956</v>
      </c>
      <c r="AQ53" s="459">
        <f t="shared" si="6"/>
        <v>44.295411036472032</v>
      </c>
      <c r="AR53" s="459">
        <f t="shared" si="6"/>
        <v>336.10193414132539</v>
      </c>
      <c r="AS53" s="459">
        <f t="shared" si="6"/>
        <v>43.575942063383543</v>
      </c>
      <c r="AT53" s="459">
        <f t="shared" si="6"/>
        <v>104.87092391308936</v>
      </c>
      <c r="AU53" s="459">
        <f t="shared" si="6"/>
        <v>67.637343294873546</v>
      </c>
      <c r="AW53" s="216">
        <f>(B53/Population_Tables!O27)*Population_Tables!C27</f>
        <v>752.79961255327305</v>
      </c>
      <c r="AX53" s="153" t="str">
        <f t="shared" si="7"/>
        <v>OK</v>
      </c>
      <c r="AY53" s="421">
        <f t="shared" si="4"/>
        <v>899.69891764053739</v>
      </c>
      <c r="AZ53" s="153" t="str">
        <f t="shared" si="5"/>
        <v>OK</v>
      </c>
      <c r="BB53" s="216">
        <f>(C53/Population_Tables!P27)*Population_Tables!D27</f>
        <v>451.67656429655472</v>
      </c>
      <c r="BC53" s="216">
        <f>(D53/Population_Tables!Q27)*Population_Tables!E27</f>
        <v>44.390368160703304</v>
      </c>
      <c r="BD53" s="216">
        <f>(E53/Population_Tables!R27)*Population_Tables!F27</f>
        <v>336.84761793464139</v>
      </c>
      <c r="BE53" s="216">
        <f>(F53/Population_Tables!S27)*Population_Tables!G27</f>
        <v>22.488956212165956</v>
      </c>
      <c r="BF53" s="216">
        <f>(G53/Population_Tables!T27)*Population_Tables!H27</f>
        <v>44.295411036472032</v>
      </c>
      <c r="BG53" s="216"/>
      <c r="BN53" s="216"/>
      <c r="BO53" s="216"/>
      <c r="BP53" s="216"/>
    </row>
    <row r="54" spans="1:68" ht="15.6" x14ac:dyDescent="0.3">
      <c r="A54" s="206">
        <v>2039</v>
      </c>
      <c r="B54" s="229">
        <v>733.89610956030492</v>
      </c>
      <c r="C54" s="229">
        <v>443.48614577154177</v>
      </c>
      <c r="D54" s="229">
        <v>43.407651710713381</v>
      </c>
      <c r="E54" s="229">
        <v>329.88580763938353</v>
      </c>
      <c r="F54" s="229">
        <v>22.120795935378801</v>
      </c>
      <c r="G54" s="229">
        <v>42.834936569170928</v>
      </c>
      <c r="H54" s="229">
        <v>333.71070252001738</v>
      </c>
      <c r="I54" s="229">
        <v>43.99295464881564</v>
      </c>
      <c r="J54" s="229">
        <v>101.14539376204692</v>
      </c>
      <c r="K54" s="229">
        <v>64.424068299914808</v>
      </c>
      <c r="M54" s="206">
        <v>2039</v>
      </c>
      <c r="N54" s="419">
        <f t="shared" si="2"/>
        <v>25.053571338499516</v>
      </c>
      <c r="O54" s="418">
        <f>(C54/Population_Tables!P28)*Population_Tables!D87</f>
        <v>0</v>
      </c>
      <c r="P54" s="418">
        <f>(D54/Population_Tables!Q28)*Population_Tables!E87</f>
        <v>0</v>
      </c>
      <c r="Q54" s="418">
        <f>((E54-H54)/Population_Tables!R28)*Population_Tables!F87</f>
        <v>-2.249632229499209</v>
      </c>
      <c r="R54" s="418">
        <f>(F54/Population_Tables!S28)*Population_Tables!G87</f>
        <v>14.280588644008123</v>
      </c>
      <c r="S54" s="418">
        <f>(G54/Population_Tables!T28)*Population_Tables!H87</f>
        <v>13.022614923990604</v>
      </c>
      <c r="T54" s="418">
        <f>(H54/Population_Tables!U28)*Population_Tables!I87</f>
        <v>0</v>
      </c>
      <c r="U54" s="418">
        <f>(I54/Population_Tables!V28)*Population_Tables!J87</f>
        <v>0</v>
      </c>
      <c r="V54" s="418">
        <f>(J54/Population_Tables!W28)*Population_Tables!K87</f>
        <v>0</v>
      </c>
      <c r="W54" s="418">
        <f>(K54/Population_Tables!X28)*Population_Tables!L87</f>
        <v>0</v>
      </c>
      <c r="Y54" s="456">
        <v>2039</v>
      </c>
      <c r="Z54" s="459">
        <f>((B54/Population_Tables!O28)*Population_Tables!C28)-N54</f>
        <v>746.86405905041397</v>
      </c>
      <c r="AA54" s="459">
        <f>((C54/Population_Tables!P28)*Population_Tables!D28)-O54</f>
        <v>463.44073006253092</v>
      </c>
      <c r="AB54" s="459">
        <f>((D54/Population_Tables!Q28)*Population_Tables!E28)-P54</f>
        <v>45.377988343185983</v>
      </c>
      <c r="AC54" s="459">
        <f>((E54/Population_Tables!R28)*Population_Tables!F28)-Q54</f>
        <v>349.79692177756175</v>
      </c>
      <c r="AD54" s="459">
        <f>((F54/Population_Tables!S28)*Population_Tables!G28)-R54</f>
        <v>8.9199175124553776</v>
      </c>
      <c r="AE54" s="459">
        <f>((G54/Population_Tables!T28)*Population_Tables!H28)-S54</f>
        <v>32.507832076269381</v>
      </c>
      <c r="AF54" s="459">
        <f>(H54/Population_Tables!U28)*Population_Tables!I28</f>
        <v>347.79030651050442</v>
      </c>
      <c r="AG54" s="459">
        <f>(I54/Population_Tables!V28)*Population_Tables!J28</f>
        <v>46.377223335042963</v>
      </c>
      <c r="AH54" s="459">
        <f>(J54/Population_Tables!W28)*Population_Tables!K28</f>
        <v>105.44219810563571</v>
      </c>
      <c r="AI54" s="459">
        <f>(K54/Population_Tables!X28)*Population_Tables!L28</f>
        <v>67.572684351522298</v>
      </c>
      <c r="AK54" s="456">
        <v>2039</v>
      </c>
      <c r="AL54" s="459">
        <f t="shared" si="6"/>
        <v>771.91763038891349</v>
      </c>
      <c r="AM54" s="459">
        <f t="shared" si="6"/>
        <v>463.44073006253092</v>
      </c>
      <c r="AN54" s="459">
        <f t="shared" si="6"/>
        <v>45.377988343185983</v>
      </c>
      <c r="AO54" s="459">
        <f t="shared" si="6"/>
        <v>347.54728954806257</v>
      </c>
      <c r="AP54" s="459">
        <f t="shared" si="6"/>
        <v>23.200506156463501</v>
      </c>
      <c r="AQ54" s="459">
        <f t="shared" si="6"/>
        <v>45.530447000259983</v>
      </c>
      <c r="AR54" s="459">
        <f t="shared" si="6"/>
        <v>347.79030651050442</v>
      </c>
      <c r="AS54" s="459">
        <f t="shared" si="6"/>
        <v>46.377223335042963</v>
      </c>
      <c r="AT54" s="459">
        <f t="shared" si="6"/>
        <v>105.44219810563571</v>
      </c>
      <c r="AU54" s="459">
        <f t="shared" si="6"/>
        <v>67.572684351522298</v>
      </c>
      <c r="AW54" s="216">
        <f>(B54/Population_Tables!O28)*Population_Tables!C28</f>
        <v>771.91763038891349</v>
      </c>
      <c r="AX54" s="153" t="str">
        <f t="shared" si="7"/>
        <v>OK</v>
      </c>
      <c r="AY54" s="421">
        <f t="shared" si="4"/>
        <v>925.09696111050289</v>
      </c>
      <c r="AZ54" s="153" t="str">
        <f t="shared" si="5"/>
        <v>OK</v>
      </c>
      <c r="BB54" s="216">
        <f>(C54/Population_Tables!P28)*Population_Tables!D28</f>
        <v>463.44073006253092</v>
      </c>
      <c r="BC54" s="216">
        <f>(D54/Population_Tables!Q28)*Population_Tables!E28</f>
        <v>45.377988343185983</v>
      </c>
      <c r="BD54" s="216">
        <f>(E54/Population_Tables!R28)*Population_Tables!F28</f>
        <v>347.54728954806257</v>
      </c>
      <c r="BE54" s="216">
        <f>(F54/Population_Tables!S28)*Population_Tables!G28</f>
        <v>23.200506156463501</v>
      </c>
      <c r="BF54" s="216">
        <f>(G54/Population_Tables!T28)*Population_Tables!H28</f>
        <v>45.530447000259983</v>
      </c>
      <c r="BG54" s="216"/>
      <c r="BN54" s="216"/>
      <c r="BO54" s="216"/>
      <c r="BP54" s="216"/>
    </row>
    <row r="55" spans="1:68" ht="15.6" x14ac:dyDescent="0.3">
      <c r="A55" s="206">
        <v>2040</v>
      </c>
      <c r="B55" s="229">
        <v>750.17915530429013</v>
      </c>
      <c r="C55" s="229">
        <v>453.77240531459461</v>
      </c>
      <c r="D55" s="229">
        <v>44.246414434576494</v>
      </c>
      <c r="E55" s="229">
        <v>339.1960765068967</v>
      </c>
      <c r="F55" s="229">
        <v>22.751178044635402</v>
      </c>
      <c r="G55" s="229">
        <v>43.862189448100409</v>
      </c>
      <c r="H55" s="229">
        <v>344.21855032694344</v>
      </c>
      <c r="I55" s="229">
        <v>46.674720447257407</v>
      </c>
      <c r="J55" s="229">
        <v>101.43269412563073</v>
      </c>
      <c r="K55" s="229">
        <v>64.186703532308826</v>
      </c>
      <c r="M55" s="206">
        <v>2040</v>
      </c>
      <c r="N55" s="419">
        <f t="shared" si="2"/>
        <v>25.216107471423193</v>
      </c>
      <c r="O55" s="418">
        <f>(C55/Population_Tables!P29)*Population_Tables!D88</f>
        <v>0</v>
      </c>
      <c r="P55" s="418">
        <f>(D55/Population_Tables!Q29)*Population_Tables!E88</f>
        <v>0</v>
      </c>
      <c r="Q55" s="418">
        <f>((E55-H55)/Population_Tables!R29)*Population_Tables!F88</f>
        <v>-2.9751000361262103</v>
      </c>
      <c r="R55" s="418">
        <f>(F55/Population_Tables!S29)*Population_Tables!G88</f>
        <v>14.765045259961706</v>
      </c>
      <c r="S55" s="418">
        <f>(G55/Population_Tables!T29)*Population_Tables!H88</f>
        <v>13.426162247587698</v>
      </c>
      <c r="T55" s="418">
        <f>(H55/Population_Tables!U29)*Population_Tables!I88</f>
        <v>0</v>
      </c>
      <c r="U55" s="418">
        <f>(I55/Population_Tables!V29)*Population_Tables!J88</f>
        <v>0</v>
      </c>
      <c r="V55" s="418">
        <f>(J55/Population_Tables!W29)*Population_Tables!K88</f>
        <v>0</v>
      </c>
      <c r="W55" s="418">
        <f>(K55/Population_Tables!X29)*Population_Tables!L88</f>
        <v>0</v>
      </c>
      <c r="Y55" s="456">
        <v>2040</v>
      </c>
      <c r="Z55" s="459">
        <f>((B55/Population_Tables!O29)*Population_Tables!C29)-N55</f>
        <v>766.27549774752879</v>
      </c>
      <c r="AA55" s="459">
        <f>((C55/Population_Tables!P29)*Population_Tables!D29)-O55</f>
        <v>475.4768841366087</v>
      </c>
      <c r="AB55" s="459">
        <f>((D55/Population_Tables!Q29)*Population_Tables!E29)-P55</f>
        <v>46.392380967592828</v>
      </c>
      <c r="AC55" s="459">
        <f>((E55/Population_Tables!R29)*Population_Tables!F29)-Q55</f>
        <v>361.4860198176857</v>
      </c>
      <c r="AD55" s="459">
        <f>((F55/Population_Tables!S29)*Population_Tables!G29)-R55</f>
        <v>9.1645374834407285</v>
      </c>
      <c r="AE55" s="459">
        <f>((G55/Population_Tables!T29)*Population_Tables!H29)-S55</f>
        <v>33.372547455267132</v>
      </c>
      <c r="AF55" s="459">
        <f>(H55/Population_Tables!U29)*Population_Tables!I29</f>
        <v>359.69412942741695</v>
      </c>
      <c r="AG55" s="459">
        <f>(I55/Population_Tables!V29)*Population_Tables!J29</f>
        <v>49.354956352664196</v>
      </c>
      <c r="AH55" s="459">
        <f>(J55/Population_Tables!W29)*Population_Tables!K29</f>
        <v>106.02283590405891</v>
      </c>
      <c r="AI55" s="459">
        <f>(K55/Population_Tables!X29)*Population_Tables!L29</f>
        <v>67.521143127838954</v>
      </c>
      <c r="AK55" s="456">
        <v>2040</v>
      </c>
      <c r="AL55" s="459">
        <f t="shared" si="6"/>
        <v>791.49160521895203</v>
      </c>
      <c r="AM55" s="459">
        <f t="shared" si="6"/>
        <v>475.4768841366087</v>
      </c>
      <c r="AN55" s="459">
        <f t="shared" si="6"/>
        <v>46.392380967592828</v>
      </c>
      <c r="AO55" s="459">
        <f t="shared" si="6"/>
        <v>358.51091978155949</v>
      </c>
      <c r="AP55" s="459">
        <f t="shared" si="6"/>
        <v>23.929582743402435</v>
      </c>
      <c r="AQ55" s="459">
        <f t="shared" si="6"/>
        <v>46.798709702854829</v>
      </c>
      <c r="AR55" s="459">
        <f t="shared" si="6"/>
        <v>359.69412942741695</v>
      </c>
      <c r="AS55" s="459">
        <f t="shared" si="6"/>
        <v>49.354956352664196</v>
      </c>
      <c r="AT55" s="459">
        <f t="shared" si="6"/>
        <v>106.02283590405891</v>
      </c>
      <c r="AU55" s="459">
        <f t="shared" si="6"/>
        <v>67.521143127838954</v>
      </c>
      <c r="AW55" s="216">
        <f>(B55/Population_Tables!O29)*Population_Tables!C29</f>
        <v>791.49160521895203</v>
      </c>
      <c r="AX55" s="153" t="str">
        <f t="shared" si="7"/>
        <v>OK</v>
      </c>
      <c r="AY55" s="421">
        <f t="shared" si="4"/>
        <v>951.10847733201831</v>
      </c>
      <c r="AZ55" s="153" t="str">
        <f t="shared" si="5"/>
        <v>OK</v>
      </c>
      <c r="BB55" s="216">
        <f>(C55/Population_Tables!P29)*Population_Tables!D29</f>
        <v>475.4768841366087</v>
      </c>
      <c r="BC55" s="216">
        <f>(D55/Population_Tables!Q29)*Population_Tables!E29</f>
        <v>46.392380967592828</v>
      </c>
      <c r="BD55" s="216">
        <f>(E55/Population_Tables!R29)*Population_Tables!F29</f>
        <v>358.51091978155949</v>
      </c>
      <c r="BE55" s="216">
        <f>(F55/Population_Tables!S29)*Population_Tables!G29</f>
        <v>23.929582743402435</v>
      </c>
      <c r="BF55" s="216">
        <f>(G55/Population_Tables!T29)*Population_Tables!H29</f>
        <v>46.798709702854829</v>
      </c>
      <c r="BG55" s="216"/>
      <c r="BN55" s="216"/>
      <c r="BO55" s="216"/>
      <c r="BP55" s="216"/>
    </row>
    <row r="56" spans="1:68" ht="15.6" x14ac:dyDescent="0.3">
      <c r="A56" s="206">
        <v>2041</v>
      </c>
      <c r="B56" s="229">
        <v>766.76727162669567</v>
      </c>
      <c r="C56" s="229">
        <v>464.26018028283011</v>
      </c>
      <c r="D56" s="229">
        <v>45.105012352954475</v>
      </c>
      <c r="E56" s="229">
        <v>348.69075659441296</v>
      </c>
      <c r="F56" s="229">
        <v>23.39419040631163</v>
      </c>
      <c r="G56" s="229">
        <v>44.911209328818281</v>
      </c>
      <c r="H56" s="229">
        <v>354.86855717399885</v>
      </c>
      <c r="I56" s="229">
        <v>49.513621776968371</v>
      </c>
      <c r="J56" s="229">
        <v>101.72501462373111</v>
      </c>
      <c r="K56" s="229">
        <v>63.962559008632972</v>
      </c>
      <c r="M56" s="206">
        <v>2041</v>
      </c>
      <c r="N56" s="419">
        <f t="shared" si="2"/>
        <v>25.418240430310732</v>
      </c>
      <c r="O56" s="418">
        <f>(C56/Population_Tables!P30)*Population_Tables!D89</f>
        <v>0</v>
      </c>
      <c r="P56" s="418">
        <f>(D56/Population_Tables!Q30)*Population_Tables!E89</f>
        <v>0</v>
      </c>
      <c r="Q56" s="418">
        <f>((E56-H56)/Population_Tables!R30)*Population_Tables!F89</f>
        <v>-3.6855967500525408</v>
      </c>
      <c r="R56" s="418">
        <f>(F56/Population_Tables!S30)*Population_Tables!G89</f>
        <v>15.262109119837445</v>
      </c>
      <c r="S56" s="418">
        <f>(G56/Population_Tables!T30)*Population_Tables!H89</f>
        <v>13.841728060525829</v>
      </c>
      <c r="T56" s="418">
        <f>(H56/Population_Tables!U30)*Population_Tables!I89</f>
        <v>0</v>
      </c>
      <c r="U56" s="418">
        <f>(I56/Population_Tables!V30)*Population_Tables!J89</f>
        <v>0</v>
      </c>
      <c r="V56" s="418">
        <f>(J56/Population_Tables!W30)*Population_Tables!K89</f>
        <v>0</v>
      </c>
      <c r="W56" s="418">
        <f>(K56/Population_Tables!X30)*Population_Tables!L89</f>
        <v>0</v>
      </c>
      <c r="Y56" s="456">
        <v>2041</v>
      </c>
      <c r="Z56" s="459">
        <f>((B56/Population_Tables!O30)*Population_Tables!C30)-N56</f>
        <v>786.10989764805731</v>
      </c>
      <c r="AA56" s="459">
        <f>((C56/Population_Tables!P30)*Population_Tables!D30)-O56</f>
        <v>487.79202919125157</v>
      </c>
      <c r="AB56" s="459">
        <f>((D56/Population_Tables!Q30)*Population_Tables!E30)-P56</f>
        <v>47.436208296192888</v>
      </c>
      <c r="AC56" s="459">
        <f>((E56/Population_Tables!R30)*Population_Tables!F30)-Q56</f>
        <v>373.43604262652758</v>
      </c>
      <c r="AD56" s="459">
        <f>((F56/Population_Tables!S30)*Population_Tables!G30)-R56</f>
        <v>9.4146267967269726</v>
      </c>
      <c r="AE56" s="459">
        <f>((G56/Population_Tables!T30)*Population_Tables!H30)-S56</f>
        <v>34.259585155620954</v>
      </c>
      <c r="AF56" s="459">
        <f>(H56/Population_Tables!U30)*Population_Tables!I30</f>
        <v>371.82147322149996</v>
      </c>
      <c r="AG56" s="459">
        <f>(I56/Population_Tables!V30)*Population_Tables!J30</f>
        <v>52.517606291693497</v>
      </c>
      <c r="AH56" s="459">
        <f>(J56/Population_Tables!W30)*Population_Tables!K30</f>
        <v>106.6142713898668</v>
      </c>
      <c r="AI56" s="459">
        <f>(K56/Population_Tables!X30)*Population_Tables!L30</f>
        <v>67.483041011662593</v>
      </c>
      <c r="AK56" s="456">
        <v>2041</v>
      </c>
      <c r="AL56" s="459">
        <f t="shared" si="6"/>
        <v>811.5281380783681</v>
      </c>
      <c r="AM56" s="459">
        <f t="shared" si="6"/>
        <v>487.79202919125157</v>
      </c>
      <c r="AN56" s="459">
        <f t="shared" si="6"/>
        <v>47.436208296192888</v>
      </c>
      <c r="AO56" s="459">
        <f t="shared" si="6"/>
        <v>369.75044587647506</v>
      </c>
      <c r="AP56" s="459">
        <f t="shared" si="6"/>
        <v>24.676735916564418</v>
      </c>
      <c r="AQ56" s="459">
        <f t="shared" si="6"/>
        <v>48.101313216146785</v>
      </c>
      <c r="AR56" s="459">
        <f t="shared" si="6"/>
        <v>371.82147322149996</v>
      </c>
      <c r="AS56" s="459">
        <f t="shared" si="6"/>
        <v>52.517606291693497</v>
      </c>
      <c r="AT56" s="459">
        <f t="shared" si="6"/>
        <v>106.6142713898668</v>
      </c>
      <c r="AU56" s="459">
        <f t="shared" si="6"/>
        <v>67.483041011662593</v>
      </c>
      <c r="AW56" s="216">
        <f>(B56/Population_Tables!O30)*Population_Tables!C30</f>
        <v>811.52813807836799</v>
      </c>
      <c r="AX56" s="153" t="b">
        <f t="shared" si="7"/>
        <v>0</v>
      </c>
      <c r="AY56" s="421">
        <f t="shared" si="4"/>
        <v>977.75673249663066</v>
      </c>
      <c r="AZ56" s="153" t="str">
        <f t="shared" si="5"/>
        <v>OK</v>
      </c>
      <c r="BB56" s="216">
        <f>(C56/Population_Tables!P30)*Population_Tables!D30</f>
        <v>487.79202919125157</v>
      </c>
      <c r="BC56" s="216">
        <f>(D56/Population_Tables!Q30)*Population_Tables!E30</f>
        <v>47.436208296192888</v>
      </c>
      <c r="BD56" s="216">
        <f>(E56/Population_Tables!R30)*Population_Tables!F30</f>
        <v>369.75044587647506</v>
      </c>
      <c r="BE56" s="216">
        <f>(F56/Population_Tables!S30)*Population_Tables!G30</f>
        <v>24.676735916564418</v>
      </c>
      <c r="BF56" s="216">
        <f>(G56/Population_Tables!T30)*Population_Tables!H30</f>
        <v>48.101313216146785</v>
      </c>
      <c r="BG56" s="216"/>
      <c r="BN56" s="216"/>
      <c r="BO56" s="216"/>
      <c r="BP56" s="216"/>
    </row>
    <row r="57" spans="1:68" ht="15.6" x14ac:dyDescent="0.3">
      <c r="A57" s="206">
        <v>2042</v>
      </c>
      <c r="B57" s="229">
        <v>783.65816309944091</v>
      </c>
      <c r="C57" s="229">
        <v>474.95260655040715</v>
      </c>
      <c r="D57" s="229">
        <v>45.985471302774201</v>
      </c>
      <c r="E57" s="229">
        <v>358.37630069652425</v>
      </c>
      <c r="F57" s="229">
        <v>24.050060131931957</v>
      </c>
      <c r="G57" s="229">
        <v>45.982382234786144</v>
      </c>
      <c r="H57" s="229">
        <v>365.66494326206731</v>
      </c>
      <c r="I57" s="229">
        <v>52.515826646662312</v>
      </c>
      <c r="J57" s="229">
        <v>102.02332328729473</v>
      </c>
      <c r="K57" s="229">
        <v>63.751634728887254</v>
      </c>
      <c r="M57" s="206">
        <v>2042</v>
      </c>
      <c r="N57" s="419">
        <f t="shared" si="2"/>
        <v>25.662298310661598</v>
      </c>
      <c r="O57" s="418">
        <f>(C57/Population_Tables!P31)*Population_Tables!D90</f>
        <v>0</v>
      </c>
      <c r="P57" s="418">
        <f>(D57/Population_Tables!Q31)*Population_Tables!E90</f>
        <v>0</v>
      </c>
      <c r="Q57" s="418">
        <f>((E57-H57)/Population_Tables!R31)*Population_Tables!F90</f>
        <v>-4.3793619414060121</v>
      </c>
      <c r="R57" s="418">
        <f>(F57/Population_Tables!S31)*Population_Tables!G90</f>
        <v>15.772058306712948</v>
      </c>
      <c r="S57" s="418">
        <f>(G57/Population_Tables!T31)*Population_Tables!H90</f>
        <v>14.269601945354662</v>
      </c>
      <c r="T57" s="418">
        <f>(H57/Population_Tables!U31)*Population_Tables!I90</f>
        <v>0</v>
      </c>
      <c r="U57" s="418">
        <f>(I57/Population_Tables!V31)*Population_Tables!J90</f>
        <v>0</v>
      </c>
      <c r="V57" s="418">
        <f>(J57/Population_Tables!W31)*Population_Tables!K90</f>
        <v>0</v>
      </c>
      <c r="W57" s="418">
        <f>(K57/Population_Tables!X31)*Population_Tables!L90</f>
        <v>0</v>
      </c>
      <c r="Y57" s="456">
        <v>2042</v>
      </c>
      <c r="Z57" s="459">
        <f>((B57/Population_Tables!O31)*Population_Tables!C31)-N57</f>
        <v>806.3681115043745</v>
      </c>
      <c r="AA57" s="459">
        <f>((C57/Population_Tables!P31)*Population_Tables!D31)-O57</f>
        <v>500.39043937775244</v>
      </c>
      <c r="AB57" s="459">
        <f>((D57/Population_Tables!Q31)*Population_Tables!E31)-P57</f>
        <v>48.511880740940896</v>
      </c>
      <c r="AC57" s="459">
        <f>((E57/Population_Tables!R31)*Population_Tables!F31)-Q57</f>
        <v>385.6561634496116</v>
      </c>
      <c r="AD57" s="459">
        <f>((F57/Population_Tables!S31)*Population_Tables!G31)-R57</f>
        <v>9.6703490219459649</v>
      </c>
      <c r="AE57" s="459">
        <f>((G57/Population_Tables!T31)*Population_Tables!H31)-S57</f>
        <v>35.169464602949915</v>
      </c>
      <c r="AF57" s="459">
        <f>(H57/Population_Tables!U31)*Population_Tables!I31</f>
        <v>384.17923319898438</v>
      </c>
      <c r="AG57" s="459">
        <f>(I57/Population_Tables!V31)*Population_Tables!J31</f>
        <v>55.873783362802797</v>
      </c>
      <c r="AH57" s="459">
        <f>(J57/Population_Tables!W31)*Population_Tables!K31</f>
        <v>107.21728692021419</v>
      </c>
      <c r="AI57" s="459">
        <f>(K57/Population_Tables!X31)*Population_Tables!L31</f>
        <v>67.458350777883638</v>
      </c>
      <c r="AK57" s="456">
        <v>2042</v>
      </c>
      <c r="AL57" s="459">
        <f t="shared" si="6"/>
        <v>832.03040981503614</v>
      </c>
      <c r="AM57" s="459">
        <f t="shared" si="6"/>
        <v>500.39043937775244</v>
      </c>
      <c r="AN57" s="459">
        <f t="shared" si="6"/>
        <v>48.511880740940896</v>
      </c>
      <c r="AO57" s="459">
        <f t="shared" si="6"/>
        <v>381.27680150820561</v>
      </c>
      <c r="AP57" s="459">
        <f t="shared" si="6"/>
        <v>25.442407328658913</v>
      </c>
      <c r="AQ57" s="459">
        <f t="shared" si="6"/>
        <v>49.439066548304581</v>
      </c>
      <c r="AR57" s="459">
        <f t="shared" si="6"/>
        <v>384.17923319898438</v>
      </c>
      <c r="AS57" s="459">
        <f t="shared" si="6"/>
        <v>55.873783362802797</v>
      </c>
      <c r="AT57" s="459">
        <f t="shared" si="6"/>
        <v>107.21728692021419</v>
      </c>
      <c r="AU57" s="459">
        <f t="shared" si="6"/>
        <v>67.458350777883638</v>
      </c>
      <c r="AW57" s="216">
        <f>(B57/Population_Tables!O31)*Population_Tables!C31</f>
        <v>832.03040981503614</v>
      </c>
      <c r="AX57" s="153" t="str">
        <f t="shared" si="7"/>
        <v>OK</v>
      </c>
      <c r="AY57" s="421">
        <f t="shared" si="4"/>
        <v>1005.0605955038624</v>
      </c>
      <c r="AZ57" s="153" t="str">
        <f t="shared" si="5"/>
        <v>OK</v>
      </c>
      <c r="BB57" s="216">
        <f>(C57/Population_Tables!P31)*Population_Tables!D31</f>
        <v>500.39043937775244</v>
      </c>
      <c r="BC57" s="216">
        <f>(D57/Population_Tables!Q31)*Population_Tables!E31</f>
        <v>48.511880740940896</v>
      </c>
      <c r="BD57" s="216">
        <f>(E57/Population_Tables!R31)*Population_Tables!F31</f>
        <v>381.27680150820561</v>
      </c>
      <c r="BE57" s="216">
        <f>(F57/Population_Tables!S31)*Population_Tables!G31</f>
        <v>25.442407328658913</v>
      </c>
      <c r="BF57" s="216">
        <f>(G57/Population_Tables!T31)*Population_Tables!H31</f>
        <v>49.439066548304581</v>
      </c>
      <c r="BG57" s="216"/>
      <c r="BN57" s="216"/>
      <c r="BO57" s="216"/>
      <c r="BP57" s="216"/>
    </row>
    <row r="58" spans="1:68" ht="15.6" x14ac:dyDescent="0.3">
      <c r="A58" s="206">
        <v>2043</v>
      </c>
      <c r="B58" s="229">
        <v>800.84953429444511</v>
      </c>
      <c r="C58" s="229">
        <v>485.85281999148481</v>
      </c>
      <c r="D58" s="229">
        <v>46.889817120962562</v>
      </c>
      <c r="E58" s="229">
        <v>368.25916160782299</v>
      </c>
      <c r="F58" s="229">
        <v>24.71901433302088</v>
      </c>
      <c r="G58" s="229">
        <v>47.076094189465614</v>
      </c>
      <c r="H58" s="229">
        <v>376.61192879203264</v>
      </c>
      <c r="I58" s="229">
        <v>55.687503065052987</v>
      </c>
      <c r="J58" s="229">
        <v>102.32858814726821</v>
      </c>
      <c r="K58" s="229">
        <v>63.553930693071663</v>
      </c>
      <c r="M58" s="206">
        <v>2043</v>
      </c>
      <c r="N58" s="419">
        <f t="shared" si="2"/>
        <v>25.95109313785737</v>
      </c>
      <c r="O58" s="418">
        <f>(C58/Population_Tables!P32)*Population_Tables!D91</f>
        <v>0</v>
      </c>
      <c r="P58" s="418">
        <f>(D58/Population_Tables!Q32)*Population_Tables!E91</f>
        <v>0</v>
      </c>
      <c r="Q58" s="418">
        <f>((E58-H58)/Population_Tables!R32)*Population_Tables!F91</f>
        <v>-5.0547305929923825</v>
      </c>
      <c r="R58" s="418">
        <f>(F58/Population_Tables!S32)*Population_Tables!G91</f>
        <v>16.295444757808816</v>
      </c>
      <c r="S58" s="418">
        <f>(G58/Population_Tables!T32)*Population_Tables!H91</f>
        <v>14.710378973040935</v>
      </c>
      <c r="T58" s="418">
        <f>(H58/Population_Tables!U32)*Population_Tables!I91</f>
        <v>0</v>
      </c>
      <c r="U58" s="418">
        <f>(I58/Population_Tables!V32)*Population_Tables!J91</f>
        <v>0</v>
      </c>
      <c r="V58" s="418">
        <f>(J58/Population_Tables!W32)*Population_Tables!K91</f>
        <v>0</v>
      </c>
      <c r="W58" s="418">
        <f>(K58/Population_Tables!X32)*Population_Tables!L91</f>
        <v>0</v>
      </c>
      <c r="Y58" s="456">
        <v>2043</v>
      </c>
      <c r="Z58" s="459">
        <f>((B58/Population_Tables!O32)*Population_Tables!C32)-N58</f>
        <v>827.06229900389121</v>
      </c>
      <c r="AA58" s="459">
        <f>((C58/Population_Tables!P32)*Population_Tables!D32)-O58</f>
        <v>513.28041021030481</v>
      </c>
      <c r="AB58" s="459">
        <f>((D58/Population_Tables!Q32)*Population_Tables!E32)-P58</f>
        <v>49.622290847167065</v>
      </c>
      <c r="AC58" s="459">
        <f>((E58/Population_Tables!R32)*Population_Tables!F32)-Q58</f>
        <v>398.16210785636429</v>
      </c>
      <c r="AD58" s="459">
        <f>((F58/Population_Tables!S32)*Population_Tables!G32)-R58</f>
        <v>9.9319403563391013</v>
      </c>
      <c r="AE58" s="459">
        <f>((G58/Population_Tables!T32)*Population_Tables!H32)-S58</f>
        <v>36.103055545763624</v>
      </c>
      <c r="AF58" s="459">
        <f>(H58/Population_Tables!U32)*Population_Tables!I32</f>
        <v>396.77905299819366</v>
      </c>
      <c r="AG58" s="459">
        <f>(I58/Population_Tables!V32)*Population_Tables!J32</f>
        <v>59.433487737506788</v>
      </c>
      <c r="AH58" s="459">
        <f>(J58/Population_Tables!W32)*Population_Tables!K32</f>
        <v>107.83347774313994</v>
      </c>
      <c r="AI58" s="459">
        <f>(K58/Population_Tables!X32)*Population_Tables!L32</f>
        <v>67.447652021354969</v>
      </c>
      <c r="AK58" s="456">
        <v>2043</v>
      </c>
      <c r="AL58" s="459">
        <f t="shared" si="6"/>
        <v>853.01339214174857</v>
      </c>
      <c r="AM58" s="459">
        <f t="shared" si="6"/>
        <v>513.28041021030481</v>
      </c>
      <c r="AN58" s="459">
        <f t="shared" si="6"/>
        <v>49.622290847167065</v>
      </c>
      <c r="AO58" s="459">
        <f t="shared" si="6"/>
        <v>393.10737726337192</v>
      </c>
      <c r="AP58" s="459">
        <f t="shared" si="6"/>
        <v>26.227385114147918</v>
      </c>
      <c r="AQ58" s="459">
        <f t="shared" si="6"/>
        <v>50.813434518804556</v>
      </c>
      <c r="AR58" s="459">
        <f t="shared" si="6"/>
        <v>396.77905299819366</v>
      </c>
      <c r="AS58" s="459">
        <f t="shared" si="6"/>
        <v>59.433487737506788</v>
      </c>
      <c r="AT58" s="459">
        <f t="shared" si="6"/>
        <v>107.83347774313994</v>
      </c>
      <c r="AU58" s="459">
        <f t="shared" si="6"/>
        <v>67.447652021354969</v>
      </c>
      <c r="AW58" s="216">
        <f>(B58/Population_Tables!O32)*Population_Tables!C32</f>
        <v>853.01339214174857</v>
      </c>
      <c r="AX58" s="153" t="str">
        <f t="shared" si="7"/>
        <v>OK</v>
      </c>
      <c r="AY58" s="421">
        <f t="shared" si="4"/>
        <v>1033.0508979537963</v>
      </c>
      <c r="AZ58" s="153" t="str">
        <f t="shared" si="5"/>
        <v>OK</v>
      </c>
      <c r="BB58" s="216">
        <f>(C58/Population_Tables!P32)*Population_Tables!D32</f>
        <v>513.28041021030481</v>
      </c>
      <c r="BC58" s="216">
        <f>(D58/Population_Tables!Q32)*Population_Tables!E32</f>
        <v>49.622290847167065</v>
      </c>
      <c r="BD58" s="216">
        <f>(E58/Population_Tables!R32)*Population_Tables!F32</f>
        <v>393.10737726337192</v>
      </c>
      <c r="BE58" s="216">
        <f>(F58/Population_Tables!S32)*Population_Tables!G32</f>
        <v>26.227385114147918</v>
      </c>
      <c r="BF58" s="216">
        <f>(G58/Population_Tables!T32)*Population_Tables!H32</f>
        <v>50.813434518804563</v>
      </c>
      <c r="BG58" s="216"/>
      <c r="BN58" s="216"/>
      <c r="BO58" s="216"/>
      <c r="BP58" s="216"/>
    </row>
    <row r="59" spans="1:68" ht="15.6" x14ac:dyDescent="0.3">
      <c r="A59" s="206">
        <v>2044</v>
      </c>
      <c r="B59" s="229">
        <v>818.3390897836274</v>
      </c>
      <c r="C59" s="229">
        <v>496.9639564802219</v>
      </c>
      <c r="D59" s="229">
        <v>47.820075644446476</v>
      </c>
      <c r="E59" s="229">
        <v>378.34579212290112</v>
      </c>
      <c r="F59" s="229">
        <v>25.401280121102875</v>
      </c>
      <c r="G59" s="229">
        <v>48.1927312163183</v>
      </c>
      <c r="H59" s="229">
        <v>387.71373396477861</v>
      </c>
      <c r="I59" s="229">
        <v>59.034819040854174</v>
      </c>
      <c r="J59" s="229">
        <v>102.64177723459819</v>
      </c>
      <c r="K59" s="229">
        <v>63.369446901186208</v>
      </c>
      <c r="M59" s="206">
        <v>2044</v>
      </c>
      <c r="N59" s="419">
        <f t="shared" si="2"/>
        <v>26.287485314838044</v>
      </c>
      <c r="O59" s="418">
        <f>(C59/Population_Tables!P33)*Population_Tables!D92</f>
        <v>0</v>
      </c>
      <c r="P59" s="418">
        <f>(D59/Population_Tables!Q33)*Population_Tables!E92</f>
        <v>0</v>
      </c>
      <c r="Q59" s="418">
        <f>((E59-H59)/Population_Tables!R33)*Population_Tables!F92</f>
        <v>-5.710099008083426</v>
      </c>
      <c r="R59" s="418">
        <f>(F59/Population_Tables!S33)*Population_Tables!G92</f>
        <v>16.832872426305535</v>
      </c>
      <c r="S59" s="418">
        <f>(G59/Population_Tables!T33)*Population_Tables!H92</f>
        <v>15.164711896615936</v>
      </c>
      <c r="T59" s="418">
        <f>(H59/Population_Tables!U33)*Population_Tables!I92</f>
        <v>0</v>
      </c>
      <c r="U59" s="418">
        <f>(I59/Population_Tables!V33)*Population_Tables!J92</f>
        <v>0</v>
      </c>
      <c r="V59" s="418">
        <f>(J59/Population_Tables!W33)*Population_Tables!K92</f>
        <v>0</v>
      </c>
      <c r="W59" s="418">
        <f>(K59/Population_Tables!X33)*Population_Tables!L92</f>
        <v>0</v>
      </c>
      <c r="Y59" s="456">
        <v>2044</v>
      </c>
      <c r="Z59" s="459">
        <f>((B59/Population_Tables!O33)*Population_Tables!C33)-N59</f>
        <v>848.2072236699745</v>
      </c>
      <c r="AA59" s="459">
        <f>((C59/Population_Tables!P33)*Population_Tables!D33)-O59</f>
        <v>526.47059737816687</v>
      </c>
      <c r="AB59" s="459">
        <f>((D59/Population_Tables!Q33)*Population_Tables!E33)-P59</f>
        <v>50.770393120997596</v>
      </c>
      <c r="AC59" s="459">
        <f>((E59/Population_Tables!R33)*Population_Tables!F33)-Q59</f>
        <v>410.97182054545289</v>
      </c>
      <c r="AD59" s="459">
        <f>((F59/Population_Tables!S33)*Population_Tables!G33)-R59</f>
        <v>10.19964646300641</v>
      </c>
      <c r="AE59" s="459">
        <f>((G59/Population_Tables!T33)*Population_Tables!H33)-S59</f>
        <v>37.061279871707924</v>
      </c>
      <c r="AF59" s="459">
        <f>(H59/Population_Tables!U33)*Population_Tables!I33</f>
        <v>409.63410455018715</v>
      </c>
      <c r="AG59" s="459">
        <f>(I59/Population_Tables!V33)*Population_Tables!J33</f>
        <v>63.207514999003585</v>
      </c>
      <c r="AH59" s="459">
        <f>(J59/Population_Tables!W33)*Population_Tables!K33</f>
        <v>108.46444018343085</v>
      </c>
      <c r="AI59" s="459">
        <f>(K59/Population_Tables!X33)*Population_Tables!L33</f>
        <v>67.451574510203912</v>
      </c>
      <c r="AK59" s="456">
        <v>2044</v>
      </c>
      <c r="AL59" s="459">
        <f t="shared" si="6"/>
        <v>874.49470898481252</v>
      </c>
      <c r="AM59" s="459">
        <f t="shared" si="6"/>
        <v>526.47059737816687</v>
      </c>
      <c r="AN59" s="459">
        <f t="shared" si="6"/>
        <v>50.770393120997596</v>
      </c>
      <c r="AO59" s="459">
        <f t="shared" si="6"/>
        <v>405.26172153736945</v>
      </c>
      <c r="AP59" s="459">
        <f t="shared" si="6"/>
        <v>27.032518889311945</v>
      </c>
      <c r="AQ59" s="459">
        <f t="shared" si="6"/>
        <v>52.225991768323858</v>
      </c>
      <c r="AR59" s="459">
        <f t="shared" si="6"/>
        <v>409.63410455018715</v>
      </c>
      <c r="AS59" s="459">
        <f t="shared" si="6"/>
        <v>63.207514999003585</v>
      </c>
      <c r="AT59" s="459">
        <f t="shared" si="6"/>
        <v>108.46444018343085</v>
      </c>
      <c r="AU59" s="459">
        <f t="shared" si="6"/>
        <v>67.451574510203912</v>
      </c>
      <c r="AW59" s="216">
        <f>(B59/Population_Tables!O33)*Population_Tables!C33</f>
        <v>874.49470898481252</v>
      </c>
      <c r="AX59" s="153" t="str">
        <f t="shared" si="7"/>
        <v>OK</v>
      </c>
      <c r="AY59" s="421">
        <f t="shared" si="4"/>
        <v>1061.7612226941696</v>
      </c>
      <c r="AZ59" s="153" t="str">
        <f t="shared" si="5"/>
        <v>OK</v>
      </c>
      <c r="BB59" s="216">
        <f>(C59/Population_Tables!P33)*Population_Tables!D33</f>
        <v>526.47059737816687</v>
      </c>
      <c r="BC59" s="216">
        <f>(D59/Population_Tables!Q33)*Population_Tables!E33</f>
        <v>50.770393120997596</v>
      </c>
      <c r="BD59" s="216">
        <f>(E59/Population_Tables!R33)*Population_Tables!F33</f>
        <v>405.26172153736945</v>
      </c>
      <c r="BE59" s="216">
        <f>(F59/Population_Tables!S33)*Population_Tables!G33</f>
        <v>27.032518889311945</v>
      </c>
      <c r="BF59" s="216">
        <f>(G59/Population_Tables!T33)*Population_Tables!H33</f>
        <v>52.225991768323858</v>
      </c>
      <c r="BG59" s="216"/>
      <c r="BN59" s="216"/>
      <c r="BO59" s="216"/>
      <c r="BP59" s="216"/>
    </row>
    <row r="60" spans="1:68" ht="15.6" x14ac:dyDescent="0.3">
      <c r="A60" s="206">
        <v>2045</v>
      </c>
      <c r="B60" s="229">
        <v>836.12453413890728</v>
      </c>
      <c r="C60" s="229">
        <v>508.28915189077748</v>
      </c>
      <c r="D60" s="229">
        <v>48.778272710152805</v>
      </c>
      <c r="E60" s="229">
        <v>388.64264503635081</v>
      </c>
      <c r="F60" s="229">
        <v>26.097084607702428</v>
      </c>
      <c r="G60" s="229">
        <v>49.332679338805804</v>
      </c>
      <c r="H60" s="229">
        <v>398.97457898118887</v>
      </c>
      <c r="I60" s="229">
        <v>62.563942582779625</v>
      </c>
      <c r="J60" s="229">
        <v>102.96385858023136</v>
      </c>
      <c r="K60" s="229">
        <v>63.198183353230881</v>
      </c>
      <c r="M60" s="206">
        <v>2045</v>
      </c>
      <c r="N60" s="419">
        <f t="shared" si="2"/>
        <v>26.67431241146728</v>
      </c>
      <c r="O60" s="418">
        <f>(C60/Population_Tables!P34)*Population_Tables!D93</f>
        <v>0</v>
      </c>
      <c r="P60" s="418">
        <f>(D60/Population_Tables!Q34)*Population_Tables!E93</f>
        <v>0</v>
      </c>
      <c r="Q60" s="418">
        <f>((E60-H60)/Population_Tables!R34)*Population_Tables!F93</f>
        <v>-6.3438609677222075</v>
      </c>
      <c r="R60" s="418">
        <f>(F60/Population_Tables!S34)*Population_Tables!G93</f>
        <v>17.384920015810959</v>
      </c>
      <c r="S60" s="418">
        <f>(G60/Population_Tables!T34)*Population_Tables!H93</f>
        <v>15.633253363378529</v>
      </c>
      <c r="T60" s="418">
        <f>(H60/Population_Tables!U34)*Population_Tables!I93</f>
        <v>0</v>
      </c>
      <c r="U60" s="418">
        <f>(I60/Population_Tables!V34)*Population_Tables!J93</f>
        <v>0</v>
      </c>
      <c r="V60" s="418">
        <f>(J60/Population_Tables!W34)*Population_Tables!K93</f>
        <v>0</v>
      </c>
      <c r="W60" s="418">
        <f>(K60/Population_Tables!X34)*Population_Tables!L93</f>
        <v>0</v>
      </c>
      <c r="Y60" s="456">
        <v>2045</v>
      </c>
      <c r="Z60" s="459">
        <f>((B60/Population_Tables!O34)*Population_Tables!C34)-N60</f>
        <v>869.81689940054525</v>
      </c>
      <c r="AA60" s="459">
        <f>((C60/Population_Tables!P34)*Population_Tables!D34)-O60</f>
        <v>539.97055561710772</v>
      </c>
      <c r="AB60" s="459">
        <f>((D60/Population_Tables!Q34)*Population_Tables!E34)-P60</f>
        <v>51.959213135774718</v>
      </c>
      <c r="AC60" s="459">
        <f>((E60/Population_Tables!R34)*Population_Tables!F34)-Q60</f>
        <v>424.10308600596852</v>
      </c>
      <c r="AD60" s="459">
        <f>((F60/Population_Tables!S34)*Population_Tables!G34)-R60</f>
        <v>10.473707112935674</v>
      </c>
      <c r="AE60" s="459">
        <f>((G60/Population_Tables!T34)*Population_Tables!H34)-S60</f>
        <v>38.045080900083889</v>
      </c>
      <c r="AF60" s="459">
        <f>(H60/Population_Tables!U34)*Population_Tables!I34</f>
        <v>422.75759604744883</v>
      </c>
      <c r="AG60" s="459">
        <f>(I60/Population_Tables!V34)*Population_Tables!J34</f>
        <v>67.206942124966034</v>
      </c>
      <c r="AH60" s="459">
        <f>(J60/Population_Tables!W34)*Population_Tables!K34</f>
        <v>109.11189442308601</v>
      </c>
      <c r="AI60" s="459">
        <f>(K60/Population_Tables!X34)*Population_Tables!L34</f>
        <v>67.470781410095313</v>
      </c>
      <c r="AK60" s="456">
        <v>2045</v>
      </c>
      <c r="AL60" s="459">
        <f t="shared" si="6"/>
        <v>896.49121181201258</v>
      </c>
      <c r="AM60" s="459">
        <f t="shared" si="6"/>
        <v>539.97055561710772</v>
      </c>
      <c r="AN60" s="459">
        <f t="shared" si="6"/>
        <v>51.959213135774718</v>
      </c>
      <c r="AO60" s="459">
        <f t="shared" si="6"/>
        <v>417.75922503824631</v>
      </c>
      <c r="AP60" s="459">
        <f t="shared" si="6"/>
        <v>27.858627128746633</v>
      </c>
      <c r="AQ60" s="459">
        <f t="shared" si="6"/>
        <v>53.678334263462418</v>
      </c>
      <c r="AR60" s="459">
        <f t="shared" si="6"/>
        <v>422.75759604744883</v>
      </c>
      <c r="AS60" s="459">
        <f t="shared" si="6"/>
        <v>67.206942124966034</v>
      </c>
      <c r="AT60" s="459">
        <f t="shared" si="6"/>
        <v>109.11189442308601</v>
      </c>
      <c r="AU60" s="459">
        <f t="shared" si="6"/>
        <v>67.470781410095313</v>
      </c>
      <c r="AW60" s="216">
        <f>(B60/Population_Tables!O34)*Population_Tables!C34</f>
        <v>896.49121181201258</v>
      </c>
      <c r="AX60" s="153" t="str">
        <f t="shared" si="7"/>
        <v>OK</v>
      </c>
      <c r="AY60" s="421">
        <f t="shared" si="4"/>
        <v>1091.2259551833376</v>
      </c>
      <c r="AZ60" s="153" t="str">
        <f t="shared" si="5"/>
        <v>OK</v>
      </c>
      <c r="BB60" s="216">
        <f>(C60/Population_Tables!P34)*Population_Tables!D34</f>
        <v>539.97055561710772</v>
      </c>
      <c r="BC60" s="216">
        <f>(D60/Population_Tables!Q34)*Population_Tables!E34</f>
        <v>51.959213135774718</v>
      </c>
      <c r="BD60" s="216">
        <f>(E60/Population_Tables!R34)*Population_Tables!F34</f>
        <v>417.75922503824631</v>
      </c>
      <c r="BE60" s="216">
        <f>(F60/Population_Tables!S34)*Population_Tables!G34</f>
        <v>27.858627128746633</v>
      </c>
      <c r="BF60" s="216">
        <f>(G60/Population_Tables!T34)*Population_Tables!H34</f>
        <v>53.678334263462418</v>
      </c>
      <c r="BG60" s="216"/>
      <c r="BN60" s="216"/>
      <c r="BO60" s="216"/>
      <c r="BP60" s="216"/>
    </row>
    <row r="61" spans="1:68" ht="15.6" x14ac:dyDescent="0.3">
      <c r="A61" s="206">
        <v>2046</v>
      </c>
      <c r="B61" s="229">
        <v>854.20357193220389</v>
      </c>
      <c r="C61" s="229">
        <v>519.83154209731038</v>
      </c>
      <c r="D61" s="229">
        <v>49.766434155008469</v>
      </c>
      <c r="E61" s="229">
        <v>399.15617314276432</v>
      </c>
      <c r="F61" s="229">
        <v>26.806654904344022</v>
      </c>
      <c r="G61" s="229">
        <v>50.496324580389732</v>
      </c>
      <c r="H61" s="229">
        <v>410.39868404214724</v>
      </c>
      <c r="I61" s="229">
        <v>66.28104169954311</v>
      </c>
      <c r="J61" s="229">
        <v>103.29580021511435</v>
      </c>
      <c r="K61" s="229">
        <v>63.040140049205689</v>
      </c>
      <c r="M61" s="206">
        <v>2046</v>
      </c>
      <c r="N61" s="419">
        <f t="shared" si="2"/>
        <v>27.114358099280913</v>
      </c>
      <c r="O61" s="418">
        <f>(C61/Population_Tables!P35)*Population_Tables!D94</f>
        <v>0</v>
      </c>
      <c r="P61" s="418">
        <f>(D61/Population_Tables!Q35)*Population_Tables!E94</f>
        <v>0</v>
      </c>
      <c r="Q61" s="418">
        <f>((E61-H61)/Population_Tables!R35)*Population_Tables!F94</f>
        <v>-6.9543060943877659</v>
      </c>
      <c r="R61" s="418">
        <f>(F61/Population_Tables!S35)*Population_Tables!G94</f>
        <v>17.95208006624792</v>
      </c>
      <c r="S61" s="418">
        <f>(G61/Population_Tables!T35)*Population_Tables!H94</f>
        <v>16.116584127420758</v>
      </c>
      <c r="T61" s="418">
        <f>(H61/Population_Tables!U35)*Population_Tables!I94</f>
        <v>0</v>
      </c>
      <c r="U61" s="418">
        <f>(I61/Population_Tables!V35)*Population_Tables!J94</f>
        <v>0</v>
      </c>
      <c r="V61" s="418">
        <f>(J61/Population_Tables!W35)*Population_Tables!K94</f>
        <v>0</v>
      </c>
      <c r="W61" s="418">
        <f>(K61/Population_Tables!X35)*Population_Tables!L94</f>
        <v>0</v>
      </c>
      <c r="Y61" s="456">
        <v>2046</v>
      </c>
      <c r="Z61" s="459">
        <f>((B61/Population_Tables!O35)*Population_Tables!C35)-N61</f>
        <v>891.90085860743113</v>
      </c>
      <c r="AA61" s="459">
        <f>((C61/Population_Tables!P35)*Population_Tables!D35)-O61</f>
        <v>553.78941528830751</v>
      </c>
      <c r="AB61" s="459">
        <f>((D61/Population_Tables!Q35)*Population_Tables!E35)-P61</f>
        <v>53.191772767566754</v>
      </c>
      <c r="AC61" s="459">
        <f>((E61/Population_Tables!R35)*Population_Tables!F35)-Q61</f>
        <v>437.57104795471139</v>
      </c>
      <c r="AD61" s="459">
        <f>((F61/Population_Tables!S35)*Population_Tables!G35)-R61</f>
        <v>10.754332969207294</v>
      </c>
      <c r="AE61" s="459">
        <f>((G61/Population_Tables!T35)*Population_Tables!H35)-S61</f>
        <v>39.055338121183432</v>
      </c>
      <c r="AF61" s="459">
        <f>(H61/Population_Tables!U35)*Population_Tables!I35</f>
        <v>436.16164931668834</v>
      </c>
      <c r="AG61" s="459">
        <f>(I61/Population_Tables!V35)*Population_Tables!J35</f>
        <v>71.44238760421878</v>
      </c>
      <c r="AH61" s="459">
        <f>(J61/Population_Tables!W35)*Population_Tables!K35</f>
        <v>109.77751547822918</v>
      </c>
      <c r="AI61" s="459">
        <f>(K61/Population_Tables!X35)*Population_Tables!L35</f>
        <v>67.505727677930253</v>
      </c>
      <c r="AK61" s="456">
        <v>2046</v>
      </c>
      <c r="AL61" s="459">
        <f t="shared" si="6"/>
        <v>919.01521670671207</v>
      </c>
      <c r="AM61" s="459">
        <f t="shared" si="6"/>
        <v>553.78941528830751</v>
      </c>
      <c r="AN61" s="459">
        <f t="shared" si="6"/>
        <v>53.191772767566754</v>
      </c>
      <c r="AO61" s="459">
        <f t="shared" si="6"/>
        <v>430.6167418603236</v>
      </c>
      <c r="AP61" s="459">
        <f t="shared" si="6"/>
        <v>28.706413035455213</v>
      </c>
      <c r="AQ61" s="459">
        <f t="shared" si="6"/>
        <v>55.17192224860419</v>
      </c>
      <c r="AR61" s="459">
        <f t="shared" si="6"/>
        <v>436.16164931668834</v>
      </c>
      <c r="AS61" s="459">
        <f t="shared" si="6"/>
        <v>71.44238760421878</v>
      </c>
      <c r="AT61" s="459">
        <f t="shared" si="6"/>
        <v>109.77751547822918</v>
      </c>
      <c r="AU61" s="459">
        <f t="shared" si="6"/>
        <v>67.505727677930253</v>
      </c>
      <c r="AW61" s="216">
        <f>(B61/Population_Tables!O35)*Population_Tables!C35</f>
        <v>919.01521670671207</v>
      </c>
      <c r="AX61" s="153" t="str">
        <f t="shared" si="7"/>
        <v>OK</v>
      </c>
      <c r="AY61" s="421">
        <f t="shared" si="4"/>
        <v>1121.4762652002571</v>
      </c>
      <c r="AZ61" s="153" t="str">
        <f t="shared" si="5"/>
        <v>OK</v>
      </c>
      <c r="BB61" s="216">
        <f>(C61/Population_Tables!P35)*Population_Tables!D35</f>
        <v>553.78941528830751</v>
      </c>
      <c r="BC61" s="216">
        <f>(D61/Population_Tables!Q35)*Population_Tables!E35</f>
        <v>53.191772767566754</v>
      </c>
      <c r="BD61" s="216">
        <f>(E61/Population_Tables!R35)*Population_Tables!F35</f>
        <v>430.6167418603236</v>
      </c>
      <c r="BE61" s="216">
        <f>(F61/Population_Tables!S35)*Population_Tables!G35</f>
        <v>28.706413035455213</v>
      </c>
      <c r="BF61" s="216">
        <f>(G61/Population_Tables!T35)*Population_Tables!H35</f>
        <v>55.17192224860419</v>
      </c>
      <c r="BG61" s="216"/>
      <c r="BN61" s="216"/>
      <c r="BO61" s="216"/>
      <c r="BP61" s="216"/>
    </row>
    <row r="62" spans="1:68" ht="15.6" x14ac:dyDescent="0.3">
      <c r="A62" s="206">
        <v>2047</v>
      </c>
      <c r="B62" s="229">
        <v>872.57390773543648</v>
      </c>
      <c r="C62" s="229">
        <v>531.59426297397977</v>
      </c>
      <c r="D62" s="229">
        <v>50.786585815940342</v>
      </c>
      <c r="E62" s="229">
        <v>409.89282923673375</v>
      </c>
      <c r="F62" s="229">
        <v>27.530218122552135</v>
      </c>
      <c r="G62" s="229">
        <v>51.684052964531702</v>
      </c>
      <c r="H62" s="229">
        <v>421.99026934853737</v>
      </c>
      <c r="I62" s="229">
        <v>70.192284399858394</v>
      </c>
      <c r="J62" s="229">
        <v>103.63857017019382</v>
      </c>
      <c r="K62" s="229">
        <v>62.895316989110626</v>
      </c>
      <c r="M62" s="206">
        <v>2047</v>
      </c>
      <c r="N62" s="419">
        <f t="shared" si="2"/>
        <v>27.610420108116784</v>
      </c>
      <c r="O62" s="418">
        <f>(C62/Population_Tables!P36)*Population_Tables!D95</f>
        <v>0</v>
      </c>
      <c r="P62" s="418">
        <f>(D62/Population_Tables!Q36)*Population_Tables!E95</f>
        <v>0</v>
      </c>
      <c r="Q62" s="418">
        <f>((E62-H62)/Population_Tables!R36)*Population_Tables!F95</f>
        <v>-7.5396591817160257</v>
      </c>
      <c r="R62" s="418">
        <f>(F62/Population_Tables!S36)*Population_Tables!G95</f>
        <v>18.534800845546691</v>
      </c>
      <c r="S62" s="418">
        <f>(G62/Population_Tables!T36)*Population_Tables!H95</f>
        <v>16.615278444286119</v>
      </c>
      <c r="T62" s="418">
        <f>(H62/Population_Tables!U36)*Population_Tables!I95</f>
        <v>0</v>
      </c>
      <c r="U62" s="418">
        <f>(I62/Population_Tables!V36)*Population_Tables!J95</f>
        <v>0</v>
      </c>
      <c r="V62" s="418">
        <f>(J62/Population_Tables!W36)*Population_Tables!K95</f>
        <v>0</v>
      </c>
      <c r="W62" s="418">
        <f>(K62/Population_Tables!X36)*Population_Tables!L95</f>
        <v>0</v>
      </c>
      <c r="Y62" s="456">
        <v>2047</v>
      </c>
      <c r="Z62" s="459">
        <f>((B62/Population_Tables!O36)*Population_Tables!C36)-N62</f>
        <v>914.4679097616056</v>
      </c>
      <c r="AA62" s="459">
        <f>((C62/Population_Tables!P36)*Population_Tables!D36)-O62</f>
        <v>567.93811389752898</v>
      </c>
      <c r="AB62" s="459">
        <f>((D62/Population_Tables!Q36)*Population_Tables!E36)-P62</f>
        <v>54.471154934958889</v>
      </c>
      <c r="AC62" s="459">
        <f>((E62/Population_Tables!R36)*Population_Tables!F36)-Q62</f>
        <v>451.39055862869009</v>
      </c>
      <c r="AD62" s="459">
        <f>((F62/Population_Tables!S36)*Population_Tables!G36)-R62</f>
        <v>11.041734917666648</v>
      </c>
      <c r="AE62" s="459">
        <f>((G62/Population_Tables!T36)*Population_Tables!H36)-S62</f>
        <v>40.092986989509562</v>
      </c>
      <c r="AF62" s="459">
        <f>(H62/Population_Tables!U36)*Population_Tables!I36</f>
        <v>449.85774559108182</v>
      </c>
      <c r="AG62" s="459">
        <f>(I62/Population_Tables!V36)*Population_Tables!J36</f>
        <v>75.924718005164465</v>
      </c>
      <c r="AH62" s="459">
        <f>(J62/Population_Tables!W36)*Population_Tables!K36</f>
        <v>110.46320284903028</v>
      </c>
      <c r="AI62" s="459">
        <f>(K62/Population_Tables!X36)*Population_Tables!L36</f>
        <v>67.557067999618212</v>
      </c>
      <c r="AK62" s="456">
        <v>2047</v>
      </c>
      <c r="AL62" s="459">
        <f t="shared" si="6"/>
        <v>942.07832986972244</v>
      </c>
      <c r="AM62" s="459">
        <f t="shared" si="6"/>
        <v>567.93811389752898</v>
      </c>
      <c r="AN62" s="459">
        <f t="shared" si="6"/>
        <v>54.471154934958889</v>
      </c>
      <c r="AO62" s="459">
        <f t="shared" si="6"/>
        <v>443.85089944697404</v>
      </c>
      <c r="AP62" s="459">
        <f t="shared" si="6"/>
        <v>29.576535763213339</v>
      </c>
      <c r="AQ62" s="459">
        <f t="shared" si="6"/>
        <v>56.708265433795681</v>
      </c>
      <c r="AR62" s="459">
        <f t="shared" si="6"/>
        <v>449.85774559108182</v>
      </c>
      <c r="AS62" s="459">
        <f t="shared" si="6"/>
        <v>75.924718005164465</v>
      </c>
      <c r="AT62" s="459">
        <f t="shared" si="6"/>
        <v>110.46320284903028</v>
      </c>
      <c r="AU62" s="459">
        <f t="shared" si="6"/>
        <v>67.557067999618212</v>
      </c>
      <c r="AW62" s="216">
        <f>(B62/Population_Tables!O36)*Population_Tables!C36</f>
        <v>942.07832986972244</v>
      </c>
      <c r="AX62" s="153" t="str">
        <f t="shared" si="7"/>
        <v>OK</v>
      </c>
      <c r="AY62" s="421">
        <f t="shared" si="4"/>
        <v>1152.5449694764711</v>
      </c>
      <c r="AZ62" s="153" t="str">
        <f t="shared" si="5"/>
        <v>OK</v>
      </c>
      <c r="BB62" s="216">
        <f>(C62/Population_Tables!P36)*Population_Tables!D36</f>
        <v>567.93811389752898</v>
      </c>
      <c r="BC62" s="216">
        <f>(D62/Population_Tables!Q36)*Population_Tables!E36</f>
        <v>54.471154934958889</v>
      </c>
      <c r="BD62" s="216">
        <f>(E62/Population_Tables!R36)*Population_Tables!F36</f>
        <v>443.85089944697404</v>
      </c>
      <c r="BE62" s="216">
        <f>(F62/Population_Tables!S36)*Population_Tables!G36</f>
        <v>29.576535763213339</v>
      </c>
      <c r="BF62" s="216">
        <f>(G62/Population_Tables!T36)*Population_Tables!H36</f>
        <v>56.708265433795681</v>
      </c>
      <c r="BG62" s="216"/>
      <c r="BN62" s="216"/>
      <c r="BO62" s="216"/>
      <c r="BP62" s="216"/>
    </row>
    <row r="63" spans="1:68" ht="15.6" x14ac:dyDescent="0.3">
      <c r="A63" s="206">
        <v>2048</v>
      </c>
      <c r="B63" s="229">
        <v>891.23324612052454</v>
      </c>
      <c r="C63" s="229">
        <v>543.58045039494436</v>
      </c>
      <c r="D63" s="229">
        <v>51.840753529875322</v>
      </c>
      <c r="E63" s="229">
        <v>420.85906611285117</v>
      </c>
      <c r="F63" s="229">
        <v>28.268001373851263</v>
      </c>
      <c r="G63" s="229">
        <v>52.896250514693321</v>
      </c>
      <c r="H63" s="229">
        <v>433.75355510124319</v>
      </c>
      <c r="I63" s="229">
        <v>74.303838692439257</v>
      </c>
      <c r="J63" s="229">
        <v>103.99313647641638</v>
      </c>
      <c r="K63" s="229">
        <v>62.763714172945697</v>
      </c>
      <c r="M63" s="206">
        <v>2048</v>
      </c>
      <c r="N63" s="419">
        <f t="shared" si="2"/>
        <v>28.165354136815644</v>
      </c>
      <c r="O63" s="418">
        <f>(C63/Population_Tables!P37)*Population_Tables!D96</f>
        <v>0</v>
      </c>
      <c r="P63" s="418">
        <f>(D63/Population_Tables!Q37)*Population_Tables!E96</f>
        <v>0</v>
      </c>
      <c r="Q63" s="418">
        <f>((E63-H63)/Population_Tables!R37)*Population_Tables!F96</f>
        <v>-8.0981819333576315</v>
      </c>
      <c r="R63" s="418">
        <f>(F63/Population_Tables!S37)*Population_Tables!G96</f>
        <v>19.133567813810966</v>
      </c>
      <c r="S63" s="418">
        <f>(G63/Population_Tables!T37)*Population_Tables!H96</f>
        <v>17.129968256362307</v>
      </c>
      <c r="T63" s="418">
        <f>(H63/Population_Tables!U37)*Population_Tables!I96</f>
        <v>0</v>
      </c>
      <c r="U63" s="418">
        <f>(I63/Population_Tables!V37)*Population_Tables!J96</f>
        <v>0</v>
      </c>
      <c r="V63" s="418">
        <f>(J63/Population_Tables!W37)*Population_Tables!K96</f>
        <v>0</v>
      </c>
      <c r="W63" s="418">
        <f>(K63/Population_Tables!X37)*Population_Tables!L96</f>
        <v>0</v>
      </c>
      <c r="Y63" s="456">
        <v>2048</v>
      </c>
      <c r="Z63" s="459">
        <f>((B63/Population_Tables!O37)*Population_Tables!C37)-N63</f>
        <v>937.53108555101539</v>
      </c>
      <c r="AA63" s="459">
        <f>((C63/Population_Tables!P37)*Population_Tables!D37)-O63</f>
        <v>582.43106648140235</v>
      </c>
      <c r="AB63" s="459">
        <f>((D63/Population_Tables!Q37)*Population_Tables!E37)-P63</f>
        <v>55.800530879878337</v>
      </c>
      <c r="AC63" s="459">
        <f>((E63/Population_Tables!R37)*Population_Tables!F37)-Q63</f>
        <v>465.57962453654949</v>
      </c>
      <c r="AD63" s="459">
        <f>((F63/Population_Tables!S37)*Population_Tables!G37)-R63</f>
        <v>11.336157706074211</v>
      </c>
      <c r="AE63" s="459">
        <f>((G63/Population_Tables!T37)*Population_Tables!H37)-S63</f>
        <v>41.15910091271185</v>
      </c>
      <c r="AF63" s="459">
        <f>(H63/Population_Tables!U37)*Population_Tables!I37</f>
        <v>463.85825461638399</v>
      </c>
      <c r="AG63" s="459">
        <f>(I63/Population_Tables!V37)*Population_Tables!J37</f>
        <v>80.666104168436576</v>
      </c>
      <c r="AH63" s="459">
        <f>(J63/Population_Tables!W37)*Population_Tables!K37</f>
        <v>111.17122100794631</v>
      </c>
      <c r="AI63" s="459">
        <f>(K63/Population_Tables!X37)*Population_Tables!L37</f>
        <v>67.625909238251225</v>
      </c>
      <c r="AK63" s="456">
        <v>2048</v>
      </c>
      <c r="AL63" s="459">
        <f t="shared" si="6"/>
        <v>965.696439687831</v>
      </c>
      <c r="AM63" s="459">
        <f t="shared" si="6"/>
        <v>582.43106648140235</v>
      </c>
      <c r="AN63" s="459">
        <f t="shared" si="6"/>
        <v>55.800530879878337</v>
      </c>
      <c r="AO63" s="459">
        <f t="shared" si="6"/>
        <v>457.48144260319185</v>
      </c>
      <c r="AP63" s="459">
        <f t="shared" si="6"/>
        <v>30.469725519885177</v>
      </c>
      <c r="AQ63" s="459">
        <f t="shared" si="6"/>
        <v>58.289069169074153</v>
      </c>
      <c r="AR63" s="459">
        <f t="shared" si="6"/>
        <v>463.85825461638399</v>
      </c>
      <c r="AS63" s="459">
        <f t="shared" si="6"/>
        <v>80.666104168436576</v>
      </c>
      <c r="AT63" s="459">
        <f t="shared" si="6"/>
        <v>111.17122100794631</v>
      </c>
      <c r="AU63" s="459">
        <f t="shared" si="6"/>
        <v>67.625909238251225</v>
      </c>
      <c r="AW63" s="216">
        <f>(B63/Population_Tables!O37)*Population_Tables!C37</f>
        <v>965.696439687831</v>
      </c>
      <c r="AX63" s="153" t="str">
        <f t="shared" si="7"/>
        <v>OK</v>
      </c>
      <c r="AY63" s="421">
        <f t="shared" si="4"/>
        <v>1184.4718346534319</v>
      </c>
      <c r="AZ63" s="153" t="str">
        <f t="shared" si="5"/>
        <v>OK</v>
      </c>
      <c r="BB63" s="216">
        <f>(C63/Population_Tables!P37)*Population_Tables!D37</f>
        <v>582.43106648140235</v>
      </c>
      <c r="BC63" s="216">
        <f>(D63/Population_Tables!Q37)*Population_Tables!E37</f>
        <v>55.800530879878337</v>
      </c>
      <c r="BD63" s="216">
        <f>(E63/Population_Tables!R37)*Population_Tables!F37</f>
        <v>457.48144260319185</v>
      </c>
      <c r="BE63" s="216">
        <f>(F63/Population_Tables!S37)*Population_Tables!G37</f>
        <v>30.469725519885177</v>
      </c>
      <c r="BF63" s="216">
        <f>(G63/Population_Tables!T37)*Population_Tables!H37</f>
        <v>58.28906916907416</v>
      </c>
      <c r="BG63" s="216"/>
      <c r="BN63" s="216"/>
      <c r="BO63" s="216"/>
      <c r="BP63" s="216"/>
    </row>
    <row r="64" spans="1:68" ht="15.6" x14ac:dyDescent="0.3">
      <c r="A64" s="206">
        <v>2049</v>
      </c>
      <c r="B64" s="229">
        <v>910.17929165938722</v>
      </c>
      <c r="C64" s="229">
        <v>555.79324023436322</v>
      </c>
      <c r="D64" s="229">
        <v>52.93096313374032</v>
      </c>
      <c r="E64" s="229">
        <v>432.06133656570881</v>
      </c>
      <c r="F64" s="229">
        <v>29.020231769765878</v>
      </c>
      <c r="G64" s="229">
        <v>54.133303254336198</v>
      </c>
      <c r="H64" s="229">
        <v>445.69276150114825</v>
      </c>
      <c r="I64" s="229">
        <v>78.621872585999441</v>
      </c>
      <c r="J64" s="229">
        <v>104.36046716472873</v>
      </c>
      <c r="K64" s="229">
        <v>62.645331600710904</v>
      </c>
      <c r="M64" s="206">
        <v>2049</v>
      </c>
      <c r="N64" s="419">
        <f t="shared" si="2"/>
        <v>28.78205035502852</v>
      </c>
      <c r="O64" s="418">
        <f>(C64/Population_Tables!P38)*Population_Tables!D97</f>
        <v>0</v>
      </c>
      <c r="P64" s="418">
        <f>(D64/Population_Tables!Q38)*Population_Tables!E97</f>
        <v>0</v>
      </c>
      <c r="Q64" s="418">
        <f>((E64-H64)/Population_Tables!R38)*Population_Tables!F97</f>
        <v>-8.6281038639488834</v>
      </c>
      <c r="R64" s="418">
        <f>(F64/Population_Tables!S38)*Population_Tables!G97</f>
        <v>19.748858227125645</v>
      </c>
      <c r="S64" s="418">
        <f>(G64/Population_Tables!T38)*Population_Tables!H97</f>
        <v>17.661295991851759</v>
      </c>
      <c r="T64" s="418">
        <f>(H64/Population_Tables!U38)*Population_Tables!I97</f>
        <v>0</v>
      </c>
      <c r="U64" s="418">
        <f>(I64/Population_Tables!V38)*Population_Tables!J97</f>
        <v>0</v>
      </c>
      <c r="V64" s="418">
        <f>(J64/Population_Tables!W38)*Population_Tables!K97</f>
        <v>0</v>
      </c>
      <c r="W64" s="418">
        <f>(K64/Population_Tables!X38)*Population_Tables!L97</f>
        <v>0</v>
      </c>
      <c r="Y64" s="456">
        <v>2049</v>
      </c>
      <c r="Z64" s="459">
        <f>((B64/Population_Tables!O38)*Population_Tables!C38)-N64</f>
        <v>961.10437651516202</v>
      </c>
      <c r="AA64" s="459">
        <f>((C64/Population_Tables!P38)*Population_Tables!D38)-O64</f>
        <v>597.28496247337296</v>
      </c>
      <c r="AB64" s="459">
        <f>((D64/Population_Tables!Q38)*Population_Tables!E38)-P64</f>
        <v>57.183182102405112</v>
      </c>
      <c r="AC64" s="459">
        <f>((E64/Population_Tables!R38)*Population_Tables!F38)-Q64</f>
        <v>480.15721946653366</v>
      </c>
      <c r="AD64" s="459">
        <f>((F64/Population_Tables!S38)*Population_Tables!G38)-R64</f>
        <v>11.637854313157003</v>
      </c>
      <c r="AE64" s="459">
        <f>((G64/Population_Tables!T38)*Population_Tables!H38)-S64</f>
        <v>42.254856119526536</v>
      </c>
      <c r="AF64" s="459">
        <f>(H64/Population_Tables!U38)*Population_Tables!I38</f>
        <v>478.17559473564074</v>
      </c>
      <c r="AG64" s="459">
        <f>(I64/Population_Tables!V38)*Population_Tables!J38</f>
        <v>85.679466213569356</v>
      </c>
      <c r="AH64" s="459">
        <f>(J64/Population_Tables!W38)*Population_Tables!K38</f>
        <v>111.90409297676163</v>
      </c>
      <c r="AI64" s="459">
        <f>(K64/Population_Tables!X38)*Population_Tables!L38</f>
        <v>67.713527274919628</v>
      </c>
      <c r="AK64" s="456">
        <v>2049</v>
      </c>
      <c r="AL64" s="459">
        <f t="shared" si="6"/>
        <v>989.88642687019058</v>
      </c>
      <c r="AM64" s="459">
        <f t="shared" si="6"/>
        <v>597.28496247337296</v>
      </c>
      <c r="AN64" s="459">
        <f t="shared" si="6"/>
        <v>57.183182102405112</v>
      </c>
      <c r="AO64" s="459">
        <f t="shared" si="6"/>
        <v>471.5291156025848</v>
      </c>
      <c r="AP64" s="459">
        <f t="shared" si="6"/>
        <v>31.386712540282648</v>
      </c>
      <c r="AQ64" s="459">
        <f t="shared" si="6"/>
        <v>59.916152111378295</v>
      </c>
      <c r="AR64" s="459">
        <f t="shared" si="6"/>
        <v>478.17559473564074</v>
      </c>
      <c r="AS64" s="459">
        <f t="shared" si="6"/>
        <v>85.679466213569356</v>
      </c>
      <c r="AT64" s="459">
        <f t="shared" si="6"/>
        <v>111.90409297676163</v>
      </c>
      <c r="AU64" s="459">
        <f t="shared" si="6"/>
        <v>67.713527274919628</v>
      </c>
      <c r="AW64" s="216">
        <f>(B64/Population_Tables!O38)*Population_Tables!C38</f>
        <v>989.88642687019058</v>
      </c>
      <c r="AX64" s="153" t="str">
        <f t="shared" si="7"/>
        <v>OK</v>
      </c>
      <c r="AY64" s="421">
        <f t="shared" si="4"/>
        <v>1217.3001248300238</v>
      </c>
      <c r="AZ64" s="153" t="str">
        <f t="shared" si="5"/>
        <v>OK</v>
      </c>
      <c r="BB64" s="216">
        <f>(C64/Population_Tables!P38)*Population_Tables!D38</f>
        <v>597.28496247337296</v>
      </c>
      <c r="BC64" s="216">
        <f>(D64/Population_Tables!Q38)*Population_Tables!E38</f>
        <v>57.183182102405112</v>
      </c>
      <c r="BD64" s="216">
        <f>(E64/Population_Tables!R38)*Population_Tables!F38</f>
        <v>471.5291156025848</v>
      </c>
      <c r="BE64" s="216">
        <f>(F64/Population_Tables!S38)*Population_Tables!G38</f>
        <v>31.386712540282648</v>
      </c>
      <c r="BF64" s="216">
        <f>(G64/Population_Tables!T38)*Population_Tables!H38</f>
        <v>59.916152111378295</v>
      </c>
      <c r="BG64" s="216"/>
      <c r="BN64" s="216"/>
      <c r="BO64" s="216"/>
      <c r="BP64" s="216"/>
    </row>
    <row r="65" spans="1:68" ht="16.2" thickBot="1" x14ac:dyDescent="0.35">
      <c r="A65" s="208">
        <v>2050</v>
      </c>
      <c r="B65" s="231">
        <v>929.40974892394365</v>
      </c>
      <c r="C65" s="231">
        <v>568.23576836639529</v>
      </c>
      <c r="D65" s="231">
        <v>54.059240464462199</v>
      </c>
      <c r="E65" s="231">
        <v>443.50609338989881</v>
      </c>
      <c r="F65" s="231">
        <v>29.78713642182047</v>
      </c>
      <c r="G65" s="231">
        <v>55.395597206921941</v>
      </c>
      <c r="H65" s="231">
        <v>457.81210874913648</v>
      </c>
      <c r="I65" s="231">
        <v>83.152554089252732</v>
      </c>
      <c r="J65" s="231">
        <v>104.74153026607749</v>
      </c>
      <c r="K65" s="231">
        <v>62.540169272406239</v>
      </c>
      <c r="M65" s="208">
        <v>2050</v>
      </c>
      <c r="N65" s="419">
        <f t="shared" si="2"/>
        <v>29.463515741451474</v>
      </c>
      <c r="O65" s="418">
        <f>(C65/Population_Tables!P39)*Population_Tables!D98</f>
        <v>0</v>
      </c>
      <c r="P65" s="418">
        <f>(D65/Population_Tables!Q39)*Population_Tables!E98</f>
        <v>0</v>
      </c>
      <c r="Q65" s="418">
        <f>((E65-H65)/Population_Tables!R39)*Population_Tables!F98</f>
        <v>-9.127557070029221</v>
      </c>
      <c r="R65" s="418">
        <f>(F65/Population_Tables!S39)*Population_Tables!G98</f>
        <v>20.381149308942852</v>
      </c>
      <c r="S65" s="418">
        <f>(G65/Population_Tables!T39)*Population_Tables!H98</f>
        <v>18.209923502537841</v>
      </c>
      <c r="T65" s="418">
        <f>(H65/Population_Tables!U39)*Population_Tables!I98</f>
        <v>0</v>
      </c>
      <c r="U65" s="418">
        <f>(I65/Population_Tables!V39)*Population_Tables!J98</f>
        <v>0</v>
      </c>
      <c r="V65" s="418">
        <f>(J65/Population_Tables!W39)*Population_Tables!K98</f>
        <v>0</v>
      </c>
      <c r="W65" s="418">
        <f>(K65/Population_Tables!X39)*Population_Tables!L98</f>
        <v>0</v>
      </c>
      <c r="Y65" s="456">
        <v>2050</v>
      </c>
      <c r="Z65" s="459">
        <f>((B65/Population_Tables!O39)*Population_Tables!C39)-N65</f>
        <v>985.2003732119548</v>
      </c>
      <c r="AA65" s="459">
        <f>((C65/Population_Tables!P39)*Population_Tables!D39)-O65</f>
        <v>612.51596188146448</v>
      </c>
      <c r="AB65" s="459">
        <f>((D65/Population_Tables!Q39)*Population_Tables!E39)-P65</f>
        <v>58.622429304136638</v>
      </c>
      <c r="AC65" s="459">
        <f>((E65/Population_Tables!R39)*Population_Tables!F39)-Q65</f>
        <v>495.14184254152025</v>
      </c>
      <c r="AD65" s="459">
        <f>((F65/Population_Tables!S39)*Population_Tables!G39)-R65</f>
        <v>11.947061682460038</v>
      </c>
      <c r="AE65" s="459">
        <f>((G65/Population_Tables!T39)*Population_Tables!H39)-S65</f>
        <v>43.38139682359828</v>
      </c>
      <c r="AF65" s="459">
        <f>(H65/Population_Tables!U39)*Population_Tables!I39</f>
        <v>492.82253054289754</v>
      </c>
      <c r="AG65" s="459">
        <f>(I65/Population_Tables!V39)*Population_Tables!J39</f>
        <v>90.977915313468841</v>
      </c>
      <c r="AH65" s="459">
        <f>(J65/Population_Tables!W39)*Population_Tables!K39</f>
        <v>112.66420157436959</v>
      </c>
      <c r="AI65" s="459">
        <f>(K65/Population_Tables!X39)*Population_Tables!L39</f>
        <v>67.820985479999649</v>
      </c>
      <c r="AK65" s="456">
        <v>2050</v>
      </c>
      <c r="AL65" s="459">
        <f t="shared" si="6"/>
        <v>1014.6638889534063</v>
      </c>
      <c r="AM65" s="459">
        <f t="shared" si="6"/>
        <v>612.51596188146448</v>
      </c>
      <c r="AN65" s="459">
        <f t="shared" si="6"/>
        <v>58.622429304136638</v>
      </c>
      <c r="AO65" s="459">
        <f t="shared" si="6"/>
        <v>486.01428547149101</v>
      </c>
      <c r="AP65" s="459">
        <f t="shared" si="6"/>
        <v>32.328210991402891</v>
      </c>
      <c r="AQ65" s="459">
        <f t="shared" si="6"/>
        <v>61.59132032613612</v>
      </c>
      <c r="AR65" s="459">
        <f t="shared" si="6"/>
        <v>492.82253054289754</v>
      </c>
      <c r="AS65" s="459">
        <f t="shared" si="6"/>
        <v>90.977915313468841</v>
      </c>
      <c r="AT65" s="459">
        <f t="shared" si="6"/>
        <v>112.66420157436959</v>
      </c>
      <c r="AU65" s="459">
        <f t="shared" si="6"/>
        <v>67.820985479999649</v>
      </c>
      <c r="AW65" s="216">
        <f>(B65/Population_Tables!O39)*Population_Tables!C39</f>
        <v>1014.6638889534063</v>
      </c>
      <c r="AX65" s="153" t="str">
        <f t="shared" si="7"/>
        <v>OK</v>
      </c>
      <c r="AY65" s="421">
        <f t="shared" si="4"/>
        <v>1251.0722079746311</v>
      </c>
      <c r="AZ65" s="153" t="str">
        <f t="shared" si="5"/>
        <v>OK</v>
      </c>
      <c r="BB65" s="216">
        <f>(C65/Population_Tables!P39)*Population_Tables!D39</f>
        <v>612.51596188146448</v>
      </c>
      <c r="BC65" s="216">
        <f>(D65/Population_Tables!Q39)*Population_Tables!E39</f>
        <v>58.622429304136638</v>
      </c>
      <c r="BD65" s="216">
        <f>(E65/Population_Tables!R39)*Population_Tables!F39</f>
        <v>486.01428547149101</v>
      </c>
      <c r="BE65" s="216">
        <f>(F65/Population_Tables!S39)*Population_Tables!G39</f>
        <v>32.328210991402891</v>
      </c>
      <c r="BF65" s="216">
        <f>(G65/Population_Tables!T39)*Population_Tables!H39</f>
        <v>61.59132032613612</v>
      </c>
      <c r="BG65" s="216"/>
      <c r="BN65" s="216"/>
      <c r="BO65" s="216"/>
      <c r="BP65" s="216"/>
    </row>
    <row r="66" spans="1:68" ht="15.6" x14ac:dyDescent="0.3">
      <c r="A66" s="213">
        <v>2051</v>
      </c>
      <c r="B66" s="227">
        <v>948.92232248611333</v>
      </c>
      <c r="C66" s="227">
        <v>580.91117066519951</v>
      </c>
      <c r="D66" s="227">
        <v>55.227611358967863</v>
      </c>
      <c r="E66" s="227">
        <v>455.19978938001321</v>
      </c>
      <c r="F66" s="227">
        <v>30.568942441539519</v>
      </c>
      <c r="G66" s="227">
        <v>56.683518395912152</v>
      </c>
      <c r="H66" s="227">
        <v>470.11581704609148</v>
      </c>
      <c r="I66" s="227">
        <v>87.902051210912902</v>
      </c>
      <c r="J66" s="227">
        <v>105.13729381140934</v>
      </c>
      <c r="K66" s="227">
        <v>62.448227188031709</v>
      </c>
      <c r="M66" s="213">
        <v>2051</v>
      </c>
      <c r="N66" s="419">
        <f t="shared" si="2"/>
        <v>30.212858857501836</v>
      </c>
      <c r="O66" s="418">
        <f>(C66/Population_Tables!P40)*Population_Tables!D99</f>
        <v>0</v>
      </c>
      <c r="P66" s="418">
        <f>(D66/Population_Tables!Q40)*Population_Tables!E99</f>
        <v>0</v>
      </c>
      <c r="Q66" s="418">
        <f>((E66-H66)/Population_Tables!R40)*Population_Tables!F99</f>
        <v>-9.5945450412473683</v>
      </c>
      <c r="R66" s="418">
        <f>(F66/Population_Tables!S40)*Population_Tables!G99</f>
        <v>21.030908461707131</v>
      </c>
      <c r="S66" s="418">
        <f>(G66/Population_Tables!T40)*Population_Tables!H99</f>
        <v>18.776495437042072</v>
      </c>
      <c r="T66" s="418">
        <f>(H66/Population_Tables!U40)*Population_Tables!I99</f>
        <v>0</v>
      </c>
      <c r="U66" s="418">
        <f>(I66/Population_Tables!V40)*Population_Tables!J99</f>
        <v>0</v>
      </c>
      <c r="V66" s="418">
        <f>(J66/Population_Tables!W40)*Population_Tables!K99</f>
        <v>0</v>
      </c>
      <c r="W66" s="418">
        <f>(K66/Population_Tables!X40)*Population_Tables!L99</f>
        <v>0</v>
      </c>
      <c r="Y66" s="456">
        <v>2051</v>
      </c>
      <c r="Z66" s="459">
        <f>((B66/Population_Tables!O40)*Population_Tables!C40)-N66</f>
        <v>1009.8293217616682</v>
      </c>
      <c r="AA66" s="459">
        <f>((C66/Population_Tables!P40)*Population_Tables!D40)-O66</f>
        <v>628.13723402830794</v>
      </c>
      <c r="AB66" s="459">
        <f>((D66/Population_Tables!Q40)*Population_Tables!E40)-P66</f>
        <v>60.121649836152123</v>
      </c>
      <c r="AC66" s="459">
        <f>((E66/Population_Tables!R40)*Population_Tables!F40)-Q66</f>
        <v>510.55107646483157</v>
      </c>
      <c r="AD66" s="459">
        <f>((F66/Population_Tables!S40)*Population_Tables!G40)-R66</f>
        <v>12.264004324698721</v>
      </c>
      <c r="AE66" s="459">
        <f>((G66/Population_Tables!T40)*Population_Tables!H40)-S66</f>
        <v>44.539775944506083</v>
      </c>
      <c r="AF66" s="459">
        <f>(H66/Population_Tables!U40)*Population_Tables!I40</f>
        <v>507.81267091990657</v>
      </c>
      <c r="AG66" s="459">
        <f>(I66/Population_Tables!V40)*Population_Tables!J40</f>
        <v>96.574489618980252</v>
      </c>
      <c r="AH66" s="459">
        <f>(J66/Population_Tables!W40)*Population_Tables!K40</f>
        <v>113.45357190109559</v>
      </c>
      <c r="AI66" s="459">
        <f>(K66/Population_Tables!X40)*Population_Tables!L40</f>
        <v>67.948830611068232</v>
      </c>
      <c r="AK66" s="456">
        <v>2051</v>
      </c>
      <c r="AL66" s="459">
        <f t="shared" si="6"/>
        <v>1040.04218061917</v>
      </c>
      <c r="AM66" s="459">
        <f t="shared" si="6"/>
        <v>628.13723402830794</v>
      </c>
      <c r="AN66" s="459">
        <f t="shared" si="6"/>
        <v>60.121649836152123</v>
      </c>
      <c r="AO66" s="459">
        <f t="shared" si="6"/>
        <v>500.95653142358418</v>
      </c>
      <c r="AP66" s="459">
        <f t="shared" si="6"/>
        <v>33.294912786405853</v>
      </c>
      <c r="AQ66" s="459">
        <f t="shared" si="6"/>
        <v>63.316271381548155</v>
      </c>
      <c r="AR66" s="459">
        <f t="shared" si="6"/>
        <v>507.81267091990657</v>
      </c>
      <c r="AS66" s="459">
        <f t="shared" si="6"/>
        <v>96.574489618980252</v>
      </c>
      <c r="AT66" s="459">
        <f t="shared" si="6"/>
        <v>113.45357190109559</v>
      </c>
      <c r="AU66" s="459">
        <f t="shared" si="6"/>
        <v>67.948830611068232</v>
      </c>
      <c r="AW66" s="216">
        <f>(B66/Population_Tables!O40)*Population_Tables!C40</f>
        <v>1040.04218061917</v>
      </c>
      <c r="AX66" s="153" t="str">
        <f t="shared" si="7"/>
        <v>OK</v>
      </c>
      <c r="AY66" s="421">
        <f t="shared" si="4"/>
        <v>1285.8265994559981</v>
      </c>
      <c r="AZ66" s="153" t="str">
        <f t="shared" si="5"/>
        <v>OK</v>
      </c>
      <c r="BB66" s="216">
        <f>(C66/Population_Tables!P40)*Population_Tables!D40</f>
        <v>628.13723402830794</v>
      </c>
      <c r="BC66" s="216">
        <f>(D66/Population_Tables!Q40)*Population_Tables!E40</f>
        <v>60.121649836152123</v>
      </c>
      <c r="BD66" s="216">
        <f>(E66/Population_Tables!R40)*Population_Tables!F40</f>
        <v>500.95653142358418</v>
      </c>
      <c r="BE66" s="216">
        <f>(F66/Population_Tables!S40)*Population_Tables!G40</f>
        <v>33.294912786405853</v>
      </c>
      <c r="BF66" s="216">
        <f>(G66/Population_Tables!T40)*Population_Tables!H40</f>
        <v>63.316271381548155</v>
      </c>
      <c r="BG66" s="216"/>
      <c r="BN66" s="216"/>
      <c r="BO66" s="216"/>
      <c r="BP66" s="216"/>
    </row>
    <row r="67" spans="1:68" ht="15.6" x14ac:dyDescent="0.3">
      <c r="A67" s="194">
        <v>2052</v>
      </c>
      <c r="B67" s="229">
        <v>968.71471691781551</v>
      </c>
      <c r="C67" s="229">
        <v>593.82258300493481</v>
      </c>
      <c r="D67" s="229">
        <v>56.438101654184237</v>
      </c>
      <c r="E67" s="229">
        <v>467.14887733064432</v>
      </c>
      <c r="F67" s="229">
        <v>31.365876940447514</v>
      </c>
      <c r="G67" s="229">
        <v>57.997452844768439</v>
      </c>
      <c r="H67" s="229">
        <v>482.60810659289706</v>
      </c>
      <c r="I67" s="229">
        <v>92.876531959693693</v>
      </c>
      <c r="J67" s="229">
        <v>105.54872583167088</v>
      </c>
      <c r="K67" s="229">
        <v>62.369505347587307</v>
      </c>
      <c r="M67" s="194">
        <v>2052</v>
      </c>
      <c r="N67" s="419">
        <f t="shared" si="2"/>
        <v>31.033365473694406</v>
      </c>
      <c r="O67" s="418">
        <f>(C67/Population_Tables!P41)*Population_Tables!D100</f>
        <v>0</v>
      </c>
      <c r="P67" s="418">
        <f>(D67/Population_Tables!Q41)*Population_Tables!E100</f>
        <v>0</v>
      </c>
      <c r="Q67" s="418">
        <f>((E67-H67)/Population_Tables!R41)*Population_Tables!F100</f>
        <v>-10.026899251161417</v>
      </c>
      <c r="R67" s="418">
        <f>(F67/Population_Tables!S41)*Population_Tables!G100</f>
        <v>21.698605729063161</v>
      </c>
      <c r="S67" s="418">
        <f>(G67/Population_Tables!T41)*Population_Tables!H100</f>
        <v>19.361658995792663</v>
      </c>
      <c r="T67" s="418">
        <f>(H67/Population_Tables!U41)*Population_Tables!I100</f>
        <v>0</v>
      </c>
      <c r="U67" s="418">
        <f>(I67/Population_Tables!V41)*Population_Tables!J100</f>
        <v>0</v>
      </c>
      <c r="V67" s="418">
        <f>(J67/Population_Tables!W41)*Population_Tables!K100</f>
        <v>0</v>
      </c>
      <c r="W67" s="418">
        <f>(K67/Population_Tables!X41)*Population_Tables!L100</f>
        <v>0</v>
      </c>
      <c r="Y67" s="456">
        <v>2052</v>
      </c>
      <c r="Z67" s="459">
        <f>((B67/Population_Tables!O41)*Population_Tables!C41)-N67</f>
        <v>1034.9987217521514</v>
      </c>
      <c r="AA67" s="459">
        <f>((C67/Population_Tables!P41)*Population_Tables!D41)-O67</f>
        <v>644.16123401049606</v>
      </c>
      <c r="AB67" s="459">
        <f>((D67/Population_Tables!Q41)*Population_Tables!E41)-P67</f>
        <v>61.684241675234318</v>
      </c>
      <c r="AC67" s="459">
        <f>((E67/Population_Tables!R41)*Population_Tables!F41)-Q67</f>
        <v>526.40089281643156</v>
      </c>
      <c r="AD67" s="459">
        <f>((F67/Population_Tables!S41)*Population_Tables!G41)-R67</f>
        <v>12.588867430690449</v>
      </c>
      <c r="AE67" s="459">
        <f>((G67/Population_Tables!T41)*Population_Tables!H41)-S67</f>
        <v>45.730986841432951</v>
      </c>
      <c r="AF67" s="459">
        <f>(H67/Population_Tables!U41)*Population_Tables!I41</f>
        <v>523.15970147310543</v>
      </c>
      <c r="AG67" s="459">
        <f>(I67/Population_Tables!V41)*Population_Tables!J41</f>
        <v>102.48193391494203</v>
      </c>
      <c r="AH67" s="459">
        <f>(J67/Population_Tables!W41)*Population_Tables!K41</f>
        <v>114.27405297456065</v>
      </c>
      <c r="AI67" s="459">
        <f>(K67/Population_Tables!X41)*Population_Tables!L41</f>
        <v>68.097406602869839</v>
      </c>
      <c r="AK67" s="456">
        <v>2052</v>
      </c>
      <c r="AL67" s="459">
        <f t="shared" si="6"/>
        <v>1066.0320872258458</v>
      </c>
      <c r="AM67" s="459">
        <f t="shared" si="6"/>
        <v>644.16123401049606</v>
      </c>
      <c r="AN67" s="459">
        <f t="shared" si="6"/>
        <v>61.684241675234318</v>
      </c>
      <c r="AO67" s="459">
        <f t="shared" si="6"/>
        <v>516.3739935652701</v>
      </c>
      <c r="AP67" s="459">
        <f t="shared" si="6"/>
        <v>34.28747315975361</v>
      </c>
      <c r="AQ67" s="459">
        <f t="shared" si="6"/>
        <v>65.092645837225618</v>
      </c>
      <c r="AR67" s="459">
        <f t="shared" si="6"/>
        <v>523.15970147310543</v>
      </c>
      <c r="AS67" s="459">
        <f t="shared" si="6"/>
        <v>102.48193391494203</v>
      </c>
      <c r="AT67" s="459">
        <f t="shared" si="6"/>
        <v>114.27405297456065</v>
      </c>
      <c r="AU67" s="459">
        <f t="shared" si="6"/>
        <v>68.097406602869839</v>
      </c>
      <c r="AW67" s="216">
        <f>(B67/Population_Tables!O41)*Population_Tables!C41</f>
        <v>1066.0320872258458</v>
      </c>
      <c r="AX67" s="153" t="str">
        <f t="shared" si="7"/>
        <v>OK</v>
      </c>
      <c r="AY67" s="421">
        <f t="shared" si="4"/>
        <v>1321.5995882479797</v>
      </c>
      <c r="AZ67" s="153" t="str">
        <f t="shared" si="5"/>
        <v>OK</v>
      </c>
      <c r="BB67" s="216">
        <f>(C67/Population_Tables!P41)*Population_Tables!D41</f>
        <v>644.16123401049606</v>
      </c>
      <c r="BC67" s="216">
        <f>(D67/Population_Tables!Q41)*Population_Tables!E41</f>
        <v>61.684241675234318</v>
      </c>
      <c r="BD67" s="216">
        <f>(E67/Population_Tables!R41)*Population_Tables!F41</f>
        <v>516.3739935652701</v>
      </c>
      <c r="BE67" s="216">
        <f>(F67/Population_Tables!S41)*Population_Tables!G41</f>
        <v>34.28747315975361</v>
      </c>
      <c r="BF67" s="216">
        <f>(G67/Population_Tables!T41)*Population_Tables!H41</f>
        <v>65.092645837225618</v>
      </c>
      <c r="BG67" s="216"/>
      <c r="BN67" s="216"/>
      <c r="BO67" s="216"/>
      <c r="BP67" s="216"/>
    </row>
    <row r="68" spans="1:68" ht="15.6" x14ac:dyDescent="0.3">
      <c r="A68" s="194">
        <v>2053</v>
      </c>
      <c r="B68" s="229">
        <v>988.78463679096944</v>
      </c>
      <c r="C68" s="229">
        <v>606.97314125976027</v>
      </c>
      <c r="D68" s="229">
        <v>57.692737187038162</v>
      </c>
      <c r="E68" s="229">
        <v>479.3598100363842</v>
      </c>
      <c r="F68" s="229">
        <v>32.178167030068934</v>
      </c>
      <c r="G68" s="229">
        <v>59.337786576952432</v>
      </c>
      <c r="H68" s="229">
        <v>495.29319759043699</v>
      </c>
      <c r="I68" s="229">
        <v>98.082164344308865</v>
      </c>
      <c r="J68" s="229">
        <v>105.9767943578088</v>
      </c>
      <c r="K68" s="229">
        <v>62.30400375107304</v>
      </c>
      <c r="M68" s="194">
        <v>2053</v>
      </c>
      <c r="N68" s="419">
        <f t="shared" si="2"/>
        <v>31.928468846269812</v>
      </c>
      <c r="O68" s="418">
        <f>(C68/Population_Tables!P42)*Population_Tables!D101</f>
        <v>0</v>
      </c>
      <c r="P68" s="418">
        <f>(D68/Population_Tables!Q42)*Population_Tables!E101</f>
        <v>0</v>
      </c>
      <c r="Q68" s="418">
        <f>((E68-H68)/Population_Tables!R42)*Population_Tables!F101</f>
        <v>-10.422287131211451</v>
      </c>
      <c r="R68" s="418">
        <f>(F68/Population_Tables!S42)*Population_Tables!G101</f>
        <v>22.384707715235724</v>
      </c>
      <c r="S68" s="418">
        <f>(G68/Population_Tables!T42)*Population_Tables!H101</f>
        <v>19.96604826224554</v>
      </c>
      <c r="T68" s="418">
        <f>(H68/Population_Tables!U42)*Population_Tables!I101</f>
        <v>0</v>
      </c>
      <c r="U68" s="418">
        <f>(I68/Population_Tables!V42)*Population_Tables!J101</f>
        <v>0</v>
      </c>
      <c r="V68" s="418">
        <f>(J68/Population_Tables!W42)*Population_Tables!K101</f>
        <v>0</v>
      </c>
      <c r="W68" s="418">
        <f>(K68/Population_Tables!X42)*Population_Tables!L101</f>
        <v>0</v>
      </c>
      <c r="Y68" s="456">
        <v>2053</v>
      </c>
      <c r="Z68" s="459">
        <f>((B68/Population_Tables!O42)*Population_Tables!C42)-N68</f>
        <v>1060.7147919552103</v>
      </c>
      <c r="AA68" s="459">
        <f>((C68/Population_Tables!P42)*Population_Tables!D42)-O68</f>
        <v>660.60376367068704</v>
      </c>
      <c r="AB68" s="459">
        <f>((D68/Population_Tables!Q42)*Population_Tables!E42)-P68</f>
        <v>63.313696484463279</v>
      </c>
      <c r="AC68" s="459">
        <f>((E68/Population_Tables!R42)*Population_Tables!F42)-Q68</f>
        <v>542.70622956275713</v>
      </c>
      <c r="AD68" s="459">
        <f>((F68/Population_Tables!S42)*Population_Tables!G42)-R68</f>
        <v>12.921804439886291</v>
      </c>
      <c r="AE68" s="459">
        <f>((G68/Population_Tables!T42)*Population_Tables!H42)-S68</f>
        <v>46.956068245851839</v>
      </c>
      <c r="AF68" s="459">
        <f>(H68/Population_Tables!U42)*Population_Tables!I42</f>
        <v>538.87656451826365</v>
      </c>
      <c r="AG68" s="459">
        <f>(I68/Population_Tables!V42)*Population_Tables!J42</f>
        <v>108.71294966690449</v>
      </c>
      <c r="AH68" s="459">
        <f>(J68/Population_Tables!W42)*Population_Tables!K42</f>
        <v>115.12800268625092</v>
      </c>
      <c r="AI68" s="459">
        <f>(K68/Population_Tables!X42)*Population_Tables!L42</f>
        <v>68.267283906770231</v>
      </c>
      <c r="AK68" s="456">
        <v>2053</v>
      </c>
      <c r="AL68" s="459">
        <f t="shared" si="6"/>
        <v>1092.6432608014802</v>
      </c>
      <c r="AM68" s="459">
        <f t="shared" si="6"/>
        <v>660.60376367068704</v>
      </c>
      <c r="AN68" s="459">
        <f t="shared" si="6"/>
        <v>63.313696484463279</v>
      </c>
      <c r="AO68" s="459">
        <f t="shared" si="6"/>
        <v>532.28394243154571</v>
      </c>
      <c r="AP68" s="459">
        <f t="shared" si="6"/>
        <v>35.306512155122014</v>
      </c>
      <c r="AQ68" s="459">
        <f t="shared" si="6"/>
        <v>66.922116508097375</v>
      </c>
      <c r="AR68" s="459">
        <f t="shared" si="6"/>
        <v>538.87656451826365</v>
      </c>
      <c r="AS68" s="459">
        <f t="shared" si="6"/>
        <v>108.71294966690449</v>
      </c>
      <c r="AT68" s="459">
        <f t="shared" si="6"/>
        <v>115.12800268625092</v>
      </c>
      <c r="AU68" s="459">
        <f t="shared" si="6"/>
        <v>68.267283906770231</v>
      </c>
      <c r="AW68" s="216">
        <f>(B68/Population_Tables!O42)*Population_Tables!C42</f>
        <v>1092.6432608014802</v>
      </c>
      <c r="AX68" s="153" t="str">
        <f t="shared" si="7"/>
        <v>OK</v>
      </c>
      <c r="AY68" s="421">
        <f t="shared" si="4"/>
        <v>1358.4300312499154</v>
      </c>
      <c r="AZ68" s="153" t="str">
        <f t="shared" si="5"/>
        <v>OK</v>
      </c>
      <c r="BB68" s="216">
        <f>(C68/Population_Tables!P42)*Population_Tables!D42</f>
        <v>660.60376367068704</v>
      </c>
      <c r="BC68" s="216">
        <f>(D68/Population_Tables!Q42)*Population_Tables!E42</f>
        <v>63.313696484463279</v>
      </c>
      <c r="BD68" s="216">
        <f>(E68/Population_Tables!R42)*Population_Tables!F42</f>
        <v>532.28394243154571</v>
      </c>
      <c r="BE68" s="216">
        <f>(F68/Population_Tables!S42)*Population_Tables!G42</f>
        <v>35.306512155122014</v>
      </c>
      <c r="BF68" s="216">
        <f>(G68/Population_Tables!T42)*Population_Tables!H42</f>
        <v>66.922116508097375</v>
      </c>
      <c r="BG68" s="216"/>
      <c r="BN68" s="216"/>
      <c r="BO68" s="216"/>
      <c r="BP68" s="216"/>
    </row>
    <row r="69" spans="1:68" ht="15.6" x14ac:dyDescent="0.3">
      <c r="A69" s="194">
        <v>2054</v>
      </c>
      <c r="B69" s="229">
        <v>1009.1297866774944</v>
      </c>
      <c r="C69" s="229">
        <v>620.3659813038347</v>
      </c>
      <c r="D69" s="229">
        <v>58.993543794456556</v>
      </c>
      <c r="E69" s="229">
        <v>491.83904029182497</v>
      </c>
      <c r="F69" s="229">
        <v>33.006039821928262</v>
      </c>
      <c r="G69" s="229">
        <v>60.704905615925711</v>
      </c>
      <c r="H69" s="229">
        <v>508.17531023959498</v>
      </c>
      <c r="I69" s="229">
        <v>103.5251163734722</v>
      </c>
      <c r="J69" s="229">
        <v>106.42246742076973</v>
      </c>
      <c r="K69" s="229">
        <v>62.251722398488909</v>
      </c>
      <c r="M69" s="194">
        <v>2054</v>
      </c>
      <c r="N69" s="419">
        <f t="shared" si="2"/>
        <v>32.901758339235265</v>
      </c>
      <c r="O69" s="418">
        <f>(C69/Population_Tables!P43)*Population_Tables!D102</f>
        <v>0</v>
      </c>
      <c r="P69" s="418">
        <f>(D69/Population_Tables!Q43)*Population_Tables!E102</f>
        <v>0</v>
      </c>
      <c r="Q69" s="418">
        <f>((E69-H69)/Population_Tables!R43)*Population_Tables!F102</f>
        <v>-10.778202763704888</v>
      </c>
      <c r="R69" s="418">
        <f>(F69/Population_Tables!S43)*Population_Tables!G102</f>
        <v>23.089681002560102</v>
      </c>
      <c r="S69" s="418">
        <f>(G69/Population_Tables!T43)*Population_Tables!H102</f>
        <v>20.590280100380049</v>
      </c>
      <c r="T69" s="418">
        <f>(H69/Population_Tables!U43)*Population_Tables!I102</f>
        <v>0</v>
      </c>
      <c r="U69" s="418">
        <f>(I69/Population_Tables!V43)*Population_Tables!J102</f>
        <v>0</v>
      </c>
      <c r="V69" s="418">
        <f>(J69/Population_Tables!W43)*Population_Tables!K102</f>
        <v>0</v>
      </c>
      <c r="W69" s="418">
        <f>(K69/Population_Tables!X43)*Population_Tables!L102</f>
        <v>0</v>
      </c>
      <c r="Y69" s="456">
        <v>2054</v>
      </c>
      <c r="Z69" s="459">
        <f>((B69/Population_Tables!O43)*Population_Tables!C43)-N69</f>
        <v>1086.9817539899529</v>
      </c>
      <c r="AA69" s="459">
        <f>((C69/Population_Tables!P43)*Population_Tables!D43)-O69</f>
        <v>677.4811704353159</v>
      </c>
      <c r="AB69" s="459">
        <f>((D69/Population_Tables!Q43)*Population_Tables!E43)-P69</f>
        <v>65.01357995270223</v>
      </c>
      <c r="AC69" s="459">
        <f>((E69/Population_Tables!R43)*Population_Tables!F43)-Q69</f>
        <v>559.48076611017996</v>
      </c>
      <c r="AD69" s="459">
        <f>((F69/Population_Tables!S43)*Population_Tables!G43)-R69</f>
        <v>13.262940486426952</v>
      </c>
      <c r="AE69" s="459">
        <f>((G69/Population_Tables!T43)*Population_Tables!H43)-S69</f>
        <v>48.216010970960163</v>
      </c>
      <c r="AF69" s="459">
        <f>(H69/Population_Tables!U43)*Population_Tables!I43</f>
        <v>554.97588709763158</v>
      </c>
      <c r="AG69" s="459">
        <f>(I69/Population_Tables!V43)*Population_Tables!J43</f>
        <v>115.28001463349891</v>
      </c>
      <c r="AH69" s="459">
        <f>(J69/Population_Tables!W43)*Population_Tables!K43</f>
        <v>116.01779096003249</v>
      </c>
      <c r="AI69" s="459">
        <f>(K69/Population_Tables!X43)*Population_Tables!L43</f>
        <v>68.458979440545761</v>
      </c>
      <c r="AK69" s="456">
        <v>2054</v>
      </c>
      <c r="AL69" s="459">
        <f t="shared" ref="AL69:AU75" si="8">Z69+N69</f>
        <v>1119.8835123291883</v>
      </c>
      <c r="AM69" s="459">
        <f t="shared" si="8"/>
        <v>677.4811704353159</v>
      </c>
      <c r="AN69" s="459">
        <f t="shared" si="8"/>
        <v>65.01357995270223</v>
      </c>
      <c r="AO69" s="459">
        <f t="shared" si="8"/>
        <v>548.70256334647502</v>
      </c>
      <c r="AP69" s="459">
        <f t="shared" si="8"/>
        <v>36.352621488987054</v>
      </c>
      <c r="AQ69" s="459">
        <f t="shared" si="8"/>
        <v>68.806291071340212</v>
      </c>
      <c r="AR69" s="459">
        <f t="shared" si="8"/>
        <v>554.97588709763158</v>
      </c>
      <c r="AS69" s="459">
        <f t="shared" si="8"/>
        <v>115.28001463349891</v>
      </c>
      <c r="AT69" s="459">
        <f t="shared" si="8"/>
        <v>116.01779096003249</v>
      </c>
      <c r="AU69" s="459">
        <f t="shared" si="8"/>
        <v>68.458979440545761</v>
      </c>
      <c r="AW69" s="216">
        <f>(B69/Population_Tables!O43)*Population_Tables!C43</f>
        <v>1119.8835123291883</v>
      </c>
      <c r="AX69" s="153" t="str">
        <f t="shared" si="7"/>
        <v>OK</v>
      </c>
      <c r="AY69" s="421">
        <f t="shared" si="4"/>
        <v>1396.3562262948203</v>
      </c>
      <c r="AZ69" s="153" t="str">
        <f t="shared" si="5"/>
        <v>OK</v>
      </c>
      <c r="BB69" s="216">
        <f>(C69/Population_Tables!P43)*Population_Tables!D43</f>
        <v>677.4811704353159</v>
      </c>
      <c r="BC69" s="216">
        <f>(D69/Population_Tables!Q43)*Population_Tables!E43</f>
        <v>65.01357995270223</v>
      </c>
      <c r="BD69" s="216">
        <f>(E69/Population_Tables!R43)*Population_Tables!F43</f>
        <v>548.70256334647502</v>
      </c>
      <c r="BE69" s="216">
        <f>(F69/Population_Tables!S43)*Population_Tables!G43</f>
        <v>36.352621488987054</v>
      </c>
      <c r="BF69" s="216">
        <f>(G69/Population_Tables!T43)*Population_Tables!H43</f>
        <v>68.806291071340212</v>
      </c>
      <c r="BG69" s="216"/>
      <c r="BN69" s="216"/>
      <c r="BO69" s="216"/>
      <c r="BP69" s="216"/>
    </row>
    <row r="70" spans="1:68" ht="15.6" x14ac:dyDescent="0.3">
      <c r="A70" s="194">
        <v>2055</v>
      </c>
      <c r="B70" s="229">
        <v>1029.7478711493095</v>
      </c>
      <c r="C70" s="229">
        <v>634.00423901131705</v>
      </c>
      <c r="D70" s="229">
        <v>60.34254731336631</v>
      </c>
      <c r="E70" s="229">
        <v>504.59302089155881</v>
      </c>
      <c r="F70" s="229">
        <v>33.849722427549985</v>
      </c>
      <c r="G70" s="229">
        <v>62.099195985149898</v>
      </c>
      <c r="H70" s="229">
        <v>521.25866474125473</v>
      </c>
      <c r="I70" s="229">
        <v>109.21155605589749</v>
      </c>
      <c r="J70" s="229">
        <v>106.88671305150034</v>
      </c>
      <c r="K70" s="229">
        <v>62.212661289834898</v>
      </c>
      <c r="M70" s="194">
        <v>2055</v>
      </c>
      <c r="N70" s="419">
        <f t="shared" si="2"/>
        <v>33.956943230883411</v>
      </c>
      <c r="O70" s="418">
        <f>(C70/Population_Tables!P44)*Population_Tables!D103</f>
        <v>0</v>
      </c>
      <c r="P70" s="418">
        <f>(D70/Population_Tables!Q44)*Population_Tables!E103</f>
        <v>0</v>
      </c>
      <c r="Q70" s="418">
        <f>((E70-H70)/Population_Tables!R44)*Population_Tables!F103</f>
        <v>-11.092023169031011</v>
      </c>
      <c r="R70" s="418">
        <f>(F70/Population_Tables!S44)*Population_Tables!G103</f>
        <v>23.813978896105944</v>
      </c>
      <c r="S70" s="418">
        <f>(G70/Population_Tables!T44)*Population_Tables!H103</f>
        <v>21.23498750380848</v>
      </c>
      <c r="T70" s="418">
        <f>(H70/Population_Tables!U44)*Population_Tables!I103</f>
        <v>0</v>
      </c>
      <c r="U70" s="418">
        <f>(I70/Population_Tables!V44)*Population_Tables!J103</f>
        <v>0</v>
      </c>
      <c r="V70" s="418">
        <f>(J70/Population_Tables!W44)*Population_Tables!K103</f>
        <v>0</v>
      </c>
      <c r="W70" s="418">
        <f>(K70/Population_Tables!X44)*Population_Tables!L103</f>
        <v>0</v>
      </c>
      <c r="Y70" s="456">
        <v>2055</v>
      </c>
      <c r="Z70" s="459">
        <f>((B70/Population_Tables!O44)*Population_Tables!C44)-N70</f>
        <v>1113.8033665974988</v>
      </c>
      <c r="AA70" s="459">
        <f>((C70/Population_Tables!P44)*Population_Tables!D44)-O70</f>
        <v>694.80925094744964</v>
      </c>
      <c r="AB70" s="459">
        <f>((D70/Population_Tables!Q44)*Population_Tables!E44)-P70</f>
        <v>66.787526081674514</v>
      </c>
      <c r="AC70" s="459">
        <f>((E70/Population_Tables!R44)*Population_Tables!F44)-Q70</f>
        <v>576.73828953801024</v>
      </c>
      <c r="AD70" s="459">
        <f>((F70/Population_Tables!S44)*Population_Tables!G44)-R70</f>
        <v>13.612412351441819</v>
      </c>
      <c r="AE70" s="459">
        <f>((G70/Population_Tables!T44)*Population_Tables!H44)-S70</f>
        <v>49.511814359444784</v>
      </c>
      <c r="AF70" s="459">
        <f>(H70/Population_Tables!U44)*Population_Tables!I44</f>
        <v>571.47063972900185</v>
      </c>
      <c r="AG70" s="459">
        <f>(I70/Population_Tables!V44)*Population_Tables!J44</f>
        <v>122.19581049459197</v>
      </c>
      <c r="AH70" s="459">
        <f>(J70/Population_Tables!W44)*Population_Tables!K44</f>
        <v>116.94569454891968</v>
      </c>
      <c r="AI70" s="459">
        <f>(K70/Population_Tables!X44)*Population_Tables!L44</f>
        <v>68.672885590210626</v>
      </c>
      <c r="AK70" s="456">
        <v>2055</v>
      </c>
      <c r="AL70" s="459">
        <f t="shared" si="8"/>
        <v>1147.7603098283821</v>
      </c>
      <c r="AM70" s="459">
        <f t="shared" si="8"/>
        <v>694.80925094744964</v>
      </c>
      <c r="AN70" s="459">
        <f t="shared" si="8"/>
        <v>66.787526081674514</v>
      </c>
      <c r="AO70" s="459">
        <f t="shared" si="8"/>
        <v>565.64626636897924</v>
      </c>
      <c r="AP70" s="459">
        <f t="shared" si="8"/>
        <v>37.426391247547762</v>
      </c>
      <c r="AQ70" s="459">
        <f t="shared" si="8"/>
        <v>70.746801863253268</v>
      </c>
      <c r="AR70" s="459">
        <f t="shared" si="8"/>
        <v>571.47063972900185</v>
      </c>
      <c r="AS70" s="459">
        <f t="shared" si="8"/>
        <v>122.19581049459197</v>
      </c>
      <c r="AT70" s="459">
        <f t="shared" si="8"/>
        <v>116.94569454891968</v>
      </c>
      <c r="AU70" s="459">
        <f t="shared" si="8"/>
        <v>68.672885590210626</v>
      </c>
      <c r="AW70" s="216">
        <f>(B70/Population_Tables!O44)*Population_Tables!C44</f>
        <v>1147.7603098283821</v>
      </c>
      <c r="AX70" s="153" t="str">
        <f t="shared" si="7"/>
        <v>OK</v>
      </c>
      <c r="AY70" s="421">
        <f t="shared" si="4"/>
        <v>1435.4162365089046</v>
      </c>
      <c r="AZ70" s="153" t="str">
        <f t="shared" si="5"/>
        <v>OK</v>
      </c>
      <c r="BB70" s="216">
        <f>(C70/Population_Tables!P44)*Population_Tables!D44</f>
        <v>694.80925094744964</v>
      </c>
      <c r="BC70" s="216">
        <f>(D70/Population_Tables!Q44)*Population_Tables!E44</f>
        <v>66.787526081674514</v>
      </c>
      <c r="BD70" s="216">
        <f>(E70/Population_Tables!R44)*Population_Tables!F44</f>
        <v>565.64626636897924</v>
      </c>
      <c r="BE70" s="216">
        <f>(F70/Population_Tables!S44)*Population_Tables!G44</f>
        <v>37.426391247547762</v>
      </c>
      <c r="BF70" s="216">
        <f>(G70/Population_Tables!T44)*Population_Tables!H44</f>
        <v>70.746801863253268</v>
      </c>
      <c r="BG70" s="216"/>
      <c r="BN70" s="216"/>
      <c r="BO70" s="216"/>
      <c r="BP70" s="216"/>
    </row>
    <row r="71" spans="1:68" ht="15.6" x14ac:dyDescent="0.3">
      <c r="A71" s="194">
        <v>2056</v>
      </c>
      <c r="B71" s="229">
        <v>1050.6365947783345</v>
      </c>
      <c r="C71" s="229">
        <v>647.89105025636638</v>
      </c>
      <c r="D71" s="229">
        <v>61.741773580694328</v>
      </c>
      <c r="E71" s="229">
        <v>517.62820463017783</v>
      </c>
      <c r="F71" s="229">
        <v>34.709441958458584</v>
      </c>
      <c r="G71" s="229">
        <v>63.521043708086601</v>
      </c>
      <c r="H71" s="229">
        <v>534.54748129630002</v>
      </c>
      <c r="I71" s="229">
        <v>115.14765140029846</v>
      </c>
      <c r="J71" s="229">
        <v>107.37049928094726</v>
      </c>
      <c r="K71" s="229">
        <v>62.18682042511103</v>
      </c>
      <c r="M71" s="194">
        <v>2056</v>
      </c>
      <c r="N71" s="419">
        <f t="shared" si="2"/>
        <v>35.097811497043971</v>
      </c>
      <c r="O71" s="418">
        <f>(C71/Population_Tables!P45)*Population_Tables!D104</f>
        <v>0</v>
      </c>
      <c r="P71" s="418">
        <f>(D71/Population_Tables!Q45)*Population_Tables!E104</f>
        <v>0</v>
      </c>
      <c r="Q71" s="418">
        <f>((E71-H71)/Population_Tables!R45)*Population_Tables!F104</f>
        <v>-11.36110342082887</v>
      </c>
      <c r="R71" s="418">
        <f>(F71/Population_Tables!S45)*Population_Tables!G104</f>
        <v>24.558068152757524</v>
      </c>
      <c r="S71" s="418">
        <f>(G71/Population_Tables!T45)*Population_Tables!H104</f>
        <v>21.900846765115318</v>
      </c>
      <c r="T71" s="418">
        <f>(H71/Population_Tables!U45)*Population_Tables!I104</f>
        <v>0</v>
      </c>
      <c r="U71" s="418">
        <f>(I71/Population_Tables!V45)*Population_Tables!J104</f>
        <v>0</v>
      </c>
      <c r="V71" s="418">
        <f>(J71/Population_Tables!W45)*Population_Tables!K104</f>
        <v>0</v>
      </c>
      <c r="W71" s="418">
        <f>(K71/Population_Tables!X45)*Population_Tables!L104</f>
        <v>0</v>
      </c>
      <c r="Y71" s="456">
        <v>2056</v>
      </c>
      <c r="Z71" s="459">
        <f>((B71/Population_Tables!O45)*Population_Tables!C45)-N71</f>
        <v>1141.1860513363267</v>
      </c>
      <c r="AA71" s="459">
        <f>((C71/Population_Tables!P45)*Population_Tables!D45)-O71</f>
        <v>712.60269997180433</v>
      </c>
      <c r="AB71" s="459">
        <f>((D71/Population_Tables!Q45)*Population_Tables!E45)-P71</f>
        <v>68.639266793401561</v>
      </c>
      <c r="AC71" s="459">
        <f>((E71/Population_Tables!R45)*Population_Tables!F45)-Q71</f>
        <v>594.49526223195062</v>
      </c>
      <c r="AD71" s="459">
        <f>((F71/Population_Tables!S45)*Population_Tables!G45)-R71</f>
        <v>13.970408978981045</v>
      </c>
      <c r="AE71" s="459">
        <f>((G71/Population_Tables!T45)*Population_Tables!H45)-S71</f>
        <v>50.844580913199778</v>
      </c>
      <c r="AF71" s="459">
        <f>(H71/Population_Tables!U45)*Population_Tables!I45</f>
        <v>588.37512304031645</v>
      </c>
      <c r="AG71" s="459">
        <f>(I71/Population_Tables!V45)*Population_Tables!J45</f>
        <v>129.47418941046621</v>
      </c>
      <c r="AH71" s="459">
        <f>(J71/Population_Tables!W45)*Population_Tables!K45</f>
        <v>117.91378745374568</v>
      </c>
      <c r="AI71" s="459">
        <f>(K71/Population_Tables!X45)*Population_Tables!L45</f>
        <v>68.90933113373832</v>
      </c>
      <c r="AK71" s="456">
        <v>2056</v>
      </c>
      <c r="AL71" s="459">
        <f t="shared" si="8"/>
        <v>1176.2838628333707</v>
      </c>
      <c r="AM71" s="459">
        <f t="shared" si="8"/>
        <v>712.60269997180433</v>
      </c>
      <c r="AN71" s="459">
        <f t="shared" si="8"/>
        <v>68.639266793401561</v>
      </c>
      <c r="AO71" s="459">
        <f t="shared" si="8"/>
        <v>583.13415881112178</v>
      </c>
      <c r="AP71" s="459">
        <f t="shared" si="8"/>
        <v>38.528477131738569</v>
      </c>
      <c r="AQ71" s="459">
        <f t="shared" si="8"/>
        <v>72.745427678315096</v>
      </c>
      <c r="AR71" s="459">
        <f t="shared" si="8"/>
        <v>588.37512304031645</v>
      </c>
      <c r="AS71" s="459">
        <f t="shared" si="8"/>
        <v>129.47418941046621</v>
      </c>
      <c r="AT71" s="459">
        <f t="shared" si="8"/>
        <v>117.91378745374568</v>
      </c>
      <c r="AU71" s="459">
        <f t="shared" si="8"/>
        <v>68.90933113373832</v>
      </c>
      <c r="AW71" s="216">
        <f>(B71/Population_Tables!O45)*Population_Tables!C45</f>
        <v>1176.2838628333707</v>
      </c>
      <c r="AX71" s="153" t="str">
        <f t="shared" si="7"/>
        <v>OK</v>
      </c>
      <c r="AY71" s="421">
        <f t="shared" si="4"/>
        <v>1475.6500303863813</v>
      </c>
      <c r="AZ71" s="153" t="str">
        <f t="shared" si="5"/>
        <v>OK</v>
      </c>
      <c r="BB71" s="216">
        <f>(C71/Population_Tables!P45)*Population_Tables!D45</f>
        <v>712.60269997180433</v>
      </c>
      <c r="BC71" s="216">
        <f>(D71/Population_Tables!Q45)*Population_Tables!E45</f>
        <v>68.639266793401561</v>
      </c>
      <c r="BD71" s="216">
        <f>(E71/Population_Tables!R45)*Population_Tables!F45</f>
        <v>583.13415881112178</v>
      </c>
      <c r="BE71" s="216">
        <f>(F71/Population_Tables!S45)*Population_Tables!G45</f>
        <v>38.528477131738569</v>
      </c>
      <c r="BF71" s="216">
        <f>(G71/Population_Tables!T45)*Population_Tables!H45</f>
        <v>72.745427678315096</v>
      </c>
      <c r="BG71" s="216"/>
      <c r="BN71" s="216"/>
      <c r="BO71" s="216"/>
      <c r="BP71" s="216"/>
    </row>
    <row r="72" spans="1:68" ht="15.6" x14ac:dyDescent="0.3">
      <c r="A72" s="194">
        <v>2057</v>
      </c>
      <c r="B72" s="229">
        <v>1071.7936621364884</v>
      </c>
      <c r="C72" s="229">
        <v>662.02955091314152</v>
      </c>
      <c r="D72" s="229">
        <v>63.193248433367501</v>
      </c>
      <c r="E72" s="229">
        <v>530.95104430227434</v>
      </c>
      <c r="F72" s="229">
        <v>35.585425526178547</v>
      </c>
      <c r="G72" s="229">
        <v>64.970834808197424</v>
      </c>
      <c r="H72" s="229">
        <v>548.04598010561472</v>
      </c>
      <c r="I72" s="229">
        <v>121.33957041538889</v>
      </c>
      <c r="J72" s="229">
        <v>107.87479414005715</v>
      </c>
      <c r="K72" s="229">
        <v>62.17419980431729</v>
      </c>
      <c r="M72" s="194">
        <v>2057</v>
      </c>
      <c r="N72" s="419">
        <f t="shared" si="2"/>
        <v>36.328256780415074</v>
      </c>
      <c r="O72" s="418">
        <f>(C72/Population_Tables!P46)*Population_Tables!D105</f>
        <v>0</v>
      </c>
      <c r="P72" s="418">
        <f>(D72/Population_Tables!Q46)*Population_Tables!E105</f>
        <v>0</v>
      </c>
      <c r="Q72" s="418">
        <f>((E72-H72)/Population_Tables!R46)*Population_Tables!F105</f>
        <v>-11.582652574975626</v>
      </c>
      <c r="R72" s="418">
        <f>(F72/Population_Tables!S46)*Population_Tables!G105</f>
        <v>25.322377397752419</v>
      </c>
      <c r="S72" s="418">
        <f>(G72/Population_Tables!T46)*Population_Tables!H105</f>
        <v>22.588531957638281</v>
      </c>
      <c r="T72" s="418">
        <f>(H72/Population_Tables!U46)*Population_Tables!I105</f>
        <v>0</v>
      </c>
      <c r="U72" s="418">
        <f>(I72/Population_Tables!V46)*Population_Tables!J105</f>
        <v>0</v>
      </c>
      <c r="V72" s="418">
        <f>(J72/Population_Tables!W46)*Population_Tables!K105</f>
        <v>0</v>
      </c>
      <c r="W72" s="418">
        <f>(K72/Population_Tables!X46)*Population_Tables!L105</f>
        <v>0</v>
      </c>
      <c r="Y72" s="456">
        <v>2057</v>
      </c>
      <c r="Z72" s="459">
        <f>((B72/Population_Tables!O46)*Population_Tables!C46)-N72</f>
        <v>1169.1342268313651</v>
      </c>
      <c r="AA72" s="459">
        <f>((C72/Population_Tables!P46)*Population_Tables!D46)-O72</f>
        <v>730.87423785721171</v>
      </c>
      <c r="AB72" s="459">
        <f>((D72/Population_Tables!Q46)*Population_Tables!E46)-P72</f>
        <v>70.572603173784458</v>
      </c>
      <c r="AC72" s="459">
        <f>((E72/Population_Tables!R46)*Population_Tables!F46)-Q72</f>
        <v>612.76731844042433</v>
      </c>
      <c r="AD72" s="459">
        <f>((F72/Population_Tables!S46)*Population_Tables!G46)-R72</f>
        <v>14.337129307379982</v>
      </c>
      <c r="AE72" s="459">
        <f>((G72/Population_Tables!T46)*Population_Tables!H46)-S72</f>
        <v>52.215348956948134</v>
      </c>
      <c r="AF72" s="459">
        <f>(H72/Population_Tables!U46)*Population_Tables!I46</f>
        <v>605.70393503474054</v>
      </c>
      <c r="AG72" s="459">
        <f>(I72/Population_Tables!V46)*Population_Tables!J46</f>
        <v>137.12895041680977</v>
      </c>
      <c r="AH72" s="459">
        <f>(J72/Population_Tables!W46)*Population_Tables!K46</f>
        <v>118.92391515366241</v>
      </c>
      <c r="AI72" s="459">
        <f>(K72/Population_Tables!X46)*Population_Tables!L46</f>
        <v>69.168402076989537</v>
      </c>
      <c r="AK72" s="456">
        <v>2057</v>
      </c>
      <c r="AL72" s="459">
        <f t="shared" si="8"/>
        <v>1205.4624836117803</v>
      </c>
      <c r="AM72" s="459">
        <f t="shared" si="8"/>
        <v>730.87423785721171</v>
      </c>
      <c r="AN72" s="459">
        <f t="shared" si="8"/>
        <v>70.572603173784458</v>
      </c>
      <c r="AO72" s="459">
        <f t="shared" si="8"/>
        <v>601.18466586544866</v>
      </c>
      <c r="AP72" s="459">
        <f t="shared" si="8"/>
        <v>39.659506705132401</v>
      </c>
      <c r="AQ72" s="459">
        <f t="shared" si="8"/>
        <v>74.803880914586415</v>
      </c>
      <c r="AR72" s="459">
        <f t="shared" si="8"/>
        <v>605.70393503474054</v>
      </c>
      <c r="AS72" s="459">
        <f t="shared" si="8"/>
        <v>137.12895041680977</v>
      </c>
      <c r="AT72" s="459">
        <f t="shared" si="8"/>
        <v>118.92391515366241</v>
      </c>
      <c r="AU72" s="459">
        <f t="shared" si="8"/>
        <v>69.168402076989537</v>
      </c>
      <c r="AW72" s="216">
        <f>(B72/Population_Tables!O46)*Population_Tables!C46</f>
        <v>1205.4624836117803</v>
      </c>
      <c r="AX72" s="153" t="str">
        <f t="shared" si="7"/>
        <v>OK</v>
      </c>
      <c r="AY72" s="421">
        <f t="shared" si="4"/>
        <v>1517.0948945161638</v>
      </c>
      <c r="AZ72" s="153" t="str">
        <f t="shared" si="5"/>
        <v>OK</v>
      </c>
      <c r="BB72" s="216">
        <f>(C72/Population_Tables!P46)*Population_Tables!D46</f>
        <v>730.87423785721171</v>
      </c>
      <c r="BC72" s="216">
        <f>(D72/Population_Tables!Q46)*Population_Tables!E46</f>
        <v>70.572603173784458</v>
      </c>
      <c r="BD72" s="216">
        <f>(E72/Population_Tables!R46)*Population_Tables!F46</f>
        <v>601.18466586544866</v>
      </c>
      <c r="BE72" s="216">
        <f>(F72/Population_Tables!S46)*Population_Tables!G46</f>
        <v>39.659506705132401</v>
      </c>
      <c r="BF72" s="216">
        <f>(G72/Population_Tables!T46)*Population_Tables!H46</f>
        <v>74.803880914586415</v>
      </c>
      <c r="BG72" s="216"/>
      <c r="BN72" s="216"/>
      <c r="BO72" s="216"/>
      <c r="BP72" s="216"/>
    </row>
    <row r="73" spans="1:68" ht="15.6" x14ac:dyDescent="0.3">
      <c r="A73" s="194">
        <v>2058</v>
      </c>
      <c r="B73" s="229">
        <v>1093.2167777956902</v>
      </c>
      <c r="C73" s="229">
        <v>676.42287685580163</v>
      </c>
      <c r="D73" s="229">
        <v>64.698997708312717</v>
      </c>
      <c r="E73" s="229">
        <v>544.56799270244028</v>
      </c>
      <c r="F73" s="229">
        <v>36.477900242234355</v>
      </c>
      <c r="G73" s="229">
        <v>66.448955308943994</v>
      </c>
      <c r="H73" s="229">
        <v>561.75838137008247</v>
      </c>
      <c r="I73" s="229">
        <v>127.79348110988255</v>
      </c>
      <c r="J73" s="229">
        <v>108.40056565977666</v>
      </c>
      <c r="K73" s="229">
        <v>62.174799427453685</v>
      </c>
      <c r="M73" s="194">
        <v>2058</v>
      </c>
      <c r="N73" s="419">
        <f t="shared" si="2"/>
        <v>37.652301456948301</v>
      </c>
      <c r="O73" s="418">
        <f>(C73/Population_Tables!P47)*Population_Tables!D106</f>
        <v>0</v>
      </c>
      <c r="P73" s="418">
        <f>(D73/Population_Tables!Q47)*Population_Tables!E106</f>
        <v>0</v>
      </c>
      <c r="Q73" s="418">
        <f>((E73-H73)/Population_Tables!R47)*Population_Tables!F106</f>
        <v>-11.75360828363447</v>
      </c>
      <c r="R73" s="418">
        <f>(F73/Population_Tables!S47)*Population_Tables!G106</f>
        <v>26.107262483529318</v>
      </c>
      <c r="S73" s="418">
        <f>(G73/Population_Tables!T47)*Population_Tables!H106</f>
        <v>23.298647257053453</v>
      </c>
      <c r="T73" s="418">
        <f>(H73/Population_Tables!U47)*Population_Tables!I106</f>
        <v>0</v>
      </c>
      <c r="U73" s="418">
        <f>(I73/Population_Tables!V47)*Population_Tables!J106</f>
        <v>0</v>
      </c>
      <c r="V73" s="418">
        <f>(J73/Population_Tables!W47)*Population_Tables!K106</f>
        <v>0</v>
      </c>
      <c r="W73" s="418">
        <f>(K73/Population_Tables!X47)*Population_Tables!L106</f>
        <v>0</v>
      </c>
      <c r="Y73" s="456">
        <v>2058</v>
      </c>
      <c r="Z73" s="459">
        <f>((B73/Population_Tables!O47)*Population_Tables!C47)-N73</f>
        <v>1197.6459127278706</v>
      </c>
      <c r="AA73" s="459">
        <f>((C73/Population_Tables!P47)*Population_Tables!D47)-O73</f>
        <v>749.63412395996693</v>
      </c>
      <c r="AB73" s="459">
        <f>((D73/Population_Tables!Q47)*Population_Tables!E47)-P73</f>
        <v>72.591186342973629</v>
      </c>
      <c r="AC73" s="459">
        <f>((E73/Population_Tables!R47)*Population_Tables!F47)-Q73</f>
        <v>631.56571233833517</v>
      </c>
      <c r="AD73" s="459">
        <f>((F73/Population_Tables!S47)*Population_Tables!G47)-R73</f>
        <v>14.712735975102028</v>
      </c>
      <c r="AE73" s="459">
        <f>((G73/Population_Tables!T47)*Population_Tables!H47)-S73</f>
        <v>53.624986235480129</v>
      </c>
      <c r="AF73" s="459">
        <f>(H73/Population_Tables!U47)*Population_Tables!I47</f>
        <v>623.47050837666438</v>
      </c>
      <c r="AG73" s="459">
        <f>(I73/Population_Tables!V47)*Population_Tables!J47</f>
        <v>145.17241781660923</v>
      </c>
      <c r="AH73" s="459">
        <f>(J73/Population_Tables!W47)*Population_Tables!K47</f>
        <v>119.97752823861752</v>
      </c>
      <c r="AI73" s="459">
        <f>(K73/Population_Tables!X47)*Population_Tables!L47</f>
        <v>69.44987800372607</v>
      </c>
      <c r="AK73" s="456">
        <v>2058</v>
      </c>
      <c r="AL73" s="459">
        <f t="shared" si="8"/>
        <v>1235.298214184819</v>
      </c>
      <c r="AM73" s="459">
        <f t="shared" si="8"/>
        <v>749.63412395996693</v>
      </c>
      <c r="AN73" s="459">
        <f t="shared" si="8"/>
        <v>72.591186342973629</v>
      </c>
      <c r="AO73" s="459">
        <f t="shared" si="8"/>
        <v>619.81210405470074</v>
      </c>
      <c r="AP73" s="459">
        <f t="shared" si="8"/>
        <v>40.819998458631346</v>
      </c>
      <c r="AQ73" s="459">
        <f t="shared" si="8"/>
        <v>76.923633492533583</v>
      </c>
      <c r="AR73" s="459">
        <f t="shared" si="8"/>
        <v>623.47050837666438</v>
      </c>
      <c r="AS73" s="459">
        <f t="shared" si="8"/>
        <v>145.17241781660923</v>
      </c>
      <c r="AT73" s="459">
        <f t="shared" si="8"/>
        <v>119.97752823861752</v>
      </c>
      <c r="AU73" s="459">
        <f t="shared" si="8"/>
        <v>69.44987800372607</v>
      </c>
      <c r="AW73" s="216">
        <f>(B73/Population_Tables!O47)*Population_Tables!C47</f>
        <v>1235.298214184819</v>
      </c>
      <c r="AX73" s="153" t="str">
        <f t="shared" si="7"/>
        <v>OK</v>
      </c>
      <c r="AY73" s="421">
        <f t="shared" si="4"/>
        <v>1559.7810463088063</v>
      </c>
      <c r="AZ73" s="153" t="str">
        <f t="shared" si="5"/>
        <v>OK</v>
      </c>
      <c r="BB73" s="216">
        <f>(C73/Population_Tables!P47)*Population_Tables!D47</f>
        <v>749.63412395996693</v>
      </c>
      <c r="BC73" s="216">
        <f>(D73/Population_Tables!Q47)*Population_Tables!E47</f>
        <v>72.591186342973629</v>
      </c>
      <c r="BD73" s="216">
        <f>(E73/Population_Tables!R47)*Population_Tables!F47</f>
        <v>619.81210405470074</v>
      </c>
      <c r="BE73" s="216">
        <f>(F73/Population_Tables!S47)*Population_Tables!G47</f>
        <v>40.819998458631346</v>
      </c>
      <c r="BF73" s="216">
        <f>(G73/Population_Tables!T47)*Population_Tables!H47</f>
        <v>76.923633492533583</v>
      </c>
      <c r="BG73" s="216"/>
      <c r="BN73" s="216"/>
      <c r="BO73" s="216"/>
      <c r="BP73" s="216"/>
    </row>
    <row r="74" spans="1:68" ht="15.6" x14ac:dyDescent="0.3">
      <c r="A74" s="194">
        <v>2059</v>
      </c>
      <c r="B74" s="229">
        <v>1114.9036463278594</v>
      </c>
      <c r="C74" s="229">
        <v>691.07416395850532</v>
      </c>
      <c r="D74" s="229">
        <v>66.261047242456854</v>
      </c>
      <c r="E74" s="229">
        <v>558.48550262526783</v>
      </c>
      <c r="F74" s="229">
        <v>37.38709321815049</v>
      </c>
      <c r="G74" s="229">
        <v>67.955791233787892</v>
      </c>
      <c r="H74" s="229">
        <v>575.68890529058706</v>
      </c>
      <c r="I74" s="229">
        <v>134.51555149249322</v>
      </c>
      <c r="J74" s="229">
        <v>108.94878187105243</v>
      </c>
      <c r="K74" s="229">
        <v>62.188619294520208</v>
      </c>
      <c r="M74" s="194">
        <v>2059</v>
      </c>
      <c r="N74" s="419">
        <f t="shared" si="2"/>
        <v>39.074061868404712</v>
      </c>
      <c r="O74" s="418">
        <f>(C74/Population_Tables!P48)*Population_Tables!D107</f>
        <v>0</v>
      </c>
      <c r="P74" s="418">
        <f>(D74/Population_Tables!Q48)*Population_Tables!E107</f>
        <v>0</v>
      </c>
      <c r="Q74" s="418">
        <f>((E74-H74)/Population_Tables!R48)*Population_Tables!F107</f>
        <v>-11.870731565046135</v>
      </c>
      <c r="R74" s="418">
        <f>(F74/Population_Tables!S48)*Population_Tables!G107</f>
        <v>26.913036669949584</v>
      </c>
      <c r="S74" s="418">
        <f>(G74/Population_Tables!T48)*Population_Tables!H107</f>
        <v>24.031756763501264</v>
      </c>
      <c r="T74" s="418">
        <f>(H74/Population_Tables!U48)*Population_Tables!I107</f>
        <v>0</v>
      </c>
      <c r="U74" s="418">
        <f>(I74/Population_Tables!V48)*Population_Tables!J107</f>
        <v>0</v>
      </c>
      <c r="V74" s="418">
        <f>(J74/Population_Tables!W48)*Population_Tables!K107</f>
        <v>0</v>
      </c>
      <c r="W74" s="418">
        <f>(K74/Population_Tables!X48)*Population_Tables!L107</f>
        <v>0</v>
      </c>
      <c r="Y74" s="456">
        <v>2059</v>
      </c>
      <c r="Z74" s="459">
        <f>((B74/Population_Tables!O48)*Population_Tables!C48)-N74</f>
        <v>1226.7159521096694</v>
      </c>
      <c r="AA74" s="459">
        <f>((C74/Population_Tables!P48)*Population_Tables!D48)-O74</f>
        <v>768.89066421659334</v>
      </c>
      <c r="AB74" s="459">
        <f>((D74/Population_Tables!Q48)*Population_Tables!E48)-P74</f>
        <v>74.698675668081819</v>
      </c>
      <c r="AC74" s="459">
        <f>((E74/Population_Tables!R48)*Population_Tables!F48)-Q74</f>
        <v>650.89961733834116</v>
      </c>
      <c r="AD74" s="459">
        <f>((F74/Population_Tables!S48)*Population_Tables!G48)-R74</f>
        <v>15.09738621309743</v>
      </c>
      <c r="AE74" s="459">
        <f>((G74/Population_Tables!T48)*Population_Tables!H48)-S74</f>
        <v>55.074293694897079</v>
      </c>
      <c r="AF74" s="459">
        <f>(H74/Population_Tables!U48)*Population_Tables!I48</f>
        <v>641.6878201804335</v>
      </c>
      <c r="AG74" s="459">
        <f>(I74/Population_Tables!V48)*Population_Tables!J48</f>
        <v>153.61616954379261</v>
      </c>
      <c r="AH74" s="459">
        <f>(J74/Population_Tables!W48)*Population_Tables!K48</f>
        <v>121.07588134496395</v>
      </c>
      <c r="AI74" s="459">
        <f>(K74/Population_Tables!X48)*Population_Tables!L48</f>
        <v>69.753341298796599</v>
      </c>
      <c r="AK74" s="456">
        <v>2059</v>
      </c>
      <c r="AL74" s="459">
        <f t="shared" si="8"/>
        <v>1265.7900139780741</v>
      </c>
      <c r="AM74" s="459">
        <f t="shared" si="8"/>
        <v>768.89066421659334</v>
      </c>
      <c r="AN74" s="459">
        <f t="shared" si="8"/>
        <v>74.698675668081819</v>
      </c>
      <c r="AO74" s="459">
        <f t="shared" si="8"/>
        <v>639.02888577329497</v>
      </c>
      <c r="AP74" s="459">
        <f t="shared" si="8"/>
        <v>42.010422883047013</v>
      </c>
      <c r="AQ74" s="459">
        <f t="shared" si="8"/>
        <v>79.106050458398343</v>
      </c>
      <c r="AR74" s="459">
        <f t="shared" si="8"/>
        <v>641.6878201804335</v>
      </c>
      <c r="AS74" s="459">
        <f t="shared" si="8"/>
        <v>153.61616954379261</v>
      </c>
      <c r="AT74" s="459">
        <f t="shared" si="8"/>
        <v>121.07588134496395</v>
      </c>
      <c r="AU74" s="459">
        <f t="shared" si="8"/>
        <v>69.753341298796599</v>
      </c>
      <c r="AW74" s="216">
        <f>(B74/Population_Tables!O48)*Population_Tables!C48</f>
        <v>1265.7900139780741</v>
      </c>
      <c r="AX74" s="153" t="str">
        <f t="shared" si="7"/>
        <v>OK</v>
      </c>
      <c r="AY74" s="421">
        <f t="shared" si="4"/>
        <v>1603.7346989994155</v>
      </c>
      <c r="AZ74" s="153" t="str">
        <f t="shared" si="5"/>
        <v>OK</v>
      </c>
      <c r="BB74" s="216">
        <f>(C74/Population_Tables!P48)*Population_Tables!D48</f>
        <v>768.89066421659334</v>
      </c>
      <c r="BC74" s="216">
        <f>(D74/Population_Tables!Q48)*Population_Tables!E48</f>
        <v>74.698675668081819</v>
      </c>
      <c r="BD74" s="216">
        <f>(E74/Population_Tables!R48)*Population_Tables!F48</f>
        <v>639.02888577329497</v>
      </c>
      <c r="BE74" s="216">
        <f>(F74/Population_Tables!S48)*Population_Tables!G48</f>
        <v>42.010422883047013</v>
      </c>
      <c r="BF74" s="216">
        <f>(G74/Population_Tables!T48)*Population_Tables!H48</f>
        <v>79.106050458398343</v>
      </c>
      <c r="BG74" s="216"/>
      <c r="BN74" s="216"/>
      <c r="BO74" s="216"/>
      <c r="BP74" s="216"/>
    </row>
    <row r="75" spans="1:68" ht="15.6" x14ac:dyDescent="0.3">
      <c r="A75" s="194">
        <v>2060</v>
      </c>
      <c r="B75" s="229">
        <v>1136.8519723049153</v>
      </c>
      <c r="C75" s="229">
        <v>705.98654809541176</v>
      </c>
      <c r="D75" s="229">
        <v>67.88142287272683</v>
      </c>
      <c r="E75" s="229">
        <v>572.71002686534916</v>
      </c>
      <c r="F75" s="229">
        <v>38.313231565451431</v>
      </c>
      <c r="G75" s="229">
        <v>69.491728606190748</v>
      </c>
      <c r="H75" s="229">
        <v>589.84177206801212</v>
      </c>
      <c r="I75" s="229">
        <v>141.51194957193462</v>
      </c>
      <c r="J75" s="229">
        <v>109.52041080483113</v>
      </c>
      <c r="K75" s="229">
        <v>62.215659405516867</v>
      </c>
      <c r="M75" s="194">
        <v>2060</v>
      </c>
      <c r="N75" s="419">
        <f t="shared" si="2"/>
        <v>40.597795805231947</v>
      </c>
      <c r="O75" s="418">
        <f>(C75/Population_Tables!P49)*Population_Tables!D108</f>
        <v>0</v>
      </c>
      <c r="P75" s="418">
        <f>(D75/Population_Tables!Q49)*Population_Tables!E108</f>
        <v>0</v>
      </c>
      <c r="Q75" s="418">
        <f>((E75-H75)/Population_Tables!R49)*Population_Tables!F108</f>
        <v>-11.930712135717354</v>
      </c>
      <c r="R75" s="418">
        <f>(F75/Population_Tables!S49)*Population_Tables!G108</f>
        <v>27.740037930794315</v>
      </c>
      <c r="S75" s="418">
        <f>(G75/Population_Tables!T49)*Population_Tables!H108</f>
        <v>24.788470010154985</v>
      </c>
      <c r="T75" s="418">
        <f>(H75/Population_Tables!U49)*Population_Tables!I108</f>
        <v>0</v>
      </c>
      <c r="U75" s="418">
        <f>(I75/Population_Tables!V49)*Population_Tables!J108</f>
        <v>0</v>
      </c>
      <c r="V75" s="418">
        <f>(J75/Population_Tables!W49)*Population_Tables!K108</f>
        <v>0</v>
      </c>
      <c r="W75" s="418">
        <f>(K75/Population_Tables!X49)*Population_Tables!L108</f>
        <v>0</v>
      </c>
      <c r="Y75" s="456">
        <v>2060</v>
      </c>
      <c r="Z75" s="459">
        <f>((B75/Population_Tables!O49)*Population_Tables!C49)-N75</f>
        <v>1256.3401531953764</v>
      </c>
      <c r="AA75" s="459">
        <f>((C75/Population_Tables!P49)*Population_Tables!D49)-O75</f>
        <v>788.65210575644119</v>
      </c>
      <c r="AB75" s="459">
        <f>((D75/Population_Tables!Q49)*Population_Tables!E49)-P75</f>
        <v>76.898825072251327</v>
      </c>
      <c r="AC75" s="459">
        <f>((E75/Population_Tables!R49)*Population_Tables!F49)-Q75</f>
        <v>670.77916769714284</v>
      </c>
      <c r="AD75" s="459">
        <f>((F75/Population_Tables!S49)*Population_Tables!G49)-R75</f>
        <v>15.491249196781069</v>
      </c>
      <c r="AE75" s="459">
        <f>((G75/Population_Tables!T49)*Population_Tables!H49)-S75</f>
        <v>56.564104495295823</v>
      </c>
      <c r="AF75" s="459">
        <f>(H75/Population_Tables!U49)*Population_Tables!I49</f>
        <v>660.3692313476032</v>
      </c>
      <c r="AG75" s="459">
        <f>(I75/Population_Tables!V49)*Population_Tables!J49</f>
        <v>162.47216130373153</v>
      </c>
      <c r="AH75" s="459">
        <f>(J75/Population_Tables!W49)*Population_Tables!K49</f>
        <v>122.22024218031136</v>
      </c>
      <c r="AI75" s="459">
        <f>(K75/Population_Tables!X49)*Population_Tables!L49</f>
        <v>70.078427484825198</v>
      </c>
      <c r="AK75" s="456">
        <v>2060</v>
      </c>
      <c r="AL75" s="459">
        <f t="shared" si="8"/>
        <v>1296.9379490006083</v>
      </c>
      <c r="AM75" s="459">
        <f t="shared" si="8"/>
        <v>788.65210575644119</v>
      </c>
      <c r="AN75" s="459">
        <f t="shared" si="8"/>
        <v>76.898825072251327</v>
      </c>
      <c r="AO75" s="459">
        <f t="shared" si="8"/>
        <v>658.84845556142545</v>
      </c>
      <c r="AP75" s="459">
        <f t="shared" si="8"/>
        <v>43.231287127575385</v>
      </c>
      <c r="AQ75" s="459">
        <f t="shared" si="8"/>
        <v>81.352574505450804</v>
      </c>
      <c r="AR75" s="459">
        <f t="shared" si="8"/>
        <v>660.3692313476032</v>
      </c>
      <c r="AS75" s="459">
        <f t="shared" si="8"/>
        <v>162.47216130373153</v>
      </c>
      <c r="AT75" s="459">
        <f t="shared" si="8"/>
        <v>122.22024218031136</v>
      </c>
      <c r="AU75" s="459">
        <f t="shared" si="8"/>
        <v>70.078427484825198</v>
      </c>
      <c r="AW75" s="216">
        <f>(B75/Population_Tables!O49)*Population_Tables!C49</f>
        <v>1296.9379490006083</v>
      </c>
      <c r="AX75" s="153" t="str">
        <f t="shared" si="7"/>
        <v>OK</v>
      </c>
      <c r="AY75" s="421">
        <f t="shared" si="4"/>
        <v>1648.9832480231441</v>
      </c>
      <c r="AZ75" s="153" t="str">
        <f t="shared" si="5"/>
        <v>OK</v>
      </c>
      <c r="BB75" s="216">
        <f>(C75/Population_Tables!P49)*Population_Tables!D49</f>
        <v>788.65210575644119</v>
      </c>
      <c r="BC75" s="216">
        <f>(D75/Population_Tables!Q49)*Population_Tables!E49</f>
        <v>76.898825072251327</v>
      </c>
      <c r="BD75" s="216">
        <f>(E75/Population_Tables!R49)*Population_Tables!F49</f>
        <v>658.84845556142545</v>
      </c>
      <c r="BE75" s="216">
        <f>(F75/Population_Tables!S49)*Population_Tables!G49</f>
        <v>43.231287127575385</v>
      </c>
      <c r="BF75" s="216">
        <f>(G75/Population_Tables!T49)*Population_Tables!H49</f>
        <v>81.352574505450804</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Water Heating by Economic Development Status (TWh Therms)</v>
      </c>
      <c r="B78" s="644"/>
      <c r="C78" s="644"/>
      <c r="D78" s="644"/>
      <c r="E78" s="644"/>
      <c r="F78" s="645"/>
      <c r="H78" s="650" t="str">
        <f>CONCATENATE("Table 5: Total REF1 ",C1," by Economic Development Status ",D1)</f>
        <v>Table 5: Total REF1 Water Heating by Economic Development Status (TWh Therms)</v>
      </c>
      <c r="I78" s="651"/>
      <c r="J78" s="651"/>
      <c r="K78" s="651"/>
      <c r="L78" s="651"/>
      <c r="M78" s="651"/>
      <c r="N78" s="651"/>
      <c r="O78" s="651"/>
      <c r="P78" s="651"/>
      <c r="Q78" s="651"/>
      <c r="R78" s="651"/>
      <c r="S78" s="651"/>
      <c r="T78" s="652"/>
      <c r="W78" s="653" t="str">
        <f>CONCATENATE("Table 6: Change in ",C1," by MDC vs. LLDC Regions, REF1-REF2 ",D1)</f>
        <v>Table 6: Change in Water Heating by MDC vs. LLDC Regions, REF1-REF2 (TWh Therms)</v>
      </c>
      <c r="X78" s="654"/>
      <c r="Y78" s="654"/>
      <c r="Z78" s="654"/>
      <c r="AA78" s="654"/>
      <c r="AB78" s="654"/>
      <c r="AC78" s="654"/>
      <c r="AD78" s="655"/>
    </row>
    <row r="79" spans="1:68" ht="105" customHeight="1" x14ac:dyDescent="0.25">
      <c r="A79" s="213"/>
      <c r="B79" s="529" t="s">
        <v>368</v>
      </c>
      <c r="C79" s="463" t="s">
        <v>10</v>
      </c>
      <c r="D79" s="463" t="s">
        <v>514</v>
      </c>
      <c r="E79" s="463" t="str">
        <f>Q79</f>
        <v>Total Water Heating Demand in Countries with Higher Educational Attainment (TWh)</v>
      </c>
      <c r="F79" s="463" t="str">
        <f>R79</f>
        <v xml:space="preserve"> --&gt; % LLDC</v>
      </c>
      <c r="H79" s="472"/>
      <c r="I79" s="473" t="s">
        <v>488</v>
      </c>
      <c r="J79" s="473" t="s">
        <v>490</v>
      </c>
      <c r="K79" s="473" t="s">
        <v>10</v>
      </c>
      <c r="L79" s="473" t="s">
        <v>489</v>
      </c>
      <c r="M79" s="473" t="s">
        <v>475</v>
      </c>
      <c r="O79" s="473" t="s">
        <v>624</v>
      </c>
      <c r="P79" s="473" t="s">
        <v>502</v>
      </c>
      <c r="Q79" s="473" t="s">
        <v>618</v>
      </c>
      <c r="R79" s="473" t="s">
        <v>502</v>
      </c>
      <c r="S79" s="473" t="s">
        <v>617</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37.864336395854849</v>
      </c>
      <c r="C80" s="195">
        <f t="shared" ref="C80:C126" si="9">H29</f>
        <v>110.77857142857144</v>
      </c>
      <c r="D80" s="195">
        <f t="shared" ref="D80:D126" si="10">SUMIF($AA$27:$AE$27,"N",C29:G29)-(IF($AC$27="N",H29))</f>
        <v>288.38369033974124</v>
      </c>
      <c r="E80" s="195">
        <f t="shared" ref="E80:E126" si="11">B80+D80+C80</f>
        <v>437.02659816416758</v>
      </c>
      <c r="F80" s="196">
        <f t="shared" ref="F80:F126" si="12">B80/E80</f>
        <v>8.6640805284879344E-2</v>
      </c>
      <c r="H80" s="194">
        <v>2014</v>
      </c>
      <c r="I80" s="195">
        <f t="shared" ref="I80:I126" si="13">SUMIF($O$27:$S$27,"Y",O29:S29)-T29</f>
        <v>19.854013223424168</v>
      </c>
      <c r="J80" s="195">
        <f t="shared" ref="J80:J126" si="14">SUMIF($O$27:$S$27,"N",O29:S29)-(IF($Q$27="N",T29))</f>
        <v>6.1255073175698103</v>
      </c>
      <c r="K80" s="195">
        <f t="shared" ref="K80:K126" si="15">AF29</f>
        <v>110.77857142857144</v>
      </c>
      <c r="L80" s="195">
        <f t="shared" ref="L80:L126" si="16">SUMIF($AA$27:$AE$27,"Y",AA29:AE29)-AF29</f>
        <v>18.009890079873173</v>
      </c>
      <c r="M80" s="195">
        <f t="shared" ref="M80:M126" si="17">SUMIF($AA$27:$AE$27,"N",AA29:AE29)-(IF($AC$27="N",AF29))</f>
        <v>282.25818302217141</v>
      </c>
      <c r="O80" s="195">
        <f t="shared" ref="O80:O126" si="18">I80+J80</f>
        <v>25.979520540993978</v>
      </c>
      <c r="P80" s="196">
        <f t="shared" ref="P80:P126" si="19">I80/O80</f>
        <v>0.76421784582574726</v>
      </c>
      <c r="Q80" s="195">
        <f t="shared" ref="Q80:Q126" si="20">L80+M80+K80</f>
        <v>411.04664453061605</v>
      </c>
      <c r="R80" s="196">
        <f t="shared" ref="R80:R126" si="21">L80/Q80</f>
        <v>4.38147113460544E-2</v>
      </c>
      <c r="S80" s="464">
        <f t="shared" ref="S80:S126" si="22">Q80+O80</f>
        <v>437.02616507161002</v>
      </c>
      <c r="T80" s="196">
        <f>O80/S80</f>
        <v>5.9446144458506364E-2</v>
      </c>
      <c r="W80" s="197">
        <v>0</v>
      </c>
      <c r="X80" s="195">
        <f t="shared" ref="X80:X126" si="23">K80-C80</f>
        <v>0</v>
      </c>
      <c r="Y80" s="197">
        <v>0</v>
      </c>
      <c r="Z80" s="195">
        <f>(Q80+O80)-E80</f>
        <v>-4.3309255755730192E-4</v>
      </c>
      <c r="AA80" s="196">
        <v>0</v>
      </c>
      <c r="AB80" s="196">
        <f t="shared" ref="AB80:AB126" si="24">(W80/Z80)*(I80/(L80+I80))</f>
        <v>0</v>
      </c>
      <c r="AC80" s="196">
        <f>W80/Z80</f>
        <v>0</v>
      </c>
      <c r="AD80" s="247">
        <f>(X80+Y80)/Z80</f>
        <v>0</v>
      </c>
      <c r="AF80" s="251">
        <f t="shared" ref="AF80:AF126" si="25">I80/(I80+L80)</f>
        <v>0.52435199467919624</v>
      </c>
      <c r="AG80" s="251">
        <f t="shared" ref="AG80:AG126" si="26">L80/(L80+I80)</f>
        <v>0.47564800532080376</v>
      </c>
    </row>
    <row r="81" spans="1:33" x14ac:dyDescent="0.25">
      <c r="A81" s="194">
        <v>2015</v>
      </c>
      <c r="B81" s="195">
        <f t="shared" ref="B81:B126" si="27">SUMIF($AA$27:$AE$27,"Y",C30:G30)-H30</f>
        <v>41.978121060994752</v>
      </c>
      <c r="C81" s="195">
        <f t="shared" si="9"/>
        <v>113.19754489485025</v>
      </c>
      <c r="D81" s="195">
        <f t="shared" si="10"/>
        <v>296.58530717352016</v>
      </c>
      <c r="E81" s="195">
        <f t="shared" si="11"/>
        <v>451.76097312936514</v>
      </c>
      <c r="F81" s="196">
        <f t="shared" si="12"/>
        <v>9.292108782706647E-2</v>
      </c>
      <c r="H81" s="194">
        <v>2015</v>
      </c>
      <c r="I81" s="195">
        <f t="shared" si="13"/>
        <v>22.037754306899203</v>
      </c>
      <c r="J81" s="195">
        <f t="shared" si="14"/>
        <v>6.3073872652784839</v>
      </c>
      <c r="K81" s="195">
        <f t="shared" si="15"/>
        <v>113.19754489485025</v>
      </c>
      <c r="L81" s="195">
        <f t="shared" si="16"/>
        <v>19.939921770519319</v>
      </c>
      <c r="M81" s="195">
        <f t="shared" si="17"/>
        <v>290.27791990824164</v>
      </c>
      <c r="O81" s="195">
        <f t="shared" si="18"/>
        <v>28.345141572177688</v>
      </c>
      <c r="P81" s="196">
        <f t="shared" si="19"/>
        <v>0.77747906994158278</v>
      </c>
      <c r="Q81" s="195">
        <f t="shared" si="20"/>
        <v>423.41538657361122</v>
      </c>
      <c r="R81" s="196">
        <f t="shared" si="21"/>
        <v>4.7093049527270177E-2</v>
      </c>
      <c r="S81" s="464">
        <f t="shared" si="22"/>
        <v>451.7605281457889</v>
      </c>
      <c r="T81" s="196">
        <f t="shared" ref="T81:T126" si="28">O81/S81</f>
        <v>6.2743732146139042E-2</v>
      </c>
      <c r="W81" s="197">
        <v>0</v>
      </c>
      <c r="X81" s="195">
        <f t="shared" si="23"/>
        <v>0</v>
      </c>
      <c r="Y81" s="197">
        <v>0</v>
      </c>
      <c r="Z81" s="195">
        <f>W81+X81+Y81</f>
        <v>0</v>
      </c>
      <c r="AA81" s="196">
        <v>0</v>
      </c>
      <c r="AB81" s="196" t="e">
        <f t="shared" si="24"/>
        <v>#DIV/0!</v>
      </c>
      <c r="AC81" s="196" t="e">
        <f>W81/Z81</f>
        <v>#DIV/0!</v>
      </c>
      <c r="AD81" s="247" t="e">
        <f t="shared" ref="AD81:AD126" si="29">(X81+Y81)/Z81</f>
        <v>#DIV/0!</v>
      </c>
      <c r="AF81" s="251">
        <f t="shared" si="25"/>
        <v>0.5249874782552385</v>
      </c>
      <c r="AG81" s="251">
        <f t="shared" si="26"/>
        <v>0.4750125217447615</v>
      </c>
    </row>
    <row r="82" spans="1:33" x14ac:dyDescent="0.25">
      <c r="A82" s="194">
        <v>2016</v>
      </c>
      <c r="B82" s="195">
        <f t="shared" si="27"/>
        <v>40.831657425663678</v>
      </c>
      <c r="C82" s="195">
        <f t="shared" si="9"/>
        <v>121.55963600379647</v>
      </c>
      <c r="D82" s="195">
        <f t="shared" si="10"/>
        <v>304.56707976794058</v>
      </c>
      <c r="E82" s="195">
        <f t="shared" si="11"/>
        <v>466.9583731974007</v>
      </c>
      <c r="F82" s="196">
        <f t="shared" si="12"/>
        <v>8.744175020586388E-2</v>
      </c>
      <c r="H82" s="194">
        <v>2016</v>
      </c>
      <c r="I82" s="195">
        <f t="shared" si="13"/>
        <v>21.543528482796695</v>
      </c>
      <c r="J82" s="195">
        <f t="shared" si="14"/>
        <v>6.490841442557139</v>
      </c>
      <c r="K82" s="195">
        <f t="shared" si="15"/>
        <v>121.55963600379647</v>
      </c>
      <c r="L82" s="195">
        <f t="shared" si="16"/>
        <v>19.28767359964894</v>
      </c>
      <c r="M82" s="195">
        <f t="shared" si="17"/>
        <v>298.07623832538337</v>
      </c>
      <c r="O82" s="195">
        <f t="shared" si="18"/>
        <v>28.034369925353836</v>
      </c>
      <c r="P82" s="196">
        <f t="shared" si="19"/>
        <v>0.76846843856879665</v>
      </c>
      <c r="Q82" s="195">
        <f t="shared" si="20"/>
        <v>438.92354792882878</v>
      </c>
      <c r="R82" s="196">
        <f t="shared" si="21"/>
        <v>4.3943127887903673E-2</v>
      </c>
      <c r="S82" s="464">
        <f t="shared" si="22"/>
        <v>466.9579178541826</v>
      </c>
      <c r="T82" s="196">
        <f t="shared" si="28"/>
        <v>6.0036180678080198E-2</v>
      </c>
      <c r="W82" s="195">
        <f t="shared" ref="W82:W126" si="30">(L82+I82)-B82</f>
        <v>-4.5534321804296951E-4</v>
      </c>
      <c r="X82" s="195">
        <f t="shared" si="23"/>
        <v>0</v>
      </c>
      <c r="Y82" s="195">
        <f t="shared" ref="Y82:Y126" si="31">(M82+J82)-D82</f>
        <v>0</v>
      </c>
      <c r="Z82" s="195">
        <f>W82+X82+Y82</f>
        <v>-4.5534321804296951E-4</v>
      </c>
      <c r="AA82" s="196">
        <f>(W82/Z82)*(L82/(L82+I82))</f>
        <v>0.47237584533278282</v>
      </c>
      <c r="AB82" s="196">
        <f t="shared" si="24"/>
        <v>0.52762415466721713</v>
      </c>
      <c r="AC82" s="196">
        <f t="shared" ref="AC82:AC126" si="32">W82/Z82</f>
        <v>1</v>
      </c>
      <c r="AD82" s="247">
        <f t="shared" si="29"/>
        <v>0</v>
      </c>
      <c r="AF82" s="251">
        <f t="shared" si="25"/>
        <v>0.52762415466721713</v>
      </c>
      <c r="AG82" s="251">
        <f t="shared" si="26"/>
        <v>0.47237584533278282</v>
      </c>
    </row>
    <row r="83" spans="1:33" x14ac:dyDescent="0.25">
      <c r="A83" s="194">
        <v>2017</v>
      </c>
      <c r="B83" s="195">
        <f t="shared" si="27"/>
        <v>39.681043297036695</v>
      </c>
      <c r="C83" s="195">
        <f t="shared" si="9"/>
        <v>129.96260133166209</v>
      </c>
      <c r="D83" s="195">
        <f t="shared" si="10"/>
        <v>312.65882435470797</v>
      </c>
      <c r="E83" s="195">
        <f t="shared" si="11"/>
        <v>482.30246898340675</v>
      </c>
      <c r="F83" s="196">
        <f t="shared" si="12"/>
        <v>8.2274186530033891E-2</v>
      </c>
      <c r="H83" s="194">
        <v>2017</v>
      </c>
      <c r="I83" s="195">
        <f t="shared" si="13"/>
        <v>21.043503845582855</v>
      </c>
      <c r="J83" s="195">
        <f t="shared" si="14"/>
        <v>6.6783294159544466</v>
      </c>
      <c r="K83" s="195">
        <f t="shared" si="15"/>
        <v>129.96260133166209</v>
      </c>
      <c r="L83" s="195">
        <f t="shared" si="16"/>
        <v>18.637075902980285</v>
      </c>
      <c r="M83" s="195">
        <f t="shared" si="17"/>
        <v>305.98049493875351</v>
      </c>
      <c r="O83" s="195">
        <f t="shared" si="18"/>
        <v>27.721833261537302</v>
      </c>
      <c r="P83" s="196">
        <f t="shared" si="19"/>
        <v>0.75909495764768542</v>
      </c>
      <c r="Q83" s="195">
        <f t="shared" si="20"/>
        <v>454.58017217339591</v>
      </c>
      <c r="R83" s="196">
        <f t="shared" si="21"/>
        <v>4.0998435576005118E-2</v>
      </c>
      <c r="S83" s="464">
        <f t="shared" si="22"/>
        <v>482.30200543493322</v>
      </c>
      <c r="T83" s="196">
        <f t="shared" si="28"/>
        <v>5.7478162954222305E-2</v>
      </c>
      <c r="W83" s="195">
        <f t="shared" si="30"/>
        <v>-4.6354847355445372E-4</v>
      </c>
      <c r="X83" s="195">
        <f t="shared" si="23"/>
        <v>0</v>
      </c>
      <c r="Y83" s="195">
        <f t="shared" si="31"/>
        <v>0</v>
      </c>
      <c r="Z83" s="195">
        <f t="shared" ref="Z83:Z126" si="33">W83+X83+Y83</f>
        <v>-4.6354847355445372E-4</v>
      </c>
      <c r="AA83" s="196">
        <f t="shared" ref="AA83:AA126" si="34">(W83*(L83/(L83+I83)))/Z83</f>
        <v>0.4696775102852459</v>
      </c>
      <c r="AB83" s="196">
        <f t="shared" si="24"/>
        <v>0.53032248971475404</v>
      </c>
      <c r="AC83" s="196">
        <f t="shared" si="32"/>
        <v>1</v>
      </c>
      <c r="AD83" s="247">
        <f>(X83+Y83)/Z83</f>
        <v>0</v>
      </c>
      <c r="AF83" s="251">
        <f t="shared" si="25"/>
        <v>0.53032248971475404</v>
      </c>
      <c r="AG83" s="251">
        <f t="shared" si="26"/>
        <v>0.4696775102852459</v>
      </c>
    </row>
    <row r="84" spans="1:33" x14ac:dyDescent="0.25">
      <c r="A84" s="194">
        <v>2018</v>
      </c>
      <c r="B84" s="195">
        <f t="shared" si="27"/>
        <v>38.528738380346795</v>
      </c>
      <c r="C84" s="195">
        <f t="shared" si="9"/>
        <v>138.41066107933082</v>
      </c>
      <c r="D84" s="195">
        <f t="shared" si="10"/>
        <v>320.86608866836985</v>
      </c>
      <c r="E84" s="195">
        <f t="shared" si="11"/>
        <v>497.8054881280475</v>
      </c>
      <c r="F84" s="196">
        <f t="shared" si="12"/>
        <v>7.7397174798595786E-2</v>
      </c>
      <c r="H84" s="194">
        <v>2018</v>
      </c>
      <c r="I84" s="195">
        <f t="shared" si="13"/>
        <v>20.539675651375941</v>
      </c>
      <c r="J84" s="195">
        <f t="shared" si="14"/>
        <v>6.8698261880890339</v>
      </c>
      <c r="K84" s="195">
        <f t="shared" si="15"/>
        <v>138.41066107933082</v>
      </c>
      <c r="L84" s="195">
        <f t="shared" si="16"/>
        <v>17.988593111987996</v>
      </c>
      <c r="M84" s="195">
        <f t="shared" si="17"/>
        <v>313.99626248028085</v>
      </c>
      <c r="O84" s="195">
        <f t="shared" si="18"/>
        <v>27.409501839464973</v>
      </c>
      <c r="P84" s="196">
        <f t="shared" si="19"/>
        <v>0.7493633328936441</v>
      </c>
      <c r="Q84" s="195">
        <f t="shared" si="20"/>
        <v>470.39551667159969</v>
      </c>
      <c r="R84" s="196">
        <f t="shared" si="21"/>
        <v>3.8241421260284861E-2</v>
      </c>
      <c r="S84" s="464">
        <f t="shared" si="22"/>
        <v>497.80501851106465</v>
      </c>
      <c r="T84" s="196">
        <f t="shared" si="28"/>
        <v>5.5060718193333649E-2</v>
      </c>
      <c r="W84" s="195">
        <f t="shared" si="30"/>
        <v>-4.6961698285485909E-4</v>
      </c>
      <c r="X84" s="195">
        <f t="shared" si="23"/>
        <v>0</v>
      </c>
      <c r="Y84" s="195">
        <f t="shared" si="31"/>
        <v>0</v>
      </c>
      <c r="Z84" s="195">
        <f t="shared" si="33"/>
        <v>-4.6961698285485909E-4</v>
      </c>
      <c r="AA84" s="196">
        <f t="shared" si="34"/>
        <v>0.46689336659458547</v>
      </c>
      <c r="AB84" s="196">
        <f t="shared" si="24"/>
        <v>0.53310663340541442</v>
      </c>
      <c r="AC84" s="196">
        <f>W84/Z84</f>
        <v>1</v>
      </c>
      <c r="AD84" s="247">
        <f t="shared" si="29"/>
        <v>0</v>
      </c>
      <c r="AF84" s="251">
        <f t="shared" si="25"/>
        <v>0.53310663340541442</v>
      </c>
      <c r="AG84" s="251">
        <f t="shared" si="26"/>
        <v>0.46689336659458547</v>
      </c>
    </row>
    <row r="85" spans="1:33" ht="13.8" thickBot="1" x14ac:dyDescent="0.3">
      <c r="A85" s="198">
        <v>2019</v>
      </c>
      <c r="B85" s="195">
        <f t="shared" si="27"/>
        <v>37.377202380826759</v>
      </c>
      <c r="C85" s="195">
        <f t="shared" si="9"/>
        <v>146.90803544768647</v>
      </c>
      <c r="D85" s="195">
        <f t="shared" si="10"/>
        <v>329.19442044347358</v>
      </c>
      <c r="E85" s="195">
        <f t="shared" si="11"/>
        <v>513.47965827198686</v>
      </c>
      <c r="F85" s="199">
        <f t="shared" si="12"/>
        <v>7.2791982659278581E-2</v>
      </c>
      <c r="H85" s="198">
        <v>2019</v>
      </c>
      <c r="I85" s="195">
        <f t="shared" si="13"/>
        <v>20.034026218698727</v>
      </c>
      <c r="J85" s="195">
        <f t="shared" si="14"/>
        <v>7.0652424830988938</v>
      </c>
      <c r="K85" s="195">
        <f t="shared" si="15"/>
        <v>146.90803544768647</v>
      </c>
      <c r="L85" s="195">
        <f t="shared" si="16"/>
        <v>17.342700161832454</v>
      </c>
      <c r="M85" s="195">
        <f t="shared" si="17"/>
        <v>322.12917796037465</v>
      </c>
      <c r="O85" s="195">
        <f t="shared" si="18"/>
        <v>27.099268701797619</v>
      </c>
      <c r="P85" s="199">
        <f t="shared" si="19"/>
        <v>0.73928290977718447</v>
      </c>
      <c r="Q85" s="195">
        <f t="shared" si="20"/>
        <v>486.37991356989357</v>
      </c>
      <c r="R85" s="199">
        <f t="shared" si="21"/>
        <v>3.5656694855142862E-2</v>
      </c>
      <c r="S85" s="464">
        <f t="shared" si="22"/>
        <v>513.47918227169123</v>
      </c>
      <c r="T85" s="196">
        <f t="shared" si="28"/>
        <v>5.2775788459246437E-2</v>
      </c>
      <c r="W85" s="195">
        <f t="shared" si="30"/>
        <v>-4.760002955777054E-4</v>
      </c>
      <c r="X85" s="195">
        <f t="shared" si="23"/>
        <v>0</v>
      </c>
      <c r="Y85" s="195">
        <f t="shared" si="31"/>
        <v>0</v>
      </c>
      <c r="Z85" s="195">
        <f t="shared" si="33"/>
        <v>-4.760002955777054E-4</v>
      </c>
      <c r="AA85" s="196">
        <f t="shared" si="34"/>
        <v>0.46399730102810538</v>
      </c>
      <c r="AB85" s="196">
        <f t="shared" si="24"/>
        <v>0.53600269897189468</v>
      </c>
      <c r="AC85" s="196">
        <f t="shared" si="32"/>
        <v>1</v>
      </c>
      <c r="AD85" s="247">
        <f t="shared" si="29"/>
        <v>0</v>
      </c>
      <c r="AF85" s="251">
        <f t="shared" si="25"/>
        <v>0.53600269897189468</v>
      </c>
      <c r="AG85" s="251">
        <f t="shared" si="26"/>
        <v>0.46399730102810538</v>
      </c>
    </row>
    <row r="86" spans="1:33" x14ac:dyDescent="0.25">
      <c r="A86" s="201">
        <v>2020</v>
      </c>
      <c r="B86" s="195">
        <f t="shared" si="27"/>
        <v>36.228895003709539</v>
      </c>
      <c r="C86" s="195">
        <f t="shared" si="9"/>
        <v>155.45894463761272</v>
      </c>
      <c r="D86" s="195">
        <f t="shared" si="10"/>
        <v>337.64936741456665</v>
      </c>
      <c r="E86" s="195">
        <f t="shared" si="11"/>
        <v>529.33720705588894</v>
      </c>
      <c r="F86" s="220">
        <f t="shared" si="12"/>
        <v>6.8441995991950721E-2</v>
      </c>
      <c r="H86" s="201">
        <v>2020</v>
      </c>
      <c r="I86" s="195">
        <f t="shared" si="13"/>
        <v>19.528144858535747</v>
      </c>
      <c r="J86" s="195">
        <f t="shared" si="14"/>
        <v>7.2645426172084857</v>
      </c>
      <c r="K86" s="195">
        <f t="shared" si="15"/>
        <v>155.45894463761272</v>
      </c>
      <c r="L86" s="195">
        <f t="shared" si="16"/>
        <v>16.700267172314398</v>
      </c>
      <c r="M86" s="195">
        <f t="shared" si="17"/>
        <v>330.38482479735819</v>
      </c>
      <c r="O86" s="195">
        <f t="shared" si="18"/>
        <v>26.792687475744231</v>
      </c>
      <c r="P86" s="203">
        <f t="shared" si="19"/>
        <v>0.72886099523292802</v>
      </c>
      <c r="Q86" s="195">
        <f t="shared" si="20"/>
        <v>502.54403660728531</v>
      </c>
      <c r="R86" s="203">
        <f t="shared" si="21"/>
        <v>3.323145029251412E-2</v>
      </c>
      <c r="S86" s="464">
        <f t="shared" si="22"/>
        <v>529.33672408302959</v>
      </c>
      <c r="T86" s="196">
        <f t="shared" si="28"/>
        <v>5.0615584101324586E-2</v>
      </c>
      <c r="W86" s="195">
        <f t="shared" si="30"/>
        <v>-4.8297285939469248E-4</v>
      </c>
      <c r="X86" s="195">
        <f t="shared" si="23"/>
        <v>0</v>
      </c>
      <c r="Y86" s="195">
        <f t="shared" si="31"/>
        <v>0</v>
      </c>
      <c r="Z86" s="195">
        <f t="shared" si="33"/>
        <v>-4.8297285939469248E-4</v>
      </c>
      <c r="AA86" s="196">
        <f t="shared" si="34"/>
        <v>0.46097154791364742</v>
      </c>
      <c r="AB86" s="196">
        <f t="shared" si="24"/>
        <v>0.53902845208635264</v>
      </c>
      <c r="AC86" s="196">
        <f t="shared" si="32"/>
        <v>1</v>
      </c>
      <c r="AD86" s="247">
        <f t="shared" si="29"/>
        <v>0</v>
      </c>
      <c r="AF86" s="251">
        <f t="shared" si="25"/>
        <v>0.53902845208635264</v>
      </c>
      <c r="AG86" s="251">
        <f t="shared" si="26"/>
        <v>0.46097154791364742</v>
      </c>
    </row>
    <row r="87" spans="1:33" x14ac:dyDescent="0.25">
      <c r="A87" s="206">
        <v>2021</v>
      </c>
      <c r="B87" s="195">
        <f t="shared" si="27"/>
        <v>35.086275954228</v>
      </c>
      <c r="C87" s="195">
        <f t="shared" si="9"/>
        <v>164.06760884999338</v>
      </c>
      <c r="D87" s="195">
        <f t="shared" si="10"/>
        <v>346.23647731619661</v>
      </c>
      <c r="E87" s="195">
        <f t="shared" si="11"/>
        <v>545.39036212041799</v>
      </c>
      <c r="F87" s="221">
        <f t="shared" si="12"/>
        <v>6.4332409208362987E-2</v>
      </c>
      <c r="H87" s="206">
        <v>2021</v>
      </c>
      <c r="I87" s="195">
        <f t="shared" si="13"/>
        <v>19.051220978801243</v>
      </c>
      <c r="J87" s="195">
        <f t="shared" si="14"/>
        <v>7.4846679794298261</v>
      </c>
      <c r="K87" s="195">
        <f t="shared" si="15"/>
        <v>164.23977392256455</v>
      </c>
      <c r="L87" s="195">
        <f t="shared" si="16"/>
        <v>16.102531989156773</v>
      </c>
      <c r="M87" s="195">
        <f t="shared" si="17"/>
        <v>339.13898281413589</v>
      </c>
      <c r="O87" s="195">
        <f t="shared" si="18"/>
        <v>26.53588895823107</v>
      </c>
      <c r="P87" s="196">
        <f t="shared" si="19"/>
        <v>0.7179416905455438</v>
      </c>
      <c r="Q87" s="195">
        <f t="shared" si="20"/>
        <v>519.48128872585721</v>
      </c>
      <c r="R87" s="196">
        <f t="shared" si="21"/>
        <v>3.0997328178367686E-2</v>
      </c>
      <c r="S87" s="464">
        <f t="shared" si="22"/>
        <v>546.01717768408832</v>
      </c>
      <c r="T87" s="196">
        <f t="shared" si="28"/>
        <v>4.8599000256332708E-2</v>
      </c>
      <c r="W87" s="195">
        <f t="shared" si="30"/>
        <v>6.7477013730012914E-2</v>
      </c>
      <c r="X87" s="195">
        <f t="shared" si="23"/>
        <v>0.17216507257117541</v>
      </c>
      <c r="Y87" s="195">
        <f t="shared" si="31"/>
        <v>0.38717347736911734</v>
      </c>
      <c r="Z87" s="195">
        <f t="shared" si="33"/>
        <v>0.62681556367030566</v>
      </c>
      <c r="AA87" s="196">
        <f t="shared" si="34"/>
        <v>4.9310403562892326E-2</v>
      </c>
      <c r="AB87" s="196">
        <f t="shared" si="24"/>
        <v>5.8340104243427358E-2</v>
      </c>
      <c r="AC87" s="196">
        <f t="shared" si="32"/>
        <v>0.10765050780631968</v>
      </c>
      <c r="AD87" s="247">
        <f t="shared" si="29"/>
        <v>0.89234949219368032</v>
      </c>
      <c r="AF87" s="251">
        <f t="shared" si="25"/>
        <v>0.54193988892639922</v>
      </c>
      <c r="AG87" s="251">
        <f t="shared" si="26"/>
        <v>0.45806011107360084</v>
      </c>
    </row>
    <row r="88" spans="1:33" x14ac:dyDescent="0.25">
      <c r="A88" s="206">
        <v>2022</v>
      </c>
      <c r="B88" s="195">
        <f t="shared" si="27"/>
        <v>33.951804937615037</v>
      </c>
      <c r="C88" s="195">
        <f t="shared" si="9"/>
        <v>172.73824828571216</v>
      </c>
      <c r="D88" s="195">
        <f t="shared" si="10"/>
        <v>354.9612978829108</v>
      </c>
      <c r="E88" s="195">
        <f t="shared" si="11"/>
        <v>561.65135110623805</v>
      </c>
      <c r="F88" s="221">
        <f t="shared" si="12"/>
        <v>6.0449965749646971E-2</v>
      </c>
      <c r="H88" s="206">
        <v>2022</v>
      </c>
      <c r="I88" s="195">
        <f t="shared" si="13"/>
        <v>18.582831255808323</v>
      </c>
      <c r="J88" s="195">
        <f t="shared" si="14"/>
        <v>7.7117908893753251</v>
      </c>
      <c r="K88" s="195">
        <f t="shared" si="15"/>
        <v>173.14251194703451</v>
      </c>
      <c r="L88" s="195">
        <f t="shared" si="16"/>
        <v>15.539350252954279</v>
      </c>
      <c r="M88" s="195">
        <f t="shared" si="17"/>
        <v>348.13612955776932</v>
      </c>
      <c r="O88" s="195">
        <f t="shared" si="18"/>
        <v>26.294622145183649</v>
      </c>
      <c r="P88" s="196">
        <f t="shared" si="19"/>
        <v>0.70671604076319139</v>
      </c>
      <c r="Q88" s="195">
        <f t="shared" si="20"/>
        <v>536.81799175775814</v>
      </c>
      <c r="R88" s="196">
        <f t="shared" si="21"/>
        <v>2.8947148738573743E-2</v>
      </c>
      <c r="S88" s="464">
        <f t="shared" si="22"/>
        <v>563.1126139029418</v>
      </c>
      <c r="T88" s="196">
        <f t="shared" si="28"/>
        <v>4.6695139650549181E-2</v>
      </c>
      <c r="W88" s="195">
        <f t="shared" si="30"/>
        <v>0.17037657114756399</v>
      </c>
      <c r="X88" s="195">
        <f t="shared" si="23"/>
        <v>0.40426366132234648</v>
      </c>
      <c r="Y88" s="195">
        <f t="shared" si="31"/>
        <v>0.88662256423384633</v>
      </c>
      <c r="Z88" s="195">
        <f t="shared" si="33"/>
        <v>1.4612627967037568</v>
      </c>
      <c r="AA88" s="196">
        <f t="shared" si="34"/>
        <v>5.3097932759113599E-2</v>
      </c>
      <c r="AB88" s="196">
        <f t="shared" si="24"/>
        <v>6.349750204692603E-2</v>
      </c>
      <c r="AC88" s="196">
        <f t="shared" si="32"/>
        <v>0.11659543480603961</v>
      </c>
      <c r="AD88" s="247">
        <f t="shared" si="29"/>
        <v>0.88340456519396038</v>
      </c>
      <c r="AF88" s="251">
        <f t="shared" si="25"/>
        <v>0.54459681163809059</v>
      </c>
      <c r="AG88" s="251">
        <f t="shared" si="26"/>
        <v>0.45540318836190946</v>
      </c>
    </row>
    <row r="89" spans="1:33" x14ac:dyDescent="0.25">
      <c r="A89" s="206">
        <v>2023</v>
      </c>
      <c r="B89" s="195">
        <f t="shared" si="27"/>
        <v>32.827941659103431</v>
      </c>
      <c r="C89" s="195">
        <f t="shared" si="9"/>
        <v>181.47508314565283</v>
      </c>
      <c r="D89" s="195">
        <f t="shared" si="10"/>
        <v>363.82937684925668</v>
      </c>
      <c r="E89" s="195">
        <f t="shared" si="11"/>
        <v>578.13240165401294</v>
      </c>
      <c r="F89" s="221">
        <f t="shared" si="12"/>
        <v>5.6782739672061357E-2</v>
      </c>
      <c r="H89" s="206">
        <v>2023</v>
      </c>
      <c r="I89" s="195">
        <f t="shared" si="13"/>
        <v>18.121380065325447</v>
      </c>
      <c r="J89" s="195">
        <f t="shared" si="14"/>
        <v>7.9462799122884116</v>
      </c>
      <c r="K89" s="195">
        <f t="shared" si="15"/>
        <v>182.17029792089448</v>
      </c>
      <c r="L89" s="195">
        <f t="shared" si="16"/>
        <v>15.008621454736954</v>
      </c>
      <c r="M89" s="195">
        <f t="shared" si="17"/>
        <v>357.37479880303874</v>
      </c>
      <c r="O89" s="195">
        <f t="shared" si="18"/>
        <v>26.067659977613857</v>
      </c>
      <c r="P89" s="196">
        <f t="shared" si="19"/>
        <v>0.69516711821803556</v>
      </c>
      <c r="Q89" s="195">
        <f t="shared" si="20"/>
        <v>554.55371817867012</v>
      </c>
      <c r="R89" s="196">
        <f t="shared" si="21"/>
        <v>2.7064323910819706E-2</v>
      </c>
      <c r="S89" s="464">
        <f t="shared" si="22"/>
        <v>580.62137815628398</v>
      </c>
      <c r="T89" s="196">
        <f t="shared" si="28"/>
        <v>4.4896142233669716E-2</v>
      </c>
      <c r="W89" s="195">
        <f t="shared" si="30"/>
        <v>0.30205986095896975</v>
      </c>
      <c r="X89" s="195">
        <f t="shared" si="23"/>
        <v>0.69521477524165221</v>
      </c>
      <c r="Y89" s="195">
        <f t="shared" si="31"/>
        <v>1.4917018660704571</v>
      </c>
      <c r="Z89" s="195">
        <f t="shared" si="33"/>
        <v>2.488976502271079</v>
      </c>
      <c r="AA89" s="196">
        <f t="shared" si="34"/>
        <v>5.4978333296972284E-2</v>
      </c>
      <c r="AB89" s="196">
        <f t="shared" si="24"/>
        <v>6.6380731637290344E-2</v>
      </c>
      <c r="AC89" s="196">
        <f t="shared" si="32"/>
        <v>0.12135906493426263</v>
      </c>
      <c r="AD89" s="247">
        <f t="shared" si="29"/>
        <v>0.87864093506573737</v>
      </c>
      <c r="AF89" s="251">
        <f t="shared" si="25"/>
        <v>0.5469779424655854</v>
      </c>
      <c r="AG89" s="251">
        <f t="shared" si="26"/>
        <v>0.45302205753441466</v>
      </c>
    </row>
    <row r="90" spans="1:33" x14ac:dyDescent="0.25">
      <c r="A90" s="206">
        <v>2024</v>
      </c>
      <c r="B90" s="195">
        <f t="shared" si="27"/>
        <v>31.717145823926217</v>
      </c>
      <c r="C90" s="195">
        <f t="shared" si="9"/>
        <v>190.2823336306991</v>
      </c>
      <c r="D90" s="195">
        <f t="shared" si="10"/>
        <v>372.84626194978171</v>
      </c>
      <c r="E90" s="195">
        <f t="shared" si="11"/>
        <v>594.84574140440702</v>
      </c>
      <c r="F90" s="221">
        <f t="shared" si="12"/>
        <v>5.3319951066714041E-2</v>
      </c>
      <c r="H90" s="206">
        <v>2024</v>
      </c>
      <c r="I90" s="195">
        <f t="shared" si="13"/>
        <v>17.666196184575405</v>
      </c>
      <c r="J90" s="195">
        <f t="shared" si="14"/>
        <v>8.1891660663199328</v>
      </c>
      <c r="K90" s="195">
        <f t="shared" si="15"/>
        <v>191.32656253219218</v>
      </c>
      <c r="L90" s="195">
        <f t="shared" si="16"/>
        <v>14.509187692901776</v>
      </c>
      <c r="M90" s="195">
        <f t="shared" si="17"/>
        <v>366.85663507014721</v>
      </c>
      <c r="O90" s="195">
        <f t="shared" si="18"/>
        <v>25.85536225089534</v>
      </c>
      <c r="P90" s="196">
        <f t="shared" si="19"/>
        <v>0.68327010904531593</v>
      </c>
      <c r="Q90" s="195">
        <f t="shared" si="20"/>
        <v>572.69238529524114</v>
      </c>
      <c r="R90" s="196">
        <f t="shared" si="21"/>
        <v>2.533504559419247E-2</v>
      </c>
      <c r="S90" s="464">
        <f t="shared" si="22"/>
        <v>598.54774754613652</v>
      </c>
      <c r="T90" s="196">
        <f t="shared" si="28"/>
        <v>4.3196824909782806E-2</v>
      </c>
      <c r="W90" s="195">
        <f t="shared" si="30"/>
        <v>0.45823805355096425</v>
      </c>
      <c r="X90" s="195">
        <f t="shared" si="23"/>
        <v>1.044228901493085</v>
      </c>
      <c r="Y90" s="195">
        <f t="shared" si="31"/>
        <v>2.1995391866854561</v>
      </c>
      <c r="Z90" s="195">
        <f t="shared" si="33"/>
        <v>3.7020061417295054</v>
      </c>
      <c r="AA90" s="196">
        <f t="shared" si="34"/>
        <v>5.5817885232134275E-2</v>
      </c>
      <c r="AB90" s="196">
        <f t="shared" si="24"/>
        <v>6.7963123228560601E-2</v>
      </c>
      <c r="AC90" s="196">
        <f t="shared" si="32"/>
        <v>0.12378100846069487</v>
      </c>
      <c r="AD90" s="247">
        <f t="shared" si="29"/>
        <v>0.87621899153930516</v>
      </c>
      <c r="AF90" s="251">
        <f t="shared" si="25"/>
        <v>0.54905937569689012</v>
      </c>
      <c r="AG90" s="251">
        <f t="shared" si="26"/>
        <v>0.45094062430310988</v>
      </c>
    </row>
    <row r="91" spans="1:33" x14ac:dyDescent="0.25">
      <c r="A91" s="206">
        <v>2025</v>
      </c>
      <c r="B91" s="195">
        <f t="shared" si="27"/>
        <v>30.621877137316204</v>
      </c>
      <c r="C91" s="195">
        <f t="shared" si="9"/>
        <v>199.16421994173476</v>
      </c>
      <c r="D91" s="195">
        <f t="shared" si="10"/>
        <v>382.01750091903341</v>
      </c>
      <c r="E91" s="195">
        <f t="shared" si="11"/>
        <v>611.80359799808434</v>
      </c>
      <c r="F91" s="221">
        <f t="shared" si="12"/>
        <v>5.0051809498204501E-2</v>
      </c>
      <c r="H91" s="206">
        <v>2025</v>
      </c>
      <c r="I91" s="195">
        <f t="shared" si="13"/>
        <v>17.217176543807856</v>
      </c>
      <c r="J91" s="195">
        <f t="shared" si="14"/>
        <v>8.4413606074407035</v>
      </c>
      <c r="K91" s="195">
        <f t="shared" si="15"/>
        <v>200.61533910553331</v>
      </c>
      <c r="L91" s="195">
        <f t="shared" si="16"/>
        <v>14.040376029978859</v>
      </c>
      <c r="M91" s="195">
        <f t="shared" si="17"/>
        <v>376.58471690701759</v>
      </c>
      <c r="O91" s="195">
        <f t="shared" si="18"/>
        <v>25.658537151248559</v>
      </c>
      <c r="P91" s="196">
        <f t="shared" si="19"/>
        <v>0.67101161856259828</v>
      </c>
      <c r="Q91" s="195">
        <f t="shared" si="20"/>
        <v>591.24043204252973</v>
      </c>
      <c r="R91" s="196">
        <f t="shared" si="21"/>
        <v>2.3747320496120758E-2</v>
      </c>
      <c r="S91" s="464">
        <f t="shared" si="22"/>
        <v>616.89896919377827</v>
      </c>
      <c r="T91" s="196">
        <f t="shared" si="28"/>
        <v>4.1592770344196804E-2</v>
      </c>
      <c r="W91" s="195">
        <f t="shared" si="30"/>
        <v>0.63567543647051039</v>
      </c>
      <c r="X91" s="195">
        <f t="shared" si="23"/>
        <v>1.4511191637985519</v>
      </c>
      <c r="Y91" s="195">
        <f t="shared" si="31"/>
        <v>3.00857659542487</v>
      </c>
      <c r="Z91" s="195">
        <f t="shared" si="33"/>
        <v>5.0953711956939323</v>
      </c>
      <c r="AA91" s="196">
        <f t="shared" si="34"/>
        <v>5.6038096036362763E-2</v>
      </c>
      <c r="AB91" s="196">
        <f t="shared" si="24"/>
        <v>6.8717375558663696E-2</v>
      </c>
      <c r="AC91" s="196">
        <f t="shared" si="32"/>
        <v>0.12475547159502647</v>
      </c>
      <c r="AD91" s="247">
        <f t="shared" si="29"/>
        <v>0.87524452840497358</v>
      </c>
      <c r="AF91" s="251">
        <f t="shared" si="25"/>
        <v>0.55081652676308912</v>
      </c>
      <c r="AG91" s="251">
        <f t="shared" si="26"/>
        <v>0.44918347323691088</v>
      </c>
    </row>
    <row r="92" spans="1:33" x14ac:dyDescent="0.25">
      <c r="A92" s="206">
        <v>2026</v>
      </c>
      <c r="B92" s="195">
        <f t="shared" si="27"/>
        <v>29.544595304506203</v>
      </c>
      <c r="C92" s="195">
        <f t="shared" si="9"/>
        <v>208.12496227964354</v>
      </c>
      <c r="D92" s="195">
        <f t="shared" si="10"/>
        <v>391.34864149155919</v>
      </c>
      <c r="E92" s="195">
        <f t="shared" si="11"/>
        <v>629.01819907570894</v>
      </c>
      <c r="F92" s="221">
        <f t="shared" si="12"/>
        <v>4.6969380771366524E-2</v>
      </c>
      <c r="H92" s="206">
        <v>2026</v>
      </c>
      <c r="I92" s="195">
        <f t="shared" si="13"/>
        <v>16.774612105281928</v>
      </c>
      <c r="J92" s="195">
        <f t="shared" si="14"/>
        <v>8.7032154141050295</v>
      </c>
      <c r="K92" s="195">
        <f t="shared" si="15"/>
        <v>210.04166000659268</v>
      </c>
      <c r="L92" s="195">
        <f t="shared" si="16"/>
        <v>13.601813220910543</v>
      </c>
      <c r="M92" s="195">
        <f t="shared" si="17"/>
        <v>386.56324173347014</v>
      </c>
      <c r="O92" s="195">
        <f t="shared" si="18"/>
        <v>25.477827519386956</v>
      </c>
      <c r="P92" s="196">
        <f t="shared" si="19"/>
        <v>0.65840041080887091</v>
      </c>
      <c r="Q92" s="195">
        <f t="shared" si="20"/>
        <v>610.20671496097339</v>
      </c>
      <c r="R92" s="196">
        <f t="shared" si="21"/>
        <v>2.2290500722825488E-2</v>
      </c>
      <c r="S92" s="464">
        <f t="shared" si="22"/>
        <v>635.68454248036039</v>
      </c>
      <c r="T92" s="196">
        <f t="shared" si="28"/>
        <v>4.0079356688422385E-2</v>
      </c>
      <c r="W92" s="195">
        <f t="shared" si="30"/>
        <v>0.83183002168626885</v>
      </c>
      <c r="X92" s="195">
        <f t="shared" si="23"/>
        <v>1.9166977269491383</v>
      </c>
      <c r="Y92" s="195">
        <f t="shared" si="31"/>
        <v>3.9178156560159891</v>
      </c>
      <c r="Z92" s="195">
        <f t="shared" si="33"/>
        <v>6.6663434046513963</v>
      </c>
      <c r="AA92" s="196">
        <f t="shared" si="34"/>
        <v>5.5873650958690783E-2</v>
      </c>
      <c r="AB92" s="196">
        <f t="shared" si="24"/>
        <v>6.8906902816241511E-2</v>
      </c>
      <c r="AC92" s="196">
        <f t="shared" si="32"/>
        <v>0.1247805537749323</v>
      </c>
      <c r="AD92" s="247">
        <f t="shared" si="29"/>
        <v>0.87521944622506764</v>
      </c>
      <c r="AF92" s="251">
        <f t="shared" si="25"/>
        <v>0.55222469152148057</v>
      </c>
      <c r="AG92" s="251">
        <f t="shared" si="26"/>
        <v>0.44777530847851937</v>
      </c>
    </row>
    <row r="93" spans="1:33" x14ac:dyDescent="0.25">
      <c r="A93" s="206">
        <v>2027</v>
      </c>
      <c r="B93" s="195">
        <f t="shared" si="27"/>
        <v>28.48776003072922</v>
      </c>
      <c r="C93" s="195">
        <f t="shared" si="9"/>
        <v>217.16878084530919</v>
      </c>
      <c r="D93" s="195">
        <f t="shared" si="10"/>
        <v>400.8452314019064</v>
      </c>
      <c r="E93" s="195">
        <f t="shared" si="11"/>
        <v>646.50177227794484</v>
      </c>
      <c r="F93" s="221">
        <f t="shared" si="12"/>
        <v>4.4064473219234623E-2</v>
      </c>
      <c r="H93" s="206">
        <v>2027</v>
      </c>
      <c r="I93" s="195">
        <f t="shared" si="13"/>
        <v>16.339087143372311</v>
      </c>
      <c r="J93" s="195">
        <f t="shared" si="14"/>
        <v>8.9747149834425013</v>
      </c>
      <c r="K93" s="195">
        <f t="shared" si="15"/>
        <v>219.61185211268713</v>
      </c>
      <c r="L93" s="195">
        <f t="shared" si="16"/>
        <v>13.193767193124444</v>
      </c>
      <c r="M93" s="195">
        <f t="shared" si="17"/>
        <v>396.79768381349913</v>
      </c>
      <c r="O93" s="195">
        <f t="shared" si="18"/>
        <v>25.313802126814814</v>
      </c>
      <c r="P93" s="196">
        <f t="shared" si="19"/>
        <v>0.64546159686001414</v>
      </c>
      <c r="Q93" s="195">
        <f t="shared" si="20"/>
        <v>629.60330311931079</v>
      </c>
      <c r="R93" s="196">
        <f t="shared" si="21"/>
        <v>2.0955682932025859E-2</v>
      </c>
      <c r="S93" s="464">
        <f t="shared" si="22"/>
        <v>654.91710524612563</v>
      </c>
      <c r="T93" s="196">
        <f t="shared" si="28"/>
        <v>3.8651917813784367E-2</v>
      </c>
      <c r="W93" s="195">
        <f t="shared" si="30"/>
        <v>1.0450943057675346</v>
      </c>
      <c r="X93" s="195">
        <f t="shared" si="23"/>
        <v>2.4430712673779453</v>
      </c>
      <c r="Y93" s="195">
        <f t="shared" si="31"/>
        <v>4.9271673950352124</v>
      </c>
      <c r="Z93" s="195">
        <f t="shared" si="33"/>
        <v>8.4153329681806923</v>
      </c>
      <c r="AA93" s="196">
        <f t="shared" si="34"/>
        <v>5.5481420314284137E-2</v>
      </c>
      <c r="AB93" s="196">
        <f t="shared" si="24"/>
        <v>6.8707879113219461E-2</v>
      </c>
      <c r="AC93" s="196">
        <f t="shared" si="32"/>
        <v>0.12418929942750359</v>
      </c>
      <c r="AD93" s="247">
        <f t="shared" si="29"/>
        <v>0.87581070057249644</v>
      </c>
      <c r="AF93" s="251">
        <f t="shared" si="25"/>
        <v>0.55325120143163531</v>
      </c>
      <c r="AG93" s="251">
        <f t="shared" si="26"/>
        <v>0.44674879856836469</v>
      </c>
    </row>
    <row r="94" spans="1:33" x14ac:dyDescent="0.25">
      <c r="A94" s="206">
        <v>2028</v>
      </c>
      <c r="B94" s="195">
        <f t="shared" si="27"/>
        <v>27.453831021218036</v>
      </c>
      <c r="C94" s="195">
        <f t="shared" si="9"/>
        <v>226.29989583961549</v>
      </c>
      <c r="D94" s="195">
        <f t="shared" si="10"/>
        <v>410.51281838462262</v>
      </c>
      <c r="E94" s="195">
        <f t="shared" si="11"/>
        <v>664.2665452454562</v>
      </c>
      <c r="F94" s="221">
        <f t="shared" si="12"/>
        <v>4.1329540404708237E-2</v>
      </c>
      <c r="H94" s="206">
        <v>2028</v>
      </c>
      <c r="I94" s="195">
        <f t="shared" si="13"/>
        <v>15.91152022652922</v>
      </c>
      <c r="J94" s="195">
        <f t="shared" si="14"/>
        <v>9.2561340356886603</v>
      </c>
      <c r="K94" s="195">
        <f t="shared" si="15"/>
        <v>229.33362626052906</v>
      </c>
      <c r="L94" s="195">
        <f t="shared" si="16"/>
        <v>12.81777889900107</v>
      </c>
      <c r="M94" s="195">
        <f t="shared" si="17"/>
        <v>407.29615421195172</v>
      </c>
      <c r="O94" s="195">
        <f t="shared" si="18"/>
        <v>25.16765426221788</v>
      </c>
      <c r="P94" s="196">
        <f t="shared" si="19"/>
        <v>0.63222102706710614</v>
      </c>
      <c r="Q94" s="195">
        <f t="shared" si="20"/>
        <v>649.44755937148182</v>
      </c>
      <c r="R94" s="196">
        <f t="shared" si="21"/>
        <v>1.9736434010785685E-2</v>
      </c>
      <c r="S94" s="464">
        <f t="shared" si="22"/>
        <v>674.61521363369968</v>
      </c>
      <c r="T94" s="196">
        <f t="shared" si="28"/>
        <v>3.7306680539646607E-2</v>
      </c>
      <c r="W94" s="195">
        <f t="shared" si="30"/>
        <v>1.2754681043122531</v>
      </c>
      <c r="X94" s="195">
        <f t="shared" si="23"/>
        <v>3.0337304209135709</v>
      </c>
      <c r="Y94" s="195">
        <f t="shared" si="31"/>
        <v>6.0394698630177572</v>
      </c>
      <c r="Z94" s="195">
        <f t="shared" si="33"/>
        <v>10.348668388243581</v>
      </c>
      <c r="AA94" s="196">
        <f t="shared" si="34"/>
        <v>5.4988627094489859E-2</v>
      </c>
      <c r="AB94" s="196">
        <f t="shared" si="24"/>
        <v>6.8260863222663004E-2</v>
      </c>
      <c r="AC94" s="196">
        <f t="shared" si="32"/>
        <v>0.12324949031715285</v>
      </c>
      <c r="AD94" s="247">
        <f t="shared" si="29"/>
        <v>0.87675050968284718</v>
      </c>
      <c r="AF94" s="251">
        <f t="shared" si="25"/>
        <v>0.55384296557340829</v>
      </c>
      <c r="AG94" s="251">
        <f t="shared" si="26"/>
        <v>0.44615703442659177</v>
      </c>
    </row>
    <row r="95" spans="1:33" x14ac:dyDescent="0.25">
      <c r="A95" s="206">
        <v>2029</v>
      </c>
      <c r="B95" s="195">
        <f t="shared" si="27"/>
        <v>26.445267981205632</v>
      </c>
      <c r="C95" s="195">
        <f t="shared" si="9"/>
        <v>235.52252746344612</v>
      </c>
      <c r="D95" s="195">
        <f t="shared" si="10"/>
        <v>420.35695017425536</v>
      </c>
      <c r="E95" s="195">
        <f t="shared" si="11"/>
        <v>682.32474561890717</v>
      </c>
      <c r="F95" s="221">
        <f t="shared" si="12"/>
        <v>3.8757597684982506E-2</v>
      </c>
      <c r="H95" s="206">
        <v>2029</v>
      </c>
      <c r="I95" s="195">
        <f t="shared" si="13"/>
        <v>15.492973795215356</v>
      </c>
      <c r="J95" s="195">
        <f t="shared" si="14"/>
        <v>9.5476889755705301</v>
      </c>
      <c r="K95" s="195">
        <f t="shared" si="15"/>
        <v>239.21596661179339</v>
      </c>
      <c r="L95" s="195">
        <f t="shared" si="16"/>
        <v>12.476192854856407</v>
      </c>
      <c r="M95" s="195">
        <f t="shared" si="17"/>
        <v>418.06811676133634</v>
      </c>
      <c r="O95" s="195">
        <f t="shared" si="18"/>
        <v>25.040662770785886</v>
      </c>
      <c r="P95" s="196">
        <f t="shared" si="19"/>
        <v>0.61871260904845127</v>
      </c>
      <c r="Q95" s="195">
        <f t="shared" si="20"/>
        <v>669.7602762279862</v>
      </c>
      <c r="R95" s="196">
        <f t="shared" si="21"/>
        <v>1.8627848347651951E-2</v>
      </c>
      <c r="S95" s="464">
        <f t="shared" si="22"/>
        <v>694.80093899877204</v>
      </c>
      <c r="T95" s="196">
        <f t="shared" si="28"/>
        <v>3.6040053150863893E-2</v>
      </c>
      <c r="W95" s="195">
        <f t="shared" si="30"/>
        <v>1.5238986688661313</v>
      </c>
      <c r="X95" s="195">
        <f t="shared" si="23"/>
        <v>3.6934391483472666</v>
      </c>
      <c r="Y95" s="195">
        <f t="shared" si="31"/>
        <v>7.2588555626514903</v>
      </c>
      <c r="Z95" s="195">
        <f t="shared" si="33"/>
        <v>12.476193379864888</v>
      </c>
      <c r="AA95" s="196">
        <f t="shared" si="34"/>
        <v>5.4484948507942464E-2</v>
      </c>
      <c r="AB95" s="196">
        <f t="shared" si="24"/>
        <v>6.7659572859089634E-2</v>
      </c>
      <c r="AC95" s="196">
        <f t="shared" si="32"/>
        <v>0.12214452136703211</v>
      </c>
      <c r="AD95" s="247">
        <f t="shared" si="29"/>
        <v>0.87785547863296787</v>
      </c>
      <c r="AF95" s="251">
        <f t="shared" si="25"/>
        <v>0.55393047597918343</v>
      </c>
      <c r="AG95" s="251">
        <f t="shared" si="26"/>
        <v>0.44606952402081657</v>
      </c>
    </row>
    <row r="96" spans="1:33" x14ac:dyDescent="0.25">
      <c r="A96" s="206">
        <v>2030</v>
      </c>
      <c r="B96" s="195">
        <f t="shared" si="27"/>
        <v>25.464530615924787</v>
      </c>
      <c r="C96" s="195">
        <f t="shared" si="9"/>
        <v>244.84089591768486</v>
      </c>
      <c r="D96" s="195">
        <f t="shared" si="10"/>
        <v>430.38317450535186</v>
      </c>
      <c r="E96" s="195">
        <f t="shared" si="11"/>
        <v>700.68860103896145</v>
      </c>
      <c r="F96" s="221">
        <f t="shared" si="12"/>
        <v>3.6342150533299235E-2</v>
      </c>
      <c r="H96" s="206">
        <v>2030</v>
      </c>
      <c r="I96" s="195">
        <f t="shared" si="13"/>
        <v>15.084559763349976</v>
      </c>
      <c r="J96" s="195">
        <f t="shared" si="14"/>
        <v>9.8496338663020708</v>
      </c>
      <c r="K96" s="195">
        <f t="shared" si="15"/>
        <v>249.26793580288182</v>
      </c>
      <c r="L96" s="195">
        <f t="shared" si="16"/>
        <v>12.171343585183081</v>
      </c>
      <c r="M96" s="195">
        <f t="shared" si="17"/>
        <v>429.12325328223534</v>
      </c>
      <c r="O96" s="195">
        <f t="shared" si="18"/>
        <v>24.934193629652047</v>
      </c>
      <c r="P96" s="196">
        <f t="shared" si="19"/>
        <v>0.60497483846484745</v>
      </c>
      <c r="Q96" s="195">
        <f t="shared" si="20"/>
        <v>690.56253267030024</v>
      </c>
      <c r="R96" s="196">
        <f t="shared" si="21"/>
        <v>1.7625259132027258E-2</v>
      </c>
      <c r="S96" s="464">
        <f t="shared" si="22"/>
        <v>715.49672629995234</v>
      </c>
      <c r="T96" s="196">
        <f t="shared" si="28"/>
        <v>3.4848787860420019E-2</v>
      </c>
      <c r="W96" s="195">
        <f t="shared" si="30"/>
        <v>1.79137273260827</v>
      </c>
      <c r="X96" s="195">
        <f t="shared" si="23"/>
        <v>4.4270398851969617</v>
      </c>
      <c r="Y96" s="195">
        <f t="shared" si="31"/>
        <v>8.5897126431855781</v>
      </c>
      <c r="Z96" s="195">
        <f t="shared" si="33"/>
        <v>14.80812526099081</v>
      </c>
      <c r="AA96" s="196">
        <f t="shared" si="34"/>
        <v>5.402114956159864E-2</v>
      </c>
      <c r="AB96" s="196">
        <f t="shared" si="24"/>
        <v>6.6951134305239038E-2</v>
      </c>
      <c r="AC96" s="196">
        <f t="shared" si="32"/>
        <v>0.12097228386683767</v>
      </c>
      <c r="AD96" s="247">
        <f t="shared" si="29"/>
        <v>0.87902771613316233</v>
      </c>
      <c r="AF96" s="251">
        <f t="shared" si="25"/>
        <v>0.55344193037585909</v>
      </c>
      <c r="AG96" s="251">
        <f t="shared" si="26"/>
        <v>0.44655806962414096</v>
      </c>
    </row>
    <row r="97" spans="1:33" x14ac:dyDescent="0.25">
      <c r="A97" s="206">
        <v>2031</v>
      </c>
      <c r="B97" s="195">
        <f t="shared" si="27"/>
        <v>24.514078630608424</v>
      </c>
      <c r="C97" s="195">
        <f t="shared" si="9"/>
        <v>254.25922140321552</v>
      </c>
      <c r="D97" s="195">
        <f t="shared" si="10"/>
        <v>440.59703911245987</v>
      </c>
      <c r="E97" s="195">
        <f t="shared" si="11"/>
        <v>719.37033914628387</v>
      </c>
      <c r="F97" s="221">
        <f t="shared" si="12"/>
        <v>3.4077132871089211E-2</v>
      </c>
      <c r="H97" s="206">
        <v>2031</v>
      </c>
      <c r="I97" s="195">
        <f t="shared" si="13"/>
        <v>14.687374878462297</v>
      </c>
      <c r="J97" s="195">
        <f t="shared" si="14"/>
        <v>10.16233416061608</v>
      </c>
      <c r="K97" s="195">
        <f t="shared" si="15"/>
        <v>259.49704287453699</v>
      </c>
      <c r="L97" s="195">
        <f t="shared" si="16"/>
        <v>11.904157151276365</v>
      </c>
      <c r="M97" s="195">
        <f t="shared" si="17"/>
        <v>440.46930284822059</v>
      </c>
      <c r="O97" s="195">
        <f t="shared" si="18"/>
        <v>24.849709039078377</v>
      </c>
      <c r="P97" s="196">
        <f t="shared" si="19"/>
        <v>0.59104816299318008</v>
      </c>
      <c r="Q97" s="195">
        <f t="shared" si="20"/>
        <v>711.87050287403395</v>
      </c>
      <c r="R97" s="196">
        <f t="shared" si="21"/>
        <v>1.6722363271431707E-2</v>
      </c>
      <c r="S97" s="464">
        <f t="shared" si="22"/>
        <v>736.72021191311228</v>
      </c>
      <c r="T97" s="196">
        <f t="shared" si="28"/>
        <v>3.3730184997298698E-2</v>
      </c>
      <c r="W97" s="195">
        <f t="shared" si="30"/>
        <v>2.0774533991302384</v>
      </c>
      <c r="X97" s="195">
        <f t="shared" si="23"/>
        <v>5.2378214713214675</v>
      </c>
      <c r="Y97" s="195">
        <f t="shared" si="31"/>
        <v>10.034597896376795</v>
      </c>
      <c r="Z97" s="195">
        <f t="shared" si="33"/>
        <v>17.349872766828501</v>
      </c>
      <c r="AA97" s="196">
        <f t="shared" si="34"/>
        <v>5.3603147126958989E-2</v>
      </c>
      <c r="AB97" s="196">
        <f t="shared" si="24"/>
        <v>6.6135679033320113E-2</v>
      </c>
      <c r="AC97" s="196">
        <f t="shared" si="32"/>
        <v>0.1197388261602791</v>
      </c>
      <c r="AD97" s="247">
        <f t="shared" si="29"/>
        <v>0.88026117383972091</v>
      </c>
      <c r="AF97" s="251">
        <f t="shared" si="25"/>
        <v>0.55233278255787066</v>
      </c>
      <c r="AG97" s="251">
        <f t="shared" si="26"/>
        <v>0.44766721744212934</v>
      </c>
    </row>
    <row r="98" spans="1:33" x14ac:dyDescent="0.25">
      <c r="A98" s="206">
        <v>2032</v>
      </c>
      <c r="B98" s="195">
        <f t="shared" si="27"/>
        <v>23.596371730489466</v>
      </c>
      <c r="C98" s="195">
        <f t="shared" si="9"/>
        <v>263.78172412092175</v>
      </c>
      <c r="D98" s="195">
        <f t="shared" si="10"/>
        <v>451.00409173012656</v>
      </c>
      <c r="E98" s="195">
        <f t="shared" si="11"/>
        <v>738.38218758153778</v>
      </c>
      <c r="F98" s="221">
        <f t="shared" si="12"/>
        <v>3.1956853953608914E-2</v>
      </c>
      <c r="H98" s="206">
        <v>2032</v>
      </c>
      <c r="I98" s="195">
        <f t="shared" si="13"/>
        <v>14.302314084783056</v>
      </c>
      <c r="J98" s="195">
        <f t="shared" si="14"/>
        <v>10.48593404333573</v>
      </c>
      <c r="K98" s="195">
        <f t="shared" si="15"/>
        <v>269.90739539556824</v>
      </c>
      <c r="L98" s="195">
        <f t="shared" si="16"/>
        <v>11.673834407618642</v>
      </c>
      <c r="M98" s="195">
        <f t="shared" si="17"/>
        <v>452.10842836594605</v>
      </c>
      <c r="O98" s="195">
        <f t="shared" si="18"/>
        <v>24.788248128118788</v>
      </c>
      <c r="P98" s="196">
        <f t="shared" si="19"/>
        <v>0.57697962400816416</v>
      </c>
      <c r="Q98" s="195">
        <f t="shared" si="20"/>
        <v>733.68965816913294</v>
      </c>
      <c r="R98" s="196">
        <f t="shared" si="21"/>
        <v>1.5911133921050234E-2</v>
      </c>
      <c r="S98" s="464">
        <f t="shared" si="22"/>
        <v>758.47790629725171</v>
      </c>
      <c r="T98" s="196">
        <f t="shared" si="28"/>
        <v>3.2681569129851672E-2</v>
      </c>
      <c r="W98" s="195">
        <f t="shared" si="30"/>
        <v>2.3797767619122325</v>
      </c>
      <c r="X98" s="195">
        <f t="shared" si="23"/>
        <v>6.1256712746464927</v>
      </c>
      <c r="Y98" s="195">
        <f t="shared" si="31"/>
        <v>11.590270679155196</v>
      </c>
      <c r="Z98" s="195">
        <f t="shared" si="33"/>
        <v>20.095718715713922</v>
      </c>
      <c r="AA98" s="196">
        <f t="shared" si="34"/>
        <v>5.3219580452363011E-2</v>
      </c>
      <c r="AB98" s="196">
        <f t="shared" si="24"/>
        <v>6.5202497184071923E-2</v>
      </c>
      <c r="AC98" s="196">
        <f t="shared" si="32"/>
        <v>0.11842207763643493</v>
      </c>
      <c r="AD98" s="247">
        <f t="shared" si="29"/>
        <v>0.88157792236356503</v>
      </c>
      <c r="AF98" s="251">
        <f t="shared" si="25"/>
        <v>0.55059409938954718</v>
      </c>
      <c r="AG98" s="251">
        <f t="shared" si="26"/>
        <v>0.44940590061045282</v>
      </c>
    </row>
    <row r="99" spans="1:33" x14ac:dyDescent="0.25">
      <c r="A99" s="206">
        <v>2033</v>
      </c>
      <c r="B99" s="195">
        <f t="shared" si="27"/>
        <v>22.713869620800722</v>
      </c>
      <c r="C99" s="195">
        <f t="shared" si="9"/>
        <v>273.41262427168732</v>
      </c>
      <c r="D99" s="195">
        <f t="shared" si="10"/>
        <v>461.60988009289957</v>
      </c>
      <c r="E99" s="195">
        <f t="shared" si="11"/>
        <v>757.73637398538767</v>
      </c>
      <c r="F99" s="221">
        <f t="shared" si="12"/>
        <v>2.9975952588015446E-2</v>
      </c>
      <c r="H99" s="206">
        <v>2033</v>
      </c>
      <c r="I99" s="195">
        <f t="shared" si="13"/>
        <v>13.929933260624843</v>
      </c>
      <c r="J99" s="195">
        <f t="shared" si="14"/>
        <v>10.819975824136316</v>
      </c>
      <c r="K99" s="195">
        <f t="shared" si="15"/>
        <v>280.498328141841</v>
      </c>
      <c r="L99" s="195">
        <f t="shared" si="16"/>
        <v>11.477776727029266</v>
      </c>
      <c r="M99" s="195">
        <f t="shared" si="17"/>
        <v>464.03432421470256</v>
      </c>
      <c r="O99" s="195">
        <f t="shared" si="18"/>
        <v>24.749909084761157</v>
      </c>
      <c r="P99" s="196">
        <f t="shared" si="19"/>
        <v>0.56282765374688526</v>
      </c>
      <c r="Q99" s="195">
        <f t="shared" si="20"/>
        <v>756.01042908357283</v>
      </c>
      <c r="R99" s="196">
        <f t="shared" si="21"/>
        <v>1.5182034910474046E-2</v>
      </c>
      <c r="S99" s="464">
        <f t="shared" si="22"/>
        <v>780.76033816833399</v>
      </c>
      <c r="T99" s="196">
        <f t="shared" si="28"/>
        <v>3.1699751991532403E-2</v>
      </c>
      <c r="W99" s="195">
        <f t="shared" si="30"/>
        <v>2.6938403668533866</v>
      </c>
      <c r="X99" s="195">
        <f t="shared" si="23"/>
        <v>7.0857038701536794</v>
      </c>
      <c r="Y99" s="195">
        <f t="shared" si="31"/>
        <v>13.244419945939285</v>
      </c>
      <c r="Z99" s="195">
        <f t="shared" si="33"/>
        <v>23.023964182946351</v>
      </c>
      <c r="AA99" s="196">
        <f t="shared" si="34"/>
        <v>5.2854747717445597E-2</v>
      </c>
      <c r="AB99" s="196">
        <f t="shared" si="24"/>
        <v>6.4146840082482032E-2</v>
      </c>
      <c r="AC99" s="196">
        <f t="shared" si="32"/>
        <v>0.11700158779992763</v>
      </c>
      <c r="AD99" s="247">
        <f t="shared" si="29"/>
        <v>0.88299841220007236</v>
      </c>
      <c r="AF99" s="251">
        <f t="shared" si="25"/>
        <v>0.54825615009749218</v>
      </c>
      <c r="AG99" s="251">
        <f t="shared" si="26"/>
        <v>0.45174384990250777</v>
      </c>
    </row>
    <row r="100" spans="1:33" x14ac:dyDescent="0.25">
      <c r="A100" s="206">
        <v>2034</v>
      </c>
      <c r="B100" s="195">
        <f t="shared" si="27"/>
        <v>21.869032006775114</v>
      </c>
      <c r="C100" s="195">
        <f t="shared" si="9"/>
        <v>283.15614205639605</v>
      </c>
      <c r="D100" s="195">
        <f t="shared" si="10"/>
        <v>472.41995193532625</v>
      </c>
      <c r="E100" s="195">
        <f t="shared" si="11"/>
        <v>777.44512599849736</v>
      </c>
      <c r="F100" s="221">
        <f t="shared" si="12"/>
        <v>2.8129357655549032E-2</v>
      </c>
      <c r="H100" s="206">
        <v>2034</v>
      </c>
      <c r="I100" s="195">
        <f t="shared" si="13"/>
        <v>13.570809248919344</v>
      </c>
      <c r="J100" s="195">
        <f t="shared" si="14"/>
        <v>11.163688089366259</v>
      </c>
      <c r="K100" s="195">
        <f t="shared" si="15"/>
        <v>291.26542538981482</v>
      </c>
      <c r="L100" s="195">
        <f t="shared" si="16"/>
        <v>11.312163150217941</v>
      </c>
      <c r="M100" s="195">
        <f t="shared" si="17"/>
        <v>476.23498203023979</v>
      </c>
      <c r="O100" s="195">
        <f t="shared" si="18"/>
        <v>24.734497338285603</v>
      </c>
      <c r="P100" s="196">
        <f t="shared" si="19"/>
        <v>0.54865918895847532</v>
      </c>
      <c r="Q100" s="195">
        <f t="shared" si="20"/>
        <v>778.81257057027256</v>
      </c>
      <c r="R100" s="196">
        <f t="shared" si="21"/>
        <v>1.4524885161952121E-2</v>
      </c>
      <c r="S100" s="464">
        <f t="shared" si="22"/>
        <v>803.54706790855812</v>
      </c>
      <c r="T100" s="196">
        <f t="shared" si="28"/>
        <v>3.0781640959332494E-2</v>
      </c>
      <c r="W100" s="195">
        <f t="shared" si="30"/>
        <v>3.0139403923621728</v>
      </c>
      <c r="X100" s="195">
        <f t="shared" si="23"/>
        <v>8.1092833334187731</v>
      </c>
      <c r="Y100" s="195">
        <f t="shared" si="31"/>
        <v>14.978718184279785</v>
      </c>
      <c r="Z100" s="195">
        <f t="shared" si="33"/>
        <v>26.101941910060731</v>
      </c>
      <c r="AA100" s="196">
        <f t="shared" si="34"/>
        <v>5.2493465200454364E-2</v>
      </c>
      <c r="AB100" s="196">
        <f t="shared" si="24"/>
        <v>6.2974587052028796E-2</v>
      </c>
      <c r="AC100" s="196">
        <f t="shared" si="32"/>
        <v>0.11546805225248317</v>
      </c>
      <c r="AD100" s="247">
        <f t="shared" si="29"/>
        <v>0.88453194774751687</v>
      </c>
      <c r="AF100" s="251">
        <f t="shared" si="25"/>
        <v>0.54538537563903966</v>
      </c>
      <c r="AG100" s="251">
        <f t="shared" si="26"/>
        <v>0.45461462436096028</v>
      </c>
    </row>
    <row r="101" spans="1:33" x14ac:dyDescent="0.25">
      <c r="A101" s="206">
        <v>2035</v>
      </c>
      <c r="B101" s="195">
        <f t="shared" si="27"/>
        <v>21.064318593645567</v>
      </c>
      <c r="C101" s="195">
        <f t="shared" si="9"/>
        <v>293.01649767593159</v>
      </c>
      <c r="D101" s="195">
        <f t="shared" si="10"/>
        <v>483.43985499195412</v>
      </c>
      <c r="E101" s="195">
        <f t="shared" si="11"/>
        <v>797.52067126153133</v>
      </c>
      <c r="F101" s="221">
        <f t="shared" si="12"/>
        <v>2.6412254067754357E-2</v>
      </c>
      <c r="H101" s="206">
        <v>2035</v>
      </c>
      <c r="I101" s="195">
        <f t="shared" si="13"/>
        <v>13.22606568722532</v>
      </c>
      <c r="J101" s="195">
        <f t="shared" si="14"/>
        <v>11.516519291915877</v>
      </c>
      <c r="K101" s="195">
        <f t="shared" si="15"/>
        <v>302.20587340117032</v>
      </c>
      <c r="L101" s="195">
        <f t="shared" si="16"/>
        <v>11.174500380137999</v>
      </c>
      <c r="M101" s="195">
        <f t="shared" si="17"/>
        <v>488.70216646203812</v>
      </c>
      <c r="O101" s="195">
        <f t="shared" si="18"/>
        <v>24.742584979141199</v>
      </c>
      <c r="P101" s="196">
        <f t="shared" si="19"/>
        <v>0.53454664087747183</v>
      </c>
      <c r="Q101" s="195">
        <f t="shared" si="20"/>
        <v>802.08254024334644</v>
      </c>
      <c r="R101" s="196">
        <f t="shared" si="21"/>
        <v>1.3931858405430108E-2</v>
      </c>
      <c r="S101" s="464">
        <f t="shared" si="22"/>
        <v>826.8251252224876</v>
      </c>
      <c r="T101" s="196">
        <f t="shared" si="28"/>
        <v>2.9924810246281883E-2</v>
      </c>
      <c r="W101" s="195">
        <f t="shared" si="30"/>
        <v>3.336247473717755</v>
      </c>
      <c r="X101" s="195">
        <f t="shared" si="23"/>
        <v>9.1893757252387331</v>
      </c>
      <c r="Y101" s="195">
        <f t="shared" si="31"/>
        <v>16.77883076199987</v>
      </c>
      <c r="Z101" s="195">
        <f t="shared" si="33"/>
        <v>29.304453960956359</v>
      </c>
      <c r="AA101" s="196">
        <f t="shared" si="34"/>
        <v>5.2137816290973797E-2</v>
      </c>
      <c r="AB101" s="196">
        <f t="shared" si="24"/>
        <v>6.1709978933697077E-2</v>
      </c>
      <c r="AC101" s="196">
        <f t="shared" si="32"/>
        <v>0.11384779522467088</v>
      </c>
      <c r="AD101" s="247">
        <f t="shared" si="29"/>
        <v>0.88615220477532908</v>
      </c>
      <c r="AF101" s="251">
        <f t="shared" si="25"/>
        <v>0.54203929739628798</v>
      </c>
      <c r="AG101" s="251">
        <f t="shared" si="26"/>
        <v>0.45796070260371197</v>
      </c>
    </row>
    <row r="102" spans="1:33" x14ac:dyDescent="0.25">
      <c r="A102" s="206">
        <v>2036</v>
      </c>
      <c r="B102" s="195">
        <f t="shared" si="27"/>
        <v>20.302189086644887</v>
      </c>
      <c r="C102" s="195">
        <f t="shared" si="9"/>
        <v>302.99791133117776</v>
      </c>
      <c r="D102" s="195">
        <f t="shared" si="10"/>
        <v>494.67513699733058</v>
      </c>
      <c r="E102" s="195">
        <f t="shared" si="11"/>
        <v>817.97523741515317</v>
      </c>
      <c r="F102" s="221">
        <f t="shared" si="12"/>
        <v>2.4820053417265935E-2</v>
      </c>
      <c r="H102" s="206">
        <v>2036</v>
      </c>
      <c r="I102" s="195">
        <f t="shared" si="13"/>
        <v>12.897429259624557</v>
      </c>
      <c r="J102" s="195">
        <f t="shared" si="14"/>
        <v>11.878347496195303</v>
      </c>
      <c r="K102" s="195">
        <f t="shared" si="15"/>
        <v>313.32071958616291</v>
      </c>
      <c r="L102" s="195">
        <f t="shared" si="16"/>
        <v>11.064576385539169</v>
      </c>
      <c r="M102" s="195">
        <f t="shared" si="17"/>
        <v>501.43465964480373</v>
      </c>
      <c r="O102" s="195">
        <f t="shared" si="18"/>
        <v>24.775776755819862</v>
      </c>
      <c r="P102" s="196">
        <f t="shared" si="19"/>
        <v>0.52056609109520391</v>
      </c>
      <c r="Q102" s="195">
        <f t="shared" si="20"/>
        <v>825.81995561650581</v>
      </c>
      <c r="R102" s="196">
        <f t="shared" si="21"/>
        <v>1.3398291371245739E-2</v>
      </c>
      <c r="S102" s="464">
        <f t="shared" si="22"/>
        <v>850.59573237232564</v>
      </c>
      <c r="T102" s="196">
        <f t="shared" si="28"/>
        <v>2.9127558266392673E-2</v>
      </c>
      <c r="W102" s="195">
        <f t="shared" si="30"/>
        <v>3.6598165585188411</v>
      </c>
      <c r="X102" s="195">
        <f t="shared" si="23"/>
        <v>10.322808254985148</v>
      </c>
      <c r="Y102" s="195">
        <f t="shared" si="31"/>
        <v>18.637870143668465</v>
      </c>
      <c r="Z102" s="195">
        <f t="shared" si="33"/>
        <v>32.620494957172454</v>
      </c>
      <c r="AA102" s="196">
        <f t="shared" si="34"/>
        <v>5.1806040000558114E-2</v>
      </c>
      <c r="AB102" s="196">
        <f t="shared" si="24"/>
        <v>6.0387737663570688E-2</v>
      </c>
      <c r="AC102" s="196">
        <f t="shared" si="32"/>
        <v>0.1121937776641288</v>
      </c>
      <c r="AD102" s="247">
        <f t="shared" si="29"/>
        <v>0.88780622233587114</v>
      </c>
      <c r="AF102" s="251">
        <f t="shared" si="25"/>
        <v>0.53824498043333269</v>
      </c>
      <c r="AG102" s="251">
        <f t="shared" si="26"/>
        <v>0.46175501956666726</v>
      </c>
    </row>
    <row r="103" spans="1:33" x14ac:dyDescent="0.25">
      <c r="A103" s="206">
        <v>2037</v>
      </c>
      <c r="B103" s="195">
        <f t="shared" si="27"/>
        <v>19.585103191005999</v>
      </c>
      <c r="C103" s="195">
        <f t="shared" si="9"/>
        <v>313.10460322301827</v>
      </c>
      <c r="D103" s="195">
        <f t="shared" si="10"/>
        <v>506.13134568600304</v>
      </c>
      <c r="E103" s="195">
        <f t="shared" si="11"/>
        <v>838.82105210002737</v>
      </c>
      <c r="F103" s="221">
        <f t="shared" si="12"/>
        <v>2.334836869195615E-2</v>
      </c>
      <c r="H103" s="206">
        <v>2037</v>
      </c>
      <c r="I103" s="195">
        <f t="shared" si="13"/>
        <v>12.587116074571759</v>
      </c>
      <c r="J103" s="195">
        <f t="shared" si="14"/>
        <v>12.249540314759786</v>
      </c>
      <c r="K103" s="195">
        <f t="shared" si="15"/>
        <v>324.61638529617699</v>
      </c>
      <c r="L103" s="195">
        <f t="shared" si="16"/>
        <v>10.98452598975382</v>
      </c>
      <c r="M103" s="195">
        <f t="shared" si="17"/>
        <v>514.44040812806429</v>
      </c>
      <c r="O103" s="195">
        <f t="shared" si="18"/>
        <v>24.836656389331544</v>
      </c>
      <c r="P103" s="196">
        <f t="shared" si="19"/>
        <v>0.506795917987515</v>
      </c>
      <c r="Q103" s="195">
        <f t="shared" si="20"/>
        <v>850.0413194139951</v>
      </c>
      <c r="R103" s="196">
        <f t="shared" si="21"/>
        <v>1.2922343583634708E-2</v>
      </c>
      <c r="S103" s="464">
        <f t="shared" si="22"/>
        <v>874.87797580332665</v>
      </c>
      <c r="T103" s="196">
        <f t="shared" si="28"/>
        <v>2.8388709141438997E-2</v>
      </c>
      <c r="W103" s="195">
        <f t="shared" si="30"/>
        <v>3.9865388733195815</v>
      </c>
      <c r="X103" s="195">
        <f t="shared" si="23"/>
        <v>11.511782073158713</v>
      </c>
      <c r="Y103" s="195">
        <f t="shared" si="31"/>
        <v>20.558602756821017</v>
      </c>
      <c r="Z103" s="195">
        <f t="shared" si="33"/>
        <v>36.056923703299312</v>
      </c>
      <c r="AA103" s="196">
        <f t="shared" si="34"/>
        <v>5.1522723926660796E-2</v>
      </c>
      <c r="AB103" s="196">
        <f t="shared" si="24"/>
        <v>5.9039644236622127E-2</v>
      </c>
      <c r="AC103" s="196">
        <f t="shared" si="32"/>
        <v>0.11056236816328294</v>
      </c>
      <c r="AD103" s="247">
        <f t="shared" si="29"/>
        <v>0.88943763183671709</v>
      </c>
      <c r="AF103" s="251">
        <f t="shared" si="25"/>
        <v>0.53399402723926837</v>
      </c>
      <c r="AG103" s="251">
        <f t="shared" si="26"/>
        <v>0.46600597276073152</v>
      </c>
    </row>
    <row r="104" spans="1:33" x14ac:dyDescent="0.25">
      <c r="A104" s="206">
        <v>2038</v>
      </c>
      <c r="B104" s="195">
        <f t="shared" si="27"/>
        <v>18.915520611961711</v>
      </c>
      <c r="C104" s="195">
        <f t="shared" si="9"/>
        <v>323.34079355233689</v>
      </c>
      <c r="D104" s="195">
        <f t="shared" si="10"/>
        <v>517.81402879251903</v>
      </c>
      <c r="E104" s="195">
        <f t="shared" si="11"/>
        <v>860.07034295681763</v>
      </c>
      <c r="F104" s="221">
        <f t="shared" si="12"/>
        <v>2.1992992511440917E-2</v>
      </c>
      <c r="H104" s="206">
        <v>2038</v>
      </c>
      <c r="I104" s="195">
        <f t="shared" si="13"/>
        <v>12.297464037279383</v>
      </c>
      <c r="J104" s="195">
        <f t="shared" si="14"/>
        <v>12.630675178400127</v>
      </c>
      <c r="K104" s="195">
        <f t="shared" si="15"/>
        <v>336.10193414132539</v>
      </c>
      <c r="L104" s="195">
        <f t="shared" si="16"/>
        <v>10.937175968202553</v>
      </c>
      <c r="M104" s="195">
        <f t="shared" si="17"/>
        <v>527.7316683153299</v>
      </c>
      <c r="O104" s="195">
        <f t="shared" si="18"/>
        <v>24.928139215679508</v>
      </c>
      <c r="P104" s="196">
        <f t="shared" si="19"/>
        <v>0.49331656610552072</v>
      </c>
      <c r="Q104" s="195">
        <f t="shared" si="20"/>
        <v>874.77077842485789</v>
      </c>
      <c r="R104" s="196">
        <f t="shared" si="21"/>
        <v>1.2502905032900625E-2</v>
      </c>
      <c r="S104" s="464">
        <f t="shared" si="22"/>
        <v>899.69891764053739</v>
      </c>
      <c r="T104" s="196">
        <f t="shared" si="28"/>
        <v>2.7707201516984831E-2</v>
      </c>
      <c r="W104" s="195">
        <f t="shared" si="30"/>
        <v>4.319119393520225</v>
      </c>
      <c r="X104" s="195">
        <f t="shared" si="23"/>
        <v>12.761140588988496</v>
      </c>
      <c r="Y104" s="195">
        <f t="shared" si="31"/>
        <v>22.548314701210984</v>
      </c>
      <c r="Z104" s="195">
        <f t="shared" si="33"/>
        <v>39.628574683719705</v>
      </c>
      <c r="AA104" s="196">
        <f t="shared" si="34"/>
        <v>5.1304564872866158E-2</v>
      </c>
      <c r="AB104" s="196">
        <f t="shared" si="24"/>
        <v>5.7685461339068607E-2</v>
      </c>
      <c r="AC104" s="196">
        <f t="shared" si="32"/>
        <v>0.10899002621193477</v>
      </c>
      <c r="AD104" s="247">
        <f t="shared" si="29"/>
        <v>0.89100997378806523</v>
      </c>
      <c r="AF104" s="251">
        <f t="shared" si="25"/>
        <v>0.52927284581891276</v>
      </c>
      <c r="AG104" s="251">
        <f t="shared" si="26"/>
        <v>0.47072715418108724</v>
      </c>
    </row>
    <row r="105" spans="1:33" x14ac:dyDescent="0.25">
      <c r="A105" s="206">
        <v>2039</v>
      </c>
      <c r="B105" s="195">
        <f t="shared" si="27"/>
        <v>18.295901054744945</v>
      </c>
      <c r="C105" s="195">
        <f t="shared" si="9"/>
        <v>333.71070252001738</v>
      </c>
      <c r="D105" s="195">
        <f t="shared" si="10"/>
        <v>529.72873405142604</v>
      </c>
      <c r="E105" s="195">
        <f t="shared" si="11"/>
        <v>881.73533762618831</v>
      </c>
      <c r="F105" s="221">
        <f t="shared" si="12"/>
        <v>2.0749878420435377E-2</v>
      </c>
      <c r="H105" s="206">
        <v>2039</v>
      </c>
      <c r="I105" s="195">
        <f t="shared" si="13"/>
        <v>12.030956414508914</v>
      </c>
      <c r="J105" s="195">
        <f t="shared" si="14"/>
        <v>13.022614923990604</v>
      </c>
      <c r="K105" s="195">
        <f t="shared" si="15"/>
        <v>347.79030651050442</v>
      </c>
      <c r="L105" s="195">
        <f t="shared" si="16"/>
        <v>10.926532779512684</v>
      </c>
      <c r="M105" s="195">
        <f t="shared" si="17"/>
        <v>541.32655048198626</v>
      </c>
      <c r="O105" s="195">
        <f t="shared" si="18"/>
        <v>25.053571338499516</v>
      </c>
      <c r="P105" s="196">
        <f t="shared" si="19"/>
        <v>0.48020923851367614</v>
      </c>
      <c r="Q105" s="195">
        <f t="shared" si="20"/>
        <v>900.04338977200337</v>
      </c>
      <c r="R105" s="196">
        <f t="shared" si="21"/>
        <v>1.2140006697099975E-2</v>
      </c>
      <c r="S105" s="464">
        <f t="shared" si="22"/>
        <v>925.09696111050289</v>
      </c>
      <c r="T105" s="196">
        <f t="shared" si="28"/>
        <v>2.708210316508311E-2</v>
      </c>
      <c r="W105" s="195">
        <f t="shared" si="30"/>
        <v>4.6615881392766525</v>
      </c>
      <c r="X105" s="195">
        <f t="shared" si="23"/>
        <v>14.079603990487044</v>
      </c>
      <c r="Y105" s="195">
        <f t="shared" si="31"/>
        <v>24.620431354550874</v>
      </c>
      <c r="Z105" s="195">
        <f t="shared" si="33"/>
        <v>43.36162348431457</v>
      </c>
      <c r="AA105" s="196">
        <f t="shared" si="34"/>
        <v>5.116657539681508E-2</v>
      </c>
      <c r="AB105" s="196">
        <f t="shared" si="24"/>
        <v>5.6338350957312634E-2</v>
      </c>
      <c r="AC105" s="196">
        <f t="shared" si="32"/>
        <v>0.10750492635412771</v>
      </c>
      <c r="AD105" s="247">
        <f t="shared" si="29"/>
        <v>0.89249507364587233</v>
      </c>
      <c r="AF105" s="251">
        <f t="shared" si="25"/>
        <v>0.52405366775221729</v>
      </c>
      <c r="AG105" s="251">
        <f t="shared" si="26"/>
        <v>0.47594633224778266</v>
      </c>
    </row>
    <row r="106" spans="1:33" x14ac:dyDescent="0.25">
      <c r="A106" s="206">
        <v>2040</v>
      </c>
      <c r="B106" s="195">
        <f t="shared" si="27"/>
        <v>17.728704224588682</v>
      </c>
      <c r="C106" s="195">
        <f t="shared" si="9"/>
        <v>344.21855032694344</v>
      </c>
      <c r="D106" s="195">
        <f t="shared" si="10"/>
        <v>541.88100919727151</v>
      </c>
      <c r="E106" s="195">
        <f t="shared" si="11"/>
        <v>903.82826374880369</v>
      </c>
      <c r="F106" s="221">
        <f t="shared" si="12"/>
        <v>1.9615124836941292E-2</v>
      </c>
      <c r="H106" s="206">
        <v>2040</v>
      </c>
      <c r="I106" s="195">
        <f t="shared" si="13"/>
        <v>11.789945223835495</v>
      </c>
      <c r="J106" s="195">
        <f t="shared" si="14"/>
        <v>13.426162247587698</v>
      </c>
      <c r="K106" s="195">
        <f t="shared" si="15"/>
        <v>359.69412942741695</v>
      </c>
      <c r="L106" s="195">
        <f t="shared" si="16"/>
        <v>10.956427873709458</v>
      </c>
      <c r="M106" s="195">
        <f t="shared" si="17"/>
        <v>555.24181255946871</v>
      </c>
      <c r="O106" s="195">
        <f t="shared" si="18"/>
        <v>25.216107471423193</v>
      </c>
      <c r="P106" s="196">
        <f t="shared" si="19"/>
        <v>0.46755611417014925</v>
      </c>
      <c r="Q106" s="195">
        <f t="shared" si="20"/>
        <v>925.89236986059518</v>
      </c>
      <c r="R106" s="196">
        <f t="shared" si="21"/>
        <v>1.1833370951484444E-2</v>
      </c>
      <c r="S106" s="464">
        <f t="shared" si="22"/>
        <v>951.10847733201842</v>
      </c>
      <c r="T106" s="196">
        <f t="shared" si="28"/>
        <v>2.6512335945272632E-2</v>
      </c>
      <c r="W106" s="195">
        <f t="shared" si="30"/>
        <v>5.0176688729562713</v>
      </c>
      <c r="X106" s="195">
        <f t="shared" si="23"/>
        <v>15.47557910047351</v>
      </c>
      <c r="Y106" s="195">
        <f t="shared" si="31"/>
        <v>26.786965609784943</v>
      </c>
      <c r="Z106" s="195">
        <f t="shared" si="33"/>
        <v>47.280213583214724</v>
      </c>
      <c r="AA106" s="196">
        <f t="shared" si="34"/>
        <v>5.1118652105439019E-2</v>
      </c>
      <c r="AB106" s="196">
        <f t="shared" si="24"/>
        <v>5.5007536688632529E-2</v>
      </c>
      <c r="AC106" s="196">
        <f t="shared" si="32"/>
        <v>0.10612618879407154</v>
      </c>
      <c r="AD106" s="247">
        <f t="shared" si="29"/>
        <v>0.89387381120592846</v>
      </c>
      <c r="AF106" s="251">
        <f t="shared" si="25"/>
        <v>0.51832198360924631</v>
      </c>
      <c r="AG106" s="251">
        <f t="shared" si="26"/>
        <v>0.48167801639075375</v>
      </c>
    </row>
    <row r="107" spans="1:33" x14ac:dyDescent="0.25">
      <c r="A107" s="206">
        <v>2041</v>
      </c>
      <c r="B107" s="195">
        <f t="shared" si="27"/>
        <v>17.216389826725731</v>
      </c>
      <c r="C107" s="195">
        <f t="shared" si="9"/>
        <v>354.86855717399885</v>
      </c>
      <c r="D107" s="195">
        <f t="shared" si="10"/>
        <v>554.27640196460288</v>
      </c>
      <c r="E107" s="195">
        <f t="shared" si="11"/>
        <v>926.36134896532747</v>
      </c>
      <c r="F107" s="221">
        <f t="shared" si="12"/>
        <v>1.8584961306897227E-2</v>
      </c>
      <c r="H107" s="206">
        <v>2041</v>
      </c>
      <c r="I107" s="195">
        <f t="shared" si="13"/>
        <v>11.576512369784904</v>
      </c>
      <c r="J107" s="195">
        <f t="shared" si="14"/>
        <v>13.841728060525829</v>
      </c>
      <c r="K107" s="195">
        <f t="shared" si="15"/>
        <v>371.82147322149996</v>
      </c>
      <c r="L107" s="195">
        <f t="shared" si="16"/>
        <v>11.029196201754587</v>
      </c>
      <c r="M107" s="195">
        <f t="shared" si="17"/>
        <v>569.48782264306533</v>
      </c>
      <c r="O107" s="195">
        <f t="shared" si="18"/>
        <v>25.418240430310732</v>
      </c>
      <c r="P107" s="196">
        <f t="shared" si="19"/>
        <v>0.45544113887522086</v>
      </c>
      <c r="Q107" s="195">
        <f t="shared" si="20"/>
        <v>952.33849206631976</v>
      </c>
      <c r="R107" s="196">
        <f t="shared" si="21"/>
        <v>1.1581172339074715E-2</v>
      </c>
      <c r="S107" s="464">
        <f t="shared" si="22"/>
        <v>977.75673249663055</v>
      </c>
      <c r="T107" s="196">
        <f t="shared" si="28"/>
        <v>2.5996487250368613E-2</v>
      </c>
      <c r="W107" s="195">
        <f t="shared" si="30"/>
        <v>5.3893187448137603</v>
      </c>
      <c r="X107" s="195">
        <f t="shared" si="23"/>
        <v>16.952916047501105</v>
      </c>
      <c r="Y107" s="195">
        <f t="shared" si="31"/>
        <v>29.053148738988284</v>
      </c>
      <c r="Z107" s="195">
        <f t="shared" si="33"/>
        <v>51.395383531303153</v>
      </c>
      <c r="AA107" s="196">
        <f t="shared" si="34"/>
        <v>5.1160584437809159E-2</v>
      </c>
      <c r="AB107" s="196">
        <f t="shared" si="24"/>
        <v>5.3699392753163884E-2</v>
      </c>
      <c r="AC107" s="196">
        <f t="shared" si="32"/>
        <v>0.10485997719097305</v>
      </c>
      <c r="AD107" s="247">
        <f t="shared" si="29"/>
        <v>0.89514002280902694</v>
      </c>
      <c r="AF107" s="251">
        <f t="shared" si="25"/>
        <v>0.51210570697879798</v>
      </c>
      <c r="AG107" s="251">
        <f t="shared" si="26"/>
        <v>0.48789429302120202</v>
      </c>
    </row>
    <row r="108" spans="1:33" x14ac:dyDescent="0.25">
      <c r="A108" s="206">
        <v>2042</v>
      </c>
      <c r="B108" s="195">
        <f t="shared" si="27"/>
        <v>16.7614175663889</v>
      </c>
      <c r="C108" s="195">
        <f t="shared" si="9"/>
        <v>365.66494326206731</v>
      </c>
      <c r="D108" s="195">
        <f t="shared" si="10"/>
        <v>566.92046008796751</v>
      </c>
      <c r="E108" s="195">
        <f t="shared" si="11"/>
        <v>949.34682091642367</v>
      </c>
      <c r="F108" s="221">
        <f t="shared" si="12"/>
        <v>1.7655736762470817E-2</v>
      </c>
      <c r="H108" s="206">
        <v>2042</v>
      </c>
      <c r="I108" s="195">
        <f t="shared" si="13"/>
        <v>11.392696365306936</v>
      </c>
      <c r="J108" s="195">
        <f t="shared" si="14"/>
        <v>14.269601945354662</v>
      </c>
      <c r="K108" s="195">
        <f t="shared" si="15"/>
        <v>384.17923319898438</v>
      </c>
      <c r="L108" s="195">
        <f t="shared" si="16"/>
        <v>11.147279272573201</v>
      </c>
      <c r="M108" s="195">
        <f t="shared" si="17"/>
        <v>584.07178472164321</v>
      </c>
      <c r="O108" s="195">
        <f t="shared" si="18"/>
        <v>25.662298310661598</v>
      </c>
      <c r="P108" s="196">
        <f t="shared" si="19"/>
        <v>0.44394684479892249</v>
      </c>
      <c r="Q108" s="195">
        <f t="shared" si="20"/>
        <v>979.39829719320073</v>
      </c>
      <c r="R108" s="196">
        <f t="shared" si="21"/>
        <v>1.1381762970713269E-2</v>
      </c>
      <c r="S108" s="464">
        <f t="shared" si="22"/>
        <v>1005.0605955038624</v>
      </c>
      <c r="T108" s="196">
        <f t="shared" si="28"/>
        <v>2.5533085692008885E-2</v>
      </c>
      <c r="W108" s="195">
        <f t="shared" si="30"/>
        <v>5.7785580714912363</v>
      </c>
      <c r="X108" s="195">
        <f t="shared" si="23"/>
        <v>18.514289936917066</v>
      </c>
      <c r="Y108" s="195">
        <f t="shared" si="31"/>
        <v>31.420926579030379</v>
      </c>
      <c r="Z108" s="195">
        <f t="shared" si="33"/>
        <v>55.713774587438678</v>
      </c>
      <c r="AA108" s="196">
        <f t="shared" si="34"/>
        <v>5.1294681632409536E-2</v>
      </c>
      <c r="AB108" s="196">
        <f t="shared" si="24"/>
        <v>5.2423978865493263E-2</v>
      </c>
      <c r="AC108" s="196">
        <f t="shared" si="32"/>
        <v>0.10371866049790279</v>
      </c>
      <c r="AD108" s="247">
        <f t="shared" si="29"/>
        <v>0.89628133950209732</v>
      </c>
      <c r="AF108" s="251">
        <f t="shared" si="25"/>
        <v>0.50544404077174987</v>
      </c>
      <c r="AG108" s="251">
        <f t="shared" si="26"/>
        <v>0.49455595922825019</v>
      </c>
    </row>
    <row r="109" spans="1:33" x14ac:dyDescent="0.25">
      <c r="A109" s="206">
        <v>2043</v>
      </c>
      <c r="B109" s="195">
        <f t="shared" si="27"/>
        <v>16.366247148811226</v>
      </c>
      <c r="C109" s="195">
        <f t="shared" si="9"/>
        <v>376.61192879203264</v>
      </c>
      <c r="D109" s="195">
        <f t="shared" si="10"/>
        <v>579.81873130191298</v>
      </c>
      <c r="E109" s="195">
        <f t="shared" si="11"/>
        <v>972.79690724275679</v>
      </c>
      <c r="F109" s="221">
        <f t="shared" si="12"/>
        <v>1.6823909520023904E-2</v>
      </c>
      <c r="H109" s="206">
        <v>2043</v>
      </c>
      <c r="I109" s="195">
        <f t="shared" si="13"/>
        <v>11.240714164816435</v>
      </c>
      <c r="J109" s="195">
        <f t="shared" si="14"/>
        <v>14.710378973040935</v>
      </c>
      <c r="K109" s="195">
        <f t="shared" si="15"/>
        <v>396.77905299819366</v>
      </c>
      <c r="L109" s="195">
        <f t="shared" si="16"/>
        <v>11.314995214509736</v>
      </c>
      <c r="M109" s="195">
        <f t="shared" si="17"/>
        <v>599.00575660323545</v>
      </c>
      <c r="O109" s="195">
        <f t="shared" si="18"/>
        <v>25.95109313785737</v>
      </c>
      <c r="P109" s="196">
        <f t="shared" si="19"/>
        <v>0.4331499295657229</v>
      </c>
      <c r="Q109" s="195">
        <f t="shared" si="20"/>
        <v>1007.0998048159388</v>
      </c>
      <c r="R109" s="196">
        <f t="shared" si="21"/>
        <v>1.1235227293662027E-2</v>
      </c>
      <c r="S109" s="464">
        <f t="shared" si="22"/>
        <v>1033.0508979537963</v>
      </c>
      <c r="T109" s="196">
        <f t="shared" si="28"/>
        <v>2.5120827240225723E-2</v>
      </c>
      <c r="W109" s="195">
        <f t="shared" si="30"/>
        <v>6.1894622305149447</v>
      </c>
      <c r="X109" s="195">
        <f t="shared" si="23"/>
        <v>20.16712420616102</v>
      </c>
      <c r="Y109" s="195">
        <f t="shared" si="31"/>
        <v>33.897404274363453</v>
      </c>
      <c r="Z109" s="195">
        <f t="shared" si="33"/>
        <v>60.253990711039421</v>
      </c>
      <c r="AA109" s="196">
        <f t="shared" si="34"/>
        <v>5.153057461824876E-2</v>
      </c>
      <c r="AB109" s="196">
        <f t="shared" si="24"/>
        <v>5.1192285021004036E-2</v>
      </c>
      <c r="AC109" s="196">
        <f t="shared" si="32"/>
        <v>0.1027228596392528</v>
      </c>
      <c r="AD109" s="247">
        <f t="shared" si="29"/>
        <v>0.89727714036074713</v>
      </c>
      <c r="AF109" s="251">
        <f t="shared" si="25"/>
        <v>0.49835338697524217</v>
      </c>
      <c r="AG109" s="251">
        <f t="shared" si="26"/>
        <v>0.50164661302475777</v>
      </c>
    </row>
    <row r="110" spans="1:33" x14ac:dyDescent="0.25">
      <c r="A110" s="206">
        <v>2044</v>
      </c>
      <c r="B110" s="195">
        <f t="shared" si="27"/>
        <v>16.033338279225404</v>
      </c>
      <c r="C110" s="195">
        <f t="shared" si="9"/>
        <v>387.71373396477861</v>
      </c>
      <c r="D110" s="195">
        <f t="shared" si="10"/>
        <v>592.97676334098662</v>
      </c>
      <c r="E110" s="195">
        <f t="shared" si="11"/>
        <v>996.72383558499064</v>
      </c>
      <c r="F110" s="221">
        <f t="shared" si="12"/>
        <v>1.6086038787078091E-2</v>
      </c>
      <c r="H110" s="206">
        <v>2044</v>
      </c>
      <c r="I110" s="195">
        <f t="shared" si="13"/>
        <v>11.12277341822211</v>
      </c>
      <c r="J110" s="195">
        <f t="shared" si="14"/>
        <v>15.164711896615936</v>
      </c>
      <c r="K110" s="195">
        <f t="shared" si="15"/>
        <v>409.63410455018715</v>
      </c>
      <c r="L110" s="195">
        <f t="shared" si="16"/>
        <v>11.537362458272128</v>
      </c>
      <c r="M110" s="195">
        <f t="shared" si="17"/>
        <v>614.30227037087241</v>
      </c>
      <c r="O110" s="195">
        <f t="shared" si="18"/>
        <v>26.287485314838044</v>
      </c>
      <c r="P110" s="196">
        <f t="shared" si="19"/>
        <v>0.42312048052553092</v>
      </c>
      <c r="Q110" s="195">
        <f t="shared" si="20"/>
        <v>1035.4737373793316</v>
      </c>
      <c r="R110" s="196">
        <f t="shared" si="21"/>
        <v>1.1142110168309922E-2</v>
      </c>
      <c r="S110" s="464">
        <f t="shared" si="22"/>
        <v>1061.7612226941696</v>
      </c>
      <c r="T110" s="196">
        <f t="shared" si="28"/>
        <v>2.4758377639875352E-2</v>
      </c>
      <c r="W110" s="195">
        <f t="shared" si="30"/>
        <v>6.6267975972688333</v>
      </c>
      <c r="X110" s="195">
        <f t="shared" si="23"/>
        <v>21.920370585408534</v>
      </c>
      <c r="Y110" s="195">
        <f t="shared" si="31"/>
        <v>36.490218926501711</v>
      </c>
      <c r="Z110" s="195">
        <f t="shared" si="33"/>
        <v>65.037387109179079</v>
      </c>
      <c r="AA110" s="196">
        <f t="shared" si="34"/>
        <v>5.1878170006177379E-2</v>
      </c>
      <c r="AB110" s="196">
        <f t="shared" si="24"/>
        <v>5.0013955305442927E-2</v>
      </c>
      <c r="AC110" s="196">
        <f t="shared" si="32"/>
        <v>0.1018921253116203</v>
      </c>
      <c r="AD110" s="247">
        <f t="shared" si="29"/>
        <v>0.89810787468837971</v>
      </c>
      <c r="AF110" s="251">
        <f t="shared" si="25"/>
        <v>0.49085201778335147</v>
      </c>
      <c r="AG110" s="251">
        <f t="shared" si="26"/>
        <v>0.50914798221664859</v>
      </c>
    </row>
    <row r="111" spans="1:33" x14ac:dyDescent="0.25">
      <c r="A111" s="206">
        <v>2045</v>
      </c>
      <c r="B111" s="195">
        <f t="shared" si="27"/>
        <v>15.765150662864357</v>
      </c>
      <c r="C111" s="195">
        <f t="shared" si="9"/>
        <v>398.97457898118887</v>
      </c>
      <c r="D111" s="195">
        <f t="shared" si="10"/>
        <v>606.40010393973603</v>
      </c>
      <c r="E111" s="195">
        <f t="shared" si="11"/>
        <v>1021.1398335837893</v>
      </c>
      <c r="F111" s="221">
        <f t="shared" si="12"/>
        <v>1.5438777476278672E-2</v>
      </c>
      <c r="H111" s="206">
        <v>2045</v>
      </c>
      <c r="I111" s="195">
        <f t="shared" si="13"/>
        <v>11.041059048088751</v>
      </c>
      <c r="J111" s="195">
        <f t="shared" si="14"/>
        <v>15.633253363378529</v>
      </c>
      <c r="K111" s="195">
        <f t="shared" si="15"/>
        <v>422.75759604744883</v>
      </c>
      <c r="L111" s="195">
        <f t="shared" si="16"/>
        <v>11.819197071455392</v>
      </c>
      <c r="M111" s="195">
        <f t="shared" si="17"/>
        <v>629.97484965296633</v>
      </c>
      <c r="O111" s="195">
        <f t="shared" si="18"/>
        <v>26.67431241146728</v>
      </c>
      <c r="P111" s="196">
        <f t="shared" si="19"/>
        <v>0.4139210367552793</v>
      </c>
      <c r="Q111" s="195">
        <f t="shared" si="20"/>
        <v>1064.5516427718705</v>
      </c>
      <c r="R111" s="196">
        <f t="shared" si="21"/>
        <v>1.1102511702185408E-2</v>
      </c>
      <c r="S111" s="464">
        <f t="shared" si="22"/>
        <v>1091.2259551833379</v>
      </c>
      <c r="T111" s="196">
        <f t="shared" si="28"/>
        <v>2.444435296353055E-2</v>
      </c>
      <c r="W111" s="195">
        <f t="shared" si="30"/>
        <v>7.0951054566797858</v>
      </c>
      <c r="X111" s="195">
        <f t="shared" si="23"/>
        <v>23.783017066259958</v>
      </c>
      <c r="Y111" s="195">
        <f t="shared" si="31"/>
        <v>39.207999076608871</v>
      </c>
      <c r="Z111" s="195">
        <f t="shared" si="33"/>
        <v>70.086121599548619</v>
      </c>
      <c r="AA111" s="196">
        <f t="shared" si="34"/>
        <v>5.2339998920631202E-2</v>
      </c>
      <c r="AB111" s="196">
        <f t="shared" si="24"/>
        <v>4.8894101279963728E-2</v>
      </c>
      <c r="AC111" s="196">
        <f t="shared" si="32"/>
        <v>0.10123410020059494</v>
      </c>
      <c r="AD111" s="247">
        <f t="shared" si="29"/>
        <v>0.89876589979940502</v>
      </c>
      <c r="AF111" s="251">
        <f t="shared" si="25"/>
        <v>0.48298054887711034</v>
      </c>
      <c r="AG111" s="251">
        <f t="shared" si="26"/>
        <v>0.51701945112288961</v>
      </c>
    </row>
    <row r="112" spans="1:33" x14ac:dyDescent="0.25">
      <c r="A112" s="206">
        <v>2046</v>
      </c>
      <c r="B112" s="195">
        <f t="shared" si="27"/>
        <v>15.564144004961122</v>
      </c>
      <c r="C112" s="195">
        <f t="shared" si="9"/>
        <v>410.39868404214724</v>
      </c>
      <c r="D112" s="195">
        <f t="shared" si="10"/>
        <v>620.09430083270854</v>
      </c>
      <c r="E112" s="195">
        <f t="shared" si="11"/>
        <v>1046.0571288798169</v>
      </c>
      <c r="F112" s="221">
        <f t="shared" si="12"/>
        <v>1.4878866149144432E-2</v>
      </c>
      <c r="H112" s="206">
        <v>2046</v>
      </c>
      <c r="I112" s="195">
        <f t="shared" si="13"/>
        <v>10.997773971860154</v>
      </c>
      <c r="J112" s="195">
        <f t="shared" si="14"/>
        <v>16.116584127420758</v>
      </c>
      <c r="K112" s="195">
        <f t="shared" si="15"/>
        <v>436.16164931668834</v>
      </c>
      <c r="L112" s="195">
        <f t="shared" si="16"/>
        <v>12.163731607230318</v>
      </c>
      <c r="M112" s="195">
        <f t="shared" si="17"/>
        <v>646.03652617705768</v>
      </c>
      <c r="O112" s="195">
        <f t="shared" si="18"/>
        <v>27.114358099280913</v>
      </c>
      <c r="P112" s="196">
        <f t="shared" si="19"/>
        <v>0.40560701940983146</v>
      </c>
      <c r="Q112" s="195">
        <f t="shared" si="20"/>
        <v>1094.3619071009762</v>
      </c>
      <c r="R112" s="196">
        <f t="shared" si="21"/>
        <v>1.1114907717733616E-2</v>
      </c>
      <c r="S112" s="464">
        <f t="shared" si="22"/>
        <v>1121.4762652002571</v>
      </c>
      <c r="T112" s="196">
        <f t="shared" si="28"/>
        <v>2.4177380244814386E-2</v>
      </c>
      <c r="W112" s="195">
        <f t="shared" si="30"/>
        <v>7.5973615741293514</v>
      </c>
      <c r="X112" s="195">
        <f t="shared" si="23"/>
        <v>25.762965274541102</v>
      </c>
      <c r="Y112" s="195">
        <f t="shared" si="31"/>
        <v>42.058809471769905</v>
      </c>
      <c r="Z112" s="195">
        <f t="shared" si="33"/>
        <v>75.419136320440359</v>
      </c>
      <c r="AA112" s="196">
        <f t="shared" si="34"/>
        <v>5.2903119732061174E-2</v>
      </c>
      <c r="AB112" s="196">
        <f t="shared" si="24"/>
        <v>4.7832077524106391E-2</v>
      </c>
      <c r="AC112" s="196">
        <f t="shared" si="32"/>
        <v>0.10073519725616757</v>
      </c>
      <c r="AD112" s="247">
        <f t="shared" si="29"/>
        <v>0.89926480274383247</v>
      </c>
      <c r="AF112" s="251">
        <f t="shared" si="25"/>
        <v>0.4748298392911306</v>
      </c>
      <c r="AG112" s="251">
        <f t="shared" si="26"/>
        <v>0.52517016070886935</v>
      </c>
    </row>
    <row r="113" spans="1:53" x14ac:dyDescent="0.25">
      <c r="A113" s="206">
        <v>2047</v>
      </c>
      <c r="B113" s="195">
        <f t="shared" si="27"/>
        <v>15.432778010748507</v>
      </c>
      <c r="C113" s="195">
        <f t="shared" si="9"/>
        <v>421.99026934853737</v>
      </c>
      <c r="D113" s="195">
        <f t="shared" si="10"/>
        <v>634.06490175445185</v>
      </c>
      <c r="E113" s="195">
        <f t="shared" si="11"/>
        <v>1071.4879491137376</v>
      </c>
      <c r="F113" s="221">
        <f t="shared" si="12"/>
        <v>1.4403127933929128E-2</v>
      </c>
      <c r="H113" s="206">
        <v>2047</v>
      </c>
      <c r="I113" s="195">
        <f t="shared" si="13"/>
        <v>10.995141663830665</v>
      </c>
      <c r="J113" s="195">
        <f t="shared" si="14"/>
        <v>16.615278444286119</v>
      </c>
      <c r="K113" s="195">
        <f t="shared" si="15"/>
        <v>449.85774559108182</v>
      </c>
      <c r="L113" s="195">
        <f t="shared" si="16"/>
        <v>12.574547955274909</v>
      </c>
      <c r="M113" s="195">
        <f t="shared" si="17"/>
        <v>662.50225582199744</v>
      </c>
      <c r="O113" s="195">
        <f t="shared" si="18"/>
        <v>27.610420108116784</v>
      </c>
      <c r="P113" s="196">
        <f t="shared" si="19"/>
        <v>0.39822435228351938</v>
      </c>
      <c r="Q113" s="195">
        <f t="shared" si="20"/>
        <v>1124.9345493683541</v>
      </c>
      <c r="R113" s="196">
        <f t="shared" si="21"/>
        <v>1.1178026279249281E-2</v>
      </c>
      <c r="S113" s="464">
        <f t="shared" si="22"/>
        <v>1152.5449694764709</v>
      </c>
      <c r="T113" s="196">
        <f t="shared" si="28"/>
        <v>2.3956045828440405E-2</v>
      </c>
      <c r="W113" s="195">
        <f t="shared" si="30"/>
        <v>8.1369116083570674</v>
      </c>
      <c r="X113" s="195">
        <f t="shared" si="23"/>
        <v>27.867476242544456</v>
      </c>
      <c r="Y113" s="195">
        <f t="shared" si="31"/>
        <v>45.052632511831689</v>
      </c>
      <c r="Z113" s="195">
        <f t="shared" si="33"/>
        <v>81.057020362733212</v>
      </c>
      <c r="AA113" s="196">
        <f t="shared" si="34"/>
        <v>5.3555919624667513E-2</v>
      </c>
      <c r="AB113" s="196">
        <f t="shared" si="24"/>
        <v>4.6829112688932001E-2</v>
      </c>
      <c r="AC113" s="196">
        <f t="shared" si="32"/>
        <v>0.10038503231359952</v>
      </c>
      <c r="AD113" s="247">
        <f t="shared" si="29"/>
        <v>0.89961496768640048</v>
      </c>
      <c r="AF113" s="251">
        <f t="shared" si="25"/>
        <v>0.46649497051153405</v>
      </c>
      <c r="AG113" s="251">
        <f t="shared" si="26"/>
        <v>0.5335050294884659</v>
      </c>
    </row>
    <row r="114" spans="1:53" x14ac:dyDescent="0.25">
      <c r="A114" s="206">
        <v>2048</v>
      </c>
      <c r="B114" s="195">
        <f t="shared" si="27"/>
        <v>15.373512385459264</v>
      </c>
      <c r="C114" s="195">
        <f t="shared" si="9"/>
        <v>433.75355510124319</v>
      </c>
      <c r="D114" s="195">
        <f t="shared" si="10"/>
        <v>648.31745443951297</v>
      </c>
      <c r="E114" s="195">
        <f t="shared" si="11"/>
        <v>1097.4445219262154</v>
      </c>
      <c r="F114" s="221">
        <f t="shared" si="12"/>
        <v>1.4008464280705455E-2</v>
      </c>
      <c r="H114" s="206">
        <v>2048</v>
      </c>
      <c r="I114" s="195">
        <f t="shared" si="13"/>
        <v>11.035385880453335</v>
      </c>
      <c r="J114" s="195">
        <f t="shared" si="14"/>
        <v>17.129968256362307</v>
      </c>
      <c r="K114" s="195">
        <f t="shared" si="15"/>
        <v>463.85825461638399</v>
      </c>
      <c r="L114" s="195">
        <f t="shared" si="16"/>
        <v>13.057527626239732</v>
      </c>
      <c r="M114" s="195">
        <f t="shared" si="17"/>
        <v>679.3906982739926</v>
      </c>
      <c r="O114" s="195">
        <f t="shared" si="18"/>
        <v>28.165354136815644</v>
      </c>
      <c r="P114" s="196">
        <f t="shared" si="19"/>
        <v>0.39180710552574605</v>
      </c>
      <c r="Q114" s="195">
        <f t="shared" si="20"/>
        <v>1156.3064805166164</v>
      </c>
      <c r="R114" s="196">
        <f t="shared" si="21"/>
        <v>1.1292445252409094E-2</v>
      </c>
      <c r="S114" s="464">
        <f t="shared" si="22"/>
        <v>1184.4718346534321</v>
      </c>
      <c r="T114" s="196">
        <f t="shared" si="28"/>
        <v>2.3778829781171303E-2</v>
      </c>
      <c r="W114" s="195">
        <f t="shared" si="30"/>
        <v>8.7194011212338012</v>
      </c>
      <c r="X114" s="195">
        <f t="shared" si="23"/>
        <v>30.104699515140794</v>
      </c>
      <c r="Y114" s="195">
        <f t="shared" si="31"/>
        <v>48.20321209084193</v>
      </c>
      <c r="Z114" s="195">
        <f t="shared" si="33"/>
        <v>87.027312727216525</v>
      </c>
      <c r="AA114" s="196">
        <f t="shared" si="34"/>
        <v>5.4300360837722536E-2</v>
      </c>
      <c r="AB114" s="196">
        <f t="shared" si="24"/>
        <v>4.5891186482190705E-2</v>
      </c>
      <c r="AC114" s="196">
        <f t="shared" si="32"/>
        <v>0.10019154731991323</v>
      </c>
      <c r="AD114" s="247">
        <f t="shared" si="29"/>
        <v>0.8998084526800868</v>
      </c>
      <c r="AF114" s="251">
        <f t="shared" si="25"/>
        <v>0.45803451198991274</v>
      </c>
      <c r="AG114" s="251">
        <f t="shared" si="26"/>
        <v>0.54196548801008737</v>
      </c>
    </row>
    <row r="115" spans="1:53" x14ac:dyDescent="0.25">
      <c r="A115" s="206">
        <v>2049</v>
      </c>
      <c r="B115" s="195">
        <f t="shared" si="27"/>
        <v>15.388806834326431</v>
      </c>
      <c r="C115" s="195">
        <f t="shared" si="9"/>
        <v>445.69276150114825</v>
      </c>
      <c r="D115" s="195">
        <f t="shared" si="10"/>
        <v>662.8575066224397</v>
      </c>
      <c r="E115" s="195">
        <f t="shared" si="11"/>
        <v>1123.9390749579143</v>
      </c>
      <c r="F115" s="221">
        <f t="shared" si="12"/>
        <v>1.3691851433230633E-2</v>
      </c>
      <c r="H115" s="206">
        <v>2049</v>
      </c>
      <c r="I115" s="195">
        <f t="shared" si="13"/>
        <v>11.120754363176761</v>
      </c>
      <c r="J115" s="195">
        <f t="shared" si="14"/>
        <v>17.661295991851759</v>
      </c>
      <c r="K115" s="195">
        <f t="shared" si="15"/>
        <v>478.17559473564074</v>
      </c>
      <c r="L115" s="195">
        <f t="shared" si="16"/>
        <v>13.61947904404991</v>
      </c>
      <c r="M115" s="195">
        <f t="shared" si="17"/>
        <v>696.72300069530456</v>
      </c>
      <c r="O115" s="195">
        <f t="shared" si="18"/>
        <v>28.78205035502852</v>
      </c>
      <c r="P115" s="196">
        <f t="shared" si="19"/>
        <v>0.38637811504050307</v>
      </c>
      <c r="Q115" s="195">
        <f t="shared" si="20"/>
        <v>1188.5180744749953</v>
      </c>
      <c r="R115" s="196">
        <f t="shared" si="21"/>
        <v>1.1459210706632333E-2</v>
      </c>
      <c r="S115" s="464">
        <f t="shared" si="22"/>
        <v>1217.3001248300238</v>
      </c>
      <c r="T115" s="196">
        <f t="shared" si="28"/>
        <v>2.3644169394172587E-2</v>
      </c>
      <c r="W115" s="195">
        <f t="shared" si="30"/>
        <v>9.351426572900241</v>
      </c>
      <c r="X115" s="195">
        <f t="shared" si="23"/>
        <v>32.482833234492489</v>
      </c>
      <c r="Y115" s="195">
        <f t="shared" si="31"/>
        <v>51.526790064716579</v>
      </c>
      <c r="Z115" s="195">
        <f t="shared" si="33"/>
        <v>93.361049872109305</v>
      </c>
      <c r="AA115" s="196">
        <f t="shared" si="34"/>
        <v>5.5140264434772081E-2</v>
      </c>
      <c r="AB115" s="196">
        <f t="shared" si="24"/>
        <v>4.5023846676984898E-2</v>
      </c>
      <c r="AC115" s="196">
        <f t="shared" si="32"/>
        <v>0.10016411111175698</v>
      </c>
      <c r="AD115" s="247">
        <f t="shared" si="29"/>
        <v>0.89983588888824306</v>
      </c>
      <c r="AF115" s="251">
        <f t="shared" si="25"/>
        <v>0.44950078603253463</v>
      </c>
      <c r="AG115" s="251">
        <f t="shared" si="26"/>
        <v>0.55049921396746537</v>
      </c>
    </row>
    <row r="116" spans="1:53" ht="13.8" thickBot="1" x14ac:dyDescent="0.3">
      <c r="A116" s="208">
        <v>2050</v>
      </c>
      <c r="B116" s="195">
        <f t="shared" si="27"/>
        <v>15.481121062582815</v>
      </c>
      <c r="C116" s="195">
        <f t="shared" si="9"/>
        <v>457.81210874913648</v>
      </c>
      <c r="D116" s="195">
        <f t="shared" si="10"/>
        <v>677.69060603777939</v>
      </c>
      <c r="E116" s="195">
        <f t="shared" si="11"/>
        <v>1150.9838358494987</v>
      </c>
      <c r="F116" s="222">
        <f t="shared" si="12"/>
        <v>1.3450337511609596E-2</v>
      </c>
      <c r="H116" s="208">
        <v>2050</v>
      </c>
      <c r="I116" s="195">
        <f t="shared" si="13"/>
        <v>11.253592238913631</v>
      </c>
      <c r="J116" s="195">
        <f t="shared" si="14"/>
        <v>18.209923502537841</v>
      </c>
      <c r="K116" s="195">
        <f t="shared" si="15"/>
        <v>492.82253054289754</v>
      </c>
      <c r="L116" s="195">
        <f t="shared" si="16"/>
        <v>14.266373681082769</v>
      </c>
      <c r="M116" s="195">
        <f t="shared" si="17"/>
        <v>714.51978800919937</v>
      </c>
      <c r="O116" s="195">
        <f t="shared" si="18"/>
        <v>29.463515741451474</v>
      </c>
      <c r="P116" s="210">
        <f t="shared" si="19"/>
        <v>0.38195008150643872</v>
      </c>
      <c r="Q116" s="195">
        <f t="shared" si="20"/>
        <v>1221.6086922331797</v>
      </c>
      <c r="R116" s="210">
        <f t="shared" si="21"/>
        <v>1.1678349844583141E-2</v>
      </c>
      <c r="S116" s="464">
        <f t="shared" si="22"/>
        <v>1251.0722079746311</v>
      </c>
      <c r="T116" s="196">
        <f t="shared" si="28"/>
        <v>2.3550611670248956E-2</v>
      </c>
      <c r="W116" s="195">
        <f t="shared" si="30"/>
        <v>10.038844857413586</v>
      </c>
      <c r="X116" s="195">
        <f t="shared" si="23"/>
        <v>35.010421793761054</v>
      </c>
      <c r="Y116" s="195">
        <f t="shared" si="31"/>
        <v>55.039105473957875</v>
      </c>
      <c r="Z116" s="195">
        <f t="shared" si="33"/>
        <v>100.08837212513251</v>
      </c>
      <c r="AA116" s="196">
        <f t="shared" si="34"/>
        <v>5.6070395841269043E-2</v>
      </c>
      <c r="AB116" s="196">
        <f t="shared" si="24"/>
        <v>4.4229415657941057E-2</v>
      </c>
      <c r="AC116" s="196">
        <f t="shared" si="32"/>
        <v>0.10029981149921011</v>
      </c>
      <c r="AD116" s="247">
        <f t="shared" si="29"/>
        <v>0.89970018850078992</v>
      </c>
      <c r="AF116" s="251">
        <f t="shared" si="25"/>
        <v>0.44097207160044744</v>
      </c>
      <c r="AG116" s="251">
        <f t="shared" si="26"/>
        <v>0.55902792839955251</v>
      </c>
    </row>
    <row r="117" spans="1:53" x14ac:dyDescent="0.25">
      <c r="A117" s="213">
        <v>2051</v>
      </c>
      <c r="B117" s="195">
        <f t="shared" si="27"/>
        <v>15.652914775461227</v>
      </c>
      <c r="C117" s="195">
        <f t="shared" si="9"/>
        <v>470.11581704609148</v>
      </c>
      <c r="D117" s="195">
        <f t="shared" si="10"/>
        <v>692.8223004200795</v>
      </c>
      <c r="E117" s="195">
        <f t="shared" si="11"/>
        <v>1178.5910322416321</v>
      </c>
      <c r="F117" s="214">
        <f t="shared" si="12"/>
        <v>1.328104011252319E-2</v>
      </c>
      <c r="H117" s="213">
        <v>2051</v>
      </c>
      <c r="I117" s="195">
        <f t="shared" si="13"/>
        <v>11.436363420459763</v>
      </c>
      <c r="J117" s="195">
        <f t="shared" si="14"/>
        <v>18.776495437042072</v>
      </c>
      <c r="K117" s="195">
        <f t="shared" si="15"/>
        <v>507.81267091990657</v>
      </c>
      <c r="L117" s="195">
        <f t="shared" si="16"/>
        <v>15.002409869623705</v>
      </c>
      <c r="M117" s="195">
        <f t="shared" si="17"/>
        <v>732.79865980896614</v>
      </c>
      <c r="O117" s="195">
        <f t="shared" si="18"/>
        <v>30.212858857501836</v>
      </c>
      <c r="P117" s="214">
        <f t="shared" si="19"/>
        <v>0.37852635774717891</v>
      </c>
      <c r="Q117" s="195">
        <f t="shared" si="20"/>
        <v>1255.6137405984964</v>
      </c>
      <c r="R117" s="214">
        <f t="shared" si="21"/>
        <v>1.1948268312572551E-2</v>
      </c>
      <c r="S117" s="464">
        <f t="shared" si="22"/>
        <v>1285.8265994559983</v>
      </c>
      <c r="T117" s="196">
        <f t="shared" si="28"/>
        <v>2.3496837653136243E-2</v>
      </c>
      <c r="W117" s="195">
        <f t="shared" si="30"/>
        <v>10.785858514622241</v>
      </c>
      <c r="X117" s="195">
        <f t="shared" si="23"/>
        <v>37.696853873815087</v>
      </c>
      <c r="Y117" s="195">
        <f t="shared" si="31"/>
        <v>58.752854825928694</v>
      </c>
      <c r="Z117" s="195">
        <f t="shared" si="33"/>
        <v>107.23556721436603</v>
      </c>
      <c r="AA117" s="196">
        <f t="shared" si="34"/>
        <v>5.7073642591259292E-2</v>
      </c>
      <c r="AB117" s="196">
        <f t="shared" si="24"/>
        <v>4.350733809270628E-2</v>
      </c>
      <c r="AC117" s="196">
        <f t="shared" si="32"/>
        <v>0.10058098068396557</v>
      </c>
      <c r="AD117" s="247">
        <f t="shared" si="29"/>
        <v>0.89941901931603441</v>
      </c>
      <c r="AF117" s="251">
        <f t="shared" si="25"/>
        <v>0.43256028920030343</v>
      </c>
      <c r="AG117" s="251">
        <f t="shared" si="26"/>
        <v>0.56743971079969657</v>
      </c>
    </row>
    <row r="118" spans="1:53" x14ac:dyDescent="0.25">
      <c r="A118" s="194">
        <v>2052</v>
      </c>
      <c r="B118" s="195">
        <f t="shared" si="27"/>
        <v>15.906647678194759</v>
      </c>
      <c r="C118" s="195">
        <f t="shared" si="9"/>
        <v>482.60810659289706</v>
      </c>
      <c r="D118" s="195">
        <f t="shared" si="10"/>
        <v>708.2581375038875</v>
      </c>
      <c r="E118" s="195">
        <f t="shared" si="11"/>
        <v>1206.7728917749794</v>
      </c>
      <c r="F118" s="196">
        <f t="shared" si="12"/>
        <v>1.3181144345062722E-2</v>
      </c>
      <c r="H118" s="194">
        <v>2052</v>
      </c>
      <c r="I118" s="195">
        <f t="shared" si="13"/>
        <v>11.671706477901743</v>
      </c>
      <c r="J118" s="195">
        <f t="shared" si="14"/>
        <v>19.361658995792663</v>
      </c>
      <c r="K118" s="195">
        <f t="shared" si="15"/>
        <v>523.15970147310543</v>
      </c>
      <c r="L118" s="195">
        <f t="shared" si="16"/>
        <v>15.830058774016607</v>
      </c>
      <c r="M118" s="195">
        <f t="shared" si="17"/>
        <v>751.57646252716336</v>
      </c>
      <c r="O118" s="195">
        <f t="shared" si="18"/>
        <v>31.033365473694406</v>
      </c>
      <c r="P118" s="196">
        <f t="shared" si="19"/>
        <v>0.37610186003820067</v>
      </c>
      <c r="Q118" s="195">
        <f t="shared" si="20"/>
        <v>1290.5662227742855</v>
      </c>
      <c r="R118" s="196">
        <f t="shared" si="21"/>
        <v>1.2265979455116436E-2</v>
      </c>
      <c r="S118" s="464">
        <f t="shared" si="22"/>
        <v>1321.5995882479799</v>
      </c>
      <c r="T118" s="196">
        <f t="shared" si="28"/>
        <v>2.3481670053207844E-2</v>
      </c>
      <c r="W118" s="195">
        <f t="shared" si="30"/>
        <v>11.595117573723591</v>
      </c>
      <c r="X118" s="195">
        <f t="shared" si="23"/>
        <v>40.55159488020837</v>
      </c>
      <c r="Y118" s="195">
        <f t="shared" si="31"/>
        <v>62.67998401906857</v>
      </c>
      <c r="Z118" s="195">
        <f t="shared" si="33"/>
        <v>114.82669647300054</v>
      </c>
      <c r="AA118" s="196">
        <f t="shared" si="34"/>
        <v>5.812383253402606E-2</v>
      </c>
      <c r="AB118" s="196">
        <f t="shared" si="24"/>
        <v>4.2855451290010255E-2</v>
      </c>
      <c r="AC118" s="196">
        <f t="shared" si="32"/>
        <v>0.10097928382403631</v>
      </c>
      <c r="AD118" s="247">
        <f t="shared" si="29"/>
        <v>0.89902071617596357</v>
      </c>
      <c r="AF118" s="251">
        <f t="shared" si="25"/>
        <v>0.42439844755374745</v>
      </c>
      <c r="AG118" s="251">
        <f t="shared" si="26"/>
        <v>0.57560155244625255</v>
      </c>
    </row>
    <row r="119" spans="1:53" x14ac:dyDescent="0.25">
      <c r="A119" s="194">
        <v>2053</v>
      </c>
      <c r="B119" s="195">
        <f t="shared" si="27"/>
        <v>16.244779476016163</v>
      </c>
      <c r="C119" s="195">
        <f t="shared" si="9"/>
        <v>495.29319759043699</v>
      </c>
      <c r="D119" s="195">
        <f t="shared" si="10"/>
        <v>724.00366502375084</v>
      </c>
      <c r="E119" s="195">
        <f t="shared" si="11"/>
        <v>1235.5416420902038</v>
      </c>
      <c r="F119" s="196">
        <f t="shared" si="12"/>
        <v>1.3147901230212176E-2</v>
      </c>
      <c r="H119" s="194">
        <v>2053</v>
      </c>
      <c r="I119" s="195">
        <f t="shared" si="13"/>
        <v>11.962420584024272</v>
      </c>
      <c r="J119" s="195">
        <f t="shared" si="14"/>
        <v>19.96604826224554</v>
      </c>
      <c r="K119" s="195">
        <f t="shared" si="15"/>
        <v>538.87656451826365</v>
      </c>
      <c r="L119" s="195">
        <f t="shared" si="16"/>
        <v>16.751469484379754</v>
      </c>
      <c r="M119" s="195">
        <f t="shared" si="17"/>
        <v>770.8735284010022</v>
      </c>
      <c r="O119" s="195">
        <f t="shared" si="18"/>
        <v>31.928468846269812</v>
      </c>
      <c r="P119" s="196">
        <f t="shared" si="19"/>
        <v>0.37466314597237055</v>
      </c>
      <c r="Q119" s="195">
        <f t="shared" si="20"/>
        <v>1326.5015624036455</v>
      </c>
      <c r="R119" s="196">
        <f t="shared" si="21"/>
        <v>1.2628307390777423E-2</v>
      </c>
      <c r="S119" s="464">
        <f t="shared" si="22"/>
        <v>1358.4300312499154</v>
      </c>
      <c r="T119" s="196">
        <f t="shared" si="28"/>
        <v>2.3503948022182537E-2</v>
      </c>
      <c r="W119" s="195">
        <f t="shared" si="30"/>
        <v>12.469110592387864</v>
      </c>
      <c r="X119" s="195">
        <f t="shared" si="23"/>
        <v>43.58336692782666</v>
      </c>
      <c r="Y119" s="195">
        <f t="shared" si="31"/>
        <v>66.835911639496885</v>
      </c>
      <c r="Z119" s="195">
        <f t="shared" si="33"/>
        <v>122.88838915971141</v>
      </c>
      <c r="AA119" s="196">
        <f t="shared" si="34"/>
        <v>5.9195065108169187E-2</v>
      </c>
      <c r="AB119" s="196">
        <f t="shared" si="24"/>
        <v>4.2271889399489247E-2</v>
      </c>
      <c r="AC119" s="196">
        <f t="shared" si="32"/>
        <v>0.10146695450765844</v>
      </c>
      <c r="AD119" s="247">
        <f t="shared" si="29"/>
        <v>0.89853304549234159</v>
      </c>
      <c r="AF119" s="251">
        <f t="shared" si="25"/>
        <v>0.41660745219566714</v>
      </c>
      <c r="AG119" s="251">
        <f t="shared" si="26"/>
        <v>0.58339254780433281</v>
      </c>
    </row>
    <row r="120" spans="1:53" x14ac:dyDescent="0.25">
      <c r="A120" s="194">
        <v>2054</v>
      </c>
      <c r="B120" s="195">
        <f t="shared" si="27"/>
        <v>16.669769874158305</v>
      </c>
      <c r="C120" s="195">
        <f t="shared" si="9"/>
        <v>508.17531023959498</v>
      </c>
      <c r="D120" s="195">
        <f t="shared" si="10"/>
        <v>740.06443071421688</v>
      </c>
      <c r="E120" s="195">
        <f t="shared" si="11"/>
        <v>1264.9095108279703</v>
      </c>
      <c r="F120" s="196">
        <f t="shared" si="12"/>
        <v>1.3178626400908942E-2</v>
      </c>
      <c r="H120" s="194">
        <v>2054</v>
      </c>
      <c r="I120" s="195">
        <f t="shared" si="13"/>
        <v>12.311478238855214</v>
      </c>
      <c r="J120" s="195">
        <f t="shared" si="14"/>
        <v>20.590280100380049</v>
      </c>
      <c r="K120" s="195">
        <f t="shared" si="15"/>
        <v>554.97588709763158</v>
      </c>
      <c r="L120" s="195">
        <f t="shared" si="16"/>
        <v>17.767819498975314</v>
      </c>
      <c r="M120" s="195">
        <f t="shared" si="17"/>
        <v>790.71076135897829</v>
      </c>
      <c r="O120" s="195">
        <f t="shared" si="18"/>
        <v>32.901758339235265</v>
      </c>
      <c r="P120" s="196">
        <f t="shared" si="19"/>
        <v>0.37418906649052269</v>
      </c>
      <c r="Q120" s="195">
        <f t="shared" si="20"/>
        <v>1363.4544679555852</v>
      </c>
      <c r="R120" s="196">
        <f t="shared" si="21"/>
        <v>1.303147256953659E-2</v>
      </c>
      <c r="S120" s="464">
        <f t="shared" si="22"/>
        <v>1396.3562262948205</v>
      </c>
      <c r="T120" s="196">
        <f t="shared" si="28"/>
        <v>2.3562582183300648E-2</v>
      </c>
      <c r="W120" s="195">
        <f t="shared" si="30"/>
        <v>13.409527863672224</v>
      </c>
      <c r="X120" s="195">
        <f t="shared" si="23"/>
        <v>46.800576858036607</v>
      </c>
      <c r="Y120" s="195">
        <f t="shared" si="31"/>
        <v>71.236610745141434</v>
      </c>
      <c r="Z120" s="195">
        <f t="shared" si="33"/>
        <v>131.44671546685026</v>
      </c>
      <c r="AA120" s="196">
        <f t="shared" si="34"/>
        <v>6.0260147377609916E-2</v>
      </c>
      <c r="AB120" s="196">
        <f t="shared" si="24"/>
        <v>4.1754785563441706E-2</v>
      </c>
      <c r="AC120" s="196">
        <f t="shared" si="32"/>
        <v>0.10201493294105163</v>
      </c>
      <c r="AD120" s="247">
        <f t="shared" si="29"/>
        <v>0.89798506705894832</v>
      </c>
      <c r="AF120" s="251">
        <f t="shared" si="25"/>
        <v>0.40930072058734107</v>
      </c>
      <c r="AG120" s="251">
        <f t="shared" si="26"/>
        <v>0.59069927941265887</v>
      </c>
    </row>
    <row r="121" spans="1:53" x14ac:dyDescent="0.25">
      <c r="A121" s="194">
        <v>2055</v>
      </c>
      <c r="B121" s="195">
        <f t="shared" si="27"/>
        <v>17.184078577854052</v>
      </c>
      <c r="C121" s="195">
        <f t="shared" si="9"/>
        <v>521.25866474125473</v>
      </c>
      <c r="D121" s="195">
        <f t="shared" si="10"/>
        <v>756.4459823098332</v>
      </c>
      <c r="E121" s="195">
        <f t="shared" si="11"/>
        <v>1294.888725628942</v>
      </c>
      <c r="F121" s="196">
        <f t="shared" si="12"/>
        <v>1.3270699047524375E-2</v>
      </c>
      <c r="H121" s="194">
        <v>2055</v>
      </c>
      <c r="I121" s="195">
        <f t="shared" si="13"/>
        <v>12.721955727074933</v>
      </c>
      <c r="J121" s="195">
        <f t="shared" si="14"/>
        <v>21.23498750380848</v>
      </c>
      <c r="K121" s="195">
        <f t="shared" si="15"/>
        <v>571.47063972900185</v>
      </c>
      <c r="L121" s="195">
        <f t="shared" si="16"/>
        <v>18.880062160450166</v>
      </c>
      <c r="M121" s="195">
        <f t="shared" si="17"/>
        <v>811.10859138856893</v>
      </c>
      <c r="O121" s="195">
        <f t="shared" si="18"/>
        <v>33.956943230883411</v>
      </c>
      <c r="P121" s="196">
        <f t="shared" si="19"/>
        <v>0.37464961556093407</v>
      </c>
      <c r="Q121" s="195">
        <f t="shared" si="20"/>
        <v>1401.4592932780211</v>
      </c>
      <c r="R121" s="196">
        <f t="shared" si="21"/>
        <v>1.3471716410891675E-2</v>
      </c>
      <c r="S121" s="464">
        <f t="shared" si="22"/>
        <v>1435.4162365089044</v>
      </c>
      <c r="T121" s="196">
        <f t="shared" si="28"/>
        <v>2.3656513258809558E-2</v>
      </c>
      <c r="W121" s="195">
        <f t="shared" si="30"/>
        <v>14.417939309671048</v>
      </c>
      <c r="X121" s="195">
        <f t="shared" si="23"/>
        <v>50.211974987747112</v>
      </c>
      <c r="Y121" s="195">
        <f t="shared" si="31"/>
        <v>75.897596582544224</v>
      </c>
      <c r="Z121" s="195">
        <f t="shared" si="33"/>
        <v>140.52751087996239</v>
      </c>
      <c r="AA121" s="196">
        <f t="shared" si="34"/>
        <v>6.1295761462565858E-2</v>
      </c>
      <c r="AB121" s="196">
        <f t="shared" si="24"/>
        <v>4.1302934119445481E-2</v>
      </c>
      <c r="AC121" s="196">
        <f t="shared" si="32"/>
        <v>0.10259869558201135</v>
      </c>
      <c r="AD121" s="247">
        <f t="shared" si="29"/>
        <v>0.8974013044179886</v>
      </c>
      <c r="AF121" s="251">
        <f t="shared" si="25"/>
        <v>0.40256782881250525</v>
      </c>
      <c r="AG121" s="251">
        <f t="shared" si="26"/>
        <v>0.5974321711874947</v>
      </c>
    </row>
    <row r="122" spans="1:53" x14ac:dyDescent="0.25">
      <c r="A122" s="194">
        <v>2056</v>
      </c>
      <c r="B122" s="195">
        <f t="shared" si="27"/>
        <v>17.790165292336383</v>
      </c>
      <c r="C122" s="195">
        <f t="shared" si="9"/>
        <v>534.54748129630002</v>
      </c>
      <c r="D122" s="195">
        <f t="shared" si="10"/>
        <v>773.15386754514736</v>
      </c>
      <c r="E122" s="195">
        <f t="shared" si="11"/>
        <v>1325.4915141337838</v>
      </c>
      <c r="F122" s="196">
        <f t="shared" si="12"/>
        <v>1.3421561060662359E-2</v>
      </c>
      <c r="H122" s="194">
        <v>2056</v>
      </c>
      <c r="I122" s="195">
        <f t="shared" si="13"/>
        <v>13.196964731928654</v>
      </c>
      <c r="J122" s="195">
        <f t="shared" si="14"/>
        <v>21.900846765115318</v>
      </c>
      <c r="K122" s="195">
        <f t="shared" si="15"/>
        <v>588.37512304031645</v>
      </c>
      <c r="L122" s="195">
        <f t="shared" si="16"/>
        <v>20.090548170615193</v>
      </c>
      <c r="M122" s="195">
        <f t="shared" si="17"/>
        <v>832.08654767840574</v>
      </c>
      <c r="O122" s="195">
        <f t="shared" si="18"/>
        <v>35.097811497043971</v>
      </c>
      <c r="P122" s="196">
        <f t="shared" si="19"/>
        <v>0.37600534532018148</v>
      </c>
      <c r="Q122" s="195">
        <f t="shared" si="20"/>
        <v>1440.5522188893374</v>
      </c>
      <c r="R122" s="196">
        <f t="shared" si="21"/>
        <v>1.3946421314810067E-2</v>
      </c>
      <c r="S122" s="464">
        <f t="shared" si="22"/>
        <v>1475.6500303863813</v>
      </c>
      <c r="T122" s="196">
        <f t="shared" si="28"/>
        <v>2.3784644579890008E-2</v>
      </c>
      <c r="W122" s="195">
        <f t="shared" si="30"/>
        <v>15.497347610207463</v>
      </c>
      <c r="X122" s="195">
        <f t="shared" si="23"/>
        <v>53.827641744016432</v>
      </c>
      <c r="Y122" s="195">
        <f t="shared" si="31"/>
        <v>80.833526898373634</v>
      </c>
      <c r="Z122" s="195">
        <f t="shared" si="33"/>
        <v>150.15851625259754</v>
      </c>
      <c r="AA122" s="196">
        <f t="shared" si="34"/>
        <v>6.2289930322848026E-2</v>
      </c>
      <c r="AB122" s="196">
        <f t="shared" si="24"/>
        <v>4.0916654271646334E-2</v>
      </c>
      <c r="AC122" s="196">
        <f t="shared" si="32"/>
        <v>0.10320658459449435</v>
      </c>
      <c r="AD122" s="247">
        <f t="shared" si="29"/>
        <v>0.89679341540550561</v>
      </c>
      <c r="AF122" s="251">
        <f t="shared" si="25"/>
        <v>0.39645391262980589</v>
      </c>
      <c r="AG122" s="251">
        <f t="shared" si="26"/>
        <v>0.60354608737019411</v>
      </c>
    </row>
    <row r="123" spans="1:53" x14ac:dyDescent="0.25">
      <c r="A123" s="194">
        <v>2057</v>
      </c>
      <c r="B123" s="195">
        <f t="shared" si="27"/>
        <v>18.49048972283822</v>
      </c>
      <c r="C123" s="195">
        <f t="shared" si="9"/>
        <v>548.04598010561472</v>
      </c>
      <c r="D123" s="195">
        <f t="shared" si="10"/>
        <v>790.19363415470639</v>
      </c>
      <c r="E123" s="195">
        <f t="shared" si="11"/>
        <v>1356.7301039831593</v>
      </c>
      <c r="F123" s="196">
        <f t="shared" si="12"/>
        <v>1.3628716329469562E-2</v>
      </c>
      <c r="H123" s="194">
        <v>2057</v>
      </c>
      <c r="I123" s="195">
        <f t="shared" si="13"/>
        <v>13.739724822776793</v>
      </c>
      <c r="J123" s="195">
        <f t="shared" si="14"/>
        <v>22.588531957638281</v>
      </c>
      <c r="K123" s="195">
        <f t="shared" si="15"/>
        <v>605.70393503474054</v>
      </c>
      <c r="L123" s="195">
        <f t="shared" si="16"/>
        <v>21.40051271306379</v>
      </c>
      <c r="M123" s="195">
        <f t="shared" si="17"/>
        <v>853.66218998794432</v>
      </c>
      <c r="O123" s="195">
        <f t="shared" si="18"/>
        <v>36.328256780415074</v>
      </c>
      <c r="P123" s="196">
        <f t="shared" si="19"/>
        <v>0.3782104081081043</v>
      </c>
      <c r="Q123" s="195">
        <f t="shared" si="20"/>
        <v>1480.7666377357486</v>
      </c>
      <c r="R123" s="196">
        <f t="shared" si="21"/>
        <v>1.4452319607759043E-2</v>
      </c>
      <c r="S123" s="464">
        <f t="shared" si="22"/>
        <v>1517.0948945161638</v>
      </c>
      <c r="T123" s="196">
        <f t="shared" si="28"/>
        <v>2.3945935690463837E-2</v>
      </c>
      <c r="W123" s="195">
        <f t="shared" si="30"/>
        <v>16.649747813002364</v>
      </c>
      <c r="X123" s="195">
        <f t="shared" si="23"/>
        <v>57.657954929125822</v>
      </c>
      <c r="Y123" s="195">
        <f t="shared" si="31"/>
        <v>86.057087790876267</v>
      </c>
      <c r="Z123" s="195">
        <f t="shared" si="33"/>
        <v>160.36479053300445</v>
      </c>
      <c r="AA123" s="196">
        <f t="shared" si="34"/>
        <v>6.3229263613353154E-2</v>
      </c>
      <c r="AB123" s="196">
        <f t="shared" si="24"/>
        <v>4.0594947160493125E-2</v>
      </c>
      <c r="AC123" s="196">
        <f t="shared" si="32"/>
        <v>0.10382421077384629</v>
      </c>
      <c r="AD123" s="247">
        <f t="shared" si="29"/>
        <v>0.89617578922615371</v>
      </c>
      <c r="AF123" s="251">
        <f t="shared" si="25"/>
        <v>0.3909969250709599</v>
      </c>
      <c r="AG123" s="251">
        <f t="shared" si="26"/>
        <v>0.60900307492904004</v>
      </c>
    </row>
    <row r="124" spans="1:53" x14ac:dyDescent="0.25">
      <c r="A124" s="194">
        <v>2058</v>
      </c>
      <c r="B124" s="195">
        <f t="shared" si="27"/>
        <v>19.287511574592145</v>
      </c>
      <c r="C124" s="195">
        <f t="shared" si="9"/>
        <v>561.75838137008247</v>
      </c>
      <c r="D124" s="195">
        <f t="shared" si="10"/>
        <v>807.5708298730583</v>
      </c>
      <c r="E124" s="195">
        <f t="shared" si="11"/>
        <v>1388.6167228177328</v>
      </c>
      <c r="F124" s="196">
        <f t="shared" si="12"/>
        <v>1.3889730159272889E-2</v>
      </c>
      <c r="H124" s="194">
        <v>2058</v>
      </c>
      <c r="I124" s="195">
        <f t="shared" si="13"/>
        <v>14.353654199894848</v>
      </c>
      <c r="J124" s="195">
        <f t="shared" si="14"/>
        <v>23.298647257053453</v>
      </c>
      <c r="K124" s="195">
        <f t="shared" si="15"/>
        <v>623.47050837666438</v>
      </c>
      <c r="L124" s="195">
        <f t="shared" si="16"/>
        <v>22.807939936772868</v>
      </c>
      <c r="M124" s="195">
        <f t="shared" si="17"/>
        <v>875.85029653842071</v>
      </c>
      <c r="O124" s="195">
        <f t="shared" si="18"/>
        <v>37.652301456948301</v>
      </c>
      <c r="P124" s="196">
        <f t="shared" si="19"/>
        <v>0.38121585253711088</v>
      </c>
      <c r="Q124" s="195">
        <f t="shared" si="20"/>
        <v>1522.1287448518578</v>
      </c>
      <c r="R124" s="196">
        <f t="shared" si="21"/>
        <v>1.4984238366113154E-2</v>
      </c>
      <c r="S124" s="464">
        <f t="shared" si="22"/>
        <v>1559.7810463088063</v>
      </c>
      <c r="T124" s="196">
        <f t="shared" si="28"/>
        <v>2.413947877239039E-2</v>
      </c>
      <c r="W124" s="195">
        <f t="shared" si="30"/>
        <v>17.874082562075571</v>
      </c>
      <c r="X124" s="195">
        <f t="shared" si="23"/>
        <v>61.712127006581909</v>
      </c>
      <c r="Y124" s="195">
        <f t="shared" si="31"/>
        <v>91.57811392241581</v>
      </c>
      <c r="Z124" s="195">
        <f t="shared" si="33"/>
        <v>171.16432349107328</v>
      </c>
      <c r="AA124" s="196">
        <f t="shared" si="34"/>
        <v>6.4091765719917093E-2</v>
      </c>
      <c r="AB124" s="196">
        <f t="shared" si="24"/>
        <v>4.033468365642013E-2</v>
      </c>
      <c r="AC124" s="196">
        <f t="shared" si="32"/>
        <v>0.10442644937633722</v>
      </c>
      <c r="AD124" s="247">
        <f t="shared" si="29"/>
        <v>0.89557355062366284</v>
      </c>
      <c r="AF124" s="251">
        <f t="shared" si="25"/>
        <v>0.3862496895883149</v>
      </c>
      <c r="AG124" s="251">
        <f t="shared" si="26"/>
        <v>0.61375031041168515</v>
      </c>
    </row>
    <row r="125" spans="1:53" x14ac:dyDescent="0.25">
      <c r="A125" s="194">
        <v>2059</v>
      </c>
      <c r="B125" s="195">
        <f t="shared" si="27"/>
        <v>20.183690552831308</v>
      </c>
      <c r="C125" s="195">
        <f t="shared" si="9"/>
        <v>575.68890529058706</v>
      </c>
      <c r="D125" s="195">
        <f t="shared" si="10"/>
        <v>825.29100243475</v>
      </c>
      <c r="E125" s="195">
        <f t="shared" si="11"/>
        <v>1421.1635982781684</v>
      </c>
      <c r="F125" s="196">
        <f t="shared" si="12"/>
        <v>1.4202228777380138E-2</v>
      </c>
      <c r="H125" s="194">
        <v>2059</v>
      </c>
      <c r="I125" s="195">
        <f t="shared" si="13"/>
        <v>15.042305104903448</v>
      </c>
      <c r="J125" s="195">
        <f t="shared" si="14"/>
        <v>24.031756763501264</v>
      </c>
      <c r="K125" s="195">
        <f t="shared" si="15"/>
        <v>641.6878201804335</v>
      </c>
      <c r="L125" s="195">
        <f t="shared" si="16"/>
        <v>24.309183371005133</v>
      </c>
      <c r="M125" s="195">
        <f t="shared" si="17"/>
        <v>898.66363357957221</v>
      </c>
      <c r="O125" s="195">
        <f t="shared" si="18"/>
        <v>39.074061868404712</v>
      </c>
      <c r="P125" s="196">
        <f t="shared" si="19"/>
        <v>0.38496906606647557</v>
      </c>
      <c r="Q125" s="195">
        <f t="shared" si="20"/>
        <v>1564.6606371310108</v>
      </c>
      <c r="R125" s="196">
        <f t="shared" si="21"/>
        <v>1.5536393511872887E-2</v>
      </c>
      <c r="S125" s="464">
        <f t="shared" si="22"/>
        <v>1603.7346989994155</v>
      </c>
      <c r="T125" s="196">
        <f t="shared" si="28"/>
        <v>2.4364417564066782E-2</v>
      </c>
      <c r="W125" s="195">
        <f t="shared" si="30"/>
        <v>19.167797923077273</v>
      </c>
      <c r="X125" s="195">
        <f t="shared" si="23"/>
        <v>65.998914889846446</v>
      </c>
      <c r="Y125" s="195">
        <f t="shared" si="31"/>
        <v>97.404387908323429</v>
      </c>
      <c r="Z125" s="195">
        <f t="shared" si="33"/>
        <v>182.57110072124715</v>
      </c>
      <c r="AA125" s="196">
        <f t="shared" si="34"/>
        <v>6.4855885551858783E-2</v>
      </c>
      <c r="AB125" s="196">
        <f t="shared" si="24"/>
        <v>4.0132241524961636E-2</v>
      </c>
      <c r="AC125" s="196">
        <f t="shared" si="32"/>
        <v>0.10498812707682041</v>
      </c>
      <c r="AD125" s="247">
        <f t="shared" si="29"/>
        <v>0.89501187292317963</v>
      </c>
      <c r="AF125" s="251">
        <f t="shared" si="25"/>
        <v>0.38225504771217267</v>
      </c>
      <c r="AG125" s="251">
        <f t="shared" si="26"/>
        <v>0.61774495228782733</v>
      </c>
    </row>
    <row r="126" spans="1:53" x14ac:dyDescent="0.25">
      <c r="A126" s="194">
        <v>2060</v>
      </c>
      <c r="B126" s="195">
        <f t="shared" si="27"/>
        <v>21.181486362788519</v>
      </c>
      <c r="C126" s="195">
        <f t="shared" si="9"/>
        <v>589.84177206801212</v>
      </c>
      <c r="D126" s="195">
        <f t="shared" si="10"/>
        <v>843.3596995743294</v>
      </c>
      <c r="E126" s="195">
        <f t="shared" si="11"/>
        <v>1454.3829580051301</v>
      </c>
      <c r="F126" s="196">
        <f t="shared" si="12"/>
        <v>1.4563898900356755E-2</v>
      </c>
      <c r="H126" s="194">
        <v>2060</v>
      </c>
      <c r="I126" s="195">
        <f t="shared" si="13"/>
        <v>15.809325795076962</v>
      </c>
      <c r="J126" s="195">
        <f t="shared" si="14"/>
        <v>24.788470010154985</v>
      </c>
      <c r="K126" s="195">
        <f t="shared" si="15"/>
        <v>660.3692313476032</v>
      </c>
      <c r="L126" s="195">
        <f t="shared" si="16"/>
        <v>25.901185546320676</v>
      </c>
      <c r="M126" s="195">
        <f t="shared" si="17"/>
        <v>922.11503532398842</v>
      </c>
      <c r="O126" s="195">
        <f t="shared" si="18"/>
        <v>40.597795805231947</v>
      </c>
      <c r="P126" s="196">
        <f t="shared" si="19"/>
        <v>0.38941340241529987</v>
      </c>
      <c r="Q126" s="195">
        <f t="shared" si="20"/>
        <v>1608.3854522179122</v>
      </c>
      <c r="R126" s="196">
        <f t="shared" si="21"/>
        <v>1.610384221680429E-2</v>
      </c>
      <c r="S126" s="464">
        <f t="shared" si="22"/>
        <v>1648.9832480231441</v>
      </c>
      <c r="T126" s="196">
        <f t="shared" si="28"/>
        <v>2.4619895838179029E-2</v>
      </c>
      <c r="W126" s="195">
        <f t="shared" si="30"/>
        <v>20.529024978609115</v>
      </c>
      <c r="X126" s="195">
        <f t="shared" si="23"/>
        <v>70.527459279591085</v>
      </c>
      <c r="Y126" s="195">
        <f t="shared" si="31"/>
        <v>103.54380575981406</v>
      </c>
      <c r="Z126" s="195">
        <f t="shared" si="33"/>
        <v>194.60029001801428</v>
      </c>
      <c r="AA126" s="196">
        <f t="shared" si="34"/>
        <v>6.5508698172895674E-2</v>
      </c>
      <c r="AB126" s="196">
        <f t="shared" si="24"/>
        <v>3.9984592596140338E-2</v>
      </c>
      <c r="AC126" s="196">
        <f t="shared" si="32"/>
        <v>0.105493290769036</v>
      </c>
      <c r="AD126" s="247">
        <f t="shared" si="29"/>
        <v>0.89450670923096387</v>
      </c>
      <c r="AF126" s="251">
        <f t="shared" si="25"/>
        <v>0.37902498163301646</v>
      </c>
      <c r="AG126" s="251">
        <f t="shared" si="26"/>
        <v>0.62097501836698366</v>
      </c>
      <c r="BA126" s="516"/>
    </row>
    <row r="127" spans="1:53" x14ac:dyDescent="0.25">
      <c r="BA127" s="516"/>
    </row>
    <row r="128" spans="1:53" x14ac:dyDescent="0.25">
      <c r="BA128" s="516"/>
    </row>
    <row r="129" spans="1:58" ht="92.25" customHeight="1" x14ac:dyDescent="0.25">
      <c r="BA129" s="516"/>
    </row>
    <row r="130" spans="1:58" ht="13.5" customHeight="1" thickBot="1" x14ac:dyDescent="0.3">
      <c r="BA130" s="516"/>
    </row>
    <row r="131" spans="1:58" s="485" customFormat="1" ht="44.25" customHeight="1" thickBot="1" x14ac:dyDescent="0.35">
      <c r="A131" s="491"/>
      <c r="B131" s="660" t="s">
        <v>602</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623</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516"/>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Paper_cluster</v>
      </c>
      <c r="AU132" s="607"/>
      <c r="AV132" s="608"/>
      <c r="AW132" s="445"/>
      <c r="AX132" s="606" t="str">
        <f ca="1">CONCATENATE("Table 11(b): EMISSIONS ALLOCATION TO Education in LLDC, ",A1)</f>
        <v>Table 11(b): EMISSIONS ALLOCATION TO Education in LLDC, Paper_cluster</v>
      </c>
      <c r="AY132" s="608"/>
      <c r="AZ132" s="446"/>
      <c r="BA132" s="606" t="str">
        <f ca="1">CONCATENATE("Table 11(c): EMISSIONS ALLOCATION TO Family Planning in LLDC, ",A1)</f>
        <v>Table 11(c): EMISSIONS ALLOCATION TO Family Planning in LLDC, Paper_cluster</v>
      </c>
      <c r="BB132" s="608"/>
      <c r="BC132" s="516"/>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514" t="s">
        <v>219</v>
      </c>
      <c r="K133" s="514" t="s">
        <v>220</v>
      </c>
      <c r="L133" s="514" t="s">
        <v>221</v>
      </c>
      <c r="M133" s="515" t="s">
        <v>222</v>
      </c>
      <c r="N133" s="515" t="s">
        <v>220</v>
      </c>
      <c r="O133" s="515" t="s">
        <v>248</v>
      </c>
      <c r="P133" s="515"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516"/>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514" t="s">
        <v>500</v>
      </c>
      <c r="K134" s="514" t="s">
        <v>500</v>
      </c>
      <c r="L134" s="514" t="s">
        <v>513</v>
      </c>
      <c r="M134" s="515" t="s">
        <v>500</v>
      </c>
      <c r="N134" s="515" t="s">
        <v>500</v>
      </c>
      <c r="O134" s="515" t="s">
        <v>249</v>
      </c>
      <c r="P134" s="515"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516"/>
      <c r="BE134" s="481" t="s">
        <v>227</v>
      </c>
      <c r="BF134" s="481" t="s">
        <v>228</v>
      </c>
    </row>
    <row r="135" spans="1:58" ht="15.6" x14ac:dyDescent="0.3">
      <c r="A135" s="152">
        <v>2014</v>
      </c>
      <c r="B135" s="178"/>
      <c r="C135" s="182"/>
      <c r="D135" s="183"/>
      <c r="E135" s="179">
        <f>IFERROR(IF($G$19="Y",$F$19,$AA80)*(SUMIF($H$5:$H$16,"Y",$F$5:$F$16)*(Z29-B29)),0)</f>
        <v>0</v>
      </c>
      <c r="F135" s="183" t="str">
        <f>IFERROR(E135-E134,"")</f>
        <v/>
      </c>
      <c r="G135" s="247">
        <f t="shared" ref="G135:G181" si="35">IFERROR(E135/((Z29+N29)-B29),"")</f>
        <v>0</v>
      </c>
      <c r="H135" s="245" t="s">
        <v>264</v>
      </c>
      <c r="I135" s="416"/>
      <c r="J135" s="178"/>
      <c r="K135" s="182"/>
      <c r="L135" s="183"/>
      <c r="M135" s="179">
        <f t="shared" ref="M135:M181" si="36">IFERROR(IF($G$19="Y",$F$19,$AB80)*(SUMIF($H$5:$H$16,"Y",$F$5:$F$16)*((Z29+N29)-B29)),0)</f>
        <v>0</v>
      </c>
      <c r="N135" s="183" t="str">
        <f>IFERROR(M135-M134,"")</f>
        <v/>
      </c>
      <c r="O135" s="247">
        <f t="shared" ref="O135:O181" si="37">IFERROR(M135/((Z29+N29)-B29),"")</f>
        <v>0</v>
      </c>
      <c r="P135" s="245" t="s">
        <v>264</v>
      </c>
      <c r="Q135" s="416"/>
      <c r="R135" s="167"/>
      <c r="S135" s="167"/>
      <c r="T135" s="167"/>
      <c r="U135" s="167"/>
      <c r="V135" s="506"/>
      <c r="W135" s="167" t="s">
        <v>211</v>
      </c>
      <c r="X135" s="167" t="s">
        <v>211</v>
      </c>
      <c r="Y135" s="167" t="s">
        <v>213</v>
      </c>
      <c r="Z135" s="167" t="s">
        <v>213</v>
      </c>
      <c r="AA135" s="509"/>
      <c r="AB135" s="496"/>
      <c r="AC135" s="496"/>
      <c r="AE135" s="167" t="s">
        <v>211</v>
      </c>
      <c r="AF135" s="167" t="s">
        <v>211</v>
      </c>
      <c r="AG135" s="167" t="s">
        <v>211</v>
      </c>
      <c r="AH135" s="167" t="s">
        <v>211</v>
      </c>
      <c r="AI135" s="165"/>
      <c r="AJ135" s="167" t="s">
        <v>211</v>
      </c>
      <c r="AK135" s="167" t="s">
        <v>211</v>
      </c>
      <c r="AL135" s="167" t="s">
        <v>213</v>
      </c>
      <c r="AM135" s="167" t="s">
        <v>213</v>
      </c>
      <c r="AN135" s="165"/>
      <c r="AO135" s="257"/>
      <c r="AP135" s="257"/>
      <c r="AT135" s="478">
        <v>2014</v>
      </c>
      <c r="AU135" s="479">
        <f>IFERROR(AB135+AO135,"")</f>
        <v>0</v>
      </c>
      <c r="AV135" s="479">
        <f>IFERROR(AC135+AP135,"")</f>
        <v>0</v>
      </c>
      <c r="AW135" s="430"/>
      <c r="AX135" s="479">
        <f t="shared" ref="AX135:AY181" si="38">IFERROR(AO135*$F$20,"")</f>
        <v>0</v>
      </c>
      <c r="AY135" s="479">
        <f t="shared" si="38"/>
        <v>0</v>
      </c>
      <c r="AZ135" s="430"/>
      <c r="BA135" s="479">
        <f t="shared" ref="BA135:BB181" si="39">AU135-AX135</f>
        <v>0</v>
      </c>
      <c r="BB135" s="479">
        <f t="shared" si="39"/>
        <v>0</v>
      </c>
      <c r="BC135" s="516"/>
      <c r="BE135" s="480" t="str">
        <f t="shared" ref="BE135:BE181" si="40">IFERROR(AX135/AU135,"")</f>
        <v/>
      </c>
      <c r="BF135" s="480" t="str">
        <f t="shared" ref="BF135:BF181" si="41">IFERROR(BB135/(AY135+BB135),"")</f>
        <v/>
      </c>
    </row>
    <row r="136" spans="1:58" ht="15.6" x14ac:dyDescent="0.3">
      <c r="A136" s="152">
        <v>2015</v>
      </c>
      <c r="B136" s="178"/>
      <c r="C136" s="182"/>
      <c r="D136" s="183"/>
      <c r="E136" s="179">
        <f>IFERROR(IF($G$19="Y",$F$19,$AA81)*(SUMIF($H$5:$H$16,"Y",$F$5:$F$16)*(Z30-B30)),0)</f>
        <v>0</v>
      </c>
      <c r="F136" s="183">
        <f>IFERROR(E136-E135,"")</f>
        <v>0</v>
      </c>
      <c r="G136" s="247">
        <f t="shared" si="35"/>
        <v>0</v>
      </c>
      <c r="H136" s="246"/>
      <c r="I136" s="417"/>
      <c r="J136" s="178"/>
      <c r="K136" s="182"/>
      <c r="L136" s="183"/>
      <c r="M136" s="179">
        <f t="shared" si="36"/>
        <v>0</v>
      </c>
      <c r="N136" s="183">
        <f>IFERROR(M136-M135,"")</f>
        <v>0</v>
      </c>
      <c r="O136" s="247">
        <f t="shared" si="37"/>
        <v>0</v>
      </c>
      <c r="P136" s="246"/>
      <c r="Q136" s="417"/>
      <c r="R136" s="439"/>
      <c r="S136" s="440"/>
      <c r="T136" s="439"/>
      <c r="U136" s="440"/>
      <c r="V136" s="506"/>
      <c r="W136" s="259" t="str">
        <f>IF(W135="Y",IFERROR(E136*($F$8/SUMIF($H$5:$H$16,"Y",$F$5:$F$16))*$F$21*'Emissions Factors'!$B12,""),"")</f>
        <v/>
      </c>
      <c r="X136" s="259" t="str">
        <f>IF($X$135="Y",IFERROR($E136*(SUM($F$7,$F$5,$F$6)/SUMIF($H$5:$H$16,"Y",$F$5:$F$16))*('Emissions Factors'!$T$143*$F$22)/10^6,""),"")</f>
        <v/>
      </c>
      <c r="Y136" s="259">
        <f>IF($Y$135="Y",IFERROR($E136*$F$23/10^6,""))</f>
        <v>0</v>
      </c>
      <c r="Z136" s="259">
        <f>IF($Z$135="Y",IFERROR($E136*$F$24/10^6,""))</f>
        <v>0</v>
      </c>
      <c r="AA136" s="509"/>
      <c r="AB136" s="441">
        <f t="shared" ref="AB136:AB181" si="42">SUM(W136:Z136)</f>
        <v>0</v>
      </c>
      <c r="AC136" s="441">
        <f t="shared" ref="AC136:AC181" si="43">SUM(R136:U136)</f>
        <v>0</v>
      </c>
      <c r="AE136" s="182"/>
      <c r="AF136" s="178"/>
      <c r="AG136" s="182"/>
      <c r="AH136" s="178"/>
      <c r="AJ136" s="259" t="str">
        <f>IF($AJ$135="Y",IFERROR(M136*($F$8/SUMIF($H$5:$H$16,"Y",$F$5:$F$16))*$F$21*'Emissions Factors'!$B12,""),"")</f>
        <v/>
      </c>
      <c r="AK136" s="259" t="str">
        <f>IF($AK$135="Y",IFERROR($M136*(SUM($F$7,$F$5,$F$6)/SUMIF($H$5:$H$16,"Y",$F$5:$F$16))*('Emissions Factors'!$T$143*$F$22)/10^6,""),"")</f>
        <v/>
      </c>
      <c r="AL136" s="259">
        <f>IF($AL$135="Y",IFERROR($M136*$F$23/10^6,""))</f>
        <v>0</v>
      </c>
      <c r="AM136" s="259">
        <f>IF($AM$135="Y",IFERROR($M136*$F$24/10^6,""))</f>
        <v>0</v>
      </c>
      <c r="AO136" s="180">
        <f t="shared" ref="AO136:AO181" si="44">SUM(AJ136:AM136)</f>
        <v>0</v>
      </c>
      <c r="AP136" s="180">
        <f t="shared" ref="AP136:AP181" si="45">SUM(AE136:AH136)</f>
        <v>0</v>
      </c>
      <c r="AT136" s="478">
        <v>2015</v>
      </c>
      <c r="AU136" s="479">
        <f t="shared" ref="AU136:AV181" si="46">IFERROR(AB136+AO136,"")</f>
        <v>0</v>
      </c>
      <c r="AV136" s="479">
        <f t="shared" si="46"/>
        <v>0</v>
      </c>
      <c r="AW136" s="430"/>
      <c r="AX136" s="479">
        <f t="shared" si="38"/>
        <v>0</v>
      </c>
      <c r="AY136" s="479">
        <f t="shared" si="38"/>
        <v>0</v>
      </c>
      <c r="AZ136" s="430"/>
      <c r="BA136" s="479">
        <f t="shared" si="39"/>
        <v>0</v>
      </c>
      <c r="BB136" s="479">
        <f t="shared" si="39"/>
        <v>0</v>
      </c>
      <c r="BC136" s="516"/>
      <c r="BE136" s="480" t="str">
        <f t="shared" si="40"/>
        <v/>
      </c>
      <c r="BF136" s="480" t="str">
        <f t="shared" si="41"/>
        <v/>
      </c>
    </row>
    <row r="137" spans="1:58" ht="15.6" x14ac:dyDescent="0.3">
      <c r="A137" s="152">
        <v>2016</v>
      </c>
      <c r="B137" s="178"/>
      <c r="C137" s="182"/>
      <c r="D137" s="183"/>
      <c r="E137" s="179">
        <f t="shared" ref="E137:E181" si="47">IFERROR(IF($G$19="Y",$F$19,$AA82)*(SUMIF($H$5:$H$16,"Y",$F$5:$F$16)*((Z31+N31)-B31)),0)</f>
        <v>-1.5122839768499062E-4</v>
      </c>
      <c r="F137" s="183">
        <f t="shared" ref="F137:F181" si="48">IFERROR(E137-E136,"")</f>
        <v>-1.5122839768499062E-4</v>
      </c>
      <c r="G137" s="247">
        <f t="shared" si="35"/>
        <v>0.20784537194642447</v>
      </c>
      <c r="H137" s="246"/>
      <c r="I137" s="417"/>
      <c r="J137" s="178"/>
      <c r="K137" s="182"/>
      <c r="L137" s="183"/>
      <c r="M137" s="179">
        <f t="shared" si="36"/>
        <v>-1.6891582471582268E-4</v>
      </c>
      <c r="N137" s="183">
        <f>IFERROR(M137-M136,"")</f>
        <v>-1.6891582471582268E-4</v>
      </c>
      <c r="O137" s="247">
        <f t="shared" si="37"/>
        <v>0.23215462805357553</v>
      </c>
      <c r="P137" s="246"/>
      <c r="Q137" s="417"/>
      <c r="R137" s="439"/>
      <c r="S137" s="440"/>
      <c r="T137" s="439"/>
      <c r="U137" s="440"/>
      <c r="V137" s="506"/>
      <c r="W137" s="259" t="str">
        <f>IF($W$135="Y",IFERROR(E137*($F$8/SUMIF($H$5:$H$16,"Y",$F$5:$F$16))*$F$21*'Emissions Factors'!$B13,""),"")</f>
        <v/>
      </c>
      <c r="X137" s="259" t="str">
        <f>IF($X$135="Y",IFERROR($E137*(SUM($F$7,$F$5,$F$6)/SUMIF($H$5:$H$16,"Y",$F$5:$F$16))*('Emissions Factors'!$T$143*$F$22)/10^6,""),"")</f>
        <v/>
      </c>
      <c r="Y137" s="259">
        <f t="shared" ref="Y137:Y181" si="49">IF($Y$135="Y",IFERROR($E137*$F$23/10^6,""))</f>
        <v>-1.9946631874667739E-4</v>
      </c>
      <c r="Z137" s="259">
        <f t="shared" ref="Z137:Z181" si="50">IF($Z$135="Y",IFERROR($E137*$F$24/10^6,""))</f>
        <v>-7.9326931619860675E-5</v>
      </c>
      <c r="AA137" s="509"/>
      <c r="AB137" s="441">
        <f t="shared" si="42"/>
        <v>-2.7879325036653805E-4</v>
      </c>
      <c r="AC137" s="441">
        <f t="shared" si="43"/>
        <v>0</v>
      </c>
      <c r="AE137" s="182"/>
      <c r="AF137" s="178"/>
      <c r="AG137" s="182"/>
      <c r="AH137" s="178"/>
      <c r="AJ137" s="259" t="str">
        <f>IF($AJ$135="Y",IFERROR(M137*($F$8/SUMIF($H$5:$H$16,"Y",$F$5:$F$16))*$F$21*'Emissions Factors'!$B13,""),"")</f>
        <v/>
      </c>
      <c r="AK137" s="259" t="str">
        <f>IF($AK$135="Y",IFERROR($M137*(SUM($F$7,$F$5,$F$6)/SUMIF($H$5:$H$16,"Y",$F$5:$F$16))*('Emissions Factors'!$T$143*$F$22)/10^6,""),"")</f>
        <v/>
      </c>
      <c r="AL137" s="259">
        <f t="shared" ref="AL137:AL181" si="51">IF($AL$135="Y",IFERROR($M137*$F$23/10^6,""))</f>
        <v>-2.2279557444169229E-4</v>
      </c>
      <c r="AM137" s="259">
        <f t="shared" ref="AM137:AM181" si="52">IF($AM$135="Y",IFERROR($M137*$F$24/10^6,""))</f>
        <v>-8.8604880312597145E-5</v>
      </c>
      <c r="AO137" s="180">
        <f t="shared" si="44"/>
        <v>-3.1140045475428943E-4</v>
      </c>
      <c r="AP137" s="180">
        <f t="shared" si="45"/>
        <v>0</v>
      </c>
      <c r="AT137" s="478">
        <v>2016</v>
      </c>
      <c r="AU137" s="479">
        <f t="shared" si="46"/>
        <v>-5.9019370512082754E-4</v>
      </c>
      <c r="AV137" s="479">
        <f t="shared" si="46"/>
        <v>0</v>
      </c>
      <c r="AW137" s="430"/>
      <c r="AX137" s="479">
        <f t="shared" si="38"/>
        <v>-1.5570022737714472E-4</v>
      </c>
      <c r="AY137" s="479">
        <f t="shared" si="38"/>
        <v>0</v>
      </c>
      <c r="AZ137" s="430"/>
      <c r="BA137" s="479">
        <f t="shared" si="39"/>
        <v>-4.3449347774368282E-4</v>
      </c>
      <c r="BB137" s="479">
        <f t="shared" si="39"/>
        <v>0</v>
      </c>
      <c r="BC137" s="516"/>
      <c r="BE137" s="480">
        <f t="shared" si="40"/>
        <v>0.26381207733360856</v>
      </c>
      <c r="BF137" s="480" t="str">
        <f t="shared" si="41"/>
        <v/>
      </c>
    </row>
    <row r="138" spans="1:58" ht="15.6" x14ac:dyDescent="0.3">
      <c r="A138" s="152">
        <v>2017</v>
      </c>
      <c r="B138" s="178"/>
      <c r="C138" s="182"/>
      <c r="D138" s="183"/>
      <c r="E138" s="179">
        <f t="shared" si="47"/>
        <v>-1.4899849520709296E-4</v>
      </c>
      <c r="F138" s="183">
        <f>IFERROR(E138-E137,"")</f>
        <v>2.2299024778976652E-6</v>
      </c>
      <c r="G138" s="247">
        <f t="shared" si="35"/>
        <v>0.2066581045255082</v>
      </c>
      <c r="H138" s="246"/>
      <c r="I138" s="417"/>
      <c r="J138" s="178"/>
      <c r="K138" s="182"/>
      <c r="L138" s="183"/>
      <c r="M138" s="179">
        <f t="shared" si="36"/>
        <v>-1.6823725047850044E-4</v>
      </c>
      <c r="N138" s="183">
        <f>IFERROR(M138-M137,"")</f>
        <v>6.7857423732223948E-7</v>
      </c>
      <c r="O138" s="247">
        <f t="shared" si="37"/>
        <v>0.23334189547449177</v>
      </c>
      <c r="P138" s="246"/>
      <c r="Q138" s="417"/>
      <c r="R138" s="439"/>
      <c r="S138" s="440"/>
      <c r="T138" s="439"/>
      <c r="U138" s="440"/>
      <c r="V138" s="506"/>
      <c r="W138" s="259" t="str">
        <f>IF($W$135="Y",IFERROR(E138*($F$8/SUMIF($H$5:$H$16,"Y",$F$5:$F$16))*$F$21*'Emissions Factors'!$B14,""),"")</f>
        <v/>
      </c>
      <c r="X138" s="259" t="str">
        <f>IF($X$135="Y",IFERROR($E138*(SUM($F$7,$F$5,$F$6)/SUMIF($H$5:$H$16,"Y",$F$5:$F$16))*('Emissions Factors'!$T$143*$F$22)/10^6,""),"")</f>
        <v/>
      </c>
      <c r="Y138" s="259">
        <f t="shared" si="49"/>
        <v>-1.9652513544222392E-4</v>
      </c>
      <c r="Z138" s="259">
        <f t="shared" si="50"/>
        <v>-7.8157235160128204E-5</v>
      </c>
      <c r="AA138" s="509"/>
      <c r="AB138" s="441">
        <f t="shared" si="42"/>
        <v>-2.7468237060235213E-4</v>
      </c>
      <c r="AC138" s="441">
        <f t="shared" si="43"/>
        <v>0</v>
      </c>
      <c r="AE138" s="182"/>
      <c r="AF138" s="178"/>
      <c r="AG138" s="182"/>
      <c r="AH138" s="178"/>
      <c r="AJ138" s="259" t="str">
        <f>IF($AJ$135="Y",IFERROR(M138*($F$8/SUMIF($H$5:$H$16,"Y",$F$5:$F$16))*$F$21*'Emissions Factors'!$B14,""),"")</f>
        <v/>
      </c>
      <c r="AK138" s="259" t="str">
        <f>IF($AK$135="Y",IFERROR($M138*(SUM($F$7,$F$5,$F$6)/SUMIF($H$5:$H$16,"Y",$F$5:$F$16))*('Emissions Factors'!$T$143*$F$22)/10^6,""),"")</f>
        <v/>
      </c>
      <c r="AL138" s="259">
        <f t="shared" si="51"/>
        <v>-2.219005526918954E-4</v>
      </c>
      <c r="AM138" s="259">
        <f t="shared" si="52"/>
        <v>-8.8248933857122653E-5</v>
      </c>
      <c r="AO138" s="180">
        <f t="shared" si="44"/>
        <v>-3.1014948654901805E-4</v>
      </c>
      <c r="AP138" s="180">
        <f t="shared" si="45"/>
        <v>0</v>
      </c>
      <c r="AT138" s="478">
        <v>2017</v>
      </c>
      <c r="AU138" s="479">
        <f t="shared" si="46"/>
        <v>-5.8483185715137013E-4</v>
      </c>
      <c r="AV138" s="479">
        <f t="shared" si="46"/>
        <v>0</v>
      </c>
      <c r="AW138" s="430"/>
      <c r="AX138" s="479">
        <f t="shared" si="38"/>
        <v>-1.5507474327450902E-4</v>
      </c>
      <c r="AY138" s="479">
        <f t="shared" si="38"/>
        <v>0</v>
      </c>
      <c r="AZ138" s="430"/>
      <c r="BA138" s="479">
        <f t="shared" si="39"/>
        <v>-4.2975711387686108E-4</v>
      </c>
      <c r="BB138" s="479">
        <f t="shared" si="39"/>
        <v>0</v>
      </c>
      <c r="BC138" s="516"/>
      <c r="BE138" s="480">
        <f t="shared" si="40"/>
        <v>0.26516124485737708</v>
      </c>
      <c r="BF138" s="480" t="str">
        <f t="shared" si="41"/>
        <v/>
      </c>
    </row>
    <row r="139" spans="1:58" ht="15.6" x14ac:dyDescent="0.3">
      <c r="A139" s="152">
        <v>2018</v>
      </c>
      <c r="B139" s="178"/>
      <c r="C139" s="182"/>
      <c r="D139" s="183"/>
      <c r="E139" s="179">
        <f t="shared" si="47"/>
        <v>-1.4635189970600655E-4</v>
      </c>
      <c r="F139" s="183">
        <f t="shared" si="48"/>
        <v>2.6465955010864049E-6</v>
      </c>
      <c r="G139" s="247">
        <f t="shared" si="35"/>
        <v>0.20543308130161761</v>
      </c>
      <c r="H139" s="246"/>
      <c r="I139" s="417"/>
      <c r="J139" s="178"/>
      <c r="K139" s="182"/>
      <c r="L139" s="183"/>
      <c r="M139" s="179">
        <f t="shared" si="36"/>
        <v>-1.6710704012315436E-4</v>
      </c>
      <c r="N139" s="183">
        <f t="shared" ref="N139:N181" si="53">IFERROR(M139-M138,"")</f>
        <v>1.1302103553460818E-6</v>
      </c>
      <c r="O139" s="247">
        <f t="shared" si="37"/>
        <v>0.23456691869838234</v>
      </c>
      <c r="P139" s="246"/>
      <c r="Q139" s="417"/>
      <c r="R139" s="439"/>
      <c r="S139" s="440"/>
      <c r="T139" s="439"/>
      <c r="U139" s="440"/>
      <c r="V139" s="506"/>
      <c r="W139" s="259" t="str">
        <f>IF($W$135="Y",IFERROR(E139*($F$8/SUMIF($H$5:$H$16,"Y",$F$5:$F$16))*$F$21*'Emissions Factors'!$B15,""),"")</f>
        <v/>
      </c>
      <c r="X139" s="259" t="str">
        <f>IF($X$135="Y",IFERROR($E139*(SUM($F$7,$F$5,$F$6)/SUMIF($H$5:$H$16,"Y",$F$5:$F$16))*('Emissions Factors'!$T$143*$F$22)/10^6,""),"")</f>
        <v/>
      </c>
      <c r="Y139" s="259">
        <f t="shared" si="49"/>
        <v>-1.9303434489035382E-4</v>
      </c>
      <c r="Z139" s="259">
        <f t="shared" si="50"/>
        <v>-7.6768962166735589E-5</v>
      </c>
      <c r="AA139" s="509"/>
      <c r="AB139" s="441">
        <f t="shared" si="42"/>
        <v>-2.6980330705708938E-4</v>
      </c>
      <c r="AC139" s="441">
        <f t="shared" si="43"/>
        <v>0</v>
      </c>
      <c r="AE139" s="182"/>
      <c r="AF139" s="178"/>
      <c r="AG139" s="182"/>
      <c r="AH139" s="178"/>
      <c r="AJ139" s="259" t="str">
        <f>IF($AJ$135="Y",IFERROR(M139*($F$8/SUMIF($H$5:$H$16,"Y",$F$5:$F$16))*$F$21*'Emissions Factors'!$B15,""),"")</f>
        <v/>
      </c>
      <c r="AK139" s="259" t="str">
        <f>IF($AK$135="Y",IFERROR($M139*(SUM($F$7,$F$5,$F$6)/SUMIF($H$5:$H$16,"Y",$F$5:$F$16))*('Emissions Factors'!$T$143*$F$22)/10^6,""),"")</f>
        <v/>
      </c>
      <c r="AL139" s="259">
        <f t="shared" si="51"/>
        <v>-2.2040983466246916E-4</v>
      </c>
      <c r="AM139" s="259">
        <f t="shared" si="52"/>
        <v>-8.7656081450120685E-5</v>
      </c>
      <c r="AO139" s="180">
        <f t="shared" si="44"/>
        <v>-3.0806591611258981E-4</v>
      </c>
      <c r="AP139" s="180">
        <f t="shared" si="45"/>
        <v>0</v>
      </c>
      <c r="AT139" s="478">
        <v>2018</v>
      </c>
      <c r="AU139" s="479">
        <f t="shared" si="46"/>
        <v>-5.7786922316967919E-4</v>
      </c>
      <c r="AV139" s="479">
        <f t="shared" si="46"/>
        <v>0</v>
      </c>
      <c r="AW139" s="430"/>
      <c r="AX139" s="479">
        <f t="shared" si="38"/>
        <v>-1.5403295805629491E-4</v>
      </c>
      <c r="AY139" s="479">
        <f t="shared" si="38"/>
        <v>0</v>
      </c>
      <c r="AZ139" s="430"/>
      <c r="BA139" s="479">
        <f t="shared" si="39"/>
        <v>-4.2383626511338429E-4</v>
      </c>
      <c r="BB139" s="479">
        <f t="shared" si="39"/>
        <v>0</v>
      </c>
      <c r="BC139" s="516"/>
      <c r="BE139" s="480">
        <f t="shared" si="40"/>
        <v>0.26655331670270727</v>
      </c>
      <c r="BF139" s="480" t="str">
        <f t="shared" si="41"/>
        <v/>
      </c>
    </row>
    <row r="140" spans="1:58" ht="15.6" x14ac:dyDescent="0.3">
      <c r="A140" s="152">
        <v>2019</v>
      </c>
      <c r="B140" s="178"/>
      <c r="C140" s="182"/>
      <c r="D140" s="183"/>
      <c r="E140" s="179">
        <f t="shared" si="47"/>
        <v>-1.4404041493954237E-4</v>
      </c>
      <c r="F140" s="183">
        <f t="shared" si="48"/>
        <v>2.311484766464179E-6</v>
      </c>
      <c r="G140" s="247">
        <f t="shared" si="35"/>
        <v>0.20415881245236636</v>
      </c>
      <c r="H140" s="246"/>
      <c r="I140" s="417"/>
      <c r="J140" s="178"/>
      <c r="K140" s="182"/>
      <c r="L140" s="183"/>
      <c r="M140" s="179">
        <f t="shared" si="36"/>
        <v>-1.6639331952482582E-4</v>
      </c>
      <c r="N140" s="183">
        <f t="shared" si="53"/>
        <v>7.1372059832854376E-7</v>
      </c>
      <c r="O140" s="247">
        <f t="shared" si="37"/>
        <v>0.23584118754763367</v>
      </c>
      <c r="P140" s="246"/>
      <c r="Q140" s="417"/>
      <c r="R140" s="439"/>
      <c r="S140" s="440"/>
      <c r="T140" s="439"/>
      <c r="U140" s="440"/>
      <c r="V140" s="506"/>
      <c r="W140" s="259" t="str">
        <f>IF($W$135="Y",IFERROR(E140*($F$8/SUMIF($H$5:$H$16,"Y",$F$5:$F$16))*$F$21*'Emissions Factors'!$B16,""),"")</f>
        <v/>
      </c>
      <c r="X140" s="259" t="str">
        <f>IF($X$135="Y",IFERROR($E140*(SUM($F$7,$F$5,$F$6)/SUMIF($H$5:$H$16,"Y",$F$5:$F$16))*('Emissions Factors'!$T$143*$F$22)/10^6,""),"")</f>
        <v/>
      </c>
      <c r="Y140" s="259">
        <f t="shared" si="49"/>
        <v>-1.8998555667158268E-4</v>
      </c>
      <c r="Z140" s="259">
        <f t="shared" si="50"/>
        <v>-7.5556471676744422E-5</v>
      </c>
      <c r="AA140" s="509"/>
      <c r="AB140" s="441">
        <f t="shared" si="42"/>
        <v>-2.6554202834832712E-4</v>
      </c>
      <c r="AC140" s="441">
        <f t="shared" si="43"/>
        <v>0</v>
      </c>
      <c r="AE140" s="182"/>
      <c r="AF140" s="178"/>
      <c r="AG140" s="182"/>
      <c r="AH140" s="178"/>
      <c r="AJ140" s="259" t="str">
        <f>IF($AJ$135="Y",IFERROR(M140*($F$8/SUMIF($H$5:$H$16,"Y",$F$5:$F$16))*$F$21*'Emissions Factors'!$B16,""),"")</f>
        <v/>
      </c>
      <c r="AK140" s="259" t="str">
        <f>IF($AK$135="Y",IFERROR($M140*(SUM($F$7,$F$5,$F$6)/SUMIF($H$5:$H$16,"Y",$F$5:$F$16))*('Emissions Factors'!$T$143*$F$22)/10^6,""),"")</f>
        <v/>
      </c>
      <c r="AL140" s="259">
        <f t="shared" si="51"/>
        <v>-2.1946845577767258E-4</v>
      </c>
      <c r="AM140" s="259">
        <f t="shared" si="52"/>
        <v>-8.7281698953407149E-5</v>
      </c>
      <c r="AO140" s="180">
        <f t="shared" si="44"/>
        <v>-3.0675015473107973E-4</v>
      </c>
      <c r="AP140" s="180">
        <f t="shared" si="45"/>
        <v>0</v>
      </c>
      <c r="AT140" s="478">
        <v>2019</v>
      </c>
      <c r="AU140" s="479">
        <f t="shared" si="46"/>
        <v>-5.7229218307940685E-4</v>
      </c>
      <c r="AV140" s="479">
        <f t="shared" si="46"/>
        <v>0</v>
      </c>
      <c r="AW140" s="430"/>
      <c r="AX140" s="479">
        <f t="shared" si="38"/>
        <v>-1.5337507736553987E-4</v>
      </c>
      <c r="AY140" s="479">
        <f t="shared" si="38"/>
        <v>0</v>
      </c>
      <c r="AZ140" s="430"/>
      <c r="BA140" s="479">
        <f t="shared" si="39"/>
        <v>-4.1891710571386701E-4</v>
      </c>
      <c r="BB140" s="479">
        <f t="shared" si="39"/>
        <v>0</v>
      </c>
      <c r="BC140" s="516"/>
      <c r="BE140" s="480">
        <f t="shared" si="40"/>
        <v>0.26800134948594734</v>
      </c>
      <c r="BF140" s="480" t="str">
        <f t="shared" si="41"/>
        <v/>
      </c>
    </row>
    <row r="141" spans="1:58" ht="15.6" x14ac:dyDescent="0.3">
      <c r="A141" s="152">
        <v>2020</v>
      </c>
      <c r="B141" s="178"/>
      <c r="C141" s="182"/>
      <c r="D141" s="183"/>
      <c r="E141" s="179">
        <f t="shared" si="47"/>
        <v>-1.420824592877268E-4</v>
      </c>
      <c r="F141" s="183">
        <f t="shared" si="48"/>
        <v>1.9579556518155706E-6</v>
      </c>
      <c r="G141" s="247">
        <f t="shared" si="35"/>
        <v>0.20282748108200485</v>
      </c>
      <c r="H141" s="246"/>
      <c r="I141" s="417"/>
      <c r="J141" s="178"/>
      <c r="K141" s="182"/>
      <c r="L141" s="183"/>
      <c r="M141" s="179">
        <f t="shared" si="36"/>
        <v>-1.6614146457653465E-4</v>
      </c>
      <c r="N141" s="183">
        <f t="shared" si="53"/>
        <v>2.5185494829116644E-7</v>
      </c>
      <c r="O141" s="247">
        <f t="shared" si="37"/>
        <v>0.23717251891799515</v>
      </c>
      <c r="P141" s="246"/>
      <c r="Q141" s="417"/>
      <c r="R141" s="439"/>
      <c r="S141" s="440"/>
      <c r="T141" s="439"/>
      <c r="U141" s="440"/>
      <c r="V141" s="506"/>
      <c r="W141" s="259" t="str">
        <f>IF($W$135="Y",IFERROR(E141*($F$8/SUMIF($H$5:$H$16,"Y",$F$5:$F$16))*$F$21*'Emissions Factors'!$B17,""),"")</f>
        <v/>
      </c>
      <c r="X141" s="259" t="str">
        <f>IF($X$135="Y",IFERROR($E141*(SUM($F$7,$F$5,$F$6)/SUMIF($H$5:$H$16,"Y",$F$5:$F$16))*('Emissions Factors'!$T$143*$F$22)/10^6,""),"")</f>
        <v/>
      </c>
      <c r="Y141" s="259">
        <f t="shared" si="49"/>
        <v>-1.8740306414957361E-4</v>
      </c>
      <c r="Z141" s="259">
        <f t="shared" si="50"/>
        <v>-7.4529425060606739E-5</v>
      </c>
      <c r="AA141" s="509"/>
      <c r="AB141" s="441">
        <f t="shared" si="42"/>
        <v>-2.6193248921018038E-4</v>
      </c>
      <c r="AC141" s="441">
        <f t="shared" si="43"/>
        <v>0</v>
      </c>
      <c r="AE141" s="182"/>
      <c r="AF141" s="178"/>
      <c r="AG141" s="182"/>
      <c r="AH141" s="178"/>
      <c r="AJ141" s="259" t="str">
        <f>IF($AJ$135="Y",IFERROR(M141*($F$8/SUMIF($H$5:$H$16,"Y",$F$5:$F$16))*$F$21*'Emissions Factors'!$B17,""),"")</f>
        <v/>
      </c>
      <c r="AK141" s="259" t="str">
        <f>IF($AK$135="Y",IFERROR($M141*(SUM($F$7,$F$5,$F$6)/SUMIF($H$5:$H$16,"Y",$F$5:$F$16))*('Emissions Factors'!$T$143*$F$22)/10^6,""),"")</f>
        <v/>
      </c>
      <c r="AL141" s="259">
        <f t="shared" si="51"/>
        <v>-2.1913626565886688E-4</v>
      </c>
      <c r="AM141" s="259">
        <f t="shared" si="52"/>
        <v>-8.7149588314353534E-5</v>
      </c>
      <c r="AO141" s="180">
        <f t="shared" si="44"/>
        <v>-3.0628585397322043E-4</v>
      </c>
      <c r="AP141" s="180">
        <f t="shared" si="45"/>
        <v>0</v>
      </c>
      <c r="AS141" s="430"/>
      <c r="AT141" s="478">
        <v>2020</v>
      </c>
      <c r="AU141" s="479">
        <f t="shared" si="46"/>
        <v>-5.6821834318340086E-4</v>
      </c>
      <c r="AV141" s="479">
        <f t="shared" si="46"/>
        <v>0</v>
      </c>
      <c r="AW141" s="430"/>
      <c r="AX141" s="479">
        <f t="shared" si="38"/>
        <v>-1.5314292698661021E-4</v>
      </c>
      <c r="AY141" s="479">
        <f t="shared" si="38"/>
        <v>0</v>
      </c>
      <c r="AZ141" s="430"/>
      <c r="BA141" s="479">
        <f t="shared" si="39"/>
        <v>-4.1507541619679067E-4</v>
      </c>
      <c r="BB141" s="479">
        <f t="shared" si="39"/>
        <v>0</v>
      </c>
      <c r="BC141" s="516"/>
      <c r="BE141" s="480">
        <f t="shared" si="40"/>
        <v>0.26951422604317626</v>
      </c>
      <c r="BF141" s="480" t="str">
        <f t="shared" si="41"/>
        <v/>
      </c>
    </row>
    <row r="142" spans="1:58" ht="15.6" x14ac:dyDescent="0.3">
      <c r="A142" s="152">
        <v>2021</v>
      </c>
      <c r="B142" s="178"/>
      <c r="C142" s="182"/>
      <c r="D142" s="183"/>
      <c r="E142" s="179">
        <f t="shared" si="47"/>
        <v>1.3597261708463813E-2</v>
      </c>
      <c r="F142" s="183">
        <f t="shared" si="48"/>
        <v>1.3739344167751541E-2</v>
      </c>
      <c r="G142" s="247">
        <f t="shared" si="35"/>
        <v>2.1696577567672626E-2</v>
      </c>
      <c r="H142" s="246"/>
      <c r="I142" s="417"/>
      <c r="J142" s="178"/>
      <c r="K142" s="182"/>
      <c r="L142" s="183"/>
      <c r="M142" s="179">
        <f t="shared" si="36"/>
        <v>1.608718664176377E-2</v>
      </c>
      <c r="N142" s="183">
        <f t="shared" si="53"/>
        <v>1.6253328106340306E-2</v>
      </c>
      <c r="O142" s="247">
        <f t="shared" si="37"/>
        <v>2.5669645867108043E-2</v>
      </c>
      <c r="P142" s="246"/>
      <c r="Q142" s="417"/>
      <c r="R142" s="439"/>
      <c r="S142" s="440"/>
      <c r="T142" s="439"/>
      <c r="U142" s="440"/>
      <c r="V142" s="506"/>
      <c r="W142" s="259" t="str">
        <f>IF($W$135="Y",IFERROR(E142*($F$8/SUMIF($H$5:$H$16,"Y",$F$5:$F$16))*$F$21*'Emissions Factors'!$B18,""),"")</f>
        <v/>
      </c>
      <c r="X142" s="259" t="str">
        <f>IF($X$135="Y",IFERROR($E142*(SUM($F$7,$F$5,$F$6)/SUMIF($H$5:$H$16,"Y",$F$5:$F$16))*('Emissions Factors'!$T$143*$F$22)/10^6,""),"")</f>
        <v/>
      </c>
      <c r="Y142" s="259">
        <f t="shared" si="49"/>
        <v>1.7934434137640929E-2</v>
      </c>
      <c r="Z142" s="259">
        <f t="shared" si="50"/>
        <v>7.1324504278055473E-3</v>
      </c>
      <c r="AA142" s="509"/>
      <c r="AB142" s="441">
        <f t="shared" si="42"/>
        <v>2.5066884565446475E-2</v>
      </c>
      <c r="AC142" s="441">
        <f t="shared" si="43"/>
        <v>0</v>
      </c>
      <c r="AE142" s="182"/>
      <c r="AF142" s="178"/>
      <c r="AG142" s="182"/>
      <c r="AH142" s="178"/>
      <c r="AJ142" s="259" t="str">
        <f>IF($AJ$135="Y",IFERROR(M142*($F$8/SUMIF($H$5:$H$16,"Y",$F$5:$F$16))*$F$21*'Emissions Factors'!$B18,""),"")</f>
        <v/>
      </c>
      <c r="AK142" s="259" t="str">
        <f>IF($AK$135="Y",IFERROR($M142*(SUM($F$7,$F$5,$F$6)/SUMIF($H$5:$H$16,"Y",$F$5:$F$16))*('Emissions Factors'!$T$143*$F$22)/10^6,""),"")</f>
        <v/>
      </c>
      <c r="AL142" s="259">
        <f t="shared" si="51"/>
        <v>2.1218580290107911E-2</v>
      </c>
      <c r="AM142" s="259">
        <f t="shared" si="52"/>
        <v>8.4385417965305055E-3</v>
      </c>
      <c r="AO142" s="180">
        <f t="shared" si="44"/>
        <v>2.9657122086638416E-2</v>
      </c>
      <c r="AP142" s="180">
        <f t="shared" si="45"/>
        <v>0</v>
      </c>
      <c r="AS142" s="430"/>
      <c r="AT142" s="478">
        <v>2021</v>
      </c>
      <c r="AU142" s="479">
        <f t="shared" si="46"/>
        <v>5.4724006652084892E-2</v>
      </c>
      <c r="AV142" s="479">
        <f t="shared" si="46"/>
        <v>0</v>
      </c>
      <c r="AW142" s="430"/>
      <c r="AX142" s="479">
        <f t="shared" si="38"/>
        <v>1.4828561043319208E-2</v>
      </c>
      <c r="AY142" s="479">
        <f t="shared" si="38"/>
        <v>0</v>
      </c>
      <c r="AZ142" s="430"/>
      <c r="BA142" s="479">
        <f t="shared" si="39"/>
        <v>3.9895445608765685E-2</v>
      </c>
      <c r="BB142" s="479">
        <f t="shared" si="39"/>
        <v>0</v>
      </c>
      <c r="BC142" s="516"/>
      <c r="BE142" s="480">
        <f t="shared" si="40"/>
        <v>0.27096994446319961</v>
      </c>
      <c r="BF142" s="480" t="str">
        <f t="shared" si="41"/>
        <v/>
      </c>
    </row>
    <row r="143" spans="1:58" ht="15.6" x14ac:dyDescent="0.3">
      <c r="A143" s="152">
        <v>2022</v>
      </c>
      <c r="B143" s="178"/>
      <c r="C143" s="182"/>
      <c r="D143" s="183"/>
      <c r="E143" s="179">
        <f t="shared" si="47"/>
        <v>3.3439061040355385E-2</v>
      </c>
      <c r="F143" s="183">
        <f t="shared" si="48"/>
        <v>1.984179933189157E-2</v>
      </c>
      <c r="G143" s="247">
        <f t="shared" si="35"/>
        <v>2.3363090414009982E-2</v>
      </c>
      <c r="H143" s="246"/>
      <c r="I143" s="417"/>
      <c r="J143" s="178"/>
      <c r="K143" s="182"/>
      <c r="L143" s="183"/>
      <c r="M143" s="179">
        <f t="shared" si="36"/>
        <v>3.9988314733266389E-2</v>
      </c>
      <c r="N143" s="183">
        <f t="shared" si="53"/>
        <v>2.3901128091502619E-2</v>
      </c>
      <c r="O143" s="247">
        <f t="shared" si="37"/>
        <v>2.7938900900647448E-2</v>
      </c>
      <c r="P143" s="246"/>
      <c r="Q143" s="417"/>
      <c r="R143" s="182"/>
      <c r="S143" s="178"/>
      <c r="T143" s="182"/>
      <c r="U143" s="178"/>
      <c r="V143" s="506"/>
      <c r="W143" s="259" t="str">
        <f>IF($W$135="Y",IFERROR(E143*($F$8/SUMIF($H$5:$H$16,"Y",$F$5:$F$16))*$F$21*'Emissions Factors'!$B19,""),"")</f>
        <v/>
      </c>
      <c r="X143" s="259" t="str">
        <f>IF($X$135="Y",IFERROR($E143*(SUM($F$7,$F$5,$F$6)/SUMIF($H$5:$H$16,"Y",$F$5:$F$16))*('Emissions Factors'!$T$143*$F$22)/10^6,""),"")</f>
        <v/>
      </c>
      <c r="Y143" s="259">
        <f t="shared" si="49"/>
        <v>4.4105250800571844E-2</v>
      </c>
      <c r="Z143" s="259">
        <f t="shared" si="50"/>
        <v>1.7540476188248937E-2</v>
      </c>
      <c r="AA143" s="509"/>
      <c r="AB143" s="180">
        <f t="shared" si="42"/>
        <v>6.164572698882078E-2</v>
      </c>
      <c r="AC143" s="180">
        <f t="shared" si="43"/>
        <v>0</v>
      </c>
      <c r="AE143" s="182"/>
      <c r="AF143" s="178"/>
      <c r="AG143" s="182"/>
      <c r="AH143" s="178"/>
      <c r="AJ143" s="259" t="str">
        <f>IF($AJ$135="Y",IFERROR(M143*($F$8/SUMIF($H$5:$H$16,"Y",$F$5:$F$16))*$F$21*'Emissions Factors'!$B19,""),"")</f>
        <v/>
      </c>
      <c r="AK143" s="259" t="str">
        <f>IF($AK$135="Y",IFERROR($M143*(SUM($F$7,$F$5,$F$6)/SUMIF($H$5:$H$16,"Y",$F$5:$F$16))*('Emissions Factors'!$T$143*$F$22)/10^6,""),"")</f>
        <v/>
      </c>
      <c r="AL143" s="259">
        <f t="shared" si="51"/>
        <v>5.2743545887081876E-2</v>
      </c>
      <c r="AM143" s="259">
        <f t="shared" si="52"/>
        <v>2.0975890487492252E-2</v>
      </c>
      <c r="AO143" s="180">
        <f t="shared" si="44"/>
        <v>7.3719436374574121E-2</v>
      </c>
      <c r="AP143" s="180">
        <f t="shared" si="45"/>
        <v>0</v>
      </c>
      <c r="AS143" s="430"/>
      <c r="AT143" s="478">
        <v>2022</v>
      </c>
      <c r="AU143" s="479">
        <f t="shared" si="46"/>
        <v>0.13536516336339491</v>
      </c>
      <c r="AV143" s="479">
        <f t="shared" si="46"/>
        <v>0</v>
      </c>
      <c r="AW143" s="430"/>
      <c r="AX143" s="479">
        <f t="shared" si="38"/>
        <v>3.6859718187287061E-2</v>
      </c>
      <c r="AY143" s="479">
        <f t="shared" si="38"/>
        <v>0</v>
      </c>
      <c r="AZ143" s="430"/>
      <c r="BA143" s="479">
        <f t="shared" si="39"/>
        <v>9.8505445176107848E-2</v>
      </c>
      <c r="BB143" s="479">
        <f t="shared" si="39"/>
        <v>0</v>
      </c>
      <c r="BC143" s="516"/>
      <c r="BE143" s="480">
        <f t="shared" si="40"/>
        <v>0.27229840581904524</v>
      </c>
      <c r="BF143" s="480" t="str">
        <f t="shared" si="41"/>
        <v/>
      </c>
    </row>
    <row r="144" spans="1:58" ht="15.6" x14ac:dyDescent="0.3">
      <c r="A144" s="152">
        <v>2023</v>
      </c>
      <c r="B144" s="178"/>
      <c r="C144" s="182"/>
      <c r="D144" s="183"/>
      <c r="E144" s="179">
        <f t="shared" si="47"/>
        <v>5.8007808717120316E-2</v>
      </c>
      <c r="F144" s="183">
        <f t="shared" si="48"/>
        <v>2.4568747676764931E-2</v>
      </c>
      <c r="G144" s="247">
        <f t="shared" si="35"/>
        <v>2.4190466650667809E-2</v>
      </c>
      <c r="H144" s="246"/>
      <c r="I144" s="417"/>
      <c r="J144" s="178"/>
      <c r="K144" s="182"/>
      <c r="L144" s="183"/>
      <c r="M144" s="179">
        <f t="shared" si="36"/>
        <v>7.0038514309245015E-2</v>
      </c>
      <c r="N144" s="183">
        <f t="shared" si="53"/>
        <v>3.0050199575978626E-2</v>
      </c>
      <c r="O144" s="247">
        <f t="shared" si="37"/>
        <v>2.9207521920407754E-2</v>
      </c>
      <c r="P144" s="246"/>
      <c r="Q144" s="417"/>
      <c r="R144" s="182"/>
      <c r="S144" s="178"/>
      <c r="T144" s="182"/>
      <c r="U144" s="178"/>
      <c r="V144" s="506"/>
      <c r="W144" s="259" t="str">
        <f>IF($W$135="Y",IFERROR(E144*($F$8/SUMIF($H$5:$H$16,"Y",$F$5:$F$16))*$F$21*'Emissions Factors'!$B20,""),"")</f>
        <v/>
      </c>
      <c r="X144" s="259" t="str">
        <f>IF($X$135="Y",IFERROR($E144*(SUM($F$7,$F$5,$F$6)/SUMIF($H$5:$H$16,"Y",$F$5:$F$16))*('Emissions Factors'!$T$143*$F$22)/10^6,""),"")</f>
        <v/>
      </c>
      <c r="Y144" s="259">
        <f t="shared" si="49"/>
        <v>7.6510789246521202E-2</v>
      </c>
      <c r="Z144" s="259">
        <f t="shared" si="50"/>
        <v>3.042802506646982E-2</v>
      </c>
      <c r="AA144" s="509"/>
      <c r="AB144" s="180">
        <f t="shared" si="42"/>
        <v>0.10693881431299102</v>
      </c>
      <c r="AC144" s="180">
        <f t="shared" si="43"/>
        <v>0</v>
      </c>
      <c r="AE144" s="182"/>
      <c r="AF144" s="178"/>
      <c r="AG144" s="182"/>
      <c r="AH144" s="178"/>
      <c r="AJ144" s="259" t="str">
        <f>IF($AJ$135="Y",IFERROR(M144*($F$8/SUMIF($H$5:$H$16,"Y",$F$5:$F$16))*$F$21*'Emissions Factors'!$B20,""),"")</f>
        <v/>
      </c>
      <c r="AK144" s="259" t="str">
        <f>IF($AK$135="Y",IFERROR($M144*(SUM($F$7,$F$5,$F$6)/SUMIF($H$5:$H$16,"Y",$F$5:$F$16))*('Emissions Factors'!$T$143*$F$22)/10^6,""),"")</f>
        <v/>
      </c>
      <c r="AL144" s="259">
        <f t="shared" si="51"/>
        <v>9.2378976657888259E-2</v>
      </c>
      <c r="AM144" s="259">
        <f t="shared" si="52"/>
        <v>3.6738737700171629E-2</v>
      </c>
      <c r="AO144" s="180">
        <f t="shared" si="44"/>
        <v>0.12911771435805988</v>
      </c>
      <c r="AP144" s="180">
        <f t="shared" si="45"/>
        <v>0</v>
      </c>
      <c r="AS144" s="430"/>
      <c r="AT144" s="478">
        <v>2023</v>
      </c>
      <c r="AU144" s="479">
        <f t="shared" si="46"/>
        <v>0.2360565286710509</v>
      </c>
      <c r="AV144" s="479">
        <f t="shared" si="46"/>
        <v>0</v>
      </c>
      <c r="AW144" s="430"/>
      <c r="AX144" s="479">
        <f t="shared" si="38"/>
        <v>6.4558857179029941E-2</v>
      </c>
      <c r="AY144" s="479">
        <f t="shared" si="38"/>
        <v>0</v>
      </c>
      <c r="AZ144" s="430"/>
      <c r="BA144" s="479">
        <f t="shared" si="39"/>
        <v>0.17149767149202094</v>
      </c>
      <c r="BB144" s="479">
        <f t="shared" si="39"/>
        <v>0</v>
      </c>
      <c r="BC144" s="516"/>
      <c r="BE144" s="480">
        <f t="shared" si="40"/>
        <v>0.2734889712327927</v>
      </c>
      <c r="BF144" s="480" t="str">
        <f t="shared" si="41"/>
        <v/>
      </c>
    </row>
    <row r="145" spans="1:58" ht="15.6" x14ac:dyDescent="0.3">
      <c r="A145" s="152">
        <v>2024</v>
      </c>
      <c r="B145" s="178"/>
      <c r="C145" s="182"/>
      <c r="D145" s="183"/>
      <c r="E145" s="179">
        <f t="shared" si="47"/>
        <v>8.6504428540969347E-2</v>
      </c>
      <c r="F145" s="183">
        <f t="shared" si="48"/>
        <v>2.8496619823849031E-2</v>
      </c>
      <c r="G145" s="247">
        <f t="shared" si="35"/>
        <v>2.4559869502139078E-2</v>
      </c>
      <c r="H145" s="246"/>
      <c r="I145" s="417"/>
      <c r="J145" s="178"/>
      <c r="K145" s="182"/>
      <c r="L145" s="183"/>
      <c r="M145" s="179">
        <f t="shared" si="36"/>
        <v>0.10532665492961957</v>
      </c>
      <c r="N145" s="183">
        <f t="shared" si="53"/>
        <v>3.5288140620374553E-2</v>
      </c>
      <c r="O145" s="247">
        <f t="shared" si="37"/>
        <v>2.9903774220566663E-2</v>
      </c>
      <c r="P145" s="246"/>
      <c r="Q145" s="417"/>
      <c r="R145" s="182"/>
      <c r="S145" s="178"/>
      <c r="T145" s="182"/>
      <c r="U145" s="178"/>
      <c r="V145" s="506"/>
      <c r="W145" s="259" t="str">
        <f>IF($W$135="Y",IFERROR(E145*($F$8/SUMIF($H$5:$H$16,"Y",$F$5:$F$16))*$F$21*'Emissions Factors'!$B21,""),"")</f>
        <v/>
      </c>
      <c r="X145" s="259" t="str">
        <f>IF($X$135="Y",IFERROR($E145*(SUM($F$7,$F$5,$F$6)/SUMIF($H$5:$H$16,"Y",$F$5:$F$16))*('Emissions Factors'!$T$143*$F$22)/10^6,""),"")</f>
        <v/>
      </c>
      <c r="Y145" s="259">
        <f t="shared" si="49"/>
        <v>0.11409708877755766</v>
      </c>
      <c r="Z145" s="259">
        <f t="shared" si="50"/>
        <v>4.5375941243379743E-2</v>
      </c>
      <c r="AA145" s="509"/>
      <c r="AB145" s="180">
        <f t="shared" si="42"/>
        <v>0.15947303002093741</v>
      </c>
      <c r="AC145" s="180">
        <f t="shared" si="43"/>
        <v>0</v>
      </c>
      <c r="AE145" s="182"/>
      <c r="AF145" s="178"/>
      <c r="AG145" s="182"/>
      <c r="AH145" s="178"/>
      <c r="AJ145" s="259" t="str">
        <f>IF($AJ$135="Y",IFERROR(M145*($F$8/SUMIF($H$5:$H$16,"Y",$F$5:$F$16))*$F$21*'Emissions Factors'!$B21,""),"")</f>
        <v/>
      </c>
      <c r="AK145" s="259" t="str">
        <f>IF($AK$135="Y",IFERROR($M145*(SUM($F$7,$F$5,$F$6)/SUMIF($H$5:$H$16,"Y",$F$5:$F$16))*('Emissions Factors'!$T$143*$F$22)/10^6,""),"")</f>
        <v/>
      </c>
      <c r="AL145" s="259">
        <f t="shared" si="51"/>
        <v>0.13892311527676751</v>
      </c>
      <c r="AM145" s="259">
        <f t="shared" si="52"/>
        <v>5.5249149506659406E-2</v>
      </c>
      <c r="AO145" s="180">
        <f t="shared" si="44"/>
        <v>0.19417226478342692</v>
      </c>
      <c r="AP145" s="180">
        <f t="shared" si="45"/>
        <v>0</v>
      </c>
      <c r="AS145" s="430"/>
      <c r="AT145" s="478">
        <v>2024</v>
      </c>
      <c r="AU145" s="479">
        <f t="shared" si="46"/>
        <v>0.35364529480436435</v>
      </c>
      <c r="AV145" s="479">
        <f t="shared" si="46"/>
        <v>0</v>
      </c>
      <c r="AW145" s="430"/>
      <c r="AX145" s="479">
        <f t="shared" si="38"/>
        <v>9.7086132391713459E-2</v>
      </c>
      <c r="AY145" s="479">
        <f t="shared" si="38"/>
        <v>0</v>
      </c>
      <c r="AZ145" s="430"/>
      <c r="BA145" s="479">
        <f t="shared" si="39"/>
        <v>0.25655916241265087</v>
      </c>
      <c r="BB145" s="479">
        <f t="shared" si="39"/>
        <v>0</v>
      </c>
      <c r="BC145" s="516"/>
      <c r="BE145" s="480">
        <f t="shared" si="40"/>
        <v>0.274529687848445</v>
      </c>
      <c r="BF145" s="480" t="str">
        <f t="shared" si="41"/>
        <v/>
      </c>
    </row>
    <row r="146" spans="1:58" ht="15.6" x14ac:dyDescent="0.3">
      <c r="A146" s="152">
        <v>2025</v>
      </c>
      <c r="B146" s="178"/>
      <c r="C146" s="182"/>
      <c r="D146" s="183"/>
      <c r="E146" s="179">
        <f t="shared" si="47"/>
        <v>0.11840176530849184</v>
      </c>
      <c r="F146" s="183">
        <f t="shared" si="48"/>
        <v>3.1897336767522488E-2</v>
      </c>
      <c r="G146" s="247">
        <f t="shared" si="35"/>
        <v>2.4656762255999616E-2</v>
      </c>
      <c r="H146" s="246"/>
      <c r="I146" s="417"/>
      <c r="J146" s="178"/>
      <c r="K146" s="182"/>
      <c r="L146" s="183"/>
      <c r="M146" s="179">
        <f t="shared" si="36"/>
        <v>0.14519155983159787</v>
      </c>
      <c r="N146" s="183">
        <f t="shared" si="53"/>
        <v>3.9864904901978304E-2</v>
      </c>
      <c r="O146" s="247">
        <f t="shared" si="37"/>
        <v>3.0235645245812025E-2</v>
      </c>
      <c r="P146" s="246"/>
      <c r="Q146" s="417"/>
      <c r="R146" s="182"/>
      <c r="S146" s="178"/>
      <c r="T146" s="182"/>
      <c r="U146" s="178"/>
      <c r="V146" s="506"/>
      <c r="W146" s="259" t="str">
        <f>IF($W$135="Y",IFERROR(E146*($F$8/SUMIF($H$5:$H$16,"Y",$F$5:$F$16))*$F$21*'Emissions Factors'!$B22,""),"")</f>
        <v/>
      </c>
      <c r="X146" s="259" t="str">
        <f>IF($X$135="Y",IFERROR($E146*(SUM($F$7,$F$5,$F$6)/SUMIF($H$5:$H$16,"Y",$F$5:$F$16))*('Emissions Factors'!$T$143*$F$22)/10^6,""),"")</f>
        <v/>
      </c>
      <c r="Y146" s="259">
        <f t="shared" si="49"/>
        <v>0.15616884540684992</v>
      </c>
      <c r="Z146" s="259">
        <f t="shared" si="50"/>
        <v>6.2107705193452052E-2</v>
      </c>
      <c r="AA146" s="509"/>
      <c r="AB146" s="180">
        <f t="shared" si="42"/>
        <v>0.21827655060030196</v>
      </c>
      <c r="AC146" s="180">
        <f t="shared" si="43"/>
        <v>0</v>
      </c>
      <c r="AE146" s="182"/>
      <c r="AF146" s="178"/>
      <c r="AG146" s="182"/>
      <c r="AH146" s="178"/>
      <c r="AJ146" s="259" t="str">
        <f>IF($AJ$135="Y",IFERROR(M146*($F$8/SUMIF($H$5:$H$16,"Y",$F$5:$F$16))*$F$21*'Emissions Factors'!$B22,""),"")</f>
        <v/>
      </c>
      <c r="AK146" s="259" t="str">
        <f>IF($AK$135="Y",IFERROR($M146*(SUM($F$7,$F$5,$F$6)/SUMIF($H$5:$H$16,"Y",$F$5:$F$16))*('Emissions Factors'!$T$143*$F$22)/10^6,""),"")</f>
        <v/>
      </c>
      <c r="AL146" s="259">
        <f t="shared" si="51"/>
        <v>0.19150388680981928</v>
      </c>
      <c r="AM146" s="259">
        <f t="shared" si="52"/>
        <v>7.6160305305444584E-2</v>
      </c>
      <c r="AO146" s="180">
        <f t="shared" si="44"/>
        <v>0.26766419211526388</v>
      </c>
      <c r="AP146" s="180">
        <f t="shared" si="45"/>
        <v>0</v>
      </c>
      <c r="AS146" s="430"/>
      <c r="AT146" s="478">
        <v>2025</v>
      </c>
      <c r="AU146" s="479">
        <f t="shared" si="46"/>
        <v>0.48594074271556587</v>
      </c>
      <c r="AV146" s="479">
        <f t="shared" si="46"/>
        <v>0</v>
      </c>
      <c r="AW146" s="430"/>
      <c r="AX146" s="479">
        <f t="shared" si="38"/>
        <v>0.13383209605763194</v>
      </c>
      <c r="AY146" s="479">
        <f t="shared" si="38"/>
        <v>0</v>
      </c>
      <c r="AZ146" s="430"/>
      <c r="BA146" s="479">
        <f t="shared" si="39"/>
        <v>0.35210864665793395</v>
      </c>
      <c r="BB146" s="479">
        <f t="shared" si="39"/>
        <v>0</v>
      </c>
      <c r="BC146" s="516"/>
      <c r="BE146" s="480">
        <f t="shared" si="40"/>
        <v>0.27540826338154456</v>
      </c>
      <c r="BF146" s="480" t="str">
        <f t="shared" si="41"/>
        <v/>
      </c>
    </row>
    <row r="147" spans="1:58" ht="15.6" x14ac:dyDescent="0.3">
      <c r="A147" s="152">
        <v>2026</v>
      </c>
      <c r="B147" s="178"/>
      <c r="C147" s="182"/>
      <c r="D147" s="183"/>
      <c r="E147" s="179">
        <f t="shared" si="47"/>
        <v>0.15328193609133312</v>
      </c>
      <c r="F147" s="183">
        <f t="shared" si="48"/>
        <v>3.488017078284128E-2</v>
      </c>
      <c r="G147" s="247">
        <f t="shared" si="35"/>
        <v>2.4584406421823943E-2</v>
      </c>
      <c r="H147" s="246"/>
      <c r="I147" s="417"/>
      <c r="J147" s="178"/>
      <c r="K147" s="182"/>
      <c r="L147" s="183"/>
      <c r="M147" s="179">
        <f t="shared" si="36"/>
        <v>0.189036930512019</v>
      </c>
      <c r="N147" s="183">
        <f t="shared" si="53"/>
        <v>4.3845370680421131E-2</v>
      </c>
      <c r="O147" s="247">
        <f t="shared" si="37"/>
        <v>3.0319037239146265E-2</v>
      </c>
      <c r="P147" s="246"/>
      <c r="Q147" s="417"/>
      <c r="R147" s="182"/>
      <c r="S147" s="178"/>
      <c r="T147" s="182"/>
      <c r="U147" s="178"/>
      <c r="V147" s="506"/>
      <c r="W147" s="259" t="str">
        <f>IF($W$135="Y",IFERROR(E147*($F$8/SUMIF($H$5:$H$16,"Y",$F$5:$F$16))*$F$21*'Emissions Factors'!$B23,""),"")</f>
        <v/>
      </c>
      <c r="X147" s="259" t="str">
        <f>IF($X$135="Y",IFERROR($E147*(SUM($F$7,$F$5,$F$6)/SUMIF($H$5:$H$16,"Y",$F$5:$F$16))*('Emissions Factors'!$T$143*$F$22)/10^6,""),"")</f>
        <v/>
      </c>
      <c r="Y147" s="259">
        <f t="shared" si="49"/>
        <v>0.20217488243305115</v>
      </c>
      <c r="Z147" s="259">
        <f t="shared" si="50"/>
        <v>8.0404116217676833E-2</v>
      </c>
      <c r="AA147" s="509"/>
      <c r="AB147" s="180">
        <f t="shared" si="42"/>
        <v>0.282578998650728</v>
      </c>
      <c r="AC147" s="180">
        <f t="shared" si="43"/>
        <v>0</v>
      </c>
      <c r="AE147" s="182"/>
      <c r="AF147" s="178"/>
      <c r="AG147" s="182"/>
      <c r="AH147" s="178"/>
      <c r="AJ147" s="259" t="str">
        <f>IF($AJ$135="Y",IFERROR(M147*($F$8/SUMIF($H$5:$H$16,"Y",$F$5:$F$16))*$F$21*'Emissions Factors'!$B23,""),"")</f>
        <v/>
      </c>
      <c r="AK147" s="259" t="str">
        <f>IF($AK$135="Y",IFERROR($M147*(SUM($F$7,$F$5,$F$6)/SUMIF($H$5:$H$16,"Y",$F$5:$F$16))*('Emissions Factors'!$T$143*$F$22)/10^6,""),"")</f>
        <v/>
      </c>
      <c r="AL147" s="259">
        <f t="shared" si="51"/>
        <v>0.24933478905824741</v>
      </c>
      <c r="AM147" s="259">
        <f t="shared" si="52"/>
        <v>9.9159416418544824E-2</v>
      </c>
      <c r="AO147" s="180">
        <f t="shared" si="44"/>
        <v>0.34849420547679222</v>
      </c>
      <c r="AP147" s="180">
        <f t="shared" si="45"/>
        <v>0</v>
      </c>
      <c r="AS147" s="430"/>
      <c r="AT147" s="478">
        <v>2026</v>
      </c>
      <c r="AU147" s="479">
        <f t="shared" si="46"/>
        <v>0.63107320412752022</v>
      </c>
      <c r="AV147" s="479">
        <f t="shared" si="46"/>
        <v>0</v>
      </c>
      <c r="AW147" s="430"/>
      <c r="AX147" s="479">
        <f t="shared" si="38"/>
        <v>0.17424710273839611</v>
      </c>
      <c r="AY147" s="479">
        <f t="shared" si="38"/>
        <v>0</v>
      </c>
      <c r="AZ147" s="430"/>
      <c r="BA147" s="479">
        <f t="shared" si="39"/>
        <v>0.45682610138912411</v>
      </c>
      <c r="BB147" s="479">
        <f t="shared" si="39"/>
        <v>0</v>
      </c>
      <c r="BC147" s="516"/>
      <c r="BE147" s="480">
        <f t="shared" si="40"/>
        <v>0.27611234576074029</v>
      </c>
      <c r="BF147" s="480" t="str">
        <f t="shared" si="41"/>
        <v/>
      </c>
    </row>
    <row r="148" spans="1:58" ht="15.6" x14ac:dyDescent="0.3">
      <c r="A148" s="152">
        <v>2027</v>
      </c>
      <c r="B148" s="178"/>
      <c r="C148" s="182"/>
      <c r="D148" s="183"/>
      <c r="E148" s="179">
        <f t="shared" si="47"/>
        <v>0.19087356142117484</v>
      </c>
      <c r="F148" s="183">
        <f t="shared" si="48"/>
        <v>3.7591625329841727E-2</v>
      </c>
      <c r="G148" s="247">
        <f t="shared" si="35"/>
        <v>2.4411824938285021E-2</v>
      </c>
      <c r="H148" s="246"/>
      <c r="I148" s="417"/>
      <c r="J148" s="178"/>
      <c r="K148" s="182"/>
      <c r="L148" s="183"/>
      <c r="M148" s="179">
        <f t="shared" si="36"/>
        <v>0.23637674576004525</v>
      </c>
      <c r="N148" s="183">
        <f t="shared" si="53"/>
        <v>4.7339815248026246E-2</v>
      </c>
      <c r="O148" s="247">
        <f t="shared" si="37"/>
        <v>3.0231466809816563E-2</v>
      </c>
      <c r="P148" s="246"/>
      <c r="Q148" s="417"/>
      <c r="R148" s="182"/>
      <c r="S148" s="178"/>
      <c r="T148" s="182"/>
      <c r="U148" s="182"/>
      <c r="V148" s="506"/>
      <c r="W148" s="259" t="str">
        <f>IF($W$135="Y",IFERROR(E148*($F$8/SUMIF($H$5:$H$16,"Y",$F$5:$F$16))*$F$21*'Emissions Factors'!$B24,""),"")</f>
        <v/>
      </c>
      <c r="X148" s="259" t="str">
        <f>IF($X$135="Y",IFERROR($E148*(SUM($F$7,$F$5,$F$6)/SUMIF($H$5:$H$16,"Y",$F$5:$F$16))*('Emissions Factors'!$T$143*$F$22)/10^6,""),"")</f>
        <v/>
      </c>
      <c r="Y148" s="259">
        <f t="shared" si="49"/>
        <v>0.25175725740383403</v>
      </c>
      <c r="Z148" s="259">
        <f t="shared" si="50"/>
        <v>0.10012282208025798</v>
      </c>
      <c r="AA148" s="509"/>
      <c r="AB148" s="180">
        <f t="shared" si="42"/>
        <v>0.351880079484092</v>
      </c>
      <c r="AC148" s="180">
        <f>SUM(R148:U148)</f>
        <v>0</v>
      </c>
      <c r="AE148" s="182"/>
      <c r="AF148" s="178"/>
      <c r="AG148" s="182"/>
      <c r="AH148" s="178"/>
      <c r="AJ148" s="259" t="str">
        <f>IF($AJ$135="Y",IFERROR(M148*($F$8/SUMIF($H$5:$H$16,"Y",$F$5:$F$16))*$F$21*'Emissions Factors'!$B24,""),"")</f>
        <v/>
      </c>
      <c r="AK148" s="259" t="str">
        <f>IF($AK$135="Y",IFERROR($M148*(SUM($F$7,$F$5,$F$6)/SUMIF($H$5:$H$16,"Y",$F$5:$F$16))*('Emissions Factors'!$T$143*$F$22)/10^6,""),"")</f>
        <v/>
      </c>
      <c r="AL148" s="259">
        <f t="shared" si="51"/>
        <v>0.3117747727003462</v>
      </c>
      <c r="AM148" s="259">
        <f t="shared" si="52"/>
        <v>0.12399154017680461</v>
      </c>
      <c r="AO148" s="180">
        <f t="shared" si="44"/>
        <v>0.43576631287715084</v>
      </c>
      <c r="AP148" s="180">
        <f t="shared" si="45"/>
        <v>0</v>
      </c>
      <c r="AS148" s="430"/>
      <c r="AT148" s="478">
        <v>2027</v>
      </c>
      <c r="AU148" s="479">
        <f t="shared" si="46"/>
        <v>0.7876463923612429</v>
      </c>
      <c r="AV148" s="479">
        <f t="shared" si="46"/>
        <v>0</v>
      </c>
      <c r="AW148" s="430"/>
      <c r="AX148" s="479">
        <f t="shared" si="38"/>
        <v>0.21788315643857542</v>
      </c>
      <c r="AY148" s="479">
        <f t="shared" si="38"/>
        <v>0</v>
      </c>
      <c r="AZ148" s="430"/>
      <c r="BA148" s="479">
        <f t="shared" si="39"/>
        <v>0.56976323592266742</v>
      </c>
      <c r="BB148" s="479">
        <f t="shared" si="39"/>
        <v>0</v>
      </c>
      <c r="BC148" s="516"/>
      <c r="BE148" s="480">
        <f t="shared" si="40"/>
        <v>0.27662560071581765</v>
      </c>
      <c r="BF148" s="480" t="str">
        <f t="shared" si="41"/>
        <v/>
      </c>
    </row>
    <row r="149" spans="1:58" ht="15.6" x14ac:dyDescent="0.3">
      <c r="A149" s="152">
        <v>2028</v>
      </c>
      <c r="B149" s="178"/>
      <c r="C149" s="182"/>
      <c r="D149" s="183"/>
      <c r="E149" s="179">
        <f t="shared" si="47"/>
        <v>0.23125082589773083</v>
      </c>
      <c r="F149" s="183">
        <f t="shared" si="48"/>
        <v>4.0377264476555985E-2</v>
      </c>
      <c r="G149" s="247">
        <f t="shared" si="35"/>
        <v>2.4194995921575538E-2</v>
      </c>
      <c r="H149" s="246"/>
      <c r="I149" s="417"/>
      <c r="J149" s="178"/>
      <c r="K149" s="182"/>
      <c r="L149" s="183"/>
      <c r="M149" s="179">
        <f t="shared" si="36"/>
        <v>0.28706628680887059</v>
      </c>
      <c r="N149" s="183">
        <f t="shared" si="53"/>
        <v>5.0689541048825337E-2</v>
      </c>
      <c r="O149" s="247">
        <f t="shared" si="37"/>
        <v>3.0034779817971723E-2</v>
      </c>
      <c r="P149" s="246"/>
      <c r="Q149" s="417"/>
      <c r="R149" s="182"/>
      <c r="S149" s="178"/>
      <c r="T149" s="182"/>
      <c r="U149" s="178"/>
      <c r="V149" s="506"/>
      <c r="W149" s="259" t="str">
        <f>IF($W$135="Y",IFERROR(E149*($F$8/SUMIF($H$5:$H$16,"Y",$F$5:$F$16))*$F$21*'Emissions Factors'!$B25,""),"")</f>
        <v/>
      </c>
      <c r="X149" s="259" t="str">
        <f>IF($X$135="Y",IFERROR($E149*(SUM($F$7,$F$5,$F$6)/SUMIF($H$5:$H$16,"Y",$F$5:$F$16))*('Emissions Factors'!$T$143*$F$22)/10^6,""),"")</f>
        <v/>
      </c>
      <c r="Y149" s="259">
        <f t="shared" si="49"/>
        <v>0.30501381787454623</v>
      </c>
      <c r="Z149" s="259">
        <f t="shared" si="50"/>
        <v>0.12130273635006766</v>
      </c>
      <c r="AA149" s="509"/>
      <c r="AB149" s="180">
        <f t="shared" si="42"/>
        <v>0.4263165542246139</v>
      </c>
      <c r="AC149" s="180">
        <f t="shared" si="43"/>
        <v>0</v>
      </c>
      <c r="AE149" s="182"/>
      <c r="AF149" s="178"/>
      <c r="AG149" s="182"/>
      <c r="AH149" s="178"/>
      <c r="AJ149" s="259" t="str">
        <f>IF($AJ$135="Y",IFERROR(M149*($F$8/SUMIF($H$5:$H$16,"Y",$F$5:$F$16))*$F$21*'Emissions Factors'!$B25,""),"")</f>
        <v/>
      </c>
      <c r="AK149" s="259" t="str">
        <f>IF($AK$135="Y",IFERROR($M149*(SUM($F$7,$F$5,$F$6)/SUMIF($H$5:$H$16,"Y",$F$5:$F$16))*('Emissions Factors'!$T$143*$F$22)/10^6,""),"")</f>
        <v/>
      </c>
      <c r="AL149" s="259">
        <f t="shared" si="51"/>
        <v>0.37863295745099557</v>
      </c>
      <c r="AM149" s="259">
        <f t="shared" si="52"/>
        <v>0.15058076427873646</v>
      </c>
      <c r="AO149" s="180">
        <f t="shared" si="44"/>
        <v>0.52921372172973202</v>
      </c>
      <c r="AP149" s="180">
        <f t="shared" si="45"/>
        <v>0</v>
      </c>
      <c r="AS149" s="430"/>
      <c r="AT149" s="478">
        <v>2028</v>
      </c>
      <c r="AU149" s="479">
        <f t="shared" si="46"/>
        <v>0.95553027595434592</v>
      </c>
      <c r="AV149" s="479">
        <f t="shared" si="46"/>
        <v>0</v>
      </c>
      <c r="AW149" s="430"/>
      <c r="AX149" s="479">
        <f t="shared" si="38"/>
        <v>0.26460686086486601</v>
      </c>
      <c r="AY149" s="479">
        <f t="shared" si="38"/>
        <v>0</v>
      </c>
      <c r="AZ149" s="430"/>
      <c r="BA149" s="479">
        <f t="shared" si="39"/>
        <v>0.69092341508947985</v>
      </c>
      <c r="BB149" s="479">
        <f t="shared" si="39"/>
        <v>0</v>
      </c>
      <c r="BC149" s="516"/>
      <c r="BE149" s="480">
        <f t="shared" si="40"/>
        <v>0.27692148278670409</v>
      </c>
      <c r="BF149" s="480" t="str">
        <f t="shared" si="41"/>
        <v/>
      </c>
    </row>
    <row r="150" spans="1:58" ht="15.6" x14ac:dyDescent="0.3">
      <c r="A150" s="152">
        <v>2029</v>
      </c>
      <c r="B150" s="178"/>
      <c r="C150" s="182"/>
      <c r="D150" s="183"/>
      <c r="E150" s="179">
        <f t="shared" si="47"/>
        <v>0.27467654692684856</v>
      </c>
      <c r="F150" s="183">
        <f t="shared" si="48"/>
        <v>4.3425721029117736E-2</v>
      </c>
      <c r="G150" s="247">
        <f t="shared" si="35"/>
        <v>2.3973377343494685E-2</v>
      </c>
      <c r="H150" s="246"/>
      <c r="I150" s="417"/>
      <c r="J150" s="178"/>
      <c r="K150" s="182"/>
      <c r="L150" s="183"/>
      <c r="M150" s="179">
        <f t="shared" si="36"/>
        <v>0.3410941617531516</v>
      </c>
      <c r="N150" s="183">
        <f t="shared" si="53"/>
        <v>5.4027874944281018E-2</v>
      </c>
      <c r="O150" s="247">
        <f t="shared" si="37"/>
        <v>2.9770212057999439E-2</v>
      </c>
      <c r="P150" s="246"/>
      <c r="Q150" s="417"/>
      <c r="R150" s="182"/>
      <c r="S150" s="178"/>
      <c r="T150" s="182"/>
      <c r="U150" s="178"/>
      <c r="V150" s="506"/>
      <c r="W150" s="259" t="str">
        <f>IF($W$135="Y",IFERROR(E150*($F$8/SUMIF($H$5:$H$16,"Y",$F$5:$F$16))*$F$21*'Emissions Factors'!$B26,""),"")</f>
        <v/>
      </c>
      <c r="X150" s="259" t="str">
        <f>IF($X$135="Y",IFERROR($E150*(SUM($F$7,$F$5,$F$6)/SUMIF($H$5:$H$16,"Y",$F$5:$F$16))*('Emissions Factors'!$T$143*$F$22)/10^6,""),"")</f>
        <v/>
      </c>
      <c r="Y150" s="259">
        <f t="shared" si="49"/>
        <v>0.36229121316006135</v>
      </c>
      <c r="Z150" s="259">
        <f t="shared" si="50"/>
        <v>0.14408172002875189</v>
      </c>
      <c r="AA150" s="509"/>
      <c r="AB150" s="180">
        <f t="shared" si="42"/>
        <v>0.50637293318881327</v>
      </c>
      <c r="AC150" s="180">
        <f t="shared" si="43"/>
        <v>0</v>
      </c>
      <c r="AE150" s="182"/>
      <c r="AF150" s="178"/>
      <c r="AG150" s="182"/>
      <c r="AH150" s="178"/>
      <c r="AJ150" s="259" t="str">
        <f>IF($AJ$135="Y",IFERROR(M150*($F$8/SUMIF($H$5:$H$16,"Y",$F$5:$F$16))*$F$21*'Emissions Factors'!$B26,""),"")</f>
        <v/>
      </c>
      <c r="AK150" s="259" t="str">
        <f>IF($AK$135="Y",IFERROR($M150*(SUM($F$7,$F$5,$F$6)/SUMIF($H$5:$H$16,"Y",$F$5:$F$16))*('Emissions Factors'!$T$143*$F$22)/10^6,""),"")</f>
        <v/>
      </c>
      <c r="AL150" s="259">
        <f t="shared" si="51"/>
        <v>0.44989431768367871</v>
      </c>
      <c r="AM150" s="259">
        <f t="shared" si="52"/>
        <v>0.17892111309469655</v>
      </c>
      <c r="AO150" s="180">
        <f t="shared" si="44"/>
        <v>0.62881543077837532</v>
      </c>
      <c r="AP150" s="180">
        <f t="shared" si="45"/>
        <v>0</v>
      </c>
      <c r="AS150" s="430"/>
      <c r="AT150" s="478">
        <v>2029</v>
      </c>
      <c r="AU150" s="479">
        <f t="shared" si="46"/>
        <v>1.1351883639671887</v>
      </c>
      <c r="AV150" s="479">
        <f t="shared" si="46"/>
        <v>0</v>
      </c>
      <c r="AW150" s="430"/>
      <c r="AX150" s="479">
        <f t="shared" si="38"/>
        <v>0.31440771538918766</v>
      </c>
      <c r="AY150" s="479">
        <f t="shared" si="38"/>
        <v>0</v>
      </c>
      <c r="AZ150" s="430"/>
      <c r="BA150" s="479">
        <f t="shared" si="39"/>
        <v>0.82078064857800104</v>
      </c>
      <c r="BB150" s="479">
        <f t="shared" si="39"/>
        <v>0</v>
      </c>
      <c r="BC150" s="516"/>
      <c r="BE150" s="480">
        <f t="shared" si="40"/>
        <v>0.27696523798959172</v>
      </c>
      <c r="BF150" s="480" t="str">
        <f t="shared" si="41"/>
        <v/>
      </c>
    </row>
    <row r="151" spans="1:58" ht="15.6" x14ac:dyDescent="0.3">
      <c r="A151" s="152">
        <v>2030</v>
      </c>
      <c r="B151" s="178"/>
      <c r="C151" s="182"/>
      <c r="D151" s="183"/>
      <c r="E151" s="179">
        <f t="shared" si="47"/>
        <v>0.32147441077603989</v>
      </c>
      <c r="F151" s="183">
        <f t="shared" si="48"/>
        <v>4.6797863849191323E-2</v>
      </c>
      <c r="G151" s="247">
        <f t="shared" si="35"/>
        <v>2.3769305807103399E-2</v>
      </c>
      <c r="H151" s="246"/>
      <c r="I151" s="417"/>
      <c r="J151" s="178"/>
      <c r="K151" s="182"/>
      <c r="L151" s="183"/>
      <c r="M151" s="179">
        <f t="shared" si="36"/>
        <v>0.39841944546222835</v>
      </c>
      <c r="N151" s="183">
        <f t="shared" si="53"/>
        <v>5.7325283709076746E-2</v>
      </c>
      <c r="O151" s="247">
        <f t="shared" si="37"/>
        <v>2.9458499094305174E-2</v>
      </c>
      <c r="P151" s="246"/>
      <c r="Q151" s="417"/>
      <c r="R151" s="182"/>
      <c r="S151" s="178"/>
      <c r="T151" s="182"/>
      <c r="U151" s="178"/>
      <c r="V151" s="506"/>
      <c r="W151" s="259" t="str">
        <f>IF($W$135="Y",IFERROR(E151*($F$8/SUMIF($H$5:$H$16,"Y",$F$5:$F$16))*$F$21*'Emissions Factors'!$B27,""),"")</f>
        <v/>
      </c>
      <c r="X151" s="259" t="str">
        <f>IF($X$135="Y",IFERROR($E151*(SUM($F$7,$F$5,$F$6)/SUMIF($H$5:$H$16,"Y",$F$5:$F$16))*('Emissions Factors'!$T$143*$F$22)/10^6,""),"")</f>
        <v/>
      </c>
      <c r="Y151" s="259">
        <f t="shared" si="49"/>
        <v>0.42401637701883882</v>
      </c>
      <c r="Z151" s="259">
        <f t="shared" si="50"/>
        <v>0.1686295629097771</v>
      </c>
      <c r="AA151" s="509"/>
      <c r="AB151" s="180">
        <f t="shared" si="42"/>
        <v>0.59264593992861592</v>
      </c>
      <c r="AC151" s="180">
        <f t="shared" si="43"/>
        <v>0</v>
      </c>
      <c r="AE151" s="182"/>
      <c r="AF151" s="178"/>
      <c r="AG151" s="182"/>
      <c r="AH151" s="178"/>
      <c r="AJ151" s="259" t="str">
        <f>IF($AJ$135="Y",IFERROR(M151*($F$8/SUMIF($H$5:$H$16,"Y",$F$5:$F$16))*$F$21*'Emissions Factors'!$B27,""),"")</f>
        <v/>
      </c>
      <c r="AK151" s="259" t="str">
        <f>IF($AK$135="Y",IFERROR($M151*(SUM($F$7,$F$5,$F$6)/SUMIF($H$5:$H$16,"Y",$F$5:$F$16))*('Emissions Factors'!$T$143*$F$22)/10^6,""),"")</f>
        <v/>
      </c>
      <c r="AL151" s="259">
        <f t="shared" si="51"/>
        <v>0.52550487421669478</v>
      </c>
      <c r="AM151" s="259">
        <f t="shared" si="52"/>
        <v>0.20899111932693462</v>
      </c>
      <c r="AO151" s="180">
        <f t="shared" si="44"/>
        <v>0.73449599354362938</v>
      </c>
      <c r="AP151" s="180">
        <f t="shared" si="45"/>
        <v>0</v>
      </c>
      <c r="AS151" s="430"/>
      <c r="AT151" s="478">
        <v>2030</v>
      </c>
      <c r="AU151" s="479">
        <f t="shared" si="46"/>
        <v>1.3271419334722454</v>
      </c>
      <c r="AV151" s="479">
        <f t="shared" si="46"/>
        <v>0</v>
      </c>
      <c r="AW151" s="430"/>
      <c r="AX151" s="479">
        <f t="shared" si="38"/>
        <v>0.36724799677181469</v>
      </c>
      <c r="AY151" s="479">
        <f t="shared" si="38"/>
        <v>0</v>
      </c>
      <c r="AZ151" s="430"/>
      <c r="BA151" s="479">
        <f t="shared" si="39"/>
        <v>0.95989393670043066</v>
      </c>
      <c r="BB151" s="479">
        <f t="shared" si="39"/>
        <v>0</v>
      </c>
      <c r="BC151" s="516"/>
      <c r="BE151" s="480">
        <f t="shared" si="40"/>
        <v>0.27672096518792949</v>
      </c>
      <c r="BF151" s="480" t="str">
        <f t="shared" si="41"/>
        <v/>
      </c>
    </row>
    <row r="152" spans="1:58" ht="15.6" x14ac:dyDescent="0.3">
      <c r="A152" s="152">
        <v>2031</v>
      </c>
      <c r="B152" s="178"/>
      <c r="C152" s="182"/>
      <c r="D152" s="183"/>
      <c r="E152" s="179">
        <f t="shared" si="47"/>
        <v>0.37178479988794866</v>
      </c>
      <c r="F152" s="183">
        <f t="shared" si="48"/>
        <v>5.0310389111908771E-2</v>
      </c>
      <c r="G152" s="247">
        <f t="shared" si="35"/>
        <v>2.3585384735861952E-2</v>
      </c>
      <c r="H152" s="246"/>
      <c r="I152" s="417"/>
      <c r="J152" s="178"/>
      <c r="K152" s="182"/>
      <c r="L152" s="183"/>
      <c r="M152" s="179">
        <f t="shared" si="36"/>
        <v>0.4587088914130229</v>
      </c>
      <c r="N152" s="183">
        <f t="shared" si="53"/>
        <v>6.0289445950794551E-2</v>
      </c>
      <c r="O152" s="247">
        <f t="shared" si="37"/>
        <v>2.909969877466085E-2</v>
      </c>
      <c r="P152" s="246"/>
      <c r="Q152" s="417"/>
      <c r="R152" s="182"/>
      <c r="S152" s="178"/>
      <c r="T152" s="182"/>
      <c r="U152" s="178"/>
      <c r="V152" s="506"/>
      <c r="W152" s="259" t="str">
        <f>IF($W$135="Y",IFERROR(E152*($F$8/SUMIF($H$5:$H$16,"Y",$F$5:$F$16))*$F$21*'Emissions Factors'!$B28,""),"")</f>
        <v/>
      </c>
      <c r="X152" s="259" t="str">
        <f>IF($X$135="Y",IFERROR($E152*(SUM($F$7,$F$5,$F$6)/SUMIF($H$5:$H$16,"Y",$F$5:$F$16))*('Emissions Factors'!$T$143*$F$22)/10^6,""),"")</f>
        <v/>
      </c>
      <c r="Y152" s="259">
        <f t="shared" si="49"/>
        <v>0.49037447023734126</v>
      </c>
      <c r="Z152" s="259">
        <f t="shared" si="50"/>
        <v>0.1950199026736234</v>
      </c>
      <c r="AA152" s="509"/>
      <c r="AB152" s="180">
        <f t="shared" si="42"/>
        <v>0.68539437291096461</v>
      </c>
      <c r="AC152" s="180">
        <f t="shared" si="43"/>
        <v>0</v>
      </c>
      <c r="AE152" s="182"/>
      <c r="AF152" s="178"/>
      <c r="AG152" s="182"/>
      <c r="AH152" s="178"/>
      <c r="AJ152" s="259" t="str">
        <f>IF($AJ$135="Y",IFERROR(M152*($F$8/SUMIF($H$5:$H$16,"Y",$F$5:$F$16))*$F$21*'Emissions Factors'!$B28,""),"")</f>
        <v/>
      </c>
      <c r="AK152" s="259" t="str">
        <f>IF($AK$135="Y",IFERROR($M152*(SUM($F$7,$F$5,$F$6)/SUMIF($H$5:$H$16,"Y",$F$5:$F$16))*('Emissions Factors'!$T$143*$F$22)/10^6,""),"")</f>
        <v/>
      </c>
      <c r="AL152" s="259">
        <f t="shared" si="51"/>
        <v>0.60502508356342988</v>
      </c>
      <c r="AM152" s="259">
        <f t="shared" si="52"/>
        <v>0.24061597834514686</v>
      </c>
      <c r="AO152" s="180">
        <f t="shared" si="44"/>
        <v>0.8456410619085768</v>
      </c>
      <c r="AP152" s="180">
        <f t="shared" si="45"/>
        <v>0</v>
      </c>
      <c r="AS152" s="430"/>
      <c r="AT152" s="478">
        <v>2031</v>
      </c>
      <c r="AU152" s="479">
        <f t="shared" si="46"/>
        <v>1.5310354348195414</v>
      </c>
      <c r="AV152" s="479">
        <f t="shared" si="46"/>
        <v>0</v>
      </c>
      <c r="AW152" s="430"/>
      <c r="AX152" s="479">
        <f t="shared" si="38"/>
        <v>0.4228205309542884</v>
      </c>
      <c r="AY152" s="479">
        <f t="shared" si="38"/>
        <v>0</v>
      </c>
      <c r="AZ152" s="430"/>
      <c r="BA152" s="479">
        <f t="shared" si="39"/>
        <v>1.1082149038652531</v>
      </c>
      <c r="BB152" s="479">
        <f t="shared" si="39"/>
        <v>0</v>
      </c>
      <c r="BC152" s="516"/>
      <c r="BE152" s="480">
        <f t="shared" si="40"/>
        <v>0.27616639127893533</v>
      </c>
      <c r="BF152" s="480" t="str">
        <f t="shared" si="41"/>
        <v/>
      </c>
    </row>
    <row r="153" spans="1:58" ht="15.6" x14ac:dyDescent="0.3">
      <c r="A153" s="152">
        <v>2032</v>
      </c>
      <c r="B153" s="178"/>
      <c r="C153" s="182"/>
      <c r="D153" s="183"/>
      <c r="E153" s="179">
        <f t="shared" si="47"/>
        <v>0.42542144211772442</v>
      </c>
      <c r="F153" s="183">
        <f t="shared" si="48"/>
        <v>5.3636642229775766E-2</v>
      </c>
      <c r="G153" s="247">
        <f t="shared" si="35"/>
        <v>2.3416615399039723E-2</v>
      </c>
      <c r="H153" s="246"/>
      <c r="I153" s="417"/>
      <c r="J153" s="178"/>
      <c r="K153" s="182"/>
      <c r="L153" s="183"/>
      <c r="M153" s="179">
        <f t="shared" si="36"/>
        <v>0.52120930202660254</v>
      </c>
      <c r="N153" s="183">
        <f t="shared" si="53"/>
        <v>6.2500410613579638E-2</v>
      </c>
      <c r="O153" s="247">
        <f t="shared" si="37"/>
        <v>2.8689098760991648E-2</v>
      </c>
      <c r="P153" s="246"/>
      <c r="Q153" s="417"/>
      <c r="R153" s="182"/>
      <c r="S153" s="178"/>
      <c r="T153" s="182"/>
      <c r="U153" s="178"/>
      <c r="V153" s="506"/>
      <c r="W153" s="259" t="str">
        <f>IF($W$135="Y",IFERROR(E153*($F$8/SUMIF($H$5:$H$16,"Y",$F$5:$F$16))*$F$21*'Emissions Factors'!$B29,""),"")</f>
        <v/>
      </c>
      <c r="X153" s="259" t="str">
        <f>IF($X$135="Y",IFERROR($E153*(SUM($F$7,$F$5,$F$6)/SUMIF($H$5:$H$16,"Y",$F$5:$F$16))*('Emissions Factors'!$T$143*$F$22)/10^6,""),"")</f>
        <v/>
      </c>
      <c r="Y153" s="259">
        <f t="shared" si="49"/>
        <v>0.56111980470680634</v>
      </c>
      <c r="Z153" s="259">
        <f t="shared" si="50"/>
        <v>0.22315503017357341</v>
      </c>
      <c r="AA153" s="509"/>
      <c r="AB153" s="180">
        <f t="shared" si="42"/>
        <v>0.78427483488037975</v>
      </c>
      <c r="AC153" s="180">
        <f t="shared" si="43"/>
        <v>0</v>
      </c>
      <c r="AE153" s="182"/>
      <c r="AF153" s="178"/>
      <c r="AG153" s="182"/>
      <c r="AH153" s="178"/>
      <c r="AJ153" s="259" t="str">
        <f>IF($AJ$135="Y",IFERROR(M153*($F$8/SUMIF($H$5:$H$16,"Y",$F$5:$F$16))*$F$21*'Emissions Factors'!$B29,""),"")</f>
        <v/>
      </c>
      <c r="AK153" s="259" t="str">
        <f>IF($AK$135="Y",IFERROR($M153*(SUM($F$7,$F$5,$F$6)/SUMIF($H$5:$H$16,"Y",$F$5:$F$16))*('Emissions Factors'!$T$143*$F$22)/10^6,""),"")</f>
        <v/>
      </c>
      <c r="AL153" s="259">
        <f t="shared" si="51"/>
        <v>0.68746149772960219</v>
      </c>
      <c r="AM153" s="259">
        <f t="shared" si="52"/>
        <v>0.27340059998270538</v>
      </c>
      <c r="AO153" s="180">
        <f t="shared" si="44"/>
        <v>0.96086209771230757</v>
      </c>
      <c r="AP153" s="180">
        <f t="shared" si="45"/>
        <v>0</v>
      </c>
      <c r="AS153" s="430"/>
      <c r="AT153" s="478">
        <v>2032</v>
      </c>
      <c r="AU153" s="479">
        <f t="shared" si="46"/>
        <v>1.7451369325926873</v>
      </c>
      <c r="AV153" s="479">
        <f t="shared" si="46"/>
        <v>0</v>
      </c>
      <c r="AW153" s="430"/>
      <c r="AX153" s="479">
        <f t="shared" si="38"/>
        <v>0.48043104885615379</v>
      </c>
      <c r="AY153" s="479">
        <f t="shared" si="38"/>
        <v>0</v>
      </c>
      <c r="AZ153" s="430"/>
      <c r="BA153" s="479">
        <f t="shared" si="39"/>
        <v>1.2647058837365335</v>
      </c>
      <c r="BB153" s="479">
        <f t="shared" si="39"/>
        <v>0</v>
      </c>
      <c r="BC153" s="516"/>
      <c r="BE153" s="480">
        <f t="shared" si="40"/>
        <v>0.27529704969477359</v>
      </c>
      <c r="BF153" s="480" t="str">
        <f t="shared" si="41"/>
        <v/>
      </c>
    </row>
    <row r="154" spans="1:58" ht="15.6" x14ac:dyDescent="0.3">
      <c r="A154" s="152">
        <v>2033</v>
      </c>
      <c r="B154" s="178"/>
      <c r="C154" s="182"/>
      <c r="D154" s="183"/>
      <c r="E154" s="179">
        <f t="shared" si="47"/>
        <v>0.48175181075316775</v>
      </c>
      <c r="F154" s="183">
        <f t="shared" si="48"/>
        <v>5.6330368635443329E-2</v>
      </c>
      <c r="G154" s="247">
        <f t="shared" si="35"/>
        <v>2.3256088995676064E-2</v>
      </c>
      <c r="H154" s="246"/>
      <c r="I154" s="417"/>
      <c r="J154" s="178"/>
      <c r="K154" s="182"/>
      <c r="L154" s="183"/>
      <c r="M154" s="179">
        <f t="shared" si="36"/>
        <v>0.58467512755963069</v>
      </c>
      <c r="N154" s="183">
        <f t="shared" si="53"/>
        <v>6.3465825533028153E-2</v>
      </c>
      <c r="O154" s="247">
        <f t="shared" si="37"/>
        <v>2.8224609636292097E-2</v>
      </c>
      <c r="P154" s="246"/>
      <c r="Q154" s="417"/>
      <c r="R154" s="182"/>
      <c r="S154" s="178"/>
      <c r="T154" s="182"/>
      <c r="U154" s="178"/>
      <c r="V154" s="506"/>
      <c r="W154" s="259" t="str">
        <f>IF($W$135="Y",IFERROR(E154*($F$8/SUMIF($H$5:$H$16,"Y",$F$5:$F$16))*$F$21*'Emissions Factors'!$B30,""),"")</f>
        <v/>
      </c>
      <c r="X154" s="259" t="str">
        <f>IF($X$135="Y",IFERROR($E154*(SUM($F$7,$F$5,$F$6)/SUMIF($H$5:$H$16,"Y",$F$5:$F$16))*('Emissions Factors'!$T$143*$F$22)/10^6,""),"")</f>
        <v/>
      </c>
      <c r="Y154" s="259">
        <f t="shared" si="49"/>
        <v>0.63541809416405393</v>
      </c>
      <c r="Z154" s="259">
        <f t="shared" si="50"/>
        <v>0.25270315320647951</v>
      </c>
      <c r="AA154" s="509"/>
      <c r="AB154" s="180">
        <f t="shared" si="42"/>
        <v>0.88812124737053344</v>
      </c>
      <c r="AC154" s="180">
        <f t="shared" si="43"/>
        <v>0</v>
      </c>
      <c r="AE154" s="182"/>
      <c r="AF154" s="178"/>
      <c r="AG154" s="182"/>
      <c r="AH154" s="178"/>
      <c r="AJ154" s="259" t="str">
        <f>IF($AJ$135="Y",IFERROR(M154*($F$8/SUMIF($H$5:$H$16,"Y",$F$5:$F$16))*$F$21*'Emissions Factors'!$B30,""),"")</f>
        <v/>
      </c>
      <c r="AK154" s="259" t="str">
        <f>IF($AK$135="Y",IFERROR($M154*(SUM($F$7,$F$5,$F$6)/SUMIF($H$5:$H$16,"Y",$F$5:$F$16))*('Emissions Factors'!$T$143*$F$22)/10^6,""),"")</f>
        <v/>
      </c>
      <c r="AL154" s="259">
        <f t="shared" si="51"/>
        <v>0.77117126903632038</v>
      </c>
      <c r="AM154" s="259">
        <f t="shared" si="52"/>
        <v>0.30669163049896808</v>
      </c>
      <c r="AO154" s="180">
        <f t="shared" si="44"/>
        <v>1.0778628995352886</v>
      </c>
      <c r="AP154" s="180">
        <f t="shared" si="45"/>
        <v>0</v>
      </c>
      <c r="AS154" s="430"/>
      <c r="AT154" s="478">
        <v>2033</v>
      </c>
      <c r="AU154" s="479">
        <f t="shared" si="46"/>
        <v>1.9659841469058219</v>
      </c>
      <c r="AV154" s="479">
        <f t="shared" si="46"/>
        <v>0</v>
      </c>
      <c r="AW154" s="430"/>
      <c r="AX154" s="479">
        <f t="shared" si="38"/>
        <v>0.53893144976764429</v>
      </c>
      <c r="AY154" s="479">
        <f t="shared" si="38"/>
        <v>0</v>
      </c>
      <c r="AZ154" s="430"/>
      <c r="BA154" s="479">
        <f t="shared" si="39"/>
        <v>1.4270526971381776</v>
      </c>
      <c r="BB154" s="479">
        <f t="shared" si="39"/>
        <v>0</v>
      </c>
      <c r="BC154" s="516"/>
      <c r="BE154" s="480">
        <f t="shared" si="40"/>
        <v>0.27412807504874614</v>
      </c>
      <c r="BF154" s="480" t="str">
        <f t="shared" si="41"/>
        <v/>
      </c>
    </row>
    <row r="155" spans="1:58" ht="15.6" x14ac:dyDescent="0.3">
      <c r="A155" s="152">
        <v>2034</v>
      </c>
      <c r="B155" s="178"/>
      <c r="C155" s="182"/>
      <c r="D155" s="183"/>
      <c r="E155" s="179">
        <f t="shared" si="47"/>
        <v>0.53988249406808453</v>
      </c>
      <c r="F155" s="183">
        <f t="shared" si="48"/>
        <v>5.8130683314916776E-2</v>
      </c>
      <c r="G155" s="247">
        <f t="shared" si="35"/>
        <v>2.3097124688199921E-2</v>
      </c>
      <c r="H155" s="246"/>
      <c r="I155" s="417"/>
      <c r="J155" s="178"/>
      <c r="K155" s="182"/>
      <c r="L155" s="183"/>
      <c r="M155" s="179">
        <f t="shared" si="36"/>
        <v>0.64767827749086615</v>
      </c>
      <c r="N155" s="183">
        <f t="shared" si="53"/>
        <v>6.3003149931235458E-2</v>
      </c>
      <c r="O155" s="247">
        <f t="shared" si="37"/>
        <v>2.7708818302892672E-2</v>
      </c>
      <c r="P155" s="246"/>
      <c r="Q155" s="417"/>
      <c r="R155" s="182"/>
      <c r="S155" s="178"/>
      <c r="T155" s="182"/>
      <c r="U155" s="178"/>
      <c r="V155" s="506"/>
      <c r="W155" s="259" t="str">
        <f>IF($W$135="Y",IFERROR(E155*($F$8/SUMIF($H$5:$H$16,"Y",$F$5:$F$16))*$F$21*'Emissions Factors'!$B31,""),"")</f>
        <v/>
      </c>
      <c r="X155" s="259" t="str">
        <f>IF($X$135="Y",IFERROR($E155*(SUM($F$7,$F$5,$F$6)/SUMIF($H$5:$H$16,"Y",$F$5:$F$16))*('Emissions Factors'!$T$143*$F$22)/10^6,""),"")</f>
        <v/>
      </c>
      <c r="Y155" s="259">
        <f t="shared" si="49"/>
        <v>0.71209095180556659</v>
      </c>
      <c r="Z155" s="259">
        <f t="shared" si="50"/>
        <v>0.28319563220466082</v>
      </c>
      <c r="AA155" s="509"/>
      <c r="AB155" s="180">
        <f t="shared" si="42"/>
        <v>0.9952865840102274</v>
      </c>
      <c r="AC155" s="180">
        <f t="shared" si="43"/>
        <v>0</v>
      </c>
      <c r="AE155" s="182"/>
      <c r="AF155" s="178"/>
      <c r="AG155" s="182"/>
      <c r="AH155" s="178"/>
      <c r="AJ155" s="259" t="str">
        <f>IF($AJ$135="Y",IFERROR(M155*($F$8/SUMIF($H$5:$H$16,"Y",$F$5:$F$16))*$F$21*'Emissions Factors'!$B31,""),"")</f>
        <v/>
      </c>
      <c r="AK155" s="259" t="str">
        <f>IF($AK$135="Y",IFERROR($M155*(SUM($F$7,$F$5,$F$6)/SUMIF($H$5:$H$16,"Y",$F$5:$F$16))*('Emissions Factors'!$T$143*$F$22)/10^6,""),"")</f>
        <v/>
      </c>
      <c r="AL155" s="259">
        <f t="shared" si="51"/>
        <v>0.85427078327177264</v>
      </c>
      <c r="AM155" s="259">
        <f t="shared" si="52"/>
        <v>0.33973996429697262</v>
      </c>
      <c r="AO155" s="180">
        <f t="shared" si="44"/>
        <v>1.1940107475687451</v>
      </c>
      <c r="AP155" s="180">
        <f t="shared" si="45"/>
        <v>0</v>
      </c>
      <c r="AS155" s="430"/>
      <c r="AT155" s="478">
        <v>2034</v>
      </c>
      <c r="AU155" s="479">
        <f t="shared" si="46"/>
        <v>2.1892973315789725</v>
      </c>
      <c r="AV155" s="479">
        <f t="shared" si="46"/>
        <v>0</v>
      </c>
      <c r="AW155" s="430"/>
      <c r="AX155" s="479">
        <f t="shared" si="38"/>
        <v>0.59700537378437257</v>
      </c>
      <c r="AY155" s="479">
        <f t="shared" si="38"/>
        <v>0</v>
      </c>
      <c r="AZ155" s="430"/>
      <c r="BA155" s="479">
        <f t="shared" si="39"/>
        <v>1.5922919577946</v>
      </c>
      <c r="BB155" s="479">
        <f t="shared" si="39"/>
        <v>0</v>
      </c>
      <c r="BC155" s="516"/>
      <c r="BE155" s="480">
        <f t="shared" si="40"/>
        <v>0.27269268781951983</v>
      </c>
      <c r="BF155" s="480" t="str">
        <f t="shared" si="41"/>
        <v/>
      </c>
    </row>
    <row r="156" spans="1:58" ht="15.6" x14ac:dyDescent="0.3">
      <c r="A156" s="152">
        <v>2035</v>
      </c>
      <c r="B156" s="178"/>
      <c r="C156" s="182"/>
      <c r="D156" s="183"/>
      <c r="E156" s="179">
        <f t="shared" si="47"/>
        <v>0.59925969263349488</v>
      </c>
      <c r="F156" s="183">
        <f t="shared" si="48"/>
        <v>5.937719856541035E-2</v>
      </c>
      <c r="G156" s="247">
        <f t="shared" si="35"/>
        <v>2.2940639168028472E-2</v>
      </c>
      <c r="H156" s="246"/>
      <c r="I156" s="417"/>
      <c r="J156" s="178"/>
      <c r="K156" s="182"/>
      <c r="L156" s="183"/>
      <c r="M156" s="179">
        <f t="shared" si="36"/>
        <v>0.70927985939888438</v>
      </c>
      <c r="N156" s="183">
        <f t="shared" si="53"/>
        <v>6.1601581908018233E-2</v>
      </c>
      <c r="O156" s="247">
        <f t="shared" si="37"/>
        <v>2.7152390730826717E-2</v>
      </c>
      <c r="P156" s="246"/>
      <c r="Q156" s="417"/>
      <c r="R156" s="182"/>
      <c r="S156" s="178"/>
      <c r="T156" s="182"/>
      <c r="U156" s="178"/>
      <c r="V156" s="506"/>
      <c r="W156" s="259" t="str">
        <f>IF($W$135="Y",IFERROR(E156*($F$8/SUMIF($H$5:$H$16,"Y",$F$5:$F$16))*$F$21*'Emissions Factors'!$B32,""),"")</f>
        <v/>
      </c>
      <c r="X156" s="259" t="str">
        <f>IF($X$135="Y",IFERROR($E156*(SUM($F$7,$F$5,$F$6)/SUMIF($H$5:$H$16,"Y",$F$5:$F$16))*('Emissions Factors'!$T$143*$F$22)/10^6,""),"")</f>
        <v/>
      </c>
      <c r="Y156" s="259">
        <f t="shared" si="49"/>
        <v>0.79040793060476988</v>
      </c>
      <c r="Z156" s="259">
        <f t="shared" si="50"/>
        <v>0.31434197140074605</v>
      </c>
      <c r="AA156" s="509"/>
      <c r="AB156" s="180">
        <f t="shared" si="42"/>
        <v>1.104749902005516</v>
      </c>
      <c r="AC156" s="180">
        <f t="shared" si="43"/>
        <v>0</v>
      </c>
      <c r="AE156" s="182"/>
      <c r="AF156" s="178"/>
      <c r="AG156" s="182"/>
      <c r="AH156" s="178"/>
      <c r="AJ156" s="259" t="str">
        <f>IF($AJ$135="Y",IFERROR(M156*($F$8/SUMIF($H$5:$H$16,"Y",$F$5:$F$16))*$F$21*'Emissions Factors'!$B32,""),"")</f>
        <v/>
      </c>
      <c r="AK156" s="259" t="str">
        <f>IF($AK$135="Y",IFERROR($M156*(SUM($F$7,$F$5,$F$6)/SUMIF($H$5:$H$16,"Y",$F$5:$F$16))*('Emissions Factors'!$T$143*$F$22)/10^6,""),"")</f>
        <v/>
      </c>
      <c r="AL156" s="259">
        <f t="shared" si="51"/>
        <v>0.93552166577969365</v>
      </c>
      <c r="AM156" s="259">
        <f t="shared" si="52"/>
        <v>0.37205310488761451</v>
      </c>
      <c r="AO156" s="180">
        <f t="shared" si="44"/>
        <v>1.3075747706673082</v>
      </c>
      <c r="AP156" s="180">
        <f t="shared" si="45"/>
        <v>0</v>
      </c>
      <c r="AS156" s="430"/>
      <c r="AT156" s="478">
        <v>2035</v>
      </c>
      <c r="AU156" s="479">
        <f t="shared" si="46"/>
        <v>2.412324672672824</v>
      </c>
      <c r="AV156" s="479">
        <f t="shared" si="46"/>
        <v>0</v>
      </c>
      <c r="AW156" s="430"/>
      <c r="AX156" s="479">
        <f t="shared" si="38"/>
        <v>0.6537873853336541</v>
      </c>
      <c r="AY156" s="479">
        <f t="shared" si="38"/>
        <v>0</v>
      </c>
      <c r="AZ156" s="430"/>
      <c r="BA156" s="479">
        <f t="shared" si="39"/>
        <v>1.7585372873391698</v>
      </c>
      <c r="BB156" s="479">
        <f t="shared" si="39"/>
        <v>0</v>
      </c>
      <c r="BC156" s="516"/>
      <c r="BE156" s="480">
        <f t="shared" si="40"/>
        <v>0.27101964869814404</v>
      </c>
      <c r="BF156" s="480" t="str">
        <f t="shared" si="41"/>
        <v/>
      </c>
    </row>
    <row r="157" spans="1:58" ht="15.6" x14ac:dyDescent="0.3">
      <c r="A157" s="152">
        <v>2036</v>
      </c>
      <c r="B157" s="178"/>
      <c r="C157" s="182"/>
      <c r="D157" s="183"/>
      <c r="E157" s="179">
        <f t="shared" si="47"/>
        <v>0.65988705891206756</v>
      </c>
      <c r="F157" s="183">
        <f t="shared" si="48"/>
        <v>6.0627366278572681E-2</v>
      </c>
      <c r="G157" s="247">
        <f t="shared" si="35"/>
        <v>2.2794657600245571E-2</v>
      </c>
      <c r="H157" s="246"/>
      <c r="I157" s="417"/>
      <c r="J157" s="178"/>
      <c r="K157" s="182"/>
      <c r="L157" s="183"/>
      <c r="M157" s="179">
        <f t="shared" si="36"/>
        <v>0.76919769588136544</v>
      </c>
      <c r="N157" s="183">
        <f t="shared" si="53"/>
        <v>5.9917836482481057E-2</v>
      </c>
      <c r="O157" s="247">
        <f t="shared" si="37"/>
        <v>2.6570604571971104E-2</v>
      </c>
      <c r="P157" s="246"/>
      <c r="Q157" s="417"/>
      <c r="R157" s="182"/>
      <c r="S157" s="178"/>
      <c r="T157" s="182"/>
      <c r="U157" s="178"/>
      <c r="V157" s="506"/>
      <c r="W157" s="259" t="str">
        <f>IF($W$135="Y",IFERROR(E157*($F$8/SUMIF($H$5:$H$16,"Y",$F$5:$F$16))*$F$21*'Emissions Factors'!$B33,""),"")</f>
        <v/>
      </c>
      <c r="X157" s="259" t="str">
        <f>IF($X$135="Y",IFERROR($E157*(SUM($F$7,$F$5,$F$6)/SUMIF($H$5:$H$16,"Y",$F$5:$F$16))*('Emissions Factors'!$T$143*$F$22)/10^6,""),"")</f>
        <v/>
      </c>
      <c r="Y157" s="259">
        <f t="shared" si="49"/>
        <v>0.87037384806481832</v>
      </c>
      <c r="Z157" s="259">
        <f t="shared" si="50"/>
        <v>0.3461440866958545</v>
      </c>
      <c r="AA157" s="509"/>
      <c r="AB157" s="180">
        <f t="shared" si="42"/>
        <v>1.2165179347606729</v>
      </c>
      <c r="AC157" s="180">
        <f t="shared" si="43"/>
        <v>0</v>
      </c>
      <c r="AE157" s="182"/>
      <c r="AF157" s="178"/>
      <c r="AG157" s="182"/>
      <c r="AH157" s="178"/>
      <c r="AJ157" s="259" t="str">
        <f>IF($AJ$135="Y",IFERROR(M157*($F$8/SUMIF($H$5:$H$16,"Y",$F$5:$F$16))*$F$21*'Emissions Factors'!$B33,""),"")</f>
        <v/>
      </c>
      <c r="AK157" s="259" t="str">
        <f>IF($AK$135="Y",IFERROR($M157*(SUM($F$7,$F$5,$F$6)/SUMIF($H$5:$H$16,"Y",$F$5:$F$16))*('Emissions Factors'!$T$143*$F$22)/10^6,""),"")</f>
        <v/>
      </c>
      <c r="AL157" s="259">
        <f t="shared" si="51"/>
        <v>1.0145517319139727</v>
      </c>
      <c r="AM157" s="259">
        <f t="shared" si="52"/>
        <v>0.40348303597341817</v>
      </c>
      <c r="AO157" s="180">
        <f t="shared" si="44"/>
        <v>1.418034767887391</v>
      </c>
      <c r="AP157" s="180">
        <f t="shared" si="45"/>
        <v>0</v>
      </c>
      <c r="AS157" s="430"/>
      <c r="AT157" s="478">
        <v>2036</v>
      </c>
      <c r="AU157" s="479">
        <f t="shared" si="46"/>
        <v>2.634552702648064</v>
      </c>
      <c r="AV157" s="479">
        <f t="shared" si="46"/>
        <v>0</v>
      </c>
      <c r="AW157" s="430"/>
      <c r="AX157" s="479">
        <f t="shared" si="38"/>
        <v>0.70901738394369551</v>
      </c>
      <c r="AY157" s="479">
        <f t="shared" si="38"/>
        <v>0</v>
      </c>
      <c r="AZ157" s="430"/>
      <c r="BA157" s="479">
        <f t="shared" si="39"/>
        <v>1.9255353187043684</v>
      </c>
      <c r="BB157" s="479">
        <f t="shared" si="39"/>
        <v>0</v>
      </c>
      <c r="BC157" s="516"/>
      <c r="BE157" s="480">
        <f t="shared" si="40"/>
        <v>0.26912249021666634</v>
      </c>
      <c r="BF157" s="480" t="str">
        <f t="shared" si="41"/>
        <v/>
      </c>
    </row>
    <row r="158" spans="1:58" ht="15.6" x14ac:dyDescent="0.3">
      <c r="A158" s="152">
        <v>2037</v>
      </c>
      <c r="B158" s="178"/>
      <c r="C158" s="182"/>
      <c r="D158" s="183"/>
      <c r="E158" s="179">
        <f t="shared" si="47"/>
        <v>0.72234026172869692</v>
      </c>
      <c r="F158" s="183">
        <f t="shared" si="48"/>
        <v>6.2453202816629361E-2</v>
      </c>
      <c r="G158" s="247">
        <f t="shared" si="35"/>
        <v>2.2669998527730752E-2</v>
      </c>
      <c r="H158" s="246"/>
      <c r="I158" s="417"/>
      <c r="J158" s="178"/>
      <c r="K158" s="182"/>
      <c r="L158" s="183"/>
      <c r="M158" s="179">
        <f t="shared" si="36"/>
        <v>0.82772626949917405</v>
      </c>
      <c r="N158" s="183">
        <f t="shared" si="53"/>
        <v>5.852857361780861E-2</v>
      </c>
      <c r="O158" s="247">
        <f t="shared" si="37"/>
        <v>2.5977443464113736E-2</v>
      </c>
      <c r="P158" s="246"/>
      <c r="Q158" s="417"/>
      <c r="R158" s="182"/>
      <c r="S158" s="178"/>
      <c r="T158" s="182"/>
      <c r="U158" s="178"/>
      <c r="V158" s="506"/>
      <c r="W158" s="259" t="str">
        <f>IF($W$135="Y",IFERROR(E158*($F$8/SUMIF($H$5:$H$16,"Y",$F$5:$F$16))*$F$21*'Emissions Factors'!$B34,""),"")</f>
        <v/>
      </c>
      <c r="X158" s="259" t="str">
        <f>IF($X$135="Y",IFERROR($E158*(SUM($F$7,$F$5,$F$6)/SUMIF($H$5:$H$16,"Y",$F$5:$F$16))*('Emissions Factors'!$T$143*$F$22)/10^6,""),"")</f>
        <v/>
      </c>
      <c r="Y158" s="259">
        <f t="shared" si="49"/>
        <v>0.95274799637604568</v>
      </c>
      <c r="Z158" s="259">
        <f t="shared" si="50"/>
        <v>0.37890394545991885</v>
      </c>
      <c r="AA158" s="509"/>
      <c r="AB158" s="180">
        <f t="shared" si="42"/>
        <v>1.3316519418359645</v>
      </c>
      <c r="AC158" s="180">
        <f t="shared" si="43"/>
        <v>0</v>
      </c>
      <c r="AE158" s="182"/>
      <c r="AF158" s="178"/>
      <c r="AG158" s="182"/>
      <c r="AH158" s="178"/>
      <c r="AJ158" s="259" t="str">
        <f>IF($AJ$135="Y",IFERROR(M158*($F$8/SUMIF($H$5:$H$16,"Y",$F$5:$F$16))*$F$21*'Emissions Factors'!$B34,""),"")</f>
        <v/>
      </c>
      <c r="AK158" s="259" t="str">
        <f>IF($AK$135="Y",IFERROR($M158*(SUM($F$7,$F$5,$F$6)/SUMIF($H$5:$H$16,"Y",$F$5:$F$16))*('Emissions Factors'!$T$143*$F$22)/10^6,""),"")</f>
        <v/>
      </c>
      <c r="AL158" s="259">
        <f t="shared" si="51"/>
        <v>1.0917493965044298</v>
      </c>
      <c r="AM158" s="259">
        <f t="shared" si="52"/>
        <v>0.43418422852892652</v>
      </c>
      <c r="AO158" s="180">
        <f t="shared" si="44"/>
        <v>1.5259336250333564</v>
      </c>
      <c r="AP158" s="180">
        <f t="shared" si="45"/>
        <v>0</v>
      </c>
      <c r="AS158" s="430"/>
      <c r="AT158" s="478">
        <v>2037</v>
      </c>
      <c r="AU158" s="479">
        <f t="shared" si="46"/>
        <v>2.8575855668693206</v>
      </c>
      <c r="AV158" s="479">
        <f t="shared" si="46"/>
        <v>0</v>
      </c>
      <c r="AW158" s="430"/>
      <c r="AX158" s="479">
        <f t="shared" si="38"/>
        <v>0.76296681251667819</v>
      </c>
      <c r="AY158" s="479">
        <f t="shared" si="38"/>
        <v>0</v>
      </c>
      <c r="AZ158" s="430"/>
      <c r="BA158" s="479">
        <f t="shared" si="39"/>
        <v>2.0946187543526422</v>
      </c>
      <c r="BB158" s="479">
        <f t="shared" si="39"/>
        <v>0</v>
      </c>
      <c r="BC158" s="516"/>
      <c r="BE158" s="480">
        <f t="shared" si="40"/>
        <v>0.26699701361963424</v>
      </c>
      <c r="BF158" s="480" t="str">
        <f t="shared" si="41"/>
        <v/>
      </c>
    </row>
    <row r="159" spans="1:58" ht="15.6" x14ac:dyDescent="0.3">
      <c r="A159" s="152">
        <v>2038</v>
      </c>
      <c r="B159" s="178"/>
      <c r="C159" s="182"/>
      <c r="D159" s="183"/>
      <c r="E159" s="179">
        <f t="shared" si="47"/>
        <v>0.78736296896709834</v>
      </c>
      <c r="F159" s="183">
        <f t="shared" si="48"/>
        <v>6.5022707238401423E-2</v>
      </c>
      <c r="G159" s="247">
        <f t="shared" si="35"/>
        <v>2.2574008544061112E-2</v>
      </c>
      <c r="H159" s="246"/>
      <c r="I159" s="417"/>
      <c r="J159" s="178"/>
      <c r="K159" s="182"/>
      <c r="L159" s="183"/>
      <c r="M159" s="179">
        <f t="shared" si="36"/>
        <v>0.88528956865175812</v>
      </c>
      <c r="N159" s="183">
        <f t="shared" si="53"/>
        <v>5.7563299152584069E-2</v>
      </c>
      <c r="O159" s="247">
        <f t="shared" si="37"/>
        <v>2.5381602989190188E-2</v>
      </c>
      <c r="P159" s="246"/>
      <c r="Q159" s="417"/>
      <c r="R159" s="182"/>
      <c r="S159" s="178"/>
      <c r="T159" s="182"/>
      <c r="U159" s="178"/>
      <c r="V159" s="506"/>
      <c r="W159" s="259" t="str">
        <f>IF($W$135="Y",IFERROR(E159*($F$8/SUMIF($H$5:$H$16,"Y",$F$5:$F$16))*$F$21*'Emissions Factors'!$B35,""),"")</f>
        <v/>
      </c>
      <c r="X159" s="259" t="str">
        <f>IF($X$135="Y",IFERROR($E159*(SUM($F$7,$F$5,$F$6)/SUMIF($H$5:$H$16,"Y",$F$5:$F$16))*('Emissions Factors'!$T$143*$F$22)/10^6,""),"")</f>
        <v/>
      </c>
      <c r="Y159" s="259">
        <f t="shared" si="49"/>
        <v>1.0385112541128834</v>
      </c>
      <c r="Z159" s="259">
        <f t="shared" si="50"/>
        <v>0.41301163905317595</v>
      </c>
      <c r="AA159" s="509"/>
      <c r="AB159" s="180">
        <f t="shared" si="42"/>
        <v>1.4515228931660593</v>
      </c>
      <c r="AC159" s="180">
        <f t="shared" si="43"/>
        <v>0</v>
      </c>
      <c r="AE159" s="182"/>
      <c r="AF159" s="178"/>
      <c r="AG159" s="182"/>
      <c r="AH159" s="178"/>
      <c r="AJ159" s="259" t="str">
        <f>IF($AJ$135="Y",IFERROR(M159*($F$8/SUMIF($H$5:$H$16,"Y",$F$5:$F$16))*$F$21*'Emissions Factors'!$B35,""),"")</f>
        <v/>
      </c>
      <c r="AK159" s="259" t="str">
        <f>IF($AK$135="Y",IFERROR($M159*(SUM($F$7,$F$5,$F$6)/SUMIF($H$5:$H$16,"Y",$F$5:$F$16))*('Emissions Factors'!$T$143*$F$22)/10^6,""),"")</f>
        <v/>
      </c>
      <c r="AL159" s="259">
        <f t="shared" si="51"/>
        <v>1.1676738892098053</v>
      </c>
      <c r="AM159" s="259">
        <f t="shared" si="52"/>
        <v>0.46437908588106408</v>
      </c>
      <c r="AO159" s="180">
        <f t="shared" si="44"/>
        <v>1.6320529750908694</v>
      </c>
      <c r="AP159" s="180">
        <f t="shared" si="45"/>
        <v>0</v>
      </c>
      <c r="AS159" s="430"/>
      <c r="AT159" s="478">
        <v>2038</v>
      </c>
      <c r="AU159" s="479">
        <f t="shared" si="46"/>
        <v>3.0835758682569288</v>
      </c>
      <c r="AV159" s="479">
        <f t="shared" si="46"/>
        <v>0</v>
      </c>
      <c r="AW159" s="430"/>
      <c r="AX159" s="479">
        <f t="shared" si="38"/>
        <v>0.81602648754543472</v>
      </c>
      <c r="AY159" s="479">
        <f t="shared" si="38"/>
        <v>0</v>
      </c>
      <c r="AZ159" s="430"/>
      <c r="BA159" s="479">
        <f t="shared" si="39"/>
        <v>2.2675493807114941</v>
      </c>
      <c r="BB159" s="479">
        <f t="shared" si="39"/>
        <v>0</v>
      </c>
      <c r="BC159" s="516"/>
      <c r="BE159" s="480">
        <f t="shared" si="40"/>
        <v>0.26463642290945638</v>
      </c>
      <c r="BF159" s="480" t="str">
        <f t="shared" si="41"/>
        <v/>
      </c>
    </row>
    <row r="160" spans="1:58" ht="15.6" x14ac:dyDescent="0.3">
      <c r="A160" s="152">
        <v>2039</v>
      </c>
      <c r="B160" s="178"/>
      <c r="C160" s="182"/>
      <c r="D160" s="183"/>
      <c r="E160" s="179">
        <f t="shared" si="47"/>
        <v>0.85598964535857325</v>
      </c>
      <c r="F160" s="183">
        <f t="shared" si="48"/>
        <v>6.8626676391474906E-2</v>
      </c>
      <c r="G160" s="247">
        <f t="shared" si="35"/>
        <v>2.2513293174598634E-2</v>
      </c>
      <c r="H160" s="246"/>
      <c r="I160" s="417"/>
      <c r="J160" s="178"/>
      <c r="K160" s="182"/>
      <c r="L160" s="183"/>
      <c r="M160" s="179">
        <f t="shared" si="36"/>
        <v>0.94251070512408575</v>
      </c>
      <c r="N160" s="183">
        <f t="shared" si="53"/>
        <v>5.7221136472327627E-2</v>
      </c>
      <c r="O160" s="247">
        <f t="shared" si="37"/>
        <v>2.478887442121756E-2</v>
      </c>
      <c r="P160" s="246"/>
      <c r="Q160" s="417"/>
      <c r="R160" s="182"/>
      <c r="S160" s="178"/>
      <c r="T160" s="182"/>
      <c r="U160" s="178"/>
      <c r="V160" s="506"/>
      <c r="W160" s="259" t="str">
        <f>IF($W$135="Y",IFERROR(E160*($F$8/SUMIF($H$5:$H$16,"Y",$F$5:$F$16))*$F$21*'Emissions Factors'!$B36,""),"")</f>
        <v/>
      </c>
      <c r="X160" s="259" t="str">
        <f>IF($X$135="Y",IFERROR($E160*(SUM($F$7,$F$5,$F$6)/SUMIF($H$5:$H$16,"Y",$F$5:$F$16))*('Emissions Factors'!$T$143*$F$22)/10^6,""),"")</f>
        <v/>
      </c>
      <c r="Y160" s="259">
        <f t="shared" si="49"/>
        <v>1.1290280533197405</v>
      </c>
      <c r="Z160" s="259">
        <f t="shared" si="50"/>
        <v>0.44900979646766226</v>
      </c>
      <c r="AA160" s="509"/>
      <c r="AB160" s="180">
        <f t="shared" si="42"/>
        <v>1.5780378497874028</v>
      </c>
      <c r="AC160" s="180">
        <f t="shared" si="43"/>
        <v>0</v>
      </c>
      <c r="AE160" s="182"/>
      <c r="AF160" s="178"/>
      <c r="AG160" s="182"/>
      <c r="AH160" s="178"/>
      <c r="AJ160" s="259" t="str">
        <f>IF($AJ$135="Y",IFERROR(M160*($F$8/SUMIF($H$5:$H$16,"Y",$F$5:$F$16))*$F$21*'Emissions Factors'!$B36,""),"")</f>
        <v/>
      </c>
      <c r="AK160" s="259" t="str">
        <f>IF($AK$135="Y",IFERROR($M160*(SUM($F$7,$F$5,$F$6)/SUMIF($H$5:$H$16,"Y",$F$5:$F$16))*('Emissions Factors'!$T$143*$F$22)/10^6,""),"")</f>
        <v/>
      </c>
      <c r="AL160" s="259">
        <f t="shared" si="51"/>
        <v>1.2431470782494143</v>
      </c>
      <c r="AM160" s="259">
        <f t="shared" si="52"/>
        <v>0.49439446162819173</v>
      </c>
      <c r="AO160" s="180">
        <f t="shared" si="44"/>
        <v>1.737541539877606</v>
      </c>
      <c r="AP160" s="180">
        <f t="shared" si="45"/>
        <v>0</v>
      </c>
      <c r="AS160" s="430"/>
      <c r="AT160" s="478">
        <v>2039</v>
      </c>
      <c r="AU160" s="479">
        <f t="shared" si="46"/>
        <v>3.3155793896650088</v>
      </c>
      <c r="AV160" s="479">
        <f t="shared" si="46"/>
        <v>0</v>
      </c>
      <c r="AW160" s="430"/>
      <c r="AX160" s="479">
        <f t="shared" si="38"/>
        <v>0.86877076993880298</v>
      </c>
      <c r="AY160" s="479">
        <f t="shared" si="38"/>
        <v>0</v>
      </c>
      <c r="AZ160" s="430"/>
      <c r="BA160" s="479">
        <f t="shared" si="39"/>
        <v>2.4468086197262058</v>
      </c>
      <c r="BB160" s="479">
        <f t="shared" si="39"/>
        <v>0</v>
      </c>
      <c r="BC160" s="516"/>
      <c r="BE160" s="480">
        <f t="shared" si="40"/>
        <v>0.26202683387610864</v>
      </c>
      <c r="BF160" s="480" t="str">
        <f t="shared" si="41"/>
        <v/>
      </c>
    </row>
    <row r="161" spans="1:58" ht="15.6" x14ac:dyDescent="0.3">
      <c r="A161" s="152">
        <v>2040</v>
      </c>
      <c r="B161" s="178"/>
      <c r="C161" s="182"/>
      <c r="D161" s="183"/>
      <c r="E161" s="179">
        <f t="shared" si="47"/>
        <v>0.92920817211682916</v>
      </c>
      <c r="F161" s="183">
        <f t="shared" si="48"/>
        <v>7.3218526758255909E-2</v>
      </c>
      <c r="G161" s="247">
        <f t="shared" si="35"/>
        <v>2.2492206926393168E-2</v>
      </c>
      <c r="H161" s="246"/>
      <c r="I161" s="417"/>
      <c r="J161" s="178"/>
      <c r="K161" s="182"/>
      <c r="L161" s="183"/>
      <c r="M161" s="179">
        <f t="shared" si="36"/>
        <v>0.99989828592634555</v>
      </c>
      <c r="N161" s="183">
        <f t="shared" si="53"/>
        <v>5.7387580802259808E-2</v>
      </c>
      <c r="O161" s="247">
        <f t="shared" si="37"/>
        <v>2.4203316142998314E-2</v>
      </c>
      <c r="P161" s="246"/>
      <c r="Q161" s="417"/>
      <c r="R161" s="182"/>
      <c r="S161" s="178"/>
      <c r="T161" s="182"/>
      <c r="U161" s="178"/>
      <c r="V161" s="506"/>
      <c r="W161" s="259" t="str">
        <f>IF($W$135="Y",IFERROR(E161*($F$8/SUMIF($H$5:$H$16,"Y",$F$5:$F$16))*$F$21*'Emissions Factors'!$B37,""),"")</f>
        <v/>
      </c>
      <c r="X161" s="259" t="str">
        <f>IF($X$135="Y",IFERROR($E161*(SUM($F$7,$F$5,$F$6)/SUMIF($H$5:$H$16,"Y",$F$5:$F$16))*('Emissions Factors'!$T$143*$F$22)/10^6,""),"")</f>
        <v/>
      </c>
      <c r="Y161" s="259">
        <f t="shared" si="49"/>
        <v>1.225601383594296</v>
      </c>
      <c r="Z161" s="259">
        <f t="shared" si="50"/>
        <v>0.48741661128796882</v>
      </c>
      <c r="AA161" s="509"/>
      <c r="AB161" s="180">
        <f t="shared" si="42"/>
        <v>1.7130179948822648</v>
      </c>
      <c r="AC161" s="180">
        <f t="shared" si="43"/>
        <v>0</v>
      </c>
      <c r="AE161" s="182"/>
      <c r="AF161" s="178"/>
      <c r="AG161" s="182"/>
      <c r="AH161" s="178"/>
      <c r="AJ161" s="259" t="str">
        <f>IF($AJ$135="Y",IFERROR(M161*($F$8/SUMIF($H$5:$H$16,"Y",$F$5:$F$16))*$F$21*'Emissions Factors'!$B37,""),"")</f>
        <v/>
      </c>
      <c r="AK161" s="259" t="str">
        <f>IF($AK$135="Y",IFERROR($M161*(SUM($F$7,$F$5,$F$6)/SUMIF($H$5:$H$16,"Y",$F$5:$F$16))*('Emissions Factors'!$T$143*$F$22)/10^6,""),"")</f>
        <v/>
      </c>
      <c r="AL161" s="259">
        <f t="shared" si="51"/>
        <v>1.3188398030261996</v>
      </c>
      <c r="AM161" s="259">
        <f t="shared" si="52"/>
        <v>0.52449714583180751</v>
      </c>
      <c r="AO161" s="180">
        <f t="shared" si="44"/>
        <v>1.8433369488580071</v>
      </c>
      <c r="AP161" s="180">
        <f t="shared" si="45"/>
        <v>0</v>
      </c>
      <c r="AS161" s="430"/>
      <c r="AT161" s="478">
        <v>2040</v>
      </c>
      <c r="AU161" s="479">
        <f t="shared" si="46"/>
        <v>3.5563549437402719</v>
      </c>
      <c r="AV161" s="479">
        <f t="shared" si="46"/>
        <v>0</v>
      </c>
      <c r="AW161" s="430"/>
      <c r="AX161" s="479">
        <f t="shared" si="38"/>
        <v>0.92166847442900357</v>
      </c>
      <c r="AY161" s="479">
        <f t="shared" si="38"/>
        <v>0</v>
      </c>
      <c r="AZ161" s="430"/>
      <c r="BA161" s="479">
        <f t="shared" si="39"/>
        <v>2.6346864693112684</v>
      </c>
      <c r="BB161" s="479">
        <f t="shared" si="39"/>
        <v>0</v>
      </c>
      <c r="BC161" s="516"/>
      <c r="BE161" s="480">
        <f t="shared" si="40"/>
        <v>0.25916099180462315</v>
      </c>
      <c r="BF161" s="480" t="str">
        <f t="shared" si="41"/>
        <v/>
      </c>
    </row>
    <row r="162" spans="1:58" ht="15.6" x14ac:dyDescent="0.3">
      <c r="A162" s="152">
        <v>2041</v>
      </c>
      <c r="B162" s="178"/>
      <c r="C162" s="182"/>
      <c r="D162" s="183"/>
      <c r="E162" s="179">
        <f t="shared" si="47"/>
        <v>1.0075965185485261</v>
      </c>
      <c r="F162" s="183">
        <f t="shared" si="48"/>
        <v>7.8388346431696898E-2</v>
      </c>
      <c r="G162" s="247">
        <f t="shared" si="35"/>
        <v>2.2510657152636029E-2</v>
      </c>
      <c r="H162" s="246"/>
      <c r="I162" s="417"/>
      <c r="J162" s="178"/>
      <c r="K162" s="182"/>
      <c r="L162" s="183"/>
      <c r="M162" s="179">
        <f>IFERROR(IF($G$19="Y",$F$19,$AB107)*(SUMIF($H$5:$H$16,"Y",$F$5:$F$16)*((Z56+N56)-B56)),0)</f>
        <v>1.0575977929265208</v>
      </c>
      <c r="N162" s="183">
        <f t="shared" si="53"/>
        <v>5.7699507000175232E-2</v>
      </c>
      <c r="O162" s="247">
        <f t="shared" si="37"/>
        <v>2.3627732811392105E-2</v>
      </c>
      <c r="P162" s="246"/>
      <c r="Q162" s="417"/>
      <c r="R162" s="182"/>
      <c r="S162" s="178"/>
      <c r="T162" s="182"/>
      <c r="U162" s="178"/>
      <c r="V162" s="506"/>
      <c r="W162" s="259" t="str">
        <f>IF($W$135="Y",IFERROR(E162*($F$8/SUMIF($H$5:$H$16,"Y",$F$5:$F$16))*$F$21*'Emissions Factors'!$B38,""),"")</f>
        <v/>
      </c>
      <c r="X162" s="259" t="str">
        <f>IF($X$135="Y",IFERROR($E162*(SUM($F$7,$F$5,$F$6)/SUMIF($H$5:$H$16,"Y",$F$5:$F$16))*('Emissions Factors'!$T$143*$F$22)/10^6,""),"")</f>
        <v/>
      </c>
      <c r="Y162" s="259">
        <f t="shared" si="49"/>
        <v>1.3289935714024306</v>
      </c>
      <c r="Z162" s="259">
        <f t="shared" si="50"/>
        <v>0.52853525760288866</v>
      </c>
      <c r="AA162" s="509"/>
      <c r="AB162" s="180">
        <f t="shared" si="42"/>
        <v>1.8575288290053193</v>
      </c>
      <c r="AC162" s="180">
        <f t="shared" si="43"/>
        <v>0</v>
      </c>
      <c r="AE162" s="182"/>
      <c r="AF162" s="178"/>
      <c r="AG162" s="182"/>
      <c r="AH162" s="178"/>
      <c r="AJ162" s="259" t="str">
        <f>IF($AJ$135="Y",IFERROR(M162*($F$8/SUMIF($H$5:$H$16,"Y",$F$5:$F$16))*$F$21*'Emissions Factors'!$B38,""),"")</f>
        <v/>
      </c>
      <c r="AK162" s="259" t="str">
        <f>IF($AK$135="Y",IFERROR($M162*(SUM($F$7,$F$5,$F$6)/SUMIF($H$5:$H$16,"Y",$F$5:$F$16))*('Emissions Factors'!$T$143*$F$22)/10^6,""),"")</f>
        <v/>
      </c>
      <c r="AL162" s="259">
        <f t="shared" si="51"/>
        <v>1.3949439503358645</v>
      </c>
      <c r="AM162" s="259">
        <f t="shared" si="52"/>
        <v>0.55476345107850289</v>
      </c>
      <c r="AO162" s="180">
        <f t="shared" si="44"/>
        <v>1.9497074014143674</v>
      </c>
      <c r="AP162" s="180">
        <f t="shared" si="45"/>
        <v>0</v>
      </c>
      <c r="AS162" s="430"/>
      <c r="AT162" s="478">
        <v>2041</v>
      </c>
      <c r="AU162" s="479">
        <f t="shared" si="46"/>
        <v>3.8072362304196865</v>
      </c>
      <c r="AV162" s="479">
        <f t="shared" si="46"/>
        <v>0</v>
      </c>
      <c r="AW162" s="430"/>
      <c r="AX162" s="479">
        <f t="shared" si="38"/>
        <v>0.97485370070718369</v>
      </c>
      <c r="AY162" s="479">
        <f t="shared" si="38"/>
        <v>0</v>
      </c>
      <c r="AZ162" s="430"/>
      <c r="BA162" s="479">
        <f t="shared" si="39"/>
        <v>2.8323825297125027</v>
      </c>
      <c r="BB162" s="479">
        <f t="shared" si="39"/>
        <v>0</v>
      </c>
      <c r="BC162" s="516"/>
      <c r="BE162" s="480">
        <f t="shared" si="40"/>
        <v>0.25605285348939899</v>
      </c>
      <c r="BF162" s="480" t="str">
        <f t="shared" si="41"/>
        <v/>
      </c>
    </row>
    <row r="163" spans="1:58" ht="15.6" x14ac:dyDescent="0.3">
      <c r="A163" s="152">
        <v>2042</v>
      </c>
      <c r="B163" s="178"/>
      <c r="C163" s="182"/>
      <c r="D163" s="183"/>
      <c r="E163" s="179">
        <f t="shared" si="47"/>
        <v>1.091745157853163</v>
      </c>
      <c r="F163" s="183">
        <f t="shared" si="48"/>
        <v>8.4148639304636896E-2</v>
      </c>
      <c r="G163" s="247">
        <f t="shared" si="35"/>
        <v>2.2569659918260196E-2</v>
      </c>
      <c r="H163" s="246"/>
      <c r="I163" s="417"/>
      <c r="J163" s="178"/>
      <c r="K163" s="182"/>
      <c r="L163" s="183"/>
      <c r="M163" s="179">
        <f t="shared" si="36"/>
        <v>1.1157808813777077</v>
      </c>
      <c r="N163" s="183">
        <f t="shared" si="53"/>
        <v>5.8183088451186915E-2</v>
      </c>
      <c r="O163" s="247">
        <f t="shared" si="37"/>
        <v>2.3066550700817038E-2</v>
      </c>
      <c r="P163" s="246"/>
      <c r="Q163" s="417"/>
      <c r="R163" s="182"/>
      <c r="S163" s="178"/>
      <c r="T163" s="182"/>
      <c r="U163" s="178"/>
      <c r="V163" s="506"/>
      <c r="W163" s="259" t="str">
        <f>IF($W$135="Y",IFERROR(E163*($F$8/SUMIF($H$5:$H$16,"Y",$F$5:$F$16))*$F$21*'Emissions Factors'!$B39,""),"")</f>
        <v/>
      </c>
      <c r="X163" s="259" t="str">
        <f>IF($X$135="Y",IFERROR($E163*(SUM($F$7,$F$5,$F$6)/SUMIF($H$5:$H$16,"Y",$F$5:$F$16))*('Emissions Factors'!$T$143*$F$22)/10^6,""),"")</f>
        <v/>
      </c>
      <c r="Y163" s="259">
        <f t="shared" si="49"/>
        <v>1.4399834355190941</v>
      </c>
      <c r="Z163" s="259">
        <f t="shared" si="50"/>
        <v>0.57267546842445549</v>
      </c>
      <c r="AA163" s="509"/>
      <c r="AB163" s="180">
        <f t="shared" si="42"/>
        <v>2.0126589039435494</v>
      </c>
      <c r="AC163" s="180">
        <f t="shared" si="43"/>
        <v>0</v>
      </c>
      <c r="AE163" s="182"/>
      <c r="AF163" s="178"/>
      <c r="AG163" s="182"/>
      <c r="AH163" s="178"/>
      <c r="AJ163" s="259" t="str">
        <f>IF($AJ$135="Y",IFERROR(M163*($F$8/SUMIF($H$5:$H$16,"Y",$F$5:$F$16))*$F$21*'Emissions Factors'!$B39,""),"")</f>
        <v/>
      </c>
      <c r="AK163" s="259" t="str">
        <f>IF($AK$135="Y",IFERROR($M163*(SUM($F$7,$F$5,$F$6)/SUMIF($H$5:$H$16,"Y",$F$5:$F$16))*('Emissions Factors'!$T$143*$F$22)/10^6,""),"")</f>
        <v/>
      </c>
      <c r="AL163" s="259">
        <f t="shared" si="51"/>
        <v>1.4716859289875526</v>
      </c>
      <c r="AM163" s="259">
        <f t="shared" si="52"/>
        <v>0.58528341921711724</v>
      </c>
      <c r="AO163" s="180">
        <f t="shared" si="44"/>
        <v>2.05696934820467</v>
      </c>
      <c r="AP163" s="180">
        <f t="shared" si="45"/>
        <v>0</v>
      </c>
      <c r="AS163" s="430"/>
      <c r="AT163" s="478">
        <v>2042</v>
      </c>
      <c r="AU163" s="479">
        <f t="shared" si="46"/>
        <v>4.0696282521482194</v>
      </c>
      <c r="AV163" s="479">
        <f t="shared" si="46"/>
        <v>0</v>
      </c>
      <c r="AW163" s="430"/>
      <c r="AX163" s="479">
        <f t="shared" si="38"/>
        <v>1.028484674102335</v>
      </c>
      <c r="AY163" s="479">
        <f t="shared" si="38"/>
        <v>0</v>
      </c>
      <c r="AZ163" s="430"/>
      <c r="BA163" s="479">
        <f t="shared" si="39"/>
        <v>3.0411435780458844</v>
      </c>
      <c r="BB163" s="479">
        <f t="shared" si="39"/>
        <v>0</v>
      </c>
      <c r="BC163" s="516"/>
      <c r="BE163" s="480">
        <f t="shared" si="40"/>
        <v>0.25272202038587499</v>
      </c>
      <c r="BF163" s="480" t="str">
        <f t="shared" si="41"/>
        <v/>
      </c>
    </row>
    <row r="164" spans="1:58" ht="15.6" x14ac:dyDescent="0.3">
      <c r="A164" s="152">
        <v>2043</v>
      </c>
      <c r="B164" s="178"/>
      <c r="C164" s="182"/>
      <c r="D164" s="183"/>
      <c r="E164" s="179">
        <f t="shared" si="47"/>
        <v>1.1827347704375244</v>
      </c>
      <c r="F164" s="183">
        <f t="shared" si="48"/>
        <v>9.0989612584361446E-2</v>
      </c>
      <c r="G164" s="247">
        <f t="shared" si="35"/>
        <v>2.2673452832029452E-2</v>
      </c>
      <c r="H164" s="246"/>
      <c r="I164" s="417"/>
      <c r="J164" s="178"/>
      <c r="K164" s="182"/>
      <c r="L164" s="183"/>
      <c r="M164" s="179">
        <f t="shared" si="36"/>
        <v>1.1749703146342905</v>
      </c>
      <c r="N164" s="183">
        <f t="shared" si="53"/>
        <v>5.9189433256582769E-2</v>
      </c>
      <c r="O164" s="247">
        <f t="shared" si="37"/>
        <v>2.2524605409241772E-2</v>
      </c>
      <c r="P164" s="246"/>
      <c r="Q164" s="417"/>
      <c r="R164" s="182"/>
      <c r="S164" s="178"/>
      <c r="T164" s="182"/>
      <c r="U164" s="178"/>
      <c r="V164" s="506"/>
      <c r="W164" s="259" t="str">
        <f>IF($W$135="Y",IFERROR(E164*($F$8/SUMIF($H$5:$H$16,"Y",$F$5:$F$16))*$F$21*'Emissions Factors'!$B40,""),"")</f>
        <v/>
      </c>
      <c r="X164" s="259" t="str">
        <f>IF($X$135="Y",IFERROR($E164*(SUM($F$7,$F$5,$F$6)/SUMIF($H$5:$H$16,"Y",$F$5:$F$16))*('Emissions Factors'!$T$143*$F$22)/10^6,""),"")</f>
        <v/>
      </c>
      <c r="Y164" s="259">
        <f t="shared" si="49"/>
        <v>1.559996365261259</v>
      </c>
      <c r="Z164" s="259">
        <f t="shared" si="50"/>
        <v>0.62040411520038863</v>
      </c>
      <c r="AA164" s="509"/>
      <c r="AB164" s="180">
        <f t="shared" si="42"/>
        <v>2.1804004804616475</v>
      </c>
      <c r="AC164" s="180">
        <f t="shared" si="43"/>
        <v>0</v>
      </c>
      <c r="AE164" s="182"/>
      <c r="AF164" s="178"/>
      <c r="AG164" s="182"/>
      <c r="AH164" s="178"/>
      <c r="AJ164" s="259" t="str">
        <f>IF($AJ$135="Y",IFERROR(M164*($F$8/SUMIF($H$5:$H$16,"Y",$F$5:$F$16))*$F$21*'Emissions Factors'!$B40,""),"")</f>
        <v/>
      </c>
      <c r="AK164" s="259" t="str">
        <f>IF($AK$135="Y",IFERROR($M164*(SUM($F$7,$F$5,$F$6)/SUMIF($H$5:$H$16,"Y",$F$5:$F$16))*('Emissions Factors'!$T$143*$F$22)/10^6,""),"")</f>
        <v/>
      </c>
      <c r="AL164" s="259">
        <f t="shared" si="51"/>
        <v>1.5497552502335881</v>
      </c>
      <c r="AM164" s="259">
        <f t="shared" si="52"/>
        <v>0.6163312660265744</v>
      </c>
      <c r="AO164" s="180">
        <f t="shared" si="44"/>
        <v>2.1660865162601626</v>
      </c>
      <c r="AP164" s="180">
        <f t="shared" si="45"/>
        <v>0</v>
      </c>
      <c r="AS164" s="430"/>
      <c r="AT164" s="478">
        <v>2043</v>
      </c>
      <c r="AU164" s="479">
        <f t="shared" si="46"/>
        <v>4.3464869967218096</v>
      </c>
      <c r="AV164" s="479">
        <f t="shared" si="46"/>
        <v>0</v>
      </c>
      <c r="AW164" s="430"/>
      <c r="AX164" s="479">
        <f t="shared" si="38"/>
        <v>1.0830432581300813</v>
      </c>
      <c r="AY164" s="479">
        <f t="shared" si="38"/>
        <v>0</v>
      </c>
      <c r="AZ164" s="430"/>
      <c r="BA164" s="479">
        <f t="shared" si="39"/>
        <v>3.2634437385917283</v>
      </c>
      <c r="BB164" s="479">
        <f t="shared" si="39"/>
        <v>0</v>
      </c>
      <c r="BC164" s="516"/>
      <c r="BE164" s="480">
        <f t="shared" si="40"/>
        <v>0.24917669348762114</v>
      </c>
      <c r="BF164" s="480" t="str">
        <f t="shared" si="41"/>
        <v/>
      </c>
    </row>
    <row r="165" spans="1:58" ht="15.6" x14ac:dyDescent="0.3">
      <c r="A165" s="152">
        <v>2044</v>
      </c>
      <c r="B165" s="178"/>
      <c r="C165" s="182"/>
      <c r="D165" s="183"/>
      <c r="E165" s="179">
        <f t="shared" si="47"/>
        <v>1.2818303342773456</v>
      </c>
      <c r="F165" s="183">
        <f t="shared" si="48"/>
        <v>9.909556383982121E-2</v>
      </c>
      <c r="G165" s="247">
        <f t="shared" si="35"/>
        <v>2.2826394802718045E-2</v>
      </c>
      <c r="H165" s="246"/>
      <c r="I165" s="417"/>
      <c r="J165" s="178"/>
      <c r="K165" s="182"/>
      <c r="L165" s="183"/>
      <c r="M165" s="179">
        <f t="shared" si="36"/>
        <v>1.2357684367061199</v>
      </c>
      <c r="N165" s="183">
        <f t="shared" si="53"/>
        <v>6.0798122071829441E-2</v>
      </c>
      <c r="O165" s="247">
        <f t="shared" si="37"/>
        <v>2.2006140334394887E-2</v>
      </c>
      <c r="P165" s="246"/>
      <c r="Q165" s="417"/>
      <c r="R165" s="182"/>
      <c r="S165" s="178"/>
      <c r="T165" s="182"/>
      <c r="U165" s="178"/>
      <c r="V165" s="506"/>
      <c r="W165" s="259" t="str">
        <f>IF($W$135="Y",IFERROR(E165*($F$8/SUMIF($H$5:$H$16,"Y",$F$5:$F$16))*$F$21*'Emissions Factors'!$B41,""),"")</f>
        <v/>
      </c>
      <c r="X165" s="259" t="str">
        <f>IF($X$135="Y",IFERROR($E165*(SUM($F$7,$F$5,$F$6)/SUMIF($H$5:$H$16,"Y",$F$5:$F$16))*('Emissions Factors'!$T$143*$F$22)/10^6,""),"")</f>
        <v/>
      </c>
      <c r="Y165" s="259">
        <f t="shared" si="49"/>
        <v>1.6907008336404625</v>
      </c>
      <c r="Z165" s="259">
        <f t="shared" si="50"/>
        <v>0.67238474276034887</v>
      </c>
      <c r="AA165" s="509"/>
      <c r="AB165" s="180">
        <f t="shared" si="42"/>
        <v>2.3630855764008114</v>
      </c>
      <c r="AC165" s="180">
        <f t="shared" si="43"/>
        <v>0</v>
      </c>
      <c r="AE165" s="182"/>
      <c r="AF165" s="178"/>
      <c r="AG165" s="182"/>
      <c r="AH165" s="178"/>
      <c r="AJ165" s="259" t="str">
        <f>IF($AJ$135="Y",IFERROR(M165*($F$8/SUMIF($H$5:$H$16,"Y",$F$5:$F$16))*$F$21*'Emissions Factors'!$B41,""),"")</f>
        <v/>
      </c>
      <c r="AK165" s="259" t="str">
        <f>IF($AK$135="Y",IFERROR($M165*(SUM($F$7,$F$5,$F$6)/SUMIF($H$5:$H$16,"Y",$F$5:$F$16))*('Emissions Factors'!$T$143*$F$22)/10^6,""),"")</f>
        <v/>
      </c>
      <c r="AL165" s="259">
        <f t="shared" si="51"/>
        <v>1.629946390138673</v>
      </c>
      <c r="AM165" s="259">
        <f t="shared" si="52"/>
        <v>0.64822295135841357</v>
      </c>
      <c r="AO165" s="180">
        <f t="shared" si="44"/>
        <v>2.2781693414970867</v>
      </c>
      <c r="AP165" s="180">
        <f t="shared" si="45"/>
        <v>0</v>
      </c>
      <c r="AS165" s="430"/>
      <c r="AT165" s="478">
        <v>2044</v>
      </c>
      <c r="AU165" s="479">
        <f t="shared" si="46"/>
        <v>4.6412549178978981</v>
      </c>
      <c r="AV165" s="479">
        <f t="shared" si="46"/>
        <v>0</v>
      </c>
      <c r="AW165" s="430"/>
      <c r="AX165" s="479">
        <f t="shared" si="38"/>
        <v>1.1390846707485434</v>
      </c>
      <c r="AY165" s="479">
        <f t="shared" si="38"/>
        <v>0</v>
      </c>
      <c r="AZ165" s="430"/>
      <c r="BA165" s="479">
        <f t="shared" si="39"/>
        <v>3.5021702471493548</v>
      </c>
      <c r="BB165" s="479">
        <f t="shared" si="39"/>
        <v>0</v>
      </c>
      <c r="BC165" s="516"/>
      <c r="BE165" s="480">
        <f t="shared" si="40"/>
        <v>0.24542600889167576</v>
      </c>
      <c r="BF165" s="480" t="str">
        <f t="shared" si="41"/>
        <v/>
      </c>
    </row>
    <row r="166" spans="1:58" ht="15.6" x14ac:dyDescent="0.3">
      <c r="A166" s="152">
        <v>2045</v>
      </c>
      <c r="B166" s="178"/>
      <c r="C166" s="182"/>
      <c r="D166" s="183"/>
      <c r="E166" s="179">
        <f t="shared" si="47"/>
        <v>1.3902204114710663</v>
      </c>
      <c r="F166" s="183">
        <f t="shared" si="48"/>
        <v>0.10839007719372074</v>
      </c>
      <c r="G166" s="247">
        <f t="shared" si="35"/>
        <v>2.3029599525077733E-2</v>
      </c>
      <c r="H166" s="246"/>
      <c r="I166" s="417"/>
      <c r="J166" s="178"/>
      <c r="K166" s="182"/>
      <c r="L166" s="183"/>
      <c r="M166" s="179">
        <f t="shared" si="36"/>
        <v>1.2986927589168438</v>
      </c>
      <c r="N166" s="183">
        <f t="shared" si="53"/>
        <v>6.292432221072386E-2</v>
      </c>
      <c r="O166" s="247">
        <f t="shared" si="37"/>
        <v>2.1513404563184041E-2</v>
      </c>
      <c r="P166" s="246"/>
      <c r="Q166" s="417"/>
      <c r="R166" s="182"/>
      <c r="S166" s="178"/>
      <c r="T166" s="182"/>
      <c r="U166" s="178"/>
      <c r="V166" s="506"/>
      <c r="W166" s="259" t="str">
        <f>IF($W$135="Y",IFERROR(E166*($F$8/SUMIF($H$5:$H$16,"Y",$F$5:$F$16))*$F$21*'Emissions Factors'!$B42,""),"")</f>
        <v/>
      </c>
      <c r="X166" s="259" t="str">
        <f>IF($X$135="Y",IFERROR($E166*(SUM($F$7,$F$5,$F$6)/SUMIF($H$5:$H$16,"Y",$F$5:$F$16))*('Emissions Factors'!$T$143*$F$22)/10^6,""),"")</f>
        <v/>
      </c>
      <c r="Y166" s="259">
        <f t="shared" si="49"/>
        <v>1.833664523115865</v>
      </c>
      <c r="Z166" s="259">
        <f t="shared" si="50"/>
        <v>0.72924081194735357</v>
      </c>
      <c r="AA166" s="509"/>
      <c r="AB166" s="180">
        <f t="shared" si="42"/>
        <v>2.5629053350632187</v>
      </c>
      <c r="AC166" s="180">
        <f t="shared" si="43"/>
        <v>0</v>
      </c>
      <c r="AE166" s="182"/>
      <c r="AF166" s="178"/>
      <c r="AG166" s="182"/>
      <c r="AH166" s="178"/>
      <c r="AJ166" s="259" t="str">
        <f>IF($AJ$135="Y",IFERROR(M166*($F$8/SUMIF($H$5:$H$16,"Y",$F$5:$F$16))*$F$21*'Emissions Factors'!$B42,""),"")</f>
        <v/>
      </c>
      <c r="AK166" s="259" t="str">
        <f>IF($AK$135="Y",IFERROR($M166*(SUM($F$7,$F$5,$F$6)/SUMIF($H$5:$H$16,"Y",$F$5:$F$16))*('Emissions Factors'!$T$143*$F$22)/10^6,""),"")</f>
        <v/>
      </c>
      <c r="AL166" s="259">
        <f t="shared" si="51"/>
        <v>1.7129419326633466</v>
      </c>
      <c r="AM166" s="259">
        <f t="shared" si="52"/>
        <v>0.68122993603620985</v>
      </c>
      <c r="AO166" s="180">
        <f t="shared" si="44"/>
        <v>2.3941718686995563</v>
      </c>
      <c r="AP166" s="180">
        <f t="shared" si="45"/>
        <v>0</v>
      </c>
      <c r="AS166" s="430"/>
      <c r="AT166" s="478">
        <v>2045</v>
      </c>
      <c r="AU166" s="479">
        <f t="shared" si="46"/>
        <v>4.9570772037627755</v>
      </c>
      <c r="AV166" s="479">
        <f t="shared" si="46"/>
        <v>0</v>
      </c>
      <c r="AW166" s="430"/>
      <c r="AX166" s="479">
        <f t="shared" si="38"/>
        <v>1.1970859343497782</v>
      </c>
      <c r="AY166" s="479">
        <f t="shared" si="38"/>
        <v>0</v>
      </c>
      <c r="AZ166" s="430"/>
      <c r="BA166" s="479">
        <f t="shared" si="39"/>
        <v>3.7599912694129971</v>
      </c>
      <c r="BB166" s="479">
        <f t="shared" si="39"/>
        <v>0</v>
      </c>
      <c r="BC166" s="516"/>
      <c r="BE166" s="480">
        <f t="shared" si="40"/>
        <v>0.24149027443855514</v>
      </c>
      <c r="BF166" s="480" t="str">
        <f t="shared" si="41"/>
        <v/>
      </c>
    </row>
    <row r="167" spans="1:58" ht="15.6" x14ac:dyDescent="0.3">
      <c r="A167" s="152">
        <v>2046</v>
      </c>
      <c r="B167" s="178"/>
      <c r="C167" s="182"/>
      <c r="D167" s="183"/>
      <c r="E167" s="179">
        <f t="shared" si="47"/>
        <v>1.5086448095565543</v>
      </c>
      <c r="F167" s="183">
        <f t="shared" si="48"/>
        <v>0.11842439808548799</v>
      </c>
      <c r="G167" s="247">
        <f t="shared" si="35"/>
        <v>2.3277372682106917E-2</v>
      </c>
      <c r="H167" s="246"/>
      <c r="I167" s="417"/>
      <c r="J167" s="178"/>
      <c r="K167" s="182"/>
      <c r="L167" s="183"/>
      <c r="M167" s="179">
        <f t="shared" si="36"/>
        <v>1.3640332716204129</v>
      </c>
      <c r="N167" s="183">
        <f t="shared" si="53"/>
        <v>6.5340512703569109E-2</v>
      </c>
      <c r="O167" s="247">
        <f t="shared" si="37"/>
        <v>2.1046114110606813E-2</v>
      </c>
      <c r="P167" s="246"/>
      <c r="Q167" s="417"/>
      <c r="R167" s="182"/>
      <c r="S167" s="178"/>
      <c r="T167" s="182"/>
      <c r="U167" s="178"/>
      <c r="V167" s="506"/>
      <c r="W167" s="259" t="str">
        <f>IF($W$135="Y",IFERROR(E167*($F$8/SUMIF($H$5:$H$16,"Y",$F$5:$F$16))*$F$21*'Emissions Factors'!$B43,""),"")</f>
        <v/>
      </c>
      <c r="X167" s="259" t="str">
        <f>IF($X$135="Y",IFERROR($E167*(SUM($F$7,$F$5,$F$6)/SUMIF($H$5:$H$16,"Y",$F$5:$F$16))*('Emissions Factors'!$T$143*$F$22)/10^6,""),"")</f>
        <v/>
      </c>
      <c r="Y167" s="259">
        <f t="shared" si="49"/>
        <v>1.9898632205662434</v>
      </c>
      <c r="Z167" s="259">
        <f t="shared" si="50"/>
        <v>0.79136038917529539</v>
      </c>
      <c r="AA167" s="509"/>
      <c r="AB167" s="180">
        <f t="shared" si="42"/>
        <v>2.7812236097415388</v>
      </c>
      <c r="AC167" s="180">
        <f t="shared" si="43"/>
        <v>0</v>
      </c>
      <c r="AE167" s="182"/>
      <c r="AF167" s="178"/>
      <c r="AG167" s="182"/>
      <c r="AH167" s="178"/>
      <c r="AJ167" s="259" t="str">
        <f>IF($AJ$135="Y",IFERROR(M167*($F$8/SUMIF($H$5:$H$16,"Y",$F$5:$F$16))*$F$21*'Emissions Factors'!$B43,""),"")</f>
        <v/>
      </c>
      <c r="AK167" s="259" t="str">
        <f>IF($AK$135="Y",IFERROR($M167*(SUM($F$7,$F$5,$F$6)/SUMIF($H$5:$H$16,"Y",$F$5:$F$16))*('Emissions Factors'!$T$143*$F$22)/10^6,""),"")</f>
        <v/>
      </c>
      <c r="AL167" s="259">
        <f t="shared" si="51"/>
        <v>1.7991243675334807</v>
      </c>
      <c r="AM167" s="259">
        <f t="shared" si="52"/>
        <v>0.71550433464512331</v>
      </c>
      <c r="AO167" s="180">
        <f t="shared" si="44"/>
        <v>2.5146287021786042</v>
      </c>
      <c r="AP167" s="180">
        <f t="shared" si="45"/>
        <v>0</v>
      </c>
      <c r="AS167" s="430"/>
      <c r="AT167" s="478">
        <v>2046</v>
      </c>
      <c r="AU167" s="479">
        <f t="shared" si="46"/>
        <v>5.2958523119201431</v>
      </c>
      <c r="AV167" s="479">
        <f t="shared" si="46"/>
        <v>0</v>
      </c>
      <c r="AW167" s="430"/>
      <c r="AX167" s="479">
        <f t="shared" si="38"/>
        <v>1.2573143510893021</v>
      </c>
      <c r="AY167" s="479">
        <f t="shared" si="38"/>
        <v>0</v>
      </c>
      <c r="AZ167" s="430"/>
      <c r="BA167" s="479">
        <f t="shared" si="39"/>
        <v>4.0385379608308405</v>
      </c>
      <c r="BB167" s="479">
        <f t="shared" si="39"/>
        <v>0</v>
      </c>
      <c r="BC167" s="516"/>
      <c r="BE167" s="480">
        <f t="shared" si="40"/>
        <v>0.23741491964556533</v>
      </c>
      <c r="BF167" s="480" t="str">
        <f t="shared" si="41"/>
        <v/>
      </c>
    </row>
    <row r="168" spans="1:58" ht="15.6" x14ac:dyDescent="0.3">
      <c r="A168" s="152">
        <v>2047</v>
      </c>
      <c r="B168" s="178"/>
      <c r="C168" s="182"/>
      <c r="D168" s="183"/>
      <c r="E168" s="179">
        <f t="shared" si="47"/>
        <v>1.6378442279684233</v>
      </c>
      <c r="F168" s="183">
        <f t="shared" si="48"/>
        <v>0.12919941841186899</v>
      </c>
      <c r="G168" s="247">
        <f t="shared" si="35"/>
        <v>2.3564604634853704E-2</v>
      </c>
      <c r="H168" s="246"/>
      <c r="I168" s="417"/>
      <c r="J168" s="178"/>
      <c r="K168" s="182"/>
      <c r="L168" s="183"/>
      <c r="M168" s="179">
        <f t="shared" si="36"/>
        <v>1.4321253832624539</v>
      </c>
      <c r="N168" s="183">
        <f t="shared" si="53"/>
        <v>6.8092111642040987E-2</v>
      </c>
      <c r="O168" s="247">
        <f t="shared" si="37"/>
        <v>2.0604809583130081E-2</v>
      </c>
      <c r="P168" s="246"/>
      <c r="Q168" s="417"/>
      <c r="R168" s="182"/>
      <c r="S168" s="178"/>
      <c r="T168" s="182"/>
      <c r="U168" s="178"/>
      <c r="V168" s="506"/>
      <c r="W168" s="259" t="str">
        <f>IF($W$135="Y",IFERROR(E168*($F$8/SUMIF($H$5:$H$16,"Y",$F$5:$F$16))*$F$21*'Emissions Factors'!$B44,""),"")</f>
        <v/>
      </c>
      <c r="X168" s="259" t="str">
        <f>IF($X$135="Y",IFERROR($E168*(SUM($F$7,$F$5,$F$6)/SUMIF($H$5:$H$16,"Y",$F$5:$F$16))*('Emissions Factors'!$T$143*$F$22)/10^6,""),"")</f>
        <v/>
      </c>
      <c r="Y168" s="259">
        <f t="shared" si="49"/>
        <v>2.1602738892589595</v>
      </c>
      <c r="Z168" s="259">
        <f t="shared" si="50"/>
        <v>0.85913200870295048</v>
      </c>
      <c r="AA168" s="509"/>
      <c r="AB168" s="180">
        <f t="shared" si="42"/>
        <v>3.0194058979619101</v>
      </c>
      <c r="AC168" s="180">
        <f t="shared" si="43"/>
        <v>0</v>
      </c>
      <c r="AE168" s="182"/>
      <c r="AF168" s="178"/>
      <c r="AG168" s="182"/>
      <c r="AH168" s="178"/>
      <c r="AJ168" s="259" t="str">
        <f>IF($AJ$135="Y",IFERROR(M168*($F$8/SUMIF($H$5:$H$16,"Y",$F$5:$F$16))*$F$21*'Emissions Factors'!$B44,""),"")</f>
        <v/>
      </c>
      <c r="AK168" s="259" t="str">
        <f>IF($AK$135="Y",IFERROR($M168*(SUM($F$7,$F$5,$F$6)/SUMIF($H$5:$H$16,"Y",$F$5:$F$16))*('Emissions Factors'!$T$143*$F$22)/10^6,""),"")</f>
        <v/>
      </c>
      <c r="AL168" s="259">
        <f t="shared" si="51"/>
        <v>1.8889360897552372</v>
      </c>
      <c r="AM168" s="259">
        <f t="shared" si="52"/>
        <v>0.75122208585301187</v>
      </c>
      <c r="AO168" s="180">
        <f t="shared" si="44"/>
        <v>2.6401581756082493</v>
      </c>
      <c r="AP168" s="180">
        <f t="shared" si="45"/>
        <v>0</v>
      </c>
      <c r="AS168" s="430"/>
      <c r="AT168" s="478">
        <v>2047</v>
      </c>
      <c r="AU168" s="479">
        <f t="shared" si="46"/>
        <v>5.6595640735701593</v>
      </c>
      <c r="AV168" s="479">
        <f t="shared" si="46"/>
        <v>0</v>
      </c>
      <c r="AW168" s="430"/>
      <c r="AX168" s="479">
        <f t="shared" si="38"/>
        <v>1.3200790878041246</v>
      </c>
      <c r="AY168" s="479">
        <f t="shared" si="38"/>
        <v>0</v>
      </c>
      <c r="AZ168" s="430"/>
      <c r="BA168" s="479">
        <f t="shared" si="39"/>
        <v>4.3394849857660347</v>
      </c>
      <c r="BB168" s="479">
        <f t="shared" si="39"/>
        <v>0</v>
      </c>
      <c r="BC168" s="516"/>
      <c r="BE168" s="480">
        <f t="shared" si="40"/>
        <v>0.23324748525576705</v>
      </c>
      <c r="BF168" s="480" t="str">
        <f t="shared" si="41"/>
        <v/>
      </c>
    </row>
    <row r="169" spans="1:58" ht="15.6" x14ac:dyDescent="0.3">
      <c r="A169" s="152">
        <v>2048</v>
      </c>
      <c r="B169" s="178"/>
      <c r="C169" s="182"/>
      <c r="D169" s="183"/>
      <c r="E169" s="179">
        <f t="shared" si="47"/>
        <v>1.7790864431269249</v>
      </c>
      <c r="F169" s="183">
        <f t="shared" si="48"/>
        <v>0.14124221515850155</v>
      </c>
      <c r="G169" s="247">
        <f t="shared" si="35"/>
        <v>2.3892158768597915E-2</v>
      </c>
      <c r="H169" s="246"/>
      <c r="I169" s="417"/>
      <c r="J169" s="178"/>
      <c r="K169" s="182"/>
      <c r="L169" s="183"/>
      <c r="M169" s="179">
        <f t="shared" si="36"/>
        <v>1.5035698929049586</v>
      </c>
      <c r="N169" s="183">
        <f t="shared" si="53"/>
        <v>7.1444509642504705E-2</v>
      </c>
      <c r="O169" s="247">
        <f t="shared" si="37"/>
        <v>2.0192122052163908E-2</v>
      </c>
      <c r="P169" s="246"/>
      <c r="Q169" s="417"/>
      <c r="R169" s="182"/>
      <c r="S169" s="178"/>
      <c r="T169" s="182"/>
      <c r="U169" s="178"/>
      <c r="V169" s="506"/>
      <c r="W169" s="259" t="str">
        <f>IF($W$135="Y",IFERROR(E169*($F$8/SUMIF($H$5:$H$16,"Y",$F$5:$F$16))*$F$21*'Emissions Factors'!$B45,""),"")</f>
        <v/>
      </c>
      <c r="X169" s="259" t="str">
        <f>IF($X$135="Y",IFERROR($E169*(SUM($F$7,$F$5,$F$6)/SUMIF($H$5:$H$16,"Y",$F$5:$F$16))*('Emissions Factors'!$T$143*$F$22)/10^6,""),"")</f>
        <v/>
      </c>
      <c r="Y169" s="259">
        <f t="shared" si="49"/>
        <v>2.3465686932809993</v>
      </c>
      <c r="Z169" s="259">
        <f t="shared" si="50"/>
        <v>0.93322068328544994</v>
      </c>
      <c r="AA169" s="509"/>
      <c r="AB169" s="180">
        <f t="shared" si="42"/>
        <v>3.2797893765664492</v>
      </c>
      <c r="AC169" s="180">
        <f t="shared" si="43"/>
        <v>0</v>
      </c>
      <c r="AE169" s="182"/>
      <c r="AF169" s="178"/>
      <c r="AG169" s="182"/>
      <c r="AH169" s="178"/>
      <c r="AJ169" s="259" t="str">
        <f>IF($AJ$135="Y",IFERROR(M169*($F$8/SUMIF($H$5:$H$16,"Y",$F$5:$F$16))*$F$21*'Emissions Factors'!$B45,""),"")</f>
        <v/>
      </c>
      <c r="AK169" s="259" t="str">
        <f>IF($AK$135="Y",IFERROR($M169*(SUM($F$7,$F$5,$F$6)/SUMIF($H$5:$H$16,"Y",$F$5:$F$16))*('Emissions Factors'!$T$143*$F$22)/10^6,""),"")</f>
        <v/>
      </c>
      <c r="AL169" s="259">
        <f t="shared" si="51"/>
        <v>1.9831695376473211</v>
      </c>
      <c r="AM169" s="259">
        <f t="shared" si="52"/>
        <v>0.78869833910824239</v>
      </c>
      <c r="AO169" s="180">
        <f t="shared" si="44"/>
        <v>2.7718678767555636</v>
      </c>
      <c r="AP169" s="180">
        <f t="shared" si="45"/>
        <v>0</v>
      </c>
      <c r="AS169" s="430"/>
      <c r="AT169" s="478">
        <v>2048</v>
      </c>
      <c r="AU169" s="479">
        <f t="shared" si="46"/>
        <v>6.0516572533220128</v>
      </c>
      <c r="AV169" s="479">
        <f t="shared" si="46"/>
        <v>0</v>
      </c>
      <c r="AW169" s="430"/>
      <c r="AX169" s="479">
        <f t="shared" si="38"/>
        <v>1.3859339383777818</v>
      </c>
      <c r="AY169" s="479">
        <f t="shared" si="38"/>
        <v>0</v>
      </c>
      <c r="AZ169" s="430"/>
      <c r="BA169" s="479">
        <f t="shared" si="39"/>
        <v>4.6657233149442305</v>
      </c>
      <c r="BB169" s="479">
        <f t="shared" si="39"/>
        <v>0</v>
      </c>
      <c r="BC169" s="516"/>
      <c r="BE169" s="480">
        <f t="shared" si="40"/>
        <v>0.22901725599495634</v>
      </c>
      <c r="BF169" s="480" t="str">
        <f t="shared" si="41"/>
        <v/>
      </c>
    </row>
    <row r="170" spans="1:58" ht="15.6" x14ac:dyDescent="0.3">
      <c r="A170" s="152">
        <v>2049</v>
      </c>
      <c r="B170" s="178"/>
      <c r="C170" s="182"/>
      <c r="D170" s="183"/>
      <c r="E170" s="179">
        <f t="shared" si="47"/>
        <v>1.9338319056592053</v>
      </c>
      <c r="F170" s="183">
        <f t="shared" si="48"/>
        <v>0.15474546253228039</v>
      </c>
      <c r="G170" s="247">
        <f t="shared" si="35"/>
        <v>2.4261716351299718E-2</v>
      </c>
      <c r="H170" s="246"/>
      <c r="I170" s="417"/>
      <c r="J170" s="178"/>
      <c r="K170" s="182"/>
      <c r="L170" s="183"/>
      <c r="M170" s="179">
        <f t="shared" si="36"/>
        <v>1.5790376073088825</v>
      </c>
      <c r="N170" s="183">
        <f t="shared" si="53"/>
        <v>7.5467714403923969E-2</v>
      </c>
      <c r="O170" s="247">
        <f t="shared" si="37"/>
        <v>1.9810492537873356E-2</v>
      </c>
      <c r="P170" s="246"/>
      <c r="Q170" s="417"/>
      <c r="R170" s="182"/>
      <c r="S170" s="178"/>
      <c r="T170" s="182"/>
      <c r="U170" s="178"/>
      <c r="V170" s="506"/>
      <c r="W170" s="259" t="str">
        <f>IF($W$135="Y",IFERROR(E170*($F$8/SUMIF($H$5:$H$16,"Y",$F$5:$F$16))*$F$21*'Emissions Factors'!$B46,""),"")</f>
        <v/>
      </c>
      <c r="X170" s="259" t="str">
        <f>IF($X$135="Y",IFERROR($E170*(SUM($F$7,$F$5,$F$6)/SUMIF($H$5:$H$16,"Y",$F$5:$F$16))*('Emissions Factors'!$T$143*$F$22)/10^6,""),"")</f>
        <v/>
      </c>
      <c r="Y170" s="259">
        <f t="shared" si="49"/>
        <v>2.5506739289812472</v>
      </c>
      <c r="Z170" s="259">
        <f t="shared" si="50"/>
        <v>1.014392493029489</v>
      </c>
      <c r="AA170" s="509"/>
      <c r="AB170" s="180">
        <f t="shared" si="42"/>
        <v>3.5650664220107364</v>
      </c>
      <c r="AC170" s="180">
        <f t="shared" si="43"/>
        <v>0</v>
      </c>
      <c r="AE170" s="182"/>
      <c r="AF170" s="178"/>
      <c r="AG170" s="182"/>
      <c r="AH170" s="178"/>
      <c r="AJ170" s="259" t="str">
        <f>IF($AJ$135="Y",IFERROR(M170*($F$8/SUMIF($H$5:$H$16,"Y",$F$5:$F$16))*$F$21*'Emissions Factors'!$B46,""),"")</f>
        <v/>
      </c>
      <c r="AK170" s="259" t="str">
        <f>IF($AK$135="Y",IFERROR($M170*(SUM($F$7,$F$5,$F$6)/SUMIF($H$5:$H$16,"Y",$F$5:$F$16))*('Emissions Factors'!$T$143*$F$22)/10^6,""),"")</f>
        <v/>
      </c>
      <c r="AL170" s="259">
        <f t="shared" si="51"/>
        <v>2.0827094878604573</v>
      </c>
      <c r="AM170" s="259">
        <f t="shared" si="52"/>
        <v>0.82828496643267802</v>
      </c>
      <c r="AO170" s="180">
        <f t="shared" si="44"/>
        <v>2.9109944542931352</v>
      </c>
      <c r="AP170" s="180">
        <f t="shared" si="45"/>
        <v>0</v>
      </c>
      <c r="AS170" s="430"/>
      <c r="AT170" s="478">
        <v>2049</v>
      </c>
      <c r="AU170" s="479">
        <f t="shared" si="46"/>
        <v>6.4760608763038716</v>
      </c>
      <c r="AV170" s="479">
        <f t="shared" si="46"/>
        <v>0</v>
      </c>
      <c r="AW170" s="430"/>
      <c r="AX170" s="479">
        <f t="shared" si="38"/>
        <v>1.4554972271465676</v>
      </c>
      <c r="AY170" s="479">
        <f t="shared" si="38"/>
        <v>0</v>
      </c>
      <c r="AZ170" s="430"/>
      <c r="BA170" s="479">
        <f t="shared" si="39"/>
        <v>5.020563649157304</v>
      </c>
      <c r="BB170" s="479">
        <f t="shared" si="39"/>
        <v>0</v>
      </c>
      <c r="BC170" s="516"/>
      <c r="BE170" s="480">
        <f t="shared" si="40"/>
        <v>0.22475039301626731</v>
      </c>
      <c r="BF170" s="480" t="str">
        <f t="shared" si="41"/>
        <v/>
      </c>
    </row>
    <row r="171" spans="1:58" ht="15.6" x14ac:dyDescent="0.3">
      <c r="A171" s="152">
        <v>2050</v>
      </c>
      <c r="B171" s="178"/>
      <c r="C171" s="182"/>
      <c r="D171" s="183"/>
      <c r="E171" s="179">
        <f t="shared" si="47"/>
        <v>2.1033026865659381</v>
      </c>
      <c r="F171" s="183">
        <f t="shared" si="48"/>
        <v>0.16947078090673284</v>
      </c>
      <c r="G171" s="247">
        <f t="shared" si="35"/>
        <v>2.4670974170158379E-2</v>
      </c>
      <c r="H171" s="246"/>
      <c r="I171" s="417"/>
      <c r="J171" s="178"/>
      <c r="K171" s="182"/>
      <c r="L171" s="183"/>
      <c r="M171" s="179">
        <f t="shared" si="36"/>
        <v>1.6591259502063023</v>
      </c>
      <c r="N171" s="183">
        <f t="shared" si="53"/>
        <v>8.0088342897419729E-2</v>
      </c>
      <c r="O171" s="247">
        <f t="shared" si="37"/>
        <v>1.9460942889494067E-2</v>
      </c>
      <c r="P171" s="246"/>
      <c r="Q171" s="417"/>
      <c r="R171" s="182"/>
      <c r="S171" s="178"/>
      <c r="T171" s="182"/>
      <c r="U171" s="178"/>
      <c r="V171" s="506"/>
      <c r="W171" s="259" t="str">
        <f>IF($W$135="Y",IFERROR(E171*($F$8/SUMIF($H$5:$H$16,"Y",$F$5:$F$16))*$F$21*'Emissions Factors'!$B47,""),"")</f>
        <v/>
      </c>
      <c r="X171" s="259" t="str">
        <f>IF($X$135="Y",IFERROR($E171*(SUM($F$7,$F$5,$F$6)/SUMIF($H$5:$H$16,"Y",$F$5:$F$16))*('Emissions Factors'!$T$143*$F$22)/10^6,""),"")</f>
        <v/>
      </c>
      <c r="Y171" s="259">
        <f t="shared" si="49"/>
        <v>2.7742014761883795</v>
      </c>
      <c r="Z171" s="259">
        <f t="shared" si="50"/>
        <v>1.1032884758895061</v>
      </c>
      <c r="AA171" s="509"/>
      <c r="AB171" s="180">
        <f t="shared" si="42"/>
        <v>3.8774899520778856</v>
      </c>
      <c r="AC171" s="180">
        <f t="shared" si="43"/>
        <v>0</v>
      </c>
      <c r="AE171" s="182"/>
      <c r="AF171" s="178"/>
      <c r="AG171" s="182"/>
      <c r="AH171" s="178"/>
      <c r="AJ171" s="259" t="str">
        <f>IF($AJ$135="Y",IFERROR(M171*($F$8/SUMIF($H$5:$H$16,"Y",$F$5:$F$16))*$F$21*'Emissions Factors'!$B47,""),"")</f>
        <v/>
      </c>
      <c r="AK171" s="259" t="str">
        <f>IF($AK$135="Y",IFERROR($M171*(SUM($F$7,$F$5,$F$6)/SUMIF($H$5:$H$16,"Y",$F$5:$F$16))*('Emissions Factors'!$T$143*$F$22)/10^6,""),"")</f>
        <v/>
      </c>
      <c r="AL171" s="259">
        <f t="shared" si="51"/>
        <v>2.1883439267410818</v>
      </c>
      <c r="AM171" s="259">
        <f t="shared" si="52"/>
        <v>0.87029534674369102</v>
      </c>
      <c r="AO171" s="180">
        <f t="shared" si="44"/>
        <v>3.0586392734847729</v>
      </c>
      <c r="AP171" s="180">
        <f t="shared" si="45"/>
        <v>0</v>
      </c>
      <c r="AS171" s="430"/>
      <c r="AT171" s="478">
        <v>2050</v>
      </c>
      <c r="AU171" s="479">
        <f t="shared" si="46"/>
        <v>6.9361292255626585</v>
      </c>
      <c r="AV171" s="479">
        <f t="shared" si="46"/>
        <v>0</v>
      </c>
      <c r="AW171" s="430"/>
      <c r="AX171" s="479">
        <f t="shared" si="38"/>
        <v>1.5293196367423865</v>
      </c>
      <c r="AY171" s="479">
        <f t="shared" si="38"/>
        <v>0</v>
      </c>
      <c r="AZ171" s="430"/>
      <c r="BA171" s="479">
        <f t="shared" si="39"/>
        <v>5.4068095888202716</v>
      </c>
      <c r="BB171" s="479">
        <f t="shared" si="39"/>
        <v>0</v>
      </c>
      <c r="BC171" s="516"/>
      <c r="BE171" s="480">
        <f t="shared" si="40"/>
        <v>0.22048603580022375</v>
      </c>
      <c r="BF171" s="480" t="str">
        <f t="shared" si="41"/>
        <v/>
      </c>
    </row>
    <row r="172" spans="1:58" ht="15.6" x14ac:dyDescent="0.3">
      <c r="A172" s="152">
        <v>2051</v>
      </c>
      <c r="B172" s="178"/>
      <c r="C172" s="182"/>
      <c r="D172" s="183"/>
      <c r="E172" s="179">
        <f t="shared" si="47"/>
        <v>2.2882385750630254</v>
      </c>
      <c r="F172" s="183">
        <f t="shared" si="48"/>
        <v>0.18493588849708731</v>
      </c>
      <c r="G172" s="247">
        <f t="shared" si="35"/>
        <v>2.5112402740154093E-2</v>
      </c>
      <c r="H172" s="246"/>
      <c r="I172" s="417"/>
      <c r="J172" s="178"/>
      <c r="K172" s="182"/>
      <c r="L172" s="183"/>
      <c r="M172" s="179">
        <f t="shared" si="36"/>
        <v>1.7443282888919054</v>
      </c>
      <c r="N172" s="183">
        <f t="shared" si="53"/>
        <v>8.5202338685603118E-2</v>
      </c>
      <c r="O172" s="247">
        <f t="shared" si="37"/>
        <v>1.9143228760790765E-2</v>
      </c>
      <c r="P172" s="246"/>
      <c r="Q172" s="417"/>
      <c r="R172" s="182"/>
      <c r="S172" s="178"/>
      <c r="T172" s="182"/>
      <c r="U172" s="178"/>
      <c r="V172" s="506"/>
      <c r="W172" s="259" t="str">
        <f>IF($W$135="Y",IFERROR(E172*($F$8/SUMIF($H$5:$H$16,"Y",$F$5:$F$16))*$F$21*'Emissions Factors'!$B48,""),"")</f>
        <v/>
      </c>
      <c r="X172" s="259" t="str">
        <f>IF($X$135="Y",IFERROR($E172*(SUM($F$7,$F$5,$F$6)/SUMIF($H$5:$H$16,"Y",$F$5:$F$16))*('Emissions Factors'!$T$143*$F$22)/10^6,""),"")</f>
        <v/>
      </c>
      <c r="Y172" s="259">
        <f t="shared" si="49"/>
        <v>3.0181270976149777</v>
      </c>
      <c r="Z172" s="259">
        <f t="shared" si="50"/>
        <v>1.2002966886685975</v>
      </c>
      <c r="AA172" s="509"/>
      <c r="AB172" s="180">
        <f t="shared" si="42"/>
        <v>4.2184237862835747</v>
      </c>
      <c r="AC172" s="180">
        <f t="shared" si="43"/>
        <v>0</v>
      </c>
      <c r="AE172" s="182"/>
      <c r="AF172" s="178"/>
      <c r="AG172" s="182"/>
      <c r="AH172" s="178"/>
      <c r="AJ172" s="259" t="str">
        <f>IF($AJ$135="Y",IFERROR(M172*($F$8/SUMIF($H$5:$H$16,"Y",$F$5:$F$16))*$F$21*'Emissions Factors'!$B48,""),"")</f>
        <v/>
      </c>
      <c r="AK172" s="259" t="str">
        <f>IF($AK$135="Y",IFERROR($M172*(SUM($F$7,$F$5,$F$6)/SUMIF($H$5:$H$16,"Y",$F$5:$F$16))*('Emissions Factors'!$T$143*$F$22)/10^6,""),"")</f>
        <v/>
      </c>
      <c r="AL172" s="259">
        <f t="shared" si="51"/>
        <v>2.3007235929042156</v>
      </c>
      <c r="AM172" s="259">
        <f t="shared" si="52"/>
        <v>0.91498827610239342</v>
      </c>
      <c r="AO172" s="180">
        <f t="shared" si="44"/>
        <v>3.2157118690066091</v>
      </c>
      <c r="AP172" s="180">
        <f t="shared" si="45"/>
        <v>0</v>
      </c>
      <c r="AT172" s="478">
        <v>2051</v>
      </c>
      <c r="AU172" s="479">
        <f t="shared" si="46"/>
        <v>7.4341356552901843</v>
      </c>
      <c r="AV172" s="479">
        <f t="shared" si="46"/>
        <v>0</v>
      </c>
      <c r="AW172" s="430"/>
      <c r="AX172" s="479">
        <f t="shared" si="38"/>
        <v>1.6078559345033046</v>
      </c>
      <c r="AY172" s="479">
        <f t="shared" si="38"/>
        <v>0</v>
      </c>
      <c r="AZ172" s="430"/>
      <c r="BA172" s="479">
        <f t="shared" si="39"/>
        <v>5.8262797207868795</v>
      </c>
      <c r="BB172" s="479">
        <f t="shared" si="39"/>
        <v>0</v>
      </c>
      <c r="BC172" s="516"/>
      <c r="BE172" s="480">
        <f t="shared" si="40"/>
        <v>0.21628014460015169</v>
      </c>
      <c r="BF172" s="480" t="str">
        <f t="shared" si="41"/>
        <v/>
      </c>
    </row>
    <row r="173" spans="1:58" ht="15.6" x14ac:dyDescent="0.3">
      <c r="A173" s="152">
        <v>2052</v>
      </c>
      <c r="B173" s="178"/>
      <c r="C173" s="182"/>
      <c r="D173" s="183"/>
      <c r="E173" s="179">
        <f t="shared" si="47"/>
        <v>2.4888417551517303</v>
      </c>
      <c r="F173" s="183">
        <f t="shared" si="48"/>
        <v>0.20060318008870492</v>
      </c>
      <c r="G173" s="247">
        <f t="shared" si="35"/>
        <v>2.5574486314971466E-2</v>
      </c>
      <c r="H173" s="246"/>
      <c r="I173" s="417"/>
      <c r="J173" s="178"/>
      <c r="K173" s="182"/>
      <c r="L173" s="183"/>
      <c r="M173" s="179">
        <f t="shared" si="36"/>
        <v>1.8350551220793798</v>
      </c>
      <c r="N173" s="183">
        <f t="shared" si="53"/>
        <v>9.0726833187474432E-2</v>
      </c>
      <c r="O173" s="247">
        <f t="shared" si="37"/>
        <v>1.8856398567604512E-2</v>
      </c>
      <c r="P173" s="246"/>
      <c r="Q173" s="417"/>
      <c r="R173" s="182"/>
      <c r="S173" s="178"/>
      <c r="T173" s="182"/>
      <c r="U173" s="178"/>
      <c r="V173" s="506"/>
      <c r="W173" s="259" t="str">
        <f>IF($W$135="Y",IFERROR(E173*($F$8/SUMIF($H$5:$H$16,"Y",$F$5:$F$16))*$F$21*'Emissions Factors'!$B49,""),"")</f>
        <v/>
      </c>
      <c r="X173" s="259" t="str">
        <f>IF($X$135="Y",IFERROR($E173*(SUM($F$7,$F$5,$F$6)/SUMIF($H$5:$H$16,"Y",$F$5:$F$16))*('Emissions Factors'!$T$143*$F$22)/10^6,""),"")</f>
        <v/>
      </c>
      <c r="Y173" s="259">
        <f t="shared" si="49"/>
        <v>3.2827174686940861</v>
      </c>
      <c r="Z173" s="259">
        <f t="shared" si="50"/>
        <v>1.3055231870857176</v>
      </c>
      <c r="AA173" s="509"/>
      <c r="AB173" s="180">
        <f t="shared" si="42"/>
        <v>4.5882406557798037</v>
      </c>
      <c r="AC173" s="180">
        <f t="shared" si="43"/>
        <v>0</v>
      </c>
      <c r="AE173" s="182"/>
      <c r="AF173" s="178"/>
      <c r="AG173" s="182"/>
      <c r="AH173" s="178"/>
      <c r="AJ173" s="259" t="str">
        <f>IF($AJ$135="Y",IFERROR(M173*($F$8/SUMIF($H$5:$H$16,"Y",$F$5:$F$16))*$F$21*'Emissions Factors'!$B49,""),"")</f>
        <v/>
      </c>
      <c r="AK173" s="259" t="str">
        <f>IF($AK$135="Y",IFERROR($M173*(SUM($F$7,$F$5,$F$6)/SUMIF($H$5:$H$16,"Y",$F$5:$F$16))*('Emissions Factors'!$T$143*$F$22)/10^6,""),"")</f>
        <v/>
      </c>
      <c r="AL173" s="259">
        <f t="shared" si="51"/>
        <v>2.4203899234643353</v>
      </c>
      <c r="AM173" s="259">
        <f t="shared" si="52"/>
        <v>0.96257908181429974</v>
      </c>
      <c r="AO173" s="180">
        <f t="shared" si="44"/>
        <v>3.382969005278635</v>
      </c>
      <c r="AP173" s="180">
        <f t="shared" si="45"/>
        <v>0</v>
      </c>
      <c r="AT173" s="478">
        <v>2052</v>
      </c>
      <c r="AU173" s="479">
        <f t="shared" si="46"/>
        <v>7.9712096610584382</v>
      </c>
      <c r="AV173" s="479">
        <f t="shared" si="46"/>
        <v>0</v>
      </c>
      <c r="AW173" s="430"/>
      <c r="AX173" s="479">
        <f t="shared" si="38"/>
        <v>1.6914845026393175</v>
      </c>
      <c r="AY173" s="479">
        <f t="shared" si="38"/>
        <v>0</v>
      </c>
      <c r="AZ173" s="430"/>
      <c r="BA173" s="479">
        <f t="shared" si="39"/>
        <v>6.2797251584191205</v>
      </c>
      <c r="BB173" s="479">
        <f t="shared" si="39"/>
        <v>0</v>
      </c>
      <c r="BC173" s="516"/>
      <c r="BE173" s="480">
        <f t="shared" si="40"/>
        <v>0.21219922377687375</v>
      </c>
      <c r="BF173" s="480" t="str">
        <f t="shared" si="41"/>
        <v/>
      </c>
    </row>
    <row r="174" spans="1:58" ht="15.6" x14ac:dyDescent="0.3">
      <c r="A174" s="152">
        <v>2053</v>
      </c>
      <c r="B174" s="178"/>
      <c r="C174" s="182"/>
      <c r="D174" s="183"/>
      <c r="E174" s="179">
        <f t="shared" si="47"/>
        <v>2.7050839245527012</v>
      </c>
      <c r="F174" s="183">
        <f t="shared" si="48"/>
        <v>0.21624216940097085</v>
      </c>
      <c r="G174" s="247">
        <f t="shared" si="35"/>
        <v>2.604582864759444E-2</v>
      </c>
      <c r="H174" s="246"/>
      <c r="I174" s="417"/>
      <c r="J174" s="178"/>
      <c r="K174" s="182"/>
      <c r="L174" s="183"/>
      <c r="M174" s="179">
        <f t="shared" si="36"/>
        <v>1.9317321176363977</v>
      </c>
      <c r="N174" s="183">
        <f t="shared" si="53"/>
        <v>9.667699555701792E-2</v>
      </c>
      <c r="O174" s="247">
        <f t="shared" si="37"/>
        <v>1.8599631335775267E-2</v>
      </c>
      <c r="P174" s="246"/>
      <c r="Q174" s="417"/>
      <c r="R174" s="182"/>
      <c r="S174" s="178"/>
      <c r="T174" s="182"/>
      <c r="U174" s="178"/>
      <c r="V174" s="506"/>
      <c r="W174" s="259" t="str">
        <f>IF($W$135="Y",IFERROR(E174*($F$8/SUMIF($H$5:$H$16,"Y",$F$5:$F$16))*$F$21*'Emissions Factors'!$B50,""),"")</f>
        <v/>
      </c>
      <c r="X174" s="259" t="str">
        <f>IF($X$135="Y",IFERROR($E174*(SUM($F$7,$F$5,$F$6)/SUMIF($H$5:$H$16,"Y",$F$5:$F$16))*('Emissions Factors'!$T$143*$F$22)/10^6,""),"")</f>
        <v/>
      </c>
      <c r="Y174" s="259">
        <f t="shared" si="49"/>
        <v>3.5679352594561982</v>
      </c>
      <c r="Z174" s="259">
        <f t="shared" si="50"/>
        <v>1.4189531251660816</v>
      </c>
      <c r="AA174" s="509"/>
      <c r="AB174" s="180">
        <f t="shared" si="42"/>
        <v>4.9868883846222793</v>
      </c>
      <c r="AC174" s="180">
        <f t="shared" si="43"/>
        <v>0</v>
      </c>
      <c r="AE174" s="182"/>
      <c r="AF174" s="178"/>
      <c r="AG174" s="182"/>
      <c r="AH174" s="178"/>
      <c r="AJ174" s="259" t="str">
        <f>IF($AJ$135="Y",IFERROR(M174*($F$8/SUMIF($H$5:$H$16,"Y",$F$5:$F$16))*$F$21*'Emissions Factors'!$B50,""),"")</f>
        <v/>
      </c>
      <c r="AK174" s="259" t="str">
        <f>IF($AK$135="Y",IFERROR($M174*(SUM($F$7,$F$5,$F$6)/SUMIF($H$5:$H$16,"Y",$F$5:$F$16))*('Emissions Factors'!$T$143*$F$22)/10^6,""),"")</f>
        <v/>
      </c>
      <c r="AL174" s="259">
        <f t="shared" si="51"/>
        <v>2.5479043632550389</v>
      </c>
      <c r="AM174" s="259">
        <f t="shared" si="52"/>
        <v>1.0132910481722313</v>
      </c>
      <c r="AO174" s="180">
        <f t="shared" si="44"/>
        <v>3.5611954114272701</v>
      </c>
      <c r="AP174" s="180">
        <f t="shared" si="45"/>
        <v>0</v>
      </c>
      <c r="AT174" s="478">
        <v>2053</v>
      </c>
      <c r="AU174" s="479">
        <f t="shared" si="46"/>
        <v>8.5480837960495499</v>
      </c>
      <c r="AV174" s="479">
        <f t="shared" si="46"/>
        <v>0</v>
      </c>
      <c r="AW174" s="430"/>
      <c r="AX174" s="479">
        <f t="shared" si="38"/>
        <v>1.7805977057136351</v>
      </c>
      <c r="AY174" s="479">
        <f t="shared" si="38"/>
        <v>0</v>
      </c>
      <c r="AZ174" s="430"/>
      <c r="BA174" s="479">
        <f t="shared" si="39"/>
        <v>6.7674860903359146</v>
      </c>
      <c r="BB174" s="479">
        <f t="shared" si="39"/>
        <v>0</v>
      </c>
      <c r="BC174" s="516"/>
      <c r="BE174" s="480">
        <f t="shared" si="40"/>
        <v>0.2083037260978336</v>
      </c>
      <c r="BF174" s="480" t="str">
        <f t="shared" si="41"/>
        <v/>
      </c>
    </row>
    <row r="175" spans="1:58" ht="15.6" x14ac:dyDescent="0.3">
      <c r="A175" s="152">
        <v>2054</v>
      </c>
      <c r="B175" s="178"/>
      <c r="C175" s="182"/>
      <c r="D175" s="183"/>
      <c r="E175" s="179">
        <f t="shared" si="47"/>
        <v>2.9365757653717983</v>
      </c>
      <c r="F175" s="183">
        <f t="shared" si="48"/>
        <v>0.23149184081909713</v>
      </c>
      <c r="G175" s="247">
        <f t="shared" si="35"/>
        <v>2.6514464846148361E-2</v>
      </c>
      <c r="H175" s="246"/>
      <c r="I175" s="417"/>
      <c r="J175" s="178"/>
      <c r="K175" s="182"/>
      <c r="L175" s="183"/>
      <c r="M175" s="179">
        <f t="shared" si="36"/>
        <v>2.0347791485730422</v>
      </c>
      <c r="N175" s="183">
        <f t="shared" si="53"/>
        <v>0.10304703093664447</v>
      </c>
      <c r="O175" s="247">
        <f t="shared" si="37"/>
        <v>1.837210564791435E-2</v>
      </c>
      <c r="P175" s="246"/>
      <c r="Q175" s="417"/>
      <c r="R175" s="182"/>
      <c r="S175" s="178"/>
      <c r="T175" s="182"/>
      <c r="U175" s="178"/>
      <c r="V175" s="506"/>
      <c r="W175" s="259" t="str">
        <f>IF($W$135="Y",IFERROR(E175*($F$8/SUMIF($H$5:$H$16,"Y",$F$5:$F$16))*$F$21*'Emissions Factors'!$B51,""),"")</f>
        <v/>
      </c>
      <c r="X175" s="259" t="str">
        <f>IF($X$135="Y",IFERROR($E175*(SUM($F$7,$F$5,$F$6)/SUMIF($H$5:$H$16,"Y",$F$5:$F$16))*('Emissions Factors'!$T$143*$F$22)/10^6,""),"")</f>
        <v/>
      </c>
      <c r="Y175" s="259">
        <f t="shared" si="49"/>
        <v>3.8732669697362967</v>
      </c>
      <c r="Z175" s="259">
        <f t="shared" si="50"/>
        <v>1.5403822860136596</v>
      </c>
      <c r="AA175" s="509"/>
      <c r="AB175" s="180">
        <f t="shared" si="42"/>
        <v>5.4136492557499558</v>
      </c>
      <c r="AC175" s="180">
        <f t="shared" si="43"/>
        <v>0</v>
      </c>
      <c r="AE175" s="182"/>
      <c r="AF175" s="178"/>
      <c r="AG175" s="182"/>
      <c r="AH175" s="178"/>
      <c r="AJ175" s="259" t="str">
        <f>IF($AJ$135="Y",IFERROR(M175*($F$8/SUMIF($H$5:$H$16,"Y",$F$5:$F$16))*$F$21*'Emissions Factors'!$B51,""),"")</f>
        <v/>
      </c>
      <c r="AK175" s="259" t="str">
        <f>IF($AK$135="Y",IFERROR($M175*(SUM($F$7,$F$5,$F$6)/SUMIF($H$5:$H$16,"Y",$F$5:$F$16))*('Emissions Factors'!$T$143*$F$22)/10^6,""),"")</f>
        <v/>
      </c>
      <c r="AL175" s="259">
        <f t="shared" si="51"/>
        <v>2.6838207138436525</v>
      </c>
      <c r="AM175" s="259">
        <f t="shared" si="52"/>
        <v>1.0673444197735635</v>
      </c>
      <c r="AO175" s="180">
        <f t="shared" si="44"/>
        <v>3.7511651336172163</v>
      </c>
      <c r="AP175" s="180">
        <f t="shared" si="45"/>
        <v>0</v>
      </c>
      <c r="AT175" s="478">
        <v>2054</v>
      </c>
      <c r="AU175" s="479">
        <f t="shared" si="46"/>
        <v>9.164814389367173</v>
      </c>
      <c r="AV175" s="479">
        <f t="shared" si="46"/>
        <v>0</v>
      </c>
      <c r="AW175" s="430"/>
      <c r="AX175" s="479">
        <f t="shared" si="38"/>
        <v>1.8755825668086081</v>
      </c>
      <c r="AY175" s="479">
        <f t="shared" si="38"/>
        <v>0</v>
      </c>
      <c r="AZ175" s="430"/>
      <c r="BA175" s="479">
        <f t="shared" si="39"/>
        <v>7.2892318225585644</v>
      </c>
      <c r="BB175" s="479">
        <f t="shared" si="39"/>
        <v>0</v>
      </c>
      <c r="BC175" s="516"/>
      <c r="BE175" s="480">
        <f t="shared" si="40"/>
        <v>0.20465036029367054</v>
      </c>
      <c r="BF175" s="480" t="str">
        <f t="shared" si="41"/>
        <v/>
      </c>
    </row>
    <row r="176" spans="1:58" ht="15.6" x14ac:dyDescent="0.3">
      <c r="A176" s="152">
        <v>2055</v>
      </c>
      <c r="B176" s="178"/>
      <c r="C176" s="182"/>
      <c r="D176" s="183"/>
      <c r="E176" s="179">
        <f t="shared" si="47"/>
        <v>3.1828114079907706</v>
      </c>
      <c r="F176" s="183">
        <f t="shared" si="48"/>
        <v>0.24623564261897224</v>
      </c>
      <c r="G176" s="247">
        <f t="shared" si="35"/>
        <v>2.6970135043528978E-2</v>
      </c>
      <c r="H176" s="246"/>
      <c r="I176" s="417"/>
      <c r="J176" s="178"/>
      <c r="K176" s="182"/>
      <c r="L176" s="183"/>
      <c r="M176" s="179">
        <f t="shared" si="36"/>
        <v>2.1446743912162076</v>
      </c>
      <c r="N176" s="183">
        <f t="shared" si="53"/>
        <v>0.10989524264316541</v>
      </c>
      <c r="O176" s="247">
        <f t="shared" si="37"/>
        <v>1.8173291012556013E-2</v>
      </c>
      <c r="P176" s="246"/>
      <c r="Q176" s="417"/>
      <c r="R176" s="182"/>
      <c r="S176" s="178"/>
      <c r="T176" s="182"/>
      <c r="U176" s="178"/>
      <c r="V176" s="506"/>
      <c r="W176" s="259" t="str">
        <f>IF($W$135="Y",IFERROR(E176*($F$8/SUMIF($H$5:$H$16,"Y",$F$5:$F$16))*$F$21*'Emissions Factors'!$B52,""),"")</f>
        <v/>
      </c>
      <c r="X176" s="259" t="str">
        <f>IF($X$135="Y",IFERROR($E176*(SUM($F$7,$F$5,$F$6)/SUMIF($H$5:$H$16,"Y",$F$5:$F$16))*('Emissions Factors'!$T$143*$F$22)/10^6,""),"")</f>
        <v/>
      </c>
      <c r="Y176" s="259">
        <f t="shared" si="49"/>
        <v>4.1980453706801271</v>
      </c>
      <c r="Z176" s="259">
        <f t="shared" si="50"/>
        <v>1.6695453154672626</v>
      </c>
      <c r="AA176" s="509"/>
      <c r="AB176" s="180">
        <f t="shared" si="42"/>
        <v>5.8675906861473894</v>
      </c>
      <c r="AC176" s="180">
        <f t="shared" si="43"/>
        <v>0</v>
      </c>
      <c r="AE176" s="182"/>
      <c r="AF176" s="178"/>
      <c r="AG176" s="182"/>
      <c r="AH176" s="178"/>
      <c r="AJ176" s="259" t="str">
        <f>IF($AJ$135="Y",IFERROR(M176*($F$8/SUMIF($H$5:$H$16,"Y",$F$5:$F$16))*$F$21*'Emissions Factors'!$B52,""),"")</f>
        <v/>
      </c>
      <c r="AK176" s="259" t="str">
        <f>IF($AK$135="Y",IFERROR($M176*(SUM($F$7,$F$5,$F$6)/SUMIF($H$5:$H$16,"Y",$F$5:$F$16))*('Emissions Factors'!$T$143*$F$22)/10^6,""),"")</f>
        <v/>
      </c>
      <c r="AL176" s="259">
        <f t="shared" si="51"/>
        <v>2.8287696773542317</v>
      </c>
      <c r="AM176" s="259">
        <f t="shared" si="52"/>
        <v>1.1249900242496573</v>
      </c>
      <c r="AO176" s="180">
        <f t="shared" si="44"/>
        <v>3.953759701603889</v>
      </c>
      <c r="AP176" s="180">
        <f t="shared" si="45"/>
        <v>0</v>
      </c>
      <c r="AT176" s="478">
        <v>2055</v>
      </c>
      <c r="AU176" s="479">
        <f t="shared" si="46"/>
        <v>9.8213503877512789</v>
      </c>
      <c r="AV176" s="479">
        <f t="shared" si="46"/>
        <v>0</v>
      </c>
      <c r="AW176" s="430"/>
      <c r="AX176" s="479">
        <f t="shared" si="38"/>
        <v>1.9768798508019445</v>
      </c>
      <c r="AY176" s="479">
        <f t="shared" si="38"/>
        <v>0</v>
      </c>
      <c r="AZ176" s="430"/>
      <c r="BA176" s="479">
        <f t="shared" si="39"/>
        <v>7.8444705369493342</v>
      </c>
      <c r="BB176" s="479">
        <f t="shared" si="39"/>
        <v>0</v>
      </c>
      <c r="BC176" s="516"/>
      <c r="BE176" s="480">
        <f t="shared" si="40"/>
        <v>0.20128391440625262</v>
      </c>
      <c r="BF176" s="480" t="str">
        <f t="shared" si="41"/>
        <v/>
      </c>
    </row>
    <row r="177" spans="1:58" ht="15.6" x14ac:dyDescent="0.3">
      <c r="A177" s="152">
        <v>2056</v>
      </c>
      <c r="B177" s="178"/>
      <c r="C177" s="182"/>
      <c r="D177" s="183"/>
      <c r="E177" s="179">
        <f t="shared" si="47"/>
        <v>3.4436862118579419</v>
      </c>
      <c r="F177" s="183">
        <f t="shared" si="48"/>
        <v>0.26087480386717132</v>
      </c>
      <c r="G177" s="247">
        <f t="shared" si="35"/>
        <v>2.7407569342053132E-2</v>
      </c>
      <c r="H177" s="246"/>
      <c r="I177" s="417"/>
      <c r="J177" s="178"/>
      <c r="K177" s="182"/>
      <c r="L177" s="183"/>
      <c r="M177" s="179">
        <f t="shared" si="36"/>
        <v>2.262068963961307</v>
      </c>
      <c r="N177" s="183">
        <f t="shared" si="53"/>
        <v>0.11739457274509935</v>
      </c>
      <c r="O177" s="247">
        <f t="shared" si="37"/>
        <v>1.8003327879524387E-2</v>
      </c>
      <c r="P177" s="246"/>
      <c r="Q177" s="417"/>
      <c r="R177" s="182"/>
      <c r="S177" s="178"/>
      <c r="T177" s="182"/>
      <c r="U177" s="178"/>
      <c r="V177" s="506"/>
      <c r="W177" s="259" t="str">
        <f>IF($W$135="Y",IFERROR(E177*($F$8/SUMIF($H$5:$H$16,"Y",$F$5:$F$16))*$F$21*'Emissions Factors'!$B53,""),"")</f>
        <v/>
      </c>
      <c r="X177" s="259" t="str">
        <f>IF($X$135="Y",IFERROR($E177*(SUM($F$7,$F$5,$F$6)/SUMIF($H$5:$H$16,"Y",$F$5:$F$16))*('Emissions Factors'!$T$143*$F$22)/10^6,""),"")</f>
        <v/>
      </c>
      <c r="Y177" s="259">
        <f t="shared" si="49"/>
        <v>4.5421324441247375</v>
      </c>
      <c r="Z177" s="259">
        <f t="shared" si="50"/>
        <v>1.8063873242731894</v>
      </c>
      <c r="AA177" s="509"/>
      <c r="AB177" s="180">
        <f t="shared" si="42"/>
        <v>6.3485197683979271</v>
      </c>
      <c r="AC177" s="180">
        <f t="shared" si="43"/>
        <v>0</v>
      </c>
      <c r="AE177" s="182"/>
      <c r="AF177" s="178"/>
      <c r="AG177" s="182"/>
      <c r="AH177" s="178"/>
      <c r="AJ177" s="259" t="str">
        <f>IF($AJ$135="Y",IFERROR(M177*($F$8/SUMIF($H$5:$H$16,"Y",$F$5:$F$16))*$F$21*'Emissions Factors'!$B53,""),"")</f>
        <v/>
      </c>
      <c r="AK177" s="259" t="str">
        <f>IF($AK$135="Y",IFERROR($M177*(SUM($F$7,$F$5,$F$6)/SUMIF($H$5:$H$16,"Y",$F$5:$F$16))*('Emissions Factors'!$T$143*$F$22)/10^6,""),"")</f>
        <v/>
      </c>
      <c r="AL177" s="259">
        <f t="shared" si="51"/>
        <v>2.9836100619960115</v>
      </c>
      <c r="AM177" s="259">
        <f t="shared" si="52"/>
        <v>1.1865694060803855</v>
      </c>
      <c r="AO177" s="180">
        <f t="shared" si="44"/>
        <v>4.1701794680763973</v>
      </c>
      <c r="AP177" s="180">
        <f t="shared" si="45"/>
        <v>0</v>
      </c>
      <c r="AT177" s="478">
        <v>2056</v>
      </c>
      <c r="AU177" s="479">
        <f t="shared" si="46"/>
        <v>10.518699236474324</v>
      </c>
      <c r="AV177" s="479">
        <f t="shared" si="46"/>
        <v>0</v>
      </c>
      <c r="AW177" s="430"/>
      <c r="AX177" s="479">
        <f t="shared" si="38"/>
        <v>2.0850897340381986</v>
      </c>
      <c r="AY177" s="479">
        <f t="shared" si="38"/>
        <v>0</v>
      </c>
      <c r="AZ177" s="430"/>
      <c r="BA177" s="479">
        <f t="shared" si="39"/>
        <v>8.4336095024361253</v>
      </c>
      <c r="BB177" s="479">
        <f t="shared" si="39"/>
        <v>0</v>
      </c>
      <c r="BC177" s="516"/>
      <c r="BE177" s="480">
        <f t="shared" si="40"/>
        <v>0.19822695631490292</v>
      </c>
      <c r="BF177" s="480" t="str">
        <f t="shared" si="41"/>
        <v/>
      </c>
    </row>
    <row r="178" spans="1:58" ht="15.6" x14ac:dyDescent="0.3">
      <c r="A178" s="152">
        <v>2057</v>
      </c>
      <c r="B178" s="178"/>
      <c r="C178" s="182"/>
      <c r="D178" s="183"/>
      <c r="E178" s="179">
        <f t="shared" si="47"/>
        <v>3.7187837059768882</v>
      </c>
      <c r="F178" s="183">
        <f t="shared" si="48"/>
        <v>0.27509749411894635</v>
      </c>
      <c r="G178" s="247">
        <f t="shared" si="35"/>
        <v>2.7820875989875388E-2</v>
      </c>
      <c r="H178" s="246"/>
      <c r="I178" s="417"/>
      <c r="J178" s="178"/>
      <c r="K178" s="182"/>
      <c r="L178" s="183"/>
      <c r="M178" s="179">
        <f t="shared" si="36"/>
        <v>2.38756264770974</v>
      </c>
      <c r="N178" s="183">
        <f t="shared" si="53"/>
        <v>0.12549368374843306</v>
      </c>
      <c r="O178" s="247">
        <f t="shared" si="37"/>
        <v>1.7861776750616974E-2</v>
      </c>
      <c r="P178" s="246"/>
      <c r="Q178" s="417"/>
      <c r="R178" s="182"/>
      <c r="S178" s="178"/>
      <c r="T178" s="182"/>
      <c r="U178" s="178"/>
      <c r="V178" s="506"/>
      <c r="W178" s="259" t="str">
        <f>IF($W$135="Y",IFERROR(E178*($F$8/SUMIF($H$5:$H$16,"Y",$F$5:$F$16))*$F$21*'Emissions Factors'!$B54,""),"")</f>
        <v/>
      </c>
      <c r="X178" s="259" t="str">
        <f>IF($X$135="Y",IFERROR($E178*(SUM($F$7,$F$5,$F$6)/SUMIF($H$5:$H$16,"Y",$F$5:$F$16))*('Emissions Factors'!$T$143*$F$22)/10^6,""),"")</f>
        <v/>
      </c>
      <c r="Y178" s="259">
        <f t="shared" si="49"/>
        <v>4.9049788756702331</v>
      </c>
      <c r="Z178" s="259">
        <f t="shared" si="50"/>
        <v>1.9506898523620297</v>
      </c>
      <c r="AA178" s="509"/>
      <c r="AB178" s="180">
        <f t="shared" si="42"/>
        <v>6.8556687280322626</v>
      </c>
      <c r="AC178" s="180">
        <f t="shared" si="43"/>
        <v>0</v>
      </c>
      <c r="AE178" s="182"/>
      <c r="AF178" s="178"/>
      <c r="AG178" s="182"/>
      <c r="AH178" s="178"/>
      <c r="AJ178" s="259" t="str">
        <f>IF($AJ$135="Y",IFERROR(M178*($F$8/SUMIF($H$5:$H$16,"Y",$F$5:$F$16))*$F$21*'Emissions Factors'!$B54,""),"")</f>
        <v/>
      </c>
      <c r="AK178" s="259" t="str">
        <f>IF($AK$135="Y",IFERROR($M178*(SUM($F$7,$F$5,$F$6)/SUMIF($H$5:$H$16,"Y",$F$5:$F$16))*('Emissions Factors'!$T$143*$F$22)/10^6,""),"")</f>
        <v/>
      </c>
      <c r="AL178" s="259">
        <f t="shared" si="51"/>
        <v>3.1491329631603877</v>
      </c>
      <c r="AM178" s="259">
        <f t="shared" si="52"/>
        <v>1.2523971806374679</v>
      </c>
      <c r="AO178" s="180">
        <f t="shared" si="44"/>
        <v>4.4015301437978556</v>
      </c>
      <c r="AP178" s="180">
        <f t="shared" si="45"/>
        <v>0</v>
      </c>
      <c r="AT178" s="478">
        <v>2057</v>
      </c>
      <c r="AU178" s="479">
        <f t="shared" si="46"/>
        <v>11.257198871830118</v>
      </c>
      <c r="AV178" s="479">
        <f t="shared" si="46"/>
        <v>0</v>
      </c>
      <c r="AW178" s="430"/>
      <c r="AX178" s="479">
        <f t="shared" si="38"/>
        <v>2.2007650718989278</v>
      </c>
      <c r="AY178" s="479">
        <f t="shared" si="38"/>
        <v>0</v>
      </c>
      <c r="AZ178" s="430"/>
      <c r="BA178" s="479">
        <f t="shared" si="39"/>
        <v>9.0564337999311899</v>
      </c>
      <c r="BB178" s="479">
        <f t="shared" si="39"/>
        <v>0</v>
      </c>
      <c r="BC178" s="516"/>
      <c r="BE178" s="480">
        <f t="shared" si="40"/>
        <v>0.19549846253547998</v>
      </c>
      <c r="BF178" s="480" t="str">
        <f t="shared" si="41"/>
        <v/>
      </c>
    </row>
    <row r="179" spans="1:58" ht="15.6" x14ac:dyDescent="0.3">
      <c r="A179" s="152">
        <v>2058</v>
      </c>
      <c r="B179" s="178"/>
      <c r="C179" s="182"/>
      <c r="D179" s="183"/>
      <c r="E179" s="179">
        <f t="shared" si="47"/>
        <v>4.0067500590485929</v>
      </c>
      <c r="F179" s="183">
        <f t="shared" si="48"/>
        <v>0.28796635307170471</v>
      </c>
      <c r="G179" s="247">
        <f t="shared" si="35"/>
        <v>2.8200376916763518E-2</v>
      </c>
      <c r="H179" s="246"/>
      <c r="I179" s="417"/>
      <c r="J179" s="178"/>
      <c r="K179" s="182"/>
      <c r="L179" s="183"/>
      <c r="M179" s="179">
        <f t="shared" si="36"/>
        <v>2.5215563076903282</v>
      </c>
      <c r="N179" s="183">
        <f t="shared" si="53"/>
        <v>0.13399365998058821</v>
      </c>
      <c r="O179" s="247">
        <f t="shared" si="37"/>
        <v>1.7747260808824859E-2</v>
      </c>
      <c r="P179" s="246"/>
      <c r="Q179" s="417"/>
      <c r="R179" s="182"/>
      <c r="S179" s="178"/>
      <c r="T179" s="182"/>
      <c r="U179" s="178"/>
      <c r="V179" s="506"/>
      <c r="W179" s="259" t="str">
        <f>IF($W$135="Y",IFERROR(E179*($F$8/SUMIF($H$5:$H$16,"Y",$F$5:$F$16))*$F$21*'Emissions Factors'!$B55,""),"")</f>
        <v/>
      </c>
      <c r="X179" s="259" t="str">
        <f>IF($X$135="Y",IFERROR($E179*(SUM($F$7,$F$5,$F$6)/SUMIF($H$5:$H$16,"Y",$F$5:$F$16))*('Emissions Factors'!$T$143*$F$22)/10^6,""),"")</f>
        <v/>
      </c>
      <c r="Y179" s="259">
        <f t="shared" si="49"/>
        <v>5.2847989970852982</v>
      </c>
      <c r="Z179" s="259">
        <f t="shared" si="50"/>
        <v>2.1017427468489687</v>
      </c>
      <c r="AA179" s="509"/>
      <c r="AB179" s="180">
        <f t="shared" si="42"/>
        <v>7.3865417439342664</v>
      </c>
      <c r="AC179" s="180">
        <f t="shared" si="43"/>
        <v>0</v>
      </c>
      <c r="AE179" s="182"/>
      <c r="AF179" s="178"/>
      <c r="AG179" s="182"/>
      <c r="AH179" s="178"/>
      <c r="AJ179" s="259" t="str">
        <f>IF($AJ$135="Y",IFERROR(M179*($F$8/SUMIF($H$5:$H$16,"Y",$F$5:$F$16))*$F$21*'Emissions Factors'!$B55,""),"")</f>
        <v/>
      </c>
      <c r="AK179" s="259" t="str">
        <f>IF($AK$135="Y",IFERROR($M179*(SUM($F$7,$F$5,$F$6)/SUMIF($H$5:$H$16,"Y",$F$5:$F$16))*('Emissions Factors'!$T$143*$F$22)/10^6,""),"")</f>
        <v/>
      </c>
      <c r="AL179" s="259">
        <f t="shared" si="51"/>
        <v>3.3258671116461422</v>
      </c>
      <c r="AM179" s="259">
        <f t="shared" si="52"/>
        <v>1.3226836219771154</v>
      </c>
      <c r="AO179" s="180">
        <f t="shared" si="44"/>
        <v>4.6485507336232574</v>
      </c>
      <c r="AP179" s="180">
        <f t="shared" si="45"/>
        <v>0</v>
      </c>
      <c r="AT179" s="478">
        <v>2058</v>
      </c>
      <c r="AU179" s="479">
        <f t="shared" si="46"/>
        <v>12.035092477557523</v>
      </c>
      <c r="AV179" s="479">
        <f t="shared" si="46"/>
        <v>0</v>
      </c>
      <c r="AW179" s="430"/>
      <c r="AX179" s="479">
        <f t="shared" si="38"/>
        <v>2.3242753668116287</v>
      </c>
      <c r="AY179" s="479">
        <f t="shared" si="38"/>
        <v>0</v>
      </c>
      <c r="AZ179" s="430"/>
      <c r="BA179" s="479">
        <f t="shared" si="39"/>
        <v>9.7108171107458947</v>
      </c>
      <c r="BB179" s="479">
        <f t="shared" si="39"/>
        <v>0</v>
      </c>
      <c r="BC179" s="516"/>
      <c r="BE179" s="480">
        <f t="shared" si="40"/>
        <v>0.19312484479415748</v>
      </c>
      <c r="BF179" s="480" t="str">
        <f t="shared" si="41"/>
        <v/>
      </c>
    </row>
    <row r="180" spans="1:58" ht="15.6" x14ac:dyDescent="0.3">
      <c r="A180" s="152">
        <v>2059</v>
      </c>
      <c r="B180" s="178"/>
      <c r="C180" s="182"/>
      <c r="D180" s="183"/>
      <c r="E180" s="179">
        <f t="shared" si="47"/>
        <v>4.3057823563295239</v>
      </c>
      <c r="F180" s="183">
        <f t="shared" si="48"/>
        <v>0.29903229728093095</v>
      </c>
      <c r="G180" s="247">
        <f t="shared" si="35"/>
        <v>2.8536589642817866E-2</v>
      </c>
      <c r="H180" s="246"/>
      <c r="I180" s="417"/>
      <c r="J180" s="178"/>
      <c r="K180" s="182"/>
      <c r="L180" s="183"/>
      <c r="M180" s="179">
        <f t="shared" si="36"/>
        <v>2.6643795857195318</v>
      </c>
      <c r="N180" s="183">
        <f t="shared" si="53"/>
        <v>0.14282327802920358</v>
      </c>
      <c r="O180" s="247">
        <f t="shared" si="37"/>
        <v>1.7658186270983121E-2</v>
      </c>
      <c r="P180" s="246"/>
      <c r="Q180" s="417"/>
      <c r="R180" s="182"/>
      <c r="S180" s="178"/>
      <c r="T180" s="182"/>
      <c r="U180" s="178"/>
      <c r="V180" s="506"/>
      <c r="W180" s="259" t="str">
        <f>IF($W$135="Y",IFERROR(E180*($F$8/SUMIF($H$5:$H$16,"Y",$F$5:$F$16))*$F$21*'Emissions Factors'!$B56,""),"")</f>
        <v/>
      </c>
      <c r="X180" s="259" t="str">
        <f>IF($X$135="Y",IFERROR($E180*(SUM($F$7,$F$5,$F$6)/SUMIF($H$5:$H$16,"Y",$F$5:$F$16))*('Emissions Factors'!$T$143*$F$22)/10^6,""),"")</f>
        <v/>
      </c>
      <c r="Y180" s="259">
        <f t="shared" si="49"/>
        <v>5.6792148107688769</v>
      </c>
      <c r="Z180" s="259">
        <f t="shared" si="50"/>
        <v>2.2586002879038301</v>
      </c>
      <c r="AA180" s="509"/>
      <c r="AB180" s="180">
        <f t="shared" si="42"/>
        <v>7.937815098672707</v>
      </c>
      <c r="AC180" s="180">
        <f t="shared" si="43"/>
        <v>0</v>
      </c>
      <c r="AE180" s="182"/>
      <c r="AF180" s="178"/>
      <c r="AG180" s="182"/>
      <c r="AH180" s="178"/>
      <c r="AJ180" s="259" t="str">
        <f>IF($AJ$135="Y",IFERROR(M180*($F$8/SUMIF($H$5:$H$16,"Y",$F$5:$F$16))*$F$21*'Emissions Factors'!$B56,""),"")</f>
        <v/>
      </c>
      <c r="AK180" s="259" t="str">
        <f>IF($AK$135="Y",IFERROR($M180*(SUM($F$7,$F$5,$F$6)/SUMIF($H$5:$H$16,"Y",$F$5:$F$16))*('Emissions Factors'!$T$143*$F$22)/10^6,""),"")</f>
        <v/>
      </c>
      <c r="AL180" s="259">
        <f t="shared" si="51"/>
        <v>3.5142472964257232</v>
      </c>
      <c r="AM180" s="259">
        <f t="shared" si="52"/>
        <v>1.3976016438789733</v>
      </c>
      <c r="AO180" s="180">
        <f t="shared" si="44"/>
        <v>4.9118489403046963</v>
      </c>
      <c r="AP180" s="180">
        <f t="shared" si="45"/>
        <v>0</v>
      </c>
      <c r="AT180" s="478">
        <v>2059</v>
      </c>
      <c r="AU180" s="479">
        <f t="shared" si="46"/>
        <v>12.849664038977403</v>
      </c>
      <c r="AV180" s="479">
        <f t="shared" si="46"/>
        <v>0</v>
      </c>
      <c r="AW180" s="430"/>
      <c r="AX180" s="479">
        <f t="shared" si="38"/>
        <v>2.4559244701523482</v>
      </c>
      <c r="AY180" s="479">
        <f t="shared" si="38"/>
        <v>0</v>
      </c>
      <c r="AZ180" s="430"/>
      <c r="BA180" s="479">
        <f t="shared" si="39"/>
        <v>10.393739568825055</v>
      </c>
      <c r="BB180" s="479">
        <f t="shared" si="39"/>
        <v>0</v>
      </c>
      <c r="BC180" s="516"/>
      <c r="BE180" s="480">
        <f t="shared" si="40"/>
        <v>0.19112752385608633</v>
      </c>
      <c r="BF180" s="480" t="str">
        <f t="shared" si="41"/>
        <v/>
      </c>
    </row>
    <row r="181" spans="1:58" ht="15.6" x14ac:dyDescent="0.3">
      <c r="A181" s="152">
        <v>2060</v>
      </c>
      <c r="B181" s="178"/>
      <c r="C181" s="182"/>
      <c r="D181" s="183"/>
      <c r="E181" s="179">
        <f t="shared" si="47"/>
        <v>4.6142905287914013</v>
      </c>
      <c r="F181" s="183">
        <f t="shared" si="48"/>
        <v>0.30850817246187745</v>
      </c>
      <c r="G181" s="247">
        <f t="shared" si="35"/>
        <v>2.8823827196074098E-2</v>
      </c>
      <c r="H181" s="246"/>
      <c r="I181" s="417"/>
      <c r="J181" s="178"/>
      <c r="K181" s="182"/>
      <c r="L181" s="183"/>
      <c r="M181" s="179">
        <f t="shared" si="36"/>
        <v>2.8164279257543012</v>
      </c>
      <c r="N181" s="183">
        <f t="shared" si="53"/>
        <v>0.15204834003476941</v>
      </c>
      <c r="O181" s="247">
        <f t="shared" si="37"/>
        <v>1.7593220742301751E-2</v>
      </c>
      <c r="P181" s="246"/>
      <c r="Q181" s="417"/>
      <c r="R181" s="182"/>
      <c r="S181" s="178"/>
      <c r="T181" s="182"/>
      <c r="U181" s="178"/>
      <c r="V181" s="506"/>
      <c r="W181" s="259" t="str">
        <f>IF($W$135="Y",IFERROR(E181*($F$8/SUMIF($H$5:$H$16,"Y",$F$5:$F$16))*$F$21*'Emissions Factors'!$B57,""),"")</f>
        <v/>
      </c>
      <c r="X181" s="259" t="str">
        <f>IF($X$135="Y",IFERROR($E181*(SUM($F$7,$F$5,$F$6)/SUMIF($H$5:$H$16,"Y",$F$5:$F$16))*('Emissions Factors'!$T$143*$F$22)/10^6,""),"")</f>
        <v/>
      </c>
      <c r="Y181" s="259">
        <f t="shared" si="49"/>
        <v>6.086129057076092</v>
      </c>
      <c r="Z181" s="259">
        <f t="shared" si="50"/>
        <v>2.4204284040227937</v>
      </c>
      <c r="AA181" s="509"/>
      <c r="AB181" s="180">
        <f t="shared" si="42"/>
        <v>8.5065574610988861</v>
      </c>
      <c r="AC181" s="180">
        <f t="shared" si="43"/>
        <v>0</v>
      </c>
      <c r="AE181" s="182"/>
      <c r="AF181" s="178"/>
      <c r="AG181" s="182"/>
      <c r="AH181" s="178"/>
      <c r="AJ181" s="259" t="str">
        <f>IF($AJ$135="Y",IFERROR(M181*($F$8/SUMIF($H$5:$H$16,"Y",$F$5:$F$16))*$F$21*'Emissions Factors'!$B57,""),"")</f>
        <v/>
      </c>
      <c r="AK181" s="259" t="str">
        <f>IF($AK$135="Y",IFERROR($M181*(SUM($F$7,$F$5,$F$6)/SUMIF($H$5:$H$16,"Y",$F$5:$F$16))*('Emissions Factors'!$T$143*$F$22)/10^6,""),"")</f>
        <v/>
      </c>
      <c r="AL181" s="259">
        <f t="shared" si="51"/>
        <v>3.7147950977814777</v>
      </c>
      <c r="AM181" s="259">
        <f t="shared" si="52"/>
        <v>1.4773586766683815</v>
      </c>
      <c r="AO181" s="180">
        <f t="shared" si="44"/>
        <v>5.1921537744498591</v>
      </c>
      <c r="AP181" s="180">
        <f t="shared" si="45"/>
        <v>0</v>
      </c>
      <c r="AT181" s="478">
        <v>2060</v>
      </c>
      <c r="AU181" s="479">
        <f t="shared" si="46"/>
        <v>13.698711235548746</v>
      </c>
      <c r="AV181" s="479">
        <f t="shared" si="46"/>
        <v>0</v>
      </c>
      <c r="AW181" s="430"/>
      <c r="AX181" s="479">
        <f t="shared" si="38"/>
        <v>2.5960768872249296</v>
      </c>
      <c r="AY181" s="479">
        <f t="shared" si="38"/>
        <v>0</v>
      </c>
      <c r="AZ181" s="430"/>
      <c r="BA181" s="479">
        <f t="shared" si="39"/>
        <v>11.102634348323816</v>
      </c>
      <c r="BB181" s="479">
        <f t="shared" si="39"/>
        <v>0</v>
      </c>
      <c r="BC181" s="516"/>
      <c r="BE181" s="480">
        <f t="shared" si="40"/>
        <v>0.1895124908165082</v>
      </c>
      <c r="BF181" s="480" t="str">
        <f t="shared" si="41"/>
        <v/>
      </c>
    </row>
    <row r="182" spans="1:58" x14ac:dyDescent="0.25">
      <c r="BA182" s="516"/>
    </row>
    <row r="183" spans="1:58" x14ac:dyDescent="0.25">
      <c r="BA183" s="516"/>
    </row>
    <row r="184" spans="1:58" x14ac:dyDescent="0.25">
      <c r="BA184" s="516"/>
    </row>
    <row r="185" spans="1:58" x14ac:dyDescent="0.25">
      <c r="BA185" s="516"/>
    </row>
    <row r="186" spans="1:58" x14ac:dyDescent="0.25">
      <c r="BA186" s="516"/>
    </row>
    <row r="187" spans="1:58" x14ac:dyDescent="0.25">
      <c r="BA187" s="516"/>
    </row>
    <row r="188" spans="1:58" x14ac:dyDescent="0.25">
      <c r="BA188" s="516"/>
    </row>
    <row r="189" spans="1:58" ht="13.5" customHeight="1" thickBot="1" x14ac:dyDescent="0.3">
      <c r="BC189" s="516"/>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516"/>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Paper_cluster</v>
      </c>
      <c r="Z191" s="607"/>
      <c r="AA191" s="608"/>
      <c r="AB191" s="445"/>
      <c r="AC191" s="606" t="str">
        <f ca="1">CONCATENATE("Table 14(b): EMISSIONS ALLOCATION TO Education in MDC, ",A1)</f>
        <v>Table 14(b): EMISSIONS ALLOCATION TO Education in MDC, Paper_cluster</v>
      </c>
      <c r="AD191" s="608"/>
      <c r="AE191" s="446"/>
      <c r="AF191" s="606" t="str">
        <f ca="1">CONCATENATE("Table 14(c): EMISSIONS ALLOCATION TO Family Planning in MDC, ",$A$1)</f>
        <v>Table 14(c): EMISSIONS ALLOCATION TO Family Planning in MDC, Paper_cluster</v>
      </c>
      <c r="AG191" s="608"/>
      <c r="AH191" s="516"/>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516"/>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516"/>
      <c r="AJ193" s="481" t="s">
        <v>227</v>
      </c>
      <c r="AK193" s="481" t="s">
        <v>228</v>
      </c>
    </row>
    <row r="194" spans="1:37" ht="15.6" x14ac:dyDescent="0.3">
      <c r="A194" s="152">
        <v>2014</v>
      </c>
      <c r="B194" s="178"/>
      <c r="C194" s="182"/>
      <c r="D194" s="183"/>
      <c r="E194" s="179">
        <f>IFERROR(IF($G$19="Y",$F$19,$AD80)*(SUMIF($H$5:$H$16,"Y",$F$5:$F$16)*(AL29-B29)),0)</f>
        <v>0</v>
      </c>
      <c r="F194" s="183" t="str">
        <f>IFERROR(E194-E193,"")</f>
        <v/>
      </c>
      <c r="G194" s="247">
        <f>E194/(AL29-B29)</f>
        <v>0</v>
      </c>
      <c r="H194" s="245" t="s">
        <v>264</v>
      </c>
      <c r="I194" s="416"/>
      <c r="J194" s="416"/>
      <c r="K194" s="167" t="s">
        <v>213</v>
      </c>
      <c r="L194" s="167" t="s">
        <v>213</v>
      </c>
      <c r="M194" s="167" t="s">
        <v>211</v>
      </c>
      <c r="N194" s="167" t="s">
        <v>211</v>
      </c>
      <c r="O194" s="495"/>
      <c r="P194" s="167" t="s">
        <v>211</v>
      </c>
      <c r="Q194" s="167" t="s">
        <v>211</v>
      </c>
      <c r="R194" s="167" t="s">
        <v>213</v>
      </c>
      <c r="S194" s="167" t="s">
        <v>213</v>
      </c>
      <c r="T194" s="496"/>
      <c r="U194" s="496"/>
      <c r="V194" s="496"/>
      <c r="Y194" s="478">
        <v>2014</v>
      </c>
      <c r="Z194" s="479">
        <f>U194</f>
        <v>0</v>
      </c>
      <c r="AA194" s="479">
        <f>V194</f>
        <v>0</v>
      </c>
      <c r="AB194" s="430"/>
      <c r="AC194" s="512"/>
      <c r="AD194" s="479"/>
      <c r="AE194" s="430"/>
      <c r="AF194" s="479">
        <f>Z194-AC194</f>
        <v>0</v>
      </c>
      <c r="AG194" s="479">
        <f t="shared" ref="AG194:AG240" si="54">AA194-AD194</f>
        <v>0</v>
      </c>
      <c r="AH194" s="516"/>
      <c r="AJ194" s="480" t="str">
        <f t="shared" ref="AJ194:AJ240" si="55">IFERROR(AC194/Z194,"")</f>
        <v/>
      </c>
      <c r="AK194" s="480" t="str">
        <f t="shared" ref="AK194:AK240" si="56">IFERROR(AG194/(AD194+AG194),"")</f>
        <v/>
      </c>
    </row>
    <row r="195" spans="1:37" ht="15.6" x14ac:dyDescent="0.3">
      <c r="A195" s="152">
        <v>2015</v>
      </c>
      <c r="B195" s="178"/>
      <c r="C195" s="182"/>
      <c r="D195" s="183"/>
      <c r="E195" s="179">
        <f t="shared" ref="E195:E240" si="57">IFERROR(IF($G$19="Y",$F$19,$AD81)*(SUMIF($H$5:$H$16,"Y",$F$5:$F$16)*(AL30-B30)),0)</f>
        <v>0</v>
      </c>
      <c r="F195" s="183">
        <f>IFERROR(E195-E194,"")</f>
        <v>0</v>
      </c>
      <c r="G195" s="247">
        <f t="shared" ref="G195:G240" si="58">E195/(AL30-B30)</f>
        <v>0</v>
      </c>
      <c r="H195" s="246"/>
      <c r="I195" s="417"/>
      <c r="J195" s="417"/>
      <c r="K195" s="439"/>
      <c r="L195" s="440"/>
      <c r="M195" s="439"/>
      <c r="N195" s="440"/>
      <c r="O195" s="495"/>
      <c r="P195" s="259" t="str">
        <f>IF(P$194="Y",IFERROR(E195*($F$8/SUMIF($H$5:$H$16,"Y",$F$5:$F$16))*$F$21*'Emissions Factors'!$B12,""),"")</f>
        <v/>
      </c>
      <c r="Q195" s="259" t="str">
        <f>IF($X$135="Y",IFERROR($E195*(SUM($F$7,$F$5,$F$6)/SUMIF($H$5:$H$16,"Y",$F$5:$F$16))*('Emissions Factors'!$T$143*$F$22)/10^6,""),"")</f>
        <v/>
      </c>
      <c r="R195" s="259">
        <f>IF($R$194="Y",IFERROR($E195*$F$23/10^6,""))</f>
        <v>0</v>
      </c>
      <c r="S195" s="259">
        <f>IF($S$194="Y",IFERROR($E195*$F$24/10^6,""))</f>
        <v>0</v>
      </c>
      <c r="T195" s="496"/>
      <c r="U195" s="441">
        <f>SUM(P195:S195)</f>
        <v>0</v>
      </c>
      <c r="V195" s="441">
        <f t="shared" ref="V195:V240" si="59">SUM(K195:N195)</f>
        <v>0</v>
      </c>
      <c r="Y195" s="478">
        <v>2015</v>
      </c>
      <c r="Z195" s="479">
        <f t="shared" ref="Z195:AA240" si="60">U195</f>
        <v>0</v>
      </c>
      <c r="AA195" s="479">
        <f t="shared" si="60"/>
        <v>0</v>
      </c>
      <c r="AB195" s="430"/>
      <c r="AC195" s="479"/>
      <c r="AD195" s="479"/>
      <c r="AE195" s="430"/>
      <c r="AF195" s="479">
        <f t="shared" ref="AF195:AF240" si="61">Z195-AC195</f>
        <v>0</v>
      </c>
      <c r="AG195" s="479">
        <f t="shared" si="54"/>
        <v>0</v>
      </c>
      <c r="AH195" s="516"/>
      <c r="AJ195" s="480" t="str">
        <f t="shared" si="55"/>
        <v/>
      </c>
      <c r="AK195" s="480" t="str">
        <f t="shared" si="56"/>
        <v/>
      </c>
    </row>
    <row r="196" spans="1:37" ht="15.6" x14ac:dyDescent="0.3">
      <c r="A196" s="152">
        <v>2016</v>
      </c>
      <c r="B196" s="178"/>
      <c r="C196" s="182"/>
      <c r="D196" s="183"/>
      <c r="E196" s="179">
        <f t="shared" si="57"/>
        <v>0</v>
      </c>
      <c r="F196" s="183">
        <f t="shared" ref="F196" si="62">IFERROR(E196-E195,"")</f>
        <v>0</v>
      </c>
      <c r="G196" s="247">
        <f t="shared" si="58"/>
        <v>0</v>
      </c>
      <c r="H196" s="246"/>
      <c r="I196" s="417"/>
      <c r="J196" s="417"/>
      <c r="K196" s="439"/>
      <c r="L196" s="440"/>
      <c r="M196" s="439"/>
      <c r="N196" s="440"/>
      <c r="O196" s="495"/>
      <c r="P196" s="259" t="str">
        <f>IF(P$194="Y",IFERROR(E196*($F$8/SUMIF($H$5:$H$16,"Y",$F$5:$F$16))*$F$21*'Emissions Factors'!$B13,""),"")</f>
        <v/>
      </c>
      <c r="Q196" s="259" t="str">
        <f>IF($X$135="Y",IFERROR($E196*(SUM($F$7,$F$5,$F$6)/SUMIF($H$5:$H$16,"Y",$F$5:$F$16))*('Emissions Factors'!$T$143*$F$22)/10^6,""),"")</f>
        <v/>
      </c>
      <c r="R196" s="259">
        <f t="shared" ref="R196:R240" si="63">IF($R$194="Y",IFERROR($E196*$F$23/10^6,""))</f>
        <v>0</v>
      </c>
      <c r="S196" s="259">
        <f t="shared" ref="S196:S240" si="64">IF($S$194="Y",IFERROR($E196*$F$24/10^6,""))</f>
        <v>0</v>
      </c>
      <c r="T196" s="496"/>
      <c r="U196" s="441">
        <f t="shared" ref="U196:U240" si="65">SUM(P196:S196)</f>
        <v>0</v>
      </c>
      <c r="V196" s="441">
        <f t="shared" si="59"/>
        <v>0</v>
      </c>
      <c r="Y196" s="478">
        <v>2016</v>
      </c>
      <c r="Z196" s="479">
        <f t="shared" si="60"/>
        <v>0</v>
      </c>
      <c r="AA196" s="479">
        <f t="shared" si="60"/>
        <v>0</v>
      </c>
      <c r="AB196" s="430"/>
      <c r="AC196" s="479"/>
      <c r="AD196" s="479"/>
      <c r="AE196" s="430"/>
      <c r="AF196" s="479">
        <f t="shared" si="61"/>
        <v>0</v>
      </c>
      <c r="AG196" s="479">
        <f t="shared" si="54"/>
        <v>0</v>
      </c>
      <c r="AH196" s="516"/>
      <c r="AJ196" s="480" t="str">
        <f t="shared" si="55"/>
        <v/>
      </c>
      <c r="AK196" s="480" t="str">
        <f t="shared" si="56"/>
        <v/>
      </c>
    </row>
    <row r="197" spans="1:37" ht="15.6" x14ac:dyDescent="0.3">
      <c r="A197" s="152">
        <v>2017</v>
      </c>
      <c r="B197" s="178"/>
      <c r="C197" s="182"/>
      <c r="D197" s="183"/>
      <c r="E197" s="179">
        <f t="shared" si="57"/>
        <v>0</v>
      </c>
      <c r="F197" s="183">
        <f>IFERROR(E197-E196,"")</f>
        <v>0</v>
      </c>
      <c r="G197" s="247">
        <f t="shared" si="58"/>
        <v>0</v>
      </c>
      <c r="H197" s="246"/>
      <c r="I197" s="417"/>
      <c r="J197" s="417"/>
      <c r="K197" s="439"/>
      <c r="L197" s="440"/>
      <c r="M197" s="439"/>
      <c r="N197" s="440"/>
      <c r="O197" s="495"/>
      <c r="P197" s="259" t="str">
        <f>IF(P$194="Y",IFERROR(E197*($F$8/SUMIF($H$5:$H$16,"Y",$F$5:$F$16))*$F$21*'Emissions Factors'!$B14,""),"")</f>
        <v/>
      </c>
      <c r="Q197" s="259" t="str">
        <f>IF($X$135="Y",IFERROR($E197*(SUM($F$7,$F$5,$F$6)/SUMIF($H$5:$H$16,"Y",$F$5:$F$16))*('Emissions Factors'!$T$143*$F$22)/10^6,""),"")</f>
        <v/>
      </c>
      <c r="R197" s="259">
        <f t="shared" si="63"/>
        <v>0</v>
      </c>
      <c r="S197" s="259">
        <f t="shared" si="64"/>
        <v>0</v>
      </c>
      <c r="T197" s="496"/>
      <c r="U197" s="441">
        <f t="shared" si="65"/>
        <v>0</v>
      </c>
      <c r="V197" s="441">
        <f t="shared" si="59"/>
        <v>0</v>
      </c>
      <c r="Y197" s="478">
        <v>2017</v>
      </c>
      <c r="Z197" s="479">
        <f t="shared" si="60"/>
        <v>0</v>
      </c>
      <c r="AA197" s="479">
        <f t="shared" si="60"/>
        <v>0</v>
      </c>
      <c r="AB197" s="430"/>
      <c r="AC197" s="479"/>
      <c r="AD197" s="479"/>
      <c r="AE197" s="430"/>
      <c r="AF197" s="479">
        <f t="shared" si="61"/>
        <v>0</v>
      </c>
      <c r="AG197" s="479">
        <f t="shared" si="54"/>
        <v>0</v>
      </c>
      <c r="AH197" s="516"/>
      <c r="AJ197" s="480" t="str">
        <f t="shared" si="55"/>
        <v/>
      </c>
      <c r="AK197" s="480" t="str">
        <f t="shared" si="56"/>
        <v/>
      </c>
    </row>
    <row r="198" spans="1:37" ht="15.6" x14ac:dyDescent="0.3">
      <c r="A198" s="152">
        <v>2018</v>
      </c>
      <c r="B198" s="178"/>
      <c r="C198" s="182"/>
      <c r="D198" s="183"/>
      <c r="E198" s="179">
        <f t="shared" si="57"/>
        <v>0</v>
      </c>
      <c r="F198" s="183">
        <f t="shared" ref="F198:F240" si="66">IFERROR(E198-E197,"")</f>
        <v>0</v>
      </c>
      <c r="G198" s="247">
        <f t="shared" si="58"/>
        <v>0</v>
      </c>
      <c r="H198" s="246"/>
      <c r="I198" s="417"/>
      <c r="J198" s="417"/>
      <c r="K198" s="439"/>
      <c r="L198" s="440"/>
      <c r="M198" s="439"/>
      <c r="N198" s="440"/>
      <c r="O198" s="495"/>
      <c r="P198" s="259" t="str">
        <f>IF(P$194="Y",IFERROR(E198*($F$8/SUMIF($H$5:$H$16,"Y",$F$5:$F$16))*$F$21*'Emissions Factors'!$B15,""),"")</f>
        <v/>
      </c>
      <c r="Q198" s="259" t="str">
        <f>IF($X$135="Y",IFERROR($E198*(SUM($F$7,$F$5,$F$6)/SUMIF($H$5:$H$16,"Y",$F$5:$F$16))*('Emissions Factors'!$T$143*$F$22)/10^6,""),"")</f>
        <v/>
      </c>
      <c r="R198" s="259">
        <f t="shared" si="63"/>
        <v>0</v>
      </c>
      <c r="S198" s="259">
        <f t="shared" si="64"/>
        <v>0</v>
      </c>
      <c r="T198" s="496"/>
      <c r="U198" s="441">
        <f t="shared" si="65"/>
        <v>0</v>
      </c>
      <c r="V198" s="441">
        <f t="shared" si="59"/>
        <v>0</v>
      </c>
      <c r="Y198" s="478">
        <v>2018</v>
      </c>
      <c r="Z198" s="479">
        <f t="shared" si="60"/>
        <v>0</v>
      </c>
      <c r="AA198" s="479">
        <f t="shared" si="60"/>
        <v>0</v>
      </c>
      <c r="AB198" s="430"/>
      <c r="AC198" s="479"/>
      <c r="AD198" s="479"/>
      <c r="AE198" s="430"/>
      <c r="AF198" s="479">
        <f t="shared" si="61"/>
        <v>0</v>
      </c>
      <c r="AG198" s="479">
        <f t="shared" si="54"/>
        <v>0</v>
      </c>
      <c r="AH198" s="516"/>
      <c r="AJ198" s="480" t="str">
        <f t="shared" si="55"/>
        <v/>
      </c>
      <c r="AK198" s="480" t="str">
        <f t="shared" si="56"/>
        <v/>
      </c>
    </row>
    <row r="199" spans="1:37" ht="15.6" x14ac:dyDescent="0.3">
      <c r="A199" s="152">
        <v>2019</v>
      </c>
      <c r="B199" s="178"/>
      <c r="C199" s="182"/>
      <c r="D199" s="183"/>
      <c r="E199" s="179">
        <f t="shared" si="57"/>
        <v>0</v>
      </c>
      <c r="F199" s="183">
        <f t="shared" si="66"/>
        <v>0</v>
      </c>
      <c r="G199" s="247">
        <f t="shared" si="58"/>
        <v>0</v>
      </c>
      <c r="H199" s="246"/>
      <c r="I199" s="417"/>
      <c r="J199" s="417"/>
      <c r="K199" s="439"/>
      <c r="L199" s="440"/>
      <c r="M199" s="439"/>
      <c r="N199" s="440"/>
      <c r="O199" s="495"/>
      <c r="P199" s="259" t="str">
        <f>IF(P$194="Y",IFERROR(E199*($F$8/SUMIF($H$5:$H$16,"Y",$F$5:$F$16))*$F$21*'Emissions Factors'!$B16,""),"")</f>
        <v/>
      </c>
      <c r="Q199" s="259" t="str">
        <f>IF($X$135="Y",IFERROR($E199*(SUM($F$7,$F$5,$F$6)/SUMIF($H$5:$H$16,"Y",$F$5:$F$16))*('Emissions Factors'!$T$143*$F$22)/10^6,""),"")</f>
        <v/>
      </c>
      <c r="R199" s="259">
        <f t="shared" si="63"/>
        <v>0</v>
      </c>
      <c r="S199" s="259">
        <f t="shared" si="64"/>
        <v>0</v>
      </c>
      <c r="T199" s="496"/>
      <c r="U199" s="441">
        <f t="shared" si="65"/>
        <v>0</v>
      </c>
      <c r="V199" s="441">
        <f t="shared" si="59"/>
        <v>0</v>
      </c>
      <c r="Y199" s="478">
        <v>2019</v>
      </c>
      <c r="Z199" s="479">
        <f t="shared" si="60"/>
        <v>0</v>
      </c>
      <c r="AA199" s="479">
        <f t="shared" si="60"/>
        <v>0</v>
      </c>
      <c r="AB199" s="430"/>
      <c r="AC199" s="479"/>
      <c r="AD199" s="479"/>
      <c r="AE199" s="430"/>
      <c r="AF199" s="479">
        <f t="shared" si="61"/>
        <v>0</v>
      </c>
      <c r="AG199" s="479">
        <f t="shared" si="54"/>
        <v>0</v>
      </c>
      <c r="AH199" s="516"/>
      <c r="AJ199" s="480" t="str">
        <f t="shared" si="55"/>
        <v/>
      </c>
      <c r="AK199" s="480" t="str">
        <f t="shared" si="56"/>
        <v/>
      </c>
    </row>
    <row r="200" spans="1:37" ht="15.6" x14ac:dyDescent="0.3">
      <c r="A200" s="152">
        <v>2020</v>
      </c>
      <c r="B200" s="178"/>
      <c r="C200" s="182"/>
      <c r="D200" s="183"/>
      <c r="E200" s="179">
        <f t="shared" si="57"/>
        <v>0</v>
      </c>
      <c r="F200" s="183">
        <f t="shared" si="66"/>
        <v>0</v>
      </c>
      <c r="G200" s="247">
        <f t="shared" si="58"/>
        <v>0</v>
      </c>
      <c r="H200" s="246"/>
      <c r="I200" s="417"/>
      <c r="J200" s="417"/>
      <c r="K200" s="439"/>
      <c r="L200" s="440"/>
      <c r="M200" s="439"/>
      <c r="N200" s="440"/>
      <c r="O200" s="495"/>
      <c r="P200" s="259" t="str">
        <f>IF(P$194="Y",IFERROR(E200*($F$8/SUMIF($H$5:$H$16,"Y",$F$5:$F$16))*$F$21*'Emissions Factors'!$B17,""),"")</f>
        <v/>
      </c>
      <c r="Q200" s="259" t="str">
        <f>IF($X$135="Y",IFERROR($E200*(SUM($F$7,$F$5,$F$6)/SUMIF($H$5:$H$16,"Y",$F$5:$F$16))*('Emissions Factors'!$T$143*$F$22)/10^6,""),"")</f>
        <v/>
      </c>
      <c r="R200" s="259">
        <f t="shared" si="63"/>
        <v>0</v>
      </c>
      <c r="S200" s="259">
        <f t="shared" si="64"/>
        <v>0</v>
      </c>
      <c r="T200" s="496"/>
      <c r="U200" s="441">
        <f t="shared" si="65"/>
        <v>0</v>
      </c>
      <c r="V200" s="441">
        <f t="shared" si="59"/>
        <v>0</v>
      </c>
      <c r="X200" s="430"/>
      <c r="Y200" s="478">
        <v>2020</v>
      </c>
      <c r="Z200" s="479">
        <f t="shared" si="60"/>
        <v>0</v>
      </c>
      <c r="AA200" s="479">
        <f t="shared" si="60"/>
        <v>0</v>
      </c>
      <c r="AB200" s="430"/>
      <c r="AC200" s="479"/>
      <c r="AD200" s="479"/>
      <c r="AE200" s="430"/>
      <c r="AF200" s="479">
        <f t="shared" si="61"/>
        <v>0</v>
      </c>
      <c r="AG200" s="479">
        <f t="shared" si="54"/>
        <v>0</v>
      </c>
      <c r="AH200" s="516"/>
      <c r="AJ200" s="480" t="str">
        <f t="shared" si="55"/>
        <v/>
      </c>
      <c r="AK200" s="480" t="str">
        <f t="shared" si="56"/>
        <v/>
      </c>
    </row>
    <row r="201" spans="1:37" ht="15.6" x14ac:dyDescent="0.3">
      <c r="A201" s="152">
        <v>2021</v>
      </c>
      <c r="B201" s="178"/>
      <c r="C201" s="182"/>
      <c r="D201" s="183"/>
      <c r="E201" s="179">
        <f t="shared" si="57"/>
        <v>0.24606388721391678</v>
      </c>
      <c r="F201" s="183">
        <f t="shared" si="66"/>
        <v>0.24606388721391678</v>
      </c>
      <c r="G201" s="247">
        <f t="shared" si="58"/>
        <v>0.39263377656521942</v>
      </c>
      <c r="H201" s="246"/>
      <c r="I201" s="417"/>
      <c r="J201" s="417"/>
      <c r="K201" s="439"/>
      <c r="L201" s="440"/>
      <c r="M201" s="439"/>
      <c r="N201" s="440"/>
      <c r="O201" s="495"/>
      <c r="P201" s="259" t="str">
        <f>IF(P$194="Y",IFERROR(E201*($F$8/SUMIF($H$5:$H$16,"Y",$F$5:$F$16))*$F$21*'Emissions Factors'!$B18,""),"")</f>
        <v/>
      </c>
      <c r="Q201" s="259" t="str">
        <f>IF($X$135="Y",IFERROR($E201*(SUM($F$7,$F$5,$F$6)/SUMIF($H$5:$H$16,"Y",$F$5:$F$16))*('Emissions Factors'!$T$143*$F$22)/10^6,""),"")</f>
        <v/>
      </c>
      <c r="R201" s="259">
        <f t="shared" si="63"/>
        <v>0.32455186003685949</v>
      </c>
      <c r="S201" s="259">
        <f t="shared" si="64"/>
        <v>0.12907293507000367</v>
      </c>
      <c r="T201" s="496"/>
      <c r="U201" s="441">
        <f t="shared" si="65"/>
        <v>0.45362479510686315</v>
      </c>
      <c r="V201" s="441">
        <f t="shared" si="59"/>
        <v>0</v>
      </c>
      <c r="X201" s="430"/>
      <c r="Y201" s="478">
        <v>2021</v>
      </c>
      <c r="Z201" s="479">
        <f t="shared" si="60"/>
        <v>0.45362479510686315</v>
      </c>
      <c r="AA201" s="479">
        <f t="shared" si="60"/>
        <v>0</v>
      </c>
      <c r="AB201" s="430"/>
      <c r="AC201" s="479"/>
      <c r="AD201" s="479"/>
      <c r="AE201" s="430"/>
      <c r="AF201" s="479">
        <f t="shared" si="61"/>
        <v>0.45362479510686315</v>
      </c>
      <c r="AG201" s="479">
        <f t="shared" si="54"/>
        <v>0</v>
      </c>
      <c r="AH201" s="516"/>
      <c r="AJ201" s="480">
        <f t="shared" si="55"/>
        <v>0</v>
      </c>
      <c r="AK201" s="480" t="str">
        <f t="shared" si="56"/>
        <v/>
      </c>
    </row>
    <row r="202" spans="1:37" ht="15.6" x14ac:dyDescent="0.3">
      <c r="A202" s="152">
        <v>2022</v>
      </c>
      <c r="B202" s="178"/>
      <c r="C202" s="182"/>
      <c r="D202" s="183"/>
      <c r="E202" s="179">
        <f t="shared" si="57"/>
        <v>0.5563346375999777</v>
      </c>
      <c r="F202" s="183">
        <f t="shared" si="66"/>
        <v>0.31027075038606089</v>
      </c>
      <c r="G202" s="247">
        <f t="shared" si="58"/>
        <v>0.38869800868534254</v>
      </c>
      <c r="H202" s="246"/>
      <c r="I202" s="417"/>
      <c r="J202" s="417"/>
      <c r="K202" s="182"/>
      <c r="L202" s="178"/>
      <c r="M202" s="182"/>
      <c r="N202" s="178"/>
      <c r="O202" s="495"/>
      <c r="P202" s="259" t="str">
        <f>IF(P$194="Y",IFERROR(E202*($F$8/SUMIF($H$5:$H$16,"Y",$F$5:$F$16))*$F$21*'Emissions Factors'!$B19,""),"")</f>
        <v/>
      </c>
      <c r="Q202" s="259" t="str">
        <f>IF($X$135="Y",IFERROR($E202*(SUM($F$7,$F$5,$F$6)/SUMIF($H$5:$H$16,"Y",$F$5:$F$16))*('Emissions Factors'!$T$143*$F$22)/10^6,""),"")</f>
        <v/>
      </c>
      <c r="R202" s="259">
        <f t="shared" si="63"/>
        <v>0.73379090073073061</v>
      </c>
      <c r="S202" s="259">
        <f t="shared" si="64"/>
        <v>0.29182561232038712</v>
      </c>
      <c r="T202" s="496"/>
      <c r="U202" s="180">
        <f t="shared" si="65"/>
        <v>1.0256165130511177</v>
      </c>
      <c r="V202" s="180">
        <f t="shared" si="59"/>
        <v>0</v>
      </c>
      <c r="X202" s="430"/>
      <c r="Y202" s="478">
        <v>2022</v>
      </c>
      <c r="Z202" s="479">
        <f t="shared" si="60"/>
        <v>1.0256165130511177</v>
      </c>
      <c r="AA202" s="479">
        <f t="shared" si="60"/>
        <v>0</v>
      </c>
      <c r="AB202" s="430"/>
      <c r="AC202" s="479"/>
      <c r="AD202" s="479"/>
      <c r="AE202" s="430"/>
      <c r="AF202" s="479">
        <f t="shared" si="61"/>
        <v>1.0256165130511177</v>
      </c>
      <c r="AG202" s="479">
        <f t="shared" si="54"/>
        <v>0</v>
      </c>
      <c r="AH202" s="516"/>
      <c r="AJ202" s="480">
        <f t="shared" si="55"/>
        <v>0</v>
      </c>
      <c r="AK202" s="480" t="str">
        <f t="shared" si="56"/>
        <v/>
      </c>
    </row>
    <row r="203" spans="1:37" ht="15.6" x14ac:dyDescent="0.3">
      <c r="A203" s="152">
        <v>2023</v>
      </c>
      <c r="B203" s="178"/>
      <c r="C203" s="182"/>
      <c r="D203" s="183"/>
      <c r="E203" s="179">
        <f t="shared" si="57"/>
        <v>0.92705675555886469</v>
      </c>
      <c r="F203" s="183">
        <f t="shared" si="66"/>
        <v>0.37072211795888699</v>
      </c>
      <c r="G203" s="247">
        <f t="shared" si="58"/>
        <v>0.38660201142892447</v>
      </c>
      <c r="H203" s="246"/>
      <c r="I203" s="417"/>
      <c r="J203" s="417"/>
      <c r="K203" s="182"/>
      <c r="L203" s="178"/>
      <c r="M203" s="182"/>
      <c r="N203" s="178"/>
      <c r="O203" s="495"/>
      <c r="P203" s="259" t="str">
        <f>IF(P$194="Y",IFERROR(E203*($F$8/SUMIF($H$5:$H$16,"Y",$F$5:$F$16))*$F$21*'Emissions Factors'!$B20,""),"")</f>
        <v/>
      </c>
      <c r="Q203" s="259" t="str">
        <f>IF($X$135="Y",IFERROR($E203*(SUM($F$7,$F$5,$F$6)/SUMIF($H$5:$H$16,"Y",$F$5:$F$16))*('Emissions Factors'!$T$143*$F$22)/10^6,""),"")</f>
        <v/>
      </c>
      <c r="R203" s="259">
        <f t="shared" si="63"/>
        <v>1.2227637211745583</v>
      </c>
      <c r="S203" s="259">
        <f t="shared" si="64"/>
        <v>0.48628808465678025</v>
      </c>
      <c r="T203" s="496"/>
      <c r="U203" s="180">
        <f t="shared" si="65"/>
        <v>1.7090518058313386</v>
      </c>
      <c r="V203" s="180">
        <f t="shared" si="59"/>
        <v>0</v>
      </c>
      <c r="X203" s="430"/>
      <c r="Y203" s="478">
        <v>2023</v>
      </c>
      <c r="Z203" s="479">
        <f t="shared" si="60"/>
        <v>1.7090518058313386</v>
      </c>
      <c r="AA203" s="479">
        <f t="shared" si="60"/>
        <v>0</v>
      </c>
      <c r="AB203" s="430"/>
      <c r="AC203" s="479"/>
      <c r="AD203" s="479"/>
      <c r="AE203" s="430"/>
      <c r="AF203" s="479">
        <f t="shared" si="61"/>
        <v>1.7090518058313386</v>
      </c>
      <c r="AG203" s="479">
        <f t="shared" si="54"/>
        <v>0</v>
      </c>
      <c r="AH203" s="516"/>
      <c r="AJ203" s="480">
        <f t="shared" si="55"/>
        <v>0</v>
      </c>
      <c r="AK203" s="480" t="str">
        <f t="shared" si="56"/>
        <v/>
      </c>
    </row>
    <row r="204" spans="1:37" ht="15.6" x14ac:dyDescent="0.3">
      <c r="A204" s="152">
        <v>2024</v>
      </c>
      <c r="B204" s="178"/>
      <c r="C204" s="182"/>
      <c r="D204" s="183"/>
      <c r="E204" s="179">
        <f t="shared" si="57"/>
        <v>1.3579307568645744</v>
      </c>
      <c r="F204" s="183">
        <f t="shared" si="66"/>
        <v>0.43087400130570974</v>
      </c>
      <c r="G204" s="247">
        <f t="shared" si="58"/>
        <v>0.38553635627729421</v>
      </c>
      <c r="H204" s="246"/>
      <c r="I204" s="417"/>
      <c r="J204" s="417"/>
      <c r="K204" s="182"/>
      <c r="L204" s="178"/>
      <c r="M204" s="182"/>
      <c r="N204" s="178"/>
      <c r="O204" s="495"/>
      <c r="P204" s="259" t="str">
        <f>IF(P$194="Y",IFERROR(E204*($F$8/SUMIF($H$5:$H$16,"Y",$F$5:$F$16))*$F$21*'Emissions Factors'!$B21,""),"")</f>
        <v/>
      </c>
      <c r="Q204" s="259" t="str">
        <f>IF($X$135="Y",IFERROR($E204*(SUM($F$7,$F$5,$F$6)/SUMIF($H$5:$H$16,"Y",$F$5:$F$16))*('Emissions Factors'!$T$143*$F$22)/10^6,""),"")</f>
        <v/>
      </c>
      <c r="R204" s="259">
        <f t="shared" si="63"/>
        <v>1.7910753094724419</v>
      </c>
      <c r="S204" s="259">
        <f t="shared" si="64"/>
        <v>0.71230325747869094</v>
      </c>
      <c r="T204" s="496"/>
      <c r="U204" s="180">
        <f t="shared" si="65"/>
        <v>2.5033785669511328</v>
      </c>
      <c r="V204" s="180">
        <f t="shared" si="59"/>
        <v>0</v>
      </c>
      <c r="X204" s="430"/>
      <c r="Y204" s="478">
        <v>2024</v>
      </c>
      <c r="Z204" s="479">
        <f t="shared" si="60"/>
        <v>2.5033785669511328</v>
      </c>
      <c r="AA204" s="479">
        <f t="shared" si="60"/>
        <v>0</v>
      </c>
      <c r="AB204" s="430"/>
      <c r="AC204" s="479"/>
      <c r="AD204" s="479"/>
      <c r="AE204" s="430"/>
      <c r="AF204" s="479">
        <f>Z204-AC204</f>
        <v>2.5033785669511328</v>
      </c>
      <c r="AG204" s="479">
        <f t="shared" si="54"/>
        <v>0</v>
      </c>
      <c r="AH204" s="516"/>
      <c r="AJ204" s="480">
        <f t="shared" si="55"/>
        <v>0</v>
      </c>
      <c r="AK204" s="480" t="str">
        <f t="shared" si="56"/>
        <v/>
      </c>
    </row>
    <row r="205" spans="1:37" ht="15.6" x14ac:dyDescent="0.3">
      <c r="A205" s="152">
        <v>2025</v>
      </c>
      <c r="B205" s="178"/>
      <c r="C205" s="182"/>
      <c r="D205" s="183"/>
      <c r="E205" s="179">
        <f t="shared" si="57"/>
        <v>1.8492865491451052</v>
      </c>
      <c r="F205" s="183">
        <f t="shared" si="66"/>
        <v>0.49135579228053072</v>
      </c>
      <c r="G205" s="247">
        <f t="shared" si="58"/>
        <v>0.38510759249818832</v>
      </c>
      <c r="H205" s="246"/>
      <c r="I205" s="417"/>
      <c r="J205" s="417"/>
      <c r="K205" s="182"/>
      <c r="L205" s="178"/>
      <c r="M205" s="182"/>
      <c r="N205" s="178"/>
      <c r="O205" s="495"/>
      <c r="P205" s="259" t="str">
        <f>IF(P$194="Y",IFERROR(E205*($F$8/SUMIF($H$5:$H$16,"Y",$F$5:$F$16))*$F$21*'Emissions Factors'!$B22,""),"")</f>
        <v/>
      </c>
      <c r="Q205" s="259" t="str">
        <f>IF($X$135="Y",IFERROR($E205*(SUM($F$7,$F$5,$F$6)/SUMIF($H$5:$H$16,"Y",$F$5:$F$16))*('Emissions Factors'!$T$143*$F$22)/10^6,""),"")</f>
        <v/>
      </c>
      <c r="R205" s="259">
        <f t="shared" si="63"/>
        <v>2.4391608051953253</v>
      </c>
      <c r="S205" s="259">
        <f t="shared" si="64"/>
        <v>0.97004418399733949</v>
      </c>
      <c r="T205" s="496"/>
      <c r="U205" s="180">
        <f t="shared" si="65"/>
        <v>3.4092049891926646</v>
      </c>
      <c r="V205" s="180">
        <f t="shared" si="59"/>
        <v>0</v>
      </c>
      <c r="X205" s="430"/>
      <c r="Y205" s="478">
        <v>2025</v>
      </c>
      <c r="Z205" s="479">
        <f t="shared" si="60"/>
        <v>3.4092049891926646</v>
      </c>
      <c r="AA205" s="479">
        <f t="shared" si="60"/>
        <v>0</v>
      </c>
      <c r="AB205" s="430"/>
      <c r="AC205" s="479"/>
      <c r="AD205" s="479"/>
      <c r="AE205" s="430"/>
      <c r="AF205" s="479">
        <f t="shared" si="61"/>
        <v>3.4092049891926646</v>
      </c>
      <c r="AG205" s="479">
        <f t="shared" si="54"/>
        <v>0</v>
      </c>
      <c r="AH205" s="516"/>
      <c r="AJ205" s="480">
        <f t="shared" si="55"/>
        <v>0</v>
      </c>
      <c r="AK205" s="480" t="str">
        <f t="shared" si="56"/>
        <v/>
      </c>
    </row>
    <row r="206" spans="1:37" ht="15.6" x14ac:dyDescent="0.3">
      <c r="A206" s="152">
        <v>2026</v>
      </c>
      <c r="B206" s="178"/>
      <c r="C206" s="182"/>
      <c r="D206" s="183"/>
      <c r="E206" s="179">
        <f t="shared" si="57"/>
        <v>2.4010482386652736</v>
      </c>
      <c r="F206" s="183">
        <f t="shared" si="66"/>
        <v>0.55176168952016846</v>
      </c>
      <c r="G206" s="247">
        <f t="shared" si="58"/>
        <v>0.38509655633902978</v>
      </c>
      <c r="H206" s="246"/>
      <c r="I206" s="417"/>
      <c r="J206" s="417"/>
      <c r="K206" s="182"/>
      <c r="L206" s="178"/>
      <c r="M206" s="182"/>
      <c r="N206" s="178"/>
      <c r="O206" s="495"/>
      <c r="P206" s="259" t="str">
        <f>IF(P$194="Y",IFERROR(E206*($F$8/SUMIF($H$5:$H$16,"Y",$F$5:$F$16))*$F$21*'Emissions Factors'!$B23,""),"")</f>
        <v/>
      </c>
      <c r="Q206" s="259" t="str">
        <f>IF($X$135="Y",IFERROR($E206*(SUM($F$7,$F$5,$F$6)/SUMIF($H$5:$H$16,"Y",$F$5:$F$16))*('Emissions Factors'!$T$143*$F$22)/10^6,""),"")</f>
        <v/>
      </c>
      <c r="R206" s="259">
        <f t="shared" si="63"/>
        <v>3.1669201064826815</v>
      </c>
      <c r="S206" s="259">
        <f t="shared" si="64"/>
        <v>1.2594710541159886</v>
      </c>
      <c r="T206" s="496"/>
      <c r="U206" s="180">
        <f t="shared" si="65"/>
        <v>4.4263911605986701</v>
      </c>
      <c r="V206" s="180">
        <f t="shared" si="59"/>
        <v>0</v>
      </c>
      <c r="X206" s="430"/>
      <c r="Y206" s="478">
        <v>2026</v>
      </c>
      <c r="Z206" s="479">
        <f t="shared" si="60"/>
        <v>4.4263911605986701</v>
      </c>
      <c r="AA206" s="479">
        <f t="shared" si="60"/>
        <v>0</v>
      </c>
      <c r="AB206" s="430"/>
      <c r="AC206" s="479"/>
      <c r="AD206" s="479"/>
      <c r="AE206" s="430"/>
      <c r="AF206" s="479">
        <f t="shared" si="61"/>
        <v>4.4263911605986701</v>
      </c>
      <c r="AG206" s="479">
        <f t="shared" si="54"/>
        <v>0</v>
      </c>
      <c r="AH206" s="516"/>
      <c r="AJ206" s="480">
        <f t="shared" si="55"/>
        <v>0</v>
      </c>
      <c r="AK206" s="480" t="str">
        <f t="shared" si="56"/>
        <v/>
      </c>
    </row>
    <row r="207" spans="1:37" ht="15.6" x14ac:dyDescent="0.3">
      <c r="A207" s="152">
        <v>2027</v>
      </c>
      <c r="B207" s="178"/>
      <c r="C207" s="182"/>
      <c r="D207" s="183"/>
      <c r="E207" s="179">
        <f>IFERROR(IF($G$19="Y",$F$19,$AD93)*(SUMIF($H$5:$H$16,"Y",$F$5:$F$16)*(AL42-B42)),0)</f>
        <v>3.0130646728596373</v>
      </c>
      <c r="F207" s="183">
        <f t="shared" si="66"/>
        <v>0.61201643419436369</v>
      </c>
      <c r="G207" s="247">
        <f t="shared" si="58"/>
        <v>0.38535670825189844</v>
      </c>
      <c r="H207" s="246"/>
      <c r="I207" s="417"/>
      <c r="J207" s="417"/>
      <c r="K207" s="182"/>
      <c r="L207" s="178"/>
      <c r="M207" s="182"/>
      <c r="N207" s="178"/>
      <c r="O207" s="495"/>
      <c r="P207" s="259" t="str">
        <f>IF(P$194="Y",IFERROR(E207*($F$8/SUMIF($H$5:$H$16,"Y",$F$5:$F$16))*$F$21*'Emissions Factors'!$B24,""),"")</f>
        <v/>
      </c>
      <c r="Q207" s="259" t="str">
        <f>IF($X$135="Y",IFERROR($E207*(SUM($F$7,$F$5,$F$6)/SUMIF($H$5:$H$16,"Y",$F$5:$F$16))*('Emissions Factors'!$T$143*$F$22)/10^6,""),"")</f>
        <v/>
      </c>
      <c r="R207" s="259">
        <f t="shared" si="63"/>
        <v>3.9741538470365163</v>
      </c>
      <c r="S207" s="259">
        <f t="shared" si="64"/>
        <v>1.5805045806808593</v>
      </c>
      <c r="T207" s="496"/>
      <c r="U207" s="180">
        <f t="shared" si="65"/>
        <v>5.5546584277173761</v>
      </c>
      <c r="V207" s="180">
        <f t="shared" si="59"/>
        <v>0</v>
      </c>
      <c r="X207" s="430"/>
      <c r="Y207" s="478">
        <v>2027</v>
      </c>
      <c r="Z207" s="479">
        <f t="shared" si="60"/>
        <v>5.5546584277173761</v>
      </c>
      <c r="AA207" s="479">
        <f t="shared" si="60"/>
        <v>0</v>
      </c>
      <c r="AB207" s="430"/>
      <c r="AC207" s="479"/>
      <c r="AD207" s="479"/>
      <c r="AE207" s="430"/>
      <c r="AF207" s="479">
        <f t="shared" si="61"/>
        <v>5.5546584277173761</v>
      </c>
      <c r="AG207" s="479">
        <f t="shared" si="54"/>
        <v>0</v>
      </c>
      <c r="AH207" s="516"/>
      <c r="AJ207" s="480">
        <f t="shared" si="55"/>
        <v>0</v>
      </c>
      <c r="AK207" s="480" t="str">
        <f t="shared" si="56"/>
        <v/>
      </c>
    </row>
    <row r="208" spans="1:37" ht="15.6" x14ac:dyDescent="0.3">
      <c r="A208" s="152">
        <v>2028</v>
      </c>
      <c r="B208" s="178"/>
      <c r="C208" s="182"/>
      <c r="D208" s="183"/>
      <c r="E208" s="179">
        <f>IFERROR(IF($G$19="Y",$F$19,$AD94)*(SUMIF($H$5:$H$16,"Y",$F$5:$F$16)*(AL43-B43)),0)</f>
        <v>3.6871129574124497</v>
      </c>
      <c r="F208" s="183">
        <f t="shared" si="66"/>
        <v>0.6740482845528124</v>
      </c>
      <c r="G208" s="247">
        <f t="shared" si="58"/>
        <v>0.38577022426045282</v>
      </c>
      <c r="H208" s="246"/>
      <c r="I208" s="417"/>
      <c r="J208" s="417"/>
      <c r="K208" s="182"/>
      <c r="L208" s="178"/>
      <c r="M208" s="182"/>
      <c r="N208" s="178"/>
      <c r="O208" s="495"/>
      <c r="P208" s="259" t="str">
        <f>IF(P$194="Y",IFERROR(E208*($F$8/SUMIF($H$5:$H$16,"Y",$F$5:$F$16))*$F$21*'Emissions Factors'!$B25,""),"")</f>
        <v/>
      </c>
      <c r="Q208" s="259" t="str">
        <f>IF($X$135="Y",IFERROR($E208*(SUM($F$7,$F$5,$F$6)/SUMIF($H$5:$H$16,"Y",$F$5:$F$16))*('Emissions Factors'!$T$143*$F$22)/10^6,""),"")</f>
        <v/>
      </c>
      <c r="R208" s="259">
        <f t="shared" si="63"/>
        <v>4.863205982980733</v>
      </c>
      <c r="S208" s="259">
        <f t="shared" si="64"/>
        <v>1.9340769453671791</v>
      </c>
      <c r="T208" s="496"/>
      <c r="U208" s="180">
        <f t="shared" si="65"/>
        <v>6.7972829283479124</v>
      </c>
      <c r="V208" s="180">
        <f t="shared" si="59"/>
        <v>0</v>
      </c>
      <c r="X208" s="430"/>
      <c r="Y208" s="478">
        <v>2028</v>
      </c>
      <c r="Z208" s="479">
        <f t="shared" si="60"/>
        <v>6.7972829283479124</v>
      </c>
      <c r="AA208" s="479">
        <f t="shared" si="60"/>
        <v>0</v>
      </c>
      <c r="AB208" s="430"/>
      <c r="AC208" s="479"/>
      <c r="AD208" s="479"/>
      <c r="AE208" s="430"/>
      <c r="AF208" s="479">
        <f t="shared" si="61"/>
        <v>6.7972829283479124</v>
      </c>
      <c r="AG208" s="479">
        <f t="shared" si="54"/>
        <v>0</v>
      </c>
      <c r="AH208" s="516"/>
      <c r="AJ208" s="480">
        <f t="shared" si="55"/>
        <v>0</v>
      </c>
      <c r="AK208" s="480" t="str">
        <f t="shared" si="56"/>
        <v/>
      </c>
    </row>
    <row r="209" spans="1:37" ht="15.6" x14ac:dyDescent="0.3">
      <c r="A209" s="152">
        <v>2029</v>
      </c>
      <c r="B209" s="178"/>
      <c r="C209" s="182"/>
      <c r="D209" s="183"/>
      <c r="E209" s="179">
        <f t="shared" si="57"/>
        <v>4.4255582169921599</v>
      </c>
      <c r="F209" s="183">
        <f t="shared" si="66"/>
        <v>0.73844525957971019</v>
      </c>
      <c r="G209" s="247">
        <f t="shared" si="58"/>
        <v>0.38625641059850585</v>
      </c>
      <c r="H209" s="246"/>
      <c r="I209" s="417"/>
      <c r="J209" s="417"/>
      <c r="K209" s="182"/>
      <c r="L209" s="178"/>
      <c r="M209" s="182"/>
      <c r="N209" s="178"/>
      <c r="O209" s="495"/>
      <c r="P209" s="259" t="str">
        <f>IF(P$194="Y",IFERROR(E209*($F$8/SUMIF($H$5:$H$16,"Y",$F$5:$F$16))*$F$21*'Emissions Factors'!$B26,""),"")</f>
        <v/>
      </c>
      <c r="Q209" s="259" t="str">
        <f>IF($X$135="Y",IFERROR($E209*(SUM($F$7,$F$5,$F$6)/SUMIF($H$5:$H$16,"Y",$F$5:$F$16))*('Emissions Factors'!$T$143*$F$22)/10^6,""),"")</f>
        <v/>
      </c>
      <c r="R209" s="259">
        <f t="shared" si="63"/>
        <v>5.837196052168105</v>
      </c>
      <c r="S209" s="259">
        <f t="shared" si="64"/>
        <v>2.3214287755023459</v>
      </c>
      <c r="T209" s="496"/>
      <c r="U209" s="180">
        <f t="shared" si="65"/>
        <v>8.1586248276704509</v>
      </c>
      <c r="V209" s="180">
        <f t="shared" si="59"/>
        <v>0</v>
      </c>
      <c r="X209" s="430"/>
      <c r="Y209" s="478">
        <v>2029</v>
      </c>
      <c r="Z209" s="479">
        <f t="shared" si="60"/>
        <v>8.1586248276704509</v>
      </c>
      <c r="AA209" s="479">
        <f t="shared" si="60"/>
        <v>0</v>
      </c>
      <c r="AB209" s="430"/>
      <c r="AC209" s="479"/>
      <c r="AD209" s="479"/>
      <c r="AE209" s="430"/>
      <c r="AF209" s="479">
        <f t="shared" si="61"/>
        <v>8.1586248276704509</v>
      </c>
      <c r="AG209" s="479">
        <f t="shared" si="54"/>
        <v>0</v>
      </c>
      <c r="AH209" s="516"/>
      <c r="AJ209" s="480">
        <f t="shared" si="55"/>
        <v>0</v>
      </c>
      <c r="AK209" s="480" t="str">
        <f t="shared" si="56"/>
        <v/>
      </c>
    </row>
    <row r="210" spans="1:37" ht="15.6" x14ac:dyDescent="0.3">
      <c r="A210" s="152">
        <v>2030</v>
      </c>
      <c r="B210" s="178"/>
      <c r="C210" s="182"/>
      <c r="D210" s="183"/>
      <c r="E210" s="179">
        <f t="shared" si="57"/>
        <v>5.2310052524427233</v>
      </c>
      <c r="F210" s="183">
        <f t="shared" si="66"/>
        <v>0.8054470354505634</v>
      </c>
      <c r="G210" s="247">
        <f t="shared" si="58"/>
        <v>0.3867721950985914</v>
      </c>
      <c r="H210" s="246"/>
      <c r="I210" s="417"/>
      <c r="J210" s="417"/>
      <c r="K210" s="182"/>
      <c r="L210" s="178"/>
      <c r="M210" s="182"/>
      <c r="N210" s="178"/>
      <c r="O210" s="495"/>
      <c r="P210" s="259" t="str">
        <f>IF(P$194="Y",IFERROR(E210*($F$8/SUMIF($H$5:$H$16,"Y",$F$5:$F$16))*$F$21*'Emissions Factors'!$B27,""),"")</f>
        <v/>
      </c>
      <c r="Q210" s="259" t="str">
        <f>IF($X$135="Y",IFERROR($E210*(SUM($F$7,$F$5,$F$6)/SUMIF($H$5:$H$16,"Y",$F$5:$F$16))*('Emissions Factors'!$T$143*$F$22)/10^6,""),"")</f>
        <v/>
      </c>
      <c r="R210" s="259">
        <f t="shared" si="63"/>
        <v>6.8995597190860272</v>
      </c>
      <c r="S210" s="259">
        <f t="shared" si="64"/>
        <v>2.7439264206714569</v>
      </c>
      <c r="T210" s="496"/>
      <c r="U210" s="180">
        <f t="shared" si="65"/>
        <v>9.6434861397574849</v>
      </c>
      <c r="V210" s="180">
        <f t="shared" si="59"/>
        <v>0</v>
      </c>
      <c r="X210" s="430"/>
      <c r="Y210" s="478">
        <v>2030</v>
      </c>
      <c r="Z210" s="479">
        <f t="shared" si="60"/>
        <v>9.6434861397574849</v>
      </c>
      <c r="AA210" s="479">
        <f t="shared" si="60"/>
        <v>0</v>
      </c>
      <c r="AB210" s="430"/>
      <c r="AC210" s="479"/>
      <c r="AD210" s="479"/>
      <c r="AE210" s="430"/>
      <c r="AF210" s="479">
        <f t="shared" si="61"/>
        <v>9.6434861397574849</v>
      </c>
      <c r="AG210" s="479">
        <f t="shared" si="54"/>
        <v>0</v>
      </c>
      <c r="AH210" s="516"/>
      <c r="AJ210" s="480">
        <f t="shared" si="55"/>
        <v>0</v>
      </c>
      <c r="AK210" s="480" t="str">
        <f t="shared" si="56"/>
        <v/>
      </c>
    </row>
    <row r="211" spans="1:37" ht="15.6" x14ac:dyDescent="0.3">
      <c r="A211" s="152">
        <v>2031</v>
      </c>
      <c r="B211" s="178"/>
      <c r="C211" s="182"/>
      <c r="D211" s="183"/>
      <c r="E211" s="179">
        <f t="shared" si="57"/>
        <v>6.1053826483358939</v>
      </c>
      <c r="F211" s="183">
        <f t="shared" si="66"/>
        <v>0.87437739589317065</v>
      </c>
      <c r="G211" s="247">
        <f t="shared" si="58"/>
        <v>0.38731491648947719</v>
      </c>
      <c r="H211" s="246"/>
      <c r="I211" s="417"/>
      <c r="J211" s="417"/>
      <c r="K211" s="182"/>
      <c r="L211" s="178"/>
      <c r="M211" s="182"/>
      <c r="N211" s="178"/>
      <c r="O211" s="495"/>
      <c r="P211" s="259" t="str">
        <f>IF(P$194="Y",IFERROR(E211*($F$8/SUMIF($H$5:$H$16,"Y",$F$5:$F$16))*$F$21*'Emissions Factors'!$B28,""),"")</f>
        <v/>
      </c>
      <c r="Q211" s="259" t="str">
        <f>IF($X$135="Y",IFERROR($E211*(SUM($F$7,$F$5,$F$6)/SUMIF($H$5:$H$16,"Y",$F$5:$F$16))*('Emissions Factors'!$T$143*$F$22)/10^6,""),"")</f>
        <v/>
      </c>
      <c r="R211" s="259">
        <f t="shared" si="63"/>
        <v>8.0528407365666936</v>
      </c>
      <c r="S211" s="259">
        <f t="shared" si="64"/>
        <v>3.2025815208759174</v>
      </c>
      <c r="T211" s="496"/>
      <c r="U211" s="180">
        <f t="shared" si="65"/>
        <v>11.255422257442611</v>
      </c>
      <c r="V211" s="180">
        <f t="shared" si="59"/>
        <v>0</v>
      </c>
      <c r="X211" s="430"/>
      <c r="Y211" s="478">
        <v>2031</v>
      </c>
      <c r="Z211" s="479">
        <f t="shared" si="60"/>
        <v>11.255422257442611</v>
      </c>
      <c r="AA211" s="479">
        <f t="shared" si="60"/>
        <v>0</v>
      </c>
      <c r="AB211" s="430"/>
      <c r="AC211" s="479"/>
      <c r="AD211" s="479"/>
      <c r="AE211" s="430"/>
      <c r="AF211" s="479">
        <f t="shared" si="61"/>
        <v>11.255422257442611</v>
      </c>
      <c r="AG211" s="479">
        <f t="shared" si="54"/>
        <v>0</v>
      </c>
      <c r="AH211" s="516"/>
      <c r="AJ211" s="480">
        <f t="shared" si="55"/>
        <v>0</v>
      </c>
      <c r="AK211" s="480" t="str">
        <f t="shared" si="56"/>
        <v/>
      </c>
    </row>
    <row r="212" spans="1:37" ht="15.6" x14ac:dyDescent="0.3">
      <c r="A212" s="152">
        <v>2032</v>
      </c>
      <c r="B212" s="178"/>
      <c r="C212" s="182"/>
      <c r="D212" s="183"/>
      <c r="E212" s="179">
        <f t="shared" si="57"/>
        <v>7.047070793929997</v>
      </c>
      <c r="F212" s="183">
        <f t="shared" si="66"/>
        <v>0.94168814559410308</v>
      </c>
      <c r="G212" s="247">
        <f t="shared" si="58"/>
        <v>0.3878942858399686</v>
      </c>
      <c r="H212" s="246"/>
      <c r="I212" s="417"/>
      <c r="J212" s="417"/>
      <c r="K212" s="182"/>
      <c r="L212" s="178"/>
      <c r="M212" s="182"/>
      <c r="N212" s="178"/>
      <c r="O212" s="495"/>
      <c r="P212" s="259" t="str">
        <f>IF(P$194="Y",IFERROR(E212*($F$8/SUMIF($H$5:$H$16,"Y",$F$5:$F$16))*$F$21*'Emissions Factors'!$B29,""),"")</f>
        <v/>
      </c>
      <c r="Q212" s="259" t="str">
        <f>IF($X$135="Y",IFERROR($E212*(SUM($F$7,$F$5,$F$6)/SUMIF($H$5:$H$16,"Y",$F$5:$F$16))*('Emissions Factors'!$T$143*$F$22)/10^6,""),"")</f>
        <v/>
      </c>
      <c r="R212" s="259">
        <f t="shared" si="63"/>
        <v>9.2949028802144902</v>
      </c>
      <c r="S212" s="259">
        <f t="shared" si="64"/>
        <v>3.6965445084913768</v>
      </c>
      <c r="T212" s="496"/>
      <c r="U212" s="180">
        <f t="shared" si="65"/>
        <v>12.991447388705867</v>
      </c>
      <c r="V212" s="180">
        <f t="shared" si="59"/>
        <v>0</v>
      </c>
      <c r="X212" s="430"/>
      <c r="Y212" s="478">
        <v>2032</v>
      </c>
      <c r="Z212" s="479">
        <f t="shared" si="60"/>
        <v>12.991447388705867</v>
      </c>
      <c r="AA212" s="479">
        <f t="shared" si="60"/>
        <v>0</v>
      </c>
      <c r="AB212" s="430"/>
      <c r="AC212" s="479"/>
      <c r="AD212" s="479"/>
      <c r="AE212" s="430"/>
      <c r="AF212" s="479">
        <f t="shared" si="61"/>
        <v>12.991447388705867</v>
      </c>
      <c r="AG212" s="479">
        <f t="shared" si="54"/>
        <v>0</v>
      </c>
      <c r="AH212" s="516"/>
      <c r="AJ212" s="480">
        <f t="shared" si="55"/>
        <v>0</v>
      </c>
      <c r="AK212" s="480" t="str">
        <f t="shared" si="56"/>
        <v/>
      </c>
    </row>
    <row r="213" spans="1:37" ht="15.6" x14ac:dyDescent="0.3">
      <c r="A213" s="152">
        <v>2033</v>
      </c>
      <c r="B213" s="178"/>
      <c r="C213" s="182"/>
      <c r="D213" s="183"/>
      <c r="E213" s="179">
        <f t="shared" si="57"/>
        <v>8.0482095240263742</v>
      </c>
      <c r="F213" s="183">
        <f t="shared" si="66"/>
        <v>1.0011387300963772</v>
      </c>
      <c r="G213" s="247">
        <f t="shared" si="58"/>
        <v>0.38851930136803187</v>
      </c>
      <c r="H213" s="246"/>
      <c r="I213" s="417"/>
      <c r="J213" s="417"/>
      <c r="K213" s="182"/>
      <c r="L213" s="178"/>
      <c r="M213" s="182"/>
      <c r="N213" s="178"/>
      <c r="O213" s="495"/>
      <c r="P213" s="259" t="str">
        <f>IF(P$194="Y",IFERROR(E213*($F$8/SUMIF($H$5:$H$16,"Y",$F$5:$F$16))*$F$21*'Emissions Factors'!$B30,""),"")</f>
        <v/>
      </c>
      <c r="Q213" s="259" t="str">
        <f>IF($X$135="Y",IFERROR($E213*(SUM($F$7,$F$5,$F$6)/SUMIF($H$5:$H$16,"Y",$F$5:$F$16))*('Emissions Factors'!$T$143*$F$22)/10^6,""),"")</f>
        <v/>
      </c>
      <c r="R213" s="259">
        <f t="shared" si="63"/>
        <v>10.615378796801334</v>
      </c>
      <c r="S213" s="259">
        <f t="shared" si="64"/>
        <v>4.2216923299327966</v>
      </c>
      <c r="T213" s="496"/>
      <c r="U213" s="180">
        <f t="shared" si="65"/>
        <v>14.837071126734131</v>
      </c>
      <c r="V213" s="180">
        <f t="shared" si="59"/>
        <v>0</v>
      </c>
      <c r="X213" s="430"/>
      <c r="Y213" s="478">
        <v>2033</v>
      </c>
      <c r="Z213" s="479">
        <f t="shared" si="60"/>
        <v>14.837071126734131</v>
      </c>
      <c r="AA213" s="479">
        <f t="shared" si="60"/>
        <v>0</v>
      </c>
      <c r="AB213" s="430"/>
      <c r="AC213" s="479"/>
      <c r="AD213" s="479"/>
      <c r="AE213" s="430"/>
      <c r="AF213" s="479">
        <f t="shared" si="61"/>
        <v>14.837071126734131</v>
      </c>
      <c r="AG213" s="479">
        <f t="shared" si="54"/>
        <v>0</v>
      </c>
      <c r="AH213" s="516"/>
      <c r="AJ213" s="480">
        <f t="shared" si="55"/>
        <v>0</v>
      </c>
      <c r="AK213" s="480" t="str">
        <f t="shared" si="56"/>
        <v/>
      </c>
    </row>
    <row r="214" spans="1:37" ht="15.6" x14ac:dyDescent="0.3">
      <c r="A214" s="152">
        <v>2034</v>
      </c>
      <c r="B214" s="178"/>
      <c r="C214" s="182"/>
      <c r="D214" s="183"/>
      <c r="E214" s="179">
        <f t="shared" si="57"/>
        <v>9.0971954739367558</v>
      </c>
      <c r="F214" s="183">
        <f t="shared" si="66"/>
        <v>1.0489859499103815</v>
      </c>
      <c r="G214" s="247">
        <f t="shared" si="58"/>
        <v>0.38919405700890747</v>
      </c>
      <c r="H214" s="246"/>
      <c r="I214" s="417"/>
      <c r="J214" s="417"/>
      <c r="K214" s="182"/>
      <c r="L214" s="178"/>
      <c r="M214" s="182"/>
      <c r="N214" s="178"/>
      <c r="O214" s="495"/>
      <c r="P214" s="259" t="str">
        <f>IF(P$194="Y",IFERROR(E214*($F$8/SUMIF($H$5:$H$16,"Y",$F$5:$F$16))*$F$21*'Emissions Factors'!$B31,""),"")</f>
        <v/>
      </c>
      <c r="Q214" s="259" t="str">
        <f>IF($X$135="Y",IFERROR($E214*(SUM($F$7,$F$5,$F$6)/SUMIF($H$5:$H$16,"Y",$F$5:$F$16))*('Emissions Factors'!$T$143*$F$22)/10^6,""),"")</f>
        <v/>
      </c>
      <c r="R214" s="259">
        <f t="shared" si="63"/>
        <v>11.998963950440617</v>
      </c>
      <c r="S214" s="259">
        <f t="shared" si="64"/>
        <v>4.7719384344512621</v>
      </c>
      <c r="T214" s="496"/>
      <c r="U214" s="180">
        <f t="shared" si="65"/>
        <v>16.77090238489188</v>
      </c>
      <c r="V214" s="180">
        <f t="shared" si="59"/>
        <v>0</v>
      </c>
      <c r="X214" s="430"/>
      <c r="Y214" s="478">
        <v>2034</v>
      </c>
      <c r="Z214" s="479">
        <f t="shared" si="60"/>
        <v>16.77090238489188</v>
      </c>
      <c r="AA214" s="479">
        <f t="shared" si="60"/>
        <v>0</v>
      </c>
      <c r="AB214" s="430"/>
      <c r="AC214" s="479"/>
      <c r="AD214" s="479"/>
      <c r="AE214" s="430"/>
      <c r="AF214" s="479">
        <f t="shared" si="61"/>
        <v>16.77090238489188</v>
      </c>
      <c r="AG214" s="479">
        <f t="shared" si="54"/>
        <v>0</v>
      </c>
      <c r="AH214" s="516"/>
      <c r="AJ214" s="480">
        <f t="shared" si="55"/>
        <v>0</v>
      </c>
      <c r="AK214" s="480" t="str">
        <f t="shared" si="56"/>
        <v/>
      </c>
    </row>
    <row r="215" spans="1:37" ht="15.6" x14ac:dyDescent="0.3">
      <c r="A215" s="152">
        <v>2035</v>
      </c>
      <c r="B215" s="178"/>
      <c r="C215" s="182"/>
      <c r="D215" s="183"/>
      <c r="E215" s="179">
        <f t="shared" si="57"/>
        <v>10.185223234063438</v>
      </c>
      <c r="F215" s="183">
        <f t="shared" si="66"/>
        <v>1.0880277601266819</v>
      </c>
      <c r="G215" s="247">
        <f t="shared" si="58"/>
        <v>0.38990697010114478</v>
      </c>
      <c r="H215" s="246"/>
      <c r="I215" s="417"/>
      <c r="J215" s="417"/>
      <c r="K215" s="182"/>
      <c r="L215" s="178"/>
      <c r="M215" s="182"/>
      <c r="N215" s="178"/>
      <c r="O215" s="495"/>
      <c r="P215" s="259" t="str">
        <f>IF(P$194="Y",IFERROR(E215*($F$8/SUMIF($H$5:$H$16,"Y",$F$5:$F$16))*$F$21*'Emissions Factors'!$B32,""),"")</f>
        <v/>
      </c>
      <c r="Q215" s="259" t="str">
        <f>IF($X$135="Y",IFERROR($E215*(SUM($F$7,$F$5,$F$6)/SUMIF($H$5:$H$16,"Y",$F$5:$F$16))*('Emissions Factors'!$T$143*$F$22)/10^6,""),"")</f>
        <v/>
      </c>
      <c r="R215" s="259">
        <f t="shared" si="63"/>
        <v>13.434044235154909</v>
      </c>
      <c r="S215" s="259">
        <f t="shared" si="64"/>
        <v>5.3426639400395928</v>
      </c>
      <c r="T215" s="496"/>
      <c r="U215" s="180">
        <f t="shared" si="65"/>
        <v>18.7767081751945</v>
      </c>
      <c r="V215" s="180">
        <f t="shared" si="59"/>
        <v>0</v>
      </c>
      <c r="X215" s="430"/>
      <c r="Y215" s="478">
        <v>2035</v>
      </c>
      <c r="Z215" s="479">
        <f t="shared" si="60"/>
        <v>18.7767081751945</v>
      </c>
      <c r="AA215" s="479">
        <f t="shared" si="60"/>
        <v>0</v>
      </c>
      <c r="AB215" s="430"/>
      <c r="AC215" s="479"/>
      <c r="AD215" s="479"/>
      <c r="AE215" s="430"/>
      <c r="AF215" s="479">
        <f t="shared" si="61"/>
        <v>18.7767081751945</v>
      </c>
      <c r="AG215" s="479">
        <f t="shared" si="54"/>
        <v>0</v>
      </c>
      <c r="AH215" s="516"/>
      <c r="AJ215" s="480">
        <f t="shared" si="55"/>
        <v>0</v>
      </c>
      <c r="AK215" s="480" t="str">
        <f t="shared" si="56"/>
        <v/>
      </c>
    </row>
    <row r="216" spans="1:37" ht="15.6" x14ac:dyDescent="0.3">
      <c r="A216" s="152">
        <v>2036</v>
      </c>
      <c r="B216" s="178"/>
      <c r="C216" s="182"/>
      <c r="D216" s="183"/>
      <c r="E216" s="179">
        <f t="shared" si="57"/>
        <v>11.308562417330869</v>
      </c>
      <c r="F216" s="183">
        <f t="shared" si="66"/>
        <v>1.1233391832674311</v>
      </c>
      <c r="G216" s="247">
        <f t="shared" si="58"/>
        <v>0.3906347378277833</v>
      </c>
      <c r="H216" s="246"/>
      <c r="I216" s="417"/>
      <c r="J216" s="417"/>
      <c r="K216" s="182"/>
      <c r="L216" s="178"/>
      <c r="M216" s="182"/>
      <c r="N216" s="178"/>
      <c r="O216" s="495"/>
      <c r="P216" s="259" t="str">
        <f>IF(P$194="Y",IFERROR(E216*($F$8/SUMIF($H$5:$H$16,"Y",$F$5:$F$16))*$F$21*'Emissions Factors'!$B33,""),"")</f>
        <v/>
      </c>
      <c r="Q216" s="259" t="str">
        <f>IF($X$135="Y",IFERROR($E216*(SUM($F$7,$F$5,$F$6)/SUMIF($H$5:$H$16,"Y",$F$5:$F$16))*('Emissions Factors'!$T$143*$F$22)/10^6,""),"")</f>
        <v/>
      </c>
      <c r="R216" s="259">
        <f t="shared" si="63"/>
        <v>14.915699367526203</v>
      </c>
      <c r="S216" s="259">
        <f t="shared" si="64"/>
        <v>5.9319120702921158</v>
      </c>
      <c r="T216" s="496"/>
      <c r="U216" s="180">
        <f t="shared" si="65"/>
        <v>20.847611437818319</v>
      </c>
      <c r="V216" s="180">
        <f t="shared" si="59"/>
        <v>0</v>
      </c>
      <c r="X216" s="430"/>
      <c r="Y216" s="478">
        <v>2036</v>
      </c>
      <c r="Z216" s="479">
        <f t="shared" si="60"/>
        <v>20.847611437818319</v>
      </c>
      <c r="AA216" s="479">
        <f t="shared" si="60"/>
        <v>0</v>
      </c>
      <c r="AB216" s="430"/>
      <c r="AC216" s="479"/>
      <c r="AD216" s="479"/>
      <c r="AE216" s="430"/>
      <c r="AF216" s="479">
        <f t="shared" si="61"/>
        <v>20.847611437818319</v>
      </c>
      <c r="AG216" s="479">
        <f t="shared" si="54"/>
        <v>0</v>
      </c>
      <c r="AH216" s="516"/>
      <c r="AJ216" s="480">
        <f t="shared" si="55"/>
        <v>0</v>
      </c>
      <c r="AK216" s="480" t="str">
        <f t="shared" si="56"/>
        <v/>
      </c>
    </row>
    <row r="217" spans="1:37" ht="15.6" x14ac:dyDescent="0.3">
      <c r="A217" s="152">
        <v>2037</v>
      </c>
      <c r="B217" s="178"/>
      <c r="C217" s="182"/>
      <c r="D217" s="183"/>
      <c r="E217" s="179">
        <f t="shared" si="57"/>
        <v>12.469771836729938</v>
      </c>
      <c r="F217" s="183">
        <f t="shared" si="66"/>
        <v>1.1612094193990696</v>
      </c>
      <c r="G217" s="247">
        <f t="shared" si="58"/>
        <v>0.39135255800815549</v>
      </c>
      <c r="H217" s="246"/>
      <c r="I217" s="417"/>
      <c r="J217" s="417"/>
      <c r="K217" s="182"/>
      <c r="L217" s="178"/>
      <c r="M217" s="182"/>
      <c r="N217" s="178"/>
      <c r="O217" s="495"/>
      <c r="P217" s="259" t="str">
        <f>IF(P$194="Y",IFERROR(E217*($F$8/SUMIF($H$5:$H$16,"Y",$F$5:$F$16))*$F$21*'Emissions Factors'!$B34,""),"")</f>
        <v/>
      </c>
      <c r="Q217" s="259" t="str">
        <f>IF($X$135="Y",IFERROR($E217*(SUM($F$7,$F$5,$F$6)/SUMIF($H$5:$H$16,"Y",$F$5:$F$16))*('Emissions Factors'!$T$143*$F$22)/10^6,""),"")</f>
        <v/>
      </c>
      <c r="R217" s="259">
        <f t="shared" si="63"/>
        <v>16.447304355261171</v>
      </c>
      <c r="S217" s="259">
        <f t="shared" si="64"/>
        <v>6.5410250518426079</v>
      </c>
      <c r="T217" s="496"/>
      <c r="U217" s="180">
        <f t="shared" si="65"/>
        <v>22.988329407103777</v>
      </c>
      <c r="V217" s="180">
        <f t="shared" si="59"/>
        <v>0</v>
      </c>
      <c r="X217" s="430"/>
      <c r="Y217" s="478">
        <v>2037</v>
      </c>
      <c r="Z217" s="479">
        <f t="shared" si="60"/>
        <v>22.988329407103777</v>
      </c>
      <c r="AA217" s="479">
        <f t="shared" si="60"/>
        <v>0</v>
      </c>
      <c r="AB217" s="430"/>
      <c r="AC217" s="479"/>
      <c r="AD217" s="479"/>
      <c r="AE217" s="430"/>
      <c r="AF217" s="479">
        <f t="shared" si="61"/>
        <v>22.988329407103777</v>
      </c>
      <c r="AG217" s="479">
        <f t="shared" si="54"/>
        <v>0</v>
      </c>
      <c r="AH217" s="516"/>
      <c r="AJ217" s="480">
        <f t="shared" si="55"/>
        <v>0</v>
      </c>
      <c r="AK217" s="480" t="str">
        <f t="shared" si="56"/>
        <v/>
      </c>
    </row>
    <row r="218" spans="1:37" ht="15.6" x14ac:dyDescent="0.3">
      <c r="A218" s="152">
        <v>2038</v>
      </c>
      <c r="B218" s="178"/>
      <c r="C218" s="182"/>
      <c r="D218" s="183"/>
      <c r="E218" s="179">
        <f t="shared" si="57"/>
        <v>13.674187863780142</v>
      </c>
      <c r="F218" s="183">
        <f t="shared" si="66"/>
        <v>1.204416027050204</v>
      </c>
      <c r="G218" s="247">
        <f t="shared" si="58"/>
        <v>0.39204438846674866</v>
      </c>
      <c r="H218" s="246"/>
      <c r="I218" s="417"/>
      <c r="J218" s="417"/>
      <c r="K218" s="182"/>
      <c r="L218" s="178"/>
      <c r="M218" s="182"/>
      <c r="N218" s="178"/>
      <c r="O218" s="495"/>
      <c r="P218" s="259" t="str">
        <f>IF(P$194="Y",IFERROR(E218*($F$8/SUMIF($H$5:$H$16,"Y",$F$5:$F$16))*$F$21*'Emissions Factors'!$B35,""),"")</f>
        <v/>
      </c>
      <c r="Q218" s="259" t="str">
        <f>IF($X$135="Y",IFERROR($E218*(SUM($F$7,$F$5,$F$6)/SUMIF($H$5:$H$16,"Y",$F$5:$F$16))*('Emissions Factors'!$T$143*$F$22)/10^6,""),"")</f>
        <v/>
      </c>
      <c r="R218" s="259">
        <f t="shared" si="63"/>
        <v>18.035897733441537</v>
      </c>
      <c r="S218" s="259">
        <f t="shared" si="64"/>
        <v>7.1728020810398059</v>
      </c>
      <c r="T218" s="496"/>
      <c r="U218" s="180">
        <f t="shared" si="65"/>
        <v>25.208699814481342</v>
      </c>
      <c r="V218" s="180">
        <f t="shared" si="59"/>
        <v>0</v>
      </c>
      <c r="X218" s="430"/>
      <c r="Y218" s="478">
        <v>2038</v>
      </c>
      <c r="Z218" s="479">
        <f t="shared" si="60"/>
        <v>25.208699814481342</v>
      </c>
      <c r="AA218" s="479">
        <f t="shared" si="60"/>
        <v>0</v>
      </c>
      <c r="AB218" s="430"/>
      <c r="AC218" s="479"/>
      <c r="AD218" s="479"/>
      <c r="AE218" s="430"/>
      <c r="AF218" s="479">
        <f t="shared" si="61"/>
        <v>25.208699814481342</v>
      </c>
      <c r="AG218" s="479">
        <f t="shared" si="54"/>
        <v>0</v>
      </c>
      <c r="AH218" s="516"/>
      <c r="AJ218" s="480">
        <f t="shared" si="55"/>
        <v>0</v>
      </c>
      <c r="AK218" s="480" t="str">
        <f t="shared" si="56"/>
        <v/>
      </c>
    </row>
    <row r="219" spans="1:37" ht="15.6" x14ac:dyDescent="0.3">
      <c r="A219" s="152">
        <v>2039</v>
      </c>
      <c r="B219" s="178"/>
      <c r="C219" s="182"/>
      <c r="D219" s="183"/>
      <c r="E219" s="179">
        <f t="shared" si="57"/>
        <v>14.930968814105114</v>
      </c>
      <c r="F219" s="183">
        <f t="shared" si="66"/>
        <v>1.2567809503249716</v>
      </c>
      <c r="G219" s="247">
        <f t="shared" si="58"/>
        <v>0.39269783240418382</v>
      </c>
      <c r="H219" s="246"/>
      <c r="I219" s="417"/>
      <c r="J219" s="417"/>
      <c r="K219" s="182"/>
      <c r="L219" s="178"/>
      <c r="M219" s="182"/>
      <c r="N219" s="178"/>
      <c r="O219" s="495"/>
      <c r="P219" s="259" t="str">
        <f>IF(P$194="Y",IFERROR(E219*($F$8/SUMIF($H$5:$H$16,"Y",$F$5:$F$16))*$F$21*'Emissions Factors'!$B36,""),"")</f>
        <v/>
      </c>
      <c r="Q219" s="259" t="str">
        <f>IF($X$135="Y",IFERROR($E219*(SUM($F$7,$F$5,$F$6)/SUMIF($H$5:$H$16,"Y",$F$5:$F$16))*('Emissions Factors'!$T$143*$F$22)/10^6,""),"")</f>
        <v/>
      </c>
      <c r="R219" s="259">
        <f t="shared" si="63"/>
        <v>19.693559081903693</v>
      </c>
      <c r="S219" s="259">
        <f t="shared" si="64"/>
        <v>7.8320471569232444</v>
      </c>
      <c r="T219" s="496"/>
      <c r="U219" s="180">
        <f t="shared" si="65"/>
        <v>27.525606238826938</v>
      </c>
      <c r="V219" s="180">
        <f t="shared" si="59"/>
        <v>0</v>
      </c>
      <c r="X219" s="430"/>
      <c r="Y219" s="478">
        <v>2039</v>
      </c>
      <c r="Z219" s="479">
        <f t="shared" si="60"/>
        <v>27.525606238826938</v>
      </c>
      <c r="AA219" s="479">
        <f t="shared" si="60"/>
        <v>0</v>
      </c>
      <c r="AB219" s="430"/>
      <c r="AC219" s="479"/>
      <c r="AD219" s="479"/>
      <c r="AE219" s="430"/>
      <c r="AF219" s="479">
        <f t="shared" si="61"/>
        <v>27.525606238826938</v>
      </c>
      <c r="AG219" s="479">
        <f t="shared" si="54"/>
        <v>0</v>
      </c>
      <c r="AH219" s="516"/>
      <c r="AJ219" s="480">
        <f t="shared" si="55"/>
        <v>0</v>
      </c>
      <c r="AK219" s="480" t="str">
        <f t="shared" si="56"/>
        <v/>
      </c>
    </row>
    <row r="220" spans="1:37" ht="15.6" x14ac:dyDescent="0.3">
      <c r="A220" s="152">
        <v>2040</v>
      </c>
      <c r="B220" s="178"/>
      <c r="C220" s="182"/>
      <c r="D220" s="183"/>
      <c r="E220" s="179">
        <f t="shared" si="57"/>
        <v>16.248371504408059</v>
      </c>
      <c r="F220" s="183">
        <f t="shared" si="66"/>
        <v>1.317402690302945</v>
      </c>
      <c r="G220" s="247">
        <f t="shared" si="58"/>
        <v>0.39330447693060849</v>
      </c>
      <c r="H220" s="246"/>
      <c r="I220" s="417"/>
      <c r="J220" s="417"/>
      <c r="K220" s="182"/>
      <c r="L220" s="178"/>
      <c r="M220" s="182"/>
      <c r="N220" s="178"/>
      <c r="O220" s="495"/>
      <c r="P220" s="259" t="str">
        <f>IF(P$194="Y",IFERROR(E220*($F$8/SUMIF($H$5:$H$16,"Y",$F$5:$F$16))*$F$21*'Emissions Factors'!$B37,""),"")</f>
        <v/>
      </c>
      <c r="Q220" s="259" t="str">
        <f>IF($X$135="Y",IFERROR($E220*(SUM($F$7,$F$5,$F$6)/SUMIF($H$5:$H$16,"Y",$F$5:$F$16))*('Emissions Factors'!$T$143*$F$22)/10^6,""),"")</f>
        <v/>
      </c>
      <c r="R220" s="259">
        <f t="shared" si="63"/>
        <v>21.431178926881909</v>
      </c>
      <c r="S220" s="259">
        <f t="shared" si="64"/>
        <v>8.5230913968230002</v>
      </c>
      <c r="T220" s="496"/>
      <c r="U220" s="180">
        <f t="shared" si="65"/>
        <v>29.954270323704911</v>
      </c>
      <c r="V220" s="180">
        <f t="shared" si="59"/>
        <v>0</v>
      </c>
      <c r="X220" s="430"/>
      <c r="Y220" s="478">
        <v>2040</v>
      </c>
      <c r="Z220" s="479">
        <f t="shared" si="60"/>
        <v>29.954270323704911</v>
      </c>
      <c r="AA220" s="479">
        <f t="shared" si="60"/>
        <v>0</v>
      </c>
      <c r="AB220" s="430"/>
      <c r="AC220" s="479"/>
      <c r="AD220" s="479"/>
      <c r="AE220" s="430"/>
      <c r="AF220" s="479">
        <f t="shared" si="61"/>
        <v>29.954270323704911</v>
      </c>
      <c r="AG220" s="479">
        <f t="shared" si="54"/>
        <v>0</v>
      </c>
      <c r="AH220" s="516"/>
      <c r="AJ220" s="480">
        <f t="shared" si="55"/>
        <v>0</v>
      </c>
      <c r="AK220" s="480" t="str">
        <f t="shared" si="56"/>
        <v/>
      </c>
    </row>
    <row r="221" spans="1:37" ht="15.6" x14ac:dyDescent="0.3">
      <c r="A221" s="152">
        <v>2041</v>
      </c>
      <c r="B221" s="178"/>
      <c r="C221" s="182"/>
      <c r="D221" s="183"/>
      <c r="E221" s="179">
        <f t="shared" si="57"/>
        <v>17.629586927260821</v>
      </c>
      <c r="F221" s="183">
        <f t="shared" si="66"/>
        <v>1.3812154228527618</v>
      </c>
      <c r="G221" s="247">
        <f t="shared" si="58"/>
        <v>0.39386161003597187</v>
      </c>
      <c r="H221" s="246"/>
      <c r="I221" s="417"/>
      <c r="J221" s="417"/>
      <c r="K221" s="182"/>
      <c r="L221" s="178"/>
      <c r="M221" s="182"/>
      <c r="N221" s="178"/>
      <c r="O221" s="495"/>
      <c r="P221" s="259" t="str">
        <f>IF(P$194="Y",IFERROR(E221*($F$8/SUMIF($H$5:$H$16,"Y",$F$5:$F$16))*$F$21*'Emissions Factors'!$B38,""),"")</f>
        <v/>
      </c>
      <c r="Q221" s="259" t="str">
        <f>IF($X$135="Y",IFERROR($E221*(SUM($F$7,$F$5,$F$6)/SUMIF($H$5:$H$16,"Y",$F$5:$F$16))*('Emissions Factors'!$T$143*$F$22)/10^6,""),"")</f>
        <v/>
      </c>
      <c r="R221" s="259">
        <f t="shared" si="63"/>
        <v>23.252966104488962</v>
      </c>
      <c r="S221" s="259">
        <f t="shared" si="64"/>
        <v>9.2476086374881259</v>
      </c>
      <c r="T221" s="496"/>
      <c r="U221" s="180">
        <f t="shared" si="65"/>
        <v>32.50057474197709</v>
      </c>
      <c r="V221" s="180">
        <f t="shared" si="59"/>
        <v>0</v>
      </c>
      <c r="X221" s="430"/>
      <c r="Y221" s="478">
        <v>2041</v>
      </c>
      <c r="Z221" s="479">
        <f t="shared" si="60"/>
        <v>32.50057474197709</v>
      </c>
      <c r="AA221" s="479">
        <f t="shared" si="60"/>
        <v>0</v>
      </c>
      <c r="AB221" s="430"/>
      <c r="AC221" s="479"/>
      <c r="AD221" s="479"/>
      <c r="AE221" s="430"/>
      <c r="AF221" s="479">
        <f t="shared" si="61"/>
        <v>32.50057474197709</v>
      </c>
      <c r="AG221" s="479">
        <f t="shared" si="54"/>
        <v>0</v>
      </c>
      <c r="AH221" s="516"/>
      <c r="AJ221" s="480">
        <f t="shared" si="55"/>
        <v>0</v>
      </c>
      <c r="AK221" s="480" t="str">
        <f t="shared" si="56"/>
        <v/>
      </c>
    </row>
    <row r="222" spans="1:37" ht="15.6" x14ac:dyDescent="0.3">
      <c r="A222" s="152">
        <v>2042</v>
      </c>
      <c r="B222" s="178"/>
      <c r="C222" s="182"/>
      <c r="D222" s="183"/>
      <c r="E222" s="179">
        <f t="shared" si="57"/>
        <v>19.076262515631033</v>
      </c>
      <c r="F222" s="183">
        <f t="shared" si="66"/>
        <v>1.446675588370212</v>
      </c>
      <c r="G222" s="247">
        <f t="shared" si="58"/>
        <v>0.39436378938092287</v>
      </c>
      <c r="H222" s="246"/>
      <c r="I222" s="417"/>
      <c r="J222" s="417"/>
      <c r="K222" s="182"/>
      <c r="L222" s="178"/>
      <c r="M222" s="182"/>
      <c r="N222" s="178"/>
      <c r="O222" s="495"/>
      <c r="P222" s="259" t="str">
        <f>IF(P$194="Y",IFERROR(E222*($F$8/SUMIF($H$5:$H$16,"Y",$F$5:$F$16))*$F$21*'Emissions Factors'!$B39,""),"")</f>
        <v/>
      </c>
      <c r="Q222" s="259" t="str">
        <f>IF($X$135="Y",IFERROR($E222*(SUM($F$7,$F$5,$F$6)/SUMIF($H$5:$H$16,"Y",$F$5:$F$16))*('Emissions Factors'!$T$143*$F$22)/10^6,""),"")</f>
        <v/>
      </c>
      <c r="R222" s="259">
        <f t="shared" si="63"/>
        <v>25.161093535912045</v>
      </c>
      <c r="S222" s="259">
        <f t="shared" si="64"/>
        <v>10.006463040705517</v>
      </c>
      <c r="T222" s="496"/>
      <c r="U222" s="180">
        <f t="shared" si="65"/>
        <v>35.167556576617564</v>
      </c>
      <c r="V222" s="180">
        <f t="shared" si="59"/>
        <v>0</v>
      </c>
      <c r="X222" s="430"/>
      <c r="Y222" s="478">
        <v>2042</v>
      </c>
      <c r="Z222" s="479">
        <f t="shared" si="60"/>
        <v>35.167556576617564</v>
      </c>
      <c r="AA222" s="479">
        <f t="shared" si="60"/>
        <v>0</v>
      </c>
      <c r="AB222" s="430"/>
      <c r="AC222" s="479"/>
      <c r="AD222" s="479"/>
      <c r="AE222" s="430"/>
      <c r="AF222" s="479">
        <f t="shared" si="61"/>
        <v>35.167556576617564</v>
      </c>
      <c r="AG222" s="479">
        <f t="shared" si="54"/>
        <v>0</v>
      </c>
      <c r="AH222" s="516"/>
      <c r="AJ222" s="480">
        <f t="shared" si="55"/>
        <v>0</v>
      </c>
      <c r="AK222" s="480" t="str">
        <f t="shared" si="56"/>
        <v/>
      </c>
    </row>
    <row r="223" spans="1:37" ht="15.6" x14ac:dyDescent="0.3">
      <c r="A223" s="152">
        <v>2043</v>
      </c>
      <c r="B223" s="178"/>
      <c r="C223" s="182"/>
      <c r="D223" s="183"/>
      <c r="E223" s="179">
        <f t="shared" si="57"/>
        <v>20.594392367741705</v>
      </c>
      <c r="F223" s="183">
        <f t="shared" si="66"/>
        <v>1.5181298521106719</v>
      </c>
      <c r="G223" s="247">
        <f t="shared" si="58"/>
        <v>0.39480194175872874</v>
      </c>
      <c r="H223" s="246"/>
      <c r="I223" s="417"/>
      <c r="J223" s="417"/>
      <c r="K223" s="182"/>
      <c r="L223" s="178"/>
      <c r="M223" s="182"/>
      <c r="N223" s="178"/>
      <c r="O223" s="495"/>
      <c r="P223" s="259" t="str">
        <f>IF(P$194="Y",IFERROR(E223*($F$8/SUMIF($H$5:$H$16,"Y",$F$5:$F$16))*$F$21*'Emissions Factors'!$B40,""),"")</f>
        <v/>
      </c>
      <c r="Q223" s="259" t="str">
        <f>IF($X$135="Y",IFERROR($E223*(SUM($F$7,$F$5,$F$6)/SUMIF($H$5:$H$16,"Y",$F$5:$F$16))*('Emissions Factors'!$T$143*$F$22)/10^6,""),"")</f>
        <v/>
      </c>
      <c r="R223" s="259">
        <f t="shared" si="63"/>
        <v>27.163467280628431</v>
      </c>
      <c r="S223" s="259">
        <f t="shared" si="64"/>
        <v>10.802798813695096</v>
      </c>
      <c r="T223" s="496"/>
      <c r="U223" s="180">
        <f t="shared" si="65"/>
        <v>37.96626609432353</v>
      </c>
      <c r="V223" s="180">
        <f t="shared" si="59"/>
        <v>0</v>
      </c>
      <c r="X223" s="430"/>
      <c r="Y223" s="478">
        <v>2043</v>
      </c>
      <c r="Z223" s="479">
        <f t="shared" si="60"/>
        <v>37.96626609432353</v>
      </c>
      <c r="AA223" s="479">
        <f t="shared" si="60"/>
        <v>0</v>
      </c>
      <c r="AB223" s="430"/>
      <c r="AC223" s="479"/>
      <c r="AD223" s="479"/>
      <c r="AE223" s="430"/>
      <c r="AF223" s="479">
        <f t="shared" si="61"/>
        <v>37.96626609432353</v>
      </c>
      <c r="AG223" s="479">
        <f t="shared" si="54"/>
        <v>0</v>
      </c>
      <c r="AH223" s="516"/>
      <c r="AJ223" s="480">
        <f t="shared" si="55"/>
        <v>0</v>
      </c>
      <c r="AK223" s="480" t="str">
        <f t="shared" si="56"/>
        <v/>
      </c>
    </row>
    <row r="224" spans="1:37" ht="15.6" x14ac:dyDescent="0.3">
      <c r="A224" s="152">
        <v>2044</v>
      </c>
      <c r="B224" s="178"/>
      <c r="C224" s="182"/>
      <c r="D224" s="183"/>
      <c r="E224" s="179">
        <f t="shared" si="57"/>
        <v>22.190873677537986</v>
      </c>
      <c r="F224" s="183">
        <f t="shared" si="66"/>
        <v>1.5964813097962818</v>
      </c>
      <c r="G224" s="247">
        <f t="shared" si="58"/>
        <v>0.39516746486288706</v>
      </c>
      <c r="H224" s="246"/>
      <c r="I224" s="417"/>
      <c r="J224" s="417"/>
      <c r="K224" s="182"/>
      <c r="L224" s="178"/>
      <c r="M224" s="182"/>
      <c r="N224" s="178"/>
      <c r="O224" s="495"/>
      <c r="P224" s="259" t="str">
        <f>IF(P$194="Y",IFERROR(E224*($F$8/SUMIF($H$5:$H$16,"Y",$F$5:$F$16))*$F$21*'Emissions Factors'!$B41,""),"")</f>
        <v/>
      </c>
      <c r="Q224" s="259" t="str">
        <f>IF($X$135="Y",IFERROR($E224*(SUM($F$7,$F$5,$F$6)/SUMIF($H$5:$H$16,"Y",$F$5:$F$16))*('Emissions Factors'!$T$143*$F$22)/10^6,""),"")</f>
        <v/>
      </c>
      <c r="R224" s="259">
        <f t="shared" si="63"/>
        <v>29.269184557857397</v>
      </c>
      <c r="S224" s="259">
        <f t="shared" si="64"/>
        <v>11.64023388298939</v>
      </c>
      <c r="T224" s="496"/>
      <c r="U224" s="180">
        <f t="shared" si="65"/>
        <v>40.909418440846785</v>
      </c>
      <c r="V224" s="180">
        <f t="shared" si="59"/>
        <v>0</v>
      </c>
      <c r="X224" s="430"/>
      <c r="Y224" s="478">
        <v>2044</v>
      </c>
      <c r="Z224" s="479">
        <f t="shared" si="60"/>
        <v>40.909418440846785</v>
      </c>
      <c r="AA224" s="479">
        <f t="shared" si="60"/>
        <v>0</v>
      </c>
      <c r="AB224" s="430"/>
      <c r="AC224" s="479"/>
      <c r="AD224" s="479"/>
      <c r="AE224" s="430"/>
      <c r="AF224" s="479">
        <f t="shared" si="61"/>
        <v>40.909418440846785</v>
      </c>
      <c r="AG224" s="479">
        <f t="shared" si="54"/>
        <v>0</v>
      </c>
      <c r="AH224" s="516"/>
      <c r="AJ224" s="480">
        <f t="shared" si="55"/>
        <v>0</v>
      </c>
      <c r="AK224" s="480" t="str">
        <f t="shared" si="56"/>
        <v/>
      </c>
    </row>
    <row r="225" spans="1:37" ht="15.6" x14ac:dyDescent="0.3">
      <c r="A225" s="152">
        <v>2045</v>
      </c>
      <c r="B225" s="178"/>
      <c r="C225" s="182"/>
      <c r="D225" s="183"/>
      <c r="E225" s="179">
        <f t="shared" si="57"/>
        <v>23.872425005778421</v>
      </c>
      <c r="F225" s="183">
        <f t="shared" si="66"/>
        <v>1.6815513282404346</v>
      </c>
      <c r="G225" s="247">
        <f t="shared" si="58"/>
        <v>0.39545699591173822</v>
      </c>
      <c r="H225" s="246"/>
      <c r="I225" s="417"/>
      <c r="J225" s="417"/>
      <c r="K225" s="182"/>
      <c r="L225" s="178"/>
      <c r="M225" s="182"/>
      <c r="N225" s="178"/>
      <c r="O225" s="495"/>
      <c r="P225" s="259" t="str">
        <f>IF(P$194="Y",IFERROR(E225*($F$8/SUMIF($H$5:$H$16,"Y",$F$5:$F$16))*$F$21*'Emissions Factors'!$B42,""),"")</f>
        <v/>
      </c>
      <c r="Q225" s="259" t="str">
        <f>IF($X$135="Y",IFERROR($E225*(SUM($F$7,$F$5,$F$6)/SUMIF($H$5:$H$16,"Y",$F$5:$F$16))*('Emissions Factors'!$T$143*$F$22)/10^6,""),"")</f>
        <v/>
      </c>
      <c r="R225" s="259">
        <f t="shared" si="63"/>
        <v>31.487106974296484</v>
      </c>
      <c r="S225" s="259">
        <f t="shared" si="64"/>
        <v>12.522292472993573</v>
      </c>
      <c r="T225" s="496"/>
      <c r="U225" s="180">
        <f t="shared" si="65"/>
        <v>44.009399447290058</v>
      </c>
      <c r="V225" s="180">
        <f t="shared" si="59"/>
        <v>0</v>
      </c>
      <c r="X225" s="430"/>
      <c r="Y225" s="478">
        <v>2045</v>
      </c>
      <c r="Z225" s="479">
        <f t="shared" si="60"/>
        <v>44.009399447290058</v>
      </c>
      <c r="AA225" s="479">
        <f t="shared" si="60"/>
        <v>0</v>
      </c>
      <c r="AB225" s="430"/>
      <c r="AC225" s="479"/>
      <c r="AD225" s="479"/>
      <c r="AE225" s="430"/>
      <c r="AF225" s="479">
        <f t="shared" si="61"/>
        <v>44.009399447290058</v>
      </c>
      <c r="AG225" s="479">
        <f t="shared" si="54"/>
        <v>0</v>
      </c>
      <c r="AH225" s="516"/>
      <c r="AJ225" s="480">
        <f t="shared" si="55"/>
        <v>0</v>
      </c>
      <c r="AK225" s="480" t="str">
        <f t="shared" si="56"/>
        <v/>
      </c>
    </row>
    <row r="226" spans="1:37" ht="15.6" x14ac:dyDescent="0.3">
      <c r="A226" s="152">
        <v>2046</v>
      </c>
      <c r="B226" s="178"/>
      <c r="C226" s="182"/>
      <c r="D226" s="183"/>
      <c r="E226" s="179">
        <f t="shared" si="57"/>
        <v>25.644445619606632</v>
      </c>
      <c r="F226" s="183">
        <f t="shared" si="66"/>
        <v>1.7720206138282109</v>
      </c>
      <c r="G226" s="247">
        <f t="shared" si="58"/>
        <v>0.39567651320728625</v>
      </c>
      <c r="H226" s="246"/>
      <c r="I226" s="417"/>
      <c r="J226" s="417"/>
      <c r="K226" s="182"/>
      <c r="L226" s="178"/>
      <c r="M226" s="182"/>
      <c r="N226" s="178"/>
      <c r="O226" s="495"/>
      <c r="P226" s="259" t="str">
        <f>IF(P$194="Y",IFERROR(E226*($F$8/SUMIF($H$5:$H$16,"Y",$F$5:$F$16))*$F$21*'Emissions Factors'!$B43,""),"")</f>
        <v/>
      </c>
      <c r="Q226" s="259" t="str">
        <f>IF($X$135="Y",IFERROR($E226*(SUM($F$7,$F$5,$F$6)/SUMIF($H$5:$H$16,"Y",$F$5:$F$16))*('Emissions Factors'!$T$143*$F$22)/10^6,""),"")</f>
        <v/>
      </c>
      <c r="R226" s="259">
        <f t="shared" si="63"/>
        <v>33.824356022717907</v>
      </c>
      <c r="S226" s="259">
        <f t="shared" si="64"/>
        <v>13.451806771987467</v>
      </c>
      <c r="T226" s="496"/>
      <c r="U226" s="180">
        <f t="shared" si="65"/>
        <v>47.276162794705371</v>
      </c>
      <c r="V226" s="180">
        <f t="shared" si="59"/>
        <v>0</v>
      </c>
      <c r="X226" s="430"/>
      <c r="Y226" s="478">
        <v>2046</v>
      </c>
      <c r="Z226" s="479">
        <f t="shared" si="60"/>
        <v>47.276162794705371</v>
      </c>
      <c r="AA226" s="479">
        <f t="shared" si="60"/>
        <v>0</v>
      </c>
      <c r="AB226" s="430"/>
      <c r="AC226" s="479"/>
      <c r="AD226" s="479"/>
      <c r="AE226" s="430"/>
      <c r="AF226" s="479">
        <f t="shared" si="61"/>
        <v>47.276162794705371</v>
      </c>
      <c r="AG226" s="479">
        <f t="shared" si="54"/>
        <v>0</v>
      </c>
      <c r="AH226" s="516"/>
      <c r="AJ226" s="480">
        <f t="shared" si="55"/>
        <v>0</v>
      </c>
      <c r="AK226" s="480" t="str">
        <f t="shared" si="56"/>
        <v/>
      </c>
    </row>
    <row r="227" spans="1:37" ht="15.6" x14ac:dyDescent="0.3">
      <c r="A227" s="152">
        <v>2047</v>
      </c>
      <c r="B227" s="178"/>
      <c r="C227" s="182"/>
      <c r="D227" s="183"/>
      <c r="E227" s="179">
        <f t="shared" si="57"/>
        <v>27.511976127854943</v>
      </c>
      <c r="F227" s="183">
        <f t="shared" si="66"/>
        <v>1.8675305082483113</v>
      </c>
      <c r="G227" s="247">
        <f t="shared" si="58"/>
        <v>0.39583058578201619</v>
      </c>
      <c r="H227" s="246"/>
      <c r="I227" s="417"/>
      <c r="J227" s="417"/>
      <c r="K227" s="182"/>
      <c r="L227" s="178"/>
      <c r="M227" s="182"/>
      <c r="N227" s="178"/>
      <c r="O227" s="495"/>
      <c r="P227" s="259" t="str">
        <f>IF(P$194="Y",IFERROR(E227*($F$8/SUMIF($H$5:$H$16,"Y",$F$5:$F$16))*$F$21*'Emissions Factors'!$B44,""),"")</f>
        <v/>
      </c>
      <c r="Q227" s="259" t="str">
        <f>IF($X$135="Y",IFERROR($E227*(SUM($F$7,$F$5,$F$6)/SUMIF($H$5:$H$16,"Y",$F$5:$F$16))*('Emissions Factors'!$T$143*$F$22)/10^6,""),"")</f>
        <v/>
      </c>
      <c r="R227" s="259">
        <f t="shared" si="63"/>
        <v>36.287580134920304</v>
      </c>
      <c r="S227" s="259">
        <f t="shared" si="64"/>
        <v>14.431420833854373</v>
      </c>
      <c r="T227" s="496"/>
      <c r="U227" s="180">
        <f t="shared" si="65"/>
        <v>50.719000968774679</v>
      </c>
      <c r="V227" s="180">
        <f t="shared" si="59"/>
        <v>0</v>
      </c>
      <c r="X227" s="430"/>
      <c r="Y227" s="478">
        <v>2047</v>
      </c>
      <c r="Z227" s="479">
        <f t="shared" si="60"/>
        <v>50.719000968774679</v>
      </c>
      <c r="AA227" s="479">
        <f t="shared" si="60"/>
        <v>0</v>
      </c>
      <c r="AB227" s="430"/>
      <c r="AC227" s="479"/>
      <c r="AD227" s="479"/>
      <c r="AE227" s="430"/>
      <c r="AF227" s="479">
        <f t="shared" si="61"/>
        <v>50.719000968774679</v>
      </c>
      <c r="AG227" s="479">
        <f t="shared" si="54"/>
        <v>0</v>
      </c>
      <c r="AH227" s="516"/>
      <c r="AJ227" s="480">
        <f t="shared" si="55"/>
        <v>0</v>
      </c>
      <c r="AK227" s="480" t="str">
        <f t="shared" si="56"/>
        <v/>
      </c>
    </row>
    <row r="228" spans="1:37" ht="15.6" x14ac:dyDescent="0.3">
      <c r="A228" s="152">
        <v>2048</v>
      </c>
      <c r="B228" s="178"/>
      <c r="C228" s="182"/>
      <c r="D228" s="183"/>
      <c r="E228" s="179">
        <f t="shared" si="57"/>
        <v>29.48114883358296</v>
      </c>
      <c r="F228" s="183">
        <f t="shared" si="66"/>
        <v>1.9691727057280168</v>
      </c>
      <c r="G228" s="247">
        <f t="shared" si="58"/>
        <v>0.39591571917923818</v>
      </c>
      <c r="H228" s="246"/>
      <c r="I228" s="417"/>
      <c r="J228" s="417"/>
      <c r="K228" s="182"/>
      <c r="L228" s="178"/>
      <c r="M228" s="182"/>
      <c r="N228" s="178"/>
      <c r="O228" s="495"/>
      <c r="P228" s="259" t="str">
        <f>IF(P$194="Y",IFERROR(E228*($F$8/SUMIF($H$5:$H$16,"Y",$F$5:$F$16))*$F$21*'Emissions Factors'!$B45,""),"")</f>
        <v/>
      </c>
      <c r="Q228" s="259" t="str">
        <f>IF($X$135="Y",IFERROR($E228*(SUM($F$7,$F$5,$F$6)/SUMIF($H$5:$H$16,"Y",$F$5:$F$16))*('Emissions Factors'!$T$143*$F$22)/10^6,""),"")</f>
        <v/>
      </c>
      <c r="R228" s="259">
        <f t="shared" si="63"/>
        <v>38.884867658961738</v>
      </c>
      <c r="S228" s="259">
        <f t="shared" si="64"/>
        <v>15.464351361230358</v>
      </c>
      <c r="T228" s="496"/>
      <c r="U228" s="180">
        <f t="shared" si="65"/>
        <v>54.349219020192095</v>
      </c>
      <c r="V228" s="180">
        <f t="shared" si="59"/>
        <v>0</v>
      </c>
      <c r="X228" s="430"/>
      <c r="Y228" s="478">
        <v>2048</v>
      </c>
      <c r="Z228" s="479">
        <f t="shared" si="60"/>
        <v>54.349219020192095</v>
      </c>
      <c r="AA228" s="479">
        <f t="shared" si="60"/>
        <v>0</v>
      </c>
      <c r="AB228" s="430"/>
      <c r="AC228" s="479"/>
      <c r="AD228" s="479"/>
      <c r="AE228" s="430"/>
      <c r="AF228" s="479">
        <f t="shared" si="61"/>
        <v>54.349219020192095</v>
      </c>
      <c r="AG228" s="479">
        <f t="shared" si="54"/>
        <v>0</v>
      </c>
      <c r="AH228" s="516"/>
      <c r="AJ228" s="480">
        <f t="shared" si="55"/>
        <v>0</v>
      </c>
      <c r="AK228" s="480" t="str">
        <f t="shared" si="56"/>
        <v/>
      </c>
    </row>
    <row r="229" spans="1:37" ht="15.6" x14ac:dyDescent="0.3">
      <c r="A229" s="152">
        <v>2049</v>
      </c>
      <c r="B229" s="178"/>
      <c r="C229" s="182"/>
      <c r="D229" s="183"/>
      <c r="E229" s="179">
        <f t="shared" si="57"/>
        <v>31.558269979785393</v>
      </c>
      <c r="F229" s="183">
        <f t="shared" si="66"/>
        <v>2.0771211462024333</v>
      </c>
      <c r="G229" s="247">
        <f t="shared" si="58"/>
        <v>0.39592779111082699</v>
      </c>
      <c r="H229" s="246"/>
      <c r="I229" s="417"/>
      <c r="J229" s="417"/>
      <c r="K229" s="182"/>
      <c r="L229" s="178"/>
      <c r="M229" s="182"/>
      <c r="N229" s="178"/>
      <c r="O229" s="495"/>
      <c r="P229" s="259" t="str">
        <f>IF(P$194="Y",IFERROR(E229*($F$8/SUMIF($H$5:$H$16,"Y",$F$5:$F$16))*$F$21*'Emissions Factors'!$B46,""),"")</f>
        <v/>
      </c>
      <c r="Q229" s="259" t="str">
        <f>IF($X$135="Y",IFERROR($E229*(SUM($F$7,$F$5,$F$6)/SUMIF($H$5:$H$16,"Y",$F$5:$F$16))*('Emissions Factors'!$T$143*$F$22)/10^6,""),"")</f>
        <v/>
      </c>
      <c r="R229" s="259">
        <f t="shared" si="63"/>
        <v>41.624536365145474</v>
      </c>
      <c r="S229" s="259">
        <f t="shared" si="64"/>
        <v>16.553906297031418</v>
      </c>
      <c r="T229" s="496"/>
      <c r="U229" s="180">
        <f t="shared" si="65"/>
        <v>58.178442662176892</v>
      </c>
      <c r="V229" s="180">
        <f t="shared" si="59"/>
        <v>0</v>
      </c>
      <c r="X229" s="430"/>
      <c r="Y229" s="478">
        <v>2049</v>
      </c>
      <c r="Z229" s="479">
        <f t="shared" si="60"/>
        <v>58.178442662176892</v>
      </c>
      <c r="AA229" s="479">
        <f t="shared" si="60"/>
        <v>0</v>
      </c>
      <c r="AB229" s="430"/>
      <c r="AC229" s="479"/>
      <c r="AD229" s="479"/>
      <c r="AE229" s="430"/>
      <c r="AF229" s="479">
        <f t="shared" si="61"/>
        <v>58.178442662176892</v>
      </c>
      <c r="AG229" s="479">
        <f t="shared" si="54"/>
        <v>0</v>
      </c>
      <c r="AH229" s="516"/>
      <c r="AJ229" s="480">
        <f t="shared" si="55"/>
        <v>0</v>
      </c>
      <c r="AK229" s="480" t="str">
        <f t="shared" si="56"/>
        <v/>
      </c>
    </row>
    <row r="230" spans="1:37" ht="15.6" x14ac:dyDescent="0.3">
      <c r="A230" s="152">
        <v>2050</v>
      </c>
      <c r="B230" s="178"/>
      <c r="C230" s="182"/>
      <c r="D230" s="183"/>
      <c r="E230" s="179">
        <f t="shared" si="57"/>
        <v>33.749392976191317</v>
      </c>
      <c r="F230" s="183">
        <f t="shared" si="66"/>
        <v>2.1911229964059231</v>
      </c>
      <c r="G230" s="247">
        <f t="shared" si="58"/>
        <v>0.39586808294034753</v>
      </c>
      <c r="H230" s="246"/>
      <c r="I230" s="417"/>
      <c r="J230" s="417"/>
      <c r="K230" s="182"/>
      <c r="L230" s="178"/>
      <c r="M230" s="182"/>
      <c r="N230" s="178"/>
      <c r="O230" s="495"/>
      <c r="P230" s="259" t="str">
        <f>IF(P$194="Y",IFERROR(E230*($F$8/SUMIF($H$5:$H$16,"Y",$F$5:$F$16))*$F$21*'Emissions Factors'!$B47,""),"")</f>
        <v/>
      </c>
      <c r="Q230" s="259" t="str">
        <f>IF($X$135="Y",IFERROR($E230*(SUM($F$7,$F$5,$F$6)/SUMIF($H$5:$H$16,"Y",$F$5:$F$16))*('Emissions Factors'!$T$143*$F$22)/10^6,""),"")</f>
        <v/>
      </c>
      <c r="R230" s="259">
        <f t="shared" si="63"/>
        <v>44.51457054328089</v>
      </c>
      <c r="S230" s="259">
        <f t="shared" si="64"/>
        <v>17.703260960357643</v>
      </c>
      <c r="T230" s="496"/>
      <c r="U230" s="180">
        <f t="shared" si="65"/>
        <v>62.217831503638536</v>
      </c>
      <c r="V230" s="180">
        <f t="shared" si="59"/>
        <v>0</v>
      </c>
      <c r="X230" s="430"/>
      <c r="Y230" s="478">
        <v>2050</v>
      </c>
      <c r="Z230" s="479">
        <f t="shared" si="60"/>
        <v>62.217831503638536</v>
      </c>
      <c r="AA230" s="479">
        <f t="shared" si="60"/>
        <v>0</v>
      </c>
      <c r="AB230" s="430"/>
      <c r="AC230" s="479"/>
      <c r="AD230" s="479"/>
      <c r="AE230" s="430"/>
      <c r="AF230" s="479">
        <f t="shared" si="61"/>
        <v>62.217831503638536</v>
      </c>
      <c r="AG230" s="479">
        <f t="shared" si="54"/>
        <v>0</v>
      </c>
      <c r="AH230" s="516"/>
      <c r="AJ230" s="480">
        <f t="shared" si="55"/>
        <v>0</v>
      </c>
      <c r="AK230" s="480" t="str">
        <f t="shared" si="56"/>
        <v/>
      </c>
    </row>
    <row r="231" spans="1:37" ht="15.6" x14ac:dyDescent="0.3">
      <c r="A231" s="152">
        <v>2051</v>
      </c>
      <c r="B231" s="178"/>
      <c r="C231" s="182"/>
      <c r="D231" s="183"/>
      <c r="E231" s="179">
        <f t="shared" si="57"/>
        <v>36.060170714590022</v>
      </c>
      <c r="F231" s="183">
        <f t="shared" si="66"/>
        <v>2.3107777383987056</v>
      </c>
      <c r="G231" s="247">
        <f t="shared" si="58"/>
        <v>0.39574436849905514</v>
      </c>
      <c r="H231" s="246"/>
      <c r="I231" s="417"/>
      <c r="J231" s="417"/>
      <c r="K231" s="182"/>
      <c r="L231" s="178"/>
      <c r="M231" s="182"/>
      <c r="N231" s="178"/>
      <c r="O231" s="495"/>
      <c r="P231" s="259" t="str">
        <f>IF(P$194="Y",IFERROR(E231*($F$8/SUMIF($H$5:$H$16,"Y",$F$5:$F$16))*$F$21*'Emissions Factors'!$B48,""),"")</f>
        <v/>
      </c>
      <c r="Q231" s="259" t="str">
        <f>IF($X$135="Y",IFERROR($E231*(SUM($F$7,$F$5,$F$6)/SUMIF($H$5:$H$16,"Y",$F$5:$F$16))*('Emissions Factors'!$T$143*$F$22)/10^6,""),"")</f>
        <v/>
      </c>
      <c r="R231" s="259">
        <f t="shared" si="63"/>
        <v>47.562426210443789</v>
      </c>
      <c r="S231" s="259">
        <f t="shared" si="64"/>
        <v>18.915380578423552</v>
      </c>
      <c r="T231" s="496"/>
      <c r="U231" s="180">
        <f t="shared" si="65"/>
        <v>66.477806788867341</v>
      </c>
      <c r="V231" s="180">
        <f t="shared" si="59"/>
        <v>0</v>
      </c>
      <c r="Y231" s="478">
        <v>2051</v>
      </c>
      <c r="Z231" s="479">
        <f t="shared" si="60"/>
        <v>66.477806788867341</v>
      </c>
      <c r="AA231" s="479">
        <f t="shared" si="60"/>
        <v>0</v>
      </c>
      <c r="AB231" s="430"/>
      <c r="AC231" s="479"/>
      <c r="AD231" s="479"/>
      <c r="AE231" s="430"/>
      <c r="AF231" s="479">
        <f t="shared" si="61"/>
        <v>66.477806788867341</v>
      </c>
      <c r="AG231" s="479">
        <f t="shared" si="54"/>
        <v>0</v>
      </c>
      <c r="AH231" s="516"/>
      <c r="AJ231" s="480">
        <f t="shared" si="55"/>
        <v>0</v>
      </c>
      <c r="AK231" s="480" t="str">
        <f t="shared" si="56"/>
        <v/>
      </c>
    </row>
    <row r="232" spans="1:37" ht="15.6" x14ac:dyDescent="0.3">
      <c r="A232" s="152">
        <v>2052</v>
      </c>
      <c r="B232" s="178"/>
      <c r="C232" s="182"/>
      <c r="D232" s="183"/>
      <c r="E232" s="179">
        <f t="shared" si="57"/>
        <v>38.495746058302203</v>
      </c>
      <c r="F232" s="183">
        <f t="shared" si="66"/>
        <v>2.4355753437121805</v>
      </c>
      <c r="G232" s="247">
        <f t="shared" si="58"/>
        <v>0.39556911511742399</v>
      </c>
      <c r="H232" s="246"/>
      <c r="I232" s="417"/>
      <c r="J232" s="417"/>
      <c r="K232" s="182"/>
      <c r="L232" s="178"/>
      <c r="M232" s="182"/>
      <c r="N232" s="178"/>
      <c r="O232" s="495"/>
      <c r="P232" s="259" t="str">
        <f>IF(P$194="Y",IFERROR(E232*($F$8/SUMIF($H$5:$H$16,"Y",$F$5:$F$16))*$F$21*'Emissions Factors'!$B49,""),"")</f>
        <v/>
      </c>
      <c r="Q232" s="259" t="str">
        <f>IF($X$135="Y",IFERROR($E232*(SUM($F$7,$F$5,$F$6)/SUMIF($H$5:$H$16,"Y",$F$5:$F$16))*('Emissions Factors'!$T$143*$F$22)/10^6,""),"")</f>
        <v/>
      </c>
      <c r="R232" s="259">
        <f t="shared" si="63"/>
        <v>50.774886669440363</v>
      </c>
      <c r="S232" s="259">
        <f t="shared" si="64"/>
        <v>20.192962842755449</v>
      </c>
      <c r="T232" s="496"/>
      <c r="U232" s="180">
        <f t="shared" si="65"/>
        <v>70.967849512195812</v>
      </c>
      <c r="V232" s="180">
        <f t="shared" si="59"/>
        <v>0</v>
      </c>
      <c r="Y232" s="478">
        <v>2052</v>
      </c>
      <c r="Z232" s="479">
        <f t="shared" si="60"/>
        <v>70.967849512195812</v>
      </c>
      <c r="AA232" s="479">
        <f t="shared" si="60"/>
        <v>0</v>
      </c>
      <c r="AB232" s="430"/>
      <c r="AC232" s="479"/>
      <c r="AD232" s="479"/>
      <c r="AE232" s="430"/>
      <c r="AF232" s="479">
        <f t="shared" si="61"/>
        <v>70.967849512195812</v>
      </c>
      <c r="AG232" s="479">
        <f t="shared" si="54"/>
        <v>0</v>
      </c>
      <c r="AH232" s="516"/>
      <c r="AJ232" s="480">
        <f t="shared" si="55"/>
        <v>0</v>
      </c>
      <c r="AK232" s="480" t="str">
        <f t="shared" si="56"/>
        <v/>
      </c>
    </row>
    <row r="233" spans="1:37" ht="15.6" x14ac:dyDescent="0.3">
      <c r="A233" s="152">
        <v>2053</v>
      </c>
      <c r="B233" s="178"/>
      <c r="C233" s="182"/>
      <c r="D233" s="183"/>
      <c r="E233" s="179">
        <f t="shared" si="57"/>
        <v>41.06097852243564</v>
      </c>
      <c r="F233" s="183">
        <f t="shared" si="66"/>
        <v>2.5652324641334374</v>
      </c>
      <c r="G233" s="247">
        <f t="shared" si="58"/>
        <v>0.39535454001663028</v>
      </c>
      <c r="H233" s="246"/>
      <c r="I233" s="417"/>
      <c r="J233" s="417"/>
      <c r="K233" s="182"/>
      <c r="L233" s="178"/>
      <c r="M233" s="182"/>
      <c r="N233" s="178"/>
      <c r="O233" s="495"/>
      <c r="P233" s="259" t="str">
        <f>IF(P$194="Y",IFERROR(E233*($F$8/SUMIF($H$5:$H$16,"Y",$F$5:$F$16))*$F$21*'Emissions Factors'!$B50,""),"")</f>
        <v/>
      </c>
      <c r="Q233" s="259" t="str">
        <f>IF($X$135="Y",IFERROR($E233*(SUM($F$7,$F$5,$F$6)/SUMIF($H$5:$H$16,"Y",$F$5:$F$16))*('Emissions Factors'!$T$143*$F$22)/10^6,""),"")</f>
        <v/>
      </c>
      <c r="R233" s="259">
        <f t="shared" si="63"/>
        <v>54.158361494162051</v>
      </c>
      <c r="S233" s="259">
        <f t="shared" si="64"/>
        <v>21.538556814432877</v>
      </c>
      <c r="T233" s="496"/>
      <c r="U233" s="180">
        <f t="shared" si="65"/>
        <v>75.696918308594931</v>
      </c>
      <c r="V233" s="180">
        <f t="shared" si="59"/>
        <v>0</v>
      </c>
      <c r="Y233" s="478">
        <v>2053</v>
      </c>
      <c r="Z233" s="479">
        <f t="shared" si="60"/>
        <v>75.696918308594931</v>
      </c>
      <c r="AA233" s="479">
        <f t="shared" si="60"/>
        <v>0</v>
      </c>
      <c r="AB233" s="430"/>
      <c r="AC233" s="479"/>
      <c r="AD233" s="479"/>
      <c r="AE233" s="430"/>
      <c r="AF233" s="479">
        <f t="shared" si="61"/>
        <v>75.696918308594931</v>
      </c>
      <c r="AG233" s="479">
        <f t="shared" si="54"/>
        <v>0</v>
      </c>
      <c r="AH233" s="516"/>
      <c r="AJ233" s="480">
        <f t="shared" si="55"/>
        <v>0</v>
      </c>
      <c r="AK233" s="480" t="str">
        <f t="shared" si="56"/>
        <v/>
      </c>
    </row>
    <row r="234" spans="1:37" ht="15.6" x14ac:dyDescent="0.3">
      <c r="A234" s="152">
        <v>2054</v>
      </c>
      <c r="B234" s="178"/>
      <c r="C234" s="182"/>
      <c r="D234" s="183"/>
      <c r="E234" s="179">
        <f t="shared" si="57"/>
        <v>43.760284372800477</v>
      </c>
      <c r="F234" s="183">
        <f t="shared" si="66"/>
        <v>2.6993058503648371</v>
      </c>
      <c r="G234" s="247">
        <f t="shared" si="58"/>
        <v>0.39511342950593725</v>
      </c>
      <c r="H234" s="246"/>
      <c r="I234" s="417"/>
      <c r="J234" s="417"/>
      <c r="K234" s="182"/>
      <c r="L234" s="178"/>
      <c r="M234" s="182"/>
      <c r="N234" s="178"/>
      <c r="O234" s="495"/>
      <c r="P234" s="259" t="str">
        <f>IF(P$194="Y",IFERROR(E234*($F$8/SUMIF($H$5:$H$16,"Y",$F$5:$F$16))*$F$21*'Emissions Factors'!$B51,""),"")</f>
        <v/>
      </c>
      <c r="Q234" s="259" t="str">
        <f>IF($X$135="Y",IFERROR($E234*(SUM($F$7,$F$5,$F$6)/SUMIF($H$5:$H$16,"Y",$F$5:$F$16))*('Emissions Factors'!$T$143*$F$22)/10^6,""),"")</f>
        <v/>
      </c>
      <c r="R234" s="259">
        <f t="shared" si="63"/>
        <v>57.718675624218335</v>
      </c>
      <c r="S234" s="259">
        <f t="shared" si="64"/>
        <v>22.954479047894676</v>
      </c>
      <c r="T234" s="496"/>
      <c r="U234" s="180">
        <f t="shared" si="65"/>
        <v>80.673154672113014</v>
      </c>
      <c r="V234" s="180">
        <f t="shared" si="59"/>
        <v>0</v>
      </c>
      <c r="Y234" s="478">
        <v>2054</v>
      </c>
      <c r="Z234" s="479">
        <f t="shared" si="60"/>
        <v>80.673154672113014</v>
      </c>
      <c r="AA234" s="479">
        <f t="shared" si="60"/>
        <v>0</v>
      </c>
      <c r="AB234" s="430"/>
      <c r="AC234" s="479"/>
      <c r="AD234" s="479"/>
      <c r="AE234" s="430"/>
      <c r="AF234" s="479">
        <f t="shared" si="61"/>
        <v>80.673154672113014</v>
      </c>
      <c r="AG234" s="479">
        <f t="shared" si="54"/>
        <v>0</v>
      </c>
      <c r="AH234" s="516"/>
      <c r="AJ234" s="480">
        <f t="shared" si="55"/>
        <v>0</v>
      </c>
      <c r="AK234" s="480" t="str">
        <f t="shared" si="56"/>
        <v/>
      </c>
    </row>
    <row r="235" spans="1:37" ht="15.6" x14ac:dyDescent="0.3">
      <c r="A235" s="152">
        <v>2055</v>
      </c>
      <c r="B235" s="178"/>
      <c r="C235" s="182"/>
      <c r="D235" s="183"/>
      <c r="E235" s="179">
        <f t="shared" si="57"/>
        <v>46.597987219584965</v>
      </c>
      <c r="F235" s="183">
        <f t="shared" si="66"/>
        <v>2.837702846784488</v>
      </c>
      <c r="G235" s="247">
        <f t="shared" si="58"/>
        <v>0.39485657394391499</v>
      </c>
      <c r="H235" s="246"/>
      <c r="I235" s="417"/>
      <c r="J235" s="417"/>
      <c r="K235" s="182"/>
      <c r="L235" s="178"/>
      <c r="M235" s="182"/>
      <c r="N235" s="178"/>
      <c r="O235" s="495"/>
      <c r="P235" s="259" t="str">
        <f>IF(P$194="Y",IFERROR(E235*($F$8/SUMIF($H$5:$H$16,"Y",$F$5:$F$16))*$F$21*'Emissions Factors'!$B52,""),"")</f>
        <v/>
      </c>
      <c r="Q235" s="259" t="str">
        <f>IF($X$135="Y",IFERROR($E235*(SUM($F$7,$F$5,$F$6)/SUMIF($H$5:$H$16,"Y",$F$5:$F$16))*('Emissions Factors'!$T$143*$F$22)/10^6,""),"")</f>
        <v/>
      </c>
      <c r="R235" s="259">
        <f t="shared" si="63"/>
        <v>61.46153178886609</v>
      </c>
      <c r="S235" s="259">
        <f t="shared" si="64"/>
        <v>24.442997495026905</v>
      </c>
      <c r="T235" s="496"/>
      <c r="U235" s="180">
        <f t="shared" si="65"/>
        <v>85.904529283892998</v>
      </c>
      <c r="V235" s="180">
        <f t="shared" si="59"/>
        <v>0</v>
      </c>
      <c r="Y235" s="478">
        <v>2055</v>
      </c>
      <c r="Z235" s="479">
        <f t="shared" si="60"/>
        <v>85.904529283892998</v>
      </c>
      <c r="AA235" s="479">
        <f t="shared" si="60"/>
        <v>0</v>
      </c>
      <c r="AB235" s="430"/>
      <c r="AC235" s="479"/>
      <c r="AD235" s="479"/>
      <c r="AE235" s="430"/>
      <c r="AF235" s="479">
        <f t="shared" si="61"/>
        <v>85.904529283892998</v>
      </c>
      <c r="AG235" s="479">
        <f t="shared" si="54"/>
        <v>0</v>
      </c>
      <c r="AH235" s="516"/>
      <c r="AJ235" s="480">
        <f t="shared" si="55"/>
        <v>0</v>
      </c>
      <c r="AK235" s="480" t="str">
        <f t="shared" si="56"/>
        <v/>
      </c>
    </row>
    <row r="236" spans="1:37" ht="15.6" x14ac:dyDescent="0.3">
      <c r="A236" s="152">
        <v>2056</v>
      </c>
      <c r="B236" s="178"/>
      <c r="C236" s="182"/>
      <c r="D236" s="183"/>
      <c r="E236" s="179">
        <f t="shared" si="57"/>
        <v>49.579042768396675</v>
      </c>
      <c r="F236" s="183">
        <f t="shared" si="66"/>
        <v>2.9810555488117103</v>
      </c>
      <c r="G236" s="247">
        <f t="shared" si="58"/>
        <v>0.39458910277842246</v>
      </c>
      <c r="H236" s="246"/>
      <c r="I236" s="417"/>
      <c r="J236" s="417"/>
      <c r="K236" s="182"/>
      <c r="L236" s="178"/>
      <c r="M236" s="182"/>
      <c r="N236" s="178"/>
      <c r="O236" s="495"/>
      <c r="P236" s="259" t="str">
        <f>IF(P$194="Y",IFERROR(E236*($F$8/SUMIF($H$5:$H$16,"Y",$F$5:$F$16))*$F$21*'Emissions Factors'!$B53,""),"")</f>
        <v/>
      </c>
      <c r="Q236" s="259" t="str">
        <f>IF($X$135="Y",IFERROR($E236*(SUM($F$7,$F$5,$F$6)/SUMIF($H$5:$H$16,"Y",$F$5:$F$16))*('Emissions Factors'!$T$143*$F$22)/10^6,""),"")</f>
        <v/>
      </c>
      <c r="R236" s="259">
        <f t="shared" si="63"/>
        <v>65.393466434761265</v>
      </c>
      <c r="S236" s="259">
        <f t="shared" si="64"/>
        <v>26.00671167368386</v>
      </c>
      <c r="T236" s="496"/>
      <c r="U236" s="180">
        <f t="shared" si="65"/>
        <v>91.400178108445118</v>
      </c>
      <c r="V236" s="180">
        <f t="shared" si="59"/>
        <v>0</v>
      </c>
      <c r="Y236" s="478">
        <v>2056</v>
      </c>
      <c r="Z236" s="479">
        <f t="shared" si="60"/>
        <v>91.400178108445118</v>
      </c>
      <c r="AA236" s="479">
        <f t="shared" si="60"/>
        <v>0</v>
      </c>
      <c r="AB236" s="430"/>
      <c r="AC236" s="479"/>
      <c r="AD236" s="479"/>
      <c r="AE236" s="430"/>
      <c r="AF236" s="479">
        <f t="shared" si="61"/>
        <v>91.400178108445118</v>
      </c>
      <c r="AG236" s="479">
        <f t="shared" si="54"/>
        <v>0</v>
      </c>
      <c r="AH236" s="516"/>
      <c r="AJ236" s="480">
        <f t="shared" si="55"/>
        <v>0</v>
      </c>
      <c r="AK236" s="480" t="str">
        <f t="shared" si="56"/>
        <v/>
      </c>
    </row>
    <row r="237" spans="1:37" ht="15.6" x14ac:dyDescent="0.3">
      <c r="A237" s="152">
        <v>2057</v>
      </c>
      <c r="B237" s="178"/>
      <c r="C237" s="182"/>
      <c r="D237" s="183"/>
      <c r="E237" s="179">
        <f t="shared" si="57"/>
        <v>52.707935095441805</v>
      </c>
      <c r="F237" s="183">
        <f t="shared" si="66"/>
        <v>3.1288923270451292</v>
      </c>
      <c r="G237" s="247">
        <f t="shared" si="58"/>
        <v>0.39431734725950757</v>
      </c>
      <c r="H237" s="246"/>
      <c r="I237" s="417"/>
      <c r="J237" s="417"/>
      <c r="K237" s="182"/>
      <c r="L237" s="178"/>
      <c r="M237" s="182"/>
      <c r="N237" s="178"/>
      <c r="O237" s="495"/>
      <c r="P237" s="259" t="str">
        <f>IF(P$194="Y",IFERROR(E237*($F$8/SUMIF($H$5:$H$16,"Y",$F$5:$F$16))*$F$21*'Emissions Factors'!$B54,""),"")</f>
        <v/>
      </c>
      <c r="Q237" s="259" t="str">
        <f>IF($X$135="Y",IFERROR($E237*(SUM($F$7,$F$5,$F$6)/SUMIF($H$5:$H$16,"Y",$F$5:$F$16))*('Emissions Factors'!$T$143*$F$22)/10^6,""),"")</f>
        <v/>
      </c>
      <c r="R237" s="259">
        <f t="shared" si="63"/>
        <v>69.520393941660046</v>
      </c>
      <c r="S237" s="259">
        <f t="shared" si="64"/>
        <v>27.647973708281548</v>
      </c>
      <c r="T237" s="496"/>
      <c r="U237" s="180">
        <f t="shared" si="65"/>
        <v>97.168367649941587</v>
      </c>
      <c r="V237" s="180">
        <f t="shared" si="59"/>
        <v>0</v>
      </c>
      <c r="Y237" s="478">
        <v>2057</v>
      </c>
      <c r="Z237" s="479">
        <f t="shared" si="60"/>
        <v>97.168367649941587</v>
      </c>
      <c r="AA237" s="479">
        <f t="shared" si="60"/>
        <v>0</v>
      </c>
      <c r="AB237" s="430"/>
      <c r="AC237" s="479"/>
      <c r="AD237" s="479"/>
      <c r="AE237" s="430"/>
      <c r="AF237" s="479">
        <f t="shared" si="61"/>
        <v>97.168367649941587</v>
      </c>
      <c r="AG237" s="479">
        <f t="shared" si="54"/>
        <v>0</v>
      </c>
      <c r="AH237" s="516"/>
      <c r="AJ237" s="480">
        <f t="shared" si="55"/>
        <v>0</v>
      </c>
      <c r="AK237" s="480" t="str">
        <f t="shared" si="56"/>
        <v/>
      </c>
    </row>
    <row r="238" spans="1:37" ht="15.6" x14ac:dyDescent="0.3">
      <c r="A238" s="152">
        <v>2058</v>
      </c>
      <c r="B238" s="178"/>
      <c r="C238" s="182"/>
      <c r="D238" s="183"/>
      <c r="E238" s="179">
        <f t="shared" si="57"/>
        <v>55.98752564447777</v>
      </c>
      <c r="F238" s="183">
        <f t="shared" si="66"/>
        <v>3.2795905490359658</v>
      </c>
      <c r="G238" s="247">
        <f t="shared" si="58"/>
        <v>0.39405236227441165</v>
      </c>
      <c r="H238" s="246"/>
      <c r="I238" s="417"/>
      <c r="J238" s="417"/>
      <c r="K238" s="182"/>
      <c r="L238" s="178"/>
      <c r="M238" s="182"/>
      <c r="N238" s="178"/>
      <c r="O238" s="495"/>
      <c r="P238" s="259" t="str">
        <f>IF(P$194="Y",IFERROR(E238*($F$8/SUMIF($H$5:$H$16,"Y",$F$5:$F$16))*$F$21*'Emissions Factors'!$B55,""),"")</f>
        <v/>
      </c>
      <c r="Q238" s="259" t="str">
        <f>IF($X$135="Y",IFERROR($E238*(SUM($F$7,$F$5,$F$6)/SUMIF($H$5:$H$16,"Y",$F$5:$F$16))*('Emissions Factors'!$T$143*$F$22)/10^6,""),"")</f>
        <v/>
      </c>
      <c r="R238" s="259">
        <f t="shared" si="63"/>
        <v>73.846088479370039</v>
      </c>
      <c r="S238" s="259">
        <f t="shared" si="64"/>
        <v>29.368284570573636</v>
      </c>
      <c r="T238" s="496"/>
      <c r="U238" s="180">
        <f t="shared" si="65"/>
        <v>103.21437304994367</v>
      </c>
      <c r="V238" s="180">
        <f t="shared" si="59"/>
        <v>0</v>
      </c>
      <c r="Y238" s="478">
        <v>2058</v>
      </c>
      <c r="Z238" s="479">
        <f t="shared" si="60"/>
        <v>103.21437304994367</v>
      </c>
      <c r="AA238" s="479">
        <f t="shared" si="60"/>
        <v>0</v>
      </c>
      <c r="AB238" s="430"/>
      <c r="AC238" s="479"/>
      <c r="AD238" s="479"/>
      <c r="AE238" s="430"/>
      <c r="AF238" s="479">
        <f t="shared" si="61"/>
        <v>103.21437304994367</v>
      </c>
      <c r="AG238" s="479">
        <f t="shared" si="54"/>
        <v>0</v>
      </c>
      <c r="AH238" s="516"/>
      <c r="AJ238" s="480">
        <f t="shared" si="55"/>
        <v>0</v>
      </c>
      <c r="AK238" s="480" t="str">
        <f t="shared" si="56"/>
        <v/>
      </c>
    </row>
    <row r="239" spans="1:37" ht="15.6" x14ac:dyDescent="0.3">
      <c r="A239" s="152">
        <v>2059</v>
      </c>
      <c r="B239" s="178"/>
      <c r="C239" s="182"/>
      <c r="D239" s="183"/>
      <c r="E239" s="179">
        <f t="shared" si="57"/>
        <v>59.41983982404539</v>
      </c>
      <c r="F239" s="183">
        <f t="shared" si="66"/>
        <v>3.4323141795676193</v>
      </c>
      <c r="G239" s="247">
        <f t="shared" si="58"/>
        <v>0.393805224086199</v>
      </c>
      <c r="H239" s="246"/>
      <c r="I239" s="417"/>
      <c r="J239" s="417"/>
      <c r="K239" s="182"/>
      <c r="L239" s="178"/>
      <c r="M239" s="182"/>
      <c r="N239" s="178"/>
      <c r="O239" s="495"/>
      <c r="P239" s="259" t="str">
        <f>IF(P$194="Y",IFERROR(E239*($F$8/SUMIF($H$5:$H$16,"Y",$F$5:$F$16))*$F$21*'Emissions Factors'!$B56,""),"")</f>
        <v/>
      </c>
      <c r="Q239" s="259" t="str">
        <f>IF($X$135="Y",IFERROR($E239*(SUM($F$7,$F$5,$F$6)/SUMIF($H$5:$H$16,"Y",$F$5:$F$16))*('Emissions Factors'!$T$143*$F$22)/10^6,""),"")</f>
        <v/>
      </c>
      <c r="R239" s="259">
        <f t="shared" si="63"/>
        <v>78.373221509017455</v>
      </c>
      <c r="S239" s="259">
        <f t="shared" si="64"/>
        <v>31.168706689622919</v>
      </c>
      <c r="T239" s="496"/>
      <c r="U239" s="180">
        <f t="shared" si="65"/>
        <v>109.54192819864038</v>
      </c>
      <c r="V239" s="180">
        <f t="shared" si="59"/>
        <v>0</v>
      </c>
      <c r="Y239" s="478">
        <v>2059</v>
      </c>
      <c r="Z239" s="479">
        <f t="shared" si="60"/>
        <v>109.54192819864038</v>
      </c>
      <c r="AA239" s="479">
        <f t="shared" si="60"/>
        <v>0</v>
      </c>
      <c r="AB239" s="430"/>
      <c r="AC239" s="479"/>
      <c r="AD239" s="479"/>
      <c r="AE239" s="430"/>
      <c r="AF239" s="479">
        <f t="shared" si="61"/>
        <v>109.54192819864038</v>
      </c>
      <c r="AG239" s="479">
        <f t="shared" si="54"/>
        <v>0</v>
      </c>
      <c r="AH239" s="516"/>
      <c r="AJ239" s="480">
        <f t="shared" si="55"/>
        <v>0</v>
      </c>
      <c r="AK239" s="480" t="str">
        <f t="shared" si="56"/>
        <v/>
      </c>
    </row>
    <row r="240" spans="1:37" ht="15.6" x14ac:dyDescent="0.3">
      <c r="A240" s="152">
        <v>2060</v>
      </c>
      <c r="B240" s="178"/>
      <c r="C240" s="182"/>
      <c r="D240" s="183"/>
      <c r="E240" s="179">
        <f t="shared" si="57"/>
        <v>63.007111291559227</v>
      </c>
      <c r="F240" s="183">
        <f t="shared" si="66"/>
        <v>3.5872714675138369</v>
      </c>
      <c r="G240" s="247">
        <f t="shared" si="58"/>
        <v>0.39358295206162414</v>
      </c>
      <c r="H240" s="246"/>
      <c r="I240" s="417"/>
      <c r="J240" s="417"/>
      <c r="K240" s="182"/>
      <c r="L240" s="178"/>
      <c r="M240" s="182"/>
      <c r="N240" s="178"/>
      <c r="O240" s="495"/>
      <c r="P240" s="259" t="str">
        <f>IF(P$194="Y",IFERROR(E240*($F$8/SUMIF($H$5:$H$16,"Y",$F$5:$F$16))*$F$21*'Emissions Factors'!$B57,""),"")</f>
        <v/>
      </c>
      <c r="Q240" s="259" t="str">
        <f>IF($X$135="Y",IFERROR($E240*(SUM($F$7,$F$5,$F$6)/SUMIF($H$5:$H$16,"Y",$F$5:$F$16))*('Emissions Factors'!$T$143*$F$22)/10^6,""),"")</f>
        <v/>
      </c>
      <c r="R240" s="259">
        <f t="shared" si="63"/>
        <v>83.104739166570425</v>
      </c>
      <c r="S240" s="259">
        <f t="shared" si="64"/>
        <v>33.050411731543036</v>
      </c>
      <c r="T240" s="496"/>
      <c r="U240" s="180">
        <f t="shared" si="65"/>
        <v>116.15515089811346</v>
      </c>
      <c r="V240" s="180">
        <f t="shared" si="59"/>
        <v>0</v>
      </c>
      <c r="Y240" s="478">
        <v>2060</v>
      </c>
      <c r="Z240" s="479">
        <f t="shared" si="60"/>
        <v>116.15515089811346</v>
      </c>
      <c r="AA240" s="479">
        <f t="shared" si="60"/>
        <v>0</v>
      </c>
      <c r="AB240" s="430"/>
      <c r="AC240" s="479"/>
      <c r="AD240" s="479"/>
      <c r="AE240" s="430"/>
      <c r="AF240" s="479">
        <f t="shared" si="61"/>
        <v>116.15515089811346</v>
      </c>
      <c r="AG240" s="479">
        <f t="shared" si="54"/>
        <v>0</v>
      </c>
      <c r="AH240" s="516"/>
      <c r="AJ240" s="480">
        <f t="shared" si="55"/>
        <v>0</v>
      </c>
      <c r="AK240" s="480" t="str">
        <f t="shared" si="56"/>
        <v/>
      </c>
    </row>
    <row r="241" spans="1:10" x14ac:dyDescent="0.25">
      <c r="A241" s="13"/>
      <c r="B241" s="13"/>
      <c r="C241" s="13"/>
      <c r="D241" s="13"/>
      <c r="E241" s="13"/>
      <c r="F241" s="13"/>
      <c r="G241" s="13"/>
      <c r="H241" s="13"/>
      <c r="I241" s="13"/>
      <c r="J241" s="13"/>
    </row>
    <row r="244" spans="1:10" ht="13.95" customHeight="1" x14ac:dyDescent="0.25"/>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x14ac:dyDescent="0.25">
      <c r="L280" s="170"/>
      <c r="M280" s="170"/>
      <c r="S280" s="170"/>
    </row>
    <row r="281" spans="12:19" x14ac:dyDescent="0.25">
      <c r="L281" s="170"/>
      <c r="M281" s="170"/>
      <c r="S281" s="170"/>
    </row>
    <row r="282" spans="12:19" ht="13.8" thickBot="1" x14ac:dyDescent="0.3">
      <c r="L282" s="209"/>
      <c r="M282" s="209"/>
      <c r="S282" s="209"/>
    </row>
    <row r="293" spans="1:13" x14ac:dyDescent="0.25">
      <c r="A293" s="13"/>
      <c r="B293" s="13"/>
      <c r="C293" s="13"/>
      <c r="D293" s="13"/>
      <c r="E293" s="13"/>
      <c r="F293" s="13"/>
      <c r="G293" s="13"/>
      <c r="H293" s="13"/>
      <c r="I293" s="13"/>
      <c r="J293" s="13"/>
      <c r="K293" s="13"/>
    </row>
    <row r="302" spans="1:13" ht="13.8" thickBot="1" x14ac:dyDescent="0.3"/>
    <row r="303" spans="1:13" x14ac:dyDescent="0.25">
      <c r="L303" s="202"/>
      <c r="M303" s="202"/>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row>
    <row r="311" spans="12:29" x14ac:dyDescent="0.25">
      <c r="L311" s="170"/>
      <c r="M311" s="170"/>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x14ac:dyDescent="0.25">
      <c r="L331" s="170"/>
      <c r="M331" s="170"/>
      <c r="AC331" s="251"/>
    </row>
    <row r="332" spans="12:29" x14ac:dyDescent="0.25">
      <c r="L332" s="170"/>
      <c r="M332" s="170"/>
      <c r="AC332" s="251"/>
    </row>
    <row r="333" spans="12:29" ht="13.8" thickBot="1" x14ac:dyDescent="0.3">
      <c r="L333" s="209"/>
      <c r="M333" s="209"/>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row r="342" spans="29:29" x14ac:dyDescent="0.25">
      <c r="AC342" s="251"/>
    </row>
    <row r="343" spans="29:29" x14ac:dyDescent="0.25">
      <c r="AC343" s="251"/>
    </row>
  </sheetData>
  <mergeCells count="66">
    <mergeCell ref="AC191:AD191"/>
    <mergeCell ref="AF191:AG191"/>
    <mergeCell ref="AJ191:AK191"/>
    <mergeCell ref="K192:N192"/>
    <mergeCell ref="P192:S192"/>
    <mergeCell ref="U192:V192"/>
    <mergeCell ref="Z192:AA192"/>
    <mergeCell ref="AC192:AD192"/>
    <mergeCell ref="AF192:AG192"/>
    <mergeCell ref="AJ192:AK192"/>
    <mergeCell ref="Y191:AA191"/>
    <mergeCell ref="B191:D191"/>
    <mergeCell ref="E191:H191"/>
    <mergeCell ref="K191:N191"/>
    <mergeCell ref="P191:S191"/>
    <mergeCell ref="U191:V191"/>
    <mergeCell ref="AU133:AV133"/>
    <mergeCell ref="AX133:AY133"/>
    <mergeCell ref="BA133:BB133"/>
    <mergeCell ref="BE133:BF133"/>
    <mergeCell ref="B190:H190"/>
    <mergeCell ref="K190:V190"/>
    <mergeCell ref="Y190:AG190"/>
    <mergeCell ref="R133:U133"/>
    <mergeCell ref="W133:Z133"/>
    <mergeCell ref="AB133:AC133"/>
    <mergeCell ref="AE133:AH133"/>
    <mergeCell ref="AJ133:AM133"/>
    <mergeCell ref="AO133:AP133"/>
    <mergeCell ref="BE132:BF132"/>
    <mergeCell ref="AE131:AP131"/>
    <mergeCell ref="AT131:BB131"/>
    <mergeCell ref="B132:D132"/>
    <mergeCell ref="E132:H132"/>
    <mergeCell ref="J132:L132"/>
    <mergeCell ref="M132:P132"/>
    <mergeCell ref="R132:U132"/>
    <mergeCell ref="W132:Z132"/>
    <mergeCell ref="AB132:AC132"/>
    <mergeCell ref="AE132:AH132"/>
    <mergeCell ref="AJ132:AM132"/>
    <mergeCell ref="AO132:AP132"/>
    <mergeCell ref="AT132:AV132"/>
    <mergeCell ref="AX132:AY132"/>
    <mergeCell ref="BA132:BB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dataValidations count="1">
    <dataValidation type="list" allowBlank="1" showInputMessage="1" showErrorMessage="1" sqref="C27:G27 G19 G5:H16 AE135:AH135 AJ135:AM135 R135:U135 W135:Z135 K194:N194 P194:S194">
      <formula1>"Y,N"</formula1>
    </dataValidation>
  </dataValidations>
  <pageMargins left="0.7" right="0.7" top="0.75" bottom="0.75" header="0.3" footer="0.3"/>
  <pageSetup paperSize="0"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rgb="FF7030A0"/>
  </sheetPr>
  <dimension ref="A1:EX343"/>
  <sheetViews>
    <sheetView showGridLines="0" topLeftCell="T129" zoomScaleNormal="100" zoomScalePageLayoutView="80" workbookViewId="0">
      <selection activeCell="R131" sqref="R131:AC131"/>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8.796875"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9.199218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Water_cluster</v>
      </c>
      <c r="B1" s="156"/>
      <c r="C1" s="157" t="s">
        <v>539</v>
      </c>
      <c r="D1" s="157" t="s">
        <v>538</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SUM(OFFSET(AV136,J2-2015,0,J3-J2+1,1))/1000</f>
        <v>0</v>
      </c>
      <c r="O4" s="164">
        <f>SUM(AV136:AV181)/1000</f>
        <v>0</v>
      </c>
    </row>
    <row r="5" spans="1:154" ht="12.75" customHeight="1" x14ac:dyDescent="0.25">
      <c r="E5" s="498" t="s">
        <v>413</v>
      </c>
      <c r="F5" s="499">
        <v>0.85</v>
      </c>
      <c r="G5" s="167" t="s">
        <v>211</v>
      </c>
      <c r="H5" s="167" t="s">
        <v>213</v>
      </c>
      <c r="L5" s="617"/>
      <c r="M5" s="153" t="s">
        <v>375</v>
      </c>
      <c r="N5" s="164">
        <f ca="1">SUM(OFFSET(AU136,J2-2015,0,J3-J2+1,1))/1000</f>
        <v>0.23506653216851828</v>
      </c>
      <c r="O5" s="164">
        <f>SUM(AU136:AU181)/1000</f>
        <v>0.53039193656022732</v>
      </c>
    </row>
    <row r="6" spans="1:154" ht="13.8" x14ac:dyDescent="0.25">
      <c r="E6" s="498"/>
      <c r="F6" s="499"/>
      <c r="G6" s="167"/>
      <c r="H6" s="167"/>
    </row>
    <row r="7" spans="1:154" ht="13.8" x14ac:dyDescent="0.25">
      <c r="A7" s="35" t="s">
        <v>491</v>
      </c>
      <c r="E7" s="498"/>
      <c r="F7" s="499"/>
      <c r="G7" s="167"/>
      <c r="H7" s="167"/>
      <c r="I7" s="516"/>
      <c r="J7" s="516"/>
      <c r="K7" s="516"/>
      <c r="L7" s="618" t="s">
        <v>369</v>
      </c>
      <c r="M7" s="497" t="s">
        <v>377</v>
      </c>
      <c r="N7" s="164">
        <f ca="1">SUM(OFFSET(AA195,J2-2015,0,J3-J2+1,1))/1000</f>
        <v>0</v>
      </c>
      <c r="O7" s="164">
        <f>SUM(AA195:AA240)/1000</f>
        <v>0</v>
      </c>
      <c r="P7" s="165"/>
    </row>
    <row r="8" spans="1:154" ht="13.8" x14ac:dyDescent="0.25">
      <c r="A8" s="486" t="s">
        <v>368</v>
      </c>
      <c r="B8" s="487" t="s">
        <v>492</v>
      </c>
      <c r="C8" s="487"/>
      <c r="E8" s="498"/>
      <c r="F8" s="499"/>
      <c r="G8" s="167"/>
      <c r="H8" s="167"/>
      <c r="L8" s="618"/>
      <c r="M8" s="153" t="s">
        <v>375</v>
      </c>
      <c r="N8" s="164">
        <f ca="1">SUM(OFFSET(Z195,J2-2015,0,J3-J2+1,1))/1000</f>
        <v>0.3394070282381022</v>
      </c>
      <c r="O8" s="164">
        <f>SUM(Z195:Z240)/1000</f>
        <v>0.71439200623290366</v>
      </c>
    </row>
    <row r="9" spans="1:154" ht="13.8" x14ac:dyDescent="0.25">
      <c r="A9" s="488" t="s">
        <v>369</v>
      </c>
      <c r="B9" s="489" t="s">
        <v>455</v>
      </c>
      <c r="C9" s="489"/>
      <c r="E9" s="498"/>
      <c r="F9" s="499"/>
      <c r="G9" s="167"/>
      <c r="H9" s="167"/>
    </row>
    <row r="10" spans="1:154" ht="39.6" x14ac:dyDescent="0.25">
      <c r="A10" s="527" t="s">
        <v>592</v>
      </c>
      <c r="B10" s="490" t="s">
        <v>509</v>
      </c>
      <c r="C10" s="493" t="s">
        <v>512</v>
      </c>
      <c r="E10" s="498"/>
      <c r="F10" s="499"/>
      <c r="G10" s="167"/>
      <c r="H10" s="167"/>
    </row>
    <row r="11" spans="1:154" ht="39.6" x14ac:dyDescent="0.25">
      <c r="A11" s="527" t="s">
        <v>593</v>
      </c>
      <c r="B11" s="490" t="s">
        <v>507</v>
      </c>
      <c r="C11" s="493" t="s">
        <v>512</v>
      </c>
      <c r="E11" s="498"/>
      <c r="F11" s="499"/>
      <c r="G11" s="167"/>
      <c r="H11" s="167"/>
      <c r="L11" s="617" t="s">
        <v>522</v>
      </c>
      <c r="M11" s="497" t="s">
        <v>377</v>
      </c>
      <c r="N11" s="164">
        <f ca="1">N4+N7</f>
        <v>0</v>
      </c>
      <c r="O11" s="164">
        <f>O4+O7</f>
        <v>0</v>
      </c>
    </row>
    <row r="12" spans="1:154" ht="13.8" x14ac:dyDescent="0.25">
      <c r="A12" s="488" t="s">
        <v>493</v>
      </c>
      <c r="B12" s="489" t="s">
        <v>506</v>
      </c>
      <c r="C12" s="489"/>
      <c r="E12" s="498"/>
      <c r="F12" s="499"/>
      <c r="G12" s="167"/>
      <c r="H12" s="167"/>
      <c r="L12" s="617"/>
      <c r="M12" s="153" t="s">
        <v>375</v>
      </c>
      <c r="N12" s="164">
        <f ca="1">N5+N8</f>
        <v>0.57447356040662045</v>
      </c>
      <c r="O12" s="164">
        <f>O5+O8</f>
        <v>1.2447839427931311</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ht="27.6" x14ac:dyDescent="0.25">
      <c r="E21" s="500" t="s">
        <v>412</v>
      </c>
      <c r="F21" s="524">
        <v>1.2700000000000001E-3</v>
      </c>
    </row>
    <row r="22" spans="1:68" ht="13.8" x14ac:dyDescent="0.25">
      <c r="E22" s="500" t="s">
        <v>268</v>
      </c>
      <c r="F22" s="518"/>
    </row>
    <row r="23" spans="1:68" x14ac:dyDescent="0.25">
      <c r="D23" s="443"/>
      <c r="E23" s="443" t="s">
        <v>527</v>
      </c>
      <c r="F23" s="420"/>
    </row>
    <row r="24" spans="1:68" ht="13.8" thickBot="1" x14ac:dyDescent="0.3">
      <c r="E24" s="443" t="s">
        <v>528</v>
      </c>
      <c r="F24" s="519"/>
    </row>
    <row r="25" spans="1:68" ht="15" customHeight="1" thickBot="1" x14ac:dyDescent="0.3">
      <c r="A25" s="646" t="str">
        <f>CONCATENATE("Table 2: REF2, ",C1," TAM ",D1)</f>
        <v>Table 2: REF2, Water Demand TAM (Million m3)</v>
      </c>
      <c r="B25" s="647"/>
      <c r="C25" s="647"/>
      <c r="D25" s="647"/>
      <c r="E25" s="647"/>
      <c r="F25" s="699"/>
      <c r="G25" s="647"/>
      <c r="H25" s="647"/>
      <c r="I25" s="647"/>
      <c r="J25" s="647"/>
      <c r="K25" s="648"/>
      <c r="M25" s="638" t="str">
        <f>CONCATENATE("Table 3: REF1 ,",C1," TAM ",D1)</f>
        <v>Table 3: REF1 ,Water Demand TAM (Million m3)</v>
      </c>
      <c r="N25" s="639"/>
      <c r="O25" s="639"/>
      <c r="P25" s="639"/>
      <c r="Q25" s="639"/>
      <c r="R25" s="639"/>
      <c r="S25" s="639"/>
      <c r="T25" s="639"/>
      <c r="U25" s="639"/>
      <c r="V25" s="639"/>
      <c r="W25" s="640"/>
      <c r="Y25" s="627" t="str">
        <f>CONCATENATE("Table 3: REF1 ",$C$1," TAM ",$D$1)</f>
        <v>Table 3: REF1 Water Demand TAM (Million m3)</v>
      </c>
      <c r="Z25" s="627"/>
      <c r="AA25" s="627"/>
      <c r="AB25" s="627"/>
      <c r="AC25" s="627"/>
      <c r="AD25" s="627"/>
      <c r="AE25" s="627"/>
      <c r="AF25" s="627"/>
      <c r="AG25" s="627"/>
      <c r="AH25" s="627"/>
      <c r="AI25" s="627"/>
      <c r="AK25" s="628" t="str">
        <f>CONCATENATE("Table 3: REF1 ",$C$1," TAM ",$D$1)</f>
        <v>Table 3: REF1 Water Demand TAM (Million m3)</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Water_cluster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461" t="s">
        <v>515</v>
      </c>
      <c r="C27" s="460" t="s">
        <v>211</v>
      </c>
      <c r="D27" s="460" t="s">
        <v>211</v>
      </c>
      <c r="E27" s="460" t="s">
        <v>213</v>
      </c>
      <c r="F27" s="460" t="s">
        <v>213</v>
      </c>
      <c r="G27" s="460" t="s">
        <v>211</v>
      </c>
      <c r="H27" s="435"/>
      <c r="I27" s="435"/>
      <c r="J27" s="435"/>
      <c r="K27" s="435"/>
      <c r="M27" s="455"/>
      <c r="N27" s="461" t="str">
        <f>B27</f>
        <v>Regions included as LLDC+HighNRR:</v>
      </c>
      <c r="O27" s="462" t="str">
        <f>C27</f>
        <v>N</v>
      </c>
      <c r="P27" s="462" t="str">
        <f t="shared" ref="P27:S27" si="0">D27</f>
        <v>N</v>
      </c>
      <c r="Q27" s="462" t="str">
        <f t="shared" si="0"/>
        <v>Y</v>
      </c>
      <c r="R27" s="462" t="str">
        <f t="shared" si="0"/>
        <v>Y</v>
      </c>
      <c r="S27" s="462" t="str">
        <f t="shared" si="0"/>
        <v>N</v>
      </c>
      <c r="T27" s="435"/>
      <c r="U27" s="435"/>
      <c r="V27" s="435"/>
      <c r="W27" s="435"/>
      <c r="Y27" s="455"/>
      <c r="Z27" s="461" t="str">
        <f>B27</f>
        <v>Regions included as LLDC+HighNRR:</v>
      </c>
      <c r="AA27" s="462" t="str">
        <f>O27</f>
        <v>N</v>
      </c>
      <c r="AB27" s="462" t="str">
        <f t="shared" ref="AB27:AE27" si="1">P27</f>
        <v>N</v>
      </c>
      <c r="AC27" s="462" t="str">
        <f t="shared" si="1"/>
        <v>Y</v>
      </c>
      <c r="AD27" s="462" t="str">
        <f t="shared" si="1"/>
        <v>Y</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40.200000000000003" thickBot="1" x14ac:dyDescent="0.3">
      <c r="A28" s="213"/>
      <c r="B28" s="474" t="s">
        <v>4</v>
      </c>
      <c r="C28" s="475" t="s">
        <v>5</v>
      </c>
      <c r="D28" s="475" t="s">
        <v>6</v>
      </c>
      <c r="E28" s="475" t="s">
        <v>7</v>
      </c>
      <c r="F28" s="475" t="s">
        <v>8</v>
      </c>
      <c r="G28" s="475" t="s">
        <v>9</v>
      </c>
      <c r="H28" s="475" t="s">
        <v>10</v>
      </c>
      <c r="I28" s="475" t="s">
        <v>11</v>
      </c>
      <c r="J28" s="475" t="s">
        <v>12</v>
      </c>
      <c r="K28" s="476" t="s">
        <v>13</v>
      </c>
      <c r="M28" s="189"/>
      <c r="N28" s="190" t="s">
        <v>4</v>
      </c>
      <c r="O28" s="191" t="s">
        <v>5</v>
      </c>
      <c r="P28" s="191" t="s">
        <v>6</v>
      </c>
      <c r="Q28" s="191" t="s">
        <v>460</v>
      </c>
      <c r="R28" s="191" t="s">
        <v>8</v>
      </c>
      <c r="S28" s="191" t="s">
        <v>9</v>
      </c>
      <c r="T28" s="191" t="s">
        <v>10</v>
      </c>
      <c r="U28" s="191" t="s">
        <v>11</v>
      </c>
      <c r="V28" s="191" t="s">
        <v>12</v>
      </c>
      <c r="W28" s="192" t="s">
        <v>13</v>
      </c>
      <c r="Y28" s="456"/>
      <c r="Z28" s="457" t="s">
        <v>4</v>
      </c>
      <c r="AA28" s="458" t="s">
        <v>5</v>
      </c>
      <c r="AB28" s="458" t="s">
        <v>6</v>
      </c>
      <c r="AC28" s="458" t="s">
        <v>7</v>
      </c>
      <c r="AD28" s="458" t="s">
        <v>8</v>
      </c>
      <c r="AE28" s="458" t="s">
        <v>9</v>
      </c>
      <c r="AF28" s="458" t="s">
        <v>10</v>
      </c>
      <c r="AG28" s="458" t="s">
        <v>11</v>
      </c>
      <c r="AH28" s="458" t="s">
        <v>12</v>
      </c>
      <c r="AI28" s="458" t="s">
        <v>13</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438696.45012529875</v>
      </c>
      <c r="C29" s="229">
        <v>137774.08357504738</v>
      </c>
      <c r="D29" s="229">
        <v>40458.669774063565</v>
      </c>
      <c r="E29" s="229">
        <v>168421.14739281891</v>
      </c>
      <c r="F29" s="229">
        <v>37663.600616097028</v>
      </c>
      <c r="G29" s="229">
        <v>62060.414563864266</v>
      </c>
      <c r="H29" s="229">
        <v>46977.096435971587</v>
      </c>
      <c r="I29" s="229">
        <v>22776.645123314047</v>
      </c>
      <c r="J29" s="229">
        <v>67712.398313891827</v>
      </c>
      <c r="K29" s="229">
        <v>73092.900830136685</v>
      </c>
      <c r="M29" s="194">
        <v>2014</v>
      </c>
      <c r="N29" s="419">
        <f t="shared" ref="N29:N75" si="2">SUM(O29:S29)</f>
        <v>99677.030555911842</v>
      </c>
      <c r="O29" s="418">
        <f>(C29/Population_Tables!P3)*Population_Tables!D62</f>
        <v>0</v>
      </c>
      <c r="P29" s="418">
        <f>(D29/Population_Tables!Q3)*Population_Tables!E62</f>
        <v>0</v>
      </c>
      <c r="Q29" s="418">
        <f>((E29-H29)/Population_Tables!R3)*Population_Tables!F62</f>
        <v>61658.416421671252</v>
      </c>
      <c r="R29" s="418">
        <f>(F29/Population_Tables!S3)*Population_Tables!G62</f>
        <v>21554.186071546083</v>
      </c>
      <c r="S29" s="418">
        <f>(G29/Population_Tables!T3)*Population_Tables!H62</f>
        <v>16464.428062694511</v>
      </c>
      <c r="T29" s="418">
        <f>(H29/Population_Tables!U3)*Population_Tables!I62</f>
        <v>0</v>
      </c>
      <c r="U29" s="418">
        <f>(I29/Population_Tables!V3)*Population_Tables!J62</f>
        <v>0</v>
      </c>
      <c r="V29" s="418">
        <f>(J29/Population_Tables!W3)*Population_Tables!K62</f>
        <v>0</v>
      </c>
      <c r="W29" s="418">
        <f>(K29/Population_Tables!X3)*Population_Tables!L62</f>
        <v>0</v>
      </c>
      <c r="Y29" s="456">
        <v>2014</v>
      </c>
      <c r="Z29" s="459">
        <f>((B29/Population_Tables!O3)*Population_Tables!C3)-N29</f>
        <v>339018.67756985576</v>
      </c>
      <c r="AA29" s="459">
        <f>((C29/Population_Tables!P3)*Population_Tables!D3)-O29</f>
        <v>137774.08357504738</v>
      </c>
      <c r="AB29" s="459">
        <f>((D29/Population_Tables!Q3)*Population_Tables!E3)-P29</f>
        <v>40458.669774063565</v>
      </c>
      <c r="AC29" s="459">
        <f>((E29/Population_Tables!R3)*Population_Tables!F3)-Q29</f>
        <v>106762.20578533385</v>
      </c>
      <c r="AD29" s="459">
        <f>((F29/Population_Tables!S3)*Population_Tables!G3)-R29</f>
        <v>16109.414544550946</v>
      </c>
      <c r="AE29" s="459">
        <f>((G29/Population_Tables!T3)*Population_Tables!H3)-S29</f>
        <v>45595.986501169755</v>
      </c>
      <c r="AF29" s="459">
        <f>(H29/Population_Tables!U3)*Population_Tables!I3</f>
        <v>46977.096435971587</v>
      </c>
      <c r="AG29" s="459">
        <f>(I29/Population_Tables!V3)*Population_Tables!J3</f>
        <v>22776.645123314047</v>
      </c>
      <c r="AH29" s="459">
        <f>(J29/Population_Tables!W3)*Population_Tables!K3</f>
        <v>67712.398313891827</v>
      </c>
      <c r="AI29" s="459">
        <f>(K29/Population_Tables!X3)*Population_Tables!L3</f>
        <v>73092.900830136685</v>
      </c>
      <c r="AK29" s="456">
        <v>2014</v>
      </c>
      <c r="AL29" s="459">
        <f>Z29+N29</f>
        <v>438695.70812576759</v>
      </c>
      <c r="AM29" s="459">
        <f t="shared" ref="AM29:AU44" si="3">AA29+O29</f>
        <v>137774.08357504738</v>
      </c>
      <c r="AN29" s="459">
        <f t="shared" si="3"/>
        <v>40458.669774063565</v>
      </c>
      <c r="AO29" s="459">
        <f t="shared" si="3"/>
        <v>168420.6222070051</v>
      </c>
      <c r="AP29" s="459">
        <f t="shared" si="3"/>
        <v>37663.600616097028</v>
      </c>
      <c r="AQ29" s="459">
        <f t="shared" si="3"/>
        <v>62060.414563864266</v>
      </c>
      <c r="AR29" s="459">
        <f t="shared" si="3"/>
        <v>46977.096435971587</v>
      </c>
      <c r="AS29" s="459">
        <f t="shared" si="3"/>
        <v>22776.645123314047</v>
      </c>
      <c r="AT29" s="459">
        <f t="shared" si="3"/>
        <v>67712.398313891827</v>
      </c>
      <c r="AU29" s="459">
        <f t="shared" si="3"/>
        <v>73092.900830136685</v>
      </c>
      <c r="AW29" s="216">
        <f>(B29/Population_Tables!O3)*Population_Tables!C3</f>
        <v>438695.70812576759</v>
      </c>
      <c r="AX29" s="153" t="str">
        <f>IF(AW29-AL29=0,"OK")</f>
        <v>OK</v>
      </c>
      <c r="AY29" s="421">
        <f t="shared" ref="AY29:AY75" si="4">SUM(BB29:BF29)</f>
        <v>446377.39073607733</v>
      </c>
      <c r="AZ29" s="153" t="str">
        <f t="shared" ref="AZ29:AZ75" si="5">IF(AY29-(SUM(AM29:AQ29))=0,"OK")</f>
        <v>OK</v>
      </c>
      <c r="BB29" s="216">
        <f>(C29/Population_Tables!P3)*Population_Tables!D3</f>
        <v>137774.08357504738</v>
      </c>
      <c r="BC29" s="216">
        <f>(D29/Population_Tables!Q3)*Population_Tables!E3</f>
        <v>40458.669774063565</v>
      </c>
      <c r="BD29" s="216">
        <f>(E29/Population_Tables!R3)*Population_Tables!F3</f>
        <v>168420.6222070051</v>
      </c>
      <c r="BE29" s="216">
        <f>(F29/Population_Tables!S3)*Population_Tables!G3</f>
        <v>37663.600616097028</v>
      </c>
      <c r="BF29" s="216">
        <f>(G29/Population_Tables!T3)*Population_Tables!H3</f>
        <v>62060.414563864266</v>
      </c>
      <c r="BG29" s="216"/>
      <c r="BN29" s="216"/>
      <c r="BO29" s="216"/>
      <c r="BP29" s="216"/>
    </row>
    <row r="30" spans="1:68" ht="15.6" x14ac:dyDescent="0.3">
      <c r="A30" s="194">
        <v>2015</v>
      </c>
      <c r="B30" s="229">
        <v>449459.89536377345</v>
      </c>
      <c r="C30" s="229">
        <v>140001.89890512943</v>
      </c>
      <c r="D30" s="229">
        <v>41491.645606019258</v>
      </c>
      <c r="E30" s="229">
        <v>173450.74327764433</v>
      </c>
      <c r="F30" s="229">
        <v>38783.889227495783</v>
      </c>
      <c r="G30" s="229">
        <v>63482.802912237443</v>
      </c>
      <c r="H30" s="229">
        <v>50301.468509839244</v>
      </c>
      <c r="I30" s="229">
        <v>24025.852653188198</v>
      </c>
      <c r="J30" s="229">
        <v>68179.108034618519</v>
      </c>
      <c r="K30" s="229">
        <v>73714.670487818454</v>
      </c>
      <c r="M30" s="194">
        <v>2015</v>
      </c>
      <c r="N30" s="419">
        <f t="shared" si="2"/>
        <v>101867.5389748624</v>
      </c>
      <c r="O30" s="418">
        <f>(C30/Population_Tables!P4)*Population_Tables!D63</f>
        <v>0</v>
      </c>
      <c r="P30" s="418">
        <f>(D30/Population_Tables!Q4)*Population_Tables!E63</f>
        <v>0</v>
      </c>
      <c r="Q30" s="418">
        <f>((E30-H30)/Population_Tables!R4)*Population_Tables!F63</f>
        <v>62705.535565994534</v>
      </c>
      <c r="R30" s="418">
        <f>(F30/Population_Tables!S4)*Population_Tables!G63</f>
        <v>22272.247754051576</v>
      </c>
      <c r="S30" s="418">
        <f>(G30/Population_Tables!T4)*Population_Tables!H63</f>
        <v>16889.755654816276</v>
      </c>
      <c r="T30" s="418">
        <f>(H30/Population_Tables!U4)*Population_Tables!I63</f>
        <v>0</v>
      </c>
      <c r="U30" s="418">
        <f>(I30/Population_Tables!V4)*Population_Tables!J63</f>
        <v>0</v>
      </c>
      <c r="V30" s="418">
        <f>(J30/Population_Tables!W4)*Population_Tables!K63</f>
        <v>0</v>
      </c>
      <c r="W30" s="418">
        <f>(K30/Population_Tables!X4)*Population_Tables!L63</f>
        <v>0</v>
      </c>
      <c r="Y30" s="456">
        <v>2015</v>
      </c>
      <c r="Z30" s="459">
        <f>((B30/Population_Tables!O4)*Population_Tables!C4)-N30</f>
        <v>347591.60951929307</v>
      </c>
      <c r="AA30" s="459">
        <f>((C30/Population_Tables!P4)*Population_Tables!D4)-O30</f>
        <v>140001.89890512943</v>
      </c>
      <c r="AB30" s="459">
        <f>((D30/Population_Tables!Q4)*Population_Tables!E4)-P30</f>
        <v>41491.645606019258</v>
      </c>
      <c r="AC30" s="459">
        <f>((E30/Population_Tables!R4)*Population_Tables!F4)-Q30</f>
        <v>110744.6753635456</v>
      </c>
      <c r="AD30" s="459">
        <f>((F30/Population_Tables!S4)*Population_Tables!G4)-R30</f>
        <v>16511.641473444208</v>
      </c>
      <c r="AE30" s="459">
        <f>((G30/Population_Tables!T4)*Population_Tables!H4)-S30</f>
        <v>46593.047257421167</v>
      </c>
      <c r="AF30" s="459">
        <f>(H30/Population_Tables!U4)*Population_Tables!I4</f>
        <v>50301.468509839244</v>
      </c>
      <c r="AG30" s="459">
        <f>(I30/Population_Tables!V4)*Population_Tables!J4</f>
        <v>24025.852653188198</v>
      </c>
      <c r="AH30" s="459">
        <f>(J30/Population_Tables!W4)*Population_Tables!K4</f>
        <v>68179.108034618519</v>
      </c>
      <c r="AI30" s="459">
        <f>(K30/Population_Tables!X4)*Population_Tables!L4</f>
        <v>73714.670487818454</v>
      </c>
      <c r="AK30" s="456">
        <v>2015</v>
      </c>
      <c r="AL30" s="459">
        <f t="shared" ref="AL30:AU68" si="6">Z30+N30</f>
        <v>449459.1484941555</v>
      </c>
      <c r="AM30" s="459">
        <f t="shared" si="3"/>
        <v>140001.89890512943</v>
      </c>
      <c r="AN30" s="459">
        <f t="shared" si="3"/>
        <v>41491.645606019258</v>
      </c>
      <c r="AO30" s="459">
        <f t="shared" si="3"/>
        <v>173450.21092954013</v>
      </c>
      <c r="AP30" s="459">
        <f t="shared" si="3"/>
        <v>38783.889227495783</v>
      </c>
      <c r="AQ30" s="459">
        <f t="shared" si="3"/>
        <v>63482.802912237443</v>
      </c>
      <c r="AR30" s="459">
        <f t="shared" si="3"/>
        <v>50301.468509839244</v>
      </c>
      <c r="AS30" s="459">
        <f t="shared" si="3"/>
        <v>24025.852653188198</v>
      </c>
      <c r="AT30" s="459">
        <f t="shared" si="3"/>
        <v>68179.108034618519</v>
      </c>
      <c r="AU30" s="459">
        <f t="shared" si="3"/>
        <v>73714.670487818454</v>
      </c>
      <c r="AW30" s="216">
        <f>(B30/Population_Tables!O4)*Population_Tables!C4</f>
        <v>449459.1484941555</v>
      </c>
      <c r="AX30" s="153" t="str">
        <f t="shared" ref="AX30:AX75" si="7">IF(AW30-AL30=0,"OK")</f>
        <v>OK</v>
      </c>
      <c r="AY30" s="421">
        <f t="shared" si="4"/>
        <v>457210.44758042204</v>
      </c>
      <c r="AZ30" s="153" t="str">
        <f t="shared" si="5"/>
        <v>OK</v>
      </c>
      <c r="BB30" s="216">
        <f>(C30/Population_Tables!P4)*Population_Tables!D4</f>
        <v>140001.89890512943</v>
      </c>
      <c r="BC30" s="216">
        <f>(D30/Population_Tables!Q4)*Population_Tables!E4</f>
        <v>41491.645606019258</v>
      </c>
      <c r="BD30" s="216">
        <f>(E30/Population_Tables!R4)*Population_Tables!F4</f>
        <v>173450.21092954013</v>
      </c>
      <c r="BE30" s="216">
        <f>(F30/Population_Tables!S4)*Population_Tables!G4</f>
        <v>38783.889227495783</v>
      </c>
      <c r="BF30" s="216">
        <f>(G30/Population_Tables!T4)*Population_Tables!H4</f>
        <v>63482.802912237443</v>
      </c>
      <c r="BG30" s="216"/>
      <c r="BN30" s="216"/>
      <c r="BO30" s="216"/>
      <c r="BP30" s="216"/>
    </row>
    <row r="31" spans="1:68" ht="15.6" x14ac:dyDescent="0.3">
      <c r="A31" s="194">
        <v>2016</v>
      </c>
      <c r="B31" s="229">
        <v>460420.48202937999</v>
      </c>
      <c r="C31" s="229">
        <v>142550.34366071914</v>
      </c>
      <c r="D31" s="229">
        <v>42450.96235311561</v>
      </c>
      <c r="E31" s="229">
        <v>178659.64575138444</v>
      </c>
      <c r="F31" s="229">
        <v>39758.115609022185</v>
      </c>
      <c r="G31" s="229">
        <v>65041.385650014803</v>
      </c>
      <c r="H31" s="229">
        <v>53610.501861130113</v>
      </c>
      <c r="I31" s="229">
        <v>25227.20530896942</v>
      </c>
      <c r="J31" s="229">
        <v>68961.173165756467</v>
      </c>
      <c r="K31" s="229">
        <v>74873.306642577198</v>
      </c>
      <c r="M31" s="194">
        <v>2016</v>
      </c>
      <c r="N31" s="419">
        <f t="shared" si="2"/>
        <v>104114.03068933496</v>
      </c>
      <c r="O31" s="418">
        <f>(C31/Population_Tables!P5)*Population_Tables!D64</f>
        <v>0</v>
      </c>
      <c r="P31" s="418">
        <f>(D31/Population_Tables!Q5)*Population_Tables!E64</f>
        <v>0</v>
      </c>
      <c r="Q31" s="418">
        <f>((E31-H31)/Population_Tables!R5)*Population_Tables!F64</f>
        <v>63851.50708851315</v>
      </c>
      <c r="R31" s="418">
        <f>(F31/Population_Tables!S5)*Population_Tables!G64</f>
        <v>22909.102237271949</v>
      </c>
      <c r="S31" s="418">
        <f>(G31/Population_Tables!T5)*Population_Tables!H64</f>
        <v>17353.42136354986</v>
      </c>
      <c r="T31" s="418">
        <f>(H31/Population_Tables!U5)*Population_Tables!I64</f>
        <v>0</v>
      </c>
      <c r="U31" s="418">
        <f>(I31/Population_Tables!V5)*Population_Tables!J64</f>
        <v>0</v>
      </c>
      <c r="V31" s="418">
        <f>(J31/Population_Tables!W5)*Population_Tables!K64</f>
        <v>0</v>
      </c>
      <c r="W31" s="418">
        <f>(K31/Population_Tables!X5)*Population_Tables!L64</f>
        <v>0</v>
      </c>
      <c r="Y31" s="456">
        <v>2016</v>
      </c>
      <c r="Z31" s="459">
        <f>((B31/Population_Tables!O5)*Population_Tables!C5)-N31</f>
        <v>356305.70500838786</v>
      </c>
      <c r="AA31" s="459">
        <f>((C31/Population_Tables!P5)*Population_Tables!D5)-O31</f>
        <v>142550.34366071914</v>
      </c>
      <c r="AB31" s="459">
        <f>((D31/Population_Tables!Q5)*Population_Tables!E5)-P31</f>
        <v>42450.96235311561</v>
      </c>
      <c r="AC31" s="459">
        <f>((E31/Population_Tables!R5)*Population_Tables!F5)-Q31</f>
        <v>114807.60277086019</v>
      </c>
      <c r="AD31" s="459">
        <f>((F31/Population_Tables!S5)*Population_Tables!G5)-R31</f>
        <v>16849.013371750236</v>
      </c>
      <c r="AE31" s="459">
        <f>((G31/Population_Tables!T5)*Population_Tables!H5)-S31</f>
        <v>47687.96428646495</v>
      </c>
      <c r="AF31" s="459">
        <f>(H31/Population_Tables!U5)*Population_Tables!I5</f>
        <v>53610.501861130113</v>
      </c>
      <c r="AG31" s="459">
        <f>(I31/Population_Tables!V5)*Population_Tables!J5</f>
        <v>25227.20530896942</v>
      </c>
      <c r="AH31" s="459">
        <f>(J31/Population_Tables!W5)*Population_Tables!K5</f>
        <v>68961.173165756467</v>
      </c>
      <c r="AI31" s="459">
        <f>(K31/Population_Tables!X5)*Population_Tables!L5</f>
        <v>74873.306642577198</v>
      </c>
      <c r="AK31" s="456">
        <v>2016</v>
      </c>
      <c r="AL31" s="459">
        <f t="shared" si="6"/>
        <v>460419.73569772282</v>
      </c>
      <c r="AM31" s="459">
        <f t="shared" si="3"/>
        <v>142550.34366071914</v>
      </c>
      <c r="AN31" s="459">
        <f t="shared" si="3"/>
        <v>42450.96235311561</v>
      </c>
      <c r="AO31" s="459">
        <f t="shared" si="3"/>
        <v>178659.10985937333</v>
      </c>
      <c r="AP31" s="459">
        <f t="shared" si="3"/>
        <v>39758.115609022185</v>
      </c>
      <c r="AQ31" s="459">
        <f t="shared" si="3"/>
        <v>65041.38565001481</v>
      </c>
      <c r="AR31" s="459">
        <f t="shared" si="3"/>
        <v>53610.501861130113</v>
      </c>
      <c r="AS31" s="459">
        <f t="shared" si="3"/>
        <v>25227.20530896942</v>
      </c>
      <c r="AT31" s="459">
        <f t="shared" si="3"/>
        <v>68961.173165756467</v>
      </c>
      <c r="AU31" s="459">
        <f t="shared" si="3"/>
        <v>74873.306642577198</v>
      </c>
      <c r="AW31" s="216">
        <f>(B31/Population_Tables!O5)*Population_Tables!C5</f>
        <v>460419.73569772282</v>
      </c>
      <c r="AX31" s="153" t="str">
        <f t="shared" si="7"/>
        <v>OK</v>
      </c>
      <c r="AY31" s="421">
        <f t="shared" si="4"/>
        <v>468459.91713224509</v>
      </c>
      <c r="AZ31" s="153" t="str">
        <f t="shared" si="5"/>
        <v>OK</v>
      </c>
      <c r="BB31" s="216">
        <f>(C31/Population_Tables!P5)*Population_Tables!D5</f>
        <v>142550.34366071914</v>
      </c>
      <c r="BC31" s="216">
        <f>(D31/Population_Tables!Q5)*Population_Tables!E5</f>
        <v>42450.96235311561</v>
      </c>
      <c r="BD31" s="216">
        <f>(E31/Population_Tables!R5)*Population_Tables!F5</f>
        <v>178659.10985937333</v>
      </c>
      <c r="BE31" s="216">
        <f>(F31/Population_Tables!S5)*Population_Tables!G5</f>
        <v>39758.115609022185</v>
      </c>
      <c r="BF31" s="216">
        <f>(G31/Population_Tables!T5)*Population_Tables!H5</f>
        <v>65041.38565001481</v>
      </c>
      <c r="BG31" s="216"/>
      <c r="BN31" s="216"/>
      <c r="BO31" s="216"/>
      <c r="BP31" s="216"/>
    </row>
    <row r="32" spans="1:68" ht="15.6" x14ac:dyDescent="0.3">
      <c r="A32" s="194">
        <v>2017</v>
      </c>
      <c r="B32" s="229">
        <v>471539.84298692702</v>
      </c>
      <c r="C32" s="229">
        <v>145123.80873543871</v>
      </c>
      <c r="D32" s="229">
        <v>43411.942306247482</v>
      </c>
      <c r="E32" s="229">
        <v>183928.7082231775</v>
      </c>
      <c r="F32" s="229">
        <v>40758.241949161733</v>
      </c>
      <c r="G32" s="229">
        <v>66633.219061253243</v>
      </c>
      <c r="H32" s="229">
        <v>56813.098606218002</v>
      </c>
      <c r="I32" s="229">
        <v>26485.338053506672</v>
      </c>
      <c r="J32" s="229">
        <v>69728.984867156571</v>
      </c>
      <c r="K32" s="229">
        <v>76024.492709361235</v>
      </c>
      <c r="M32" s="194">
        <v>2017</v>
      </c>
      <c r="N32" s="419">
        <f t="shared" si="2"/>
        <v>106475.11915793082</v>
      </c>
      <c r="O32" s="418">
        <f>(C32/Population_Tables!P6)*Population_Tables!D65</f>
        <v>0</v>
      </c>
      <c r="P32" s="418">
        <f>(D32/Population_Tables!Q6)*Population_Tables!E65</f>
        <v>0</v>
      </c>
      <c r="Q32" s="418">
        <f>((E32-H32)/Population_Tables!R6)*Population_Tables!F65</f>
        <v>65083.743475869014</v>
      </c>
      <c r="R32" s="418">
        <f>(F32/Population_Tables!S6)*Population_Tables!G65</f>
        <v>23563.701756192098</v>
      </c>
      <c r="S32" s="418">
        <f>(G32/Population_Tables!T6)*Population_Tables!H65</f>
        <v>17827.673925869705</v>
      </c>
      <c r="T32" s="418">
        <f>(H32/Population_Tables!U6)*Population_Tables!I65</f>
        <v>0</v>
      </c>
      <c r="U32" s="418">
        <f>(I32/Population_Tables!V6)*Population_Tables!J65</f>
        <v>0</v>
      </c>
      <c r="V32" s="418">
        <f>(J32/Population_Tables!W6)*Population_Tables!K65</f>
        <v>0</v>
      </c>
      <c r="W32" s="418">
        <f>(K32/Population_Tables!X6)*Population_Tables!L65</f>
        <v>0</v>
      </c>
      <c r="Y32" s="456">
        <v>2017</v>
      </c>
      <c r="Z32" s="459">
        <f>((B32/Population_Tables!O6)*Population_Tables!C6)-N32</f>
        <v>365063.98070938169</v>
      </c>
      <c r="AA32" s="459">
        <f>((C32/Population_Tables!P6)*Population_Tables!D6)-O32</f>
        <v>145123.80873543871</v>
      </c>
      <c r="AB32" s="459">
        <f>((D32/Population_Tables!Q6)*Population_Tables!E6)-P32</f>
        <v>43411.942306247482</v>
      </c>
      <c r="AC32" s="459">
        <f>((E32/Population_Tables!R6)*Population_Tables!F6)-Q32</f>
        <v>118844.42735726907</v>
      </c>
      <c r="AD32" s="459">
        <f>((F32/Population_Tables!S6)*Population_Tables!G6)-R32</f>
        <v>17194.540192969635</v>
      </c>
      <c r="AE32" s="459">
        <f>((G32/Population_Tables!T6)*Population_Tables!H6)-S32</f>
        <v>48805.545135383538</v>
      </c>
      <c r="AF32" s="459">
        <f>(H32/Population_Tables!U6)*Population_Tables!I6</f>
        <v>56813.098606217995</v>
      </c>
      <c r="AG32" s="459">
        <f>(I32/Population_Tables!V6)*Population_Tables!J6</f>
        <v>26485.338053506668</v>
      </c>
      <c r="AH32" s="459">
        <f>(J32/Population_Tables!W6)*Population_Tables!K6</f>
        <v>69728.984867156571</v>
      </c>
      <c r="AI32" s="459">
        <f>(K32/Population_Tables!X6)*Population_Tables!L6</f>
        <v>76024.492709361235</v>
      </c>
      <c r="AK32" s="456">
        <v>2017</v>
      </c>
      <c r="AL32" s="459">
        <f t="shared" si="6"/>
        <v>471539.09986731253</v>
      </c>
      <c r="AM32" s="459">
        <f t="shared" si="3"/>
        <v>145123.80873543871</v>
      </c>
      <c r="AN32" s="459">
        <f t="shared" si="3"/>
        <v>43411.942306247482</v>
      </c>
      <c r="AO32" s="459">
        <f t="shared" si="3"/>
        <v>183928.17083313808</v>
      </c>
      <c r="AP32" s="459">
        <f t="shared" si="3"/>
        <v>40758.241949161733</v>
      </c>
      <c r="AQ32" s="459">
        <f t="shared" si="3"/>
        <v>66633.219061253243</v>
      </c>
      <c r="AR32" s="459">
        <f t="shared" si="3"/>
        <v>56813.098606217995</v>
      </c>
      <c r="AS32" s="459">
        <f t="shared" si="3"/>
        <v>26485.338053506668</v>
      </c>
      <c r="AT32" s="459">
        <f t="shared" si="3"/>
        <v>69728.984867156571</v>
      </c>
      <c r="AU32" s="459">
        <f t="shared" si="3"/>
        <v>76024.492709361235</v>
      </c>
      <c r="AW32" s="216">
        <f>(B32/Population_Tables!O6)*Population_Tables!C6</f>
        <v>471539.09986731253</v>
      </c>
      <c r="AX32" s="153" t="str">
        <f t="shared" si="7"/>
        <v>OK</v>
      </c>
      <c r="AY32" s="421">
        <f t="shared" si="4"/>
        <v>479855.38288523926</v>
      </c>
      <c r="AZ32" s="153" t="str">
        <f t="shared" si="5"/>
        <v>OK</v>
      </c>
      <c r="BB32" s="216">
        <f>(C32/Population_Tables!P6)*Population_Tables!D6</f>
        <v>145123.80873543871</v>
      </c>
      <c r="BC32" s="216">
        <f>(D32/Population_Tables!Q6)*Population_Tables!E6</f>
        <v>43411.942306247482</v>
      </c>
      <c r="BD32" s="216">
        <f>(E32/Population_Tables!R6)*Population_Tables!F6</f>
        <v>183928.17083313808</v>
      </c>
      <c r="BE32" s="216">
        <f>(F32/Population_Tables!S6)*Population_Tables!G6</f>
        <v>40758.241949161733</v>
      </c>
      <c r="BF32" s="216">
        <f>(G32/Population_Tables!T6)*Population_Tables!H6</f>
        <v>66633.219061253243</v>
      </c>
      <c r="BG32" s="216"/>
      <c r="BN32" s="216"/>
      <c r="BO32" s="216"/>
      <c r="BP32" s="216"/>
    </row>
    <row r="33" spans="1:68" ht="15.6" x14ac:dyDescent="0.3">
      <c r="A33" s="194">
        <v>2018</v>
      </c>
      <c r="B33" s="229">
        <v>482822.41574325209</v>
      </c>
      <c r="C33" s="229">
        <v>147723.56758647895</v>
      </c>
      <c r="D33" s="229">
        <v>44375.397638676885</v>
      </c>
      <c r="E33" s="229">
        <v>189259.28108439918</v>
      </c>
      <c r="F33" s="229">
        <v>41784.9154853457</v>
      </c>
      <c r="G33" s="229">
        <v>68258.054041840456</v>
      </c>
      <c r="H33" s="229">
        <v>59911.173429751856</v>
      </c>
      <c r="I33" s="229">
        <v>27798.722771901346</v>
      </c>
      <c r="J33" s="229">
        <v>70482.718803123571</v>
      </c>
      <c r="K33" s="229">
        <v>77168.310435934574</v>
      </c>
      <c r="M33" s="194">
        <v>2018</v>
      </c>
      <c r="N33" s="419">
        <f t="shared" si="2"/>
        <v>108954.06106522221</v>
      </c>
      <c r="O33" s="418">
        <f>(C33/Population_Tables!P7)*Population_Tables!D66</f>
        <v>0</v>
      </c>
      <c r="P33" s="418">
        <f>(D33/Population_Tables!Q7)*Population_Tables!E66</f>
        <v>0</v>
      </c>
      <c r="Q33" s="418">
        <f>((E33-H33)/Population_Tables!R7)*Population_Tables!F66</f>
        <v>66406.166553282543</v>
      </c>
      <c r="R33" s="418">
        <f>(F33/Population_Tables!S7)*Population_Tables!G66</f>
        <v>24235.788018115039</v>
      </c>
      <c r="S33" s="418">
        <f>(G33/Population_Tables!T7)*Population_Tables!H66</f>
        <v>18312.106493824624</v>
      </c>
      <c r="T33" s="418">
        <f>(H33/Population_Tables!U7)*Population_Tables!I66</f>
        <v>0</v>
      </c>
      <c r="U33" s="418">
        <f>(I33/Population_Tables!V7)*Population_Tables!J66</f>
        <v>0</v>
      </c>
      <c r="V33" s="418">
        <f>(J33/Population_Tables!W7)*Population_Tables!K66</f>
        <v>0</v>
      </c>
      <c r="W33" s="418">
        <f>(K33/Population_Tables!X7)*Population_Tables!L66</f>
        <v>0</v>
      </c>
      <c r="Y33" s="456">
        <v>2018</v>
      </c>
      <c r="Z33" s="459">
        <f>((B33/Population_Tables!O7)*Population_Tables!C7)-N33</f>
        <v>373867.61732694809</v>
      </c>
      <c r="AA33" s="459">
        <f>((C33/Population_Tables!P7)*Population_Tables!D7)-O33</f>
        <v>147723.56758647895</v>
      </c>
      <c r="AB33" s="459">
        <f>((D33/Population_Tables!Q7)*Population_Tables!E7)-P33</f>
        <v>44375.397638676885</v>
      </c>
      <c r="AC33" s="459">
        <f>((E33/Population_Tables!R7)*Population_Tables!F7)-Q33</f>
        <v>122852.57762946583</v>
      </c>
      <c r="AD33" s="459">
        <f>((F33/Population_Tables!S7)*Population_Tables!G7)-R33</f>
        <v>17549.127467230661</v>
      </c>
      <c r="AE33" s="459">
        <f>((G33/Population_Tables!T7)*Population_Tables!H7)-S33</f>
        <v>49945.947548015829</v>
      </c>
      <c r="AF33" s="459">
        <f>(H33/Population_Tables!U7)*Population_Tables!I7</f>
        <v>59911.173429751856</v>
      </c>
      <c r="AG33" s="459">
        <f>(I33/Population_Tables!V7)*Population_Tables!J7</f>
        <v>27798.722771901346</v>
      </c>
      <c r="AH33" s="459">
        <f>(J33/Population_Tables!W7)*Population_Tables!K7</f>
        <v>70482.718803123571</v>
      </c>
      <c r="AI33" s="459">
        <f>(K33/Population_Tables!X7)*Population_Tables!L7</f>
        <v>77168.310435934574</v>
      </c>
      <c r="AK33" s="456">
        <v>2018</v>
      </c>
      <c r="AL33" s="459">
        <f t="shared" si="6"/>
        <v>482821.67839217029</v>
      </c>
      <c r="AM33" s="459">
        <f t="shared" si="3"/>
        <v>147723.56758647895</v>
      </c>
      <c r="AN33" s="459">
        <f t="shared" si="3"/>
        <v>44375.397638676885</v>
      </c>
      <c r="AO33" s="459">
        <f t="shared" si="3"/>
        <v>189258.74418274837</v>
      </c>
      <c r="AP33" s="459">
        <f t="shared" si="3"/>
        <v>41784.9154853457</v>
      </c>
      <c r="AQ33" s="459">
        <f t="shared" si="3"/>
        <v>68258.054041840456</v>
      </c>
      <c r="AR33" s="459">
        <f t="shared" si="3"/>
        <v>59911.173429751856</v>
      </c>
      <c r="AS33" s="459">
        <f t="shared" si="3"/>
        <v>27798.722771901346</v>
      </c>
      <c r="AT33" s="459">
        <f t="shared" si="3"/>
        <v>70482.718803123571</v>
      </c>
      <c r="AU33" s="459">
        <f t="shared" si="3"/>
        <v>77168.310435934574</v>
      </c>
      <c r="AW33" s="216">
        <f>(B33/Population_Tables!O7)*Population_Tables!C7</f>
        <v>482821.67839217029</v>
      </c>
      <c r="AX33" s="153" t="str">
        <f t="shared" si="7"/>
        <v>OK</v>
      </c>
      <c r="AY33" s="421">
        <f t="shared" si="4"/>
        <v>491400.67893509031</v>
      </c>
      <c r="AZ33" s="153" t="str">
        <f t="shared" si="5"/>
        <v>OK</v>
      </c>
      <c r="BB33" s="216">
        <f>(C33/Population_Tables!P7)*Population_Tables!D7</f>
        <v>147723.56758647895</v>
      </c>
      <c r="BC33" s="216">
        <f>(D33/Population_Tables!Q7)*Population_Tables!E7</f>
        <v>44375.397638676885</v>
      </c>
      <c r="BD33" s="216">
        <f>(E33/Population_Tables!R7)*Population_Tables!F7</f>
        <v>189258.74418274837</v>
      </c>
      <c r="BE33" s="216">
        <f>(F33/Population_Tables!S7)*Population_Tables!G7</f>
        <v>41784.9154853457</v>
      </c>
      <c r="BF33" s="216">
        <f>(G33/Population_Tables!T7)*Population_Tables!H7</f>
        <v>68258.054041840456</v>
      </c>
      <c r="BG33" s="216"/>
      <c r="BN33" s="216"/>
      <c r="BO33" s="216"/>
      <c r="BP33" s="216"/>
    </row>
    <row r="34" spans="1:68" ht="16.2" thickBot="1" x14ac:dyDescent="0.35">
      <c r="A34" s="198">
        <v>2019</v>
      </c>
      <c r="B34" s="230">
        <v>494272.63780519273</v>
      </c>
      <c r="C34" s="230">
        <v>150350.89367103079</v>
      </c>
      <c r="D34" s="230">
        <v>45342.140523665861</v>
      </c>
      <c r="E34" s="230">
        <v>194652.71472642515</v>
      </c>
      <c r="F34" s="230">
        <v>42838.783455005352</v>
      </c>
      <c r="G34" s="230">
        <v>69915.641487664121</v>
      </c>
      <c r="H34" s="230">
        <v>62906.641016380614</v>
      </c>
      <c r="I34" s="230">
        <v>29165.83134925483</v>
      </c>
      <c r="J34" s="230">
        <v>71222.550637962238</v>
      </c>
      <c r="K34" s="230">
        <v>78304.841570061239</v>
      </c>
      <c r="M34" s="198">
        <v>2019</v>
      </c>
      <c r="N34" s="419">
        <f t="shared" si="2"/>
        <v>111555.02471221358</v>
      </c>
      <c r="O34" s="418">
        <f>(C34/Population_Tables!P8)*Population_Tables!D67</f>
        <v>0</v>
      </c>
      <c r="P34" s="418">
        <f>(D34/Population_Tables!Q8)*Population_Tables!E67</f>
        <v>0</v>
      </c>
      <c r="Q34" s="418">
        <f>((E34-H34)/Population_Tables!R8)*Population_Tables!F67</f>
        <v>67823.804594063113</v>
      </c>
      <c r="R34" s="418">
        <f>(F34/Population_Tables!S8)*Population_Tables!G67</f>
        <v>24925.0805939241</v>
      </c>
      <c r="S34" s="418">
        <f>(G34/Population_Tables!T8)*Population_Tables!H67</f>
        <v>18806.139524226375</v>
      </c>
      <c r="T34" s="418">
        <f>(H34/Population_Tables!U8)*Population_Tables!I67</f>
        <v>0</v>
      </c>
      <c r="U34" s="418">
        <f>(I34/Population_Tables!V8)*Population_Tables!J67</f>
        <v>0</v>
      </c>
      <c r="V34" s="418">
        <f>(J34/Population_Tables!W8)*Population_Tables!K67</f>
        <v>0</v>
      </c>
      <c r="W34" s="418">
        <f>(K34/Population_Tables!X8)*Population_Tables!L67</f>
        <v>0</v>
      </c>
      <c r="Y34" s="456">
        <v>2019</v>
      </c>
      <c r="Z34" s="459">
        <f>((B34/Population_Tables!O8)*Population_Tables!C8)-N34</f>
        <v>382716.8802238279</v>
      </c>
      <c r="AA34" s="459">
        <f>((C34/Population_Tables!P8)*Population_Tables!D8)-O34</f>
        <v>150350.89367103079</v>
      </c>
      <c r="AB34" s="459">
        <f>((D34/Population_Tables!Q8)*Population_Tables!E8)-P34</f>
        <v>45342.140523665861</v>
      </c>
      <c r="AC34" s="459">
        <f>((E34/Population_Tables!R8)*Population_Tables!F8)-Q34</f>
        <v>126828.37290833713</v>
      </c>
      <c r="AD34" s="459">
        <f>((F34/Population_Tables!S8)*Population_Tables!G8)-R34</f>
        <v>17913.702861081252</v>
      </c>
      <c r="AE34" s="459">
        <f>((G34/Population_Tables!T8)*Population_Tables!H8)-S34</f>
        <v>51109.501963437746</v>
      </c>
      <c r="AF34" s="459">
        <f>(H34/Population_Tables!U8)*Population_Tables!I8</f>
        <v>62906.641016380614</v>
      </c>
      <c r="AG34" s="459">
        <f>(I34/Population_Tables!V8)*Population_Tables!J8</f>
        <v>29165.83134925483</v>
      </c>
      <c r="AH34" s="459">
        <f>(J34/Population_Tables!W8)*Population_Tables!K8</f>
        <v>71222.550637962238</v>
      </c>
      <c r="AI34" s="459">
        <f>(K34/Population_Tables!X8)*Population_Tables!L8</f>
        <v>78304.841570061239</v>
      </c>
      <c r="AK34" s="456">
        <v>2019</v>
      </c>
      <c r="AL34" s="459">
        <f t="shared" si="6"/>
        <v>494271.90493604145</v>
      </c>
      <c r="AM34" s="459">
        <f t="shared" si="3"/>
        <v>150350.89367103079</v>
      </c>
      <c r="AN34" s="459">
        <f t="shared" si="3"/>
        <v>45342.140523665861</v>
      </c>
      <c r="AO34" s="459">
        <f t="shared" si="3"/>
        <v>194652.17750240024</v>
      </c>
      <c r="AP34" s="459">
        <f t="shared" si="3"/>
        <v>42838.783455005352</v>
      </c>
      <c r="AQ34" s="459">
        <f t="shared" si="3"/>
        <v>69915.641487664121</v>
      </c>
      <c r="AR34" s="459">
        <f t="shared" si="3"/>
        <v>62906.641016380614</v>
      </c>
      <c r="AS34" s="459">
        <f t="shared" si="3"/>
        <v>29165.83134925483</v>
      </c>
      <c r="AT34" s="459">
        <f t="shared" si="3"/>
        <v>71222.550637962238</v>
      </c>
      <c r="AU34" s="459">
        <f t="shared" si="3"/>
        <v>78304.841570061239</v>
      </c>
      <c r="AW34" s="216">
        <f>(B34/Population_Tables!O8)*Population_Tables!C8</f>
        <v>494271.90493604145</v>
      </c>
      <c r="AX34" s="153" t="str">
        <f t="shared" si="7"/>
        <v>OK</v>
      </c>
      <c r="AY34" s="421">
        <f t="shared" si="4"/>
        <v>503099.63663976634</v>
      </c>
      <c r="AZ34" s="153" t="str">
        <f t="shared" si="5"/>
        <v>OK</v>
      </c>
      <c r="BB34" s="216">
        <f>(C34/Population_Tables!P8)*Population_Tables!D8</f>
        <v>150350.89367103079</v>
      </c>
      <c r="BC34" s="216">
        <f>(D34/Population_Tables!Q8)*Population_Tables!E8</f>
        <v>45342.140523665861</v>
      </c>
      <c r="BD34" s="216">
        <f>(E34/Population_Tables!R8)*Population_Tables!F8</f>
        <v>194652.17750240024</v>
      </c>
      <c r="BE34" s="216">
        <f>(F34/Population_Tables!S8)*Population_Tables!G8</f>
        <v>42838.783455005352</v>
      </c>
      <c r="BF34" s="216">
        <f>(G34/Population_Tables!T8)*Population_Tables!H8</f>
        <v>69915.641487664121</v>
      </c>
      <c r="BG34" s="216"/>
      <c r="BN34" s="216"/>
      <c r="BO34" s="216"/>
      <c r="BP34" s="216"/>
    </row>
    <row r="35" spans="1:68" ht="15.6" x14ac:dyDescent="0.3">
      <c r="A35" s="201">
        <v>2020</v>
      </c>
      <c r="B35" s="228">
        <v>505894.94667958649</v>
      </c>
      <c r="C35" s="228">
        <v>153007.06044628509</v>
      </c>
      <c r="D35" s="228">
        <v>46312.983134476424</v>
      </c>
      <c r="E35" s="228">
        <v>200110.35954063109</v>
      </c>
      <c r="F35" s="228">
        <v>43920.493095571954</v>
      </c>
      <c r="G35" s="228">
        <v>71605.732294611924</v>
      </c>
      <c r="H35" s="228">
        <v>65801.416050753236</v>
      </c>
      <c r="I35" s="228">
        <v>30585.135670668518</v>
      </c>
      <c r="J35" s="228">
        <v>71948.656035977358</v>
      </c>
      <c r="K35" s="228">
        <v>79434.167859505251</v>
      </c>
      <c r="M35" s="201">
        <v>2020</v>
      </c>
      <c r="N35" s="419">
        <f t="shared" si="2"/>
        <v>114281.52619652779</v>
      </c>
      <c r="O35" s="418">
        <f>(C35/Population_Tables!P9)*Population_Tables!D68</f>
        <v>0</v>
      </c>
      <c r="P35" s="418">
        <f>(D35/Population_Tables!Q9)*Population_Tables!E68</f>
        <v>0</v>
      </c>
      <c r="Q35" s="418">
        <f>((E35-H35)/Population_Tables!R9)*Population_Tables!F68</f>
        <v>69340.591270639256</v>
      </c>
      <c r="R35" s="418">
        <f>(F35/Population_Tables!S9)*Population_Tables!G68</f>
        <v>25631.599565378048</v>
      </c>
      <c r="S35" s="418">
        <f>(G35/Population_Tables!T9)*Population_Tables!H68</f>
        <v>19309.335360510482</v>
      </c>
      <c r="T35" s="418">
        <f>(H35/Population_Tables!U9)*Population_Tables!I68</f>
        <v>0</v>
      </c>
      <c r="U35" s="418">
        <f>(I35/Population_Tables!V9)*Population_Tables!J68</f>
        <v>0</v>
      </c>
      <c r="V35" s="418">
        <f>(J35/Population_Tables!W9)*Population_Tables!K68</f>
        <v>0</v>
      </c>
      <c r="W35" s="418">
        <f>(K35/Population_Tables!X9)*Population_Tables!L68</f>
        <v>0</v>
      </c>
      <c r="Y35" s="456">
        <v>2020</v>
      </c>
      <c r="Z35" s="459">
        <f>((B35/Population_Tables!O9)*Population_Tables!C9)-N35</f>
        <v>391612.69059904257</v>
      </c>
      <c r="AA35" s="459">
        <f>((C35/Population_Tables!P9)*Population_Tables!D9)-O35</f>
        <v>153007.06044628509</v>
      </c>
      <c r="AB35" s="459">
        <f>((D35/Population_Tables!Q9)*Population_Tables!E9)-P35</f>
        <v>46312.983134476424</v>
      </c>
      <c r="AC35" s="459">
        <f>((E35/Population_Tables!R9)*Population_Tables!F9)-Q35</f>
        <v>130769.22968154868</v>
      </c>
      <c r="AD35" s="459">
        <f>((F35/Population_Tables!S9)*Population_Tables!G9)-R35</f>
        <v>18288.893530193905</v>
      </c>
      <c r="AE35" s="459">
        <f>((G35/Population_Tables!T9)*Population_Tables!H9)-S35</f>
        <v>52296.396934101445</v>
      </c>
      <c r="AF35" s="459">
        <f>(H35/Population_Tables!U9)*Population_Tables!I9</f>
        <v>65801.416050753236</v>
      </c>
      <c r="AG35" s="459">
        <f>(I35/Population_Tables!V9)*Population_Tables!J9</f>
        <v>30585.135670668518</v>
      </c>
      <c r="AH35" s="459">
        <f>(J35/Population_Tables!W9)*Population_Tables!K9</f>
        <v>71948.656035977358</v>
      </c>
      <c r="AI35" s="459">
        <f>(K35/Population_Tables!X9)*Population_Tables!L9</f>
        <v>79434.167859505251</v>
      </c>
      <c r="AK35" s="456">
        <v>2020</v>
      </c>
      <c r="AL35" s="459">
        <f t="shared" si="6"/>
        <v>505894.21679557033</v>
      </c>
      <c r="AM35" s="459">
        <f t="shared" si="3"/>
        <v>153007.06044628509</v>
      </c>
      <c r="AN35" s="459">
        <f t="shared" si="3"/>
        <v>46312.983134476424</v>
      </c>
      <c r="AO35" s="459">
        <f t="shared" si="3"/>
        <v>200109.82095218793</v>
      </c>
      <c r="AP35" s="459">
        <f t="shared" si="3"/>
        <v>43920.493095571954</v>
      </c>
      <c r="AQ35" s="459">
        <f t="shared" si="3"/>
        <v>71605.732294611924</v>
      </c>
      <c r="AR35" s="459">
        <f t="shared" si="3"/>
        <v>65801.416050753236</v>
      </c>
      <c r="AS35" s="459">
        <f t="shared" si="3"/>
        <v>30585.135670668518</v>
      </c>
      <c r="AT35" s="459">
        <f t="shared" si="3"/>
        <v>71948.656035977358</v>
      </c>
      <c r="AU35" s="459">
        <f t="shared" si="3"/>
        <v>79434.167859505251</v>
      </c>
      <c r="AW35" s="216">
        <f>(B35/Population_Tables!O9)*Population_Tables!C9</f>
        <v>505894.21679557039</v>
      </c>
      <c r="AX35" s="153" t="b">
        <f t="shared" si="7"/>
        <v>0</v>
      </c>
      <c r="AY35" s="421">
        <f t="shared" si="4"/>
        <v>514956.08992313332</v>
      </c>
      <c r="AZ35" s="153" t="str">
        <f t="shared" si="5"/>
        <v>OK</v>
      </c>
      <c r="BB35" s="216">
        <f>(C35/Population_Tables!P9)*Population_Tables!D9</f>
        <v>153007.06044628509</v>
      </c>
      <c r="BC35" s="216">
        <f>(D35/Population_Tables!Q9)*Population_Tables!E9</f>
        <v>46312.983134476424</v>
      </c>
      <c r="BD35" s="216">
        <f>(E35/Population_Tables!R9)*Population_Tables!F9</f>
        <v>200109.82095218793</v>
      </c>
      <c r="BE35" s="216">
        <f>(F35/Population_Tables!S9)*Population_Tables!G9</f>
        <v>43920.493095571954</v>
      </c>
      <c r="BF35" s="216">
        <f>(G35/Population_Tables!T9)*Population_Tables!H9</f>
        <v>71605.732294611924</v>
      </c>
      <c r="BG35" s="216"/>
      <c r="BN35" s="216"/>
      <c r="BO35" s="216"/>
      <c r="BP35" s="216"/>
    </row>
    <row r="36" spans="1:68" ht="15.6" x14ac:dyDescent="0.3">
      <c r="A36" s="206">
        <v>2021</v>
      </c>
      <c r="B36" s="229">
        <v>517693.77987327083</v>
      </c>
      <c r="C36" s="229">
        <v>155693.34136943266</v>
      </c>
      <c r="D36" s="229">
        <v>47288.737644370616</v>
      </c>
      <c r="E36" s="229">
        <v>205633.56591839271</v>
      </c>
      <c r="F36" s="229">
        <v>45030.691644476778</v>
      </c>
      <c r="G36" s="229">
        <v>73328.07735857158</v>
      </c>
      <c r="H36" s="229">
        <v>68597.413217518639</v>
      </c>
      <c r="I36" s="229">
        <v>32055.107621243798</v>
      </c>
      <c r="J36" s="229">
        <v>72661.210661473684</v>
      </c>
      <c r="K36" s="229">
        <v>80556.371052030649</v>
      </c>
      <c r="M36" s="206">
        <v>2021</v>
      </c>
      <c r="N36" s="419">
        <f t="shared" si="2"/>
        <v>117332.45634686502</v>
      </c>
      <c r="O36" s="418">
        <f>(C36/Population_Tables!P10)*Population_Tables!D69</f>
        <v>0</v>
      </c>
      <c r="P36" s="418">
        <f>(D36/Population_Tables!Q10)*Population_Tables!E69</f>
        <v>0</v>
      </c>
      <c r="Q36" s="418">
        <f>((E36-H36)/Population_Tables!R10)*Population_Tables!F69</f>
        <v>71083.536793342108</v>
      </c>
      <c r="R36" s="418">
        <f>(F36/Population_Tables!S10)*Population_Tables!G69</f>
        <v>26382.602678872063</v>
      </c>
      <c r="S36" s="418">
        <f>(G36/Population_Tables!T10)*Population_Tables!H69</f>
        <v>19866.316874650845</v>
      </c>
      <c r="T36" s="418">
        <f>(H36/Population_Tables!U10)*Population_Tables!I69</f>
        <v>0</v>
      </c>
      <c r="U36" s="418">
        <f>(I36/Population_Tables!V10)*Population_Tables!J69</f>
        <v>0</v>
      </c>
      <c r="V36" s="418">
        <f>(J36/Population_Tables!W10)*Population_Tables!K69</f>
        <v>0</v>
      </c>
      <c r="W36" s="418">
        <f>(K36/Population_Tables!X10)*Population_Tables!L69</f>
        <v>0</v>
      </c>
      <c r="Y36" s="456">
        <v>2021</v>
      </c>
      <c r="Z36" s="459">
        <f>((B36/Population_Tables!O10)*Population_Tables!C10)-N36</f>
        <v>401015.98214801098</v>
      </c>
      <c r="AA36" s="459">
        <f>((C36/Population_Tables!P10)*Population_Tables!D10)-O36</f>
        <v>155854.83101887154</v>
      </c>
      <c r="AB36" s="459">
        <f>((D36/Population_Tables!Q10)*Population_Tables!E10)-P36</f>
        <v>47344.839264827438</v>
      </c>
      <c r="AC36" s="459">
        <f>((E36/Population_Tables!R10)*Population_Tables!F10)-Q36</f>
        <v>134795.54729556298</v>
      </c>
      <c r="AD36" s="459">
        <f>((F36/Population_Tables!S10)*Population_Tables!G10)-R36</f>
        <v>18708.46335626053</v>
      </c>
      <c r="AE36" s="459">
        <f>((G36/Population_Tables!T10)*Population_Tables!H10)-S36</f>
        <v>53600.627940782928</v>
      </c>
      <c r="AF36" s="459">
        <f>(H36/Population_Tables!U10)*Population_Tables!I10</f>
        <v>68669.396217134286</v>
      </c>
      <c r="AG36" s="459">
        <f>(I36/Population_Tables!V10)*Population_Tables!J10</f>
        <v>32091.985341083862</v>
      </c>
      <c r="AH36" s="459">
        <f>(J36/Population_Tables!W10)*Population_Tables!K10</f>
        <v>72736.385031995538</v>
      </c>
      <c r="AI36" s="459">
        <f>(K36/Population_Tables!X10)*Population_Tables!L10</f>
        <v>80641.476877564477</v>
      </c>
      <c r="AK36" s="456">
        <v>2021</v>
      </c>
      <c r="AL36" s="459">
        <f t="shared" si="6"/>
        <v>518348.43849487603</v>
      </c>
      <c r="AM36" s="459">
        <f t="shared" si="3"/>
        <v>155854.83101887154</v>
      </c>
      <c r="AN36" s="459">
        <f t="shared" si="3"/>
        <v>47344.839264827438</v>
      </c>
      <c r="AO36" s="459">
        <f t="shared" si="3"/>
        <v>205879.08408890507</v>
      </c>
      <c r="AP36" s="459">
        <f t="shared" si="3"/>
        <v>45091.066035132593</v>
      </c>
      <c r="AQ36" s="459">
        <f t="shared" si="3"/>
        <v>73466.944815433773</v>
      </c>
      <c r="AR36" s="459">
        <f t="shared" si="3"/>
        <v>68669.396217134286</v>
      </c>
      <c r="AS36" s="459">
        <f t="shared" si="3"/>
        <v>32091.985341083862</v>
      </c>
      <c r="AT36" s="459">
        <f t="shared" si="3"/>
        <v>72736.385031995538</v>
      </c>
      <c r="AU36" s="459">
        <f t="shared" si="3"/>
        <v>80641.476877564477</v>
      </c>
      <c r="AW36" s="216">
        <f>(B36/Population_Tables!O10)*Population_Tables!C10</f>
        <v>518348.43849487597</v>
      </c>
      <c r="AX36" s="153" t="b">
        <f t="shared" si="7"/>
        <v>0</v>
      </c>
      <c r="AY36" s="421">
        <f t="shared" si="4"/>
        <v>527636.76522317051</v>
      </c>
      <c r="AZ36" s="153" t="str">
        <f t="shared" si="5"/>
        <v>OK</v>
      </c>
      <c r="BB36" s="216">
        <f>(C36/Population_Tables!P10)*Population_Tables!D10</f>
        <v>155854.83101887154</v>
      </c>
      <c r="BC36" s="216">
        <f>(D36/Population_Tables!Q10)*Population_Tables!E10</f>
        <v>47344.839264827438</v>
      </c>
      <c r="BD36" s="216">
        <f>(E36/Population_Tables!R10)*Population_Tables!F10</f>
        <v>205879.0840889051</v>
      </c>
      <c r="BE36" s="216">
        <f>(F36/Population_Tables!S10)*Population_Tables!G10</f>
        <v>45091.066035132593</v>
      </c>
      <c r="BF36" s="216">
        <f>(G36/Population_Tables!T10)*Population_Tables!H10</f>
        <v>73466.944815433773</v>
      </c>
      <c r="BG36" s="216"/>
      <c r="BN36" s="216"/>
      <c r="BO36" s="216"/>
      <c r="BP36" s="216"/>
    </row>
    <row r="37" spans="1:68" ht="15.6" x14ac:dyDescent="0.3">
      <c r="A37" s="206">
        <v>2022</v>
      </c>
      <c r="B37" s="229">
        <v>529673.57489308331</v>
      </c>
      <c r="C37" s="229">
        <v>158411.00989766442</v>
      </c>
      <c r="D37" s="229">
        <v>48270.216226610442</v>
      </c>
      <c r="E37" s="229">
        <v>211223.68425108568</v>
      </c>
      <c r="F37" s="229">
        <v>46170.026339151089</v>
      </c>
      <c r="G37" s="229">
        <v>75082.427575430745</v>
      </c>
      <c r="H37" s="229">
        <v>71296.547201325782</v>
      </c>
      <c r="I37" s="229">
        <v>33574.21908608207</v>
      </c>
      <c r="J37" s="229">
        <v>73360.390178755973</v>
      </c>
      <c r="K37" s="229">
        <v>81671.532895401426</v>
      </c>
      <c r="M37" s="206">
        <v>2022</v>
      </c>
      <c r="N37" s="419">
        <f t="shared" si="2"/>
        <v>120575.55633351112</v>
      </c>
      <c r="O37" s="418">
        <f>(C37/Population_Tables!P11)*Population_Tables!D70</f>
        <v>0</v>
      </c>
      <c r="P37" s="418">
        <f>(D37/Population_Tables!Q11)*Population_Tables!E70</f>
        <v>0</v>
      </c>
      <c r="Q37" s="418">
        <f>((E37-H37)/Population_Tables!R11)*Population_Tables!F70</f>
        <v>72970.139747100431</v>
      </c>
      <c r="R37" s="418">
        <f>(F37/Population_Tables!S11)*Population_Tables!G70</f>
        <v>27165.520814238611</v>
      </c>
      <c r="S37" s="418">
        <f>(G37/Population_Tables!T11)*Population_Tables!H70</f>
        <v>20439.89577217208</v>
      </c>
      <c r="T37" s="418">
        <f>(H37/Population_Tables!U11)*Population_Tables!I70</f>
        <v>0</v>
      </c>
      <c r="U37" s="418">
        <f>(I37/Population_Tables!V11)*Population_Tables!J70</f>
        <v>0</v>
      </c>
      <c r="V37" s="418">
        <f>(J37/Population_Tables!W11)*Population_Tables!K70</f>
        <v>0</v>
      </c>
      <c r="W37" s="418">
        <f>(K37/Population_Tables!X11)*Population_Tables!L70</f>
        <v>0</v>
      </c>
      <c r="Y37" s="456">
        <v>2022</v>
      </c>
      <c r="Z37" s="459">
        <f>((B37/Population_Tables!O11)*Population_Tables!C11)-N37</f>
        <v>410596.30539504893</v>
      </c>
      <c r="AA37" s="459">
        <f>((C37/Population_Tables!P11)*Population_Tables!D11)-O37</f>
        <v>158785.02555455975</v>
      </c>
      <c r="AB37" s="459">
        <f>((D37/Population_Tables!Q11)*Population_Tables!E11)-P37</f>
        <v>48394.505296270123</v>
      </c>
      <c r="AC37" s="459">
        <f>((E37/Population_Tables!R11)*Population_Tables!F11)-Q37</f>
        <v>138839.24745449517</v>
      </c>
      <c r="AD37" s="459">
        <f>((F37/Population_Tables!S11)*Population_Tables!G11)-R37</f>
        <v>19137.840783001724</v>
      </c>
      <c r="AE37" s="459">
        <f>((G37/Population_Tables!T11)*Population_Tables!H11)-S37</f>
        <v>54931.339680124962</v>
      </c>
      <c r="AF37" s="459">
        <f>(H37/Population_Tables!U11)*Population_Tables!I11</f>
        <v>71463.404301575953</v>
      </c>
      <c r="AG37" s="459">
        <f>(I37/Population_Tables!V11)*Population_Tables!J11</f>
        <v>33667.031564346282</v>
      </c>
      <c r="AH37" s="459">
        <f>(J37/Population_Tables!W11)*Population_Tables!K11</f>
        <v>73530.073631777894</v>
      </c>
      <c r="AI37" s="459">
        <f>(K37/Population_Tables!X11)*Population_Tables!L11</f>
        <v>81871.234151304598</v>
      </c>
      <c r="AK37" s="456">
        <v>2022</v>
      </c>
      <c r="AL37" s="459">
        <f t="shared" si="6"/>
        <v>531171.86172856006</v>
      </c>
      <c r="AM37" s="459">
        <f t="shared" si="3"/>
        <v>158785.02555455975</v>
      </c>
      <c r="AN37" s="459">
        <f t="shared" si="3"/>
        <v>48394.505296270123</v>
      </c>
      <c r="AO37" s="459">
        <f t="shared" si="3"/>
        <v>211809.38720159559</v>
      </c>
      <c r="AP37" s="459">
        <f t="shared" si="3"/>
        <v>46303.361597240335</v>
      </c>
      <c r="AQ37" s="459">
        <f t="shared" si="3"/>
        <v>75371.235452297042</v>
      </c>
      <c r="AR37" s="459">
        <f t="shared" si="3"/>
        <v>71463.404301575953</v>
      </c>
      <c r="AS37" s="459">
        <f t="shared" si="3"/>
        <v>33667.031564346282</v>
      </c>
      <c r="AT37" s="459">
        <f t="shared" si="3"/>
        <v>73530.073631777894</v>
      </c>
      <c r="AU37" s="459">
        <f t="shared" si="3"/>
        <v>81871.234151304598</v>
      </c>
      <c r="AW37" s="216">
        <f>(B37/Population_Tables!O11)*Population_Tables!C11</f>
        <v>531171.86172856006</v>
      </c>
      <c r="AX37" s="153" t="str">
        <f t="shared" si="7"/>
        <v>OK</v>
      </c>
      <c r="AY37" s="421">
        <f t="shared" si="4"/>
        <v>540663.51510196284</v>
      </c>
      <c r="AZ37" s="153" t="str">
        <f t="shared" si="5"/>
        <v>OK</v>
      </c>
      <c r="BB37" s="216">
        <f>(C37/Population_Tables!P11)*Population_Tables!D11</f>
        <v>158785.02555455975</v>
      </c>
      <c r="BC37" s="216">
        <f>(D37/Population_Tables!Q11)*Population_Tables!E11</f>
        <v>48394.505296270123</v>
      </c>
      <c r="BD37" s="216">
        <f>(E37/Population_Tables!R11)*Population_Tables!F11</f>
        <v>211809.38720159559</v>
      </c>
      <c r="BE37" s="216">
        <f>(F37/Population_Tables!S11)*Population_Tables!G11</f>
        <v>46303.361597240335</v>
      </c>
      <c r="BF37" s="216">
        <f>(G37/Population_Tables!T11)*Population_Tables!H11</f>
        <v>75371.235452297042</v>
      </c>
      <c r="BG37" s="216"/>
      <c r="BN37" s="216"/>
      <c r="BO37" s="216"/>
      <c r="BP37" s="216"/>
    </row>
    <row r="38" spans="1:68" ht="15.6" x14ac:dyDescent="0.3">
      <c r="A38" s="206">
        <v>2023</v>
      </c>
      <c r="B38" s="229">
        <v>541838.76924586133</v>
      </c>
      <c r="C38" s="229">
        <v>161161.33948817124</v>
      </c>
      <c r="D38" s="229">
        <v>49258.231054457945</v>
      </c>
      <c r="E38" s="229">
        <v>216882.06493008567</v>
      </c>
      <c r="F38" s="229">
        <v>47339.144417026153</v>
      </c>
      <c r="G38" s="229">
        <v>76868.533841077136</v>
      </c>
      <c r="H38" s="229">
        <v>73900.732686823598</v>
      </c>
      <c r="I38" s="229">
        <v>35140.941950284709</v>
      </c>
      <c r="J38" s="229">
        <v>74046.370252128996</v>
      </c>
      <c r="K38" s="229">
        <v>82779.73513738162</v>
      </c>
      <c r="M38" s="206">
        <v>2023</v>
      </c>
      <c r="N38" s="419">
        <f t="shared" si="2"/>
        <v>124005.74761957263</v>
      </c>
      <c r="O38" s="418">
        <f>(C38/Population_Tables!P12)*Population_Tables!D71</f>
        <v>0</v>
      </c>
      <c r="P38" s="418">
        <f>(D38/Population_Tables!Q12)*Population_Tables!E71</f>
        <v>0</v>
      </c>
      <c r="Q38" s="418">
        <f>((E38-H38)/Population_Tables!R12)*Population_Tables!F71</f>
        <v>74995.130133817511</v>
      </c>
      <c r="R38" s="418">
        <f>(F38/Population_Tables!S12)*Population_Tables!G71</f>
        <v>27979.956410103201</v>
      </c>
      <c r="S38" s="418">
        <f>(G38/Population_Tables!T12)*Population_Tables!H71</f>
        <v>21030.661075651922</v>
      </c>
      <c r="T38" s="418">
        <f>(H38/Population_Tables!U12)*Population_Tables!I71</f>
        <v>0</v>
      </c>
      <c r="U38" s="418">
        <f>(I38/Population_Tables!V12)*Population_Tables!J71</f>
        <v>0</v>
      </c>
      <c r="V38" s="418">
        <f>(J38/Population_Tables!W12)*Population_Tables!K71</f>
        <v>0</v>
      </c>
      <c r="W38" s="418">
        <f>(K38/Population_Tables!X12)*Population_Tables!L71</f>
        <v>0</v>
      </c>
      <c r="Y38" s="456">
        <v>2023</v>
      </c>
      <c r="Z38" s="459">
        <f>((B38/Population_Tables!O12)*Population_Tables!C12)-N38</f>
        <v>420347.50388200436</v>
      </c>
      <c r="AA38" s="459">
        <f>((C38/Population_Tables!P12)*Population_Tables!D12)-O38</f>
        <v>161793.54832102923</v>
      </c>
      <c r="AB38" s="459">
        <f>((D38/Population_Tables!Q12)*Population_Tables!E12)-P38</f>
        <v>49462.323062251729</v>
      </c>
      <c r="AC38" s="459">
        <f>((E38/Population_Tables!R12)*Population_Tables!F12)-Q38</f>
        <v>142896.73627051263</v>
      </c>
      <c r="AD38" s="459">
        <f>((F38/Population_Tables!S12)*Population_Tables!G12)-R38</f>
        <v>19577.788367650835</v>
      </c>
      <c r="AE38" s="459">
        <f>((G38/Population_Tables!T12)*Population_Tables!H12)-S38</f>
        <v>56291.908771636081</v>
      </c>
      <c r="AF38" s="459">
        <f>(H38/Population_Tables!U12)*Population_Tables!I12</f>
        <v>74183.839768933758</v>
      </c>
      <c r="AG38" s="459">
        <f>(I38/Population_Tables!V12)*Population_Tables!J12</f>
        <v>35307.110883285022</v>
      </c>
      <c r="AH38" s="459">
        <f>(J38/Population_Tables!W12)*Population_Tables!K12</f>
        <v>74327.479719353694</v>
      </c>
      <c r="AI38" s="459">
        <f>(K38/Population_Tables!X12)*Population_Tables!L12</f>
        <v>83119.703998728961</v>
      </c>
      <c r="AK38" s="456">
        <v>2023</v>
      </c>
      <c r="AL38" s="459">
        <f t="shared" si="6"/>
        <v>544353.25150157697</v>
      </c>
      <c r="AM38" s="459">
        <f t="shared" si="3"/>
        <v>161793.54832102923</v>
      </c>
      <c r="AN38" s="459">
        <f t="shared" si="3"/>
        <v>49462.323062251729</v>
      </c>
      <c r="AO38" s="459">
        <f t="shared" si="3"/>
        <v>217891.86640433013</v>
      </c>
      <c r="AP38" s="459">
        <f t="shared" si="3"/>
        <v>47557.744777754036</v>
      </c>
      <c r="AQ38" s="459">
        <f t="shared" si="3"/>
        <v>77322.569847288003</v>
      </c>
      <c r="AR38" s="459">
        <f t="shared" si="3"/>
        <v>74183.839768933758</v>
      </c>
      <c r="AS38" s="459">
        <f t="shared" si="3"/>
        <v>35307.110883285022</v>
      </c>
      <c r="AT38" s="459">
        <f t="shared" si="3"/>
        <v>74327.479719353694</v>
      </c>
      <c r="AU38" s="459">
        <f t="shared" si="3"/>
        <v>83119.703998728961</v>
      </c>
      <c r="AW38" s="216">
        <f>(B38/Population_Tables!O12)*Population_Tables!C12</f>
        <v>544353.25150157697</v>
      </c>
      <c r="AX38" s="153" t="str">
        <f t="shared" si="7"/>
        <v>OK</v>
      </c>
      <c r="AY38" s="421">
        <f t="shared" si="4"/>
        <v>554028.05241265311</v>
      </c>
      <c r="AZ38" s="153" t="str">
        <f t="shared" si="5"/>
        <v>OK</v>
      </c>
      <c r="BB38" s="216">
        <f>(C38/Population_Tables!P12)*Population_Tables!D12</f>
        <v>161793.54832102923</v>
      </c>
      <c r="BC38" s="216">
        <f>(D38/Population_Tables!Q12)*Population_Tables!E12</f>
        <v>49462.323062251729</v>
      </c>
      <c r="BD38" s="216">
        <f>(E38/Population_Tables!R12)*Population_Tables!F12</f>
        <v>217891.86640433015</v>
      </c>
      <c r="BE38" s="216">
        <f>(F38/Population_Tables!S12)*Population_Tables!G12</f>
        <v>47557.744777754036</v>
      </c>
      <c r="BF38" s="216">
        <f>(G38/Population_Tables!T12)*Population_Tables!H12</f>
        <v>77322.569847288003</v>
      </c>
      <c r="BG38" s="216"/>
      <c r="BN38" s="216"/>
      <c r="BO38" s="216"/>
      <c r="BP38" s="216"/>
    </row>
    <row r="39" spans="1:68" ht="15.6" x14ac:dyDescent="0.3">
      <c r="A39" s="206">
        <v>2024</v>
      </c>
      <c r="B39" s="229">
        <v>554193.80043844262</v>
      </c>
      <c r="C39" s="229">
        <v>163945.60359814396</v>
      </c>
      <c r="D39" s="229">
        <v>50253.594301175137</v>
      </c>
      <c r="E39" s="229">
        <v>222610.05834676838</v>
      </c>
      <c r="F39" s="229">
        <v>48538.693115533242</v>
      </c>
      <c r="G39" s="229">
        <v>78686.147051398424</v>
      </c>
      <c r="H39" s="229">
        <v>76411.884358661031</v>
      </c>
      <c r="I39" s="229">
        <v>36753.748098953118</v>
      </c>
      <c r="J39" s="229">
        <v>74719.326545897507</v>
      </c>
      <c r="K39" s="229">
        <v>83881.05952573524</v>
      </c>
      <c r="M39" s="206">
        <v>2024</v>
      </c>
      <c r="N39" s="419">
        <f t="shared" si="2"/>
        <v>127622.12521580359</v>
      </c>
      <c r="O39" s="418">
        <f>(C39/Population_Tables!P13)*Population_Tables!D72</f>
        <v>0</v>
      </c>
      <c r="P39" s="418">
        <f>(D39/Population_Tables!Q13)*Population_Tables!E72</f>
        <v>0</v>
      </c>
      <c r="Q39" s="418">
        <f>((E39-H39)/Population_Tables!R13)*Population_Tables!F72</f>
        <v>77154.759358172771</v>
      </c>
      <c r="R39" s="418">
        <f>(F39/Population_Tables!S13)*Population_Tables!G72</f>
        <v>28826.42399308224</v>
      </c>
      <c r="S39" s="418">
        <f>(G39/Population_Tables!T13)*Population_Tables!H72</f>
        <v>21640.941864548589</v>
      </c>
      <c r="T39" s="418">
        <f>(H39/Population_Tables!U13)*Population_Tables!I72</f>
        <v>0</v>
      </c>
      <c r="U39" s="418">
        <f>(I39/Population_Tables!V13)*Population_Tables!J72</f>
        <v>0</v>
      </c>
      <c r="V39" s="418">
        <f>(J39/Population_Tables!W13)*Population_Tables!K72</f>
        <v>0</v>
      </c>
      <c r="W39" s="418">
        <f>(K39/Population_Tables!X13)*Population_Tables!L72</f>
        <v>0</v>
      </c>
      <c r="Y39" s="456">
        <v>2024</v>
      </c>
      <c r="Z39" s="459">
        <f>((B39/Population_Tables!O13)*Population_Tables!C13)-N39</f>
        <v>430269.85726342699</v>
      </c>
      <c r="AA39" s="459">
        <f>((C39/Population_Tables!P13)*Population_Tables!D13)-O39</f>
        <v>164877.36225334683</v>
      </c>
      <c r="AB39" s="459">
        <f>((D39/Population_Tables!Q13)*Population_Tables!E13)-P39</f>
        <v>50548.49063821922</v>
      </c>
      <c r="AC39" s="459">
        <f>((E39/Population_Tables!R13)*Population_Tables!F13)-Q39</f>
        <v>146965.40028213558</v>
      </c>
      <c r="AD39" s="459">
        <f>((F39/Population_Tables!S13)*Population_Tables!G13)-R39</f>
        <v>20029.451334081987</v>
      </c>
      <c r="AE39" s="459">
        <f>((G39/Population_Tables!T13)*Population_Tables!H13)-S39</f>
        <v>57689.662580502394</v>
      </c>
      <c r="AF39" s="459">
        <f>(H39/Population_Tables!U13)*Population_Tables!I13</f>
        <v>76831.216498131849</v>
      </c>
      <c r="AG39" s="459">
        <f>(I39/Population_Tables!V13)*Population_Tables!J13</f>
        <v>37009.575505877307</v>
      </c>
      <c r="AH39" s="459">
        <f>(J39/Population_Tables!W13)*Population_Tables!K13</f>
        <v>75126.796186174688</v>
      </c>
      <c r="AI39" s="459">
        <f>(K39/Population_Tables!X13)*Population_Tables!L13</f>
        <v>84383.88286462726</v>
      </c>
      <c r="AK39" s="456">
        <v>2024</v>
      </c>
      <c r="AL39" s="459">
        <f t="shared" si="6"/>
        <v>557891.98247923062</v>
      </c>
      <c r="AM39" s="459">
        <f t="shared" si="3"/>
        <v>164877.36225334683</v>
      </c>
      <c r="AN39" s="459">
        <f t="shared" si="3"/>
        <v>50548.49063821922</v>
      </c>
      <c r="AO39" s="459">
        <f t="shared" si="3"/>
        <v>224120.15964030835</v>
      </c>
      <c r="AP39" s="459">
        <f t="shared" si="3"/>
        <v>48855.875327164227</v>
      </c>
      <c r="AQ39" s="459">
        <f t="shared" si="3"/>
        <v>79330.60444505098</v>
      </c>
      <c r="AR39" s="459">
        <f t="shared" si="3"/>
        <v>76831.216498131849</v>
      </c>
      <c r="AS39" s="459">
        <f t="shared" si="3"/>
        <v>37009.575505877307</v>
      </c>
      <c r="AT39" s="459">
        <f t="shared" si="3"/>
        <v>75126.796186174688</v>
      </c>
      <c r="AU39" s="459">
        <f t="shared" si="3"/>
        <v>84383.88286462726</v>
      </c>
      <c r="AW39" s="216">
        <f>(B39/Population_Tables!O13)*Population_Tables!C13</f>
        <v>557891.98247923062</v>
      </c>
      <c r="AX39" s="153" t="str">
        <f t="shared" si="7"/>
        <v>OK</v>
      </c>
      <c r="AY39" s="421">
        <f t="shared" si="4"/>
        <v>567732.4923040896</v>
      </c>
      <c r="AZ39" s="153" t="str">
        <f t="shared" si="5"/>
        <v>OK</v>
      </c>
      <c r="BB39" s="216">
        <f>(C39/Population_Tables!P13)*Population_Tables!D13</f>
        <v>164877.36225334683</v>
      </c>
      <c r="BC39" s="216">
        <f>(D39/Population_Tables!Q13)*Population_Tables!E13</f>
        <v>50548.49063821922</v>
      </c>
      <c r="BD39" s="216">
        <f>(E39/Population_Tables!R13)*Population_Tables!F13</f>
        <v>224120.15964030835</v>
      </c>
      <c r="BE39" s="216">
        <f>(F39/Population_Tables!S13)*Population_Tables!G13</f>
        <v>48855.875327164227</v>
      </c>
      <c r="BF39" s="216">
        <f>(G39/Population_Tables!T13)*Population_Tables!H13</f>
        <v>79330.60444505098</v>
      </c>
      <c r="BG39" s="216"/>
      <c r="BN39" s="216"/>
      <c r="BO39" s="216"/>
      <c r="BP39" s="216"/>
    </row>
    <row r="40" spans="1:68" ht="15.6" x14ac:dyDescent="0.3">
      <c r="A40" s="206">
        <v>2025</v>
      </c>
      <c r="B40" s="229">
        <v>566743.10597766459</v>
      </c>
      <c r="C40" s="229">
        <v>166765.07568477347</v>
      </c>
      <c r="D40" s="229">
        <v>51257.11814002406</v>
      </c>
      <c r="E40" s="229">
        <v>228409.01489250944</v>
      </c>
      <c r="F40" s="229">
        <v>49769.319672103622</v>
      </c>
      <c r="G40" s="229">
        <v>80535.018102282294</v>
      </c>
      <c r="H40" s="229">
        <v>78831.916901487042</v>
      </c>
      <c r="I40" s="229">
        <v>38411.109417188687</v>
      </c>
      <c r="J40" s="229">
        <v>75379.434724366292</v>
      </c>
      <c r="K40" s="229">
        <v>84975.587808226323</v>
      </c>
      <c r="M40" s="206">
        <v>2025</v>
      </c>
      <c r="N40" s="419">
        <f t="shared" si="2"/>
        <v>131424.91431669451</v>
      </c>
      <c r="O40" s="418">
        <f>(C40/Population_Tables!P14)*Population_Tables!D73</f>
        <v>0</v>
      </c>
      <c r="P40" s="418">
        <f>(D40/Population_Tables!Q14)*Population_Tables!E73</f>
        <v>0</v>
      </c>
      <c r="Q40" s="418">
        <f>((E40-H40)/Population_Tables!R14)*Population_Tables!F73</f>
        <v>79446.621751280923</v>
      </c>
      <c r="R40" s="418">
        <f>(F40/Population_Tables!S14)*Population_Tables!G73</f>
        <v>29705.563398966347</v>
      </c>
      <c r="S40" s="418">
        <f>(G40/Population_Tables!T14)*Population_Tables!H73</f>
        <v>22272.72916644724</v>
      </c>
      <c r="T40" s="418">
        <f>(H40/Population_Tables!U14)*Population_Tables!I73</f>
        <v>0</v>
      </c>
      <c r="U40" s="418">
        <f>(I40/Population_Tables!V14)*Population_Tables!J73</f>
        <v>0</v>
      </c>
      <c r="V40" s="418">
        <f>(J40/Population_Tables!W14)*Population_Tables!K73</f>
        <v>0</v>
      </c>
      <c r="W40" s="418">
        <f>(K40/Population_Tables!X14)*Population_Tables!L73</f>
        <v>0</v>
      </c>
      <c r="Y40" s="456">
        <v>2025</v>
      </c>
      <c r="Z40" s="459">
        <f>((B40/Population_Tables!O14)*Population_Tables!C14)-N40</f>
        <v>440365.0040359064</v>
      </c>
      <c r="AA40" s="459">
        <f>((C40/Population_Tables!P14)*Population_Tables!D14)-O40</f>
        <v>168034.54839120025</v>
      </c>
      <c r="AB40" s="459">
        <f>((D40/Population_Tables!Q14)*Population_Tables!E14)-P40</f>
        <v>51653.487899310276</v>
      </c>
      <c r="AC40" s="459">
        <f>((E40/Population_Tables!R14)*Population_Tables!F14)-Q40</f>
        <v>151043.46049018129</v>
      </c>
      <c r="AD40" s="459">
        <f>((F40/Population_Tables!S14)*Population_Tables!G14)-R40</f>
        <v>20493.795545443594</v>
      </c>
      <c r="AE40" s="459">
        <f>((G40/Population_Tables!T14)*Population_Tables!H14)-S40</f>
        <v>59130.21675166997</v>
      </c>
      <c r="AF40" s="459">
        <f>(H40/Population_Tables!U14)*Population_Tables!I14</f>
        <v>79406.289674710002</v>
      </c>
      <c r="AG40" s="459">
        <f>(I40/Population_Tables!V14)*Population_Tables!J14</f>
        <v>38772.15826267442</v>
      </c>
      <c r="AH40" s="459">
        <f>(J40/Population_Tables!W14)*Population_Tables!K14</f>
        <v>75926.653877651232</v>
      </c>
      <c r="AI40" s="459">
        <f>(K40/Population_Tables!X14)*Population_Tables!L14</f>
        <v>85661.531672305835</v>
      </c>
      <c r="AK40" s="456">
        <v>2025</v>
      </c>
      <c r="AL40" s="459">
        <f t="shared" si="6"/>
        <v>571789.91835260089</v>
      </c>
      <c r="AM40" s="459">
        <f t="shared" si="3"/>
        <v>168034.54839120025</v>
      </c>
      <c r="AN40" s="459">
        <f t="shared" si="3"/>
        <v>51653.487899310276</v>
      </c>
      <c r="AO40" s="459">
        <f t="shared" si="3"/>
        <v>230490.08224146219</v>
      </c>
      <c r="AP40" s="459">
        <f t="shared" si="3"/>
        <v>50199.358944409942</v>
      </c>
      <c r="AQ40" s="459">
        <f t="shared" si="3"/>
        <v>81402.945918117213</v>
      </c>
      <c r="AR40" s="459">
        <f t="shared" si="3"/>
        <v>79406.289674710002</v>
      </c>
      <c r="AS40" s="459">
        <f t="shared" si="3"/>
        <v>38772.15826267442</v>
      </c>
      <c r="AT40" s="459">
        <f t="shared" si="3"/>
        <v>75926.653877651232</v>
      </c>
      <c r="AU40" s="459">
        <f t="shared" si="3"/>
        <v>85661.531672305835</v>
      </c>
      <c r="AW40" s="216">
        <f>(B40/Population_Tables!O14)*Population_Tables!C14</f>
        <v>571789.91835260089</v>
      </c>
      <c r="AX40" s="153" t="str">
        <f t="shared" si="7"/>
        <v>OK</v>
      </c>
      <c r="AY40" s="421">
        <f t="shared" si="4"/>
        <v>581780.42339449993</v>
      </c>
      <c r="AZ40" s="153" t="str">
        <f t="shared" si="5"/>
        <v>OK</v>
      </c>
      <c r="BB40" s="216">
        <f>(C40/Population_Tables!P14)*Population_Tables!D14</f>
        <v>168034.54839120025</v>
      </c>
      <c r="BC40" s="216">
        <f>(D40/Population_Tables!Q14)*Population_Tables!E14</f>
        <v>51653.487899310276</v>
      </c>
      <c r="BD40" s="216">
        <f>(E40/Population_Tables!R14)*Population_Tables!F14</f>
        <v>230490.08224146222</v>
      </c>
      <c r="BE40" s="216">
        <f>(F40/Population_Tables!S14)*Population_Tables!G14</f>
        <v>50199.358944409942</v>
      </c>
      <c r="BF40" s="216">
        <f>(G40/Population_Tables!T14)*Population_Tables!H14</f>
        <v>81402.945918117213</v>
      </c>
      <c r="BG40" s="216"/>
      <c r="BN40" s="216"/>
      <c r="BO40" s="216"/>
      <c r="BP40" s="216"/>
    </row>
    <row r="41" spans="1:68" ht="15.6" x14ac:dyDescent="0.3">
      <c r="A41" s="206">
        <v>2026</v>
      </c>
      <c r="B41" s="229">
        <v>579491.12337036466</v>
      </c>
      <c r="C41" s="229">
        <v>169621.02920525064</v>
      </c>
      <c r="D41" s="229">
        <v>52269.614744266728</v>
      </c>
      <c r="E41" s="229">
        <v>234280.28495868461</v>
      </c>
      <c r="F41" s="229">
        <v>51031.671324168565</v>
      </c>
      <c r="G41" s="229">
        <v>82414.897889616448</v>
      </c>
      <c r="H41" s="229">
        <v>81162.744999950533</v>
      </c>
      <c r="I41" s="229">
        <v>40111.497790092799</v>
      </c>
      <c r="J41" s="229">
        <v>76026.870451840092</v>
      </c>
      <c r="K41" s="229">
        <v>86063.401732618877</v>
      </c>
      <c r="M41" s="206">
        <v>2026</v>
      </c>
      <c r="N41" s="419">
        <f t="shared" si="2"/>
        <v>135414.06551283906</v>
      </c>
      <c r="O41" s="418">
        <f>(C41/Population_Tables!P15)*Population_Tables!D74</f>
        <v>0</v>
      </c>
      <c r="P41" s="418">
        <f>(D41/Population_Tables!Q15)*Population_Tables!E74</f>
        <v>0</v>
      </c>
      <c r="Q41" s="418">
        <f>((E41-H41)/Population_Tables!R15)*Population_Tables!F74</f>
        <v>81869.656405267568</v>
      </c>
      <c r="R41" s="418">
        <f>(F41/Population_Tables!S15)*Population_Tables!G74</f>
        <v>30617.890349215177</v>
      </c>
      <c r="S41" s="418">
        <f>(G41/Population_Tables!T15)*Population_Tables!H74</f>
        <v>22926.518758356331</v>
      </c>
      <c r="T41" s="418">
        <f>(H41/Population_Tables!U15)*Population_Tables!I74</f>
        <v>0</v>
      </c>
      <c r="U41" s="418">
        <f>(I41/Population_Tables!V15)*Population_Tables!J74</f>
        <v>0</v>
      </c>
      <c r="V41" s="418">
        <f>(J41/Population_Tables!W15)*Population_Tables!K74</f>
        <v>0</v>
      </c>
      <c r="W41" s="418">
        <f>(K41/Population_Tables!X15)*Population_Tables!L74</f>
        <v>0</v>
      </c>
      <c r="Y41" s="456">
        <v>2026</v>
      </c>
      <c r="Z41" s="459">
        <f>((B41/Population_Tables!O15)*Population_Tables!C15)-N41</f>
        <v>450634.11272679752</v>
      </c>
      <c r="AA41" s="459">
        <f>((C41/Population_Tables!P15)*Population_Tables!D15)-O41</f>
        <v>171264.50023224135</v>
      </c>
      <c r="AB41" s="459">
        <f>((D41/Population_Tables!Q15)*Population_Tables!E15)-P41</f>
        <v>52778.690548690662</v>
      </c>
      <c r="AC41" s="459">
        <f>((E41/Population_Tables!R15)*Population_Tables!F15)-Q41</f>
        <v>155129.99176188503</v>
      </c>
      <c r="AD41" s="459">
        <f>((F41/Population_Tables!S15)*Population_Tables!G15)-R41</f>
        <v>20971.436989367114</v>
      </c>
      <c r="AE41" s="459">
        <f>((G41/Population_Tables!T15)*Population_Tables!H15)-S41</f>
        <v>60614.415625993053</v>
      </c>
      <c r="AF41" s="459">
        <f>(H41/Population_Tables!U15)*Population_Tables!I15</f>
        <v>81910.201946731075</v>
      </c>
      <c r="AG41" s="459">
        <f>(I41/Population_Tables!V15)*Population_Tables!J15</f>
        <v>40592.912991761965</v>
      </c>
      <c r="AH41" s="459">
        <f>(J41/Population_Tables!W15)*Population_Tables!K15</f>
        <v>76726.188382700508</v>
      </c>
      <c r="AI41" s="459">
        <f>(K41/Population_Tables!X15)*Population_Tables!L15</f>
        <v>86951.262236985742</v>
      </c>
      <c r="AK41" s="456">
        <v>2026</v>
      </c>
      <c r="AL41" s="459">
        <f t="shared" si="6"/>
        <v>586048.17823963659</v>
      </c>
      <c r="AM41" s="459">
        <f t="shared" si="3"/>
        <v>171264.50023224135</v>
      </c>
      <c r="AN41" s="459">
        <f t="shared" si="3"/>
        <v>52778.690548690662</v>
      </c>
      <c r="AO41" s="459">
        <f t="shared" si="3"/>
        <v>236999.6481671526</v>
      </c>
      <c r="AP41" s="459">
        <f t="shared" si="3"/>
        <v>51589.32733858229</v>
      </c>
      <c r="AQ41" s="459">
        <f t="shared" si="3"/>
        <v>83540.934384349384</v>
      </c>
      <c r="AR41" s="459">
        <f t="shared" si="3"/>
        <v>81910.201946731075</v>
      </c>
      <c r="AS41" s="459">
        <f t="shared" si="3"/>
        <v>40592.912991761965</v>
      </c>
      <c r="AT41" s="459">
        <f t="shared" si="3"/>
        <v>76726.188382700508</v>
      </c>
      <c r="AU41" s="459">
        <f t="shared" si="3"/>
        <v>86951.262236985742</v>
      </c>
      <c r="AW41" s="216">
        <f>(B41/Population_Tables!O15)*Population_Tables!C15</f>
        <v>586048.17823963659</v>
      </c>
      <c r="AX41" s="153" t="str">
        <f t="shared" si="7"/>
        <v>OK</v>
      </c>
      <c r="AY41" s="421">
        <f t="shared" si="4"/>
        <v>596173.10067101638</v>
      </c>
      <c r="AZ41" s="153" t="str">
        <f t="shared" si="5"/>
        <v>OK</v>
      </c>
      <c r="BB41" s="216">
        <f>(C41/Population_Tables!P15)*Population_Tables!D15</f>
        <v>171264.50023224135</v>
      </c>
      <c r="BC41" s="216">
        <f>(D41/Population_Tables!Q15)*Population_Tables!E15</f>
        <v>52778.690548690662</v>
      </c>
      <c r="BD41" s="216">
        <f>(E41/Population_Tables!R15)*Population_Tables!F15</f>
        <v>236999.6481671526</v>
      </c>
      <c r="BE41" s="216">
        <f>(F41/Population_Tables!S15)*Population_Tables!G15</f>
        <v>51589.32733858229</v>
      </c>
      <c r="BF41" s="216">
        <f>(G41/Population_Tables!T15)*Population_Tables!H15</f>
        <v>83540.934384349384</v>
      </c>
      <c r="BG41" s="216"/>
      <c r="BN41" s="216"/>
      <c r="BO41" s="216"/>
      <c r="BP41" s="216"/>
    </row>
    <row r="42" spans="1:68" ht="15.6" x14ac:dyDescent="0.3">
      <c r="A42" s="206">
        <v>2027</v>
      </c>
      <c r="B42" s="229">
        <v>592442.29012338049</v>
      </c>
      <c r="C42" s="229">
        <v>172514.73761676633</v>
      </c>
      <c r="D42" s="229">
        <v>53291.896287165167</v>
      </c>
      <c r="E42" s="229">
        <v>240225.21893666952</v>
      </c>
      <c r="F42" s="229">
        <v>52326.395309159328</v>
      </c>
      <c r="G42" s="229">
        <v>84325.537309288571</v>
      </c>
      <c r="H42" s="229">
        <v>83406.283338700479</v>
      </c>
      <c r="I42" s="229">
        <v>41853.385102766857</v>
      </c>
      <c r="J42" s="229">
        <v>76661.809392623691</v>
      </c>
      <c r="K42" s="229">
        <v>87144.583046676926</v>
      </c>
      <c r="M42" s="206">
        <v>2027</v>
      </c>
      <c r="N42" s="419">
        <f t="shared" si="2"/>
        <v>139589.84847709013</v>
      </c>
      <c r="O42" s="418">
        <f>(C42/Population_Tables!P16)*Population_Tables!D75</f>
        <v>0</v>
      </c>
      <c r="P42" s="418">
        <f>(D42/Population_Tables!Q16)*Population_Tables!E75</f>
        <v>0</v>
      </c>
      <c r="Q42" s="418">
        <f>((E42-H42)/Population_Tables!R16)*Population_Tables!F75</f>
        <v>84424.271372558098</v>
      </c>
      <c r="R42" s="418">
        <f>(F42/Population_Tables!S16)*Population_Tables!G75</f>
        <v>31563.750373967072</v>
      </c>
      <c r="S42" s="418">
        <f>(G42/Population_Tables!T16)*Population_Tables!H75</f>
        <v>23601.826730564957</v>
      </c>
      <c r="T42" s="418">
        <f>(H42/Population_Tables!U16)*Population_Tables!I75</f>
        <v>0</v>
      </c>
      <c r="U42" s="418">
        <f>(I42/Population_Tables!V16)*Population_Tables!J75</f>
        <v>0</v>
      </c>
      <c r="V42" s="418">
        <f>(J42/Population_Tables!W16)*Population_Tables!K75</f>
        <v>0</v>
      </c>
      <c r="W42" s="418">
        <f>(K42/Population_Tables!X16)*Population_Tables!L75</f>
        <v>0</v>
      </c>
      <c r="Y42" s="456">
        <v>2027</v>
      </c>
      <c r="Z42" s="459">
        <f>((B42/Population_Tables!O16)*Population_Tables!C16)-N42</f>
        <v>461078.32323750877</v>
      </c>
      <c r="AA42" s="459">
        <f>((C42/Population_Tables!P16)*Population_Tables!D16)-O42</f>
        <v>174567.92214853689</v>
      </c>
      <c r="AB42" s="459">
        <f>((D42/Population_Tables!Q16)*Population_Tables!E16)-P42</f>
        <v>53925.701815307431</v>
      </c>
      <c r="AC42" s="459">
        <f>((E42/Population_Tables!R16)*Population_Tables!F16)-Q42</f>
        <v>159225.25228016236</v>
      </c>
      <c r="AD42" s="459">
        <f>((F42/Population_Tables!S16)*Population_Tables!G16)-R42</f>
        <v>21462.63437707616</v>
      </c>
      <c r="AE42" s="459">
        <f>((G42/Population_Tables!T16)*Population_Tables!H16)-S42</f>
        <v>62139.65051590182</v>
      </c>
      <c r="AF42" s="459">
        <f>(H42/Population_Tables!U16)*Population_Tables!I16</f>
        <v>84344.574254873674</v>
      </c>
      <c r="AG42" s="459">
        <f>(I42/Population_Tables!V16)*Population_Tables!J16</f>
        <v>42470.457005610995</v>
      </c>
      <c r="AH42" s="459">
        <f>(J42/Population_Tables!W16)*Population_Tables!K16</f>
        <v>77525.029820390773</v>
      </c>
      <c r="AI42" s="459">
        <f>(K42/Population_Tables!X16)*Population_Tables!L16</f>
        <v>88252.530839186336</v>
      </c>
      <c r="AK42" s="456">
        <v>2027</v>
      </c>
      <c r="AL42" s="459">
        <f t="shared" si="6"/>
        <v>600668.1717145989</v>
      </c>
      <c r="AM42" s="459">
        <f t="shared" si="3"/>
        <v>174567.92214853689</v>
      </c>
      <c r="AN42" s="459">
        <f t="shared" si="3"/>
        <v>53925.701815307431</v>
      </c>
      <c r="AO42" s="459">
        <f t="shared" si="3"/>
        <v>243649.52365272044</v>
      </c>
      <c r="AP42" s="459">
        <f t="shared" si="3"/>
        <v>53026.384751043232</v>
      </c>
      <c r="AQ42" s="459">
        <f t="shared" si="3"/>
        <v>85741.477246466777</v>
      </c>
      <c r="AR42" s="459">
        <f t="shared" si="3"/>
        <v>84344.574254873674</v>
      </c>
      <c r="AS42" s="459">
        <f t="shared" si="3"/>
        <v>42470.457005610995</v>
      </c>
      <c r="AT42" s="459">
        <f t="shared" si="3"/>
        <v>77525.029820390773</v>
      </c>
      <c r="AU42" s="459">
        <f t="shared" si="3"/>
        <v>88252.530839186336</v>
      </c>
      <c r="AW42" s="216">
        <f>(B42/Population_Tables!O16)*Population_Tables!C16</f>
        <v>600668.1717145989</v>
      </c>
      <c r="AX42" s="153" t="str">
        <f t="shared" si="7"/>
        <v>OK</v>
      </c>
      <c r="AY42" s="421">
        <f t="shared" si="4"/>
        <v>610911.00961407484</v>
      </c>
      <c r="AZ42" s="153" t="str">
        <f t="shared" si="5"/>
        <v>OK</v>
      </c>
      <c r="BB42" s="216">
        <f>(C42/Population_Tables!P16)*Population_Tables!D16</f>
        <v>174567.92214853689</v>
      </c>
      <c r="BC42" s="216">
        <f>(D42/Population_Tables!Q16)*Population_Tables!E16</f>
        <v>53925.701815307431</v>
      </c>
      <c r="BD42" s="216">
        <f>(E42/Population_Tables!R16)*Population_Tables!F16</f>
        <v>243649.52365272044</v>
      </c>
      <c r="BE42" s="216">
        <f>(F42/Population_Tables!S16)*Population_Tables!G16</f>
        <v>53026.384751043232</v>
      </c>
      <c r="BF42" s="216">
        <f>(G42/Population_Tables!T16)*Population_Tables!H16</f>
        <v>85741.477246466777</v>
      </c>
      <c r="BG42" s="216"/>
      <c r="BN42" s="216"/>
      <c r="BO42" s="216"/>
      <c r="BP42" s="216"/>
    </row>
    <row r="43" spans="1:68" ht="15.6" x14ac:dyDescent="0.3">
      <c r="A43" s="206">
        <v>2028</v>
      </c>
      <c r="B43" s="229">
        <v>605601.04374354961</v>
      </c>
      <c r="C43" s="229">
        <v>175447.47437651141</v>
      </c>
      <c r="D43" s="229">
        <v>54324.774941981406</v>
      </c>
      <c r="E43" s="229">
        <v>246245.16721783986</v>
      </c>
      <c r="F43" s="229">
        <v>53654.138864507186</v>
      </c>
      <c r="G43" s="229">
        <v>86266.687257186335</v>
      </c>
      <c r="H43" s="229">
        <v>85564.446602385811</v>
      </c>
      <c r="I43" s="229">
        <v>43635.243240312237</v>
      </c>
      <c r="J43" s="229">
        <v>77284.42721102183</v>
      </c>
      <c r="K43" s="229">
        <v>88219.213498164507</v>
      </c>
      <c r="M43" s="206">
        <v>2028</v>
      </c>
      <c r="N43" s="419">
        <f t="shared" si="2"/>
        <v>143955.12089076129</v>
      </c>
      <c r="O43" s="418">
        <f>(C43/Population_Tables!P17)*Population_Tables!D76</f>
        <v>0</v>
      </c>
      <c r="P43" s="418">
        <f>(D43/Population_Tables!Q17)*Population_Tables!E76</f>
        <v>0</v>
      </c>
      <c r="Q43" s="418">
        <f>((E43-H43)/Population_Tables!R17)*Population_Tables!F76</f>
        <v>87112.439322767081</v>
      </c>
      <c r="R43" s="418">
        <f>(F43/Population_Tables!S17)*Population_Tables!G76</f>
        <v>32543.758079282063</v>
      </c>
      <c r="S43" s="418">
        <f>(G43/Population_Tables!T17)*Population_Tables!H76</f>
        <v>24298.923488712135</v>
      </c>
      <c r="T43" s="418">
        <f>(H43/Population_Tables!U17)*Population_Tables!I76</f>
        <v>0</v>
      </c>
      <c r="U43" s="418">
        <f>(I43/Population_Tables!V17)*Population_Tables!J76</f>
        <v>0</v>
      </c>
      <c r="V43" s="418">
        <f>(J43/Population_Tables!W17)*Population_Tables!K76</f>
        <v>0</v>
      </c>
      <c r="W43" s="418">
        <f>(K43/Population_Tables!X17)*Population_Tables!L76</f>
        <v>0</v>
      </c>
      <c r="Y43" s="456">
        <v>2028</v>
      </c>
      <c r="Z43" s="459">
        <f>((B43/Population_Tables!O17)*Population_Tables!C17)-N43</f>
        <v>471702.34208567138</v>
      </c>
      <c r="AA43" s="459">
        <f>((C43/Population_Tables!P17)*Population_Tables!D17)-O43</f>
        <v>177946.80370085864</v>
      </c>
      <c r="AB43" s="459">
        <f>((D43/Population_Tables!Q17)*Population_Tables!E17)-P43</f>
        <v>55095.559380066021</v>
      </c>
      <c r="AC43" s="459">
        <f>((E43/Population_Tables!R17)*Population_Tables!F17)-Q43</f>
        <v>163331.01019179233</v>
      </c>
      <c r="AD43" s="459">
        <f>((F43/Population_Tables!S17)*Population_Tables!G17)-R43</f>
        <v>21967.641442081938</v>
      </c>
      <c r="AE43" s="459">
        <f>((G43/Population_Tables!T17)*Population_Tables!H17)-S43</f>
        <v>63704.688517865645</v>
      </c>
      <c r="AF43" s="459">
        <f>(H43/Population_Tables!U17)*Population_Tables!I17</f>
        <v>86711.506187381223</v>
      </c>
      <c r="AG43" s="459">
        <f>(I43/Population_Tables!V17)*Population_Tables!J17</f>
        <v>44404.282972762128</v>
      </c>
      <c r="AH43" s="459">
        <f>(J43/Population_Tables!W17)*Population_Tables!K17</f>
        <v>78323.308872939451</v>
      </c>
      <c r="AI43" s="459">
        <f>(K43/Population_Tables!X17)*Population_Tables!L17</f>
        <v>89565.53211003427</v>
      </c>
      <c r="AK43" s="456">
        <v>2028</v>
      </c>
      <c r="AL43" s="459">
        <f t="shared" si="6"/>
        <v>615657.46297643264</v>
      </c>
      <c r="AM43" s="459">
        <f t="shared" si="3"/>
        <v>177946.80370085864</v>
      </c>
      <c r="AN43" s="459">
        <f t="shared" si="3"/>
        <v>55095.559380066021</v>
      </c>
      <c r="AO43" s="459">
        <f t="shared" si="3"/>
        <v>250443.44951455941</v>
      </c>
      <c r="AP43" s="459">
        <f t="shared" si="3"/>
        <v>54511.399521364001</v>
      </c>
      <c r="AQ43" s="459">
        <f t="shared" si="3"/>
        <v>88003.61200657778</v>
      </c>
      <c r="AR43" s="459">
        <f t="shared" si="3"/>
        <v>86711.506187381223</v>
      </c>
      <c r="AS43" s="459">
        <f t="shared" si="3"/>
        <v>44404.282972762128</v>
      </c>
      <c r="AT43" s="459">
        <f t="shared" si="3"/>
        <v>78323.308872939451</v>
      </c>
      <c r="AU43" s="459">
        <f t="shared" si="3"/>
        <v>89565.53211003427</v>
      </c>
      <c r="AW43" s="216">
        <f>(B43/Population_Tables!O17)*Population_Tables!C17</f>
        <v>615657.46297643264</v>
      </c>
      <c r="AX43" s="153" t="str">
        <f t="shared" si="7"/>
        <v>OK</v>
      </c>
      <c r="AY43" s="421">
        <f t="shared" si="4"/>
        <v>626000.82412342587</v>
      </c>
      <c r="AZ43" s="153" t="str">
        <f t="shared" si="5"/>
        <v>OK</v>
      </c>
      <c r="BB43" s="216">
        <f>(C43/Population_Tables!P17)*Population_Tables!D17</f>
        <v>177946.80370085864</v>
      </c>
      <c r="BC43" s="216">
        <f>(D43/Population_Tables!Q17)*Population_Tables!E17</f>
        <v>55095.559380066021</v>
      </c>
      <c r="BD43" s="216">
        <f>(E43/Population_Tables!R17)*Population_Tables!F17</f>
        <v>250443.44951455941</v>
      </c>
      <c r="BE43" s="216">
        <f>(F43/Population_Tables!S17)*Population_Tables!G17</f>
        <v>54511.399521364001</v>
      </c>
      <c r="BF43" s="216">
        <f>(G43/Population_Tables!T17)*Population_Tables!H17</f>
        <v>88003.61200657778</v>
      </c>
      <c r="BG43" s="216"/>
      <c r="BN43" s="216"/>
      <c r="BO43" s="216"/>
      <c r="BP43" s="216"/>
    </row>
    <row r="44" spans="1:68" ht="15.6" x14ac:dyDescent="0.3">
      <c r="A44" s="206">
        <v>2029</v>
      </c>
      <c r="B44" s="229">
        <v>618971.82173770946</v>
      </c>
      <c r="C44" s="229">
        <v>178420.51294167674</v>
      </c>
      <c r="D44" s="229">
        <v>55369.062881977479</v>
      </c>
      <c r="E44" s="229">
        <v>252341.48019357133</v>
      </c>
      <c r="F44" s="229">
        <v>55015.549227643409</v>
      </c>
      <c r="G44" s="229">
        <v>88238.098629197455</v>
      </c>
      <c r="H44" s="229">
        <v>87639.149475655475</v>
      </c>
      <c r="I44" s="229">
        <v>45455.544087830349</v>
      </c>
      <c r="J44" s="229">
        <v>77894.899571339309</v>
      </c>
      <c r="K44" s="229">
        <v>89287.374834845599</v>
      </c>
      <c r="M44" s="206">
        <v>2029</v>
      </c>
      <c r="N44" s="419">
        <f t="shared" si="2"/>
        <v>148513.75942081262</v>
      </c>
      <c r="O44" s="418">
        <f>(C44/Population_Tables!P18)*Population_Tables!D77</f>
        <v>0</v>
      </c>
      <c r="P44" s="418">
        <f>(D44/Population_Tables!Q18)*Population_Tables!E77</f>
        <v>0</v>
      </c>
      <c r="Q44" s="418">
        <f>((E44-H44)/Population_Tables!R18)*Population_Tables!F77</f>
        <v>89937.318416377588</v>
      </c>
      <c r="R44" s="418">
        <f>(F44/Population_Tables!S18)*Population_Tables!G77</f>
        <v>33558.527580751623</v>
      </c>
      <c r="S44" s="418">
        <f>(G44/Population_Tables!T18)*Population_Tables!H77</f>
        <v>25017.913423683396</v>
      </c>
      <c r="T44" s="418">
        <f>(H44/Population_Tables!U18)*Population_Tables!I77</f>
        <v>0</v>
      </c>
      <c r="U44" s="418">
        <f>(I44/Population_Tables!V18)*Population_Tables!J77</f>
        <v>0</v>
      </c>
      <c r="V44" s="418">
        <f>(J44/Population_Tables!W18)*Population_Tables!K77</f>
        <v>0</v>
      </c>
      <c r="W44" s="418">
        <f>(K44/Population_Tables!X18)*Population_Tables!L77</f>
        <v>0</v>
      </c>
      <c r="Y44" s="456">
        <v>2029</v>
      </c>
      <c r="Z44" s="459">
        <f>((B44/Population_Tables!O18)*Population_Tables!C18)-N44</f>
        <v>482511.96905093419</v>
      </c>
      <c r="AA44" s="459">
        <f>((C44/Population_Tables!P18)*Population_Tables!D18)-O44</f>
        <v>181404.04677529851</v>
      </c>
      <c r="AB44" s="459">
        <f>((D44/Population_Tables!Q18)*Population_Tables!E18)-P44</f>
        <v>56289.157368734908</v>
      </c>
      <c r="AC44" s="459">
        <f>((E44/Population_Tables!R18)*Population_Tables!F18)-Q44</f>
        <v>167450.12352860867</v>
      </c>
      <c r="AD44" s="459">
        <f>((F44/Population_Tables!S18)*Population_Tables!G18)-R44</f>
        <v>22486.569152115349</v>
      </c>
      <c r="AE44" s="459">
        <f>((G44/Population_Tables!T18)*Population_Tables!H18)-S44</f>
        <v>65307.287875733833</v>
      </c>
      <c r="AF44" s="459">
        <f>(H44/Population_Tables!U18)*Population_Tables!I18</f>
        <v>89013.497267721687</v>
      </c>
      <c r="AG44" s="459">
        <f>(I44/Population_Tables!V18)*Population_Tables!J18</f>
        <v>46394.510034976054</v>
      </c>
      <c r="AH44" s="459">
        <f>(J44/Population_Tables!W18)*Population_Tables!K18</f>
        <v>79121.456175142463</v>
      </c>
      <c r="AI44" s="459">
        <f>(K44/Population_Tables!X18)*Population_Tables!L18</f>
        <v>90891.019232094259</v>
      </c>
      <c r="AK44" s="456">
        <v>2029</v>
      </c>
      <c r="AL44" s="459">
        <f t="shared" si="6"/>
        <v>631025.72847174678</v>
      </c>
      <c r="AM44" s="459">
        <f t="shared" si="3"/>
        <v>181404.04677529851</v>
      </c>
      <c r="AN44" s="459">
        <f t="shared" si="3"/>
        <v>56289.157368734908</v>
      </c>
      <c r="AO44" s="459">
        <f t="shared" si="3"/>
        <v>257387.44194498626</v>
      </c>
      <c r="AP44" s="459">
        <f t="shared" si="3"/>
        <v>56045.096732866972</v>
      </c>
      <c r="AQ44" s="459">
        <f t="shared" si="3"/>
        <v>90325.201299417226</v>
      </c>
      <c r="AR44" s="459">
        <f t="shared" si="3"/>
        <v>89013.497267721687</v>
      </c>
      <c r="AS44" s="459">
        <f t="shared" si="3"/>
        <v>46394.510034976054</v>
      </c>
      <c r="AT44" s="459">
        <f t="shared" si="3"/>
        <v>79121.456175142463</v>
      </c>
      <c r="AU44" s="459">
        <f t="shared" si="3"/>
        <v>90891.019232094259</v>
      </c>
      <c r="AW44" s="216">
        <f>(B44/Population_Tables!O18)*Population_Tables!C18</f>
        <v>631025.72847174678</v>
      </c>
      <c r="AX44" s="153" t="str">
        <f t="shared" si="7"/>
        <v>OK</v>
      </c>
      <c r="AY44" s="421">
        <f t="shared" si="4"/>
        <v>641450.94412130385</v>
      </c>
      <c r="AZ44" s="153" t="str">
        <f t="shared" si="5"/>
        <v>OK</v>
      </c>
      <c r="BB44" s="216">
        <f>(C44/Population_Tables!P18)*Population_Tables!D18</f>
        <v>181404.04677529851</v>
      </c>
      <c r="BC44" s="216">
        <f>(D44/Population_Tables!Q18)*Population_Tables!E18</f>
        <v>56289.157368734908</v>
      </c>
      <c r="BD44" s="216">
        <f>(E44/Population_Tables!R18)*Population_Tables!F18</f>
        <v>257387.44194498626</v>
      </c>
      <c r="BE44" s="216">
        <f>(F44/Population_Tables!S18)*Population_Tables!G18</f>
        <v>56045.096732866972</v>
      </c>
      <c r="BF44" s="216">
        <f>(G44/Population_Tables!T18)*Population_Tables!H18</f>
        <v>90325.201299417226</v>
      </c>
      <c r="BG44" s="216"/>
      <c r="BN44" s="216"/>
      <c r="BO44" s="216"/>
      <c r="BP44" s="216"/>
    </row>
    <row r="45" spans="1:68" ht="15.6" x14ac:dyDescent="0.3">
      <c r="A45" s="206">
        <v>2030</v>
      </c>
      <c r="B45" s="229">
        <v>632559.06161269755</v>
      </c>
      <c r="C45" s="229">
        <v>181435.1267694532</v>
      </c>
      <c r="D45" s="229">
        <v>56425.572280415399</v>
      </c>
      <c r="E45" s="229">
        <v>258515.50825523961</v>
      </c>
      <c r="F45" s="229">
        <v>56411.273635999256</v>
      </c>
      <c r="G45" s="229">
        <v>90239.522321209617</v>
      </c>
      <c r="H45" s="229">
        <v>89632.306643158401</v>
      </c>
      <c r="I45" s="229">
        <v>47312.759530422569</v>
      </c>
      <c r="J45" s="229">
        <v>78493.402137880854</v>
      </c>
      <c r="K45" s="229">
        <v>90349.14880448427</v>
      </c>
      <c r="M45" s="206">
        <v>2030</v>
      </c>
      <c r="N45" s="419">
        <f t="shared" si="2"/>
        <v>153269.83803014757</v>
      </c>
      <c r="O45" s="418">
        <f>(C45/Population_Tables!P19)*Population_Tables!D78</f>
        <v>0</v>
      </c>
      <c r="P45" s="418">
        <f>(D45/Population_Tables!Q19)*Population_Tables!E78</f>
        <v>0</v>
      </c>
      <c r="Q45" s="418">
        <f>((E45-H45)/Population_Tables!R19)*Population_Tables!F78</f>
        <v>92902.110011206212</v>
      </c>
      <c r="R45" s="418">
        <f>(F45/Population_Tables!S19)*Population_Tables!G78</f>
        <v>34608.741127204397</v>
      </c>
      <c r="S45" s="418">
        <f>(G45/Population_Tables!T19)*Population_Tables!H78</f>
        <v>25758.986891736968</v>
      </c>
      <c r="T45" s="418">
        <f>(H45/Population_Tables!U19)*Population_Tables!I78</f>
        <v>0</v>
      </c>
      <c r="U45" s="418">
        <f>(I45/Population_Tables!V19)*Population_Tables!J78</f>
        <v>0</v>
      </c>
      <c r="V45" s="418">
        <f>(J45/Population_Tables!W19)*Population_Tables!K78</f>
        <v>0</v>
      </c>
      <c r="W45" s="418">
        <f>(K45/Population_Tables!X19)*Population_Tables!L78</f>
        <v>0</v>
      </c>
      <c r="Y45" s="456">
        <v>2030</v>
      </c>
      <c r="Z45" s="459">
        <f>((B45/Population_Tables!O19)*Population_Tables!C19)-N45</f>
        <v>493513.40901826101</v>
      </c>
      <c r="AA45" s="459">
        <f>((C45/Population_Tables!P19)*Population_Tables!D19)-O45</f>
        <v>184942.4895888904</v>
      </c>
      <c r="AB45" s="459">
        <f>((D45/Population_Tables!Q19)*Population_Tables!E19)-P45</f>
        <v>57507.544581612143</v>
      </c>
      <c r="AC45" s="459">
        <f>((E45/Population_Tables!R19)*Population_Tables!F19)-Q45</f>
        <v>171585.35676876883</v>
      </c>
      <c r="AD45" s="459">
        <f>((F45/Population_Tables!S19)*Population_Tables!G19)-R45</f>
        <v>23019.618454431395</v>
      </c>
      <c r="AE45" s="459">
        <f>((G45/Population_Tables!T19)*Population_Tables!H19)-S45</f>
        <v>66945.629550833633</v>
      </c>
      <c r="AF45" s="459">
        <f>(H45/Population_Tables!U19)*Population_Tables!I19</f>
        <v>91252.974608059449</v>
      </c>
      <c r="AG45" s="459">
        <f>(I45/Population_Tables!V19)*Population_Tables!J19</f>
        <v>48441.276944757272</v>
      </c>
      <c r="AH45" s="459">
        <f>(J45/Population_Tables!W19)*Population_Tables!K19</f>
        <v>79919.903591932147</v>
      </c>
      <c r="AI45" s="459">
        <f>(K45/Population_Tables!X19)*Population_Tables!L19</f>
        <v>92229.609103413022</v>
      </c>
      <c r="AK45" s="456">
        <v>2030</v>
      </c>
      <c r="AL45" s="459">
        <f t="shared" si="6"/>
        <v>646783.24704840861</v>
      </c>
      <c r="AM45" s="459">
        <f t="shared" si="6"/>
        <v>184942.4895888904</v>
      </c>
      <c r="AN45" s="459">
        <f t="shared" si="6"/>
        <v>57507.544581612143</v>
      </c>
      <c r="AO45" s="459">
        <f t="shared" si="6"/>
        <v>264487.46677997505</v>
      </c>
      <c r="AP45" s="459">
        <f t="shared" si="6"/>
        <v>57628.359581635792</v>
      </c>
      <c r="AQ45" s="459">
        <f t="shared" si="6"/>
        <v>92704.616442570608</v>
      </c>
      <c r="AR45" s="459">
        <f t="shared" si="6"/>
        <v>91252.974608059449</v>
      </c>
      <c r="AS45" s="459">
        <f t="shared" si="6"/>
        <v>48441.276944757272</v>
      </c>
      <c r="AT45" s="459">
        <f t="shared" si="6"/>
        <v>79919.903591932147</v>
      </c>
      <c r="AU45" s="459">
        <f t="shared" si="6"/>
        <v>92229.609103413022</v>
      </c>
      <c r="AW45" s="216">
        <f>(B45/Population_Tables!O19)*Population_Tables!C19</f>
        <v>646783.24704840861</v>
      </c>
      <c r="AX45" s="153" t="str">
        <f t="shared" si="7"/>
        <v>OK</v>
      </c>
      <c r="AY45" s="421">
        <f t="shared" si="4"/>
        <v>657270.47697468393</v>
      </c>
      <c r="AZ45" s="153" t="str">
        <f t="shared" si="5"/>
        <v>OK</v>
      </c>
      <c r="BB45" s="216">
        <f>(C45/Population_Tables!P19)*Population_Tables!D19</f>
        <v>184942.4895888904</v>
      </c>
      <c r="BC45" s="216">
        <f>(D45/Population_Tables!Q19)*Population_Tables!E19</f>
        <v>57507.544581612143</v>
      </c>
      <c r="BD45" s="216">
        <f>(E45/Population_Tables!R19)*Population_Tables!F19</f>
        <v>264487.46677997505</v>
      </c>
      <c r="BE45" s="216">
        <f>(F45/Population_Tables!S19)*Population_Tables!G19</f>
        <v>57628.359581635792</v>
      </c>
      <c r="BF45" s="216">
        <f>(G45/Population_Tables!T19)*Population_Tables!H19</f>
        <v>92704.616442570594</v>
      </c>
      <c r="BG45" s="216"/>
      <c r="BN45" s="216"/>
      <c r="BO45" s="216"/>
      <c r="BP45" s="216"/>
    </row>
    <row r="46" spans="1:68" ht="15.6" x14ac:dyDescent="0.3">
      <c r="A46" s="206">
        <v>2031</v>
      </c>
      <c r="B46" s="229">
        <v>646367.20087535144</v>
      </c>
      <c r="C46" s="229">
        <v>184492.58931703167</v>
      </c>
      <c r="D46" s="229">
        <v>57495.115310557201</v>
      </c>
      <c r="E46" s="229">
        <v>264768.60179422033</v>
      </c>
      <c r="F46" s="229">
        <v>57841.959327006</v>
      </c>
      <c r="G46" s="229">
        <v>92270.709229110478</v>
      </c>
      <c r="H46" s="229">
        <v>91545.832789543565</v>
      </c>
      <c r="I46" s="229">
        <v>49205.361453190286</v>
      </c>
      <c r="J46" s="229">
        <v>79080.11057495125</v>
      </c>
      <c r="K46" s="229">
        <v>91404.617154844513</v>
      </c>
      <c r="M46" s="206">
        <v>2031</v>
      </c>
      <c r="N46" s="419">
        <f t="shared" si="2"/>
        <v>158226.25084556889</v>
      </c>
      <c r="O46" s="418">
        <f>(C46/Population_Tables!P20)*Population_Tables!D79</f>
        <v>0</v>
      </c>
      <c r="P46" s="418">
        <f>(D46/Population_Tables!Q20)*Population_Tables!E79</f>
        <v>0</v>
      </c>
      <c r="Q46" s="418">
        <f>((E46-H46)/Population_Tables!R20)*Population_Tables!F79</f>
        <v>96008.525736580035</v>
      </c>
      <c r="R46" s="418">
        <f>(F46/Population_Tables!S20)*Population_Tables!G79</f>
        <v>35695.113749883967</v>
      </c>
      <c r="S46" s="418">
        <f>(G46/Population_Tables!T20)*Population_Tables!H79</f>
        <v>26522.6113591049</v>
      </c>
      <c r="T46" s="418">
        <f>(H46/Population_Tables!U20)*Population_Tables!I79</f>
        <v>0</v>
      </c>
      <c r="U46" s="418">
        <f>(I46/Population_Tables!V20)*Population_Tables!J79</f>
        <v>0</v>
      </c>
      <c r="V46" s="418">
        <f>(J46/Population_Tables!W20)*Population_Tables!K79</f>
        <v>0</v>
      </c>
      <c r="W46" s="418">
        <f>(K46/Population_Tables!X20)*Population_Tables!L79</f>
        <v>0</v>
      </c>
      <c r="Y46" s="456">
        <v>2031</v>
      </c>
      <c r="Z46" s="459">
        <f>((B46/Population_Tables!O20)*Population_Tables!C20)-N46</f>
        <v>504711.26379442291</v>
      </c>
      <c r="AA46" s="459">
        <f>((C46/Population_Tables!P20)*Population_Tables!D20)-O46</f>
        <v>188563.57771123905</v>
      </c>
      <c r="AB46" s="459">
        <f>((D46/Population_Tables!Q20)*Population_Tables!E20)-P46</f>
        <v>58751.956421219671</v>
      </c>
      <c r="AC46" s="459">
        <f>((E46/Population_Tables!R20)*Population_Tables!F20)-Q46</f>
        <v>175737.73936965707</v>
      </c>
      <c r="AD46" s="459">
        <f>((F46/Population_Tables!S20)*Population_Tables!G20)-R46</f>
        <v>23567.230590326428</v>
      </c>
      <c r="AE46" s="459">
        <f>((G46/Population_Tables!T20)*Population_Tables!H20)-S46</f>
        <v>68619.548762557359</v>
      </c>
      <c r="AF46" s="459">
        <f>(H46/Population_Tables!U20)*Population_Tables!I20</f>
        <v>93431.706292769086</v>
      </c>
      <c r="AG46" s="459">
        <f>(I46/Population_Tables!V20)*Population_Tables!J20</f>
        <v>50543.703462319107</v>
      </c>
      <c r="AH46" s="459">
        <f>(J46/Population_Tables!W20)*Population_Tables!K20</f>
        <v>80718.556137527019</v>
      </c>
      <c r="AI46" s="459">
        <f>(K46/Population_Tables!X20)*Population_Tables!L20</f>
        <v>93581.014641328802</v>
      </c>
      <c r="AK46" s="456">
        <v>2031</v>
      </c>
      <c r="AL46" s="459">
        <f t="shared" si="6"/>
        <v>662937.5146399918</v>
      </c>
      <c r="AM46" s="459">
        <f t="shared" si="6"/>
        <v>188563.57771123905</v>
      </c>
      <c r="AN46" s="459">
        <f t="shared" si="6"/>
        <v>58751.956421219671</v>
      </c>
      <c r="AO46" s="459">
        <f t="shared" si="6"/>
        <v>271746.26510623709</v>
      </c>
      <c r="AP46" s="459">
        <f t="shared" si="6"/>
        <v>59262.344340210395</v>
      </c>
      <c r="AQ46" s="459">
        <f t="shared" si="6"/>
        <v>95142.160121662251</v>
      </c>
      <c r="AR46" s="459">
        <f t="shared" si="6"/>
        <v>93431.706292769086</v>
      </c>
      <c r="AS46" s="459">
        <f t="shared" si="6"/>
        <v>50543.703462319107</v>
      </c>
      <c r="AT46" s="459">
        <f t="shared" si="6"/>
        <v>80718.556137527019</v>
      </c>
      <c r="AU46" s="459">
        <f t="shared" si="6"/>
        <v>93581.014641328802</v>
      </c>
      <c r="AW46" s="216">
        <f>(B46/Population_Tables!O20)*Population_Tables!C20</f>
        <v>662937.5146399918</v>
      </c>
      <c r="AX46" s="153" t="str">
        <f t="shared" si="7"/>
        <v>OK</v>
      </c>
      <c r="AY46" s="421">
        <f t="shared" si="4"/>
        <v>673466.30370056839</v>
      </c>
      <c r="AZ46" s="153" t="str">
        <f t="shared" si="5"/>
        <v>OK</v>
      </c>
      <c r="BB46" s="216">
        <f>(C46/Population_Tables!P20)*Population_Tables!D20</f>
        <v>188563.57771123905</v>
      </c>
      <c r="BC46" s="216">
        <f>(D46/Population_Tables!Q20)*Population_Tables!E20</f>
        <v>58751.956421219671</v>
      </c>
      <c r="BD46" s="216">
        <f>(E46/Population_Tables!R20)*Population_Tables!F20</f>
        <v>271746.26510623709</v>
      </c>
      <c r="BE46" s="216">
        <f>(F46/Population_Tables!S20)*Population_Tables!G20</f>
        <v>59262.344340210395</v>
      </c>
      <c r="BF46" s="216">
        <f>(G46/Population_Tables!T20)*Population_Tables!H20</f>
        <v>95142.160121662251</v>
      </c>
      <c r="BG46" s="216"/>
      <c r="BN46" s="216"/>
      <c r="BO46" s="216"/>
      <c r="BP46" s="216"/>
    </row>
    <row r="47" spans="1:68" ht="15.6" x14ac:dyDescent="0.3">
      <c r="A47" s="206">
        <v>2032</v>
      </c>
      <c r="B47" s="229">
        <v>660400.67703250865</v>
      </c>
      <c r="C47" s="229">
        <v>187594.17404160299</v>
      </c>
      <c r="D47" s="229">
        <v>58578.504145664905</v>
      </c>
      <c r="E47" s="229">
        <v>271102.11120188923</v>
      </c>
      <c r="F47" s="229">
        <v>59308.253538094905</v>
      </c>
      <c r="G47" s="229">
        <v>94331.410248787768</v>
      </c>
      <c r="H47" s="229">
        <v>93381.642599459854</v>
      </c>
      <c r="I47" s="229">
        <v>51131.821741234904</v>
      </c>
      <c r="J47" s="229">
        <v>79655.200546855267</v>
      </c>
      <c r="K47" s="229">
        <v>92453.861633690365</v>
      </c>
      <c r="M47" s="206">
        <v>2032</v>
      </c>
      <c r="N47" s="419">
        <f t="shared" si="2"/>
        <v>163381.9779742898</v>
      </c>
      <c r="O47" s="418">
        <f>(C47/Population_Tables!P21)*Population_Tables!D80</f>
        <v>0</v>
      </c>
      <c r="P47" s="418">
        <f>(D47/Population_Tables!Q21)*Population_Tables!E80</f>
        <v>0</v>
      </c>
      <c r="Q47" s="418">
        <f>((E47-H47)/Population_Tables!R21)*Population_Tables!F80</f>
        <v>99255.678015551646</v>
      </c>
      <c r="R47" s="418">
        <f>(F47/Population_Tables!S21)*Population_Tables!G80</f>
        <v>36817.638302003252</v>
      </c>
      <c r="S47" s="418">
        <f>(G47/Population_Tables!T21)*Population_Tables!H80</f>
        <v>27308.661656734894</v>
      </c>
      <c r="T47" s="418">
        <f>(H47/Population_Tables!U21)*Population_Tables!I80</f>
        <v>0</v>
      </c>
      <c r="U47" s="418">
        <f>(I47/Population_Tables!V21)*Population_Tables!J80</f>
        <v>0</v>
      </c>
      <c r="V47" s="418">
        <f>(J47/Population_Tables!W21)*Population_Tables!K80</f>
        <v>0</v>
      </c>
      <c r="W47" s="418">
        <f>(K47/Population_Tables!X21)*Population_Tables!L80</f>
        <v>0</v>
      </c>
      <c r="Y47" s="456">
        <v>2032</v>
      </c>
      <c r="Z47" s="459">
        <f>((B47/Population_Tables!O21)*Population_Tables!C21)-N47</f>
        <v>516103.78550612484</v>
      </c>
      <c r="AA47" s="459">
        <f>((C47/Population_Tables!P21)*Population_Tables!D21)-O47</f>
        <v>192266.0988325192</v>
      </c>
      <c r="AB47" s="459">
        <f>((D47/Population_Tables!Q21)*Population_Tables!E21)-P47</f>
        <v>60023.174776747903</v>
      </c>
      <c r="AC47" s="459">
        <f>((E47/Population_Tables!R21)*Population_Tables!F21)-Q47</f>
        <v>179905.74898989237</v>
      </c>
      <c r="AD47" s="459">
        <f>((F47/Population_Tables!S21)*Population_Tables!G21)-R47</f>
        <v>24129.74037456404</v>
      </c>
      <c r="AE47" s="459">
        <f>((G47/Population_Tables!T21)*Population_Tables!H21)-S47</f>
        <v>70329.003998638989</v>
      </c>
      <c r="AF47" s="459">
        <f>(H47/Population_Tables!U21)*Population_Tables!I21</f>
        <v>95550.197860659784</v>
      </c>
      <c r="AG47" s="459">
        <f>(I47/Population_Tables!V21)*Population_Tables!J21</f>
        <v>52699.574577342028</v>
      </c>
      <c r="AH47" s="459">
        <f>(J47/Population_Tables!W21)*Population_Tables!K21</f>
        <v>81516.364565101714</v>
      </c>
      <c r="AI47" s="459">
        <f>(K47/Population_Tables!X21)*Population_Tables!L21</f>
        <v>94943.343473989808</v>
      </c>
      <c r="AK47" s="456">
        <v>2032</v>
      </c>
      <c r="AL47" s="459">
        <f t="shared" si="6"/>
        <v>679485.76348041464</v>
      </c>
      <c r="AM47" s="459">
        <f t="shared" si="6"/>
        <v>192266.0988325192</v>
      </c>
      <c r="AN47" s="459">
        <f t="shared" si="6"/>
        <v>60023.174776747903</v>
      </c>
      <c r="AO47" s="459">
        <f t="shared" si="6"/>
        <v>279161.42700544401</v>
      </c>
      <c r="AP47" s="459">
        <f t="shared" si="6"/>
        <v>60947.378676567292</v>
      </c>
      <c r="AQ47" s="459">
        <f t="shared" si="6"/>
        <v>97637.665655373887</v>
      </c>
      <c r="AR47" s="459">
        <f t="shared" si="6"/>
        <v>95550.197860659784</v>
      </c>
      <c r="AS47" s="459">
        <f t="shared" si="6"/>
        <v>52699.574577342028</v>
      </c>
      <c r="AT47" s="459">
        <f t="shared" si="6"/>
        <v>81516.364565101714</v>
      </c>
      <c r="AU47" s="459">
        <f t="shared" si="6"/>
        <v>94943.343473989808</v>
      </c>
      <c r="AW47" s="216">
        <f>(B47/Population_Tables!O21)*Population_Tables!C21</f>
        <v>679485.76348041464</v>
      </c>
      <c r="AX47" s="153" t="str">
        <f t="shared" si="7"/>
        <v>OK</v>
      </c>
      <c r="AY47" s="421">
        <f t="shared" si="4"/>
        <v>690035.74494665232</v>
      </c>
      <c r="AZ47" s="153" t="str">
        <f t="shared" si="5"/>
        <v>OK</v>
      </c>
      <c r="BB47" s="216">
        <f>(C47/Population_Tables!P21)*Population_Tables!D21</f>
        <v>192266.0988325192</v>
      </c>
      <c r="BC47" s="216">
        <f>(D47/Population_Tables!Q21)*Population_Tables!E21</f>
        <v>60023.174776747903</v>
      </c>
      <c r="BD47" s="216">
        <f>(E47/Population_Tables!R21)*Population_Tables!F21</f>
        <v>279161.42700544401</v>
      </c>
      <c r="BE47" s="216">
        <f>(F47/Population_Tables!S21)*Population_Tables!G21</f>
        <v>60947.378676567292</v>
      </c>
      <c r="BF47" s="216">
        <f>(G47/Population_Tables!T21)*Population_Tables!H21</f>
        <v>97637.665655373887</v>
      </c>
      <c r="BG47" s="216"/>
      <c r="BN47" s="216"/>
      <c r="BO47" s="216"/>
      <c r="BP47" s="216"/>
    </row>
    <row r="48" spans="1:68" ht="15.6" x14ac:dyDescent="0.3">
      <c r="A48" s="206">
        <v>2033</v>
      </c>
      <c r="B48" s="229">
        <v>674663.92759100662</v>
      </c>
      <c r="C48" s="229">
        <v>190741.15440035803</v>
      </c>
      <c r="D48" s="229">
        <v>59676.550959000539</v>
      </c>
      <c r="E48" s="229">
        <v>277517.38686962205</v>
      </c>
      <c r="F48" s="229">
        <v>60810.803506697237</v>
      </c>
      <c r="G48" s="229">
        <v>96421.376276129158</v>
      </c>
      <c r="H48" s="229">
        <v>95141.650757556257</v>
      </c>
      <c r="I48" s="229">
        <v>53090.612279657813</v>
      </c>
      <c r="J48" s="229">
        <v>80218.847717897661</v>
      </c>
      <c r="K48" s="229">
        <v>93496.963988785836</v>
      </c>
      <c r="M48" s="206">
        <v>2033</v>
      </c>
      <c r="N48" s="419">
        <f t="shared" si="2"/>
        <v>168729.69004597096</v>
      </c>
      <c r="O48" s="418">
        <f>(C48/Population_Tables!P22)*Population_Tables!D81</f>
        <v>0</v>
      </c>
      <c r="P48" s="418">
        <f>(D48/Population_Tables!Q22)*Population_Tables!E81</f>
        <v>0</v>
      </c>
      <c r="Q48" s="418">
        <f>((E48-H48)/Population_Tables!R22)*Population_Tables!F81</f>
        <v>102639.41500599337</v>
      </c>
      <c r="R48" s="418">
        <f>(F48/Population_Tables!S22)*Population_Tables!G81</f>
        <v>37974.838108945696</v>
      </c>
      <c r="S48" s="418">
        <f>(G48/Population_Tables!T22)*Population_Tables!H81</f>
        <v>28115.436931031858</v>
      </c>
      <c r="T48" s="418">
        <f>(H48/Population_Tables!U22)*Population_Tables!I81</f>
        <v>0</v>
      </c>
      <c r="U48" s="418">
        <f>(I48/Population_Tables!V22)*Population_Tables!J81</f>
        <v>0</v>
      </c>
      <c r="V48" s="418">
        <f>(J48/Population_Tables!W22)*Population_Tables!K81</f>
        <v>0</v>
      </c>
      <c r="W48" s="418">
        <f>(K48/Population_Tables!X22)*Population_Tables!L81</f>
        <v>0</v>
      </c>
      <c r="Y48" s="456">
        <v>2033</v>
      </c>
      <c r="Z48" s="459">
        <f>((B48/Population_Tables!O22)*Population_Tables!C22)-N48</f>
        <v>527678.44888395094</v>
      </c>
      <c r="AA48" s="459">
        <f>((C48/Population_Tables!P22)*Population_Tables!D22)-O48</f>
        <v>196045.49628626346</v>
      </c>
      <c r="AB48" s="459">
        <f>((D48/Population_Tables!Q22)*Population_Tables!E22)-P48</f>
        <v>61320.711277678034</v>
      </c>
      <c r="AC48" s="459">
        <f>((E48/Population_Tables!R22)*Population_Tables!F22)-Q48</f>
        <v>184084.91538700793</v>
      </c>
      <c r="AD48" s="459">
        <f>((F48/Population_Tables!S22)*Population_Tables!G22)-R48</f>
        <v>24706.966536824322</v>
      </c>
      <c r="AE48" s="459">
        <f>((G48/Population_Tables!T22)*Population_Tables!H22)-S48</f>
        <v>72072.027437395853</v>
      </c>
      <c r="AF48" s="459">
        <f>(H48/Population_Tables!U22)*Population_Tables!I22</f>
        <v>97607.321700079134</v>
      </c>
      <c r="AG48" s="459">
        <f>(I48/Population_Tables!V22)*Population_Tables!J22</f>
        <v>54905.190664945796</v>
      </c>
      <c r="AH48" s="459">
        <f>(J48/Population_Tables!W22)*Population_Tables!K22</f>
        <v>82311.114147398126</v>
      </c>
      <c r="AI48" s="459">
        <f>(K48/Population_Tables!X22)*Population_Tables!L22</f>
        <v>96312.728756350974</v>
      </c>
      <c r="AK48" s="456">
        <v>2033</v>
      </c>
      <c r="AL48" s="459">
        <f t="shared" si="6"/>
        <v>696408.1389299219</v>
      </c>
      <c r="AM48" s="459">
        <f t="shared" si="6"/>
        <v>196045.49628626346</v>
      </c>
      <c r="AN48" s="459">
        <f t="shared" si="6"/>
        <v>61320.711277678034</v>
      </c>
      <c r="AO48" s="459">
        <f t="shared" si="6"/>
        <v>286724.33039300132</v>
      </c>
      <c r="AP48" s="459">
        <f t="shared" si="6"/>
        <v>62681.804645770018</v>
      </c>
      <c r="AQ48" s="459">
        <f t="shared" si="6"/>
        <v>100187.46436842771</v>
      </c>
      <c r="AR48" s="459">
        <f t="shared" si="6"/>
        <v>97607.321700079134</v>
      </c>
      <c r="AS48" s="459">
        <f t="shared" si="6"/>
        <v>54905.190664945796</v>
      </c>
      <c r="AT48" s="459">
        <f t="shared" si="6"/>
        <v>82311.114147398126</v>
      </c>
      <c r="AU48" s="459">
        <f t="shared" si="6"/>
        <v>96312.728756350974</v>
      </c>
      <c r="AW48" s="216">
        <f>(B48/Population_Tables!O22)*Population_Tables!C22</f>
        <v>696408.1389299219</v>
      </c>
      <c r="AX48" s="153" t="str">
        <f t="shared" si="7"/>
        <v>OK</v>
      </c>
      <c r="AY48" s="421">
        <f t="shared" si="4"/>
        <v>706959.80697114056</v>
      </c>
      <c r="AZ48" s="153" t="str">
        <f t="shared" si="5"/>
        <v>OK</v>
      </c>
      <c r="BB48" s="216">
        <f>(C48/Population_Tables!P22)*Population_Tables!D22</f>
        <v>196045.49628626346</v>
      </c>
      <c r="BC48" s="216">
        <f>(D48/Population_Tables!Q22)*Population_Tables!E22</f>
        <v>61320.711277678034</v>
      </c>
      <c r="BD48" s="216">
        <f>(E48/Population_Tables!R22)*Population_Tables!F22</f>
        <v>286724.33039300132</v>
      </c>
      <c r="BE48" s="216">
        <f>(F48/Population_Tables!S22)*Population_Tables!G22</f>
        <v>62681.804645770018</v>
      </c>
      <c r="BF48" s="216">
        <f>(G48/Population_Tables!T22)*Population_Tables!H22</f>
        <v>100187.46436842771</v>
      </c>
      <c r="BG48" s="216"/>
      <c r="BN48" s="216"/>
      <c r="BO48" s="216"/>
      <c r="BP48" s="216"/>
    </row>
    <row r="49" spans="1:68" ht="15.6" x14ac:dyDescent="0.3">
      <c r="A49" s="206">
        <v>2034</v>
      </c>
      <c r="B49" s="229">
        <v>689161.39005768299</v>
      </c>
      <c r="C49" s="229">
        <v>193934.80385048769</v>
      </c>
      <c r="D49" s="229">
        <v>60790.067923826136</v>
      </c>
      <c r="E49" s="229">
        <v>284015.77918879432</v>
      </c>
      <c r="F49" s="229">
        <v>62350.256470244276</v>
      </c>
      <c r="G49" s="229">
        <v>98540.35820702232</v>
      </c>
      <c r="H49" s="229">
        <v>96827.771948481706</v>
      </c>
      <c r="I49" s="229">
        <v>55080.204953560387</v>
      </c>
      <c r="J49" s="229">
        <v>80771.227752383187</v>
      </c>
      <c r="K49" s="229">
        <v>94534.005967894947</v>
      </c>
      <c r="M49" s="206">
        <v>2034</v>
      </c>
      <c r="N49" s="419">
        <f t="shared" si="2"/>
        <v>174258.22266243608</v>
      </c>
      <c r="O49" s="418">
        <f>(C49/Population_Tables!P23)*Population_Tables!D82</f>
        <v>0</v>
      </c>
      <c r="P49" s="418">
        <f>(D49/Population_Tables!Q23)*Population_Tables!E82</f>
        <v>0</v>
      </c>
      <c r="Q49" s="418">
        <f>((E49-H49)/Population_Tables!R23)*Population_Tables!F82</f>
        <v>106153.24659037039</v>
      </c>
      <c r="R49" s="418">
        <f>(F49/Population_Tables!S23)*Population_Tables!G82</f>
        <v>39164.549934609051</v>
      </c>
      <c r="S49" s="418">
        <f>(G49/Population_Tables!T23)*Population_Tables!H82</f>
        <v>28940.426137456641</v>
      </c>
      <c r="T49" s="418">
        <f>(H49/Population_Tables!U23)*Population_Tables!I82</f>
        <v>0</v>
      </c>
      <c r="U49" s="418">
        <f>(I49/Population_Tables!V23)*Population_Tables!J82</f>
        <v>0</v>
      </c>
      <c r="V49" s="418">
        <f>(J49/Population_Tables!W23)*Population_Tables!K82</f>
        <v>0</v>
      </c>
      <c r="W49" s="418">
        <f>(K49/Population_Tables!X23)*Population_Tables!L82</f>
        <v>0</v>
      </c>
      <c r="Y49" s="456">
        <v>2034</v>
      </c>
      <c r="Z49" s="459">
        <f>((B49/Population_Tables!O23)*Population_Tables!C23)-N49</f>
        <v>539416.71457684156</v>
      </c>
      <c r="AA49" s="459">
        <f>((C49/Population_Tables!P23)*Population_Tables!D23)-O49</f>
        <v>199894.9081582551</v>
      </c>
      <c r="AB49" s="459">
        <f>((D49/Population_Tables!Q23)*Population_Tables!E23)-P49</f>
        <v>62643.395718616404</v>
      </c>
      <c r="AC49" s="459">
        <f>((E49/Population_Tables!R23)*Population_Tables!F23)-Q49</f>
        <v>188268.70268573676</v>
      </c>
      <c r="AD49" s="459">
        <f>((F49/Population_Tables!S23)*Population_Tables!G23)-R49</f>
        <v>25298.54211522769</v>
      </c>
      <c r="AE49" s="459">
        <f>((G49/Population_Tables!T23)*Population_Tables!H23)-S49</f>
        <v>73846.051274866521</v>
      </c>
      <c r="AF49" s="459">
        <f>(H49/Population_Tables!U23)*Population_Tables!I23</f>
        <v>99600.813817082628</v>
      </c>
      <c r="AG49" s="459">
        <f>(I49/Population_Tables!V23)*Population_Tables!J23</f>
        <v>57155.647695969397</v>
      </c>
      <c r="AH49" s="459">
        <f>(J49/Population_Tables!W23)*Population_Tables!K23</f>
        <v>83099.780239634085</v>
      </c>
      <c r="AI49" s="459">
        <f>(K49/Population_Tables!X23)*Population_Tables!L23</f>
        <v>97684.079620724078</v>
      </c>
      <c r="AK49" s="456">
        <v>2034</v>
      </c>
      <c r="AL49" s="459">
        <f t="shared" si="6"/>
        <v>713674.93723927764</v>
      </c>
      <c r="AM49" s="459">
        <f t="shared" si="6"/>
        <v>199894.9081582551</v>
      </c>
      <c r="AN49" s="459">
        <f t="shared" si="6"/>
        <v>62643.395718616404</v>
      </c>
      <c r="AO49" s="459">
        <f t="shared" si="6"/>
        <v>294421.94927610713</v>
      </c>
      <c r="AP49" s="459">
        <f t="shared" si="6"/>
        <v>64463.092049836741</v>
      </c>
      <c r="AQ49" s="459">
        <f t="shared" si="6"/>
        <v>102786.47741232316</v>
      </c>
      <c r="AR49" s="459">
        <f t="shared" si="6"/>
        <v>99600.813817082628</v>
      </c>
      <c r="AS49" s="459">
        <f t="shared" si="6"/>
        <v>57155.647695969397</v>
      </c>
      <c r="AT49" s="459">
        <f t="shared" si="6"/>
        <v>83099.780239634085</v>
      </c>
      <c r="AU49" s="459">
        <f t="shared" si="6"/>
        <v>97684.079620724078</v>
      </c>
      <c r="AW49" s="216">
        <f>(B49/Population_Tables!O23)*Population_Tables!C23</f>
        <v>713674.93723927764</v>
      </c>
      <c r="AX49" s="153" t="str">
        <f t="shared" si="7"/>
        <v>OK</v>
      </c>
      <c r="AY49" s="421">
        <f t="shared" si="4"/>
        <v>724209.82261513849</v>
      </c>
      <c r="AZ49" s="153" t="str">
        <f t="shared" si="5"/>
        <v>OK</v>
      </c>
      <c r="BB49" s="216">
        <f>(C49/Population_Tables!P23)*Population_Tables!D23</f>
        <v>199894.9081582551</v>
      </c>
      <c r="BC49" s="216">
        <f>(D49/Population_Tables!Q23)*Population_Tables!E23</f>
        <v>62643.395718616404</v>
      </c>
      <c r="BD49" s="216">
        <f>(E49/Population_Tables!R23)*Population_Tables!F23</f>
        <v>294421.94927610713</v>
      </c>
      <c r="BE49" s="216">
        <f>(F49/Population_Tables!S23)*Population_Tables!G23</f>
        <v>64463.092049836741</v>
      </c>
      <c r="BF49" s="216">
        <f>(G49/Population_Tables!T23)*Population_Tables!H23</f>
        <v>102786.47741232316</v>
      </c>
      <c r="BG49" s="216"/>
      <c r="BN49" s="216"/>
      <c r="BO49" s="216"/>
      <c r="BP49" s="216"/>
    </row>
    <row r="50" spans="1:68" ht="15.6" x14ac:dyDescent="0.3">
      <c r="A50" s="206">
        <v>2035</v>
      </c>
      <c r="B50" s="229">
        <v>703897.50193937519</v>
      </c>
      <c r="C50" s="229">
        <v>197176.39584918285</v>
      </c>
      <c r="D50" s="229">
        <v>61919.867213403704</v>
      </c>
      <c r="E50" s="229">
        <v>290598.63855078176</v>
      </c>
      <c r="F50" s="229">
        <v>63927.259666167287</v>
      </c>
      <c r="G50" s="229">
        <v>100688.10693735495</v>
      </c>
      <c r="H50" s="229">
        <v>98441.920856885132</v>
      </c>
      <c r="I50" s="229">
        <v>57099.071648044031</v>
      </c>
      <c r="J50" s="229">
        <v>81312.516314616631</v>
      </c>
      <c r="K50" s="229">
        <v>95565.069318781723</v>
      </c>
      <c r="M50" s="206">
        <v>2035</v>
      </c>
      <c r="N50" s="419">
        <f t="shared" si="2"/>
        <v>179959.47487419192</v>
      </c>
      <c r="O50" s="418">
        <f>(C50/Population_Tables!P24)*Population_Tables!D83</f>
        <v>0</v>
      </c>
      <c r="P50" s="418">
        <f>(D50/Population_Tables!Q24)*Population_Tables!E83</f>
        <v>0</v>
      </c>
      <c r="Q50" s="418">
        <f>((E50-H50)/Population_Tables!R24)*Population_Tables!F83</f>
        <v>109792.404502997</v>
      </c>
      <c r="R50" s="418">
        <f>(F50/Population_Tables!S24)*Population_Tables!G83</f>
        <v>40385.370644129915</v>
      </c>
      <c r="S50" s="418">
        <f>(G50/Population_Tables!T24)*Population_Tables!H83</f>
        <v>29781.699727064974</v>
      </c>
      <c r="T50" s="418">
        <f>(H50/Population_Tables!U24)*Population_Tables!I83</f>
        <v>0</v>
      </c>
      <c r="U50" s="418">
        <f>(I50/Population_Tables!V24)*Population_Tables!J83</f>
        <v>0</v>
      </c>
      <c r="V50" s="418">
        <f>(J50/Population_Tables!W24)*Population_Tables!K83</f>
        <v>0</v>
      </c>
      <c r="W50" s="418">
        <f>(K50/Population_Tables!X24)*Population_Tables!L83</f>
        <v>0</v>
      </c>
      <c r="Y50" s="456">
        <v>2035</v>
      </c>
      <c r="Z50" s="459">
        <f>((B50/Population_Tables!O24)*Population_Tables!C24)-N50</f>
        <v>551305.82419562887</v>
      </c>
      <c r="AA50" s="459">
        <f>((C50/Population_Tables!P24)*Population_Tables!D24)-O50</f>
        <v>203809.27085941556</v>
      </c>
      <c r="AB50" s="459">
        <f>((D50/Population_Tables!Q24)*Population_Tables!E24)-P50</f>
        <v>63990.542569639838</v>
      </c>
      <c r="AC50" s="459">
        <f>((E50/Population_Tables!R24)*Population_Tables!F24)-Q50</f>
        <v>192452.33078782354</v>
      </c>
      <c r="AD50" s="459">
        <f>((F50/Population_Tables!S24)*Population_Tables!G24)-R50</f>
        <v>25904.331217831248</v>
      </c>
      <c r="AE50" s="459">
        <f>((G50/Population_Tables!T24)*Population_Tables!H24)-S50</f>
        <v>75649.115600627061</v>
      </c>
      <c r="AF50" s="459">
        <f>(H50/Population_Tables!U24)*Population_Tables!I24</f>
        <v>101529.18660827848</v>
      </c>
      <c r="AG50" s="459">
        <f>(I50/Population_Tables!V24)*Population_Tables!J24</f>
        <v>59446.70462961118</v>
      </c>
      <c r="AH50" s="459">
        <f>(J50/Population_Tables!W24)*Population_Tables!K24</f>
        <v>83880.072517948211</v>
      </c>
      <c r="AI50" s="459">
        <f>(K50/Population_Tables!X24)*Population_Tables!L24</f>
        <v>99053.502574375816</v>
      </c>
      <c r="AK50" s="456">
        <v>2035</v>
      </c>
      <c r="AL50" s="459">
        <f t="shared" si="6"/>
        <v>731265.29906982079</v>
      </c>
      <c r="AM50" s="459">
        <f t="shared" si="6"/>
        <v>203809.27085941556</v>
      </c>
      <c r="AN50" s="459">
        <f t="shared" si="6"/>
        <v>63990.542569639838</v>
      </c>
      <c r="AO50" s="459">
        <f t="shared" si="6"/>
        <v>302244.73529082054</v>
      </c>
      <c r="AP50" s="459">
        <f t="shared" si="6"/>
        <v>66289.701861961163</v>
      </c>
      <c r="AQ50" s="459">
        <f t="shared" si="6"/>
        <v>105430.81532769203</v>
      </c>
      <c r="AR50" s="459">
        <f t="shared" si="6"/>
        <v>101529.18660827848</v>
      </c>
      <c r="AS50" s="459">
        <f t="shared" si="6"/>
        <v>59446.70462961118</v>
      </c>
      <c r="AT50" s="459">
        <f t="shared" si="6"/>
        <v>83880.072517948211</v>
      </c>
      <c r="AU50" s="459">
        <f t="shared" si="6"/>
        <v>99053.502574375816</v>
      </c>
      <c r="AW50" s="216">
        <f>(B50/Population_Tables!O24)*Population_Tables!C24</f>
        <v>731265.29906982079</v>
      </c>
      <c r="AX50" s="153" t="str">
        <f t="shared" si="7"/>
        <v>OK</v>
      </c>
      <c r="AY50" s="421">
        <f t="shared" si="4"/>
        <v>741765.06590952922</v>
      </c>
      <c r="AZ50" s="153" t="str">
        <f t="shared" si="5"/>
        <v>OK</v>
      </c>
      <c r="BB50" s="216">
        <f>(C50/Population_Tables!P24)*Population_Tables!D24</f>
        <v>203809.27085941556</v>
      </c>
      <c r="BC50" s="216">
        <f>(D50/Population_Tables!Q24)*Population_Tables!E24</f>
        <v>63990.542569639838</v>
      </c>
      <c r="BD50" s="216">
        <f>(E50/Population_Tables!R24)*Population_Tables!F24</f>
        <v>302244.73529082054</v>
      </c>
      <c r="BE50" s="216">
        <f>(F50/Population_Tables!S24)*Population_Tables!G24</f>
        <v>66289.701861961163</v>
      </c>
      <c r="BF50" s="216">
        <f>(G50/Population_Tables!T24)*Population_Tables!H24</f>
        <v>105430.81532769203</v>
      </c>
      <c r="BG50" s="216"/>
      <c r="BN50" s="216"/>
      <c r="BO50" s="216"/>
      <c r="BP50" s="216"/>
    </row>
    <row r="51" spans="1:68" ht="15.6" x14ac:dyDescent="0.3">
      <c r="A51" s="206">
        <v>2036</v>
      </c>
      <c r="B51" s="229">
        <v>718876.70074292086</v>
      </c>
      <c r="C51" s="229">
        <v>200467.2038536343</v>
      </c>
      <c r="D51" s="229">
        <v>63066.761000995291</v>
      </c>
      <c r="E51" s="229">
        <v>297267.31534696021</v>
      </c>
      <c r="F51" s="229">
        <v>65542.460331897513</v>
      </c>
      <c r="G51" s="229">
        <v>102864.37336301478</v>
      </c>
      <c r="H51" s="229">
        <v>99986.01216741548</v>
      </c>
      <c r="I51" s="229">
        <v>59145.684248210135</v>
      </c>
      <c r="J51" s="229">
        <v>81842.889068902732</v>
      </c>
      <c r="K51" s="229">
        <v>96590.235789210186</v>
      </c>
      <c r="M51" s="206">
        <v>2036</v>
      </c>
      <c r="N51" s="419">
        <f t="shared" si="2"/>
        <v>185831.07030704015</v>
      </c>
      <c r="O51" s="418">
        <f>(C51/Population_Tables!P25)*Population_Tables!D84</f>
        <v>0</v>
      </c>
      <c r="P51" s="418">
        <f>(D51/Population_Tables!Q25)*Population_Tables!E84</f>
        <v>0</v>
      </c>
      <c r="Q51" s="418">
        <f>((E51-H51)/Population_Tables!R25)*Population_Tables!F84</f>
        <v>113555.46647878981</v>
      </c>
      <c r="R51" s="418">
        <f>(F51/Population_Tables!S25)*Population_Tables!G84</f>
        <v>41637.157695071699</v>
      </c>
      <c r="S51" s="418">
        <f>(G51/Population_Tables!T25)*Population_Tables!H84</f>
        <v>30638.44613317863</v>
      </c>
      <c r="T51" s="418">
        <f>(H51/Population_Tables!U25)*Population_Tables!I84</f>
        <v>0</v>
      </c>
      <c r="U51" s="418">
        <f>(I51/Population_Tables!V25)*Population_Tables!J84</f>
        <v>0</v>
      </c>
      <c r="V51" s="418">
        <f>(J51/Population_Tables!W25)*Population_Tables!K84</f>
        <v>0</v>
      </c>
      <c r="W51" s="418">
        <f>(K51/Population_Tables!X25)*Population_Tables!L84</f>
        <v>0</v>
      </c>
      <c r="Y51" s="456">
        <v>2036</v>
      </c>
      <c r="Z51" s="459">
        <f>((B51/Population_Tables!O25)*Population_Tables!C25)-N51</f>
        <v>563342.46174502303</v>
      </c>
      <c r="AA51" s="459">
        <f>((C51/Population_Tables!P25)*Population_Tables!D25)-O51</f>
        <v>207786.68489098584</v>
      </c>
      <c r="AB51" s="459">
        <f>((D51/Population_Tables!Q25)*Population_Tables!E25)-P51</f>
        <v>65362.280013791009</v>
      </c>
      <c r="AC51" s="459">
        <f>((E51/Population_Tables!R25)*Population_Tables!F25)-Q51</f>
        <v>196634.05042451329</v>
      </c>
      <c r="AD51" s="459">
        <f>((F51/Population_Tables!S25)*Population_Tables!G25)-R51</f>
        <v>26524.516060114562</v>
      </c>
      <c r="AE51" s="459">
        <f>((G51/Population_Tables!T25)*Population_Tables!H25)-S51</f>
        <v>77480.078317649852</v>
      </c>
      <c r="AF51" s="459">
        <f>(H51/Population_Tables!U25)*Population_Tables!I25</f>
        <v>103392.42651281574</v>
      </c>
      <c r="AG51" s="459">
        <f>(I51/Population_Tables!V25)*Population_Tables!J25</f>
        <v>61775.691795369181</v>
      </c>
      <c r="AH51" s="459">
        <f>(J51/Population_Tables!W25)*Population_Tables!K25</f>
        <v>84650.790423626386</v>
      </c>
      <c r="AI51" s="459">
        <f>(K51/Population_Tables!X25)*Population_Tables!L25</f>
        <v>100419.14470291756</v>
      </c>
      <c r="AK51" s="456">
        <v>2036</v>
      </c>
      <c r="AL51" s="459">
        <f t="shared" si="6"/>
        <v>749173.53205206315</v>
      </c>
      <c r="AM51" s="459">
        <f t="shared" si="6"/>
        <v>207786.68489098584</v>
      </c>
      <c r="AN51" s="459">
        <f t="shared" si="6"/>
        <v>65362.280013791009</v>
      </c>
      <c r="AO51" s="459">
        <f t="shared" si="6"/>
        <v>310189.5169033031</v>
      </c>
      <c r="AP51" s="459">
        <f t="shared" si="6"/>
        <v>68161.673755186261</v>
      </c>
      <c r="AQ51" s="459">
        <f t="shared" si="6"/>
        <v>108118.52445082848</v>
      </c>
      <c r="AR51" s="459">
        <f t="shared" si="6"/>
        <v>103392.42651281574</v>
      </c>
      <c r="AS51" s="459">
        <f t="shared" si="6"/>
        <v>61775.691795369181</v>
      </c>
      <c r="AT51" s="459">
        <f t="shared" si="6"/>
        <v>84650.790423626386</v>
      </c>
      <c r="AU51" s="459">
        <f t="shared" si="6"/>
        <v>100419.14470291756</v>
      </c>
      <c r="AW51" s="216">
        <f>(B51/Population_Tables!O25)*Population_Tables!C25</f>
        <v>749173.53205206315</v>
      </c>
      <c r="AX51" s="153" t="str">
        <f t="shared" si="7"/>
        <v>OK</v>
      </c>
      <c r="AY51" s="421">
        <f t="shared" si="4"/>
        <v>759618.68001409457</v>
      </c>
      <c r="AZ51" s="153" t="str">
        <f t="shared" si="5"/>
        <v>OK</v>
      </c>
      <c r="BB51" s="216">
        <f>(C51/Population_Tables!P25)*Population_Tables!D25</f>
        <v>207786.68489098584</v>
      </c>
      <c r="BC51" s="216">
        <f>(D51/Population_Tables!Q25)*Population_Tables!E25</f>
        <v>65362.280013791009</v>
      </c>
      <c r="BD51" s="216">
        <f>(E51/Population_Tables!R25)*Population_Tables!F25</f>
        <v>310189.5169033031</v>
      </c>
      <c r="BE51" s="216">
        <f>(F51/Population_Tables!S25)*Population_Tables!G25</f>
        <v>68161.673755186261</v>
      </c>
      <c r="BF51" s="216">
        <f>(G51/Population_Tables!T25)*Population_Tables!H25</f>
        <v>108118.52445082848</v>
      </c>
      <c r="BG51" s="216"/>
      <c r="BN51" s="216"/>
      <c r="BO51" s="216"/>
      <c r="BP51" s="216"/>
    </row>
    <row r="52" spans="1:68" ht="15.6" x14ac:dyDescent="0.3">
      <c r="A52" s="206">
        <v>2037</v>
      </c>
      <c r="B52" s="229">
        <v>734103.42397515732</v>
      </c>
      <c r="C52" s="229">
        <v>203808.50132103299</v>
      </c>
      <c r="D52" s="229">
        <v>64231.561459862904</v>
      </c>
      <c r="E52" s="229">
        <v>304023.15996870515</v>
      </c>
      <c r="F52" s="229">
        <v>67196.505704866257</v>
      </c>
      <c r="G52" s="229">
        <v>105068.90837988944</v>
      </c>
      <c r="H52" s="229">
        <v>101461.96056472168</v>
      </c>
      <c r="I52" s="229">
        <v>61218.514639160087</v>
      </c>
      <c r="J52" s="229">
        <v>82362.521679546277</v>
      </c>
      <c r="K52" s="229">
        <v>97609.587126944345</v>
      </c>
      <c r="M52" s="206">
        <v>2037</v>
      </c>
      <c r="N52" s="419">
        <f t="shared" si="2"/>
        <v>191877.10691685436</v>
      </c>
      <c r="O52" s="418">
        <f>(C52/Population_Tables!P26)*Population_Tables!D85</f>
        <v>0</v>
      </c>
      <c r="P52" s="418">
        <f>(D52/Population_Tables!Q26)*Population_Tables!E85</f>
        <v>0</v>
      </c>
      <c r="Q52" s="418">
        <f>((E52-H52)/Population_Tables!R26)*Population_Tables!F85</f>
        <v>117444.88906683882</v>
      </c>
      <c r="R52" s="418">
        <f>(F52/Population_Tables!S26)*Population_Tables!G85</f>
        <v>42921.104499906287</v>
      </c>
      <c r="S52" s="418">
        <f>(G52/Population_Tables!T26)*Population_Tables!H85</f>
        <v>31511.113350109244</v>
      </c>
      <c r="T52" s="418">
        <f>(H52/Population_Tables!U26)*Population_Tables!I85</f>
        <v>0</v>
      </c>
      <c r="U52" s="418">
        <f>(I52/Population_Tables!V26)*Population_Tables!J85</f>
        <v>0</v>
      </c>
      <c r="V52" s="418">
        <f>(J52/Population_Tables!W26)*Population_Tables!K85</f>
        <v>0</v>
      </c>
      <c r="W52" s="418">
        <f>(K52/Population_Tables!X26)*Population_Tables!L85</f>
        <v>0</v>
      </c>
      <c r="Y52" s="456">
        <v>2037</v>
      </c>
      <c r="Z52" s="459">
        <f>((B52/Population_Tables!O26)*Population_Tables!C26)-N52</f>
        <v>575534.66585826629</v>
      </c>
      <c r="AA52" s="459">
        <f>((C52/Population_Tables!P26)*Population_Tables!D26)-O52</f>
        <v>211829.11189234836</v>
      </c>
      <c r="AB52" s="459">
        <f>((D52/Population_Tables!Q26)*Population_Tables!E26)-P52</f>
        <v>66759.965587671279</v>
      </c>
      <c r="AC52" s="459">
        <f>((E52/Population_Tables!R26)*Population_Tables!F26)-Q52</f>
        <v>200815.78120782453</v>
      </c>
      <c r="AD52" s="459">
        <f>((F52/Population_Tables!S26)*Population_Tables!G26)-R52</f>
        <v>27159.671039038178</v>
      </c>
      <c r="AE52" s="459">
        <f>((G52/Population_Tables!T26)*Population_Tables!H26)-S52</f>
        <v>79339.137271466141</v>
      </c>
      <c r="AF52" s="459">
        <f>(H52/Population_Tables!U26)*Population_Tables!I26</f>
        <v>105192.36876285523</v>
      </c>
      <c r="AG52" s="459">
        <f>(I52/Population_Tables!V26)*Population_Tables!J26</f>
        <v>64141.619689874402</v>
      </c>
      <c r="AH52" s="459">
        <f>(J52/Population_Tables!W26)*Population_Tables!K26</f>
        <v>85412.221953899003</v>
      </c>
      <c r="AI52" s="459">
        <f>(K52/Population_Tables!X26)*Population_Tables!L26</f>
        <v>101781.32089482466</v>
      </c>
      <c r="AK52" s="456">
        <v>2037</v>
      </c>
      <c r="AL52" s="459">
        <f t="shared" si="6"/>
        <v>767411.77277512068</v>
      </c>
      <c r="AM52" s="459">
        <f t="shared" si="6"/>
        <v>211829.11189234836</v>
      </c>
      <c r="AN52" s="459">
        <f t="shared" si="6"/>
        <v>66759.965587671279</v>
      </c>
      <c r="AO52" s="459">
        <f t="shared" si="6"/>
        <v>318260.67027466337</v>
      </c>
      <c r="AP52" s="459">
        <f t="shared" si="6"/>
        <v>70080.775538944465</v>
      </c>
      <c r="AQ52" s="459">
        <f t="shared" si="6"/>
        <v>110850.25062157538</v>
      </c>
      <c r="AR52" s="459">
        <f t="shared" si="6"/>
        <v>105192.36876285523</v>
      </c>
      <c r="AS52" s="459">
        <f t="shared" si="6"/>
        <v>64141.619689874402</v>
      </c>
      <c r="AT52" s="459">
        <f t="shared" si="6"/>
        <v>85412.221953899003</v>
      </c>
      <c r="AU52" s="459">
        <f t="shared" si="6"/>
        <v>101781.32089482466</v>
      </c>
      <c r="AW52" s="216">
        <f>(B52/Population_Tables!O26)*Population_Tables!C26</f>
        <v>767411.77277512068</v>
      </c>
      <c r="AX52" s="153" t="str">
        <f t="shared" si="7"/>
        <v>OK</v>
      </c>
      <c r="AY52" s="421">
        <f t="shared" si="4"/>
        <v>777780.77391520282</v>
      </c>
      <c r="AZ52" s="153" t="str">
        <f t="shared" si="5"/>
        <v>OK</v>
      </c>
      <c r="BB52" s="216">
        <f>(C52/Population_Tables!P26)*Population_Tables!D26</f>
        <v>211829.11189234836</v>
      </c>
      <c r="BC52" s="216">
        <f>(D52/Population_Tables!Q26)*Population_Tables!E26</f>
        <v>66759.965587671279</v>
      </c>
      <c r="BD52" s="216">
        <f>(E52/Population_Tables!R26)*Population_Tables!F26</f>
        <v>318260.67027466337</v>
      </c>
      <c r="BE52" s="216">
        <f>(F52/Population_Tables!S26)*Population_Tables!G26</f>
        <v>70080.775538944465</v>
      </c>
      <c r="BF52" s="216">
        <f>(G52/Population_Tables!T26)*Population_Tables!H26</f>
        <v>110850.25062157538</v>
      </c>
      <c r="BG52" s="216"/>
      <c r="BN52" s="216"/>
      <c r="BO52" s="216"/>
      <c r="BP52" s="216"/>
    </row>
    <row r="53" spans="1:68" ht="15.6" x14ac:dyDescent="0.3">
      <c r="A53" s="206">
        <v>2038</v>
      </c>
      <c r="B53" s="229">
        <v>749582.10914292233</v>
      </c>
      <c r="C53" s="229">
        <v>207201.56170856976</v>
      </c>
      <c r="D53" s="229">
        <v>65415.080763268576</v>
      </c>
      <c r="E53" s="229">
        <v>310867.52280739235</v>
      </c>
      <c r="F53" s="229">
        <v>68890.043022504775</v>
      </c>
      <c r="G53" s="229">
        <v>107301.46288386662</v>
      </c>
      <c r="H53" s="229">
        <v>102871.6807334527</v>
      </c>
      <c r="I53" s="229">
        <v>63316.034705995276</v>
      </c>
      <c r="J53" s="229">
        <v>82871.58981085202</v>
      </c>
      <c r="K53" s="229">
        <v>98623.205079748237</v>
      </c>
      <c r="M53" s="206">
        <v>2038</v>
      </c>
      <c r="N53" s="419">
        <f t="shared" si="2"/>
        <v>198104.13977179615</v>
      </c>
      <c r="O53" s="418">
        <f>(C53/Population_Tables!P27)*Population_Tables!D86</f>
        <v>0</v>
      </c>
      <c r="P53" s="418">
        <f>(D53/Population_Tables!Q27)*Population_Tables!E86</f>
        <v>0</v>
      </c>
      <c r="Q53" s="418">
        <f>((E53-H53)/Population_Tables!R27)*Population_Tables!F86</f>
        <v>121464.60438256085</v>
      </c>
      <c r="R53" s="418">
        <f>(F53/Population_Tables!S27)*Population_Tables!G86</f>
        <v>44238.860533321349</v>
      </c>
      <c r="S53" s="418">
        <f>(G53/Population_Tables!T27)*Population_Tables!H86</f>
        <v>32400.674855913941</v>
      </c>
      <c r="T53" s="418">
        <f>(H53/Population_Tables!U27)*Population_Tables!I86</f>
        <v>0</v>
      </c>
      <c r="U53" s="418">
        <f>(I53/Population_Tables!V27)*Population_Tables!J86</f>
        <v>0</v>
      </c>
      <c r="V53" s="418">
        <f>(J53/Population_Tables!W27)*Population_Tables!K86</f>
        <v>0</v>
      </c>
      <c r="W53" s="418">
        <f>(K53/Population_Tables!X27)*Population_Tables!L86</f>
        <v>0</v>
      </c>
      <c r="Y53" s="456">
        <v>2038</v>
      </c>
      <c r="Z53" s="459">
        <f>((B53/Population_Tables!O27)*Population_Tables!C27)-N53</f>
        <v>587895.39151180303</v>
      </c>
      <c r="AA53" s="459">
        <f>((C53/Population_Tables!P27)*Population_Tables!D27)-O53</f>
        <v>215940.15689259689</v>
      </c>
      <c r="AB53" s="459">
        <f>((D53/Population_Tables!Q27)*Population_Tables!E27)-P53</f>
        <v>68185.598584278734</v>
      </c>
      <c r="AC53" s="459">
        <f>((E53/Population_Tables!R27)*Population_Tables!F27)-Q53</f>
        <v>205001.00071887745</v>
      </c>
      <c r="AD53" s="459">
        <f>((F53/Population_Tables!S27)*Population_Tables!G27)-R53</f>
        <v>27810.544126715511</v>
      </c>
      <c r="AE53" s="459">
        <f>((G53/Population_Tables!T27)*Population_Tables!H27)-S53</f>
        <v>81227.550898489717</v>
      </c>
      <c r="AF53" s="459">
        <f>(H53/Population_Tables!U27)*Population_Tables!I27</f>
        <v>106931.66947178254</v>
      </c>
      <c r="AG53" s="459">
        <f>(I53/Population_Tables!V27)*Population_Tables!J27</f>
        <v>66543.954810633586</v>
      </c>
      <c r="AH53" s="459">
        <f>(J53/Population_Tables!W27)*Population_Tables!K27</f>
        <v>86165.331367410152</v>
      </c>
      <c r="AI53" s="459">
        <f>(K53/Population_Tables!X27)*Population_Tables!L27</f>
        <v>103141.04888504425</v>
      </c>
      <c r="AK53" s="456">
        <v>2038</v>
      </c>
      <c r="AL53" s="459">
        <f t="shared" si="6"/>
        <v>785999.53128359921</v>
      </c>
      <c r="AM53" s="459">
        <f t="shared" si="6"/>
        <v>215940.15689259689</v>
      </c>
      <c r="AN53" s="459">
        <f t="shared" si="6"/>
        <v>68185.598584278734</v>
      </c>
      <c r="AO53" s="459">
        <f t="shared" si="6"/>
        <v>326465.6051014383</v>
      </c>
      <c r="AP53" s="459">
        <f t="shared" si="6"/>
        <v>72049.40466003686</v>
      </c>
      <c r="AQ53" s="459">
        <f t="shared" si="6"/>
        <v>113628.22575440365</v>
      </c>
      <c r="AR53" s="459">
        <f t="shared" si="6"/>
        <v>106931.66947178254</v>
      </c>
      <c r="AS53" s="459">
        <f t="shared" si="6"/>
        <v>66543.954810633586</v>
      </c>
      <c r="AT53" s="459">
        <f t="shared" si="6"/>
        <v>86165.331367410152</v>
      </c>
      <c r="AU53" s="459">
        <f t="shared" si="6"/>
        <v>103141.04888504425</v>
      </c>
      <c r="AW53" s="216">
        <f>(B53/Population_Tables!O27)*Population_Tables!C27</f>
        <v>785999.53128359921</v>
      </c>
      <c r="AX53" s="153" t="str">
        <f t="shared" si="7"/>
        <v>OK</v>
      </c>
      <c r="AY53" s="421">
        <f t="shared" si="4"/>
        <v>796268.99099275446</v>
      </c>
      <c r="AZ53" s="153" t="str">
        <f t="shared" si="5"/>
        <v>OK</v>
      </c>
      <c r="BB53" s="216">
        <f>(C53/Population_Tables!P27)*Population_Tables!D27</f>
        <v>215940.15689259689</v>
      </c>
      <c r="BC53" s="216">
        <f>(D53/Population_Tables!Q27)*Population_Tables!E27</f>
        <v>68185.598584278734</v>
      </c>
      <c r="BD53" s="216">
        <f>(E53/Population_Tables!R27)*Population_Tables!F27</f>
        <v>326465.6051014383</v>
      </c>
      <c r="BE53" s="216">
        <f>(F53/Population_Tables!S27)*Population_Tables!G27</f>
        <v>72049.40466003686</v>
      </c>
      <c r="BF53" s="216">
        <f>(G53/Population_Tables!T27)*Population_Tables!H27</f>
        <v>113628.22575440365</v>
      </c>
      <c r="BG53" s="216"/>
      <c r="BN53" s="216"/>
      <c r="BO53" s="216"/>
      <c r="BP53" s="216"/>
    </row>
    <row r="54" spans="1:68" ht="15.6" x14ac:dyDescent="0.3">
      <c r="A54" s="206">
        <v>2039</v>
      </c>
      <c r="B54" s="229">
        <v>765317.1937530532</v>
      </c>
      <c r="C54" s="229">
        <v>210647.65847343544</v>
      </c>
      <c r="D54" s="229">
        <v>66618.131084474342</v>
      </c>
      <c r="E54" s="229">
        <v>317801.75425439747</v>
      </c>
      <c r="F54" s="229">
        <v>70623.719522244312</v>
      </c>
      <c r="G54" s="229">
        <v>109561.78777083407</v>
      </c>
      <c r="H54" s="229">
        <v>104217.08735825747</v>
      </c>
      <c r="I54" s="229">
        <v>65436.716333817109</v>
      </c>
      <c r="J54" s="229">
        <v>83370.269127124717</v>
      </c>
      <c r="K54" s="229">
        <v>99631.171395385871</v>
      </c>
      <c r="M54" s="206">
        <v>2039</v>
      </c>
      <c r="N54" s="419">
        <f t="shared" si="2"/>
        <v>204522.53722525603</v>
      </c>
      <c r="O54" s="418">
        <f>(C54/Population_Tables!P28)*Population_Tables!D87</f>
        <v>0</v>
      </c>
      <c r="P54" s="418">
        <f>(D54/Population_Tables!Q28)*Population_Tables!E87</f>
        <v>0</v>
      </c>
      <c r="Q54" s="418">
        <f>((E54-H54)/Population_Tables!R28)*Population_Tables!F87</f>
        <v>125620.95570500611</v>
      </c>
      <c r="R54" s="418">
        <f>(F54/Population_Tables!S28)*Population_Tables!G87</f>
        <v>45592.766641545633</v>
      </c>
      <c r="S54" s="418">
        <f>(G54/Population_Tables!T28)*Population_Tables!H87</f>
        <v>33308.814878704288</v>
      </c>
      <c r="T54" s="418">
        <f>(H54/Population_Tables!U28)*Population_Tables!I87</f>
        <v>0</v>
      </c>
      <c r="U54" s="418">
        <f>(I54/Population_Tables!V28)*Population_Tables!J87</f>
        <v>0</v>
      </c>
      <c r="V54" s="418">
        <f>(J54/Population_Tables!W28)*Population_Tables!K87</f>
        <v>0</v>
      </c>
      <c r="W54" s="418">
        <f>(K54/Population_Tables!X28)*Population_Tables!L87</f>
        <v>0</v>
      </c>
      <c r="Y54" s="456">
        <v>2039</v>
      </c>
      <c r="Z54" s="459">
        <f>((B54/Population_Tables!O28)*Population_Tables!C28)-N54</f>
        <v>600444.03365858435</v>
      </c>
      <c r="AA54" s="459">
        <f>((C54/Population_Tables!P28)*Population_Tables!D28)-O54</f>
        <v>220125.714319791</v>
      </c>
      <c r="AB54" s="459">
        <f>((D54/Population_Tables!Q28)*Population_Tables!E28)-P54</f>
        <v>69642.025234228713</v>
      </c>
      <c r="AC54" s="459">
        <f>((E54/Population_Tables!R28)*Population_Tables!F28)-Q54</f>
        <v>209195.32237348447</v>
      </c>
      <c r="AD54" s="459">
        <f>((F54/Population_Tables!S28)*Population_Tables!G28)-R54</f>
        <v>28478.078022214555</v>
      </c>
      <c r="AE54" s="459">
        <f>((G54/Population_Tables!T28)*Population_Tables!H28)-S54</f>
        <v>83147.460556612496</v>
      </c>
      <c r="AF54" s="459">
        <f>(H54/Population_Tables!U28)*Population_Tables!I28</f>
        <v>108614.11540670085</v>
      </c>
      <c r="AG54" s="459">
        <f>(I54/Population_Tables!V28)*Population_Tables!J28</f>
        <v>68983.164053223925</v>
      </c>
      <c r="AH54" s="459">
        <f>(J54/Population_Tables!W28)*Population_Tables!K28</f>
        <v>86911.960164032949</v>
      </c>
      <c r="AI54" s="459">
        <f>(K54/Population_Tables!X28)*Population_Tables!L28</f>
        <v>104500.47434029759</v>
      </c>
      <c r="AK54" s="456">
        <v>2039</v>
      </c>
      <c r="AL54" s="459">
        <f t="shared" si="6"/>
        <v>804966.57088384032</v>
      </c>
      <c r="AM54" s="459">
        <f t="shared" si="6"/>
        <v>220125.714319791</v>
      </c>
      <c r="AN54" s="459">
        <f t="shared" si="6"/>
        <v>69642.025234228713</v>
      </c>
      <c r="AO54" s="459">
        <f t="shared" si="6"/>
        <v>334816.27807849058</v>
      </c>
      <c r="AP54" s="459">
        <f t="shared" si="6"/>
        <v>74070.844663760188</v>
      </c>
      <c r="AQ54" s="459">
        <f t="shared" si="6"/>
        <v>116456.27543531678</v>
      </c>
      <c r="AR54" s="459">
        <f t="shared" si="6"/>
        <v>108614.11540670085</v>
      </c>
      <c r="AS54" s="459">
        <f t="shared" si="6"/>
        <v>68983.164053223925</v>
      </c>
      <c r="AT54" s="459">
        <f t="shared" si="6"/>
        <v>86911.960164032949</v>
      </c>
      <c r="AU54" s="459">
        <f t="shared" si="6"/>
        <v>104500.47434029759</v>
      </c>
      <c r="AW54" s="216">
        <f>(B54/Population_Tables!O28)*Population_Tables!C28</f>
        <v>804966.57088384032</v>
      </c>
      <c r="AX54" s="153" t="str">
        <f t="shared" si="7"/>
        <v>OK</v>
      </c>
      <c r="AY54" s="421">
        <f t="shared" si="4"/>
        <v>815111.13773158728</v>
      </c>
      <c r="AZ54" s="153" t="str">
        <f t="shared" si="5"/>
        <v>OK</v>
      </c>
      <c r="BB54" s="216">
        <f>(C54/Population_Tables!P28)*Population_Tables!D28</f>
        <v>220125.714319791</v>
      </c>
      <c r="BC54" s="216">
        <f>(D54/Population_Tables!Q28)*Population_Tables!E28</f>
        <v>69642.025234228713</v>
      </c>
      <c r="BD54" s="216">
        <f>(E54/Population_Tables!R28)*Population_Tables!F28</f>
        <v>334816.27807849058</v>
      </c>
      <c r="BE54" s="216">
        <f>(F54/Population_Tables!S28)*Population_Tables!G28</f>
        <v>74070.844663760188</v>
      </c>
      <c r="BF54" s="216">
        <f>(G54/Population_Tables!T28)*Population_Tables!H28</f>
        <v>116456.27543531678</v>
      </c>
      <c r="BG54" s="216"/>
      <c r="BN54" s="216"/>
      <c r="BO54" s="216"/>
      <c r="BP54" s="216"/>
    </row>
    <row r="55" spans="1:68" ht="15.6" x14ac:dyDescent="0.3">
      <c r="A55" s="206">
        <v>2040</v>
      </c>
      <c r="B55" s="229">
        <v>781313.11531238747</v>
      </c>
      <c r="C55" s="229">
        <v>214148.06507282096</v>
      </c>
      <c r="D55" s="229">
        <v>67841.524596742223</v>
      </c>
      <c r="E55" s="229">
        <v>324827.20470109629</v>
      </c>
      <c r="F55" s="229">
        <v>72398.182441516168</v>
      </c>
      <c r="G55" s="229">
        <v>111849.63393667943</v>
      </c>
      <c r="H55" s="229">
        <v>105500.09512378494</v>
      </c>
      <c r="I55" s="229">
        <v>67579.031407726958</v>
      </c>
      <c r="J55" s="229">
        <v>83858.735292669153</v>
      </c>
      <c r="K55" s="229">
        <v>100633.56782162127</v>
      </c>
      <c r="M55" s="206">
        <v>2040</v>
      </c>
      <c r="N55" s="419">
        <f t="shared" si="2"/>
        <v>211142.02075596753</v>
      </c>
      <c r="O55" s="418">
        <f>(C55/Population_Tables!P29)*Population_Tables!D88</f>
        <v>0</v>
      </c>
      <c r="P55" s="418">
        <f>(D55/Population_Tables!Q29)*Population_Tables!E88</f>
        <v>0</v>
      </c>
      <c r="Q55" s="418">
        <f>((E55-H55)/Population_Tables!R29)*Population_Tables!F88</f>
        <v>129920.05832313998</v>
      </c>
      <c r="R55" s="418">
        <f>(F55/Population_Tables!S29)*Population_Tables!G88</f>
        <v>46984.927039415714</v>
      </c>
      <c r="S55" s="418">
        <f>(G55/Population_Tables!T29)*Population_Tables!H88</f>
        <v>34237.035393411839</v>
      </c>
      <c r="T55" s="418">
        <f>(H55/Population_Tables!U29)*Population_Tables!I88</f>
        <v>0</v>
      </c>
      <c r="U55" s="418">
        <f>(I55/Population_Tables!V29)*Population_Tables!J88</f>
        <v>0</v>
      </c>
      <c r="V55" s="418">
        <f>(J55/Population_Tables!W29)*Population_Tables!K88</f>
        <v>0</v>
      </c>
      <c r="W55" s="418">
        <f>(K55/Population_Tables!X29)*Population_Tables!L88</f>
        <v>0</v>
      </c>
      <c r="Y55" s="456">
        <v>2040</v>
      </c>
      <c r="Z55" s="459">
        <f>((B55/Population_Tables!O29)*Population_Tables!C29)-N55</f>
        <v>613198.09512792854</v>
      </c>
      <c r="AA55" s="459">
        <f>((C55/Population_Tables!P29)*Population_Tables!D29)-O55</f>
        <v>224391.02407321669</v>
      </c>
      <c r="AB55" s="459">
        <f>((D55/Population_Tables!Q29)*Population_Tables!E29)-P55</f>
        <v>71131.862202486038</v>
      </c>
      <c r="AC55" s="459">
        <f>((E55/Population_Tables!R29)*Population_Tables!F29)-Q55</f>
        <v>213403.7829392018</v>
      </c>
      <c r="AD55" s="459">
        <f>((F55/Population_Tables!S29)*Population_Tables!G29)-R55</f>
        <v>29163.14291139329</v>
      </c>
      <c r="AE55" s="459">
        <f>((G55/Population_Tables!T29)*Population_Tables!H29)-S55</f>
        <v>85100.795545621077</v>
      </c>
      <c r="AF55" s="459">
        <f>(H55/Population_Tables!U29)*Population_Tables!I29</f>
        <v>110243.23016297698</v>
      </c>
      <c r="AG55" s="459">
        <f>(I55/Population_Tables!V29)*Population_Tables!J29</f>
        <v>71459.670535202342</v>
      </c>
      <c r="AH55" s="459">
        <f>(J55/Population_Tables!W29)*Population_Tables!K29</f>
        <v>87653.601313641426</v>
      </c>
      <c r="AI55" s="459">
        <f>(K55/Population_Tables!X29)*Population_Tables!L29</f>
        <v>105861.38814448574</v>
      </c>
      <c r="AK55" s="456">
        <v>2040</v>
      </c>
      <c r="AL55" s="459">
        <f t="shared" si="6"/>
        <v>824340.11588389613</v>
      </c>
      <c r="AM55" s="459">
        <f t="shared" si="6"/>
        <v>224391.02407321669</v>
      </c>
      <c r="AN55" s="459">
        <f t="shared" si="6"/>
        <v>71131.862202486038</v>
      </c>
      <c r="AO55" s="459">
        <f t="shared" si="6"/>
        <v>343323.84126234177</v>
      </c>
      <c r="AP55" s="459">
        <f t="shared" si="6"/>
        <v>76148.069950809004</v>
      </c>
      <c r="AQ55" s="459">
        <f t="shared" si="6"/>
        <v>119337.83093903292</v>
      </c>
      <c r="AR55" s="459">
        <f t="shared" si="6"/>
        <v>110243.23016297698</v>
      </c>
      <c r="AS55" s="459">
        <f t="shared" si="6"/>
        <v>71459.670535202342</v>
      </c>
      <c r="AT55" s="459">
        <f t="shared" si="6"/>
        <v>87653.601313641426</v>
      </c>
      <c r="AU55" s="459">
        <f t="shared" si="6"/>
        <v>105861.38814448574</v>
      </c>
      <c r="AW55" s="216">
        <f>(B55/Population_Tables!O29)*Population_Tables!C29</f>
        <v>824340.11588389601</v>
      </c>
      <c r="AX55" s="153" t="b">
        <f t="shared" si="7"/>
        <v>0</v>
      </c>
      <c r="AY55" s="421">
        <f t="shared" si="4"/>
        <v>834332.62842788652</v>
      </c>
      <c r="AZ55" s="153" t="str">
        <f t="shared" si="5"/>
        <v>OK</v>
      </c>
      <c r="BB55" s="216">
        <f>(C55/Population_Tables!P29)*Population_Tables!D29</f>
        <v>224391.02407321669</v>
      </c>
      <c r="BC55" s="216">
        <f>(D55/Population_Tables!Q29)*Population_Tables!E29</f>
        <v>71131.862202486038</v>
      </c>
      <c r="BD55" s="216">
        <f>(E55/Population_Tables!R29)*Population_Tables!F29</f>
        <v>343323.84126234177</v>
      </c>
      <c r="BE55" s="216">
        <f>(F55/Population_Tables!S29)*Population_Tables!G29</f>
        <v>76148.069950809004</v>
      </c>
      <c r="BF55" s="216">
        <f>(G55/Population_Tables!T29)*Population_Tables!H29</f>
        <v>119337.83093903292</v>
      </c>
      <c r="BG55" s="216"/>
      <c r="BN55" s="216"/>
      <c r="BO55" s="216"/>
      <c r="BP55" s="216"/>
    </row>
    <row r="56" spans="1:68" ht="15.6" x14ac:dyDescent="0.3">
      <c r="A56" s="206">
        <v>2041</v>
      </c>
      <c r="B56" s="229">
        <v>797574.3113277629</v>
      </c>
      <c r="C56" s="229">
        <v>217704.05496391715</v>
      </c>
      <c r="D56" s="229">
        <v>69086.073473334225</v>
      </c>
      <c r="E56" s="229">
        <v>331945.22453886434</v>
      </c>
      <c r="F56" s="229">
        <v>74214.079017751588</v>
      </c>
      <c r="G56" s="229">
        <v>114164.75227729039</v>
      </c>
      <c r="H56" s="229">
        <v>106722.61871468404</v>
      </c>
      <c r="I56" s="229">
        <v>69741.451812826213</v>
      </c>
      <c r="J56" s="229">
        <v>84337.163971790069</v>
      </c>
      <c r="K56" s="229">
        <v>101630.47610621847</v>
      </c>
      <c r="M56" s="206">
        <v>2041</v>
      </c>
      <c r="N56" s="419">
        <f t="shared" si="2"/>
        <v>217967.17584743063</v>
      </c>
      <c r="O56" s="418">
        <f>(C56/Population_Tables!P30)*Population_Tables!D89</f>
        <v>0</v>
      </c>
      <c r="P56" s="418">
        <f>(D56/Population_Tables!Q30)*Population_Tables!E89</f>
        <v>0</v>
      </c>
      <c r="Q56" s="418">
        <f>((E56-H56)/Population_Tables!R30)*Population_Tables!F89</f>
        <v>134364.92378969037</v>
      </c>
      <c r="R56" s="418">
        <f>(F56/Population_Tables!S30)*Population_Tables!G89</f>
        <v>48416.438120960862</v>
      </c>
      <c r="S56" s="418">
        <f>(G56/Population_Tables!T30)*Population_Tables!H89</f>
        <v>35185.813936779385</v>
      </c>
      <c r="T56" s="418">
        <f>(H56/Population_Tables!U30)*Population_Tables!I89</f>
        <v>0</v>
      </c>
      <c r="U56" s="418">
        <f>(I56/Population_Tables!V30)*Population_Tables!J89</f>
        <v>0</v>
      </c>
      <c r="V56" s="418">
        <f>(J56/Population_Tables!W30)*Population_Tables!K89</f>
        <v>0</v>
      </c>
      <c r="W56" s="418">
        <f>(K56/Population_Tables!X30)*Population_Tables!L89</f>
        <v>0</v>
      </c>
      <c r="Y56" s="456">
        <v>2041</v>
      </c>
      <c r="Z56" s="459">
        <f>((B56/Population_Tables!O30)*Population_Tables!C30)-N56</f>
        <v>626166.39610042714</v>
      </c>
      <c r="AA56" s="459">
        <f>((C56/Population_Tables!P30)*Population_Tables!D30)-O56</f>
        <v>228738.77029324093</v>
      </c>
      <c r="AB56" s="459">
        <f>((D56/Population_Tables!Q30)*Population_Tables!E30)-P56</f>
        <v>72656.70045720553</v>
      </c>
      <c r="AC56" s="459">
        <f>((E56/Population_Tables!R30)*Population_Tables!F30)-Q56</f>
        <v>217628.61908066378</v>
      </c>
      <c r="AD56" s="459">
        <f>((F56/Population_Tables!S30)*Population_Tables!G30)-R56</f>
        <v>29866.297780770044</v>
      </c>
      <c r="AE56" s="459">
        <f>((G56/Population_Tables!T30)*Population_Tables!H30)-S56</f>
        <v>87088.214966067928</v>
      </c>
      <c r="AF56" s="459">
        <f>(H56/Population_Tables!U30)*Population_Tables!I30</f>
        <v>111821.01235611449</v>
      </c>
      <c r="AG56" s="459">
        <f>(I56/Population_Tables!V30)*Population_Tables!J30</f>
        <v>73972.655949414548</v>
      </c>
      <c r="AH56" s="459">
        <f>(J56/Population_Tables!W30)*Population_Tables!K30</f>
        <v>88390.70037196645</v>
      </c>
      <c r="AI56" s="459">
        <f>(K56/Population_Tables!X30)*Population_Tables!L30</f>
        <v>107224.19011073452</v>
      </c>
      <c r="AK56" s="456">
        <v>2041</v>
      </c>
      <c r="AL56" s="459">
        <f t="shared" si="6"/>
        <v>844133.57194785774</v>
      </c>
      <c r="AM56" s="459">
        <f t="shared" si="6"/>
        <v>228738.77029324093</v>
      </c>
      <c r="AN56" s="459">
        <f t="shared" si="6"/>
        <v>72656.70045720553</v>
      </c>
      <c r="AO56" s="459">
        <f t="shared" si="6"/>
        <v>351993.54287035414</v>
      </c>
      <c r="AP56" s="459">
        <f t="shared" si="6"/>
        <v>78282.735901730906</v>
      </c>
      <c r="AQ56" s="459">
        <f t="shared" si="6"/>
        <v>122274.02890284732</v>
      </c>
      <c r="AR56" s="459">
        <f t="shared" si="6"/>
        <v>111821.01235611449</v>
      </c>
      <c r="AS56" s="459">
        <f t="shared" si="6"/>
        <v>73972.655949414548</v>
      </c>
      <c r="AT56" s="459">
        <f t="shared" si="6"/>
        <v>88390.70037196645</v>
      </c>
      <c r="AU56" s="459">
        <f t="shared" si="6"/>
        <v>107224.19011073452</v>
      </c>
      <c r="AW56" s="216">
        <f>(B56/Population_Tables!O30)*Population_Tables!C30</f>
        <v>844133.57194785774</v>
      </c>
      <c r="AX56" s="153" t="str">
        <f t="shared" si="7"/>
        <v>OK</v>
      </c>
      <c r="AY56" s="421">
        <f t="shared" si="4"/>
        <v>853945.77842537884</v>
      </c>
      <c r="AZ56" s="153" t="str">
        <f t="shared" si="5"/>
        <v>OK</v>
      </c>
      <c r="BB56" s="216">
        <f>(C56/Population_Tables!P30)*Population_Tables!D30</f>
        <v>228738.77029324093</v>
      </c>
      <c r="BC56" s="216">
        <f>(D56/Population_Tables!Q30)*Population_Tables!E30</f>
        <v>72656.70045720553</v>
      </c>
      <c r="BD56" s="216">
        <f>(E56/Population_Tables!R30)*Population_Tables!F30</f>
        <v>351993.54287035414</v>
      </c>
      <c r="BE56" s="216">
        <f>(F56/Population_Tables!S30)*Population_Tables!G30</f>
        <v>78282.735901730906</v>
      </c>
      <c r="BF56" s="216">
        <f>(G56/Population_Tables!T30)*Population_Tables!H30</f>
        <v>122274.02890284732</v>
      </c>
      <c r="BG56" s="216"/>
      <c r="BN56" s="216"/>
      <c r="BO56" s="216"/>
      <c r="BP56" s="216"/>
    </row>
    <row r="57" spans="1:68" ht="15.6" x14ac:dyDescent="0.3">
      <c r="A57" s="206">
        <v>2042</v>
      </c>
      <c r="B57" s="229">
        <v>814105.21930601669</v>
      </c>
      <c r="C57" s="229">
        <v>221316.90160391491</v>
      </c>
      <c r="D57" s="229">
        <v>70352.589887512411</v>
      </c>
      <c r="E57" s="229">
        <v>339157.16415907739</v>
      </c>
      <c r="F57" s="229">
        <v>76072.056488381844</v>
      </c>
      <c r="G57" s="229">
        <v>116506.89368855464</v>
      </c>
      <c r="H57" s="229">
        <v>107886.57281560372</v>
      </c>
      <c r="I57" s="229">
        <v>71922.44943421628</v>
      </c>
      <c r="J57" s="229">
        <v>84805.73082879225</v>
      </c>
      <c r="K57" s="229">
        <v>102621.97799694147</v>
      </c>
      <c r="M57" s="206">
        <v>2042</v>
      </c>
      <c r="N57" s="419">
        <f t="shared" si="2"/>
        <v>225001.78342672368</v>
      </c>
      <c r="O57" s="418">
        <f>(C57/Population_Tables!P31)*Population_Tables!D90</f>
        <v>0</v>
      </c>
      <c r="P57" s="418">
        <f>(D57/Population_Tables!Q31)*Population_Tables!E90</f>
        <v>0</v>
      </c>
      <c r="Q57" s="418">
        <f>((E57-H57)/Population_Tables!R31)*Population_Tables!F90</f>
        <v>138958.33370731483</v>
      </c>
      <c r="R57" s="418">
        <f>(F57/Population_Tables!S31)*Population_Tables!G90</f>
        <v>49888.145969884426</v>
      </c>
      <c r="S57" s="418">
        <f>(G57/Population_Tables!T31)*Population_Tables!H90</f>
        <v>36155.303749524413</v>
      </c>
      <c r="T57" s="418">
        <f>(H57/Population_Tables!U31)*Population_Tables!I90</f>
        <v>0</v>
      </c>
      <c r="U57" s="418">
        <f>(I57/Population_Tables!V31)*Population_Tables!J90</f>
        <v>0</v>
      </c>
      <c r="V57" s="418">
        <f>(J57/Population_Tables!W31)*Population_Tables!K90</f>
        <v>0</v>
      </c>
      <c r="W57" s="418">
        <f>(K57/Population_Tables!X31)*Population_Tables!L90</f>
        <v>0</v>
      </c>
      <c r="Y57" s="456">
        <v>2042</v>
      </c>
      <c r="Z57" s="459">
        <f>((B57/Population_Tables!O31)*Population_Tables!C31)-N57</f>
        <v>639355.0639169215</v>
      </c>
      <c r="AA57" s="459">
        <f>((C57/Population_Tables!P31)*Population_Tables!D31)-O57</f>
        <v>233170.34185715605</v>
      </c>
      <c r="AB57" s="459">
        <f>((D57/Population_Tables!Q31)*Population_Tables!E31)-P57</f>
        <v>74217.711676110004</v>
      </c>
      <c r="AC57" s="459">
        <f>((E57/Population_Tables!R31)*Population_Tables!F31)-Q57</f>
        <v>221871.21475289288</v>
      </c>
      <c r="AD57" s="459">
        <f>((F57/Population_Tables!S31)*Population_Tables!G31)-R57</f>
        <v>30588.004064202178</v>
      </c>
      <c r="AE57" s="459">
        <f>((G57/Population_Tables!T31)*Population_Tables!H31)-S57</f>
        <v>89109.891102585854</v>
      </c>
      <c r="AF57" s="459">
        <f>(H57/Population_Tables!U31)*Population_Tables!I31</f>
        <v>113349.06881423399</v>
      </c>
      <c r="AG57" s="459">
        <f>(I57/Population_Tables!V31)*Population_Tables!J31</f>
        <v>76521.300628997022</v>
      </c>
      <c r="AH57" s="459">
        <f>(J57/Population_Tables!W31)*Population_Tables!K31</f>
        <v>89123.154213909103</v>
      </c>
      <c r="AI57" s="459">
        <f>(K57/Population_Tables!X31)*Population_Tables!L31</f>
        <v>108588.73531130182</v>
      </c>
      <c r="AK57" s="456">
        <v>2042</v>
      </c>
      <c r="AL57" s="459">
        <f t="shared" si="6"/>
        <v>864356.84734364517</v>
      </c>
      <c r="AM57" s="459">
        <f t="shared" si="6"/>
        <v>233170.34185715605</v>
      </c>
      <c r="AN57" s="459">
        <f t="shared" si="6"/>
        <v>74217.711676110004</v>
      </c>
      <c r="AO57" s="459">
        <f t="shared" si="6"/>
        <v>360829.5484602077</v>
      </c>
      <c r="AP57" s="459">
        <f t="shared" si="6"/>
        <v>80476.150034086604</v>
      </c>
      <c r="AQ57" s="459">
        <f t="shared" si="6"/>
        <v>125265.19485211026</v>
      </c>
      <c r="AR57" s="459">
        <f t="shared" si="6"/>
        <v>113349.06881423399</v>
      </c>
      <c r="AS57" s="459">
        <f t="shared" si="6"/>
        <v>76521.300628997022</v>
      </c>
      <c r="AT57" s="459">
        <f t="shared" si="6"/>
        <v>89123.154213909103</v>
      </c>
      <c r="AU57" s="459">
        <f t="shared" si="6"/>
        <v>108588.73531130182</v>
      </c>
      <c r="AW57" s="216">
        <f>(B57/Population_Tables!O31)*Population_Tables!C31</f>
        <v>864356.84734364517</v>
      </c>
      <c r="AX57" s="153" t="str">
        <f t="shared" si="7"/>
        <v>OK</v>
      </c>
      <c r="AY57" s="421">
        <f t="shared" si="4"/>
        <v>873958.94687967049</v>
      </c>
      <c r="AZ57" s="153" t="str">
        <f t="shared" si="5"/>
        <v>OK</v>
      </c>
      <c r="BB57" s="216">
        <f>(C57/Population_Tables!P31)*Population_Tables!D31</f>
        <v>233170.34185715605</v>
      </c>
      <c r="BC57" s="216">
        <f>(D57/Population_Tables!Q31)*Population_Tables!E31</f>
        <v>74217.711676110004</v>
      </c>
      <c r="BD57" s="216">
        <f>(E57/Population_Tables!R31)*Population_Tables!F31</f>
        <v>360829.5484602077</v>
      </c>
      <c r="BE57" s="216">
        <f>(F57/Population_Tables!S31)*Population_Tables!G31</f>
        <v>80476.150034086604</v>
      </c>
      <c r="BF57" s="216">
        <f>(G57/Population_Tables!T31)*Population_Tables!H31</f>
        <v>125265.19485211026</v>
      </c>
      <c r="BG57" s="216"/>
      <c r="BN57" s="216"/>
      <c r="BO57" s="216"/>
      <c r="BP57" s="216"/>
    </row>
    <row r="58" spans="1:68" ht="15.6" x14ac:dyDescent="0.3">
      <c r="A58" s="206">
        <v>2043</v>
      </c>
      <c r="B58" s="229">
        <v>830910.2767539866</v>
      </c>
      <c r="C58" s="229">
        <v>224987.87845000508</v>
      </c>
      <c r="D58" s="229">
        <v>71641.886012538787</v>
      </c>
      <c r="E58" s="229">
        <v>346464.37395311112</v>
      </c>
      <c r="F58" s="229">
        <v>77972.762090838209</v>
      </c>
      <c r="G58" s="229">
        <v>118875.80906635987</v>
      </c>
      <c r="H58" s="229">
        <v>108993.8721111929</v>
      </c>
      <c r="I58" s="229">
        <v>74120.496156998532</v>
      </c>
      <c r="J58" s="229">
        <v>85264.611527980451</v>
      </c>
      <c r="K58" s="229">
        <v>103608.1552415543</v>
      </c>
      <c r="M58" s="206">
        <v>2043</v>
      </c>
      <c r="N58" s="419">
        <f t="shared" si="2"/>
        <v>232254.97240179247</v>
      </c>
      <c r="O58" s="418">
        <f>(C58/Population_Tables!P32)*Population_Tables!D91</f>
        <v>0</v>
      </c>
      <c r="P58" s="418">
        <f>(D58/Population_Tables!Q32)*Population_Tables!E91</f>
        <v>0</v>
      </c>
      <c r="Q58" s="418">
        <f>((E58-H58)/Population_Tables!R32)*Population_Tables!F91</f>
        <v>143706.79609779836</v>
      </c>
      <c r="R58" s="418">
        <f>(F58/Population_Tables!S32)*Population_Tables!G91</f>
        <v>51401.759801065047</v>
      </c>
      <c r="S58" s="418">
        <f>(G58/Population_Tables!T32)*Population_Tables!H91</f>
        <v>37146.416502929074</v>
      </c>
      <c r="T58" s="418">
        <f>(H58/Population_Tables!U32)*Population_Tables!I91</f>
        <v>0</v>
      </c>
      <c r="U58" s="418">
        <f>(I58/Population_Tables!V32)*Population_Tables!J91</f>
        <v>0</v>
      </c>
      <c r="V58" s="418">
        <f>(J58/Population_Tables!W32)*Population_Tables!K91</f>
        <v>0</v>
      </c>
      <c r="W58" s="418">
        <f>(K58/Population_Tables!X32)*Population_Tables!L91</f>
        <v>0</v>
      </c>
      <c r="Y58" s="456">
        <v>2043</v>
      </c>
      <c r="Z58" s="459">
        <f>((B58/Population_Tables!O32)*Population_Tables!C32)-N58</f>
        <v>652777.18830714282</v>
      </c>
      <c r="AA58" s="459">
        <f>((C58/Population_Tables!P32)*Population_Tables!D32)-O58</f>
        <v>237688.99920183397</v>
      </c>
      <c r="AB58" s="459">
        <f>((D58/Population_Tables!Q32)*Population_Tables!E32)-P58</f>
        <v>75816.770523604268</v>
      </c>
      <c r="AC58" s="459">
        <f>((E58/Population_Tables!R32)*Population_Tables!F32)-Q58</f>
        <v>226135.19443208599</v>
      </c>
      <c r="AD58" s="459">
        <f>((F58/Population_Tables!S32)*Population_Tables!G32)-R58</f>
        <v>31328.952363230528</v>
      </c>
      <c r="AE58" s="459">
        <f>((G58/Population_Tables!T32)*Population_Tables!H32)-S58</f>
        <v>91166.865298922115</v>
      </c>
      <c r="AF58" s="459">
        <f>(H58/Population_Tables!U32)*Population_Tables!I32</f>
        <v>114830.36529829707</v>
      </c>
      <c r="AG58" s="459">
        <f>(I58/Population_Tables!V32)*Population_Tables!J32</f>
        <v>79106.430652830357</v>
      </c>
      <c r="AH58" s="459">
        <f>(J58/Population_Tables!W32)*Population_Tables!K32</f>
        <v>89851.523957778831</v>
      </c>
      <c r="AI58" s="459">
        <f>(K58/Population_Tables!X32)*Population_Tables!L32</f>
        <v>109955.8552098917</v>
      </c>
      <c r="AK58" s="456">
        <v>2043</v>
      </c>
      <c r="AL58" s="459">
        <f t="shared" si="6"/>
        <v>885032.16070893523</v>
      </c>
      <c r="AM58" s="459">
        <f t="shared" si="6"/>
        <v>237688.99920183397</v>
      </c>
      <c r="AN58" s="459">
        <f t="shared" si="6"/>
        <v>75816.770523604268</v>
      </c>
      <c r="AO58" s="459">
        <f t="shared" si="6"/>
        <v>369841.99052988435</v>
      </c>
      <c r="AP58" s="459">
        <f t="shared" si="6"/>
        <v>82730.712164295575</v>
      </c>
      <c r="AQ58" s="459">
        <f t="shared" si="6"/>
        <v>128313.28180185119</v>
      </c>
      <c r="AR58" s="459">
        <f t="shared" si="6"/>
        <v>114830.36529829707</v>
      </c>
      <c r="AS58" s="459">
        <f t="shared" si="6"/>
        <v>79106.430652830357</v>
      </c>
      <c r="AT58" s="459">
        <f t="shared" si="6"/>
        <v>89851.523957778831</v>
      </c>
      <c r="AU58" s="459">
        <f t="shared" si="6"/>
        <v>109955.8552098917</v>
      </c>
      <c r="AW58" s="216">
        <f>(B58/Population_Tables!O32)*Population_Tables!C32</f>
        <v>885032.16070893523</v>
      </c>
      <c r="AX58" s="153" t="str">
        <f t="shared" si="7"/>
        <v>OK</v>
      </c>
      <c r="AY58" s="421">
        <f t="shared" si="4"/>
        <v>894391.7542214694</v>
      </c>
      <c r="AZ58" s="153" t="str">
        <f t="shared" si="5"/>
        <v>OK</v>
      </c>
      <c r="BB58" s="216">
        <f>(C58/Population_Tables!P32)*Population_Tables!D32</f>
        <v>237688.99920183397</v>
      </c>
      <c r="BC58" s="216">
        <f>(D58/Population_Tables!Q32)*Population_Tables!E32</f>
        <v>75816.770523604268</v>
      </c>
      <c r="BD58" s="216">
        <f>(E58/Population_Tables!R32)*Population_Tables!F32</f>
        <v>369841.99052988435</v>
      </c>
      <c r="BE58" s="216">
        <f>(F58/Population_Tables!S32)*Population_Tables!G32</f>
        <v>82730.712164295575</v>
      </c>
      <c r="BF58" s="216">
        <f>(G58/Population_Tables!T32)*Population_Tables!H32</f>
        <v>128313.28180185119</v>
      </c>
      <c r="BG58" s="216"/>
      <c r="BN58" s="216"/>
      <c r="BO58" s="216"/>
      <c r="BP58" s="216"/>
    </row>
    <row r="59" spans="1:68" ht="15.6" x14ac:dyDescent="0.3">
      <c r="A59" s="206">
        <v>2044</v>
      </c>
      <c r="B59" s="229">
        <v>847993.92117850995</v>
      </c>
      <c r="C59" s="229">
        <v>228718.25895937852</v>
      </c>
      <c r="D59" s="229">
        <v>72954.774021675374</v>
      </c>
      <c r="E59" s="229">
        <v>353868.20431234117</v>
      </c>
      <c r="F59" s="229">
        <v>79916.843062551954</v>
      </c>
      <c r="G59" s="229">
        <v>121271.24930659379</v>
      </c>
      <c r="H59" s="229">
        <v>110046.43128610056</v>
      </c>
      <c r="I59" s="229">
        <v>76334.063866274373</v>
      </c>
      <c r="J59" s="229">
        <v>85713.981733659442</v>
      </c>
      <c r="K59" s="229">
        <v>104589.08958782098</v>
      </c>
      <c r="M59" s="206">
        <v>2044</v>
      </c>
      <c r="N59" s="419">
        <f t="shared" si="2"/>
        <v>239737.50801066836</v>
      </c>
      <c r="O59" s="418">
        <f>(C59/Population_Tables!P33)*Population_Tables!D92</f>
        <v>0</v>
      </c>
      <c r="P59" s="418">
        <f>(D59/Population_Tables!Q33)*Population_Tables!E92</f>
        <v>0</v>
      </c>
      <c r="Q59" s="418">
        <f>((E59-H59)/Population_Tables!R33)*Population_Tables!F92</f>
        <v>148618.17972465645</v>
      </c>
      <c r="R59" s="418">
        <f>(F59/Population_Tables!S33)*Population_Tables!G92</f>
        <v>52959.142908212227</v>
      </c>
      <c r="S59" s="418">
        <f>(G59/Population_Tables!T33)*Population_Tables!H92</f>
        <v>38160.18537779968</v>
      </c>
      <c r="T59" s="418">
        <f>(H59/Population_Tables!U33)*Population_Tables!I92</f>
        <v>0</v>
      </c>
      <c r="U59" s="418">
        <f>(I59/Population_Tables!V33)*Population_Tables!J92</f>
        <v>0</v>
      </c>
      <c r="V59" s="418">
        <f>(J59/Population_Tables!W33)*Population_Tables!K92</f>
        <v>0</v>
      </c>
      <c r="W59" s="418">
        <f>(K59/Population_Tables!X33)*Population_Tables!L92</f>
        <v>0</v>
      </c>
      <c r="Y59" s="456">
        <v>2044</v>
      </c>
      <c r="Z59" s="459">
        <f>((B59/Population_Tables!O33)*Population_Tables!C33)-N59</f>
        <v>666446.9900535323</v>
      </c>
      <c r="AA59" s="459">
        <f>((C59/Population_Tables!P33)*Population_Tables!D33)-O59</f>
        <v>242298.1321995139</v>
      </c>
      <c r="AB59" s="459">
        <f>((D59/Population_Tables!Q33)*Population_Tables!E33)-P59</f>
        <v>77455.807152495676</v>
      </c>
      <c r="AC59" s="459">
        <f>((E59/Population_Tables!R33)*Population_Tables!F33)-Q59</f>
        <v>230424.59189515369</v>
      </c>
      <c r="AD59" s="459">
        <f>((F59/Population_Tables!S33)*Population_Tables!G33)-R59</f>
        <v>32089.860896435996</v>
      </c>
      <c r="AE59" s="459">
        <f>((G59/Population_Tables!T33)*Population_Tables!H33)-S59</f>
        <v>93260.282152705389</v>
      </c>
      <c r="AF59" s="459">
        <f>(H59/Population_Tables!U33)*Population_Tables!I33</f>
        <v>116268.18291384185</v>
      </c>
      <c r="AG59" s="459">
        <f>(I59/Population_Tables!V33)*Population_Tables!J33</f>
        <v>81729.504132526316</v>
      </c>
      <c r="AH59" s="459">
        <f>(J59/Population_Tables!W33)*Population_Tables!K33</f>
        <v>90576.364664703127</v>
      </c>
      <c r="AI59" s="459">
        <f>(K59/Population_Tables!X33)*Population_Tables!L33</f>
        <v>111326.50061295144</v>
      </c>
      <c r="AK59" s="456">
        <v>2044</v>
      </c>
      <c r="AL59" s="459">
        <f t="shared" si="6"/>
        <v>906184.49806420063</v>
      </c>
      <c r="AM59" s="459">
        <f t="shared" si="6"/>
        <v>242298.1321995139</v>
      </c>
      <c r="AN59" s="459">
        <f t="shared" si="6"/>
        <v>77455.807152495676</v>
      </c>
      <c r="AO59" s="459">
        <f t="shared" si="6"/>
        <v>379042.77161981014</v>
      </c>
      <c r="AP59" s="459">
        <f t="shared" si="6"/>
        <v>85049.003804648222</v>
      </c>
      <c r="AQ59" s="459">
        <f t="shared" si="6"/>
        <v>131420.46753050506</v>
      </c>
      <c r="AR59" s="459">
        <f t="shared" si="6"/>
        <v>116268.18291384185</v>
      </c>
      <c r="AS59" s="459">
        <f t="shared" si="6"/>
        <v>81729.504132526316</v>
      </c>
      <c r="AT59" s="459">
        <f t="shared" si="6"/>
        <v>90576.364664703127</v>
      </c>
      <c r="AU59" s="459">
        <f t="shared" si="6"/>
        <v>111326.50061295144</v>
      </c>
      <c r="AW59" s="216">
        <f>(B59/Population_Tables!O33)*Population_Tables!C33</f>
        <v>906184.49806420063</v>
      </c>
      <c r="AX59" s="153" t="str">
        <f t="shared" si="7"/>
        <v>OK</v>
      </c>
      <c r="AY59" s="421">
        <f t="shared" si="4"/>
        <v>915266.18230697291</v>
      </c>
      <c r="AZ59" s="153" t="str">
        <f t="shared" si="5"/>
        <v>OK</v>
      </c>
      <c r="BB59" s="216">
        <f>(C59/Population_Tables!P33)*Population_Tables!D33</f>
        <v>242298.1321995139</v>
      </c>
      <c r="BC59" s="216">
        <f>(D59/Population_Tables!Q33)*Population_Tables!E33</f>
        <v>77455.807152495676</v>
      </c>
      <c r="BD59" s="216">
        <f>(E59/Population_Tables!R33)*Population_Tables!F33</f>
        <v>379042.77161981014</v>
      </c>
      <c r="BE59" s="216">
        <f>(F59/Population_Tables!S33)*Population_Tables!G33</f>
        <v>85049.003804648222</v>
      </c>
      <c r="BF59" s="216">
        <f>(G59/Population_Tables!T33)*Population_Tables!H33</f>
        <v>131420.46753050506</v>
      </c>
      <c r="BG59" s="216"/>
      <c r="BN59" s="216"/>
      <c r="BO59" s="216"/>
      <c r="BP59" s="216"/>
    </row>
    <row r="60" spans="1:68" ht="15.6" x14ac:dyDescent="0.3">
      <c r="A60" s="206">
        <v>2045</v>
      </c>
      <c r="B60" s="229">
        <v>865360.59008642437</v>
      </c>
      <c r="C60" s="229">
        <v>232509.31658922613</v>
      </c>
      <c r="D60" s="229">
        <v>74292.06608818419</v>
      </c>
      <c r="E60" s="229">
        <v>361370.00562814326</v>
      </c>
      <c r="F60" s="229">
        <v>81904.946640954324</v>
      </c>
      <c r="G60" s="229">
        <v>123692.96530514405</v>
      </c>
      <c r="H60" s="229">
        <v>111046.16502497562</v>
      </c>
      <c r="I60" s="229">
        <v>78561.624447145194</v>
      </c>
      <c r="J60" s="229">
        <v>86154.01711013398</v>
      </c>
      <c r="K60" s="229">
        <v>105564.86278350554</v>
      </c>
      <c r="M60" s="206">
        <v>2045</v>
      </c>
      <c r="N60" s="419">
        <f t="shared" si="2"/>
        <v>247459.82144973337</v>
      </c>
      <c r="O60" s="418">
        <f>(C60/Population_Tables!P34)*Population_Tables!D93</f>
        <v>0</v>
      </c>
      <c r="P60" s="418">
        <f>(D60/Population_Tables!Q34)*Population_Tables!E93</f>
        <v>0</v>
      </c>
      <c r="Q60" s="418">
        <f>((E60-H60)/Population_Tables!R34)*Population_Tables!F93</f>
        <v>153700.1349574193</v>
      </c>
      <c r="R60" s="418">
        <f>(F60/Population_Tables!S34)*Population_Tables!G93</f>
        <v>54562.0695819791</v>
      </c>
      <c r="S60" s="418">
        <f>(G60/Population_Tables!T34)*Population_Tables!H93</f>
        <v>39197.616910334968</v>
      </c>
      <c r="T60" s="418">
        <f>(H60/Population_Tables!U34)*Population_Tables!I93</f>
        <v>0</v>
      </c>
      <c r="U60" s="418">
        <f>(I60/Population_Tables!V34)*Population_Tables!J93</f>
        <v>0</v>
      </c>
      <c r="V60" s="418">
        <f>(J60/Population_Tables!W34)*Population_Tables!K93</f>
        <v>0</v>
      </c>
      <c r="W60" s="418">
        <f>(K60/Population_Tables!X34)*Population_Tables!L93</f>
        <v>0</v>
      </c>
      <c r="Y60" s="456">
        <v>2045</v>
      </c>
      <c r="Z60" s="459">
        <f>((B60/Population_Tables!O34)*Population_Tables!C34)-N60</f>
        <v>680378.23662123492</v>
      </c>
      <c r="AA60" s="459">
        <f>((C60/Population_Tables!P34)*Population_Tables!D34)-O60</f>
        <v>247001.50376574739</v>
      </c>
      <c r="AB60" s="459">
        <f>((D60/Population_Tables!Q34)*Population_Tables!E34)-P60</f>
        <v>79136.818130289437</v>
      </c>
      <c r="AC60" s="459">
        <f>((E60/Population_Tables!R34)*Population_Tables!F34)-Q60</f>
        <v>234743.22150738549</v>
      </c>
      <c r="AD60" s="459">
        <f>((F60/Population_Tables!S34)*Population_Tables!G34)-R60</f>
        <v>32871.427407059498</v>
      </c>
      <c r="AE60" s="459">
        <f>((G60/Population_Tables!T34)*Population_Tables!H34)-S60</f>
        <v>95391.309267561679</v>
      </c>
      <c r="AF60" s="459">
        <f>(H60/Population_Tables!U34)*Population_Tables!I34</f>
        <v>117665.66655982462</v>
      </c>
      <c r="AG60" s="459">
        <f>(I60/Population_Tables!V34)*Population_Tables!J34</f>
        <v>84391.84503880456</v>
      </c>
      <c r="AH60" s="459">
        <f>(J60/Population_Tables!W34)*Population_Tables!K34</f>
        <v>91298.326895166771</v>
      </c>
      <c r="AI60" s="459">
        <f>(K60/Population_Tables!X34)*Population_Tables!L34</f>
        <v>112701.71709909571</v>
      </c>
      <c r="AK60" s="456">
        <v>2045</v>
      </c>
      <c r="AL60" s="459">
        <f t="shared" si="6"/>
        <v>927838.05807096825</v>
      </c>
      <c r="AM60" s="459">
        <f t="shared" si="6"/>
        <v>247001.50376574739</v>
      </c>
      <c r="AN60" s="459">
        <f t="shared" si="6"/>
        <v>79136.818130289437</v>
      </c>
      <c r="AO60" s="459">
        <f t="shared" si="6"/>
        <v>388443.35646480479</v>
      </c>
      <c r="AP60" s="459">
        <f t="shared" si="6"/>
        <v>87433.496989038598</v>
      </c>
      <c r="AQ60" s="459">
        <f t="shared" si="6"/>
        <v>134588.92617789665</v>
      </c>
      <c r="AR60" s="459">
        <f t="shared" si="6"/>
        <v>117665.66655982462</v>
      </c>
      <c r="AS60" s="459">
        <f t="shared" si="6"/>
        <v>84391.84503880456</v>
      </c>
      <c r="AT60" s="459">
        <f t="shared" si="6"/>
        <v>91298.326895166771</v>
      </c>
      <c r="AU60" s="459">
        <f t="shared" si="6"/>
        <v>112701.71709909571</v>
      </c>
      <c r="AW60" s="216">
        <f>(B60/Population_Tables!O34)*Population_Tables!C34</f>
        <v>927838.05807096825</v>
      </c>
      <c r="AX60" s="153" t="str">
        <f t="shared" si="7"/>
        <v>OK</v>
      </c>
      <c r="AY60" s="421">
        <f t="shared" si="4"/>
        <v>936604.10152777692</v>
      </c>
      <c r="AZ60" s="153" t="str">
        <f t="shared" si="5"/>
        <v>OK</v>
      </c>
      <c r="BB60" s="216">
        <f>(C60/Population_Tables!P34)*Population_Tables!D34</f>
        <v>247001.50376574739</v>
      </c>
      <c r="BC60" s="216">
        <f>(D60/Population_Tables!Q34)*Population_Tables!E34</f>
        <v>79136.818130289437</v>
      </c>
      <c r="BD60" s="216">
        <f>(E60/Population_Tables!R34)*Population_Tables!F34</f>
        <v>388443.35646480479</v>
      </c>
      <c r="BE60" s="216">
        <f>(F60/Population_Tables!S34)*Population_Tables!G34</f>
        <v>87433.496989038598</v>
      </c>
      <c r="BF60" s="216">
        <f>(G60/Population_Tables!T34)*Population_Tables!H34</f>
        <v>134588.92617789665</v>
      </c>
      <c r="BG60" s="216"/>
      <c r="BN60" s="216"/>
      <c r="BO60" s="216"/>
      <c r="BP60" s="216"/>
    </row>
    <row r="61" spans="1:68" ht="15.6" x14ac:dyDescent="0.3">
      <c r="A61" s="206">
        <v>2046</v>
      </c>
      <c r="B61" s="229">
        <v>883014.72098456742</v>
      </c>
      <c r="C61" s="229">
        <v>236362.32479673877</v>
      </c>
      <c r="D61" s="229">
        <v>75654.574385327287</v>
      </c>
      <c r="E61" s="229">
        <v>368971.12829189305</v>
      </c>
      <c r="F61" s="229">
        <v>83937.72006347662</v>
      </c>
      <c r="G61" s="229">
        <v>126140.70795789838</v>
      </c>
      <c r="H61" s="229">
        <v>111994.98801246702</v>
      </c>
      <c r="I61" s="229">
        <v>80801.649784712383</v>
      </c>
      <c r="J61" s="229">
        <v>86584.893321708834</v>
      </c>
      <c r="K61" s="229">
        <v>106535.55657637198</v>
      </c>
      <c r="M61" s="206">
        <v>2046</v>
      </c>
      <c r="N61" s="419">
        <f t="shared" si="2"/>
        <v>255429.87600598944</v>
      </c>
      <c r="O61" s="418">
        <f>(C61/Population_Tables!P35)*Population_Tables!D94</f>
        <v>0</v>
      </c>
      <c r="P61" s="418">
        <f>(D61/Population_Tables!Q35)*Population_Tables!E94</f>
        <v>0</v>
      </c>
      <c r="Q61" s="418">
        <f>((E61-H61)/Population_Tables!R35)*Population_Tables!F94</f>
        <v>158958.32829973486</v>
      </c>
      <c r="R61" s="418">
        <f>(F61/Population_Tables!S35)*Population_Tables!G94</f>
        <v>56212.036769781764</v>
      </c>
      <c r="S61" s="418">
        <f>(G61/Population_Tables!T35)*Population_Tables!H94</f>
        <v>40259.510936472827</v>
      </c>
      <c r="T61" s="418">
        <f>(H61/Population_Tables!U35)*Population_Tables!I94</f>
        <v>0</v>
      </c>
      <c r="U61" s="418">
        <f>(I61/Population_Tables!V35)*Population_Tables!J94</f>
        <v>0</v>
      </c>
      <c r="V61" s="418">
        <f>(J61/Population_Tables!W35)*Population_Tables!K94</f>
        <v>0</v>
      </c>
      <c r="W61" s="418">
        <f>(K61/Population_Tables!X35)*Population_Tables!L94</f>
        <v>0</v>
      </c>
      <c r="Y61" s="456">
        <v>2046</v>
      </c>
      <c r="Z61" s="459">
        <f>((B61/Population_Tables!O35)*Population_Tables!C35)-N61</f>
        <v>694582.50023031165</v>
      </c>
      <c r="AA61" s="459">
        <f>((C61/Population_Tables!P35)*Population_Tables!D35)-O61</f>
        <v>251802.63805705725</v>
      </c>
      <c r="AB61" s="459">
        <f>((D61/Population_Tables!Q35)*Population_Tables!E35)-P61</f>
        <v>80861.749447369468</v>
      </c>
      <c r="AC61" s="459">
        <f>((E61/Population_Tables!R35)*Population_Tables!F35)-Q61</f>
        <v>239094.2531111876</v>
      </c>
      <c r="AD61" s="459">
        <f>((F61/Population_Tables!S35)*Population_Tables!G35)-R61</f>
        <v>33674.257137262488</v>
      </c>
      <c r="AE61" s="459">
        <f>((G61/Population_Tables!T35)*Population_Tables!H35)-S61</f>
        <v>97560.922326104715</v>
      </c>
      <c r="AF61" s="459">
        <f>(H61/Population_Tables!U35)*Population_Tables!I35</f>
        <v>119025.52465714964</v>
      </c>
      <c r="AG61" s="459">
        <f>(I61/Population_Tables!V35)*Population_Tables!J35</f>
        <v>87093.724464194049</v>
      </c>
      <c r="AH61" s="459">
        <f>(J61/Population_Tables!W35)*Population_Tables!K35</f>
        <v>92018.014740292623</v>
      </c>
      <c r="AI61" s="459">
        <f>(K61/Population_Tables!X35)*Population_Tables!L35</f>
        <v>114082.23815251367</v>
      </c>
      <c r="AK61" s="456">
        <v>2046</v>
      </c>
      <c r="AL61" s="459">
        <f t="shared" si="6"/>
        <v>950012.37623630115</v>
      </c>
      <c r="AM61" s="459">
        <f t="shared" si="6"/>
        <v>251802.63805705725</v>
      </c>
      <c r="AN61" s="459">
        <f t="shared" si="6"/>
        <v>80861.749447369468</v>
      </c>
      <c r="AO61" s="459">
        <f t="shared" si="6"/>
        <v>398052.58141092246</v>
      </c>
      <c r="AP61" s="459">
        <f t="shared" si="6"/>
        <v>89886.293907044252</v>
      </c>
      <c r="AQ61" s="459">
        <f t="shared" si="6"/>
        <v>137820.43326257754</v>
      </c>
      <c r="AR61" s="459">
        <f t="shared" si="6"/>
        <v>119025.52465714964</v>
      </c>
      <c r="AS61" s="459">
        <f t="shared" si="6"/>
        <v>87093.724464194049</v>
      </c>
      <c r="AT61" s="459">
        <f t="shared" si="6"/>
        <v>92018.014740292623</v>
      </c>
      <c r="AU61" s="459">
        <f t="shared" si="6"/>
        <v>114082.23815251367</v>
      </c>
      <c r="AW61" s="216">
        <f>(B61/Population_Tables!O35)*Population_Tables!C35</f>
        <v>950012.37623630103</v>
      </c>
      <c r="AX61" s="153" t="b">
        <f t="shared" si="7"/>
        <v>0</v>
      </c>
      <c r="AY61" s="421">
        <f t="shared" si="4"/>
        <v>958423.69608497084</v>
      </c>
      <c r="AZ61" s="153" t="str">
        <f t="shared" si="5"/>
        <v>OK</v>
      </c>
      <c r="BB61" s="216">
        <f>(C61/Population_Tables!P35)*Population_Tables!D35</f>
        <v>251802.63805705725</v>
      </c>
      <c r="BC61" s="216">
        <f>(D61/Population_Tables!Q35)*Population_Tables!E35</f>
        <v>80861.749447369468</v>
      </c>
      <c r="BD61" s="216">
        <f>(E61/Population_Tables!R35)*Population_Tables!F35</f>
        <v>398052.58141092246</v>
      </c>
      <c r="BE61" s="216">
        <f>(F61/Population_Tables!S35)*Population_Tables!G35</f>
        <v>89886.293907044252</v>
      </c>
      <c r="BF61" s="216">
        <f>(G61/Population_Tables!T35)*Population_Tables!H35</f>
        <v>137820.43326257754</v>
      </c>
      <c r="BG61" s="216"/>
      <c r="BN61" s="216"/>
      <c r="BO61" s="216"/>
      <c r="BP61" s="216"/>
    </row>
    <row r="62" spans="1:68" ht="15.6" x14ac:dyDescent="0.3">
      <c r="A62" s="206">
        <v>2047</v>
      </c>
      <c r="B62" s="229">
        <v>900960.75137977651</v>
      </c>
      <c r="C62" s="229">
        <v>240278.55703910731</v>
      </c>
      <c r="D62" s="229">
        <v>77043.111086366684</v>
      </c>
      <c r="E62" s="229">
        <v>376672.92269496626</v>
      </c>
      <c r="F62" s="229">
        <v>86015.810567550099</v>
      </c>
      <c r="G62" s="229">
        <v>128614.22816074445</v>
      </c>
      <c r="H62" s="229">
        <v>112894.81493322371</v>
      </c>
      <c r="I62" s="229">
        <v>83052.61176407733</v>
      </c>
      <c r="J62" s="229">
        <v>87006.78603268876</v>
      </c>
      <c r="K62" s="229">
        <v>107501.25271418435</v>
      </c>
      <c r="M62" s="206">
        <v>2047</v>
      </c>
      <c r="N62" s="419">
        <f t="shared" si="2"/>
        <v>263655.19650548813</v>
      </c>
      <c r="O62" s="418">
        <f>(C62/Population_Tables!P36)*Population_Tables!D95</f>
        <v>0</v>
      </c>
      <c r="P62" s="418">
        <f>(D62/Population_Tables!Q36)*Population_Tables!E95</f>
        <v>0</v>
      </c>
      <c r="Q62" s="418">
        <f>((E62-H62)/Population_Tables!R36)*Population_Tables!F95</f>
        <v>164398.17132725526</v>
      </c>
      <c r="R62" s="418">
        <f>(F62/Population_Tables!S36)*Population_Tables!G95</f>
        <v>57910.399087314472</v>
      </c>
      <c r="S62" s="418">
        <f>(G62/Population_Tables!T36)*Population_Tables!H95</f>
        <v>41346.626090918384</v>
      </c>
      <c r="T62" s="418">
        <f>(H62/Population_Tables!U36)*Population_Tables!I95</f>
        <v>0</v>
      </c>
      <c r="U62" s="418">
        <f>(I62/Population_Tables!V36)*Population_Tables!J95</f>
        <v>0</v>
      </c>
      <c r="V62" s="418">
        <f>(J62/Population_Tables!W36)*Population_Tables!K95</f>
        <v>0</v>
      </c>
      <c r="W62" s="418">
        <f>(K62/Population_Tables!X36)*Population_Tables!L95</f>
        <v>0</v>
      </c>
      <c r="Y62" s="456">
        <v>2047</v>
      </c>
      <c r="Z62" s="459">
        <f>((B62/Population_Tables!O36)*Population_Tables!C36)-N62</f>
        <v>709071.11631863774</v>
      </c>
      <c r="AA62" s="459">
        <f>((C62/Population_Tables!P36)*Population_Tables!D36)-O62</f>
        <v>256705.83751482278</v>
      </c>
      <c r="AB62" s="459">
        <f>((D62/Population_Tables!Q36)*Population_Tables!E36)-P62</f>
        <v>82632.592312191555</v>
      </c>
      <c r="AC62" s="459">
        <f>((E62/Population_Tables!R36)*Population_Tables!F36)-Q62</f>
        <v>243480.67799733882</v>
      </c>
      <c r="AD62" s="459">
        <f>((F62/Population_Tables!S36)*Population_Tables!G36)-R62</f>
        <v>34498.955830542174</v>
      </c>
      <c r="AE62" s="459">
        <f>((G62/Population_Tables!T36)*Population_Tables!H36)-S62</f>
        <v>99770.205325290968</v>
      </c>
      <c r="AF62" s="459">
        <f>(H62/Population_Tables!U36)*Population_Tables!I36</f>
        <v>120350.18488266582</v>
      </c>
      <c r="AG62" s="459">
        <f>(I62/Population_Tables!V36)*Population_Tables!J36</f>
        <v>89835.317110618169</v>
      </c>
      <c r="AH62" s="459">
        <f>(J62/Population_Tables!W36)*Population_Tables!K36</f>
        <v>92736.210457052264</v>
      </c>
      <c r="AI62" s="459">
        <f>(K62/Population_Tables!X36)*Population_Tables!L36</f>
        <v>115469.16030192965</v>
      </c>
      <c r="AK62" s="456">
        <v>2047</v>
      </c>
      <c r="AL62" s="459">
        <f t="shared" si="6"/>
        <v>972726.31282412587</v>
      </c>
      <c r="AM62" s="459">
        <f t="shared" si="6"/>
        <v>256705.83751482278</v>
      </c>
      <c r="AN62" s="459">
        <f t="shared" si="6"/>
        <v>82632.592312191555</v>
      </c>
      <c r="AO62" s="459">
        <f t="shared" si="6"/>
        <v>407878.84932459408</v>
      </c>
      <c r="AP62" s="459">
        <f t="shared" si="6"/>
        <v>92409.354917856646</v>
      </c>
      <c r="AQ62" s="459">
        <f t="shared" si="6"/>
        <v>141116.83141620934</v>
      </c>
      <c r="AR62" s="459">
        <f t="shared" si="6"/>
        <v>120350.18488266582</v>
      </c>
      <c r="AS62" s="459">
        <f t="shared" si="6"/>
        <v>89835.317110618169</v>
      </c>
      <c r="AT62" s="459">
        <f t="shared" si="6"/>
        <v>92736.210457052264</v>
      </c>
      <c r="AU62" s="459">
        <f t="shared" si="6"/>
        <v>115469.16030192965</v>
      </c>
      <c r="AW62" s="216">
        <f>(B62/Population_Tables!O36)*Population_Tables!C36</f>
        <v>972726.31282412587</v>
      </c>
      <c r="AX62" s="153" t="str">
        <f t="shared" si="7"/>
        <v>OK</v>
      </c>
      <c r="AY62" s="421">
        <f t="shared" si="4"/>
        <v>980743.46548567445</v>
      </c>
      <c r="AZ62" s="153" t="str">
        <f t="shared" si="5"/>
        <v>OK</v>
      </c>
      <c r="BB62" s="216">
        <f>(C62/Population_Tables!P36)*Population_Tables!D36</f>
        <v>256705.83751482278</v>
      </c>
      <c r="BC62" s="216">
        <f>(D62/Population_Tables!Q36)*Population_Tables!E36</f>
        <v>82632.592312191555</v>
      </c>
      <c r="BD62" s="216">
        <f>(E62/Population_Tables!R36)*Population_Tables!F36</f>
        <v>407878.84932459408</v>
      </c>
      <c r="BE62" s="216">
        <f>(F62/Population_Tables!S36)*Population_Tables!G36</f>
        <v>92409.354917856646</v>
      </c>
      <c r="BF62" s="216">
        <f>(G62/Population_Tables!T36)*Population_Tables!H36</f>
        <v>141116.83141620934</v>
      </c>
      <c r="BG62" s="216"/>
      <c r="BN62" s="216"/>
      <c r="BO62" s="216"/>
      <c r="BP62" s="216"/>
    </row>
    <row r="63" spans="1:68" ht="15.6" x14ac:dyDescent="0.3">
      <c r="A63" s="206">
        <v>2048</v>
      </c>
      <c r="B63" s="229">
        <v>919203.11877888918</v>
      </c>
      <c r="C63" s="229">
        <v>244259.28677352262</v>
      </c>
      <c r="D63" s="229">
        <v>78458.4883645644</v>
      </c>
      <c r="E63" s="229">
        <v>384476.73922873847</v>
      </c>
      <c r="F63" s="229">
        <v>88139.865390606006</v>
      </c>
      <c r="G63" s="229">
        <v>131113.27680956994</v>
      </c>
      <c r="H63" s="229">
        <v>113747.56047189463</v>
      </c>
      <c r="I63" s="229">
        <v>85312.982270341425</v>
      </c>
      <c r="J63" s="229">
        <v>87419.870907378543</v>
      </c>
      <c r="K63" s="229">
        <v>108462.03294470665</v>
      </c>
      <c r="M63" s="206">
        <v>2048</v>
      </c>
      <c r="N63" s="419">
        <f t="shared" si="2"/>
        <v>272145.68591669929</v>
      </c>
      <c r="O63" s="418">
        <f>(C63/Population_Tables!P37)*Population_Tables!D96</f>
        <v>0</v>
      </c>
      <c r="P63" s="418">
        <f>(D63/Population_Tables!Q37)*Population_Tables!E96</f>
        <v>0</v>
      </c>
      <c r="Q63" s="418">
        <f>((E63-H63)/Population_Tables!R37)*Population_Tables!F96</f>
        <v>170027.22218888183</v>
      </c>
      <c r="R63" s="418">
        <f>(F63/Population_Tables!S37)*Population_Tables!G96</f>
        <v>59658.624932406012</v>
      </c>
      <c r="S63" s="418">
        <f>(G63/Population_Tables!T37)*Population_Tables!H96</f>
        <v>42459.838795411437</v>
      </c>
      <c r="T63" s="418">
        <f>(H63/Population_Tables!U37)*Population_Tables!I96</f>
        <v>0</v>
      </c>
      <c r="U63" s="418">
        <f>(I63/Population_Tables!V37)*Population_Tables!J96</f>
        <v>0</v>
      </c>
      <c r="V63" s="418">
        <f>(J63/Population_Tables!W37)*Population_Tables!K96</f>
        <v>0</v>
      </c>
      <c r="W63" s="418">
        <f>(K63/Population_Tables!X37)*Population_Tables!L96</f>
        <v>0</v>
      </c>
      <c r="Y63" s="456">
        <v>2048</v>
      </c>
      <c r="Z63" s="459">
        <f>((B63/Population_Tables!O37)*Population_Tables!C37)-N63</f>
        <v>723857.52987298742</v>
      </c>
      <c r="AA63" s="459">
        <f>((C63/Population_Tables!P37)*Population_Tables!D37)-O63</f>
        <v>261716.91198630462</v>
      </c>
      <c r="AB63" s="459">
        <f>((D63/Population_Tables!Q37)*Population_Tables!E37)-P63</f>
        <v>84451.42102829268</v>
      </c>
      <c r="AC63" s="459">
        <f>((E63/Population_Tables!R37)*Population_Tables!F37)-Q63</f>
        <v>247905.9708258321</v>
      </c>
      <c r="AD63" s="459">
        <f>((F63/Population_Tables!S37)*Population_Tables!G37)-R63</f>
        <v>35346.234813201932</v>
      </c>
      <c r="AE63" s="459">
        <f>((G63/Population_Tables!T37)*Population_Tables!H37)-S63</f>
        <v>102020.55039236462</v>
      </c>
      <c r="AF63" s="459">
        <f>(H63/Population_Tables!U37)*Population_Tables!I37</f>
        <v>121642.21882872912</v>
      </c>
      <c r="AG63" s="459">
        <f>(I63/Population_Tables!V37)*Population_Tables!J37</f>
        <v>92617.90555969761</v>
      </c>
      <c r="AH63" s="459">
        <f>(J63/Population_Tables!W37)*Population_Tables!K37</f>
        <v>93453.992430878337</v>
      </c>
      <c r="AI63" s="459">
        <f>(K63/Population_Tables!X37)*Population_Tables!L37</f>
        <v>116864.39676759332</v>
      </c>
      <c r="AK63" s="456">
        <v>2048</v>
      </c>
      <c r="AL63" s="459">
        <f t="shared" si="6"/>
        <v>996003.21578968666</v>
      </c>
      <c r="AM63" s="459">
        <f t="shared" si="6"/>
        <v>261716.91198630462</v>
      </c>
      <c r="AN63" s="459">
        <f t="shared" si="6"/>
        <v>84451.42102829268</v>
      </c>
      <c r="AO63" s="459">
        <f t="shared" si="6"/>
        <v>417933.19301471394</v>
      </c>
      <c r="AP63" s="459">
        <f t="shared" si="6"/>
        <v>95004.859745607944</v>
      </c>
      <c r="AQ63" s="459">
        <f t="shared" si="6"/>
        <v>144480.38918777605</v>
      </c>
      <c r="AR63" s="459">
        <f t="shared" si="6"/>
        <v>121642.21882872912</v>
      </c>
      <c r="AS63" s="459">
        <f t="shared" si="6"/>
        <v>92617.90555969761</v>
      </c>
      <c r="AT63" s="459">
        <f t="shared" si="6"/>
        <v>93453.992430878337</v>
      </c>
      <c r="AU63" s="459">
        <f t="shared" si="6"/>
        <v>116864.39676759332</v>
      </c>
      <c r="AW63" s="216">
        <f>(B63/Population_Tables!O37)*Population_Tables!C37</f>
        <v>996003.21578968666</v>
      </c>
      <c r="AX63" s="153" t="str">
        <f t="shared" si="7"/>
        <v>OK</v>
      </c>
      <c r="AY63" s="421">
        <f t="shared" si="4"/>
        <v>1003586.7749626952</v>
      </c>
      <c r="AZ63" s="153" t="str">
        <f t="shared" si="5"/>
        <v>OK</v>
      </c>
      <c r="BB63" s="216">
        <f>(C63/Population_Tables!P37)*Population_Tables!D37</f>
        <v>261716.91198630462</v>
      </c>
      <c r="BC63" s="216">
        <f>(D63/Population_Tables!Q37)*Population_Tables!E37</f>
        <v>84451.42102829268</v>
      </c>
      <c r="BD63" s="216">
        <f>(E63/Population_Tables!R37)*Population_Tables!F37</f>
        <v>417933.19301471394</v>
      </c>
      <c r="BE63" s="216">
        <f>(F63/Population_Tables!S37)*Population_Tables!G37</f>
        <v>95004.859745607944</v>
      </c>
      <c r="BF63" s="216">
        <f>(G63/Population_Tables!T37)*Population_Tables!H37</f>
        <v>144480.38918777605</v>
      </c>
      <c r="BG63" s="216"/>
      <c r="BN63" s="216"/>
      <c r="BO63" s="216"/>
      <c r="BP63" s="216"/>
    </row>
    <row r="64" spans="1:68" ht="15.6" x14ac:dyDescent="0.3">
      <c r="A64" s="206">
        <v>2049</v>
      </c>
      <c r="B64" s="229">
        <v>937746.26068874309</v>
      </c>
      <c r="C64" s="229">
        <v>248305.78745717552</v>
      </c>
      <c r="D64" s="229">
        <v>79901.518393182458</v>
      </c>
      <c r="E64" s="229">
        <v>392383.92828458548</v>
      </c>
      <c r="F64" s="229">
        <v>90310.531770075642</v>
      </c>
      <c r="G64" s="229">
        <v>133637.60480026255</v>
      </c>
      <c r="H64" s="229">
        <v>114555.13931312872</v>
      </c>
      <c r="I64" s="229">
        <v>87581.233188606071</v>
      </c>
      <c r="J64" s="229">
        <v>87824.323610082924</v>
      </c>
      <c r="K64" s="229">
        <v>109417.97901570291</v>
      </c>
      <c r="M64" s="206">
        <v>2049</v>
      </c>
      <c r="N64" s="419">
        <f t="shared" si="2"/>
        <v>280911.81467267044</v>
      </c>
      <c r="O64" s="418">
        <f>(C64/Population_Tables!P38)*Population_Tables!D97</f>
        <v>0</v>
      </c>
      <c r="P64" s="418">
        <f>(D64/Population_Tables!Q38)*Population_Tables!E97</f>
        <v>0</v>
      </c>
      <c r="Q64" s="418">
        <f>((E64-H64)/Population_Tables!R38)*Population_Tables!F97</f>
        <v>175853.63665163945</v>
      </c>
      <c r="R64" s="418">
        <f>(F64/Population_Tables!S38)*Population_Tables!G97</f>
        <v>61458.154521070494</v>
      </c>
      <c r="S64" s="418">
        <f>(G64/Population_Tables!T38)*Population_Tables!H97</f>
        <v>43600.023499960502</v>
      </c>
      <c r="T64" s="418">
        <f>(H64/Population_Tables!U38)*Population_Tables!I97</f>
        <v>0</v>
      </c>
      <c r="U64" s="418">
        <f>(I64/Population_Tables!V38)*Population_Tables!J97</f>
        <v>0</v>
      </c>
      <c r="V64" s="418">
        <f>(J64/Population_Tables!W38)*Population_Tables!K97</f>
        <v>0</v>
      </c>
      <c r="W64" s="418">
        <f>(K64/Population_Tables!X38)*Population_Tables!L97</f>
        <v>0</v>
      </c>
      <c r="Y64" s="456">
        <v>2049</v>
      </c>
      <c r="Z64" s="459">
        <f>((B64/Population_Tables!O38)*Population_Tables!C38)-N64</f>
        <v>738955.70352993219</v>
      </c>
      <c r="AA64" s="459">
        <f>((C64/Population_Tables!P38)*Population_Tables!D38)-O64</f>
        <v>266842.59938235721</v>
      </c>
      <c r="AB64" s="459">
        <f>((D64/Population_Tables!Q38)*Population_Tables!E38)-P64</f>
        <v>86320.422037126045</v>
      </c>
      <c r="AC64" s="459">
        <f>((E64/Population_Tables!R38)*Population_Tables!F38)-Q64</f>
        <v>252373.63346550593</v>
      </c>
      <c r="AD64" s="459">
        <f>((F64/Population_Tables!S38)*Population_Tables!G38)-R64</f>
        <v>36216.830383100561</v>
      </c>
      <c r="AE64" s="459">
        <f>((G64/Population_Tables!T38)*Population_Tables!H38)-S64</f>
        <v>104313.5634354794</v>
      </c>
      <c r="AF64" s="459">
        <f>(H64/Population_Tables!U38)*Population_Tables!I38</f>
        <v>122904.10929399486</v>
      </c>
      <c r="AG64" s="459">
        <f>(I64/Population_Tables!V38)*Population_Tables!J38</f>
        <v>95443.075356897185</v>
      </c>
      <c r="AH64" s="459">
        <f>(J64/Population_Tables!W38)*Population_Tables!K38</f>
        <v>94172.64546517389</v>
      </c>
      <c r="AI64" s="459">
        <f>(K64/Population_Tables!X38)*Population_Tables!L38</f>
        <v>118270.22249112499</v>
      </c>
      <c r="AK64" s="456">
        <v>2049</v>
      </c>
      <c r="AL64" s="459">
        <f t="shared" si="6"/>
        <v>1019867.5182026026</v>
      </c>
      <c r="AM64" s="459">
        <f t="shared" si="6"/>
        <v>266842.59938235721</v>
      </c>
      <c r="AN64" s="459">
        <f t="shared" si="6"/>
        <v>86320.422037126045</v>
      </c>
      <c r="AO64" s="459">
        <f t="shared" si="6"/>
        <v>428227.27011714538</v>
      </c>
      <c r="AP64" s="459">
        <f t="shared" si="6"/>
        <v>97674.984904171055</v>
      </c>
      <c r="AQ64" s="459">
        <f t="shared" si="6"/>
        <v>147913.5869354399</v>
      </c>
      <c r="AR64" s="459">
        <f t="shared" si="6"/>
        <v>122904.10929399486</v>
      </c>
      <c r="AS64" s="459">
        <f t="shared" si="6"/>
        <v>95443.075356897185</v>
      </c>
      <c r="AT64" s="459">
        <f t="shared" si="6"/>
        <v>94172.64546517389</v>
      </c>
      <c r="AU64" s="459">
        <f t="shared" si="6"/>
        <v>118270.22249112499</v>
      </c>
      <c r="AW64" s="216">
        <f>(B64/Population_Tables!O38)*Population_Tables!C38</f>
        <v>1019867.5182026026</v>
      </c>
      <c r="AX64" s="153" t="str">
        <f t="shared" si="7"/>
        <v>OK</v>
      </c>
      <c r="AY64" s="421">
        <f t="shared" si="4"/>
        <v>1026978.8633762395</v>
      </c>
      <c r="AZ64" s="153" t="str">
        <f t="shared" si="5"/>
        <v>OK</v>
      </c>
      <c r="BB64" s="216">
        <f>(C64/Population_Tables!P38)*Population_Tables!D38</f>
        <v>266842.59938235721</v>
      </c>
      <c r="BC64" s="216">
        <f>(D64/Population_Tables!Q38)*Population_Tables!E38</f>
        <v>86320.422037126045</v>
      </c>
      <c r="BD64" s="216">
        <f>(E64/Population_Tables!R38)*Population_Tables!F38</f>
        <v>428227.27011714538</v>
      </c>
      <c r="BE64" s="216">
        <f>(F64/Population_Tables!S38)*Population_Tables!G38</f>
        <v>97674.984904171055</v>
      </c>
      <c r="BF64" s="216">
        <f>(G64/Population_Tables!T38)*Population_Tables!H38</f>
        <v>147913.5869354399</v>
      </c>
      <c r="BG64" s="216"/>
      <c r="BN64" s="216"/>
      <c r="BO64" s="216"/>
      <c r="BP64" s="216"/>
    </row>
    <row r="65" spans="1:68" ht="16.2" thickBot="1" x14ac:dyDescent="0.35">
      <c r="A65" s="208">
        <v>2050</v>
      </c>
      <c r="B65" s="231">
        <v>956594.61461617565</v>
      </c>
      <c r="C65" s="231">
        <v>252419.33254725696</v>
      </c>
      <c r="D65" s="231">
        <v>81373.013345482876</v>
      </c>
      <c r="E65" s="231">
        <v>400395.84025388298</v>
      </c>
      <c r="F65" s="231">
        <v>92528.456943390251</v>
      </c>
      <c r="G65" s="231">
        <v>136186.96302870996</v>
      </c>
      <c r="H65" s="231">
        <v>115319.4661415749</v>
      </c>
      <c r="I65" s="231">
        <v>89855.836403972644</v>
      </c>
      <c r="J65" s="231">
        <v>88220.319805106672</v>
      </c>
      <c r="K65" s="231">
        <v>110369.17267493713</v>
      </c>
      <c r="M65" s="208">
        <v>2050</v>
      </c>
      <c r="N65" s="419">
        <f t="shared" si="2"/>
        <v>289963.58851301187</v>
      </c>
      <c r="O65" s="418">
        <f>(C65/Population_Tables!P39)*Population_Tables!D98</f>
        <v>0</v>
      </c>
      <c r="P65" s="418">
        <f>(D65/Population_Tables!Q39)*Population_Tables!E98</f>
        <v>0</v>
      </c>
      <c r="Q65" s="418">
        <f>((E65-H65)/Population_Tables!R39)*Population_Tables!F98</f>
        <v>181885.08880265508</v>
      </c>
      <c r="R65" s="418">
        <f>(F65/Population_Tables!S39)*Population_Tables!G98</f>
        <v>63310.426003483277</v>
      </c>
      <c r="S65" s="418">
        <f>(G65/Population_Tables!T39)*Population_Tables!H98</f>
        <v>44768.073706873511</v>
      </c>
      <c r="T65" s="418">
        <f>(H65/Population_Tables!U39)*Population_Tables!I98</f>
        <v>0</v>
      </c>
      <c r="U65" s="418">
        <f>(I65/Population_Tables!V39)*Population_Tables!J98</f>
        <v>0</v>
      </c>
      <c r="V65" s="418">
        <f>(J65/Population_Tables!W39)*Population_Tables!K98</f>
        <v>0</v>
      </c>
      <c r="W65" s="418">
        <f>(K65/Population_Tables!X39)*Population_Tables!L98</f>
        <v>0</v>
      </c>
      <c r="Y65" s="456">
        <v>2050</v>
      </c>
      <c r="Z65" s="459">
        <f>((B65/Population_Tables!O39)*Population_Tables!C39)-N65</f>
        <v>754378.81583781959</v>
      </c>
      <c r="AA65" s="459">
        <f>((C65/Population_Tables!P39)*Population_Tables!D39)-O65</f>
        <v>272089.29616864264</v>
      </c>
      <c r="AB65" s="459">
        <f>((D65/Population_Tables!Q39)*Population_Tables!E39)-P65</f>
        <v>88241.782184232798</v>
      </c>
      <c r="AC65" s="459">
        <f>((E65/Population_Tables!R39)*Population_Tables!F39)-Q65</f>
        <v>256887.00724534996</v>
      </c>
      <c r="AD65" s="459">
        <f>((F65/Population_Tables!S39)*Population_Tables!G39)-R65</f>
        <v>37111.428464662436</v>
      </c>
      <c r="AE65" s="459">
        <f>((G65/Population_Tables!T39)*Population_Tables!H39)-S65</f>
        <v>106650.7264698456</v>
      </c>
      <c r="AF65" s="459">
        <f>(H65/Population_Tables!U39)*Population_Tables!I39</f>
        <v>124138.33107216636</v>
      </c>
      <c r="AG65" s="459">
        <f>(I65/Population_Tables!V39)*Population_Tables!J39</f>
        <v>98312.033398359796</v>
      </c>
      <c r="AH65" s="459">
        <f>(J65/Population_Tables!W39)*Population_Tables!K39</f>
        <v>94893.323290474262</v>
      </c>
      <c r="AI65" s="459">
        <f>(K65/Population_Tables!X39)*Population_Tables!L39</f>
        <v>119688.61204744365</v>
      </c>
      <c r="AK65" s="456">
        <v>2050</v>
      </c>
      <c r="AL65" s="459">
        <f t="shared" si="6"/>
        <v>1044342.4043508314</v>
      </c>
      <c r="AM65" s="459">
        <f t="shared" si="6"/>
        <v>272089.29616864264</v>
      </c>
      <c r="AN65" s="459">
        <f t="shared" si="6"/>
        <v>88241.782184232798</v>
      </c>
      <c r="AO65" s="459">
        <f t="shared" si="6"/>
        <v>438772.09604800504</v>
      </c>
      <c r="AP65" s="459">
        <f t="shared" si="6"/>
        <v>100421.85446814571</v>
      </c>
      <c r="AQ65" s="459">
        <f t="shared" si="6"/>
        <v>151418.80017671912</v>
      </c>
      <c r="AR65" s="459">
        <f t="shared" si="6"/>
        <v>124138.33107216636</v>
      </c>
      <c r="AS65" s="459">
        <f t="shared" si="6"/>
        <v>98312.033398359796</v>
      </c>
      <c r="AT65" s="459">
        <f t="shared" si="6"/>
        <v>94893.323290474262</v>
      </c>
      <c r="AU65" s="459">
        <f t="shared" si="6"/>
        <v>119688.61204744365</v>
      </c>
      <c r="AW65" s="216">
        <f>(B65/Population_Tables!O39)*Population_Tables!C39</f>
        <v>1044342.4043508314</v>
      </c>
      <c r="AX65" s="153" t="str">
        <f t="shared" si="7"/>
        <v>OK</v>
      </c>
      <c r="AY65" s="421">
        <f t="shared" si="4"/>
        <v>1050943.8290457453</v>
      </c>
      <c r="AZ65" s="153" t="str">
        <f t="shared" si="5"/>
        <v>OK</v>
      </c>
      <c r="BB65" s="216">
        <f>(C65/Population_Tables!P39)*Population_Tables!D39</f>
        <v>272089.29616864264</v>
      </c>
      <c r="BC65" s="216">
        <f>(D65/Population_Tables!Q39)*Population_Tables!E39</f>
        <v>88241.782184232798</v>
      </c>
      <c r="BD65" s="216">
        <f>(E65/Population_Tables!R39)*Population_Tables!F39</f>
        <v>438772.09604800504</v>
      </c>
      <c r="BE65" s="216">
        <f>(F65/Population_Tables!S39)*Population_Tables!G39</f>
        <v>100421.85446814571</v>
      </c>
      <c r="BF65" s="216">
        <f>(G65/Population_Tables!T39)*Population_Tables!H39</f>
        <v>151418.80017671912</v>
      </c>
      <c r="BG65" s="216"/>
      <c r="BN65" s="216"/>
      <c r="BO65" s="216"/>
      <c r="BP65" s="216"/>
    </row>
    <row r="66" spans="1:68" ht="15.6" x14ac:dyDescent="0.3">
      <c r="A66" s="213">
        <v>2051</v>
      </c>
      <c r="B66" s="227">
        <v>975752.61806802428</v>
      </c>
      <c r="C66" s="227">
        <v>256601.19550095775</v>
      </c>
      <c r="D66" s="227">
        <v>82873.785394727718</v>
      </c>
      <c r="E66" s="227">
        <v>408513.82552800654</v>
      </c>
      <c r="F66" s="227">
        <v>94794.288147981104</v>
      </c>
      <c r="G66" s="227">
        <v>138761.10239079988</v>
      </c>
      <c r="H66" s="227">
        <v>116042.45564188216</v>
      </c>
      <c r="I66" s="227">
        <v>92135.263801542533</v>
      </c>
      <c r="J66" s="227">
        <v>88608.035156754573</v>
      </c>
      <c r="K66" s="227">
        <v>111315.69567017336</v>
      </c>
      <c r="M66" s="213">
        <v>2051</v>
      </c>
      <c r="N66" s="419">
        <f t="shared" si="2"/>
        <v>299310.14443402988</v>
      </c>
      <c r="O66" s="418">
        <f>(C66/Population_Tables!P40)*Population_Tables!D99</f>
        <v>0</v>
      </c>
      <c r="P66" s="418">
        <f>(D66/Population_Tables!Q40)*Population_Tables!E99</f>
        <v>0</v>
      </c>
      <c r="Q66" s="418">
        <f>((E66-H66)/Population_Tables!R40)*Population_Tables!F99</f>
        <v>188128.48799076607</v>
      </c>
      <c r="R66" s="418">
        <f>(F66/Population_Tables!S40)*Population_Tables!G99</f>
        <v>65216.845513890046</v>
      </c>
      <c r="S66" s="418">
        <f>(G66/Population_Tables!T40)*Population_Tables!H99</f>
        <v>45964.810929373765</v>
      </c>
      <c r="T66" s="418">
        <f>(H66/Population_Tables!U40)*Population_Tables!I99</f>
        <v>0</v>
      </c>
      <c r="U66" s="418">
        <f>(I66/Population_Tables!V40)*Population_Tables!J99</f>
        <v>0</v>
      </c>
      <c r="V66" s="418">
        <f>(J66/Population_Tables!W40)*Population_Tables!K99</f>
        <v>0</v>
      </c>
      <c r="W66" s="418">
        <f>(K66/Population_Tables!X40)*Population_Tables!L99</f>
        <v>0</v>
      </c>
      <c r="Y66" s="456">
        <v>2051</v>
      </c>
      <c r="Z66" s="459">
        <f>((B66/Population_Tables!O40)*Population_Tables!C40)-N66</f>
        <v>770138.69936760073</v>
      </c>
      <c r="AA66" s="459">
        <f>((C66/Population_Tables!P40)*Population_Tables!D40)-O66</f>
        <v>277461.98270858027</v>
      </c>
      <c r="AB66" s="459">
        <f>((D66/Population_Tables!Q40)*Population_Tables!E40)-P66</f>
        <v>90217.711458005637</v>
      </c>
      <c r="AC66" s="459">
        <f>((E66/Population_Tables!R40)*Population_Tables!F40)-Q66</f>
        <v>261449.20042122033</v>
      </c>
      <c r="AD66" s="459">
        <f>((F66/Population_Tables!S40)*Population_Tables!G40)-R66</f>
        <v>38030.676462781426</v>
      </c>
      <c r="AE66" s="459">
        <f>((G66/Population_Tables!T40)*Population_Tables!H40)-S66</f>
        <v>109033.25314302657</v>
      </c>
      <c r="AF66" s="459">
        <f>(H66/Population_Tables!U40)*Population_Tables!I40</f>
        <v>125347.47226731048</v>
      </c>
      <c r="AG66" s="459">
        <f>(I66/Population_Tables!V40)*Population_Tables!J40</f>
        <v>101225.3520249982</v>
      </c>
      <c r="AH66" s="459">
        <f>(J66/Population_Tables!W40)*Population_Tables!K40</f>
        <v>95616.861755107646</v>
      </c>
      <c r="AI66" s="459">
        <f>(K66/Population_Tables!X40)*Population_Tables!L40</f>
        <v>121120.67371698645</v>
      </c>
      <c r="AK66" s="456">
        <v>2051</v>
      </c>
      <c r="AL66" s="459">
        <f t="shared" si="6"/>
        <v>1069448.8438016307</v>
      </c>
      <c r="AM66" s="459">
        <f t="shared" si="6"/>
        <v>277461.98270858027</v>
      </c>
      <c r="AN66" s="459">
        <f t="shared" si="6"/>
        <v>90217.711458005637</v>
      </c>
      <c r="AO66" s="459">
        <f t="shared" si="6"/>
        <v>449577.6884119864</v>
      </c>
      <c r="AP66" s="459">
        <f t="shared" si="6"/>
        <v>103247.52197667147</v>
      </c>
      <c r="AQ66" s="459">
        <f t="shared" si="6"/>
        <v>154998.06407240033</v>
      </c>
      <c r="AR66" s="459">
        <f t="shared" si="6"/>
        <v>125347.47226731048</v>
      </c>
      <c r="AS66" s="459">
        <f t="shared" si="6"/>
        <v>101225.3520249982</v>
      </c>
      <c r="AT66" s="459">
        <f t="shared" si="6"/>
        <v>95616.861755107646</v>
      </c>
      <c r="AU66" s="459">
        <f t="shared" si="6"/>
        <v>121120.67371698645</v>
      </c>
      <c r="AW66" s="216">
        <f>(B66/Population_Tables!O40)*Population_Tables!C40</f>
        <v>1069448.8438016307</v>
      </c>
      <c r="AX66" s="153" t="str">
        <f t="shared" si="7"/>
        <v>OK</v>
      </c>
      <c r="AY66" s="421">
        <f t="shared" si="4"/>
        <v>1075502.968627644</v>
      </c>
      <c r="AZ66" s="153" t="str">
        <f t="shared" si="5"/>
        <v>OK</v>
      </c>
      <c r="BB66" s="216">
        <f>(C66/Population_Tables!P40)*Population_Tables!D40</f>
        <v>277461.98270858027</v>
      </c>
      <c r="BC66" s="216">
        <f>(D66/Population_Tables!Q40)*Population_Tables!E40</f>
        <v>90217.711458005637</v>
      </c>
      <c r="BD66" s="216">
        <f>(E66/Population_Tables!R40)*Population_Tables!F40</f>
        <v>449577.6884119864</v>
      </c>
      <c r="BE66" s="216">
        <f>(F66/Population_Tables!S40)*Population_Tables!G40</f>
        <v>103247.52197667147</v>
      </c>
      <c r="BF66" s="216">
        <f>(G66/Population_Tables!T40)*Population_Tables!H40</f>
        <v>154998.06407240033</v>
      </c>
      <c r="BG66" s="216"/>
      <c r="BN66" s="216"/>
      <c r="BO66" s="216"/>
      <c r="BP66" s="216"/>
    </row>
    <row r="67" spans="1:68" ht="15.6" x14ac:dyDescent="0.3">
      <c r="A67" s="194">
        <v>2052</v>
      </c>
      <c r="B67" s="229">
        <v>995224.70855112665</v>
      </c>
      <c r="C67" s="229">
        <v>260852.6497754688</v>
      </c>
      <c r="D67" s="229">
        <v>84404.646714178962</v>
      </c>
      <c r="E67" s="229">
        <v>416739.23449833191</v>
      </c>
      <c r="F67" s="229">
        <v>97108.67262127946</v>
      </c>
      <c r="G67" s="229">
        <v>141359.77378241994</v>
      </c>
      <c r="H67" s="229">
        <v>116726.02249869943</v>
      </c>
      <c r="I67" s="229">
        <v>94417.987266417127</v>
      </c>
      <c r="J67" s="229">
        <v>88987.645329331368</v>
      </c>
      <c r="K67" s="229">
        <v>112257.6297491756</v>
      </c>
      <c r="M67" s="194">
        <v>2052</v>
      </c>
      <c r="N67" s="419">
        <f t="shared" si="2"/>
        <v>308959.26650300313</v>
      </c>
      <c r="O67" s="418">
        <f>(C67/Population_Tables!P41)*Population_Tables!D100</f>
        <v>0</v>
      </c>
      <c r="P67" s="418">
        <f>(D67/Population_Tables!Q41)*Population_Tables!E100</f>
        <v>0</v>
      </c>
      <c r="Q67" s="418">
        <f>((E67-H67)/Population_Tables!R41)*Population_Tables!F100</f>
        <v>194589.40673600489</v>
      </c>
      <c r="R67" s="418">
        <f>(F67/Population_Tables!S41)*Population_Tables!G100</f>
        <v>67178.826343114197</v>
      </c>
      <c r="S67" s="418">
        <f>(G67/Population_Tables!T41)*Population_Tables!H100</f>
        <v>47191.033423884059</v>
      </c>
      <c r="T67" s="418">
        <f>(H67/Population_Tables!U41)*Population_Tables!I100</f>
        <v>0</v>
      </c>
      <c r="U67" s="418">
        <f>(I67/Population_Tables!V41)*Population_Tables!J100</f>
        <v>0</v>
      </c>
      <c r="V67" s="418">
        <f>(J67/Population_Tables!W41)*Population_Tables!K100</f>
        <v>0</v>
      </c>
      <c r="W67" s="418">
        <f>(K67/Population_Tables!X41)*Population_Tables!L100</f>
        <v>0</v>
      </c>
      <c r="Y67" s="456">
        <v>2052</v>
      </c>
      <c r="Z67" s="459">
        <f>((B67/Population_Tables!O41)*Population_Tables!C41)-N67</f>
        <v>786246.01404761779</v>
      </c>
      <c r="AA67" s="459">
        <f>((C67/Population_Tables!P41)*Population_Tables!D41)-O67</f>
        <v>282965.26535582665</v>
      </c>
      <c r="AB67" s="459">
        <f>((D67/Population_Tables!Q41)*Population_Tables!E41)-P67</f>
        <v>92250.385357250751</v>
      </c>
      <c r="AC67" s="459">
        <f>((E67/Population_Tables!R41)*Population_Tables!F41)-Q67</f>
        <v>266063.10306533007</v>
      </c>
      <c r="AD67" s="459">
        <f>((F67/Population_Tables!S41)*Population_Tables!G41)-R67</f>
        <v>38975.100499203982</v>
      </c>
      <c r="AE67" s="459">
        <f>((G67/Population_Tables!T41)*Population_Tables!H41)-S67</f>
        <v>111462.17010692235</v>
      </c>
      <c r="AF67" s="459">
        <f>(H67/Population_Tables!U41)*Population_Tables!I41</f>
        <v>126534.03506973198</v>
      </c>
      <c r="AG67" s="459">
        <f>(I67/Population_Tables!V41)*Population_Tables!J41</f>
        <v>104182.80837206564</v>
      </c>
      <c r="AH67" s="459">
        <f>(J67/Population_Tables!W41)*Population_Tables!K41</f>
        <v>96343.928515659354</v>
      </c>
      <c r="AI67" s="459">
        <f>(K67/Population_Tables!X41)*Population_Tables!L41</f>
        <v>122567.16507051383</v>
      </c>
      <c r="AK67" s="456">
        <v>2052</v>
      </c>
      <c r="AL67" s="459">
        <f t="shared" si="6"/>
        <v>1095205.280550621</v>
      </c>
      <c r="AM67" s="459">
        <f t="shared" si="6"/>
        <v>282965.26535582665</v>
      </c>
      <c r="AN67" s="459">
        <f t="shared" si="6"/>
        <v>92250.385357250751</v>
      </c>
      <c r="AO67" s="459">
        <f t="shared" si="6"/>
        <v>460652.50980133493</v>
      </c>
      <c r="AP67" s="459">
        <f t="shared" si="6"/>
        <v>106153.92684231818</v>
      </c>
      <c r="AQ67" s="459">
        <f t="shared" si="6"/>
        <v>158653.20353080641</v>
      </c>
      <c r="AR67" s="459">
        <f t="shared" si="6"/>
        <v>126534.03506973198</v>
      </c>
      <c r="AS67" s="459">
        <f t="shared" si="6"/>
        <v>104182.80837206564</v>
      </c>
      <c r="AT67" s="459">
        <f t="shared" si="6"/>
        <v>96343.928515659354</v>
      </c>
      <c r="AU67" s="459">
        <f t="shared" si="6"/>
        <v>122567.16507051383</v>
      </c>
      <c r="AW67" s="216">
        <f>(B67/Population_Tables!O41)*Population_Tables!C41</f>
        <v>1095205.280550621</v>
      </c>
      <c r="AX67" s="153" t="str">
        <f t="shared" si="7"/>
        <v>OK</v>
      </c>
      <c r="AY67" s="421">
        <f t="shared" si="4"/>
        <v>1100675.2908875369</v>
      </c>
      <c r="AZ67" s="153" t="str">
        <f t="shared" si="5"/>
        <v>OK</v>
      </c>
      <c r="BB67" s="216">
        <f>(C67/Population_Tables!P41)*Population_Tables!D41</f>
        <v>282965.26535582665</v>
      </c>
      <c r="BC67" s="216">
        <f>(D67/Population_Tables!Q41)*Population_Tables!E41</f>
        <v>92250.385357250751</v>
      </c>
      <c r="BD67" s="216">
        <f>(E67/Population_Tables!R41)*Population_Tables!F41</f>
        <v>460652.50980133493</v>
      </c>
      <c r="BE67" s="216">
        <f>(F67/Population_Tables!S41)*Population_Tables!G41</f>
        <v>106153.92684231818</v>
      </c>
      <c r="BF67" s="216">
        <f>(G67/Population_Tables!T41)*Population_Tables!H41</f>
        <v>158653.20353080641</v>
      </c>
      <c r="BG67" s="216"/>
      <c r="BN67" s="216"/>
      <c r="BO67" s="216"/>
      <c r="BP67" s="216"/>
    </row>
    <row r="68" spans="1:68" ht="15.6" x14ac:dyDescent="0.3">
      <c r="A68" s="194">
        <v>2053</v>
      </c>
      <c r="B68" s="229">
        <v>1015015.3235723202</v>
      </c>
      <c r="C68" s="229">
        <v>265174.96882798092</v>
      </c>
      <c r="D68" s="229">
        <v>85966.40947709867</v>
      </c>
      <c r="E68" s="229">
        <v>425073.41755623475</v>
      </c>
      <c r="F68" s="229">
        <v>99472.257600716621</v>
      </c>
      <c r="G68" s="229">
        <v>143982.72809945792</v>
      </c>
      <c r="H68" s="229">
        <v>117372.08139667561</v>
      </c>
      <c r="I68" s="229">
        <v>96702.478683697846</v>
      </c>
      <c r="J68" s="229">
        <v>89359.325987141827</v>
      </c>
      <c r="K68" s="229">
        <v>113195.05665970789</v>
      </c>
      <c r="M68" s="194">
        <v>2053</v>
      </c>
      <c r="N68" s="419">
        <f t="shared" si="2"/>
        <v>318917.68096921546</v>
      </c>
      <c r="O68" s="418">
        <f>(C68/Population_Tables!P42)*Population_Tables!D101</f>
        <v>0</v>
      </c>
      <c r="P68" s="418">
        <f>(D68/Population_Tables!Q42)*Population_Tables!E101</f>
        <v>0</v>
      </c>
      <c r="Q68" s="418">
        <f>((E68-H68)/Population_Tables!R42)*Population_Tables!F101</f>
        <v>201272.43282277588</v>
      </c>
      <c r="R68" s="418">
        <f>(F68/Population_Tables!S42)*Population_Tables!G101</f>
        <v>69197.770341796466</v>
      </c>
      <c r="S68" s="418">
        <f>(G68/Population_Tables!T42)*Population_Tables!H101</f>
        <v>48447.477804643131</v>
      </c>
      <c r="T68" s="418">
        <f>(H68/Population_Tables!U42)*Population_Tables!I101</f>
        <v>0</v>
      </c>
      <c r="U68" s="418">
        <f>(I68/Population_Tables!V42)*Population_Tables!J101</f>
        <v>0</v>
      </c>
      <c r="V68" s="418">
        <f>(J68/Population_Tables!W42)*Population_Tables!K101</f>
        <v>0</v>
      </c>
      <c r="W68" s="418">
        <f>(K68/Population_Tables!X42)*Population_Tables!L101</f>
        <v>0</v>
      </c>
      <c r="Y68" s="456">
        <v>2053</v>
      </c>
      <c r="Z68" s="459">
        <f>((B68/Population_Tables!O42)*Population_Tables!C42)-N68</f>
        <v>802711.45003232569</v>
      </c>
      <c r="AA68" s="459">
        <f>((C68/Population_Tables!P42)*Population_Tables!D42)-O68</f>
        <v>288605.16311388672</v>
      </c>
      <c r="AB68" s="459">
        <f>((D68/Population_Tables!Q42)*Population_Tables!E42)-P68</f>
        <v>94342.051060024227</v>
      </c>
      <c r="AC68" s="459">
        <f>((E68/Population_Tables!R42)*Population_Tables!F42)-Q68</f>
        <v>270731.58124446473</v>
      </c>
      <c r="AD68" s="459">
        <f>((F68/Population_Tables!S42)*Population_Tables!G42)-R68</f>
        <v>39945.129836306267</v>
      </c>
      <c r="AE68" s="459">
        <f>((G68/Population_Tables!T42)*Population_Tables!H42)-S68</f>
        <v>113938.57433651024</v>
      </c>
      <c r="AF68" s="459">
        <f>(H68/Population_Tables!U42)*Population_Tables!I42</f>
        <v>127700.2476535118</v>
      </c>
      <c r="AG68" s="459">
        <f>(I68/Population_Tables!V42)*Population_Tables!J42</f>
        <v>107183.72466681548</v>
      </c>
      <c r="AH68" s="459">
        <f>(J68/Population_Tables!W42)*Population_Tables!K42</f>
        <v>97075.598338582815</v>
      </c>
      <c r="AI68" s="459">
        <f>(K68/Population_Tables!X42)*Population_Tables!L42</f>
        <v>124029.2534121153</v>
      </c>
      <c r="AK68" s="456">
        <v>2053</v>
      </c>
      <c r="AL68" s="459">
        <f t="shared" si="6"/>
        <v>1121629.1310015412</v>
      </c>
      <c r="AM68" s="459">
        <f t="shared" si="6"/>
        <v>288605.16311388672</v>
      </c>
      <c r="AN68" s="459">
        <f t="shared" si="6"/>
        <v>94342.051060024227</v>
      </c>
      <c r="AO68" s="459">
        <f t="shared" si="6"/>
        <v>472004.01406724064</v>
      </c>
      <c r="AP68" s="459">
        <f t="shared" si="6"/>
        <v>109142.90017810273</v>
      </c>
      <c r="AQ68" s="459">
        <f t="shared" si="6"/>
        <v>162386.05214115337</v>
      </c>
      <c r="AR68" s="459">
        <f t="shared" si="6"/>
        <v>127700.2476535118</v>
      </c>
      <c r="AS68" s="459">
        <f t="shared" si="6"/>
        <v>107183.72466681548</v>
      </c>
      <c r="AT68" s="459">
        <f t="shared" si="6"/>
        <v>97075.598338582815</v>
      </c>
      <c r="AU68" s="459">
        <f t="shared" si="6"/>
        <v>124029.2534121153</v>
      </c>
      <c r="AW68" s="216">
        <f>(B68/Population_Tables!O42)*Population_Tables!C42</f>
        <v>1121629.1310015412</v>
      </c>
      <c r="AX68" s="153" t="str">
        <f t="shared" si="7"/>
        <v>OK</v>
      </c>
      <c r="AY68" s="421">
        <f t="shared" si="4"/>
        <v>1126480.1805604077</v>
      </c>
      <c r="AZ68" s="153" t="str">
        <f t="shared" si="5"/>
        <v>OK</v>
      </c>
      <c r="BB68" s="216">
        <f>(C68/Population_Tables!P42)*Population_Tables!D42</f>
        <v>288605.16311388672</v>
      </c>
      <c r="BC68" s="216">
        <f>(D68/Population_Tables!Q42)*Population_Tables!E42</f>
        <v>94342.051060024227</v>
      </c>
      <c r="BD68" s="216">
        <f>(E68/Population_Tables!R42)*Population_Tables!F42</f>
        <v>472004.01406724064</v>
      </c>
      <c r="BE68" s="216">
        <f>(F68/Population_Tables!S42)*Population_Tables!G42</f>
        <v>109142.90017810273</v>
      </c>
      <c r="BF68" s="216">
        <f>(G68/Population_Tables!T42)*Population_Tables!H42</f>
        <v>162386.05214115337</v>
      </c>
      <c r="BG68" s="216"/>
      <c r="BN68" s="216"/>
      <c r="BO68" s="216"/>
      <c r="BP68" s="216"/>
    </row>
    <row r="69" spans="1:68" ht="15.6" x14ac:dyDescent="0.3">
      <c r="A69" s="194">
        <v>2054</v>
      </c>
      <c r="B69" s="229">
        <v>1035128.9006384424</v>
      </c>
      <c r="C69" s="229">
        <v>269569.42611568503</v>
      </c>
      <c r="D69" s="229">
        <v>87559.88585674885</v>
      </c>
      <c r="E69" s="229">
        <v>433517.72509309079</v>
      </c>
      <c r="F69" s="229">
        <v>101885.69032372383</v>
      </c>
      <c r="G69" s="229">
        <v>146629.71623780142</v>
      </c>
      <c r="H69" s="229">
        <v>117982.54702045969</v>
      </c>
      <c r="I69" s="229">
        <v>98987.209938486048</v>
      </c>
      <c r="J69" s="229">
        <v>89723.25279449072</v>
      </c>
      <c r="K69" s="229">
        <v>114128.05814953422</v>
      </c>
      <c r="M69" s="194">
        <v>2054</v>
      </c>
      <c r="N69" s="419">
        <f t="shared" si="2"/>
        <v>329190.9566818318</v>
      </c>
      <c r="O69" s="418">
        <f>(C69/Population_Tables!P43)*Population_Tables!D102</f>
        <v>0</v>
      </c>
      <c r="P69" s="418">
        <f>(D69/Population_Tables!Q43)*Population_Tables!E102</f>
        <v>0</v>
      </c>
      <c r="Q69" s="418">
        <f>((E69-H69)/Population_Tables!R43)*Population_Tables!F102</f>
        <v>208181.06821335855</v>
      </c>
      <c r="R69" s="418">
        <f>(F69/Population_Tables!S43)*Population_Tables!G102</f>
        <v>71275.078773233181</v>
      </c>
      <c r="S69" s="418">
        <f>(G69/Population_Tables!T43)*Population_Tables!H102</f>
        <v>49734.809695240074</v>
      </c>
      <c r="T69" s="418">
        <f>(H69/Population_Tables!U43)*Population_Tables!I102</f>
        <v>0</v>
      </c>
      <c r="U69" s="418">
        <f>(I69/Population_Tables!V43)*Population_Tables!J102</f>
        <v>0</v>
      </c>
      <c r="V69" s="418">
        <f>(J69/Population_Tables!W43)*Population_Tables!K102</f>
        <v>0</v>
      </c>
      <c r="W69" s="418">
        <f>(K69/Population_Tables!X43)*Population_Tables!L102</f>
        <v>0</v>
      </c>
      <c r="Y69" s="456">
        <v>2054</v>
      </c>
      <c r="Z69" s="459">
        <f>((B69/Population_Tables!O43)*Population_Tables!C43)-N69</f>
        <v>819545.11697734776</v>
      </c>
      <c r="AA69" s="459">
        <f>((C69/Population_Tables!P43)*Population_Tables!D43)-O69</f>
        <v>294387.8546250998</v>
      </c>
      <c r="AB69" s="459">
        <f>((D69/Population_Tables!Q43)*Population_Tables!E43)-P69</f>
        <v>96494.993751030386</v>
      </c>
      <c r="AC69" s="459">
        <f>((E69/Population_Tables!R43)*Population_Tables!F43)-Q69</f>
        <v>275457.41415187542</v>
      </c>
      <c r="AD69" s="459">
        <f>((F69/Population_Tables!S43)*Population_Tables!G43)-R69</f>
        <v>40941.108187244827</v>
      </c>
      <c r="AE69" s="459">
        <f>((G69/Population_Tables!T43)*Population_Tables!H43)-S69</f>
        <v>116463.40497621734</v>
      </c>
      <c r="AF69" s="459">
        <f>(H69/Population_Tables!U43)*Population_Tables!I43</f>
        <v>128848.18954279039</v>
      </c>
      <c r="AG69" s="459">
        <f>(I69/Population_Tables!V43)*Population_Tables!J43</f>
        <v>110226.84552288971</v>
      </c>
      <c r="AH69" s="459">
        <f>(J69/Population_Tables!W43)*Population_Tables!K43</f>
        <v>97812.932167872525</v>
      </c>
      <c r="AI69" s="459">
        <f>(K69/Population_Tables!X43)*Population_Tables!L43</f>
        <v>125508.01946386028</v>
      </c>
      <c r="AK69" s="456">
        <v>2054</v>
      </c>
      <c r="AL69" s="459">
        <f t="shared" ref="AL69:AU75" si="8">Z69+N69</f>
        <v>1148736.0736591795</v>
      </c>
      <c r="AM69" s="459">
        <f t="shared" si="8"/>
        <v>294387.8546250998</v>
      </c>
      <c r="AN69" s="459">
        <f t="shared" si="8"/>
        <v>96494.993751030386</v>
      </c>
      <c r="AO69" s="459">
        <f t="shared" si="8"/>
        <v>483638.48236523394</v>
      </c>
      <c r="AP69" s="459">
        <f t="shared" si="8"/>
        <v>112216.18696047801</v>
      </c>
      <c r="AQ69" s="459">
        <f t="shared" si="8"/>
        <v>166198.21467145742</v>
      </c>
      <c r="AR69" s="459">
        <f t="shared" si="8"/>
        <v>128848.18954279039</v>
      </c>
      <c r="AS69" s="459">
        <f t="shared" si="8"/>
        <v>110226.84552288971</v>
      </c>
      <c r="AT69" s="459">
        <f t="shared" si="8"/>
        <v>97812.932167872525</v>
      </c>
      <c r="AU69" s="459">
        <f t="shared" si="8"/>
        <v>125508.01946386028</v>
      </c>
      <c r="AW69" s="216">
        <f>(B69/Population_Tables!O43)*Population_Tables!C43</f>
        <v>1148736.0736591795</v>
      </c>
      <c r="AX69" s="153" t="str">
        <f t="shared" si="7"/>
        <v>OK</v>
      </c>
      <c r="AY69" s="421">
        <f t="shared" si="4"/>
        <v>1152935.7323732995</v>
      </c>
      <c r="AZ69" s="153" t="str">
        <f t="shared" si="5"/>
        <v>OK</v>
      </c>
      <c r="BB69" s="216">
        <f>(C69/Population_Tables!P43)*Population_Tables!D43</f>
        <v>294387.8546250998</v>
      </c>
      <c r="BC69" s="216">
        <f>(D69/Population_Tables!Q43)*Population_Tables!E43</f>
        <v>96494.993751030386</v>
      </c>
      <c r="BD69" s="216">
        <f>(E69/Population_Tables!R43)*Population_Tables!F43</f>
        <v>483638.48236523394</v>
      </c>
      <c r="BE69" s="216">
        <f>(F69/Population_Tables!S43)*Population_Tables!G43</f>
        <v>112216.18696047801</v>
      </c>
      <c r="BF69" s="216">
        <f>(G69/Population_Tables!T43)*Population_Tables!H43</f>
        <v>166198.21467145742</v>
      </c>
      <c r="BG69" s="216"/>
      <c r="BN69" s="216"/>
      <c r="BO69" s="216"/>
      <c r="BP69" s="216"/>
    </row>
    <row r="70" spans="1:68" ht="15.6" x14ac:dyDescent="0.3">
      <c r="A70" s="194">
        <v>2055</v>
      </c>
      <c r="B70" s="229">
        <v>1055569.877256331</v>
      </c>
      <c r="C70" s="229">
        <v>274037.29509577202</v>
      </c>
      <c r="D70" s="229">
        <v>89185.888026391534</v>
      </c>
      <c r="E70" s="229">
        <v>442073.50750027562</v>
      </c>
      <c r="F70" s="229">
        <v>104349.61802773236</v>
      </c>
      <c r="G70" s="229">
        <v>149300.4890933382</v>
      </c>
      <c r="H70" s="229">
        <v>118559.33405470058</v>
      </c>
      <c r="I70" s="229">
        <v>101270.65291588314</v>
      </c>
      <c r="J70" s="229">
        <v>90079.601415682788</v>
      </c>
      <c r="K70" s="229">
        <v>115056.71596641865</v>
      </c>
      <c r="M70" s="194">
        <v>2055</v>
      </c>
      <c r="N70" s="419">
        <f t="shared" si="2"/>
        <v>339784.63277851563</v>
      </c>
      <c r="O70" s="418">
        <f>(C70/Population_Tables!P44)*Population_Tables!D103</f>
        <v>0</v>
      </c>
      <c r="P70" s="418">
        <f>(D70/Population_Tables!Q44)*Population_Tables!E103</f>
        <v>0</v>
      </c>
      <c r="Q70" s="418">
        <f>((E70-H70)/Population_Tables!R44)*Population_Tables!F103</f>
        <v>215318.81634646287</v>
      </c>
      <c r="R70" s="418">
        <f>(F70/Population_Tables!S44)*Population_Tables!G103</f>
        <v>73412.111630984378</v>
      </c>
      <c r="S70" s="418">
        <f>(G70/Population_Tables!T44)*Population_Tables!H103</f>
        <v>51053.704801068343</v>
      </c>
      <c r="T70" s="418">
        <f>(H70/Population_Tables!U44)*Population_Tables!I103</f>
        <v>0</v>
      </c>
      <c r="U70" s="418">
        <f>(I70/Population_Tables!V44)*Population_Tables!J103</f>
        <v>0</v>
      </c>
      <c r="V70" s="418">
        <f>(J70/Population_Tables!W44)*Population_Tables!K103</f>
        <v>0</v>
      </c>
      <c r="W70" s="418">
        <f>(K70/Population_Tables!X44)*Population_Tables!L103</f>
        <v>0</v>
      </c>
      <c r="Y70" s="456">
        <v>2055</v>
      </c>
      <c r="Z70" s="459">
        <f>((B70/Population_Tables!O44)*Population_Tables!C44)-N70</f>
        <v>836756.96862632479</v>
      </c>
      <c r="AA70" s="459">
        <f>((C70/Population_Tables!P44)*Population_Tables!D44)-O70</f>
        <v>300319.20296633831</v>
      </c>
      <c r="AB70" s="459">
        <f>((D70/Population_Tables!Q44)*Population_Tables!E44)-P70</f>
        <v>98711.524254139644</v>
      </c>
      <c r="AC70" s="459">
        <f>((E70/Population_Tables!R44)*Population_Tables!F44)-Q70</f>
        <v>280243.38650831894</v>
      </c>
      <c r="AD70" s="459">
        <f>((F70/Population_Tables!S44)*Population_Tables!G44)-R70</f>
        <v>41963.417347045906</v>
      </c>
      <c r="AE70" s="459">
        <f>((G70/Population_Tables!T44)*Population_Tables!H44)-S70</f>
        <v>119037.58144519926</v>
      </c>
      <c r="AF70" s="459">
        <f>(H70/Population_Tables!U44)*Population_Tables!I44</f>
        <v>129979.95632689552</v>
      </c>
      <c r="AG70" s="459">
        <f>(I70/Population_Tables!V44)*Population_Tables!J44</f>
        <v>113310.8066516245</v>
      </c>
      <c r="AH70" s="459">
        <f>(J70/Population_Tables!W44)*Population_Tables!K44</f>
        <v>98556.885617496344</v>
      </c>
      <c r="AI70" s="459">
        <f>(K70/Population_Tables!X44)*Population_Tables!L44</f>
        <v>127004.31918732658</v>
      </c>
      <c r="AK70" s="456">
        <v>2055</v>
      </c>
      <c r="AL70" s="459">
        <f t="shared" si="8"/>
        <v>1176541.6014048404</v>
      </c>
      <c r="AM70" s="459">
        <f t="shared" si="8"/>
        <v>300319.20296633831</v>
      </c>
      <c r="AN70" s="459">
        <f t="shared" si="8"/>
        <v>98711.524254139644</v>
      </c>
      <c r="AO70" s="459">
        <f t="shared" si="8"/>
        <v>495562.20285478182</v>
      </c>
      <c r="AP70" s="459">
        <f t="shared" si="8"/>
        <v>115375.52897803028</v>
      </c>
      <c r="AQ70" s="459">
        <f t="shared" si="8"/>
        <v>170091.28624626761</v>
      </c>
      <c r="AR70" s="459">
        <f t="shared" si="8"/>
        <v>129979.95632689552</v>
      </c>
      <c r="AS70" s="459">
        <f t="shared" si="8"/>
        <v>113310.8066516245</v>
      </c>
      <c r="AT70" s="459">
        <f t="shared" si="8"/>
        <v>98556.885617496344</v>
      </c>
      <c r="AU70" s="459">
        <f t="shared" si="8"/>
        <v>127004.31918732658</v>
      </c>
      <c r="AW70" s="216">
        <f>(B70/Population_Tables!O44)*Population_Tables!C44</f>
        <v>1176541.6014048404</v>
      </c>
      <c r="AX70" s="153" t="str">
        <f t="shared" si="7"/>
        <v>OK</v>
      </c>
      <c r="AY70" s="421">
        <f t="shared" si="4"/>
        <v>1180059.7452995577</v>
      </c>
      <c r="AZ70" s="153" t="str">
        <f t="shared" si="5"/>
        <v>OK</v>
      </c>
      <c r="BB70" s="216">
        <f>(C70/Population_Tables!P44)*Population_Tables!D44</f>
        <v>300319.20296633831</v>
      </c>
      <c r="BC70" s="216">
        <f>(D70/Population_Tables!Q44)*Population_Tables!E44</f>
        <v>98711.524254139644</v>
      </c>
      <c r="BD70" s="216">
        <f>(E70/Population_Tables!R44)*Population_Tables!F44</f>
        <v>495562.20285478182</v>
      </c>
      <c r="BE70" s="216">
        <f>(F70/Population_Tables!S44)*Population_Tables!G44</f>
        <v>115375.52897803028</v>
      </c>
      <c r="BF70" s="216">
        <f>(G70/Population_Tables!T44)*Population_Tables!H44</f>
        <v>170091.28624626761</v>
      </c>
      <c r="BG70" s="216"/>
      <c r="BN70" s="216"/>
      <c r="BO70" s="216"/>
      <c r="BP70" s="216"/>
    </row>
    <row r="71" spans="1:68" ht="15.6" x14ac:dyDescent="0.3">
      <c r="A71" s="194">
        <v>2056</v>
      </c>
      <c r="B71" s="229">
        <v>1076342.6909328233</v>
      </c>
      <c r="C71" s="229">
        <v>278579.84922543267</v>
      </c>
      <c r="D71" s="229">
        <v>90845.22815928873</v>
      </c>
      <c r="E71" s="229">
        <v>450742.11516916507</v>
      </c>
      <c r="F71" s="229">
        <v>106864.68795017347</v>
      </c>
      <c r="G71" s="229">
        <v>151994.7975619559</v>
      </c>
      <c r="H71" s="229">
        <v>119104.35718404726</v>
      </c>
      <c r="I71" s="229">
        <v>103551.27950099051</v>
      </c>
      <c r="J71" s="229">
        <v>90428.54751502283</v>
      </c>
      <c r="K71" s="229">
        <v>115981.11185812518</v>
      </c>
      <c r="M71" s="194">
        <v>2056</v>
      </c>
      <c r="N71" s="419">
        <f t="shared" si="2"/>
        <v>350706.19675670343</v>
      </c>
      <c r="O71" s="418">
        <f>(C71/Population_Tables!P45)*Population_Tables!D104</f>
        <v>0</v>
      </c>
      <c r="P71" s="418">
        <f>(D71/Population_Tables!Q45)*Population_Tables!E104</f>
        <v>0</v>
      </c>
      <c r="Q71" s="418">
        <f>((E71-H71)/Population_Tables!R45)*Population_Tables!F104</f>
        <v>222691.01339686842</v>
      </c>
      <c r="R71" s="418">
        <f>(F71/Population_Tables!S45)*Population_Tables!G104</f>
        <v>75610.270339249008</v>
      </c>
      <c r="S71" s="418">
        <f>(G71/Population_Tables!T45)*Population_Tables!H104</f>
        <v>52404.913020585991</v>
      </c>
      <c r="T71" s="418">
        <f>(H71/Population_Tables!U45)*Population_Tables!I104</f>
        <v>0</v>
      </c>
      <c r="U71" s="418">
        <f>(I71/Population_Tables!V45)*Population_Tables!J104</f>
        <v>0</v>
      </c>
      <c r="V71" s="418">
        <f>(J71/Population_Tables!W45)*Population_Tables!K104</f>
        <v>0</v>
      </c>
      <c r="W71" s="418">
        <f>(K71/Population_Tables!X45)*Population_Tables!L104</f>
        <v>0</v>
      </c>
      <c r="Y71" s="456">
        <v>2056</v>
      </c>
      <c r="Z71" s="459">
        <f>((B71/Population_Tables!O45)*Population_Tables!C45)-N71</f>
        <v>854357.99433978822</v>
      </c>
      <c r="AA71" s="459">
        <f>((C71/Population_Tables!P45)*Population_Tables!D45)-O71</f>
        <v>306404.52995488927</v>
      </c>
      <c r="AB71" s="459">
        <f>((D71/Population_Tables!Q45)*Population_Tables!E45)-P71</f>
        <v>100994.01897457983</v>
      </c>
      <c r="AC71" s="459">
        <f>((E71/Population_Tables!R45)*Population_Tables!F45)-Q71</f>
        <v>285092.60777908063</v>
      </c>
      <c r="AD71" s="459">
        <f>((F71/Population_Tables!S45)*Population_Tables!G45)-R71</f>
        <v>43012.601523871097</v>
      </c>
      <c r="AE71" s="459">
        <f>((G71/Population_Tables!T45)*Population_Tables!H45)-S71</f>
        <v>121662.22926907692</v>
      </c>
      <c r="AF71" s="459">
        <f>(H71/Population_Tables!U45)*Population_Tables!I45</f>
        <v>131097.87860726501</v>
      </c>
      <c r="AG71" s="459">
        <f>(I71/Population_Tables!V45)*Population_Tables!J45</f>
        <v>116435.01029125307</v>
      </c>
      <c r="AH71" s="459">
        <f>(J71/Population_Tables!W45)*Population_Tables!K45</f>
        <v>99308.214107647713</v>
      </c>
      <c r="AI71" s="459">
        <f>(K71/Population_Tables!X45)*Population_Tables!L45</f>
        <v>128518.88531453928</v>
      </c>
      <c r="AK71" s="456">
        <v>2056</v>
      </c>
      <c r="AL71" s="459">
        <f t="shared" si="8"/>
        <v>1205064.1910964916</v>
      </c>
      <c r="AM71" s="459">
        <f t="shared" si="8"/>
        <v>306404.52995488927</v>
      </c>
      <c r="AN71" s="459">
        <f t="shared" si="8"/>
        <v>100994.01897457983</v>
      </c>
      <c r="AO71" s="459">
        <f t="shared" si="8"/>
        <v>507783.62117594905</v>
      </c>
      <c r="AP71" s="459">
        <f t="shared" si="8"/>
        <v>118622.8718631201</v>
      </c>
      <c r="AQ71" s="459">
        <f t="shared" si="8"/>
        <v>174067.14228966291</v>
      </c>
      <c r="AR71" s="459">
        <f t="shared" si="8"/>
        <v>131097.87860726501</v>
      </c>
      <c r="AS71" s="459">
        <f t="shared" si="8"/>
        <v>116435.01029125307</v>
      </c>
      <c r="AT71" s="459">
        <f t="shared" si="8"/>
        <v>99308.214107647713</v>
      </c>
      <c r="AU71" s="459">
        <f t="shared" si="8"/>
        <v>128518.88531453928</v>
      </c>
      <c r="AW71" s="216">
        <f>(B71/Population_Tables!O45)*Population_Tables!C45</f>
        <v>1205064.1910964916</v>
      </c>
      <c r="AX71" s="153" t="str">
        <f t="shared" si="7"/>
        <v>OK</v>
      </c>
      <c r="AY71" s="421">
        <f t="shared" si="4"/>
        <v>1207872.1842582012</v>
      </c>
      <c r="AZ71" s="153" t="str">
        <f t="shared" si="5"/>
        <v>OK</v>
      </c>
      <c r="BB71" s="216">
        <f>(C71/Population_Tables!P45)*Population_Tables!D45</f>
        <v>306404.52995488927</v>
      </c>
      <c r="BC71" s="216">
        <f>(D71/Population_Tables!Q45)*Population_Tables!E45</f>
        <v>100994.01897457983</v>
      </c>
      <c r="BD71" s="216">
        <f>(E71/Population_Tables!R45)*Population_Tables!F45</f>
        <v>507783.62117594905</v>
      </c>
      <c r="BE71" s="216">
        <f>(F71/Population_Tables!S45)*Population_Tables!G45</f>
        <v>118622.8718631201</v>
      </c>
      <c r="BF71" s="216">
        <f>(G71/Population_Tables!T45)*Population_Tables!H45</f>
        <v>174067.14228966291</v>
      </c>
      <c r="BG71" s="216"/>
      <c r="BN71" s="216"/>
      <c r="BO71" s="216"/>
      <c r="BP71" s="216"/>
    </row>
    <row r="72" spans="1:68" ht="15.6" x14ac:dyDescent="0.3">
      <c r="A72" s="194">
        <v>2057</v>
      </c>
      <c r="B72" s="229">
        <v>1097451.7791747567</v>
      </c>
      <c r="C72" s="229">
        <v>283198.36196185794</v>
      </c>
      <c r="D72" s="229">
        <v>92538.718428702501</v>
      </c>
      <c r="E72" s="229">
        <v>459524.89849113463</v>
      </c>
      <c r="F72" s="229">
        <v>109431.54732847842</v>
      </c>
      <c r="G72" s="229">
        <v>154712.39253954223</v>
      </c>
      <c r="H72" s="229">
        <v>119619.53109314863</v>
      </c>
      <c r="I72" s="229">
        <v>105827.56157890955</v>
      </c>
      <c r="J72" s="229">
        <v>90770.266756815603</v>
      </c>
      <c r="K72" s="229">
        <v>116901.32757241782</v>
      </c>
      <c r="M72" s="194">
        <v>2057</v>
      </c>
      <c r="N72" s="419">
        <f t="shared" si="2"/>
        <v>361962.44714298594</v>
      </c>
      <c r="O72" s="418">
        <f>(C72/Population_Tables!P46)*Population_Tables!D105</f>
        <v>0</v>
      </c>
      <c r="P72" s="418">
        <f>(D72/Population_Tables!Q46)*Population_Tables!E105</f>
        <v>0</v>
      </c>
      <c r="Q72" s="418">
        <f>((E72-H72)/Population_Tables!R46)*Population_Tables!F105</f>
        <v>230302.4605784727</v>
      </c>
      <c r="R72" s="418">
        <f>(F72/Population_Tables!S46)*Population_Tables!G105</f>
        <v>77870.838965609422</v>
      </c>
      <c r="S72" s="418">
        <f>(G72/Population_Tables!T46)*Population_Tables!H105</f>
        <v>53789.147598903801</v>
      </c>
      <c r="T72" s="418">
        <f>(H72/Population_Tables!U46)*Population_Tables!I105</f>
        <v>0</v>
      </c>
      <c r="U72" s="418">
        <f>(I72/Population_Tables!V46)*Population_Tables!J105</f>
        <v>0</v>
      </c>
      <c r="V72" s="418">
        <f>(J72/Population_Tables!W46)*Population_Tables!K105</f>
        <v>0</v>
      </c>
      <c r="W72" s="418">
        <f>(K72/Population_Tables!X46)*Population_Tables!L105</f>
        <v>0</v>
      </c>
      <c r="Y72" s="456">
        <v>2057</v>
      </c>
      <c r="Z72" s="459">
        <f>((B72/Population_Tables!O46)*Population_Tables!C46)-N72</f>
        <v>872358.10736659914</v>
      </c>
      <c r="AA72" s="459">
        <f>((C72/Population_Tables!P46)*Population_Tables!D46)-O72</f>
        <v>312648.25969745853</v>
      </c>
      <c r="AB72" s="459">
        <f>((D72/Population_Tables!Q46)*Population_Tables!E46)-P72</f>
        <v>103344.87331768556</v>
      </c>
      <c r="AC72" s="459">
        <f>((E72/Population_Tables!R46)*Population_Tables!F46)-Q72</f>
        <v>290007.88727907947</v>
      </c>
      <c r="AD72" s="459">
        <f>((F72/Population_Tables!S46)*Population_Tables!G46)-R72</f>
        <v>44089.236566831984</v>
      </c>
      <c r="AE72" s="459">
        <f>((G72/Population_Tables!T46)*Population_Tables!H46)-S72</f>
        <v>124338.27560112069</v>
      </c>
      <c r="AF72" s="459">
        <f>(H72/Population_Tables!U46)*Population_Tables!I46</f>
        <v>132204.27358333676</v>
      </c>
      <c r="AG72" s="459">
        <f>(I72/Population_Tables!V46)*Population_Tables!J46</f>
        <v>119598.43268610816</v>
      </c>
      <c r="AH72" s="459">
        <f>(J72/Population_Tables!W46)*Population_Tables!K46</f>
        <v>100067.44938254695</v>
      </c>
      <c r="AI72" s="459">
        <f>(K72/Population_Tables!X46)*Population_Tables!L46</f>
        <v>130051.98385040394</v>
      </c>
      <c r="AK72" s="456">
        <v>2057</v>
      </c>
      <c r="AL72" s="459">
        <f t="shared" si="8"/>
        <v>1234320.554509585</v>
      </c>
      <c r="AM72" s="459">
        <f t="shared" si="8"/>
        <v>312648.25969745853</v>
      </c>
      <c r="AN72" s="459">
        <f t="shared" si="8"/>
        <v>103344.87331768556</v>
      </c>
      <c r="AO72" s="459">
        <f t="shared" si="8"/>
        <v>520310.34785755217</v>
      </c>
      <c r="AP72" s="459">
        <f t="shared" si="8"/>
        <v>121960.07553244141</v>
      </c>
      <c r="AQ72" s="459">
        <f t="shared" si="8"/>
        <v>178127.4232000245</v>
      </c>
      <c r="AR72" s="459">
        <f t="shared" si="8"/>
        <v>132204.27358333676</v>
      </c>
      <c r="AS72" s="459">
        <f t="shared" si="8"/>
        <v>119598.43268610816</v>
      </c>
      <c r="AT72" s="459">
        <f t="shared" si="8"/>
        <v>100067.44938254695</v>
      </c>
      <c r="AU72" s="459">
        <f t="shared" si="8"/>
        <v>130051.98385040394</v>
      </c>
      <c r="AW72" s="216">
        <f>(B72/Population_Tables!O46)*Population_Tables!C46</f>
        <v>1234320.554509585</v>
      </c>
      <c r="AX72" s="153" t="str">
        <f t="shared" si="7"/>
        <v>OK</v>
      </c>
      <c r="AY72" s="421">
        <f t="shared" si="4"/>
        <v>1236390.9796051623</v>
      </c>
      <c r="AZ72" s="153" t="str">
        <f t="shared" si="5"/>
        <v>OK</v>
      </c>
      <c r="BB72" s="216">
        <f>(C72/Population_Tables!P46)*Population_Tables!D46</f>
        <v>312648.25969745853</v>
      </c>
      <c r="BC72" s="216">
        <f>(D72/Population_Tables!Q46)*Population_Tables!E46</f>
        <v>103344.87331768556</v>
      </c>
      <c r="BD72" s="216">
        <f>(E72/Population_Tables!R46)*Population_Tables!F46</f>
        <v>520310.34785755217</v>
      </c>
      <c r="BE72" s="216">
        <f>(F72/Population_Tables!S46)*Population_Tables!G46</f>
        <v>121960.07553244141</v>
      </c>
      <c r="BF72" s="216">
        <f>(G72/Population_Tables!T46)*Population_Tables!H46</f>
        <v>178127.4232000245</v>
      </c>
      <c r="BG72" s="216"/>
      <c r="BN72" s="216"/>
      <c r="BO72" s="216"/>
      <c r="BP72" s="216"/>
    </row>
    <row r="73" spans="1:68" ht="15.6" x14ac:dyDescent="0.3">
      <c r="A73" s="194">
        <v>2058</v>
      </c>
      <c r="B73" s="229">
        <v>1118901.5794889694</v>
      </c>
      <c r="C73" s="229">
        <v>287894.1067622386</v>
      </c>
      <c r="D73" s="229">
        <v>94267.171007894853</v>
      </c>
      <c r="E73" s="229">
        <v>468423.20785756013</v>
      </c>
      <c r="F73" s="229">
        <v>112050.84340007851</v>
      </c>
      <c r="G73" s="229">
        <v>157453.02492198488</v>
      </c>
      <c r="H73" s="229">
        <v>120106.77046665367</v>
      </c>
      <c r="I73" s="229">
        <v>108097.97103474164</v>
      </c>
      <c r="J73" s="229">
        <v>91104.934805365861</v>
      </c>
      <c r="K73" s="229">
        <v>117817.44485706062</v>
      </c>
      <c r="M73" s="194">
        <v>2058</v>
      </c>
      <c r="N73" s="419">
        <f t="shared" si="2"/>
        <v>373556.68427770189</v>
      </c>
      <c r="O73" s="418">
        <f>(C73/Population_Tables!P47)*Population_Tables!D106</f>
        <v>0</v>
      </c>
      <c r="P73" s="418">
        <f>(D73/Population_Tables!Q47)*Population_Tables!E106</f>
        <v>0</v>
      </c>
      <c r="Q73" s="418">
        <f>((E73-H73)/Population_Tables!R47)*Population_Tables!F106</f>
        <v>238154.88078812166</v>
      </c>
      <c r="R73" s="418">
        <f>(F73/Population_Tables!S47)*Population_Tables!G106</f>
        <v>80194.878562656653</v>
      </c>
      <c r="S73" s="418">
        <f>(G73/Population_Tables!T47)*Population_Tables!H106</f>
        <v>55206.924926923588</v>
      </c>
      <c r="T73" s="418">
        <f>(H73/Population_Tables!U47)*Population_Tables!I106</f>
        <v>0</v>
      </c>
      <c r="U73" s="418">
        <f>(I73/Population_Tables!V47)*Population_Tables!J106</f>
        <v>0</v>
      </c>
      <c r="V73" s="418">
        <f>(J73/Population_Tables!W47)*Population_Tables!K106</f>
        <v>0</v>
      </c>
      <c r="W73" s="418">
        <f>(K73/Population_Tables!X47)*Population_Tables!L106</f>
        <v>0</v>
      </c>
      <c r="Y73" s="456">
        <v>2058</v>
      </c>
      <c r="Z73" s="459">
        <f>((B73/Population_Tables!O47)*Population_Tables!C47)-N73</f>
        <v>890764.49251419911</v>
      </c>
      <c r="AA73" s="459">
        <f>((C73/Population_Tables!P47)*Population_Tables!D47)-O73</f>
        <v>319053.73679718847</v>
      </c>
      <c r="AB73" s="459">
        <f>((D73/Population_Tables!Q47)*Population_Tables!E47)-P73</f>
        <v>105766.1790606047</v>
      </c>
      <c r="AC73" s="459">
        <f>((E73/Population_Tables!R47)*Population_Tables!F47)-Q73</f>
        <v>294991.35244797234</v>
      </c>
      <c r="AD73" s="459">
        <f>((F73/Population_Tables!S47)*Population_Tables!G47)-R73</f>
        <v>45193.787575089853</v>
      </c>
      <c r="AE73" s="459">
        <f>((G73/Population_Tables!T47)*Population_Tables!H47)-S73</f>
        <v>127066.20073889513</v>
      </c>
      <c r="AF73" s="459">
        <f>(H73/Population_Tables!U47)*Population_Tables!I47</f>
        <v>133301.1339496001</v>
      </c>
      <c r="AG73" s="459">
        <f>(I73/Population_Tables!V47)*Population_Tables!J47</f>
        <v>122798.46890382325</v>
      </c>
      <c r="AH73" s="459">
        <f>(J73/Population_Tables!W47)*Population_Tables!K47</f>
        <v>100834.75876495452</v>
      </c>
      <c r="AI73" s="459">
        <f>(K73/Population_Tables!X47)*Population_Tables!L47</f>
        <v>131603.27411399074</v>
      </c>
      <c r="AK73" s="456">
        <v>2058</v>
      </c>
      <c r="AL73" s="459">
        <f t="shared" si="8"/>
        <v>1264321.176791901</v>
      </c>
      <c r="AM73" s="459">
        <f t="shared" si="8"/>
        <v>319053.73679718847</v>
      </c>
      <c r="AN73" s="459">
        <f t="shared" si="8"/>
        <v>105766.1790606047</v>
      </c>
      <c r="AO73" s="459">
        <f t="shared" si="8"/>
        <v>533146.23323609401</v>
      </c>
      <c r="AP73" s="459">
        <f t="shared" si="8"/>
        <v>125388.66613774651</v>
      </c>
      <c r="AQ73" s="459">
        <f t="shared" si="8"/>
        <v>182273.12566581872</v>
      </c>
      <c r="AR73" s="459">
        <f t="shared" si="8"/>
        <v>133301.1339496001</v>
      </c>
      <c r="AS73" s="459">
        <f t="shared" si="8"/>
        <v>122798.46890382325</v>
      </c>
      <c r="AT73" s="459">
        <f t="shared" si="8"/>
        <v>100834.75876495452</v>
      </c>
      <c r="AU73" s="459">
        <f t="shared" si="8"/>
        <v>131603.27411399074</v>
      </c>
      <c r="AW73" s="216">
        <f>(B73/Population_Tables!O47)*Population_Tables!C47</f>
        <v>1264321.176791901</v>
      </c>
      <c r="AX73" s="153" t="str">
        <f t="shared" si="7"/>
        <v>OK</v>
      </c>
      <c r="AY73" s="421">
        <f t="shared" si="4"/>
        <v>1265627.9408974524</v>
      </c>
      <c r="AZ73" s="153" t="str">
        <f t="shared" si="5"/>
        <v>OK</v>
      </c>
      <c r="BB73" s="216">
        <f>(C73/Population_Tables!P47)*Population_Tables!D47</f>
        <v>319053.73679718847</v>
      </c>
      <c r="BC73" s="216">
        <f>(D73/Population_Tables!Q47)*Population_Tables!E47</f>
        <v>105766.1790606047</v>
      </c>
      <c r="BD73" s="216">
        <f>(E73/Population_Tables!R47)*Population_Tables!F47</f>
        <v>533146.23323609401</v>
      </c>
      <c r="BE73" s="216">
        <f>(F73/Population_Tables!S47)*Population_Tables!G47</f>
        <v>125388.66613774651</v>
      </c>
      <c r="BF73" s="216">
        <f>(G73/Population_Tables!T47)*Population_Tables!H47</f>
        <v>182273.12566581872</v>
      </c>
      <c r="BG73" s="216"/>
      <c r="BN73" s="216"/>
      <c r="BO73" s="216"/>
      <c r="BP73" s="216"/>
    </row>
    <row r="74" spans="1:68" ht="15.6" x14ac:dyDescent="0.3">
      <c r="A74" s="194">
        <v>2059</v>
      </c>
      <c r="B74" s="229">
        <v>1140696.5293822978</v>
      </c>
      <c r="C74" s="229">
        <v>292668.35708376562</v>
      </c>
      <c r="D74" s="229">
        <v>96031.398070127805</v>
      </c>
      <c r="E74" s="229">
        <v>477438.39365981729</v>
      </c>
      <c r="F74" s="229">
        <v>114723.22340240497</v>
      </c>
      <c r="G74" s="229">
        <v>160216.4456051715</v>
      </c>
      <c r="H74" s="229">
        <v>120567.98998921126</v>
      </c>
      <c r="I74" s="229">
        <v>110360.97975358818</v>
      </c>
      <c r="J74" s="229">
        <v>91432.727324978361</v>
      </c>
      <c r="K74" s="229">
        <v>118729.54545981759</v>
      </c>
      <c r="M74" s="194">
        <v>2059</v>
      </c>
      <c r="N74" s="419">
        <f t="shared" si="2"/>
        <v>385490.49865409994</v>
      </c>
      <c r="O74" s="418">
        <f>(C74/Population_Tables!P48)*Population_Tables!D107</f>
        <v>0</v>
      </c>
      <c r="P74" s="418">
        <f>(D74/Population_Tables!Q48)*Population_Tables!E107</f>
        <v>0</v>
      </c>
      <c r="Q74" s="418">
        <f>((E74-H74)/Population_Tables!R48)*Population_Tables!F107</f>
        <v>246248.53861169613</v>
      </c>
      <c r="R74" s="418">
        <f>(F74/Population_Tables!S48)*Population_Tables!G107</f>
        <v>82583.320942020044</v>
      </c>
      <c r="S74" s="418">
        <f>(G74/Population_Tables!T48)*Population_Tables!H107</f>
        <v>56658.639100383785</v>
      </c>
      <c r="T74" s="418">
        <f>(H74/Population_Tables!U48)*Population_Tables!I107</f>
        <v>0</v>
      </c>
      <c r="U74" s="418">
        <f>(I74/Population_Tables!V48)*Population_Tables!J107</f>
        <v>0</v>
      </c>
      <c r="V74" s="418">
        <f>(J74/Population_Tables!W48)*Population_Tables!K107</f>
        <v>0</v>
      </c>
      <c r="W74" s="418">
        <f>(K74/Population_Tables!X48)*Population_Tables!L107</f>
        <v>0</v>
      </c>
      <c r="Y74" s="456">
        <v>2059</v>
      </c>
      <c r="Z74" s="459">
        <f>((B74/Population_Tables!O48)*Population_Tables!C48)-N74</f>
        <v>909583.0986269312</v>
      </c>
      <c r="AA74" s="459">
        <f>((C74/Population_Tables!P48)*Population_Tables!D48)-O74</f>
        <v>325623.47025727807</v>
      </c>
      <c r="AB74" s="459">
        <f>((D74/Population_Tables!Q48)*Population_Tables!E48)-P74</f>
        <v>108259.95900947003</v>
      </c>
      <c r="AC74" s="459">
        <f>((E74/Population_Tables!R48)*Population_Tables!F48)-Q74</f>
        <v>300044.82673379348</v>
      </c>
      <c r="AD74" s="459">
        <f>((F74/Population_Tables!S48)*Population_Tables!G48)-R74</f>
        <v>46326.704277633224</v>
      </c>
      <c r="AE74" s="459">
        <f>((G74/Population_Tables!T48)*Population_Tables!H48)-S74</f>
        <v>129846.2930062167</v>
      </c>
      <c r="AF74" s="459">
        <f>(H74/Population_Tables!U48)*Population_Tables!I48</f>
        <v>134390.31040673124</v>
      </c>
      <c r="AG74" s="459">
        <f>(I74/Population_Tables!V48)*Population_Tables!J48</f>
        <v>126031.7546093721</v>
      </c>
      <c r="AH74" s="459">
        <f>(J74/Population_Tables!W48)*Population_Tables!K48</f>
        <v>101610.11306898226</v>
      </c>
      <c r="AI74" s="459">
        <f>(K74/Population_Tables!X48)*Population_Tables!L48</f>
        <v>133171.99514412435</v>
      </c>
      <c r="AK74" s="456">
        <v>2059</v>
      </c>
      <c r="AL74" s="459">
        <f t="shared" si="8"/>
        <v>1295073.5972810311</v>
      </c>
      <c r="AM74" s="459">
        <f t="shared" si="8"/>
        <v>325623.47025727807</v>
      </c>
      <c r="AN74" s="459">
        <f t="shared" si="8"/>
        <v>108259.95900947003</v>
      </c>
      <c r="AO74" s="459">
        <f t="shared" si="8"/>
        <v>546293.36534548958</v>
      </c>
      <c r="AP74" s="459">
        <f t="shared" si="8"/>
        <v>128910.02521965327</v>
      </c>
      <c r="AQ74" s="459">
        <f t="shared" si="8"/>
        <v>186504.93210660049</v>
      </c>
      <c r="AR74" s="459">
        <f t="shared" si="8"/>
        <v>134390.31040673124</v>
      </c>
      <c r="AS74" s="459">
        <f t="shared" si="8"/>
        <v>126031.7546093721</v>
      </c>
      <c r="AT74" s="459">
        <f t="shared" si="8"/>
        <v>101610.11306898226</v>
      </c>
      <c r="AU74" s="459">
        <f t="shared" si="8"/>
        <v>133171.99514412435</v>
      </c>
      <c r="AW74" s="216">
        <f>(B74/Population_Tables!O48)*Population_Tables!C48</f>
        <v>1295073.5972810311</v>
      </c>
      <c r="AX74" s="153" t="str">
        <f t="shared" si="7"/>
        <v>OK</v>
      </c>
      <c r="AY74" s="421">
        <f t="shared" si="4"/>
        <v>1295591.7519384916</v>
      </c>
      <c r="AZ74" s="153" t="str">
        <f t="shared" si="5"/>
        <v>OK</v>
      </c>
      <c r="BB74" s="216">
        <f>(C74/Population_Tables!P48)*Population_Tables!D48</f>
        <v>325623.47025727807</v>
      </c>
      <c r="BC74" s="216">
        <f>(D74/Population_Tables!Q48)*Population_Tables!E48</f>
        <v>108259.95900947003</v>
      </c>
      <c r="BD74" s="216">
        <f>(E74/Population_Tables!R48)*Population_Tables!F48</f>
        <v>546293.36534548958</v>
      </c>
      <c r="BE74" s="216">
        <f>(F74/Population_Tables!S48)*Population_Tables!G48</f>
        <v>128910.02521965327</v>
      </c>
      <c r="BF74" s="216">
        <f>(G74/Population_Tables!T48)*Population_Tables!H48</f>
        <v>186504.93210660049</v>
      </c>
      <c r="BG74" s="216"/>
      <c r="BN74" s="216"/>
      <c r="BO74" s="216"/>
      <c r="BP74" s="216"/>
    </row>
    <row r="75" spans="1:68" ht="15.6" x14ac:dyDescent="0.3">
      <c r="A75" s="194">
        <v>2060</v>
      </c>
      <c r="B75" s="229">
        <v>1162841.0663615805</v>
      </c>
      <c r="C75" s="229">
        <v>297522.38638362987</v>
      </c>
      <c r="D75" s="229">
        <v>97832.211788663379</v>
      </c>
      <c r="E75" s="229">
        <v>486571.80628928158</v>
      </c>
      <c r="F75" s="229">
        <v>117449.33457288909</v>
      </c>
      <c r="G75" s="229">
        <v>163002.40548498984</v>
      </c>
      <c r="H75" s="229">
        <v>121005.1043454704</v>
      </c>
      <c r="I75" s="229">
        <v>112615.05962055057</v>
      </c>
      <c r="J75" s="229">
        <v>91753.819979957887</v>
      </c>
      <c r="K75" s="229">
        <v>119637.71112845273</v>
      </c>
      <c r="M75" s="194">
        <v>2060</v>
      </c>
      <c r="N75" s="419">
        <f t="shared" si="2"/>
        <v>397766.10796613124</v>
      </c>
      <c r="O75" s="418">
        <f>(C75/Population_Tables!P49)*Population_Tables!D108</f>
        <v>0</v>
      </c>
      <c r="P75" s="418">
        <f>(D75/Population_Tables!Q49)*Population_Tables!E108</f>
        <v>0</v>
      </c>
      <c r="Q75" s="418">
        <f>((E75-H75)/Population_Tables!R49)*Population_Tables!F108</f>
        <v>254584.16732798773</v>
      </c>
      <c r="R75" s="418">
        <f>(F75/Population_Tables!S49)*Population_Tables!G108</f>
        <v>85037.175484210748</v>
      </c>
      <c r="S75" s="418">
        <f>(G75/Population_Tables!T49)*Population_Tables!H108</f>
        <v>58144.765153932771</v>
      </c>
      <c r="T75" s="418">
        <f>(H75/Population_Tables!U49)*Population_Tables!I108</f>
        <v>0</v>
      </c>
      <c r="U75" s="418">
        <f>(I75/Population_Tables!V49)*Population_Tables!J108</f>
        <v>0</v>
      </c>
      <c r="V75" s="418">
        <f>(J75/Population_Tables!W49)*Population_Tables!K108</f>
        <v>0</v>
      </c>
      <c r="W75" s="418">
        <f>(K75/Population_Tables!X49)*Population_Tables!L108</f>
        <v>0</v>
      </c>
      <c r="Y75" s="456">
        <v>2060</v>
      </c>
      <c r="Z75" s="459">
        <f>((B75/Population_Tables!O49)*Population_Tables!C49)-N75</f>
        <v>928820.59317051596</v>
      </c>
      <c r="AA75" s="459">
        <f>((C75/Population_Tables!P49)*Population_Tables!D49)-O75</f>
        <v>332359.95383218006</v>
      </c>
      <c r="AB75" s="459">
        <f>((D75/Population_Tables!Q49)*Population_Tables!E49)-P75</f>
        <v>110828.29178276562</v>
      </c>
      <c r="AC75" s="459">
        <f>((E75/Population_Tables!R49)*Population_Tables!F49)-Q75</f>
        <v>305170.45203508076</v>
      </c>
      <c r="AD75" s="459">
        <f>((F75/Population_Tables!S49)*Population_Tables!G49)-R75</f>
        <v>47488.474230020278</v>
      </c>
      <c r="AE75" s="459">
        <f>((G75/Population_Tables!T49)*Population_Tables!H49)-S75</f>
        <v>132678.88541221531</v>
      </c>
      <c r="AF75" s="459">
        <f>(H75/Population_Tables!U49)*Population_Tables!I49</f>
        <v>135473.70079537359</v>
      </c>
      <c r="AG75" s="459">
        <f>(I75/Population_Tables!V49)*Population_Tables!J49</f>
        <v>129295.17392168097</v>
      </c>
      <c r="AH75" s="459">
        <f>(J75/Population_Tables!W49)*Population_Tables!K49</f>
        <v>102393.4627026113</v>
      </c>
      <c r="AI75" s="459">
        <f>(K75/Population_Tables!X49)*Population_Tables!L49</f>
        <v>134757.43476605025</v>
      </c>
      <c r="AK75" s="456">
        <v>2060</v>
      </c>
      <c r="AL75" s="459">
        <f t="shared" si="8"/>
        <v>1326586.7011366473</v>
      </c>
      <c r="AM75" s="459">
        <f t="shared" si="8"/>
        <v>332359.95383218006</v>
      </c>
      <c r="AN75" s="459">
        <f t="shared" si="8"/>
        <v>110828.29178276562</v>
      </c>
      <c r="AO75" s="459">
        <f t="shared" si="8"/>
        <v>559754.61936306849</v>
      </c>
      <c r="AP75" s="459">
        <f t="shared" si="8"/>
        <v>132525.64971423103</v>
      </c>
      <c r="AQ75" s="459">
        <f t="shared" si="8"/>
        <v>190823.65056614808</v>
      </c>
      <c r="AR75" s="459">
        <f t="shared" si="8"/>
        <v>135473.70079537359</v>
      </c>
      <c r="AS75" s="459">
        <f t="shared" si="8"/>
        <v>129295.17392168097</v>
      </c>
      <c r="AT75" s="459">
        <f t="shared" si="8"/>
        <v>102393.4627026113</v>
      </c>
      <c r="AU75" s="459">
        <f t="shared" si="8"/>
        <v>134757.43476605025</v>
      </c>
      <c r="AW75" s="216">
        <f>(B75/Population_Tables!O49)*Population_Tables!C49</f>
        <v>1326586.7011366473</v>
      </c>
      <c r="AX75" s="153" t="str">
        <f t="shared" si="7"/>
        <v>OK</v>
      </c>
      <c r="AY75" s="421">
        <f t="shared" si="4"/>
        <v>1326292.1652583932</v>
      </c>
      <c r="AZ75" s="153" t="str">
        <f t="shared" si="5"/>
        <v>OK</v>
      </c>
      <c r="BB75" s="216">
        <f>(C75/Population_Tables!P49)*Population_Tables!D49</f>
        <v>332359.95383218006</v>
      </c>
      <c r="BC75" s="216">
        <f>(D75/Population_Tables!Q49)*Population_Tables!E49</f>
        <v>110828.29178276562</v>
      </c>
      <c r="BD75" s="216">
        <f>(E75/Population_Tables!R49)*Population_Tables!F49</f>
        <v>559754.61936306849</v>
      </c>
      <c r="BE75" s="216">
        <f>(F75/Population_Tables!S49)*Population_Tables!G49</f>
        <v>132525.64971423103</v>
      </c>
      <c r="BF75" s="216">
        <f>(G75/Population_Tables!T49)*Population_Tables!H49</f>
        <v>190823.65056614808</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Water Demand by Economic Development Status (Million m3)</v>
      </c>
      <c r="B78" s="644"/>
      <c r="C78" s="644"/>
      <c r="D78" s="644"/>
      <c r="E78" s="644"/>
      <c r="F78" s="645"/>
      <c r="H78" s="650" t="str">
        <f>CONCATENATE("Table 5: Total REF1 ",C1," by Economic Development Status ",D1)</f>
        <v>Table 5: Total REF1 Water Demand by Economic Development Status (Million m3)</v>
      </c>
      <c r="I78" s="651"/>
      <c r="J78" s="651"/>
      <c r="K78" s="651"/>
      <c r="L78" s="651"/>
      <c r="M78" s="651"/>
      <c r="N78" s="651"/>
      <c r="O78" s="651"/>
      <c r="P78" s="651"/>
      <c r="Q78" s="651"/>
      <c r="R78" s="651"/>
      <c r="S78" s="651"/>
      <c r="T78" s="652"/>
      <c r="W78" s="653" t="str">
        <f>CONCATENATE("Table 6: Change in ",C1," by MDC vs. LLDC Regions, REF1-REF2 ",D1)</f>
        <v>Table 6: Change in Water Demand by MDC vs. LLDC Regions, REF1-REF2 (Million m3)</v>
      </c>
      <c r="X78" s="654"/>
      <c r="Y78" s="654"/>
      <c r="Z78" s="654"/>
      <c r="AA78" s="654"/>
      <c r="AB78" s="654"/>
      <c r="AC78" s="654"/>
      <c r="AD78" s="655"/>
    </row>
    <row r="79" spans="1:68" ht="105" customHeight="1" x14ac:dyDescent="0.25">
      <c r="A79" s="213"/>
      <c r="B79" s="529" t="s">
        <v>368</v>
      </c>
      <c r="C79" s="463" t="s">
        <v>10</v>
      </c>
      <c r="D79" s="463" t="s">
        <v>514</v>
      </c>
      <c r="E79" s="463" t="str">
        <f>Q79</f>
        <v>Total Water Demand in Countries with Higher Educational Attainment (TWh)</v>
      </c>
      <c r="F79" s="463" t="str">
        <f>R79</f>
        <v xml:space="preserve"> --&gt; % LLDC</v>
      </c>
      <c r="H79" s="472"/>
      <c r="I79" s="473" t="s">
        <v>488</v>
      </c>
      <c r="J79" s="473" t="s">
        <v>490</v>
      </c>
      <c r="K79" s="473" t="s">
        <v>10</v>
      </c>
      <c r="L79" s="473" t="s">
        <v>489</v>
      </c>
      <c r="M79" s="473" t="s">
        <v>475</v>
      </c>
      <c r="O79" s="473" t="s">
        <v>620</v>
      </c>
      <c r="P79" s="473" t="s">
        <v>502</v>
      </c>
      <c r="Q79" s="473" t="s">
        <v>622</v>
      </c>
      <c r="R79" s="473" t="s">
        <v>502</v>
      </c>
      <c r="S79" s="473" t="s">
        <v>621</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159107.65157294433</v>
      </c>
      <c r="C80" s="195">
        <f t="shared" ref="C80:C126" si="9">H29</f>
        <v>46977.096435971587</v>
      </c>
      <c r="D80" s="195">
        <f t="shared" ref="D80:D126" si="10">SUMIF($AA$27:$AE$27,"N",C29:G29)-(IF($AC$27="N",H29))</f>
        <v>240293.16791297522</v>
      </c>
      <c r="E80" s="195">
        <f t="shared" ref="E80:E126" si="11">B80+D80+C80</f>
        <v>446377.91592189111</v>
      </c>
      <c r="F80" s="196">
        <f t="shared" ref="F80:F126" si="12">B80/E80</f>
        <v>0.35644158435648415</v>
      </c>
      <c r="H80" s="194">
        <v>2014</v>
      </c>
      <c r="I80" s="195">
        <f t="shared" ref="I80:I126" si="13">SUMIF($O$27:$S$27,"Y",O29:S29)-T29</f>
        <v>83212.602493217331</v>
      </c>
      <c r="J80" s="195">
        <f t="shared" ref="J80:J126" si="14">SUMIF($O$27:$S$27,"N",O29:S29)-(IF($Q$27="N",T29))</f>
        <v>16464.428062694511</v>
      </c>
      <c r="K80" s="195">
        <f t="shared" ref="K80:K126" si="15">AF29</f>
        <v>46977.096435971587</v>
      </c>
      <c r="L80" s="195">
        <f t="shared" ref="L80:L126" si="16">SUMIF($AA$27:$AE$27,"Y",AA29:AE29)-AF29</f>
        <v>75894.52389391321</v>
      </c>
      <c r="M80" s="195">
        <f t="shared" ref="M80:M126" si="17">SUMIF($AA$27:$AE$27,"N",AA29:AE29)-(IF($AC$27="N",AF29))</f>
        <v>223828.73985028069</v>
      </c>
      <c r="O80" s="195">
        <f t="shared" ref="O80:O126" si="18">I80+J80</f>
        <v>99677.030555911842</v>
      </c>
      <c r="P80" s="196">
        <f t="shared" ref="P80:P126" si="19">I80/O80</f>
        <v>0.83482224569822916</v>
      </c>
      <c r="Q80" s="195">
        <f t="shared" ref="Q80:Q126" si="20">L80+M80+K80</f>
        <v>346700.3601801655</v>
      </c>
      <c r="R80" s="196">
        <f t="shared" ref="R80:R126" si="21">L80/Q80</f>
        <v>0.21890523521369876</v>
      </c>
      <c r="S80" s="464">
        <f t="shared" ref="S80:S126" si="22">Q80+O80</f>
        <v>446377.39073607733</v>
      </c>
      <c r="T80" s="196">
        <f>O80/S80</f>
        <v>0.22330214886453859</v>
      </c>
      <c r="W80" s="197">
        <v>0</v>
      </c>
      <c r="X80" s="195">
        <f t="shared" ref="X80:X126" si="23">K80-C80</f>
        <v>0</v>
      </c>
      <c r="Y80" s="197">
        <v>0</v>
      </c>
      <c r="Z80" s="195">
        <f>(Q80+O80)-E80</f>
        <v>-0.52518581377808005</v>
      </c>
      <c r="AA80" s="196">
        <v>0</v>
      </c>
      <c r="AB80" s="196">
        <f t="shared" ref="AB80:AB126" si="24">(W80/Z80)*(I80/(L80+I80))</f>
        <v>0</v>
      </c>
      <c r="AC80" s="196">
        <f>W80/Z80</f>
        <v>0</v>
      </c>
      <c r="AD80" s="247">
        <f>(X80+Y80)/Z80</f>
        <v>0</v>
      </c>
      <c r="AF80" s="251">
        <f t="shared" ref="AF80:AF126" si="25">I80/(I80+L80)</f>
        <v>0.52299733131216952</v>
      </c>
      <c r="AG80" s="251">
        <f t="shared" ref="AG80:AG126" si="26">L80/(L80+I80)</f>
        <v>0.47700266868783059</v>
      </c>
    </row>
    <row r="81" spans="1:33" x14ac:dyDescent="0.25">
      <c r="A81" s="194">
        <v>2015</v>
      </c>
      <c r="B81" s="195">
        <f t="shared" ref="B81:B126" si="27">SUMIF($AA$27:$AE$27,"Y",C30:G30)-H30</f>
        <v>161933.16399530089</v>
      </c>
      <c r="C81" s="195">
        <f t="shared" si="9"/>
        <v>50301.468509839244</v>
      </c>
      <c r="D81" s="195">
        <f t="shared" si="10"/>
        <v>244976.34742338615</v>
      </c>
      <c r="E81" s="195">
        <f t="shared" si="11"/>
        <v>457210.97992852633</v>
      </c>
      <c r="F81" s="196">
        <f t="shared" si="12"/>
        <v>0.35417601742769855</v>
      </c>
      <c r="H81" s="194">
        <v>2015</v>
      </c>
      <c r="I81" s="195">
        <f t="shared" si="13"/>
        <v>84977.783320046117</v>
      </c>
      <c r="J81" s="195">
        <f t="shared" si="14"/>
        <v>16889.755654816276</v>
      </c>
      <c r="K81" s="195">
        <f t="shared" si="15"/>
        <v>50301.468509839244</v>
      </c>
      <c r="L81" s="195">
        <f t="shared" si="16"/>
        <v>76954.848327150568</v>
      </c>
      <c r="M81" s="195">
        <f t="shared" si="17"/>
        <v>228086.59176856987</v>
      </c>
      <c r="O81" s="195">
        <f t="shared" si="18"/>
        <v>101867.5389748624</v>
      </c>
      <c r="P81" s="196">
        <f t="shared" si="19"/>
        <v>0.83419884464879313</v>
      </c>
      <c r="Q81" s="195">
        <f t="shared" si="20"/>
        <v>355342.90860555973</v>
      </c>
      <c r="R81" s="196">
        <f t="shared" si="21"/>
        <v>0.21656503187058823</v>
      </c>
      <c r="S81" s="464">
        <f t="shared" si="22"/>
        <v>457210.44758042216</v>
      </c>
      <c r="T81" s="196">
        <f t="shared" ref="T81:T126" si="28">O81/S81</f>
        <v>0.2228022992780456</v>
      </c>
      <c r="W81" s="197">
        <v>0</v>
      </c>
      <c r="X81" s="195">
        <f t="shared" si="23"/>
        <v>0</v>
      </c>
      <c r="Y81" s="197">
        <v>0</v>
      </c>
      <c r="Z81" s="195">
        <f>W81+X81+Y81</f>
        <v>0</v>
      </c>
      <c r="AA81" s="196">
        <v>0</v>
      </c>
      <c r="AB81" s="196" t="e">
        <f t="shared" si="24"/>
        <v>#DIV/0!</v>
      </c>
      <c r="AC81" s="196" t="e">
        <f>W81/Z81</f>
        <v>#DIV/0!</v>
      </c>
      <c r="AD81" s="247" t="e">
        <f t="shared" ref="AD81:AD126" si="29">(X81+Y81)/Z81</f>
        <v>#DIV/0!</v>
      </c>
      <c r="AF81" s="251">
        <f t="shared" si="25"/>
        <v>0.52477244676161117</v>
      </c>
      <c r="AG81" s="251">
        <f t="shared" si="26"/>
        <v>0.47522755323838883</v>
      </c>
    </row>
    <row r="82" spans="1:33" x14ac:dyDescent="0.25">
      <c r="A82" s="194">
        <v>2016</v>
      </c>
      <c r="B82" s="195">
        <f t="shared" si="27"/>
        <v>164807.25949927649</v>
      </c>
      <c r="C82" s="195">
        <f t="shared" si="9"/>
        <v>53610.501861130113</v>
      </c>
      <c r="D82" s="195">
        <f t="shared" si="10"/>
        <v>250042.69166384955</v>
      </c>
      <c r="E82" s="195">
        <f t="shared" si="11"/>
        <v>468460.45302425616</v>
      </c>
      <c r="F82" s="196">
        <f t="shared" si="12"/>
        <v>0.35180613098784463</v>
      </c>
      <c r="H82" s="194">
        <v>2016</v>
      </c>
      <c r="I82" s="195">
        <f t="shared" si="13"/>
        <v>86760.609325785103</v>
      </c>
      <c r="J82" s="195">
        <f t="shared" si="14"/>
        <v>17353.42136354986</v>
      </c>
      <c r="K82" s="195">
        <f t="shared" si="15"/>
        <v>53610.501861130113</v>
      </c>
      <c r="L82" s="195">
        <f t="shared" si="16"/>
        <v>78046.114281480317</v>
      </c>
      <c r="M82" s="195">
        <f t="shared" si="17"/>
        <v>232689.27030029969</v>
      </c>
      <c r="O82" s="195">
        <f t="shared" si="18"/>
        <v>104114.03068933496</v>
      </c>
      <c r="P82" s="196">
        <f t="shared" si="19"/>
        <v>0.83332293209038655</v>
      </c>
      <c r="Q82" s="195">
        <f t="shared" si="20"/>
        <v>364345.88644291012</v>
      </c>
      <c r="R82" s="196">
        <f t="shared" si="21"/>
        <v>0.21420885259180625</v>
      </c>
      <c r="S82" s="464">
        <f t="shared" si="22"/>
        <v>468459.91713224509</v>
      </c>
      <c r="T82" s="196">
        <f t="shared" si="28"/>
        <v>0.22224746852769439</v>
      </c>
      <c r="W82" s="195">
        <f t="shared" ref="W82:W126" si="30">(L82+I82)-B82</f>
        <v>-0.53589201107388362</v>
      </c>
      <c r="X82" s="195">
        <f t="shared" si="23"/>
        <v>0</v>
      </c>
      <c r="Y82" s="195">
        <f t="shared" ref="Y82:Y126" si="31">(M82+J82)-D82</f>
        <v>0</v>
      </c>
      <c r="Z82" s="195">
        <f>W82+X82+Y82</f>
        <v>-0.53589201107388362</v>
      </c>
      <c r="AA82" s="196">
        <f>(W82/Z82)*(L82/(L82+I82))</f>
        <v>0.47356146990376607</v>
      </c>
      <c r="AB82" s="196">
        <f t="shared" si="24"/>
        <v>0.52643853009623387</v>
      </c>
      <c r="AC82" s="196">
        <f t="shared" ref="AC82:AC126" si="32">W82/Z82</f>
        <v>1</v>
      </c>
      <c r="AD82" s="247">
        <f t="shared" si="29"/>
        <v>0</v>
      </c>
      <c r="AF82" s="251">
        <f t="shared" si="25"/>
        <v>0.52643853009623387</v>
      </c>
      <c r="AG82" s="251">
        <f t="shared" si="26"/>
        <v>0.47356146990376607</v>
      </c>
    </row>
    <row r="83" spans="1:33" x14ac:dyDescent="0.25">
      <c r="A83" s="194">
        <v>2017</v>
      </c>
      <c r="B83" s="195">
        <f t="shared" si="27"/>
        <v>167873.85156612122</v>
      </c>
      <c r="C83" s="195">
        <f t="shared" si="9"/>
        <v>56813.098606218002</v>
      </c>
      <c r="D83" s="195">
        <f t="shared" si="10"/>
        <v>255168.97010293943</v>
      </c>
      <c r="E83" s="195">
        <f t="shared" si="11"/>
        <v>479855.92027527862</v>
      </c>
      <c r="F83" s="196">
        <f t="shared" si="12"/>
        <v>0.34984220152961149</v>
      </c>
      <c r="H83" s="194">
        <v>2017</v>
      </c>
      <c r="I83" s="195">
        <f t="shared" si="13"/>
        <v>88647.445232061116</v>
      </c>
      <c r="J83" s="195">
        <f t="shared" si="14"/>
        <v>17827.673925869705</v>
      </c>
      <c r="K83" s="195">
        <f t="shared" si="15"/>
        <v>56813.098606217995</v>
      </c>
      <c r="L83" s="195">
        <f t="shared" si="16"/>
        <v>79225.868944020709</v>
      </c>
      <c r="M83" s="195">
        <f t="shared" si="17"/>
        <v>237341.29617706971</v>
      </c>
      <c r="O83" s="195">
        <f t="shared" si="18"/>
        <v>106475.11915793082</v>
      </c>
      <c r="P83" s="196">
        <f t="shared" si="19"/>
        <v>0.83256488401363948</v>
      </c>
      <c r="Q83" s="195">
        <f t="shared" si="20"/>
        <v>373380.26372730843</v>
      </c>
      <c r="R83" s="196">
        <f t="shared" si="21"/>
        <v>0.21218547588225473</v>
      </c>
      <c r="S83" s="464">
        <f t="shared" si="22"/>
        <v>479855.38288523926</v>
      </c>
      <c r="T83" s="196">
        <f t="shared" si="28"/>
        <v>0.22189001719169019</v>
      </c>
      <c r="W83" s="195">
        <f t="shared" si="30"/>
        <v>-0.53739003938972019</v>
      </c>
      <c r="X83" s="195">
        <f t="shared" si="23"/>
        <v>0</v>
      </c>
      <c r="Y83" s="195">
        <f t="shared" si="31"/>
        <v>0</v>
      </c>
      <c r="Z83" s="195">
        <f t="shared" ref="Z83:Z126" si="33">W83+X83+Y83</f>
        <v>-0.53739003938972019</v>
      </c>
      <c r="AA83" s="196">
        <f t="shared" ref="AA83:AA126" si="34">(W83*(L83/(L83+I83)))/Z83</f>
        <v>0.47193843365075244</v>
      </c>
      <c r="AB83" s="196">
        <f t="shared" si="24"/>
        <v>0.52806156634924761</v>
      </c>
      <c r="AC83" s="196">
        <f t="shared" si="32"/>
        <v>1</v>
      </c>
      <c r="AD83" s="247">
        <f>(X83+Y83)/Z83</f>
        <v>0</v>
      </c>
      <c r="AF83" s="251">
        <f t="shared" si="25"/>
        <v>0.52806156634924761</v>
      </c>
      <c r="AG83" s="251">
        <f t="shared" si="26"/>
        <v>0.47193843365075244</v>
      </c>
    </row>
    <row r="84" spans="1:33" x14ac:dyDescent="0.25">
      <c r="A84" s="194">
        <v>2018</v>
      </c>
      <c r="B84" s="195">
        <f t="shared" si="27"/>
        <v>171133.02313999302</v>
      </c>
      <c r="C84" s="195">
        <f t="shared" si="9"/>
        <v>59911.173429751856</v>
      </c>
      <c r="D84" s="195">
        <f t="shared" si="10"/>
        <v>260357.0192669963</v>
      </c>
      <c r="E84" s="195">
        <f t="shared" si="11"/>
        <v>491401.21583674115</v>
      </c>
      <c r="F84" s="196">
        <f t="shared" si="12"/>
        <v>0.34825518868241623</v>
      </c>
      <c r="H84" s="194">
        <v>2018</v>
      </c>
      <c r="I84" s="195">
        <f t="shared" si="13"/>
        <v>90641.954571397582</v>
      </c>
      <c r="J84" s="195">
        <f t="shared" si="14"/>
        <v>18312.106493824624</v>
      </c>
      <c r="K84" s="195">
        <f t="shared" si="15"/>
        <v>59911.173429751856</v>
      </c>
      <c r="L84" s="195">
        <f t="shared" si="16"/>
        <v>80490.531666944647</v>
      </c>
      <c r="M84" s="195">
        <f t="shared" si="17"/>
        <v>242044.91277317167</v>
      </c>
      <c r="O84" s="195">
        <f t="shared" si="18"/>
        <v>108954.06106522221</v>
      </c>
      <c r="P84" s="196">
        <f t="shared" si="19"/>
        <v>0.83192818776289013</v>
      </c>
      <c r="Q84" s="195">
        <f t="shared" si="20"/>
        <v>382446.61786986818</v>
      </c>
      <c r="R84" s="196">
        <f t="shared" si="21"/>
        <v>0.21046213486017143</v>
      </c>
      <c r="S84" s="464">
        <f t="shared" si="22"/>
        <v>491400.67893509037</v>
      </c>
      <c r="T84" s="196">
        <f t="shared" si="28"/>
        <v>0.22172142965153302</v>
      </c>
      <c r="W84" s="195">
        <f t="shared" si="30"/>
        <v>-0.53690165077568963</v>
      </c>
      <c r="X84" s="195">
        <f t="shared" si="23"/>
        <v>0</v>
      </c>
      <c r="Y84" s="195">
        <f t="shared" si="31"/>
        <v>0</v>
      </c>
      <c r="Z84" s="195">
        <f t="shared" si="33"/>
        <v>-0.53690165077568963</v>
      </c>
      <c r="AA84" s="196">
        <f t="shared" si="34"/>
        <v>0.47034045631080618</v>
      </c>
      <c r="AB84" s="196">
        <f t="shared" si="24"/>
        <v>0.52965954368919377</v>
      </c>
      <c r="AC84" s="196">
        <f>W84/Z84</f>
        <v>1</v>
      </c>
      <c r="AD84" s="247">
        <f t="shared" si="29"/>
        <v>0</v>
      </c>
      <c r="AF84" s="251">
        <f t="shared" si="25"/>
        <v>0.52965954368919377</v>
      </c>
      <c r="AG84" s="251">
        <f t="shared" si="26"/>
        <v>0.47034045631080618</v>
      </c>
    </row>
    <row r="85" spans="1:33" ht="13.8" thickBot="1" x14ac:dyDescent="0.3">
      <c r="A85" s="198">
        <v>2019</v>
      </c>
      <c r="B85" s="195">
        <f t="shared" si="27"/>
        <v>174584.85716504988</v>
      </c>
      <c r="C85" s="195">
        <f t="shared" si="9"/>
        <v>62906.641016380614</v>
      </c>
      <c r="D85" s="195">
        <f t="shared" si="10"/>
        <v>265608.67568236077</v>
      </c>
      <c r="E85" s="195">
        <f t="shared" si="11"/>
        <v>503100.17386379128</v>
      </c>
      <c r="F85" s="199">
        <f t="shared" si="12"/>
        <v>0.34701808155668967</v>
      </c>
      <c r="H85" s="198">
        <v>2019</v>
      </c>
      <c r="I85" s="195">
        <f t="shared" si="13"/>
        <v>92748.885187987209</v>
      </c>
      <c r="J85" s="195">
        <f t="shared" si="14"/>
        <v>18806.139524226375</v>
      </c>
      <c r="K85" s="195">
        <f t="shared" si="15"/>
        <v>62906.641016380614</v>
      </c>
      <c r="L85" s="195">
        <f t="shared" si="16"/>
        <v>81835.434753037771</v>
      </c>
      <c r="M85" s="195">
        <f t="shared" si="17"/>
        <v>246802.53615813438</v>
      </c>
      <c r="O85" s="195">
        <f t="shared" si="18"/>
        <v>111555.02471221358</v>
      </c>
      <c r="P85" s="199">
        <f t="shared" si="19"/>
        <v>0.83141826580432476</v>
      </c>
      <c r="Q85" s="195">
        <f t="shared" si="20"/>
        <v>391544.61192755279</v>
      </c>
      <c r="R85" s="199">
        <f t="shared" si="21"/>
        <v>0.20900666810396493</v>
      </c>
      <c r="S85" s="464">
        <f t="shared" si="22"/>
        <v>503099.6366397664</v>
      </c>
      <c r="T85" s="196">
        <f t="shared" si="28"/>
        <v>0.22173545076934759</v>
      </c>
      <c r="W85" s="195">
        <f t="shared" si="30"/>
        <v>-0.53722402488347143</v>
      </c>
      <c r="X85" s="195">
        <f t="shared" si="23"/>
        <v>0</v>
      </c>
      <c r="Y85" s="195">
        <f t="shared" si="31"/>
        <v>0</v>
      </c>
      <c r="Z85" s="195">
        <f t="shared" si="33"/>
        <v>-0.53722402488347143</v>
      </c>
      <c r="AA85" s="196">
        <f t="shared" si="34"/>
        <v>0.468744471328708</v>
      </c>
      <c r="AB85" s="196">
        <f t="shared" si="24"/>
        <v>0.53125552867129189</v>
      </c>
      <c r="AC85" s="196">
        <f t="shared" si="32"/>
        <v>1</v>
      </c>
      <c r="AD85" s="247">
        <f t="shared" si="29"/>
        <v>0</v>
      </c>
      <c r="AF85" s="251">
        <f t="shared" si="25"/>
        <v>0.53125552867129189</v>
      </c>
      <c r="AG85" s="251">
        <f t="shared" si="26"/>
        <v>0.468744471328708</v>
      </c>
    </row>
    <row r="86" spans="1:33" x14ac:dyDescent="0.25">
      <c r="A86" s="201">
        <v>2020</v>
      </c>
      <c r="B86" s="195">
        <f t="shared" si="27"/>
        <v>178229.43658544982</v>
      </c>
      <c r="C86" s="195">
        <f t="shared" si="9"/>
        <v>65801.416050753236</v>
      </c>
      <c r="D86" s="195">
        <f t="shared" si="10"/>
        <v>270925.77587537345</v>
      </c>
      <c r="E86" s="195">
        <f t="shared" si="11"/>
        <v>514956.62851157645</v>
      </c>
      <c r="F86" s="220">
        <f t="shared" si="12"/>
        <v>0.34610572370065751</v>
      </c>
      <c r="H86" s="201">
        <v>2020</v>
      </c>
      <c r="I86" s="195">
        <f t="shared" si="13"/>
        <v>94972.190836017311</v>
      </c>
      <c r="J86" s="195">
        <f t="shared" si="14"/>
        <v>19309.335360510482</v>
      </c>
      <c r="K86" s="195">
        <f t="shared" si="15"/>
        <v>65801.416050753236</v>
      </c>
      <c r="L86" s="195">
        <f t="shared" si="16"/>
        <v>83256.707160989346</v>
      </c>
      <c r="M86" s="195">
        <f t="shared" si="17"/>
        <v>251616.44051486297</v>
      </c>
      <c r="O86" s="195">
        <f t="shared" si="18"/>
        <v>114281.52619652779</v>
      </c>
      <c r="P86" s="203">
        <f t="shared" si="19"/>
        <v>0.83103712381908013</v>
      </c>
      <c r="Q86" s="195">
        <f t="shared" si="20"/>
        <v>400674.5637266055</v>
      </c>
      <c r="R86" s="203">
        <f t="shared" si="21"/>
        <v>0.20779134663960938</v>
      </c>
      <c r="S86" s="464">
        <f t="shared" si="22"/>
        <v>514956.08992313326</v>
      </c>
      <c r="T86" s="196">
        <f t="shared" si="28"/>
        <v>0.2219247979251715</v>
      </c>
      <c r="W86" s="195">
        <f t="shared" si="30"/>
        <v>-0.53858844315982424</v>
      </c>
      <c r="X86" s="195">
        <f t="shared" si="23"/>
        <v>0</v>
      </c>
      <c r="Y86" s="195">
        <f t="shared" si="31"/>
        <v>0</v>
      </c>
      <c r="Z86" s="195">
        <f t="shared" si="33"/>
        <v>-0.53858844315982424</v>
      </c>
      <c r="AA86" s="196">
        <f t="shared" si="34"/>
        <v>0.46713360233191614</v>
      </c>
      <c r="AB86" s="196">
        <f t="shared" si="24"/>
        <v>0.53286639766808386</v>
      </c>
      <c r="AC86" s="196">
        <f t="shared" si="32"/>
        <v>1</v>
      </c>
      <c r="AD86" s="247">
        <f t="shared" si="29"/>
        <v>0</v>
      </c>
      <c r="AF86" s="251">
        <f t="shared" si="25"/>
        <v>0.53286639766808386</v>
      </c>
      <c r="AG86" s="251">
        <f t="shared" si="26"/>
        <v>0.46713360233191609</v>
      </c>
    </row>
    <row r="87" spans="1:33" x14ac:dyDescent="0.25">
      <c r="A87" s="206">
        <v>2021</v>
      </c>
      <c r="B87" s="195">
        <f t="shared" si="27"/>
        <v>182066.84434535087</v>
      </c>
      <c r="C87" s="195">
        <f t="shared" si="9"/>
        <v>68597.413217518639</v>
      </c>
      <c r="D87" s="195">
        <f t="shared" si="10"/>
        <v>276310.15637237485</v>
      </c>
      <c r="E87" s="195">
        <f t="shared" si="11"/>
        <v>526974.41393524432</v>
      </c>
      <c r="F87" s="221">
        <f t="shared" si="12"/>
        <v>0.34549465691464026</v>
      </c>
      <c r="H87" s="206">
        <v>2021</v>
      </c>
      <c r="I87" s="195">
        <f t="shared" si="13"/>
        <v>97466.13947221417</v>
      </c>
      <c r="J87" s="195">
        <f t="shared" si="14"/>
        <v>19866.316874650845</v>
      </c>
      <c r="K87" s="195">
        <f t="shared" si="15"/>
        <v>68669.396217134286</v>
      </c>
      <c r="L87" s="195">
        <f t="shared" si="16"/>
        <v>84834.614434689225</v>
      </c>
      <c r="M87" s="195">
        <f t="shared" si="17"/>
        <v>256800.2982244819</v>
      </c>
      <c r="O87" s="195">
        <f t="shared" si="18"/>
        <v>117332.45634686502</v>
      </c>
      <c r="P87" s="196">
        <f t="shared" si="19"/>
        <v>0.83068353383891591</v>
      </c>
      <c r="Q87" s="195">
        <f t="shared" si="20"/>
        <v>410304.30887630547</v>
      </c>
      <c r="R87" s="196">
        <f t="shared" si="21"/>
        <v>0.20676023283066308</v>
      </c>
      <c r="S87" s="464">
        <f t="shared" si="22"/>
        <v>527636.76522317051</v>
      </c>
      <c r="T87" s="196">
        <f t="shared" si="28"/>
        <v>0.22237354195217576</v>
      </c>
      <c r="W87" s="195">
        <f t="shared" si="30"/>
        <v>233.90956155251479</v>
      </c>
      <c r="X87" s="195">
        <f t="shared" si="23"/>
        <v>71.982999615647714</v>
      </c>
      <c r="Y87" s="195">
        <f t="shared" si="31"/>
        <v>356.45872675790451</v>
      </c>
      <c r="Z87" s="195">
        <f t="shared" si="33"/>
        <v>662.35128792606702</v>
      </c>
      <c r="AA87" s="196">
        <f t="shared" si="34"/>
        <v>0.16434035297404198</v>
      </c>
      <c r="AB87" s="196">
        <f t="shared" si="24"/>
        <v>0.18880995535392228</v>
      </c>
      <c r="AC87" s="196">
        <f t="shared" si="32"/>
        <v>0.35315030832796424</v>
      </c>
      <c r="AD87" s="247">
        <f t="shared" si="29"/>
        <v>0.64684969167203576</v>
      </c>
      <c r="AF87" s="251">
        <f t="shared" si="25"/>
        <v>0.53464474163385955</v>
      </c>
      <c r="AG87" s="251">
        <f t="shared" si="26"/>
        <v>0.4653552583661405</v>
      </c>
    </row>
    <row r="88" spans="1:33" x14ac:dyDescent="0.25">
      <c r="A88" s="206">
        <v>2022</v>
      </c>
      <c r="B88" s="195">
        <f t="shared" si="27"/>
        <v>186097.16338891099</v>
      </c>
      <c r="C88" s="195">
        <f t="shared" si="9"/>
        <v>71296.547201325782</v>
      </c>
      <c r="D88" s="195">
        <f t="shared" si="10"/>
        <v>281763.65369970561</v>
      </c>
      <c r="E88" s="195">
        <f t="shared" si="11"/>
        <v>539157.36428994243</v>
      </c>
      <c r="F88" s="221">
        <f t="shared" si="12"/>
        <v>0.34516298156104497</v>
      </c>
      <c r="H88" s="206">
        <v>2022</v>
      </c>
      <c r="I88" s="195">
        <f t="shared" si="13"/>
        <v>100135.66056133904</v>
      </c>
      <c r="J88" s="195">
        <f t="shared" si="14"/>
        <v>20439.89577217208</v>
      </c>
      <c r="K88" s="195">
        <f t="shared" si="15"/>
        <v>71463.404301575953</v>
      </c>
      <c r="L88" s="195">
        <f t="shared" si="16"/>
        <v>86513.683935920955</v>
      </c>
      <c r="M88" s="195">
        <f t="shared" si="17"/>
        <v>262110.87053095485</v>
      </c>
      <c r="O88" s="195">
        <f t="shared" si="18"/>
        <v>120575.55633351112</v>
      </c>
      <c r="P88" s="196">
        <f t="shared" si="19"/>
        <v>0.83048060159361425</v>
      </c>
      <c r="Q88" s="195">
        <f t="shared" si="20"/>
        <v>420087.95876845176</v>
      </c>
      <c r="R88" s="196">
        <f t="shared" si="21"/>
        <v>0.20594183225234128</v>
      </c>
      <c r="S88" s="464">
        <f t="shared" si="22"/>
        <v>540663.51510196284</v>
      </c>
      <c r="T88" s="196">
        <f t="shared" si="28"/>
        <v>0.22301404286688734</v>
      </c>
      <c r="W88" s="195">
        <f t="shared" si="30"/>
        <v>552.1811083490029</v>
      </c>
      <c r="X88" s="195">
        <f t="shared" si="23"/>
        <v>166.85710025017033</v>
      </c>
      <c r="Y88" s="195">
        <f t="shared" si="31"/>
        <v>787.112603421323</v>
      </c>
      <c r="Z88" s="195">
        <f t="shared" si="33"/>
        <v>1506.1508120204962</v>
      </c>
      <c r="AA88" s="196">
        <f t="shared" si="34"/>
        <v>0.16993053331003832</v>
      </c>
      <c r="AB88" s="196">
        <f t="shared" si="24"/>
        <v>0.19668687574493793</v>
      </c>
      <c r="AC88" s="196">
        <f t="shared" si="32"/>
        <v>0.36661740905497625</v>
      </c>
      <c r="AD88" s="247">
        <f t="shared" si="29"/>
        <v>0.6333825909450238</v>
      </c>
      <c r="AF88" s="251">
        <f t="shared" si="25"/>
        <v>0.53649082364073897</v>
      </c>
      <c r="AG88" s="251">
        <f t="shared" si="26"/>
        <v>0.46350917635926103</v>
      </c>
    </row>
    <row r="89" spans="1:33" x14ac:dyDescent="0.25">
      <c r="A89" s="206">
        <v>2023</v>
      </c>
      <c r="B89" s="195">
        <f t="shared" si="27"/>
        <v>190320.47666028823</v>
      </c>
      <c r="C89" s="195">
        <f t="shared" si="9"/>
        <v>73900.732686823598</v>
      </c>
      <c r="D89" s="195">
        <f t="shared" si="10"/>
        <v>287288.10438370635</v>
      </c>
      <c r="E89" s="195">
        <f t="shared" si="11"/>
        <v>551509.31373081822</v>
      </c>
      <c r="F89" s="221">
        <f t="shared" si="12"/>
        <v>0.34509023133774352</v>
      </c>
      <c r="H89" s="206">
        <v>2023</v>
      </c>
      <c r="I89" s="195">
        <f t="shared" si="13"/>
        <v>102975.08654392071</v>
      </c>
      <c r="J89" s="195">
        <f t="shared" si="14"/>
        <v>21030.661075651922</v>
      </c>
      <c r="K89" s="195">
        <f t="shared" si="15"/>
        <v>74183.839768933758</v>
      </c>
      <c r="L89" s="195">
        <f t="shared" si="16"/>
        <v>88290.684869229692</v>
      </c>
      <c r="M89" s="195">
        <f t="shared" si="17"/>
        <v>267547.78015491704</v>
      </c>
      <c r="O89" s="195">
        <f t="shared" si="18"/>
        <v>124005.74761957263</v>
      </c>
      <c r="P89" s="196">
        <f t="shared" si="19"/>
        <v>0.83040575554473317</v>
      </c>
      <c r="Q89" s="195">
        <f t="shared" si="20"/>
        <v>430022.30479308049</v>
      </c>
      <c r="R89" s="196">
        <f t="shared" si="21"/>
        <v>0.20531652401545469</v>
      </c>
      <c r="S89" s="464">
        <f t="shared" si="22"/>
        <v>554028.05241265311</v>
      </c>
      <c r="T89" s="196">
        <f t="shared" si="28"/>
        <v>0.22382575589730291</v>
      </c>
      <c r="W89" s="195">
        <f t="shared" si="30"/>
        <v>945.29475286218803</v>
      </c>
      <c r="X89" s="195">
        <f t="shared" si="23"/>
        <v>283.10708211016026</v>
      </c>
      <c r="Y89" s="195">
        <f t="shared" si="31"/>
        <v>1290.3368468626286</v>
      </c>
      <c r="Z89" s="195">
        <f t="shared" si="33"/>
        <v>2518.7386818349769</v>
      </c>
      <c r="AA89" s="196">
        <f t="shared" si="34"/>
        <v>0.17324542091681702</v>
      </c>
      <c r="AB89" s="196">
        <f t="shared" si="24"/>
        <v>0.20205939322670988</v>
      </c>
      <c r="AC89" s="196">
        <f t="shared" si="32"/>
        <v>0.37530481414352695</v>
      </c>
      <c r="AD89" s="247">
        <f t="shared" si="29"/>
        <v>0.6246951858564731</v>
      </c>
      <c r="AF89" s="251">
        <f t="shared" si="25"/>
        <v>0.53838742699803677</v>
      </c>
      <c r="AG89" s="251">
        <f t="shared" si="26"/>
        <v>0.46161257300196312</v>
      </c>
    </row>
    <row r="90" spans="1:33" x14ac:dyDescent="0.25">
      <c r="A90" s="206">
        <v>2024</v>
      </c>
      <c r="B90" s="195">
        <f t="shared" si="27"/>
        <v>194736.86710364057</v>
      </c>
      <c r="C90" s="195">
        <f t="shared" si="9"/>
        <v>76411.884358661031</v>
      </c>
      <c r="D90" s="195">
        <f t="shared" si="10"/>
        <v>292885.34495071752</v>
      </c>
      <c r="E90" s="195">
        <f t="shared" si="11"/>
        <v>564034.09641301911</v>
      </c>
      <c r="F90" s="221">
        <f t="shared" si="12"/>
        <v>0.34525726076148899</v>
      </c>
      <c r="H90" s="206">
        <v>2024</v>
      </c>
      <c r="I90" s="195">
        <f t="shared" si="13"/>
        <v>105981.18335125501</v>
      </c>
      <c r="J90" s="195">
        <f t="shared" si="14"/>
        <v>21640.941864548589</v>
      </c>
      <c r="K90" s="195">
        <f t="shared" si="15"/>
        <v>76831.216498131849</v>
      </c>
      <c r="L90" s="195">
        <f t="shared" si="16"/>
        <v>90163.635118085731</v>
      </c>
      <c r="M90" s="195">
        <f t="shared" si="17"/>
        <v>273115.51547206845</v>
      </c>
      <c r="O90" s="195">
        <f t="shared" si="18"/>
        <v>127622.12521580359</v>
      </c>
      <c r="P90" s="196">
        <f t="shared" si="19"/>
        <v>0.83042954481478293</v>
      </c>
      <c r="Q90" s="195">
        <f t="shared" si="20"/>
        <v>440110.36708828603</v>
      </c>
      <c r="R90" s="196">
        <f t="shared" si="21"/>
        <v>0.20486596513187549</v>
      </c>
      <c r="S90" s="464">
        <f t="shared" si="22"/>
        <v>567732.4923040896</v>
      </c>
      <c r="T90" s="196">
        <f t="shared" si="28"/>
        <v>0.22479270949925914</v>
      </c>
      <c r="W90" s="195">
        <f t="shared" si="30"/>
        <v>1407.9513657001662</v>
      </c>
      <c r="X90" s="195">
        <f t="shared" si="23"/>
        <v>419.33213947081822</v>
      </c>
      <c r="Y90" s="195">
        <f t="shared" si="31"/>
        <v>1871.112385899527</v>
      </c>
      <c r="Z90" s="195">
        <f t="shared" si="33"/>
        <v>3698.3958910705114</v>
      </c>
      <c r="AA90" s="196">
        <f t="shared" si="34"/>
        <v>0.1749962846848892</v>
      </c>
      <c r="AB90" s="196">
        <f t="shared" si="24"/>
        <v>0.20569615797641566</v>
      </c>
      <c r="AC90" s="196">
        <f t="shared" si="32"/>
        <v>0.38069244266130486</v>
      </c>
      <c r="AD90" s="247">
        <f t="shared" si="29"/>
        <v>0.61930755733869514</v>
      </c>
      <c r="AF90" s="251">
        <f t="shared" si="25"/>
        <v>0.54032109631191128</v>
      </c>
      <c r="AG90" s="251">
        <f t="shared" si="26"/>
        <v>0.45967890368808872</v>
      </c>
    </row>
    <row r="91" spans="1:33" x14ac:dyDescent="0.25">
      <c r="A91" s="206">
        <v>2025</v>
      </c>
      <c r="B91" s="195">
        <f t="shared" si="27"/>
        <v>199346.41766312602</v>
      </c>
      <c r="C91" s="195">
        <f t="shared" si="9"/>
        <v>78831.916901487042</v>
      </c>
      <c r="D91" s="195">
        <f t="shared" si="10"/>
        <v>298557.21192707983</v>
      </c>
      <c r="E91" s="195">
        <f t="shared" si="11"/>
        <v>576735.54649169289</v>
      </c>
      <c r="F91" s="221">
        <f t="shared" si="12"/>
        <v>0.34564614384488496</v>
      </c>
      <c r="H91" s="206">
        <v>2025</v>
      </c>
      <c r="I91" s="195">
        <f t="shared" si="13"/>
        <v>109152.18515024727</v>
      </c>
      <c r="J91" s="195">
        <f t="shared" si="14"/>
        <v>22272.72916644724</v>
      </c>
      <c r="K91" s="195">
        <f t="shared" si="15"/>
        <v>79406.289674710002</v>
      </c>
      <c r="L91" s="195">
        <f t="shared" si="16"/>
        <v>92130.966360914885</v>
      </c>
      <c r="M91" s="195">
        <f t="shared" si="17"/>
        <v>278818.2530421805</v>
      </c>
      <c r="O91" s="195">
        <f t="shared" si="18"/>
        <v>131424.91431669451</v>
      </c>
      <c r="P91" s="196">
        <f t="shared" si="19"/>
        <v>0.83052886675066295</v>
      </c>
      <c r="Q91" s="195">
        <f t="shared" si="20"/>
        <v>450355.50907780539</v>
      </c>
      <c r="R91" s="196">
        <f t="shared" si="21"/>
        <v>0.20457386332315952</v>
      </c>
      <c r="S91" s="464">
        <f t="shared" si="22"/>
        <v>581780.42339449993</v>
      </c>
      <c r="T91" s="196">
        <f t="shared" si="28"/>
        <v>0.22590123185973293</v>
      </c>
      <c r="W91" s="195">
        <f t="shared" si="30"/>
        <v>1936.7338480361504</v>
      </c>
      <c r="X91" s="195">
        <f t="shared" si="23"/>
        <v>574.37277322295995</v>
      </c>
      <c r="Y91" s="195">
        <f t="shared" si="31"/>
        <v>2533.7702815479133</v>
      </c>
      <c r="Z91" s="195">
        <f t="shared" si="33"/>
        <v>5044.8769028070237</v>
      </c>
      <c r="AA91" s="196">
        <f t="shared" si="34"/>
        <v>0.17571853422104569</v>
      </c>
      <c r="AB91" s="196">
        <f t="shared" si="24"/>
        <v>0.20818257681667474</v>
      </c>
      <c r="AC91" s="196">
        <f t="shared" si="32"/>
        <v>0.38390111103772045</v>
      </c>
      <c r="AD91" s="247">
        <f t="shared" si="29"/>
        <v>0.6160988889622796</v>
      </c>
      <c r="AF91" s="251">
        <f t="shared" si="25"/>
        <v>0.54228177734088301</v>
      </c>
      <c r="AG91" s="251">
        <f t="shared" si="26"/>
        <v>0.45771822265911688</v>
      </c>
    </row>
    <row r="92" spans="1:33" x14ac:dyDescent="0.25">
      <c r="A92" s="206">
        <v>2026</v>
      </c>
      <c r="B92" s="195">
        <f t="shared" si="27"/>
        <v>204149.21128290263</v>
      </c>
      <c r="C92" s="195">
        <f t="shared" si="9"/>
        <v>81162.744999950533</v>
      </c>
      <c r="D92" s="195">
        <f t="shared" si="10"/>
        <v>304305.54183913383</v>
      </c>
      <c r="E92" s="195">
        <f t="shared" si="11"/>
        <v>589617.49812198698</v>
      </c>
      <c r="F92" s="221">
        <f t="shared" si="12"/>
        <v>0.34624008265213635</v>
      </c>
      <c r="H92" s="206">
        <v>2026</v>
      </c>
      <c r="I92" s="195">
        <f t="shared" si="13"/>
        <v>112487.54675448274</v>
      </c>
      <c r="J92" s="195">
        <f t="shared" si="14"/>
        <v>22926.518758356331</v>
      </c>
      <c r="K92" s="195">
        <f t="shared" si="15"/>
        <v>81910.201946731075</v>
      </c>
      <c r="L92" s="195">
        <f t="shared" si="16"/>
        <v>94191.22680452108</v>
      </c>
      <c r="M92" s="195">
        <f t="shared" si="17"/>
        <v>284657.60640692507</v>
      </c>
      <c r="O92" s="195">
        <f t="shared" si="18"/>
        <v>135414.06551283906</v>
      </c>
      <c r="P92" s="196">
        <f t="shared" si="19"/>
        <v>0.83069322472869278</v>
      </c>
      <c r="Q92" s="195">
        <f t="shared" si="20"/>
        <v>460759.03515817726</v>
      </c>
      <c r="R92" s="196">
        <f t="shared" si="21"/>
        <v>0.20442621764798491</v>
      </c>
      <c r="S92" s="464">
        <f t="shared" si="22"/>
        <v>596173.10067101638</v>
      </c>
      <c r="T92" s="196">
        <f t="shared" si="28"/>
        <v>0.22713883830120007</v>
      </c>
      <c r="W92" s="195">
        <f t="shared" si="30"/>
        <v>2529.5622761012055</v>
      </c>
      <c r="X92" s="195">
        <f t="shared" si="23"/>
        <v>747.45694678054133</v>
      </c>
      <c r="Y92" s="195">
        <f t="shared" si="31"/>
        <v>3278.5833261475782</v>
      </c>
      <c r="Z92" s="195">
        <f t="shared" si="33"/>
        <v>6555.602549029325</v>
      </c>
      <c r="AA92" s="196">
        <f t="shared" si="34"/>
        <v>0.17585201059903333</v>
      </c>
      <c r="AB92" s="196">
        <f t="shared" si="24"/>
        <v>0.21001065529363164</v>
      </c>
      <c r="AC92" s="196">
        <f t="shared" si="32"/>
        <v>0.38586266589266499</v>
      </c>
      <c r="AD92" s="247">
        <f t="shared" si="29"/>
        <v>0.61413733410733495</v>
      </c>
      <c r="AF92" s="251">
        <f t="shared" si="25"/>
        <v>0.54426269721582776</v>
      </c>
      <c r="AG92" s="251">
        <f t="shared" si="26"/>
        <v>0.45573730278417213</v>
      </c>
    </row>
    <row r="93" spans="1:33" x14ac:dyDescent="0.25">
      <c r="A93" s="206">
        <v>2027</v>
      </c>
      <c r="B93" s="195">
        <f t="shared" si="27"/>
        <v>209145.33090712834</v>
      </c>
      <c r="C93" s="195">
        <f t="shared" si="9"/>
        <v>83406.283338700479</v>
      </c>
      <c r="D93" s="195">
        <f t="shared" si="10"/>
        <v>310132.17121322011</v>
      </c>
      <c r="E93" s="195">
        <f t="shared" si="11"/>
        <v>602683.78545904893</v>
      </c>
      <c r="F93" s="221">
        <f t="shared" si="12"/>
        <v>0.34702332459106672</v>
      </c>
      <c r="H93" s="206">
        <v>2027</v>
      </c>
      <c r="I93" s="195">
        <f t="shared" si="13"/>
        <v>115988.02174652516</v>
      </c>
      <c r="J93" s="195">
        <f t="shared" si="14"/>
        <v>23601.826730564957</v>
      </c>
      <c r="K93" s="195">
        <f t="shared" si="15"/>
        <v>84344.574254873674</v>
      </c>
      <c r="L93" s="195">
        <f t="shared" si="16"/>
        <v>96343.312402364856</v>
      </c>
      <c r="M93" s="195">
        <f t="shared" si="17"/>
        <v>290633.27447974612</v>
      </c>
      <c r="O93" s="195">
        <f t="shared" si="18"/>
        <v>139589.84847709013</v>
      </c>
      <c r="P93" s="196">
        <f t="shared" si="19"/>
        <v>0.83092017802112195</v>
      </c>
      <c r="Q93" s="195">
        <f t="shared" si="20"/>
        <v>471321.16113698465</v>
      </c>
      <c r="R93" s="196">
        <f t="shared" si="21"/>
        <v>0.20441117511030588</v>
      </c>
      <c r="S93" s="464">
        <f t="shared" si="22"/>
        <v>610911.00961407484</v>
      </c>
      <c r="T93" s="196">
        <f t="shared" si="28"/>
        <v>0.22849457004428833</v>
      </c>
      <c r="W93" s="195">
        <f t="shared" si="30"/>
        <v>3186.0032417616749</v>
      </c>
      <c r="X93" s="195">
        <f t="shared" si="23"/>
        <v>938.290916173195</v>
      </c>
      <c r="Y93" s="195">
        <f t="shared" si="31"/>
        <v>4102.9299970909487</v>
      </c>
      <c r="Z93" s="195">
        <f t="shared" si="33"/>
        <v>8227.2241550258186</v>
      </c>
      <c r="AA93" s="196">
        <f t="shared" si="34"/>
        <v>0.17571157377186064</v>
      </c>
      <c r="AB93" s="196">
        <f t="shared" si="24"/>
        <v>0.21153972529666176</v>
      </c>
      <c r="AC93" s="196">
        <f t="shared" si="32"/>
        <v>0.3872512990685224</v>
      </c>
      <c r="AD93" s="247">
        <f t="shared" si="29"/>
        <v>0.6127487009314776</v>
      </c>
      <c r="AF93" s="251">
        <f t="shared" si="25"/>
        <v>0.54625956273223697</v>
      </c>
      <c r="AG93" s="251">
        <f t="shared" si="26"/>
        <v>0.45374043726776303</v>
      </c>
    </row>
    <row r="94" spans="1:33" x14ac:dyDescent="0.25">
      <c r="A94" s="206">
        <v>2028</v>
      </c>
      <c r="B94" s="195">
        <f t="shared" si="27"/>
        <v>214334.85947996125</v>
      </c>
      <c r="C94" s="195">
        <f t="shared" si="9"/>
        <v>85564.446602385811</v>
      </c>
      <c r="D94" s="195">
        <f t="shared" si="10"/>
        <v>316038.93657567917</v>
      </c>
      <c r="E94" s="195">
        <f t="shared" si="11"/>
        <v>615938.24265802628</v>
      </c>
      <c r="F94" s="221">
        <f t="shared" si="12"/>
        <v>0.34798108744639455</v>
      </c>
      <c r="H94" s="206">
        <v>2028</v>
      </c>
      <c r="I94" s="195">
        <f t="shared" si="13"/>
        <v>119656.19740204915</v>
      </c>
      <c r="J94" s="195">
        <f t="shared" si="14"/>
        <v>24298.923488712135</v>
      </c>
      <c r="K94" s="195">
        <f t="shared" si="15"/>
        <v>86711.506187381223</v>
      </c>
      <c r="L94" s="195">
        <f t="shared" si="16"/>
        <v>98587.145446493058</v>
      </c>
      <c r="M94" s="195">
        <f t="shared" si="17"/>
        <v>296747.05159879033</v>
      </c>
      <c r="O94" s="195">
        <f t="shared" si="18"/>
        <v>143955.12089076129</v>
      </c>
      <c r="P94" s="196">
        <f t="shared" si="19"/>
        <v>0.83120486900114443</v>
      </c>
      <c r="Q94" s="195">
        <f t="shared" si="20"/>
        <v>482045.70323266461</v>
      </c>
      <c r="R94" s="196">
        <f t="shared" si="21"/>
        <v>0.20451825373684307</v>
      </c>
      <c r="S94" s="464">
        <f t="shared" si="22"/>
        <v>626000.82412342587</v>
      </c>
      <c r="T94" s="196">
        <f t="shared" si="28"/>
        <v>0.22995995427376351</v>
      </c>
      <c r="W94" s="195">
        <f t="shared" si="30"/>
        <v>3908.4833685809572</v>
      </c>
      <c r="X94" s="195">
        <f t="shared" si="23"/>
        <v>1147.0595849954116</v>
      </c>
      <c r="Y94" s="195">
        <f t="shared" si="31"/>
        <v>5007.0385118232807</v>
      </c>
      <c r="Z94" s="195">
        <f t="shared" si="33"/>
        <v>10062.581465399649</v>
      </c>
      <c r="AA94" s="196">
        <f t="shared" si="34"/>
        <v>0.17546000836042386</v>
      </c>
      <c r="AB94" s="196">
        <f t="shared" si="24"/>
        <v>0.2129575544707781</v>
      </c>
      <c r="AC94" s="196">
        <f t="shared" si="32"/>
        <v>0.38841756283120199</v>
      </c>
      <c r="AD94" s="247">
        <f t="shared" si="29"/>
        <v>0.61158243716879801</v>
      </c>
      <c r="AF94" s="251">
        <f t="shared" si="25"/>
        <v>0.54826963260496264</v>
      </c>
      <c r="AG94" s="251">
        <f t="shared" si="26"/>
        <v>0.4517303673950373</v>
      </c>
    </row>
    <row r="95" spans="1:33" x14ac:dyDescent="0.25">
      <c r="A95" s="206">
        <v>2029</v>
      </c>
      <c r="B95" s="195">
        <f t="shared" si="27"/>
        <v>219717.87994555925</v>
      </c>
      <c r="C95" s="195">
        <f t="shared" si="9"/>
        <v>87639.149475655475</v>
      </c>
      <c r="D95" s="195">
        <f t="shared" si="10"/>
        <v>322027.67445285164</v>
      </c>
      <c r="E95" s="195">
        <f t="shared" si="11"/>
        <v>629384.70387406647</v>
      </c>
      <c r="F95" s="221">
        <f t="shared" si="12"/>
        <v>0.3490994912858934</v>
      </c>
      <c r="H95" s="206">
        <v>2029</v>
      </c>
      <c r="I95" s="195">
        <f t="shared" si="13"/>
        <v>123495.84599712922</v>
      </c>
      <c r="J95" s="195">
        <f t="shared" si="14"/>
        <v>25017.913423683396</v>
      </c>
      <c r="K95" s="195">
        <f t="shared" si="15"/>
        <v>89013.497267721687</v>
      </c>
      <c r="L95" s="195">
        <f t="shared" si="16"/>
        <v>100923.19541300234</v>
      </c>
      <c r="M95" s="195">
        <f t="shared" si="17"/>
        <v>303000.49201976729</v>
      </c>
      <c r="O95" s="195">
        <f t="shared" si="18"/>
        <v>148513.75942081262</v>
      </c>
      <c r="P95" s="196">
        <f t="shared" si="19"/>
        <v>0.8315448109235769</v>
      </c>
      <c r="Q95" s="195">
        <f t="shared" si="20"/>
        <v>492937.18470049131</v>
      </c>
      <c r="R95" s="196">
        <f t="shared" si="21"/>
        <v>0.20473845054785891</v>
      </c>
      <c r="S95" s="464">
        <f t="shared" si="22"/>
        <v>641450.94412130397</v>
      </c>
      <c r="T95" s="196">
        <f t="shared" si="28"/>
        <v>0.23152785225728403</v>
      </c>
      <c r="W95" s="195">
        <f t="shared" si="30"/>
        <v>4701.1614645723021</v>
      </c>
      <c r="X95" s="195">
        <f t="shared" si="23"/>
        <v>1374.3477920662117</v>
      </c>
      <c r="Y95" s="195">
        <f t="shared" si="31"/>
        <v>5990.730990599026</v>
      </c>
      <c r="Z95" s="195">
        <f t="shared" si="33"/>
        <v>12066.24024723754</v>
      </c>
      <c r="AA95" s="196">
        <f t="shared" si="34"/>
        <v>0.1752122590260792</v>
      </c>
      <c r="AB95" s="196">
        <f t="shared" si="24"/>
        <v>0.21440052575570831</v>
      </c>
      <c r="AC95" s="196">
        <f t="shared" si="32"/>
        <v>0.38961278478178751</v>
      </c>
      <c r="AD95" s="247">
        <f t="shared" si="29"/>
        <v>0.61038721521821249</v>
      </c>
      <c r="AF95" s="251">
        <f t="shared" si="25"/>
        <v>0.55029129979856473</v>
      </c>
      <c r="AG95" s="251">
        <f t="shared" si="26"/>
        <v>0.44970870020143527</v>
      </c>
    </row>
    <row r="96" spans="1:33" x14ac:dyDescent="0.25">
      <c r="A96" s="206">
        <v>2030</v>
      </c>
      <c r="B96" s="195">
        <f t="shared" si="27"/>
        <v>225294.47524808047</v>
      </c>
      <c r="C96" s="195">
        <f t="shared" si="9"/>
        <v>89632.306643158401</v>
      </c>
      <c r="D96" s="195">
        <f t="shared" si="10"/>
        <v>328100.22137107822</v>
      </c>
      <c r="E96" s="195">
        <f t="shared" si="11"/>
        <v>643027.00326231716</v>
      </c>
      <c r="F96" s="221">
        <f t="shared" si="12"/>
        <v>0.35036549648005</v>
      </c>
      <c r="H96" s="206">
        <v>2030</v>
      </c>
      <c r="I96" s="195">
        <f t="shared" si="13"/>
        <v>127510.85113841061</v>
      </c>
      <c r="J96" s="195">
        <f t="shared" si="14"/>
        <v>25758.986891736968</v>
      </c>
      <c r="K96" s="195">
        <f t="shared" si="15"/>
        <v>91252.974608059449</v>
      </c>
      <c r="L96" s="195">
        <f t="shared" si="16"/>
        <v>103352.00061514077</v>
      </c>
      <c r="M96" s="195">
        <f t="shared" si="17"/>
        <v>309395.66372133617</v>
      </c>
      <c r="O96" s="195">
        <f t="shared" si="18"/>
        <v>153269.83803014757</v>
      </c>
      <c r="P96" s="196">
        <f t="shared" si="19"/>
        <v>0.8319370123776717</v>
      </c>
      <c r="Q96" s="195">
        <f t="shared" si="20"/>
        <v>504000.63894453639</v>
      </c>
      <c r="R96" s="196">
        <f t="shared" si="21"/>
        <v>0.20506323331569093</v>
      </c>
      <c r="S96" s="464">
        <f t="shared" si="22"/>
        <v>657270.47697468393</v>
      </c>
      <c r="T96" s="196">
        <f t="shared" si="28"/>
        <v>0.23319142331727014</v>
      </c>
      <c r="W96" s="195">
        <f t="shared" si="30"/>
        <v>5568.376505470922</v>
      </c>
      <c r="X96" s="195">
        <f t="shared" si="23"/>
        <v>1620.6679649010475</v>
      </c>
      <c r="Y96" s="195">
        <f t="shared" si="31"/>
        <v>7054.4292419949197</v>
      </c>
      <c r="Z96" s="195">
        <f t="shared" si="33"/>
        <v>14243.473712366889</v>
      </c>
      <c r="AA96" s="196">
        <f t="shared" si="34"/>
        <v>0.17501590006215748</v>
      </c>
      <c r="AB96" s="196">
        <f t="shared" si="24"/>
        <v>0.2159264092311283</v>
      </c>
      <c r="AC96" s="196">
        <f t="shared" si="32"/>
        <v>0.39094230929328577</v>
      </c>
      <c r="AD96" s="247">
        <f t="shared" si="29"/>
        <v>0.60905769070671423</v>
      </c>
      <c r="AF96" s="251">
        <f t="shared" si="25"/>
        <v>0.5523229491877274</v>
      </c>
      <c r="AG96" s="251">
        <f t="shared" si="26"/>
        <v>0.44767705081227255</v>
      </c>
    </row>
    <row r="97" spans="1:33" x14ac:dyDescent="0.25">
      <c r="A97" s="206">
        <v>2031</v>
      </c>
      <c r="B97" s="195">
        <f t="shared" si="27"/>
        <v>231064.7283316828</v>
      </c>
      <c r="C97" s="195">
        <f t="shared" si="9"/>
        <v>91545.832789543565</v>
      </c>
      <c r="D97" s="195">
        <f t="shared" si="10"/>
        <v>334258.41385669936</v>
      </c>
      <c r="E97" s="195">
        <f t="shared" si="11"/>
        <v>656868.97497792565</v>
      </c>
      <c r="F97" s="221">
        <f t="shared" si="12"/>
        <v>0.35176684716986034</v>
      </c>
      <c r="H97" s="206">
        <v>2031</v>
      </c>
      <c r="I97" s="195">
        <f t="shared" si="13"/>
        <v>131703.639486464</v>
      </c>
      <c r="J97" s="195">
        <f t="shared" si="14"/>
        <v>26522.6113591049</v>
      </c>
      <c r="K97" s="195">
        <f t="shared" si="15"/>
        <v>93431.706292769086</v>
      </c>
      <c r="L97" s="195">
        <f t="shared" si="16"/>
        <v>105873.2636672144</v>
      </c>
      <c r="M97" s="195">
        <f t="shared" si="17"/>
        <v>315935.08289501606</v>
      </c>
      <c r="O97" s="195">
        <f t="shared" si="18"/>
        <v>158226.25084556889</v>
      </c>
      <c r="P97" s="196">
        <f t="shared" si="19"/>
        <v>0.83237540409782351</v>
      </c>
      <c r="Q97" s="195">
        <f t="shared" si="20"/>
        <v>515240.05285499955</v>
      </c>
      <c r="R97" s="196">
        <f t="shared" si="21"/>
        <v>0.20548337242137807</v>
      </c>
      <c r="S97" s="464">
        <f t="shared" si="22"/>
        <v>673466.30370056839</v>
      </c>
      <c r="T97" s="196">
        <f t="shared" si="28"/>
        <v>0.23494308471878392</v>
      </c>
      <c r="W97" s="195">
        <f t="shared" si="30"/>
        <v>6512.1748219956062</v>
      </c>
      <c r="X97" s="195">
        <f t="shared" si="23"/>
        <v>1885.8735032255208</v>
      </c>
      <c r="Y97" s="195">
        <f t="shared" si="31"/>
        <v>8199.2803974216222</v>
      </c>
      <c r="Z97" s="195">
        <f t="shared" si="33"/>
        <v>16597.328722642749</v>
      </c>
      <c r="AA97" s="196">
        <f t="shared" si="34"/>
        <v>0.174851732254102</v>
      </c>
      <c r="AB97" s="196">
        <f t="shared" si="24"/>
        <v>0.21751109497070514</v>
      </c>
      <c r="AC97" s="196">
        <f t="shared" si="32"/>
        <v>0.39236282722480714</v>
      </c>
      <c r="AD97" s="247">
        <f t="shared" si="29"/>
        <v>0.6076371727751928</v>
      </c>
      <c r="AF97" s="251">
        <f t="shared" si="25"/>
        <v>0.55436213595759565</v>
      </c>
      <c r="AG97" s="251">
        <f t="shared" si="26"/>
        <v>0.44563786404240435</v>
      </c>
    </row>
    <row r="98" spans="1:33" x14ac:dyDescent="0.25">
      <c r="A98" s="206">
        <v>2032</v>
      </c>
      <c r="B98" s="195">
        <f t="shared" si="27"/>
        <v>237028.7221405243</v>
      </c>
      <c r="C98" s="195">
        <f t="shared" si="9"/>
        <v>93381.642599459854</v>
      </c>
      <c r="D98" s="195">
        <f t="shared" si="10"/>
        <v>340504.0884360557</v>
      </c>
      <c r="E98" s="195">
        <f t="shared" si="11"/>
        <v>670914.45317603985</v>
      </c>
      <c r="F98" s="221">
        <f t="shared" si="12"/>
        <v>0.3532920195987056</v>
      </c>
      <c r="H98" s="206">
        <v>2032</v>
      </c>
      <c r="I98" s="195">
        <f t="shared" si="13"/>
        <v>136073.31631755491</v>
      </c>
      <c r="J98" s="195">
        <f t="shared" si="14"/>
        <v>27308.661656734894</v>
      </c>
      <c r="K98" s="195">
        <f t="shared" si="15"/>
        <v>95550.197860659784</v>
      </c>
      <c r="L98" s="195">
        <f t="shared" si="16"/>
        <v>108485.29150379663</v>
      </c>
      <c r="M98" s="195">
        <f t="shared" si="17"/>
        <v>322618.27760790609</v>
      </c>
      <c r="O98" s="195">
        <f t="shared" si="18"/>
        <v>163381.9779742898</v>
      </c>
      <c r="P98" s="196">
        <f t="shared" si="19"/>
        <v>0.83285389248358688</v>
      </c>
      <c r="Q98" s="195">
        <f t="shared" si="20"/>
        <v>526653.76697236253</v>
      </c>
      <c r="R98" s="196">
        <f t="shared" si="21"/>
        <v>0.20598977602962756</v>
      </c>
      <c r="S98" s="464">
        <f t="shared" si="22"/>
        <v>690035.74494665232</v>
      </c>
      <c r="T98" s="196">
        <f t="shared" si="28"/>
        <v>0.23677320946166505</v>
      </c>
      <c r="W98" s="195">
        <f t="shared" si="30"/>
        <v>7529.885680827254</v>
      </c>
      <c r="X98" s="195">
        <f t="shared" si="23"/>
        <v>2168.5552611999301</v>
      </c>
      <c r="Y98" s="195">
        <f t="shared" si="31"/>
        <v>9422.8508285852731</v>
      </c>
      <c r="Z98" s="195">
        <f t="shared" si="33"/>
        <v>19121.291770612457</v>
      </c>
      <c r="AA98" s="196">
        <f t="shared" si="34"/>
        <v>0.1746863864698964</v>
      </c>
      <c r="AB98" s="196">
        <f t="shared" si="24"/>
        <v>0.21910948104570452</v>
      </c>
      <c r="AC98" s="196">
        <f t="shared" si="32"/>
        <v>0.39379586751560097</v>
      </c>
      <c r="AD98" s="247">
        <f t="shared" si="29"/>
        <v>0.60620413248439908</v>
      </c>
      <c r="AF98" s="251">
        <f t="shared" si="25"/>
        <v>0.55640370841886522</v>
      </c>
      <c r="AG98" s="251">
        <f t="shared" si="26"/>
        <v>0.44359629158113467</v>
      </c>
    </row>
    <row r="99" spans="1:33" x14ac:dyDescent="0.25">
      <c r="A99" s="206">
        <v>2033</v>
      </c>
      <c r="B99" s="195">
        <f t="shared" si="27"/>
        <v>243186.53961876302</v>
      </c>
      <c r="C99" s="195">
        <f t="shared" si="9"/>
        <v>95141.650757556257</v>
      </c>
      <c r="D99" s="195">
        <f t="shared" si="10"/>
        <v>346839.08163548773</v>
      </c>
      <c r="E99" s="195">
        <f t="shared" si="11"/>
        <v>685167.27201180696</v>
      </c>
      <c r="F99" s="221">
        <f t="shared" si="12"/>
        <v>0.35493017479470673</v>
      </c>
      <c r="H99" s="206">
        <v>2033</v>
      </c>
      <c r="I99" s="195">
        <f t="shared" si="13"/>
        <v>140614.25311493909</v>
      </c>
      <c r="J99" s="195">
        <f t="shared" si="14"/>
        <v>28115.436931031858</v>
      </c>
      <c r="K99" s="195">
        <f t="shared" si="15"/>
        <v>97607.321700079134</v>
      </c>
      <c r="L99" s="195">
        <f t="shared" si="16"/>
        <v>111184.56022375313</v>
      </c>
      <c r="M99" s="195">
        <f t="shared" si="17"/>
        <v>329438.23500133737</v>
      </c>
      <c r="O99" s="195">
        <f t="shared" si="18"/>
        <v>168729.69004597096</v>
      </c>
      <c r="P99" s="196">
        <f t="shared" si="19"/>
        <v>0.83336994856464364</v>
      </c>
      <c r="Q99" s="195">
        <f t="shared" si="20"/>
        <v>538230.1169251696</v>
      </c>
      <c r="R99" s="196">
        <f t="shared" si="21"/>
        <v>0.20657439397656593</v>
      </c>
      <c r="S99" s="464">
        <f t="shared" si="22"/>
        <v>706959.80697114056</v>
      </c>
      <c r="T99" s="196">
        <f t="shared" si="28"/>
        <v>0.23866942417683842</v>
      </c>
      <c r="W99" s="195">
        <f t="shared" si="30"/>
        <v>8612.2737199291878</v>
      </c>
      <c r="X99" s="195">
        <f t="shared" si="23"/>
        <v>2465.6709425228764</v>
      </c>
      <c r="Y99" s="195">
        <f t="shared" si="31"/>
        <v>10714.590296881506</v>
      </c>
      <c r="Z99" s="195">
        <f t="shared" si="33"/>
        <v>21792.53495933357</v>
      </c>
      <c r="AA99" s="196">
        <f t="shared" si="34"/>
        <v>0.17450218792527822</v>
      </c>
      <c r="AB99" s="196">
        <f t="shared" si="24"/>
        <v>0.22069156700044779</v>
      </c>
      <c r="AC99" s="196">
        <f t="shared" si="32"/>
        <v>0.395193754925726</v>
      </c>
      <c r="AD99" s="247">
        <f t="shared" si="29"/>
        <v>0.60480624507427394</v>
      </c>
      <c r="AF99" s="251">
        <f t="shared" si="25"/>
        <v>0.55843890306901556</v>
      </c>
      <c r="AG99" s="251">
        <f t="shared" si="26"/>
        <v>0.44156109693098444</v>
      </c>
    </row>
    <row r="100" spans="1:33" x14ac:dyDescent="0.25">
      <c r="A100" s="206">
        <v>2034</v>
      </c>
      <c r="B100" s="195">
        <f t="shared" si="27"/>
        <v>249538.26371055687</v>
      </c>
      <c r="C100" s="195">
        <f t="shared" si="9"/>
        <v>96827.771948481706</v>
      </c>
      <c r="D100" s="195">
        <f t="shared" si="10"/>
        <v>353265.22998133616</v>
      </c>
      <c r="E100" s="195">
        <f t="shared" si="11"/>
        <v>699631.26564037474</v>
      </c>
      <c r="F100" s="221">
        <f t="shared" si="12"/>
        <v>0.35667111515114136</v>
      </c>
      <c r="H100" s="206">
        <v>2034</v>
      </c>
      <c r="I100" s="195">
        <f t="shared" si="13"/>
        <v>145317.79652497944</v>
      </c>
      <c r="J100" s="195">
        <f t="shared" si="14"/>
        <v>28940.426137456641</v>
      </c>
      <c r="K100" s="195">
        <f t="shared" si="15"/>
        <v>99600.813817082628</v>
      </c>
      <c r="L100" s="195">
        <f t="shared" si="16"/>
        <v>113966.43098388183</v>
      </c>
      <c r="M100" s="195">
        <f t="shared" si="17"/>
        <v>336384.35515173798</v>
      </c>
      <c r="O100" s="195">
        <f t="shared" si="18"/>
        <v>174258.22266243608</v>
      </c>
      <c r="P100" s="196">
        <f t="shared" si="19"/>
        <v>0.83392217770108601</v>
      </c>
      <c r="Q100" s="195">
        <f t="shared" si="20"/>
        <v>549951.59995270241</v>
      </c>
      <c r="R100" s="196">
        <f t="shared" si="21"/>
        <v>0.20722992894953537</v>
      </c>
      <c r="S100" s="464">
        <f t="shared" si="22"/>
        <v>724209.82261513849</v>
      </c>
      <c r="T100" s="196">
        <f t="shared" si="28"/>
        <v>0.24061841916640345</v>
      </c>
      <c r="W100" s="195">
        <f t="shared" si="30"/>
        <v>9745.9637983044086</v>
      </c>
      <c r="X100" s="195">
        <f t="shared" si="23"/>
        <v>2773.0418686009216</v>
      </c>
      <c r="Y100" s="195">
        <f t="shared" si="31"/>
        <v>12059.551307858434</v>
      </c>
      <c r="Z100" s="195">
        <f t="shared" si="33"/>
        <v>24578.556974763764</v>
      </c>
      <c r="AA100" s="196">
        <f t="shared" si="34"/>
        <v>0.1742887122975893</v>
      </c>
      <c r="AB100" s="196">
        <f t="shared" si="24"/>
        <v>0.22223431418891912</v>
      </c>
      <c r="AC100" s="196">
        <f t="shared" si="32"/>
        <v>0.39652302648650845</v>
      </c>
      <c r="AD100" s="247">
        <f t="shared" si="29"/>
        <v>0.60347697351349161</v>
      </c>
      <c r="AF100" s="251">
        <f t="shared" si="25"/>
        <v>0.56045752540043359</v>
      </c>
      <c r="AG100" s="251">
        <f t="shared" si="26"/>
        <v>0.4395424745995663</v>
      </c>
    </row>
    <row r="101" spans="1:33" x14ac:dyDescent="0.25">
      <c r="A101" s="206">
        <v>2035</v>
      </c>
      <c r="B101" s="195">
        <f t="shared" si="27"/>
        <v>256083.97736006393</v>
      </c>
      <c r="C101" s="195">
        <f t="shared" si="9"/>
        <v>98441.920856885132</v>
      </c>
      <c r="D101" s="195">
        <f t="shared" si="10"/>
        <v>359784.3699999415</v>
      </c>
      <c r="E101" s="195">
        <f t="shared" si="11"/>
        <v>714310.26821689052</v>
      </c>
      <c r="F101" s="221">
        <f t="shared" si="12"/>
        <v>0.35850524450574961</v>
      </c>
      <c r="H101" s="206">
        <v>2035</v>
      </c>
      <c r="I101" s="195">
        <f t="shared" si="13"/>
        <v>150177.77514712693</v>
      </c>
      <c r="J101" s="195">
        <f t="shared" si="14"/>
        <v>29781.699727064974</v>
      </c>
      <c r="K101" s="195">
        <f t="shared" si="15"/>
        <v>101529.18660827848</v>
      </c>
      <c r="L101" s="195">
        <f t="shared" si="16"/>
        <v>116827.47539737629</v>
      </c>
      <c r="M101" s="195">
        <f t="shared" si="17"/>
        <v>343448.92902968242</v>
      </c>
      <c r="O101" s="195">
        <f t="shared" si="18"/>
        <v>179959.47487419192</v>
      </c>
      <c r="P101" s="196">
        <f t="shared" si="19"/>
        <v>0.83450885401902231</v>
      </c>
      <c r="Q101" s="195">
        <f t="shared" si="20"/>
        <v>561805.59103533719</v>
      </c>
      <c r="R101" s="196">
        <f t="shared" si="21"/>
        <v>0.20795000487994061</v>
      </c>
      <c r="S101" s="464">
        <f t="shared" si="22"/>
        <v>741765.0659095291</v>
      </c>
      <c r="T101" s="196">
        <f t="shared" si="28"/>
        <v>0.24260980079121311</v>
      </c>
      <c r="W101" s="195">
        <f t="shared" si="30"/>
        <v>10921.273184439284</v>
      </c>
      <c r="X101" s="195">
        <f t="shared" si="23"/>
        <v>3087.2657513933518</v>
      </c>
      <c r="Y101" s="195">
        <f t="shared" si="31"/>
        <v>13446.25875680591</v>
      </c>
      <c r="Z101" s="195">
        <f t="shared" si="33"/>
        <v>27454.797692638545</v>
      </c>
      <c r="AA101" s="196">
        <f t="shared" si="34"/>
        <v>0.17405247889728701</v>
      </c>
      <c r="AB101" s="196">
        <f t="shared" si="24"/>
        <v>0.22373858504370153</v>
      </c>
      <c r="AC101" s="196">
        <f t="shared" si="32"/>
        <v>0.39779106394098851</v>
      </c>
      <c r="AD101" s="247">
        <f t="shared" si="29"/>
        <v>0.60220893605901149</v>
      </c>
      <c r="AF101" s="251">
        <f t="shared" si="25"/>
        <v>0.56245251672343421</v>
      </c>
      <c r="AG101" s="251">
        <f t="shared" si="26"/>
        <v>0.43754748327656584</v>
      </c>
    </row>
    <row r="102" spans="1:33" x14ac:dyDescent="0.25">
      <c r="A102" s="206">
        <v>2036</v>
      </c>
      <c r="B102" s="195">
        <f t="shared" si="27"/>
        <v>262823.76351144223</v>
      </c>
      <c r="C102" s="195">
        <f t="shared" si="9"/>
        <v>99986.01216741548</v>
      </c>
      <c r="D102" s="195">
        <f t="shared" si="10"/>
        <v>366398.33821764437</v>
      </c>
      <c r="E102" s="195">
        <f t="shared" si="11"/>
        <v>729208.11389650207</v>
      </c>
      <c r="F102" s="221">
        <f t="shared" si="12"/>
        <v>0.36042353136617089</v>
      </c>
      <c r="H102" s="206">
        <v>2036</v>
      </c>
      <c r="I102" s="195">
        <f t="shared" si="13"/>
        <v>155192.62417386152</v>
      </c>
      <c r="J102" s="195">
        <f t="shared" si="14"/>
        <v>30638.44613317863</v>
      </c>
      <c r="K102" s="195">
        <f t="shared" si="15"/>
        <v>103392.42651281574</v>
      </c>
      <c r="L102" s="195">
        <f t="shared" si="16"/>
        <v>119766.1399718121</v>
      </c>
      <c r="M102" s="195">
        <f t="shared" si="17"/>
        <v>350629.04322242667</v>
      </c>
      <c r="O102" s="195">
        <f t="shared" si="18"/>
        <v>185831.07030704015</v>
      </c>
      <c r="P102" s="196">
        <f t="shared" si="19"/>
        <v>0.83512743007637991</v>
      </c>
      <c r="Q102" s="195">
        <f t="shared" si="20"/>
        <v>573787.60970705445</v>
      </c>
      <c r="R102" s="196">
        <f t="shared" si="21"/>
        <v>0.20872904528725941</v>
      </c>
      <c r="S102" s="464">
        <f t="shared" si="22"/>
        <v>759618.68001409457</v>
      </c>
      <c r="T102" s="196">
        <f t="shared" si="28"/>
        <v>0.24463730974018713</v>
      </c>
      <c r="W102" s="195">
        <f t="shared" si="30"/>
        <v>12135.000634231372</v>
      </c>
      <c r="X102" s="195">
        <f t="shared" si="23"/>
        <v>3406.4143454002624</v>
      </c>
      <c r="Y102" s="195">
        <f t="shared" si="31"/>
        <v>14869.151137960958</v>
      </c>
      <c r="Z102" s="195">
        <f t="shared" si="33"/>
        <v>30410.566117592592</v>
      </c>
      <c r="AA102" s="196">
        <f t="shared" si="34"/>
        <v>0.17381281123842507</v>
      </c>
      <c r="AB102" s="196">
        <f t="shared" si="24"/>
        <v>0.22522614736916369</v>
      </c>
      <c r="AC102" s="196">
        <f t="shared" si="32"/>
        <v>0.39903895860758876</v>
      </c>
      <c r="AD102" s="247">
        <f t="shared" si="29"/>
        <v>0.60096104139241124</v>
      </c>
      <c r="AF102" s="251">
        <f t="shared" si="25"/>
        <v>0.56442144936191307</v>
      </c>
      <c r="AG102" s="251">
        <f t="shared" si="26"/>
        <v>0.43557855063808693</v>
      </c>
    </row>
    <row r="103" spans="1:33" x14ac:dyDescent="0.25">
      <c r="A103" s="206">
        <v>2037</v>
      </c>
      <c r="B103" s="195">
        <f t="shared" si="27"/>
        <v>269757.70510884974</v>
      </c>
      <c r="C103" s="195">
        <f t="shared" si="9"/>
        <v>101461.96056472168</v>
      </c>
      <c r="D103" s="195">
        <f t="shared" si="10"/>
        <v>373108.97116078535</v>
      </c>
      <c r="E103" s="195">
        <f t="shared" si="11"/>
        <v>744328.63683435682</v>
      </c>
      <c r="F103" s="221">
        <f t="shared" si="12"/>
        <v>0.36241747496930138</v>
      </c>
      <c r="H103" s="206">
        <v>2037</v>
      </c>
      <c r="I103" s="195">
        <f t="shared" si="13"/>
        <v>160365.99356674511</v>
      </c>
      <c r="J103" s="195">
        <f t="shared" si="14"/>
        <v>31511.113350109244</v>
      </c>
      <c r="K103" s="195">
        <f t="shared" si="15"/>
        <v>105192.36876285523</v>
      </c>
      <c r="L103" s="195">
        <f t="shared" si="16"/>
        <v>122783.08348400747</v>
      </c>
      <c r="M103" s="195">
        <f t="shared" si="17"/>
        <v>357928.21475148579</v>
      </c>
      <c r="O103" s="195">
        <f t="shared" si="18"/>
        <v>191877.10691685436</v>
      </c>
      <c r="P103" s="196">
        <f t="shared" si="19"/>
        <v>0.83577450245920226</v>
      </c>
      <c r="Q103" s="195">
        <f t="shared" si="20"/>
        <v>585903.66699834843</v>
      </c>
      <c r="R103" s="196">
        <f t="shared" si="21"/>
        <v>0.2095618962636627</v>
      </c>
      <c r="S103" s="464">
        <f t="shared" si="22"/>
        <v>777780.77391520282</v>
      </c>
      <c r="T103" s="196">
        <f t="shared" si="28"/>
        <v>0.24669818713952124</v>
      </c>
      <c r="W103" s="195">
        <f t="shared" si="30"/>
        <v>13391.371941902849</v>
      </c>
      <c r="X103" s="195">
        <f t="shared" si="23"/>
        <v>3730.4081981335476</v>
      </c>
      <c r="Y103" s="195">
        <f t="shared" si="31"/>
        <v>16330.356940809696</v>
      </c>
      <c r="Z103" s="195">
        <f t="shared" si="33"/>
        <v>33452.137080846092</v>
      </c>
      <c r="AA103" s="196">
        <f t="shared" si="34"/>
        <v>0.17358995486598608</v>
      </c>
      <c r="AB103" s="196">
        <f t="shared" si="24"/>
        <v>0.22672443788981883</v>
      </c>
      <c r="AC103" s="196">
        <f t="shared" si="32"/>
        <v>0.40031439275580494</v>
      </c>
      <c r="AD103" s="247">
        <f t="shared" si="29"/>
        <v>0.59968560724419506</v>
      </c>
      <c r="AF103" s="251">
        <f t="shared" si="25"/>
        <v>0.56636594135180796</v>
      </c>
      <c r="AG103" s="251">
        <f t="shared" si="26"/>
        <v>0.43363405864819193</v>
      </c>
    </row>
    <row r="104" spans="1:33" x14ac:dyDescent="0.25">
      <c r="A104" s="206">
        <v>2038</v>
      </c>
      <c r="B104" s="195">
        <f t="shared" si="27"/>
        <v>276885.8850964444</v>
      </c>
      <c r="C104" s="195">
        <f t="shared" si="9"/>
        <v>102871.6807334527</v>
      </c>
      <c r="D104" s="195">
        <f t="shared" si="10"/>
        <v>379918.10535570496</v>
      </c>
      <c r="E104" s="195">
        <f t="shared" si="11"/>
        <v>759675.67118560208</v>
      </c>
      <c r="F104" s="221">
        <f t="shared" si="12"/>
        <v>0.3644790738978349</v>
      </c>
      <c r="H104" s="206">
        <v>2038</v>
      </c>
      <c r="I104" s="195">
        <f t="shared" si="13"/>
        <v>165703.46491588221</v>
      </c>
      <c r="J104" s="195">
        <f t="shared" si="14"/>
        <v>32400.674855913941</v>
      </c>
      <c r="K104" s="195">
        <f t="shared" si="15"/>
        <v>106931.66947178254</v>
      </c>
      <c r="L104" s="195">
        <f t="shared" si="16"/>
        <v>125879.87537381041</v>
      </c>
      <c r="M104" s="195">
        <f t="shared" si="17"/>
        <v>365353.30637536536</v>
      </c>
      <c r="O104" s="195">
        <f t="shared" si="18"/>
        <v>198104.13977179615</v>
      </c>
      <c r="P104" s="196">
        <f t="shared" si="19"/>
        <v>0.836446250475949</v>
      </c>
      <c r="Q104" s="195">
        <f t="shared" si="20"/>
        <v>598164.85122095828</v>
      </c>
      <c r="R104" s="196">
        <f t="shared" si="21"/>
        <v>0.21044345069234299</v>
      </c>
      <c r="S104" s="464">
        <f t="shared" si="22"/>
        <v>796268.99099275446</v>
      </c>
      <c r="T104" s="196">
        <f t="shared" si="28"/>
        <v>0.24879047408942587</v>
      </c>
      <c r="W104" s="195">
        <f t="shared" si="30"/>
        <v>14697.455193248228</v>
      </c>
      <c r="X104" s="195">
        <f t="shared" si="23"/>
        <v>4059.9887383298483</v>
      </c>
      <c r="Y104" s="195">
        <f t="shared" si="31"/>
        <v>17835.875875574362</v>
      </c>
      <c r="Z104" s="195">
        <f t="shared" si="33"/>
        <v>36593.319807152438</v>
      </c>
      <c r="AA104" s="196">
        <f t="shared" si="34"/>
        <v>0.17339394640462316</v>
      </c>
      <c r="AB104" s="196">
        <f t="shared" si="24"/>
        <v>0.22824917509143472</v>
      </c>
      <c r="AC104" s="196">
        <f t="shared" si="32"/>
        <v>0.40164312149605785</v>
      </c>
      <c r="AD104" s="247">
        <f t="shared" si="29"/>
        <v>0.59835687850394215</v>
      </c>
      <c r="AF104" s="251">
        <f t="shared" si="25"/>
        <v>0.56828852002056507</v>
      </c>
      <c r="AG104" s="251">
        <f t="shared" si="26"/>
        <v>0.43171147997943499</v>
      </c>
    </row>
    <row r="105" spans="1:33" x14ac:dyDescent="0.25">
      <c r="A105" s="206">
        <v>2039</v>
      </c>
      <c r="B105" s="195">
        <f t="shared" si="27"/>
        <v>284208.38641838427</v>
      </c>
      <c r="C105" s="195">
        <f t="shared" si="9"/>
        <v>104217.08735825747</v>
      </c>
      <c r="D105" s="195">
        <f t="shared" si="10"/>
        <v>386827.57732874382</v>
      </c>
      <c r="E105" s="195">
        <f t="shared" si="11"/>
        <v>775253.05110538565</v>
      </c>
      <c r="F105" s="221">
        <f t="shared" si="12"/>
        <v>0.3666007970083433</v>
      </c>
      <c r="H105" s="206">
        <v>2039</v>
      </c>
      <c r="I105" s="195">
        <f t="shared" si="13"/>
        <v>171213.72234655175</v>
      </c>
      <c r="J105" s="195">
        <f t="shared" si="14"/>
        <v>33308.814878704288</v>
      </c>
      <c r="K105" s="195">
        <f t="shared" si="15"/>
        <v>108614.11540670085</v>
      </c>
      <c r="L105" s="195">
        <f t="shared" si="16"/>
        <v>129059.28498899817</v>
      </c>
      <c r="M105" s="195">
        <f t="shared" si="17"/>
        <v>372915.20011063223</v>
      </c>
      <c r="O105" s="195">
        <f t="shared" si="18"/>
        <v>204522.53722525603</v>
      </c>
      <c r="P105" s="196">
        <f t="shared" si="19"/>
        <v>0.83713865801489262</v>
      </c>
      <c r="Q105" s="195">
        <f t="shared" si="20"/>
        <v>610588.60050633131</v>
      </c>
      <c r="R105" s="196">
        <f t="shared" si="21"/>
        <v>0.21136864475028785</v>
      </c>
      <c r="S105" s="464">
        <f t="shared" si="22"/>
        <v>815111.13773158728</v>
      </c>
      <c r="T105" s="196">
        <f t="shared" si="28"/>
        <v>0.25091368251258572</v>
      </c>
      <c r="W105" s="195">
        <f t="shared" si="30"/>
        <v>16064.620917165652</v>
      </c>
      <c r="X105" s="195">
        <f t="shared" si="23"/>
        <v>4397.0280484433752</v>
      </c>
      <c r="Y105" s="195">
        <f t="shared" si="31"/>
        <v>19396.437660592666</v>
      </c>
      <c r="Z105" s="195">
        <f t="shared" si="33"/>
        <v>39858.086626201693</v>
      </c>
      <c r="AA105" s="196">
        <f t="shared" si="34"/>
        <v>0.1732315519654623</v>
      </c>
      <c r="AB105" s="196">
        <f t="shared" si="24"/>
        <v>0.22981390949442568</v>
      </c>
      <c r="AC105" s="196">
        <f t="shared" si="32"/>
        <v>0.40304546145988801</v>
      </c>
      <c r="AD105" s="247">
        <f t="shared" si="29"/>
        <v>0.59695453854011205</v>
      </c>
      <c r="AF105" s="251">
        <f t="shared" si="25"/>
        <v>0.57019351777838412</v>
      </c>
      <c r="AG105" s="251">
        <f t="shared" si="26"/>
        <v>0.42980648222161588</v>
      </c>
    </row>
    <row r="106" spans="1:33" x14ac:dyDescent="0.25">
      <c r="A106" s="206">
        <v>2040</v>
      </c>
      <c r="B106" s="195">
        <f t="shared" si="27"/>
        <v>291725.29201882752</v>
      </c>
      <c r="C106" s="195">
        <f t="shared" si="9"/>
        <v>105500.09512378494</v>
      </c>
      <c r="D106" s="195">
        <f t="shared" si="10"/>
        <v>393839.22360624257</v>
      </c>
      <c r="E106" s="195">
        <f t="shared" si="11"/>
        <v>791064.61074885505</v>
      </c>
      <c r="F106" s="221">
        <f t="shared" si="12"/>
        <v>0.36877555645254828</v>
      </c>
      <c r="H106" s="206">
        <v>2040</v>
      </c>
      <c r="I106" s="195">
        <f t="shared" si="13"/>
        <v>176904.98536255569</v>
      </c>
      <c r="J106" s="195">
        <f t="shared" si="14"/>
        <v>34237.035393411839</v>
      </c>
      <c r="K106" s="195">
        <f t="shared" si="15"/>
        <v>110243.23016297698</v>
      </c>
      <c r="L106" s="195">
        <f t="shared" si="16"/>
        <v>132323.69568761811</v>
      </c>
      <c r="M106" s="195">
        <f t="shared" si="17"/>
        <v>380623.68182132381</v>
      </c>
      <c r="O106" s="195">
        <f t="shared" si="18"/>
        <v>211142.02075596753</v>
      </c>
      <c r="P106" s="196">
        <f t="shared" si="19"/>
        <v>0.83784831048395558</v>
      </c>
      <c r="Q106" s="195">
        <f t="shared" si="20"/>
        <v>623190.60767191893</v>
      </c>
      <c r="R106" s="196">
        <f t="shared" si="21"/>
        <v>0.21233262192757632</v>
      </c>
      <c r="S106" s="464">
        <f t="shared" si="22"/>
        <v>834332.6284278864</v>
      </c>
      <c r="T106" s="196">
        <f t="shared" si="28"/>
        <v>0.25306695862274681</v>
      </c>
      <c r="W106" s="195">
        <f t="shared" si="30"/>
        <v>17503.389031346305</v>
      </c>
      <c r="X106" s="195">
        <f t="shared" si="23"/>
        <v>4743.1350391920423</v>
      </c>
      <c r="Y106" s="195">
        <f t="shared" si="31"/>
        <v>21021.493608493067</v>
      </c>
      <c r="Z106" s="195">
        <f t="shared" si="33"/>
        <v>43268.017679031414</v>
      </c>
      <c r="AA106" s="196">
        <f t="shared" si="34"/>
        <v>0.17310635064595647</v>
      </c>
      <c r="AB106" s="196">
        <f t="shared" si="24"/>
        <v>0.23142775954113468</v>
      </c>
      <c r="AC106" s="196">
        <f t="shared" si="32"/>
        <v>0.40453411018709123</v>
      </c>
      <c r="AD106" s="247">
        <f t="shared" si="29"/>
        <v>0.59546588981290882</v>
      </c>
      <c r="AF106" s="251">
        <f t="shared" si="25"/>
        <v>0.57208466162248384</v>
      </c>
      <c r="AG106" s="251">
        <f t="shared" si="26"/>
        <v>0.427915338377516</v>
      </c>
    </row>
    <row r="107" spans="1:33" x14ac:dyDescent="0.25">
      <c r="A107" s="206">
        <v>2041</v>
      </c>
      <c r="B107" s="195">
        <f t="shared" si="27"/>
        <v>299436.68484193191</v>
      </c>
      <c r="C107" s="195">
        <f t="shared" si="9"/>
        <v>106722.61871468404</v>
      </c>
      <c r="D107" s="195">
        <f t="shared" si="10"/>
        <v>400954.88071454177</v>
      </c>
      <c r="E107" s="195">
        <f t="shared" si="11"/>
        <v>807114.18427115772</v>
      </c>
      <c r="F107" s="221">
        <f t="shared" si="12"/>
        <v>0.37099668259743196</v>
      </c>
      <c r="H107" s="206">
        <v>2041</v>
      </c>
      <c r="I107" s="195">
        <f t="shared" si="13"/>
        <v>182781.36191065123</v>
      </c>
      <c r="J107" s="195">
        <f t="shared" si="14"/>
        <v>35185.813936779385</v>
      </c>
      <c r="K107" s="195">
        <f t="shared" si="15"/>
        <v>111821.01235611449</v>
      </c>
      <c r="L107" s="195">
        <f t="shared" si="16"/>
        <v>135673.90450531934</v>
      </c>
      <c r="M107" s="195">
        <f t="shared" si="17"/>
        <v>388483.68571651436</v>
      </c>
      <c r="O107" s="195">
        <f t="shared" si="18"/>
        <v>217967.17584743063</v>
      </c>
      <c r="P107" s="196">
        <f t="shared" si="19"/>
        <v>0.83857287777399925</v>
      </c>
      <c r="Q107" s="195">
        <f t="shared" si="20"/>
        <v>635978.60257794813</v>
      </c>
      <c r="R107" s="196">
        <f t="shared" si="21"/>
        <v>0.21333092647356888</v>
      </c>
      <c r="S107" s="464">
        <f t="shared" si="22"/>
        <v>853945.77842537872</v>
      </c>
      <c r="T107" s="196">
        <f t="shared" si="28"/>
        <v>0.25524709103820165</v>
      </c>
      <c r="W107" s="195">
        <f t="shared" si="30"/>
        <v>19018.581574038661</v>
      </c>
      <c r="X107" s="195">
        <f t="shared" si="23"/>
        <v>5098.393641430448</v>
      </c>
      <c r="Y107" s="195">
        <f t="shared" si="31"/>
        <v>22714.618938751984</v>
      </c>
      <c r="Z107" s="195">
        <f t="shared" si="33"/>
        <v>46831.594154221093</v>
      </c>
      <c r="AA107" s="196">
        <f t="shared" si="34"/>
        <v>0.17301631996055711</v>
      </c>
      <c r="AB107" s="196">
        <f t="shared" si="24"/>
        <v>0.23308947074578915</v>
      </c>
      <c r="AC107" s="196">
        <f t="shared" si="32"/>
        <v>0.40610579070634628</v>
      </c>
      <c r="AD107" s="247">
        <f t="shared" si="29"/>
        <v>0.59389420929365377</v>
      </c>
      <c r="AF107" s="251">
        <f t="shared" si="25"/>
        <v>0.57396244052657541</v>
      </c>
      <c r="AG107" s="251">
        <f t="shared" si="26"/>
        <v>0.42603755947342459</v>
      </c>
    </row>
    <row r="108" spans="1:33" x14ac:dyDescent="0.25">
      <c r="A108" s="206">
        <v>2042</v>
      </c>
      <c r="B108" s="195">
        <f t="shared" si="27"/>
        <v>307342.64783185557</v>
      </c>
      <c r="C108" s="195">
        <f t="shared" si="9"/>
        <v>107886.57281560372</v>
      </c>
      <c r="D108" s="195">
        <f t="shared" si="10"/>
        <v>408176.38517998194</v>
      </c>
      <c r="E108" s="195">
        <f t="shared" si="11"/>
        <v>823405.60582744121</v>
      </c>
      <c r="F108" s="221">
        <f t="shared" si="12"/>
        <v>0.37325790067096593</v>
      </c>
      <c r="H108" s="206">
        <v>2042</v>
      </c>
      <c r="I108" s="195">
        <f t="shared" si="13"/>
        <v>188846.47967719927</v>
      </c>
      <c r="J108" s="195">
        <f t="shared" si="14"/>
        <v>36155.303749524413</v>
      </c>
      <c r="K108" s="195">
        <f t="shared" si="15"/>
        <v>113349.06881423399</v>
      </c>
      <c r="L108" s="195">
        <f t="shared" si="16"/>
        <v>139110.15000286105</v>
      </c>
      <c r="M108" s="195">
        <f t="shared" si="17"/>
        <v>396497.94463585189</v>
      </c>
      <c r="O108" s="195">
        <f t="shared" si="18"/>
        <v>225001.78342672368</v>
      </c>
      <c r="P108" s="196">
        <f t="shared" si="19"/>
        <v>0.83931103478875713</v>
      </c>
      <c r="Q108" s="195">
        <f t="shared" si="20"/>
        <v>648957.16345294693</v>
      </c>
      <c r="R108" s="196">
        <f t="shared" si="21"/>
        <v>0.21435952607825295</v>
      </c>
      <c r="S108" s="464">
        <f t="shared" si="22"/>
        <v>873958.94687967061</v>
      </c>
      <c r="T108" s="196">
        <f t="shared" si="28"/>
        <v>0.25745120435010849</v>
      </c>
      <c r="W108" s="195">
        <f t="shared" si="30"/>
        <v>20613.981848204741</v>
      </c>
      <c r="X108" s="195">
        <f t="shared" si="23"/>
        <v>5462.4959986302711</v>
      </c>
      <c r="Y108" s="195">
        <f t="shared" si="31"/>
        <v>24476.863205394358</v>
      </c>
      <c r="Z108" s="195">
        <f t="shared" si="33"/>
        <v>50553.341052229371</v>
      </c>
      <c r="AA108" s="196">
        <f t="shared" si="34"/>
        <v>0.17296348624707969</v>
      </c>
      <c r="AB108" s="196">
        <f t="shared" si="24"/>
        <v>0.23480346681953032</v>
      </c>
      <c r="AC108" s="196">
        <f t="shared" si="32"/>
        <v>0.40776695306660998</v>
      </c>
      <c r="AD108" s="247">
        <f t="shared" si="29"/>
        <v>0.59223304693339007</v>
      </c>
      <c r="AF108" s="251">
        <f t="shared" si="25"/>
        <v>0.57582760214797113</v>
      </c>
      <c r="AG108" s="251">
        <f t="shared" si="26"/>
        <v>0.42417239785202887</v>
      </c>
    </row>
    <row r="109" spans="1:33" x14ac:dyDescent="0.25">
      <c r="A109" s="206">
        <v>2043</v>
      </c>
      <c r="B109" s="195">
        <f t="shared" si="27"/>
        <v>315443.26393275644</v>
      </c>
      <c r="C109" s="195">
        <f t="shared" si="9"/>
        <v>108993.8721111929</v>
      </c>
      <c r="D109" s="195">
        <f t="shared" si="10"/>
        <v>415505.57352890377</v>
      </c>
      <c r="E109" s="195">
        <f t="shared" si="11"/>
        <v>839942.70957285305</v>
      </c>
      <c r="F109" s="221">
        <f t="shared" si="12"/>
        <v>0.37555330897886224</v>
      </c>
      <c r="H109" s="206">
        <v>2043</v>
      </c>
      <c r="I109" s="195">
        <f t="shared" si="13"/>
        <v>195108.55589886341</v>
      </c>
      <c r="J109" s="195">
        <f t="shared" si="14"/>
        <v>37146.416502929074</v>
      </c>
      <c r="K109" s="195">
        <f t="shared" si="15"/>
        <v>114830.36529829707</v>
      </c>
      <c r="L109" s="195">
        <f t="shared" si="16"/>
        <v>142633.78149701946</v>
      </c>
      <c r="M109" s="195">
        <f t="shared" si="17"/>
        <v>404672.63502436032</v>
      </c>
      <c r="O109" s="195">
        <f t="shared" si="18"/>
        <v>232254.97240179247</v>
      </c>
      <c r="P109" s="196">
        <f t="shared" si="19"/>
        <v>0.84006191075785819</v>
      </c>
      <c r="Q109" s="195">
        <f t="shared" si="20"/>
        <v>662136.78181967675</v>
      </c>
      <c r="R109" s="196">
        <f t="shared" si="21"/>
        <v>0.21541437572012678</v>
      </c>
      <c r="S109" s="464">
        <f t="shared" si="22"/>
        <v>894391.75422146916</v>
      </c>
      <c r="T109" s="196">
        <f t="shared" si="28"/>
        <v>0.25967924156899319</v>
      </c>
      <c r="W109" s="195">
        <f t="shared" si="30"/>
        <v>22299.073463126435</v>
      </c>
      <c r="X109" s="195">
        <f t="shared" si="23"/>
        <v>5836.4931871041626</v>
      </c>
      <c r="Y109" s="195">
        <f t="shared" si="31"/>
        <v>26313.477998385613</v>
      </c>
      <c r="Z109" s="195">
        <f t="shared" si="33"/>
        <v>54449.044648616211</v>
      </c>
      <c r="AA109" s="196">
        <f t="shared" si="34"/>
        <v>0.17295512910893704</v>
      </c>
      <c r="AB109" s="196">
        <f t="shared" si="24"/>
        <v>0.23658508609653128</v>
      </c>
      <c r="AC109" s="196">
        <f t="shared" si="32"/>
        <v>0.40954021520546829</v>
      </c>
      <c r="AD109" s="247">
        <f t="shared" si="29"/>
        <v>0.59045978479453165</v>
      </c>
      <c r="AF109" s="251">
        <f t="shared" si="25"/>
        <v>0.57768462610646287</v>
      </c>
      <c r="AG109" s="251">
        <f t="shared" si="26"/>
        <v>0.42231537389353718</v>
      </c>
    </row>
    <row r="110" spans="1:33" x14ac:dyDescent="0.25">
      <c r="A110" s="206">
        <v>2044</v>
      </c>
      <c r="B110" s="195">
        <f t="shared" si="27"/>
        <v>323738.61608879257</v>
      </c>
      <c r="C110" s="195">
        <f t="shared" si="9"/>
        <v>110046.43128610056</v>
      </c>
      <c r="D110" s="195">
        <f t="shared" si="10"/>
        <v>422944.28228764771</v>
      </c>
      <c r="E110" s="195">
        <f t="shared" si="11"/>
        <v>856729.32966254081</v>
      </c>
      <c r="F110" s="221">
        <f t="shared" si="12"/>
        <v>0.3778773585542014</v>
      </c>
      <c r="H110" s="206">
        <v>2044</v>
      </c>
      <c r="I110" s="195">
        <f t="shared" si="13"/>
        <v>201577.32263286869</v>
      </c>
      <c r="J110" s="195">
        <f t="shared" si="14"/>
        <v>38160.18537779968</v>
      </c>
      <c r="K110" s="195">
        <f t="shared" si="15"/>
        <v>116268.18291384185</v>
      </c>
      <c r="L110" s="195">
        <f t="shared" si="16"/>
        <v>146246.26987774781</v>
      </c>
      <c r="M110" s="195">
        <f t="shared" si="17"/>
        <v>413014.22150471492</v>
      </c>
      <c r="O110" s="195">
        <f t="shared" si="18"/>
        <v>239737.50801066836</v>
      </c>
      <c r="P110" s="196">
        <f t="shared" si="19"/>
        <v>0.84082513539724646</v>
      </c>
      <c r="Q110" s="195">
        <f t="shared" si="20"/>
        <v>675528.67429630458</v>
      </c>
      <c r="R110" s="196">
        <f t="shared" si="21"/>
        <v>0.21649157976912223</v>
      </c>
      <c r="S110" s="464">
        <f t="shared" si="22"/>
        <v>915266.18230697291</v>
      </c>
      <c r="T110" s="196">
        <f t="shared" si="28"/>
        <v>0.26193200693419955</v>
      </c>
      <c r="W110" s="195">
        <f t="shared" si="30"/>
        <v>24084.976421823958</v>
      </c>
      <c r="X110" s="195">
        <f t="shared" si="23"/>
        <v>6221.7516277412942</v>
      </c>
      <c r="Y110" s="195">
        <f t="shared" si="31"/>
        <v>28230.12459486688</v>
      </c>
      <c r="Z110" s="195">
        <f t="shared" si="33"/>
        <v>58536.852644432132</v>
      </c>
      <c r="AA110" s="196">
        <f t="shared" si="34"/>
        <v>0.17299861210978096</v>
      </c>
      <c r="AB110" s="196">
        <f t="shared" si="24"/>
        <v>0.2384511897461932</v>
      </c>
      <c r="AC110" s="196">
        <f t="shared" si="32"/>
        <v>0.41144980185597418</v>
      </c>
      <c r="AD110" s="247">
        <f t="shared" si="29"/>
        <v>0.58855019814402587</v>
      </c>
      <c r="AF110" s="251">
        <f t="shared" si="25"/>
        <v>0.57953895875167238</v>
      </c>
      <c r="AG110" s="251">
        <f t="shared" si="26"/>
        <v>0.42046104124832756</v>
      </c>
    </row>
    <row r="111" spans="1:33" x14ac:dyDescent="0.25">
      <c r="A111" s="206">
        <v>2045</v>
      </c>
      <c r="B111" s="195">
        <f t="shared" si="27"/>
        <v>332228.78724412195</v>
      </c>
      <c r="C111" s="195">
        <f t="shared" si="9"/>
        <v>111046.16502497562</v>
      </c>
      <c r="D111" s="195">
        <f t="shared" si="10"/>
        <v>430494.34798255435</v>
      </c>
      <c r="E111" s="195">
        <f t="shared" si="11"/>
        <v>873769.3002516519</v>
      </c>
      <c r="F111" s="221">
        <f t="shared" si="12"/>
        <v>0.38022483411632529</v>
      </c>
      <c r="H111" s="206">
        <v>2045</v>
      </c>
      <c r="I111" s="195">
        <f t="shared" si="13"/>
        <v>208262.2045393984</v>
      </c>
      <c r="J111" s="195">
        <f t="shared" si="14"/>
        <v>39197.616910334968</v>
      </c>
      <c r="K111" s="195">
        <f t="shared" si="15"/>
        <v>117665.66655982462</v>
      </c>
      <c r="L111" s="195">
        <f t="shared" si="16"/>
        <v>149948.98235462036</v>
      </c>
      <c r="M111" s="195">
        <f t="shared" si="17"/>
        <v>421529.6311635985</v>
      </c>
      <c r="O111" s="195">
        <f t="shared" si="18"/>
        <v>247459.82144973337</v>
      </c>
      <c r="P111" s="196">
        <f t="shared" si="19"/>
        <v>0.84160007600144016</v>
      </c>
      <c r="Q111" s="195">
        <f t="shared" si="20"/>
        <v>689144.28007804346</v>
      </c>
      <c r="R111" s="196">
        <f t="shared" si="21"/>
        <v>0.21758721169047371</v>
      </c>
      <c r="S111" s="464">
        <f t="shared" si="22"/>
        <v>936604.1015277768</v>
      </c>
      <c r="T111" s="196">
        <f t="shared" si="28"/>
        <v>0.26420962821546479</v>
      </c>
      <c r="W111" s="195">
        <f t="shared" si="30"/>
        <v>25982.399649896834</v>
      </c>
      <c r="X111" s="195">
        <f t="shared" si="23"/>
        <v>6619.5015348489978</v>
      </c>
      <c r="Y111" s="195">
        <f t="shared" si="31"/>
        <v>30232.900091379124</v>
      </c>
      <c r="Z111" s="195">
        <f t="shared" si="33"/>
        <v>62834.801276124956</v>
      </c>
      <c r="AA111" s="196">
        <f t="shared" si="34"/>
        <v>0.17309454868746474</v>
      </c>
      <c r="AB111" s="196">
        <f t="shared" si="24"/>
        <v>0.24040878262281093</v>
      </c>
      <c r="AC111" s="196">
        <f t="shared" si="32"/>
        <v>0.41350333131027572</v>
      </c>
      <c r="AD111" s="247">
        <f t="shared" si="29"/>
        <v>0.58649666868972428</v>
      </c>
      <c r="AF111" s="251">
        <f t="shared" si="25"/>
        <v>0.5813950322020941</v>
      </c>
      <c r="AG111" s="251">
        <f t="shared" si="26"/>
        <v>0.41860496779790579</v>
      </c>
    </row>
    <row r="112" spans="1:33" x14ac:dyDescent="0.25">
      <c r="A112" s="206">
        <v>2046</v>
      </c>
      <c r="B112" s="195">
        <f t="shared" si="27"/>
        <v>340913.8603429026</v>
      </c>
      <c r="C112" s="195">
        <f t="shared" si="9"/>
        <v>111994.98801246702</v>
      </c>
      <c r="D112" s="195">
        <f t="shared" si="10"/>
        <v>438157.60713996447</v>
      </c>
      <c r="E112" s="195">
        <f t="shared" si="11"/>
        <v>891066.45549533411</v>
      </c>
      <c r="F112" s="221">
        <f t="shared" si="12"/>
        <v>0.38259083622825002</v>
      </c>
      <c r="H112" s="206">
        <v>2046</v>
      </c>
      <c r="I112" s="195">
        <f t="shared" si="13"/>
        <v>215170.36506951661</v>
      </c>
      <c r="J112" s="195">
        <f t="shared" si="14"/>
        <v>40259.510936472827</v>
      </c>
      <c r="K112" s="195">
        <f t="shared" si="15"/>
        <v>119025.52465714964</v>
      </c>
      <c r="L112" s="195">
        <f t="shared" si="16"/>
        <v>153742.98559130047</v>
      </c>
      <c r="M112" s="195">
        <f t="shared" si="17"/>
        <v>430225.30983053142</v>
      </c>
      <c r="O112" s="195">
        <f t="shared" si="18"/>
        <v>255429.87600598944</v>
      </c>
      <c r="P112" s="196">
        <f t="shared" si="19"/>
        <v>0.84238527001622632</v>
      </c>
      <c r="Q112" s="195">
        <f t="shared" si="20"/>
        <v>702993.82007898157</v>
      </c>
      <c r="R112" s="196">
        <f t="shared" si="21"/>
        <v>0.21869749235352795</v>
      </c>
      <c r="S112" s="464">
        <f t="shared" si="22"/>
        <v>958423.69608497107</v>
      </c>
      <c r="T112" s="196">
        <f t="shared" si="28"/>
        <v>0.26651039310629038</v>
      </c>
      <c r="W112" s="195">
        <f t="shared" si="30"/>
        <v>27999.490317914519</v>
      </c>
      <c r="X112" s="195">
        <f t="shared" si="23"/>
        <v>7030.5366446826229</v>
      </c>
      <c r="Y112" s="195">
        <f t="shared" si="31"/>
        <v>32327.213627039804</v>
      </c>
      <c r="Z112" s="195">
        <f t="shared" si="33"/>
        <v>67357.240589636946</v>
      </c>
      <c r="AA112" s="196">
        <f t="shared" si="34"/>
        <v>0.17323545334195248</v>
      </c>
      <c r="AB112" s="196">
        <f t="shared" si="24"/>
        <v>0.24245096838213306</v>
      </c>
      <c r="AC112" s="196">
        <f t="shared" si="32"/>
        <v>0.4156864217240856</v>
      </c>
      <c r="AD112" s="247">
        <f t="shared" si="29"/>
        <v>0.58431357827591446</v>
      </c>
      <c r="AF112" s="251">
        <f t="shared" si="25"/>
        <v>0.58325448153093962</v>
      </c>
      <c r="AG112" s="251">
        <f t="shared" si="26"/>
        <v>0.41674551846906027</v>
      </c>
    </row>
    <row r="113" spans="1:53" x14ac:dyDescent="0.25">
      <c r="A113" s="206">
        <v>2047</v>
      </c>
      <c r="B113" s="195">
        <f t="shared" si="27"/>
        <v>349793.91832929262</v>
      </c>
      <c r="C113" s="195">
        <f t="shared" si="9"/>
        <v>112894.81493322371</v>
      </c>
      <c r="D113" s="195">
        <f t="shared" si="10"/>
        <v>445935.89628621843</v>
      </c>
      <c r="E113" s="195">
        <f t="shared" si="11"/>
        <v>908624.62954873475</v>
      </c>
      <c r="F113" s="221">
        <f t="shared" si="12"/>
        <v>0.38497076455325291</v>
      </c>
      <c r="H113" s="206">
        <v>2047</v>
      </c>
      <c r="I113" s="195">
        <f t="shared" si="13"/>
        <v>222308.57041456972</v>
      </c>
      <c r="J113" s="195">
        <f t="shared" si="14"/>
        <v>41346.626090918384</v>
      </c>
      <c r="K113" s="195">
        <f t="shared" si="15"/>
        <v>120350.18488266582</v>
      </c>
      <c r="L113" s="195">
        <f t="shared" si="16"/>
        <v>157629.4489452152</v>
      </c>
      <c r="M113" s="195">
        <f t="shared" si="17"/>
        <v>439108.6351523053</v>
      </c>
      <c r="O113" s="195">
        <f t="shared" si="18"/>
        <v>263655.19650548813</v>
      </c>
      <c r="P113" s="196">
        <f t="shared" si="19"/>
        <v>0.84317917249904173</v>
      </c>
      <c r="Q113" s="195">
        <f t="shared" si="20"/>
        <v>717088.26898018632</v>
      </c>
      <c r="R113" s="196">
        <f t="shared" si="21"/>
        <v>0.21981875281461427</v>
      </c>
      <c r="S113" s="464">
        <f t="shared" si="22"/>
        <v>980743.46548567445</v>
      </c>
      <c r="T113" s="196">
        <f t="shared" si="28"/>
        <v>0.26883196858714048</v>
      </c>
      <c r="W113" s="195">
        <f t="shared" si="30"/>
        <v>30144.101030492282</v>
      </c>
      <c r="X113" s="195">
        <f t="shared" si="23"/>
        <v>7455.3699494421162</v>
      </c>
      <c r="Y113" s="195">
        <f t="shared" si="31"/>
        <v>34519.364957005251</v>
      </c>
      <c r="Z113" s="195">
        <f t="shared" si="33"/>
        <v>72118.835936939649</v>
      </c>
      <c r="AA113" s="196">
        <f t="shared" si="34"/>
        <v>0.17341163437617532</v>
      </c>
      <c r="AB113" s="196">
        <f t="shared" si="24"/>
        <v>0.24456656284334358</v>
      </c>
      <c r="AC113" s="196">
        <f t="shared" si="32"/>
        <v>0.41797819721951884</v>
      </c>
      <c r="AD113" s="247">
        <f t="shared" si="29"/>
        <v>0.58202180278048121</v>
      </c>
      <c r="AF113" s="251">
        <f t="shared" si="25"/>
        <v>0.58511799053216917</v>
      </c>
      <c r="AG113" s="251">
        <f t="shared" si="26"/>
        <v>0.41488200946783094</v>
      </c>
    </row>
    <row r="114" spans="1:53" x14ac:dyDescent="0.25">
      <c r="A114" s="206">
        <v>2048</v>
      </c>
      <c r="B114" s="195">
        <f t="shared" si="27"/>
        <v>358869.04414744984</v>
      </c>
      <c r="C114" s="195">
        <f t="shared" si="9"/>
        <v>113747.56047189463</v>
      </c>
      <c r="D114" s="195">
        <f t="shared" si="10"/>
        <v>453831.0519476569</v>
      </c>
      <c r="E114" s="195">
        <f t="shared" si="11"/>
        <v>926447.65656700148</v>
      </c>
      <c r="F114" s="221">
        <f t="shared" si="12"/>
        <v>0.38736030212139255</v>
      </c>
      <c r="H114" s="206">
        <v>2048</v>
      </c>
      <c r="I114" s="195">
        <f t="shared" si="13"/>
        <v>229685.84712128784</v>
      </c>
      <c r="J114" s="195">
        <f t="shared" si="14"/>
        <v>42459.838795411437</v>
      </c>
      <c r="K114" s="195">
        <f t="shared" si="15"/>
        <v>121642.21882872912</v>
      </c>
      <c r="L114" s="195">
        <f t="shared" si="16"/>
        <v>161609.98681030492</v>
      </c>
      <c r="M114" s="195">
        <f t="shared" si="17"/>
        <v>448188.88340696192</v>
      </c>
      <c r="O114" s="195">
        <f t="shared" si="18"/>
        <v>272145.68591669929</v>
      </c>
      <c r="P114" s="196">
        <f t="shared" si="19"/>
        <v>0.84398121670608461</v>
      </c>
      <c r="Q114" s="195">
        <f t="shared" si="20"/>
        <v>731441.08904599596</v>
      </c>
      <c r="R114" s="196">
        <f t="shared" si="21"/>
        <v>0.22094737256432997</v>
      </c>
      <c r="S114" s="464">
        <f t="shared" si="22"/>
        <v>1003586.7749626953</v>
      </c>
      <c r="T114" s="196">
        <f t="shared" si="28"/>
        <v>0.27117304921322355</v>
      </c>
      <c r="W114" s="195">
        <f t="shared" si="30"/>
        <v>32426.789784142922</v>
      </c>
      <c r="X114" s="195">
        <f t="shared" si="23"/>
        <v>7894.658356834494</v>
      </c>
      <c r="Y114" s="195">
        <f t="shared" si="31"/>
        <v>36817.670254716475</v>
      </c>
      <c r="Z114" s="195">
        <f t="shared" si="33"/>
        <v>77139.118395693891</v>
      </c>
      <c r="AA114" s="196">
        <f t="shared" si="34"/>
        <v>0.17361700327429949</v>
      </c>
      <c r="AB114" s="196">
        <f t="shared" si="24"/>
        <v>0.24675064492471166</v>
      </c>
      <c r="AC114" s="196">
        <f t="shared" si="32"/>
        <v>0.42036764819901118</v>
      </c>
      <c r="AD114" s="247">
        <f t="shared" si="29"/>
        <v>0.57963235180098882</v>
      </c>
      <c r="AF114" s="251">
        <f t="shared" si="25"/>
        <v>0.58698771416370876</v>
      </c>
      <c r="AG114" s="251">
        <f t="shared" si="26"/>
        <v>0.41301228583629118</v>
      </c>
    </row>
    <row r="115" spans="1:53" x14ac:dyDescent="0.25">
      <c r="A115" s="206">
        <v>2049</v>
      </c>
      <c r="B115" s="195">
        <f t="shared" si="27"/>
        <v>368139.32074153243</v>
      </c>
      <c r="C115" s="195">
        <f t="shared" si="9"/>
        <v>114555.13931312872</v>
      </c>
      <c r="D115" s="195">
        <f t="shared" si="10"/>
        <v>461844.91065062053</v>
      </c>
      <c r="E115" s="195">
        <f t="shared" si="11"/>
        <v>944539.37070528162</v>
      </c>
      <c r="F115" s="221">
        <f t="shared" si="12"/>
        <v>0.3897554005257029</v>
      </c>
      <c r="H115" s="206">
        <v>2049</v>
      </c>
      <c r="I115" s="195">
        <f t="shared" si="13"/>
        <v>237311.79117270996</v>
      </c>
      <c r="J115" s="195">
        <f t="shared" si="14"/>
        <v>43600.023499960502</v>
      </c>
      <c r="K115" s="195">
        <f t="shared" si="15"/>
        <v>122904.10929399486</v>
      </c>
      <c r="L115" s="195">
        <f t="shared" si="16"/>
        <v>165686.35455461167</v>
      </c>
      <c r="M115" s="195">
        <f t="shared" si="17"/>
        <v>457476.58485496265</v>
      </c>
      <c r="O115" s="195">
        <f t="shared" si="18"/>
        <v>280911.81467267044</v>
      </c>
      <c r="P115" s="196">
        <f t="shared" si="19"/>
        <v>0.84479106530010151</v>
      </c>
      <c r="Q115" s="195">
        <f t="shared" si="20"/>
        <v>746067.0487035691</v>
      </c>
      <c r="R115" s="196">
        <f t="shared" si="21"/>
        <v>0.22207971098914323</v>
      </c>
      <c r="S115" s="464">
        <f t="shared" si="22"/>
        <v>1026978.8633762395</v>
      </c>
      <c r="T115" s="196">
        <f t="shared" si="28"/>
        <v>0.27353222611530692</v>
      </c>
      <c r="W115" s="195">
        <f t="shared" si="30"/>
        <v>34858.824985789193</v>
      </c>
      <c r="X115" s="195">
        <f t="shared" si="23"/>
        <v>8348.9699808661389</v>
      </c>
      <c r="Y115" s="195">
        <f t="shared" si="31"/>
        <v>39231.697704302613</v>
      </c>
      <c r="Z115" s="195">
        <f t="shared" si="33"/>
        <v>82439.492670957945</v>
      </c>
      <c r="AA115" s="196">
        <f t="shared" si="34"/>
        <v>0.17384456923339886</v>
      </c>
      <c r="AB115" s="196">
        <f t="shared" si="24"/>
        <v>0.24899676392377831</v>
      </c>
      <c r="AC115" s="196">
        <f t="shared" si="32"/>
        <v>0.42284133315717715</v>
      </c>
      <c r="AD115" s="247">
        <f t="shared" si="29"/>
        <v>0.5771586668428228</v>
      </c>
      <c r="AF115" s="251">
        <f t="shared" si="25"/>
        <v>0.58886571486430839</v>
      </c>
      <c r="AG115" s="251">
        <f t="shared" si="26"/>
        <v>0.41113428513569167</v>
      </c>
    </row>
    <row r="116" spans="1:53" ht="13.8" thickBot="1" x14ac:dyDescent="0.3">
      <c r="A116" s="208">
        <v>2050</v>
      </c>
      <c r="B116" s="195">
        <f t="shared" si="27"/>
        <v>377604.83105569833</v>
      </c>
      <c r="C116" s="195">
        <f t="shared" si="9"/>
        <v>115319.4661415749</v>
      </c>
      <c r="D116" s="195">
        <f t="shared" si="10"/>
        <v>469979.30892144982</v>
      </c>
      <c r="E116" s="195">
        <f t="shared" si="11"/>
        <v>962903.60611872305</v>
      </c>
      <c r="F116" s="222">
        <f t="shared" si="12"/>
        <v>0.3921522659757708</v>
      </c>
      <c r="H116" s="208">
        <v>2050</v>
      </c>
      <c r="I116" s="195">
        <f t="shared" si="13"/>
        <v>245195.51480613835</v>
      </c>
      <c r="J116" s="195">
        <f t="shared" si="14"/>
        <v>44768.073706873511</v>
      </c>
      <c r="K116" s="195">
        <f t="shared" si="15"/>
        <v>124138.33107216636</v>
      </c>
      <c r="L116" s="195">
        <f t="shared" si="16"/>
        <v>169860.10463784603</v>
      </c>
      <c r="M116" s="195">
        <f t="shared" si="17"/>
        <v>466981.80482272105</v>
      </c>
      <c r="O116" s="195">
        <f t="shared" si="18"/>
        <v>289963.58851301187</v>
      </c>
      <c r="P116" s="210">
        <f t="shared" si="19"/>
        <v>0.84560794706517228</v>
      </c>
      <c r="Q116" s="195">
        <f t="shared" si="20"/>
        <v>760980.24053273338</v>
      </c>
      <c r="R116" s="210">
        <f t="shared" si="21"/>
        <v>0.22321224072642598</v>
      </c>
      <c r="S116" s="464">
        <f t="shared" si="22"/>
        <v>1050943.8290457453</v>
      </c>
      <c r="T116" s="196">
        <f t="shared" si="28"/>
        <v>0.27590778926433984</v>
      </c>
      <c r="W116" s="195">
        <f t="shared" si="30"/>
        <v>37450.788388286019</v>
      </c>
      <c r="X116" s="195">
        <f t="shared" si="23"/>
        <v>8818.8649305914587</v>
      </c>
      <c r="Y116" s="195">
        <f t="shared" si="31"/>
        <v>41770.569608144753</v>
      </c>
      <c r="Z116" s="195">
        <f t="shared" si="33"/>
        <v>88040.222927022231</v>
      </c>
      <c r="AA116" s="196">
        <f t="shared" si="34"/>
        <v>0.17408643035818808</v>
      </c>
      <c r="AB116" s="196">
        <f t="shared" si="24"/>
        <v>0.25129627703601631</v>
      </c>
      <c r="AC116" s="196">
        <f t="shared" si="32"/>
        <v>0.42538270739420436</v>
      </c>
      <c r="AD116" s="247">
        <f t="shared" si="29"/>
        <v>0.57461729260579564</v>
      </c>
      <c r="AF116" s="251">
        <f t="shared" si="25"/>
        <v>0.59075339139994409</v>
      </c>
      <c r="AG116" s="251">
        <f t="shared" si="26"/>
        <v>0.40924660860005596</v>
      </c>
    </row>
    <row r="117" spans="1:53" x14ac:dyDescent="0.25">
      <c r="A117" s="213">
        <v>2051</v>
      </c>
      <c r="B117" s="195">
        <f t="shared" si="27"/>
        <v>387265.65803410549</v>
      </c>
      <c r="C117" s="195">
        <f t="shared" si="9"/>
        <v>116042.45564188216</v>
      </c>
      <c r="D117" s="195">
        <f t="shared" si="10"/>
        <v>478236.0832864854</v>
      </c>
      <c r="E117" s="195">
        <f t="shared" si="11"/>
        <v>981544.1969624731</v>
      </c>
      <c r="F117" s="214">
        <f t="shared" si="12"/>
        <v>0.39454734614350906</v>
      </c>
      <c r="H117" s="213">
        <v>2051</v>
      </c>
      <c r="I117" s="195">
        <f t="shared" si="13"/>
        <v>253345.3335046561</v>
      </c>
      <c r="J117" s="195">
        <f t="shared" si="14"/>
        <v>45964.810929373765</v>
      </c>
      <c r="K117" s="195">
        <f t="shared" si="15"/>
        <v>125347.47226731048</v>
      </c>
      <c r="L117" s="195">
        <f t="shared" si="16"/>
        <v>174132.40461669129</v>
      </c>
      <c r="M117" s="195">
        <f t="shared" si="17"/>
        <v>476712.94730961247</v>
      </c>
      <c r="O117" s="195">
        <f t="shared" si="18"/>
        <v>299310.14443402988</v>
      </c>
      <c r="P117" s="214">
        <f t="shared" si="19"/>
        <v>0.84643082840947692</v>
      </c>
      <c r="Q117" s="195">
        <f t="shared" si="20"/>
        <v>776192.82419361419</v>
      </c>
      <c r="R117" s="214">
        <f t="shared" si="21"/>
        <v>0.22434168313472524</v>
      </c>
      <c r="S117" s="464">
        <f t="shared" si="22"/>
        <v>1075502.968627644</v>
      </c>
      <c r="T117" s="196">
        <f t="shared" si="28"/>
        <v>0.27829783195852409</v>
      </c>
      <c r="W117" s="195">
        <f t="shared" si="30"/>
        <v>40212.080087241891</v>
      </c>
      <c r="X117" s="195">
        <f t="shared" si="23"/>
        <v>9305.0166254283249</v>
      </c>
      <c r="Y117" s="195">
        <f t="shared" si="31"/>
        <v>44441.674952500849</v>
      </c>
      <c r="Z117" s="195">
        <f t="shared" si="33"/>
        <v>93958.771665171065</v>
      </c>
      <c r="AA117" s="196">
        <f t="shared" si="34"/>
        <v>0.17433528770207138</v>
      </c>
      <c r="AB117" s="196">
        <f t="shared" si="24"/>
        <v>0.25364050821978862</v>
      </c>
      <c r="AC117" s="196">
        <f t="shared" si="32"/>
        <v>0.42797579592185997</v>
      </c>
      <c r="AD117" s="247">
        <f t="shared" si="29"/>
        <v>0.57202420407814003</v>
      </c>
      <c r="AF117" s="251">
        <f t="shared" si="25"/>
        <v>0.59265152524209197</v>
      </c>
      <c r="AG117" s="251">
        <f t="shared" si="26"/>
        <v>0.40734847475790803</v>
      </c>
    </row>
    <row r="118" spans="1:53" x14ac:dyDescent="0.25">
      <c r="A118" s="194">
        <v>2052</v>
      </c>
      <c r="B118" s="195">
        <f t="shared" si="27"/>
        <v>397121.88462091197</v>
      </c>
      <c r="C118" s="195">
        <f t="shared" si="9"/>
        <v>116726.02249869943</v>
      </c>
      <c r="D118" s="195">
        <f t="shared" si="10"/>
        <v>486617.07027206768</v>
      </c>
      <c r="E118" s="195">
        <f t="shared" si="11"/>
        <v>1000464.9773916791</v>
      </c>
      <c r="F118" s="196">
        <f t="shared" si="12"/>
        <v>0.39693731774224811</v>
      </c>
      <c r="H118" s="194">
        <v>2052</v>
      </c>
      <c r="I118" s="195">
        <f t="shared" si="13"/>
        <v>261768.23307911909</v>
      </c>
      <c r="J118" s="195">
        <f t="shared" si="14"/>
        <v>47191.033423884059</v>
      </c>
      <c r="K118" s="195">
        <f t="shared" si="15"/>
        <v>126534.03506973198</v>
      </c>
      <c r="L118" s="195">
        <f t="shared" si="16"/>
        <v>178504.16849480208</v>
      </c>
      <c r="M118" s="195">
        <f t="shared" si="17"/>
        <v>486677.82081999973</v>
      </c>
      <c r="O118" s="195">
        <f t="shared" si="18"/>
        <v>308959.26650300313</v>
      </c>
      <c r="P118" s="196">
        <f t="shared" si="19"/>
        <v>0.84725807399136432</v>
      </c>
      <c r="Q118" s="195">
        <f t="shared" si="20"/>
        <v>791716.02438453375</v>
      </c>
      <c r="R118" s="196">
        <f t="shared" si="21"/>
        <v>0.22546489271019632</v>
      </c>
      <c r="S118" s="464">
        <f t="shared" si="22"/>
        <v>1100675.2908875369</v>
      </c>
      <c r="T118" s="196">
        <f t="shared" si="28"/>
        <v>0.28069973866122838</v>
      </c>
      <c r="W118" s="195">
        <f t="shared" si="30"/>
        <v>43150.516953009239</v>
      </c>
      <c r="X118" s="195">
        <f t="shared" si="23"/>
        <v>9808.0125710325519</v>
      </c>
      <c r="Y118" s="195">
        <f t="shared" si="31"/>
        <v>47251.783971816069</v>
      </c>
      <c r="Z118" s="195">
        <f t="shared" si="33"/>
        <v>100210.31349585786</v>
      </c>
      <c r="AA118" s="196">
        <f t="shared" si="34"/>
        <v>0.17458240905823244</v>
      </c>
      <c r="AB118" s="196">
        <f t="shared" si="24"/>
        <v>0.25601715148293719</v>
      </c>
      <c r="AC118" s="196">
        <f t="shared" si="32"/>
        <v>0.43059956054116966</v>
      </c>
      <c r="AD118" s="247">
        <f t="shared" si="29"/>
        <v>0.56940043945883034</v>
      </c>
      <c r="AF118" s="251">
        <f t="shared" si="25"/>
        <v>0.59455971381201489</v>
      </c>
      <c r="AG118" s="251">
        <f t="shared" si="26"/>
        <v>0.40544028618798506</v>
      </c>
    </row>
    <row r="119" spans="1:53" x14ac:dyDescent="0.25">
      <c r="A119" s="194">
        <v>2053</v>
      </c>
      <c r="B119" s="195">
        <f t="shared" si="27"/>
        <v>407173.59376027581</v>
      </c>
      <c r="C119" s="195">
        <f t="shared" si="9"/>
        <v>117372.08139667561</v>
      </c>
      <c r="D119" s="195">
        <f t="shared" si="10"/>
        <v>495124.10640453751</v>
      </c>
      <c r="E119" s="195">
        <f t="shared" si="11"/>
        <v>1019669.781561489</v>
      </c>
      <c r="F119" s="196">
        <f t="shared" si="12"/>
        <v>0.39931907478590123</v>
      </c>
      <c r="H119" s="194">
        <v>2053</v>
      </c>
      <c r="I119" s="195">
        <f t="shared" si="13"/>
        <v>270470.20316457236</v>
      </c>
      <c r="J119" s="195">
        <f t="shared" si="14"/>
        <v>48447.477804643131</v>
      </c>
      <c r="K119" s="195">
        <f t="shared" si="15"/>
        <v>127700.2476535118</v>
      </c>
      <c r="L119" s="195">
        <f t="shared" si="16"/>
        <v>182976.46342725918</v>
      </c>
      <c r="M119" s="195">
        <f t="shared" si="17"/>
        <v>496885.78851042117</v>
      </c>
      <c r="O119" s="195">
        <f t="shared" si="18"/>
        <v>318917.68096921546</v>
      </c>
      <c r="P119" s="196">
        <f t="shared" si="19"/>
        <v>0.84808782737473987</v>
      </c>
      <c r="Q119" s="195">
        <f t="shared" si="20"/>
        <v>807562.49959119223</v>
      </c>
      <c r="R119" s="196">
        <f t="shared" si="21"/>
        <v>0.22657870260182503</v>
      </c>
      <c r="S119" s="464">
        <f t="shared" si="22"/>
        <v>1126480.1805604077</v>
      </c>
      <c r="T119" s="196">
        <f t="shared" si="28"/>
        <v>0.28310989085538862</v>
      </c>
      <c r="W119" s="195">
        <f t="shared" si="30"/>
        <v>46273.072831555735</v>
      </c>
      <c r="X119" s="195">
        <f t="shared" si="23"/>
        <v>10328.166256836193</v>
      </c>
      <c r="Y119" s="195">
        <f t="shared" si="31"/>
        <v>50209.159910526767</v>
      </c>
      <c r="Z119" s="195">
        <f t="shared" si="33"/>
        <v>106810.3989989187</v>
      </c>
      <c r="AA119" s="196">
        <f t="shared" si="34"/>
        <v>0.1748170626121234</v>
      </c>
      <c r="AB119" s="196">
        <f t="shared" si="24"/>
        <v>0.25840922682458384</v>
      </c>
      <c r="AC119" s="196">
        <f t="shared" si="32"/>
        <v>0.43322628943670721</v>
      </c>
      <c r="AD119" s="247">
        <f t="shared" si="29"/>
        <v>0.56677371056329273</v>
      </c>
      <c r="AF119" s="251">
        <f t="shared" si="25"/>
        <v>0.59647632917331639</v>
      </c>
      <c r="AG119" s="251">
        <f t="shared" si="26"/>
        <v>0.40352367082668361</v>
      </c>
    </row>
    <row r="120" spans="1:53" x14ac:dyDescent="0.25">
      <c r="A120" s="194">
        <v>2054</v>
      </c>
      <c r="B120" s="195">
        <f t="shared" si="27"/>
        <v>417420.86839635496</v>
      </c>
      <c r="C120" s="195">
        <f t="shared" si="9"/>
        <v>117982.54702045969</v>
      </c>
      <c r="D120" s="195">
        <f t="shared" si="10"/>
        <v>503759.02821023529</v>
      </c>
      <c r="E120" s="195">
        <f t="shared" si="11"/>
        <v>1039162.4436270499</v>
      </c>
      <c r="F120" s="196">
        <f t="shared" si="12"/>
        <v>0.40168971747997967</v>
      </c>
      <c r="H120" s="194">
        <v>2054</v>
      </c>
      <c r="I120" s="195">
        <f t="shared" si="13"/>
        <v>279456.14698659175</v>
      </c>
      <c r="J120" s="195">
        <f t="shared" si="14"/>
        <v>49734.809695240074</v>
      </c>
      <c r="K120" s="195">
        <f t="shared" si="15"/>
        <v>128848.18954279039</v>
      </c>
      <c r="L120" s="195">
        <f t="shared" si="16"/>
        <v>187550.33279632987</v>
      </c>
      <c r="M120" s="195">
        <f t="shared" si="17"/>
        <v>507346.25335234753</v>
      </c>
      <c r="O120" s="195">
        <f t="shared" si="18"/>
        <v>329190.9566818318</v>
      </c>
      <c r="P120" s="196">
        <f t="shared" si="19"/>
        <v>0.8489180559619397</v>
      </c>
      <c r="Q120" s="195">
        <f t="shared" si="20"/>
        <v>823744.7756914678</v>
      </c>
      <c r="R120" s="196">
        <f t="shared" si="21"/>
        <v>0.22768014842812978</v>
      </c>
      <c r="S120" s="464">
        <f t="shared" si="22"/>
        <v>1152935.7323732995</v>
      </c>
      <c r="T120" s="196">
        <f t="shared" si="28"/>
        <v>0.285524116772925</v>
      </c>
      <c r="W120" s="195">
        <f t="shared" si="30"/>
        <v>49585.611386566656</v>
      </c>
      <c r="X120" s="195">
        <f t="shared" si="23"/>
        <v>10865.642522330701</v>
      </c>
      <c r="Y120" s="195">
        <f t="shared" si="31"/>
        <v>53322.034837352345</v>
      </c>
      <c r="Z120" s="195">
        <f t="shared" si="33"/>
        <v>113773.2887462497</v>
      </c>
      <c r="AA120" s="196">
        <f t="shared" si="34"/>
        <v>0.1750291134336843</v>
      </c>
      <c r="AB120" s="196">
        <f t="shared" si="24"/>
        <v>0.26079911947569573</v>
      </c>
      <c r="AC120" s="196">
        <f t="shared" si="32"/>
        <v>0.43582823290938</v>
      </c>
      <c r="AD120" s="247">
        <f t="shared" si="29"/>
        <v>0.56417176709062</v>
      </c>
      <c r="AF120" s="251">
        <f t="shared" si="25"/>
        <v>0.59839886400824938</v>
      </c>
      <c r="AG120" s="251">
        <f t="shared" si="26"/>
        <v>0.40160113599175068</v>
      </c>
    </row>
    <row r="121" spans="1:53" x14ac:dyDescent="0.25">
      <c r="A121" s="194">
        <v>2055</v>
      </c>
      <c r="B121" s="195">
        <f t="shared" si="27"/>
        <v>427863.79147330741</v>
      </c>
      <c r="C121" s="195">
        <f t="shared" si="9"/>
        <v>118559.33405470058</v>
      </c>
      <c r="D121" s="195">
        <f t="shared" si="10"/>
        <v>512523.67221550172</v>
      </c>
      <c r="E121" s="195">
        <f t="shared" si="11"/>
        <v>1058946.7977435098</v>
      </c>
      <c r="F121" s="196">
        <f t="shared" si="12"/>
        <v>0.40404654170071103</v>
      </c>
      <c r="H121" s="194">
        <v>2055</v>
      </c>
      <c r="I121" s="195">
        <f t="shared" si="13"/>
        <v>288730.92797744728</v>
      </c>
      <c r="J121" s="195">
        <f t="shared" si="14"/>
        <v>51053.704801068343</v>
      </c>
      <c r="K121" s="195">
        <f t="shared" si="15"/>
        <v>129979.95632689552</v>
      </c>
      <c r="L121" s="195">
        <f t="shared" si="16"/>
        <v>192226.84752846934</v>
      </c>
      <c r="M121" s="195">
        <f t="shared" si="17"/>
        <v>518068.30866567721</v>
      </c>
      <c r="O121" s="195">
        <f t="shared" si="18"/>
        <v>339784.63277851563</v>
      </c>
      <c r="P121" s="196">
        <f t="shared" si="19"/>
        <v>0.84974686941081568</v>
      </c>
      <c r="Q121" s="195">
        <f t="shared" si="20"/>
        <v>840275.112521042</v>
      </c>
      <c r="R121" s="196">
        <f t="shared" si="21"/>
        <v>0.22876656069431742</v>
      </c>
      <c r="S121" s="464">
        <f t="shared" si="22"/>
        <v>1180059.7452995577</v>
      </c>
      <c r="T121" s="196">
        <f t="shared" si="28"/>
        <v>0.28793849983609215</v>
      </c>
      <c r="W121" s="195">
        <f t="shared" si="30"/>
        <v>53093.984032609209</v>
      </c>
      <c r="X121" s="195">
        <f t="shared" si="23"/>
        <v>11420.622272194945</v>
      </c>
      <c r="Y121" s="195">
        <f t="shared" si="31"/>
        <v>56598.341251243779</v>
      </c>
      <c r="Z121" s="195">
        <f t="shared" si="33"/>
        <v>121112.94755604793</v>
      </c>
      <c r="AA121" s="196">
        <f t="shared" si="34"/>
        <v>0.17521118808391936</v>
      </c>
      <c r="AB121" s="196">
        <f t="shared" si="24"/>
        <v>0.26317285841151161</v>
      </c>
      <c r="AC121" s="196">
        <f t="shared" si="32"/>
        <v>0.43838404649543095</v>
      </c>
      <c r="AD121" s="247">
        <f t="shared" si="29"/>
        <v>0.56161595350456905</v>
      </c>
      <c r="AF121" s="251">
        <f t="shared" si="25"/>
        <v>0.60032489894509544</v>
      </c>
      <c r="AG121" s="251">
        <f t="shared" si="26"/>
        <v>0.39967510105490461</v>
      </c>
    </row>
    <row r="122" spans="1:53" x14ac:dyDescent="0.25">
      <c r="A122" s="194">
        <v>2056</v>
      </c>
      <c r="B122" s="195">
        <f t="shared" si="27"/>
        <v>438502.44593529135</v>
      </c>
      <c r="C122" s="195">
        <f t="shared" si="9"/>
        <v>119104.35718404726</v>
      </c>
      <c r="D122" s="195">
        <f t="shared" si="10"/>
        <v>521419.87494667724</v>
      </c>
      <c r="E122" s="195">
        <f t="shared" si="11"/>
        <v>1079026.6780660159</v>
      </c>
      <c r="F122" s="196">
        <f t="shared" si="12"/>
        <v>0.40638702902252372</v>
      </c>
      <c r="H122" s="194">
        <v>2056</v>
      </c>
      <c r="I122" s="195">
        <f t="shared" si="13"/>
        <v>298301.28373611742</v>
      </c>
      <c r="J122" s="195">
        <f t="shared" si="14"/>
        <v>52404.913020585991</v>
      </c>
      <c r="K122" s="195">
        <f t="shared" si="15"/>
        <v>131097.87860726501</v>
      </c>
      <c r="L122" s="195">
        <f t="shared" si="16"/>
        <v>197007.33069568669</v>
      </c>
      <c r="M122" s="195">
        <f t="shared" si="17"/>
        <v>529060.77819854603</v>
      </c>
      <c r="O122" s="195">
        <f t="shared" si="18"/>
        <v>350706.19675670343</v>
      </c>
      <c r="P122" s="196">
        <f t="shared" si="19"/>
        <v>0.8505731763361426</v>
      </c>
      <c r="Q122" s="195">
        <f t="shared" si="20"/>
        <v>857165.98750149761</v>
      </c>
      <c r="R122" s="196">
        <f t="shared" si="21"/>
        <v>0.22983568359954609</v>
      </c>
      <c r="S122" s="464">
        <f t="shared" si="22"/>
        <v>1207872.1842582012</v>
      </c>
      <c r="T122" s="196">
        <f t="shared" si="28"/>
        <v>0.29035042062176886</v>
      </c>
      <c r="W122" s="195">
        <f t="shared" si="30"/>
        <v>56806.16849651275</v>
      </c>
      <c r="X122" s="195">
        <f t="shared" si="23"/>
        <v>11993.521423217753</v>
      </c>
      <c r="Y122" s="195">
        <f t="shared" si="31"/>
        <v>60045.816272454802</v>
      </c>
      <c r="Z122" s="195">
        <f t="shared" si="33"/>
        <v>128845.5061921853</v>
      </c>
      <c r="AA122" s="196">
        <f t="shared" si="34"/>
        <v>0.17536088434815744</v>
      </c>
      <c r="AB122" s="196">
        <f t="shared" si="24"/>
        <v>0.26552502758873975</v>
      </c>
      <c r="AC122" s="196">
        <f t="shared" si="32"/>
        <v>0.44088591193689719</v>
      </c>
      <c r="AD122" s="247">
        <f t="shared" si="29"/>
        <v>0.55911408806310281</v>
      </c>
      <c r="AF122" s="251">
        <f t="shared" si="25"/>
        <v>0.60225337303756632</v>
      </c>
      <c r="AG122" s="251">
        <f t="shared" si="26"/>
        <v>0.39774662696243368</v>
      </c>
    </row>
    <row r="123" spans="1:53" x14ac:dyDescent="0.25">
      <c r="A123" s="194">
        <v>2057</v>
      </c>
      <c r="B123" s="195">
        <f t="shared" si="27"/>
        <v>449336.91472646443</v>
      </c>
      <c r="C123" s="195">
        <f t="shared" si="9"/>
        <v>119619.53109314863</v>
      </c>
      <c r="D123" s="195">
        <f t="shared" si="10"/>
        <v>530449.47293010261</v>
      </c>
      <c r="E123" s="195">
        <f t="shared" si="11"/>
        <v>1099405.9187497157</v>
      </c>
      <c r="F123" s="196">
        <f t="shared" si="12"/>
        <v>0.40870883725773161</v>
      </c>
      <c r="H123" s="194">
        <v>2057</v>
      </c>
      <c r="I123" s="195">
        <f t="shared" si="13"/>
        <v>308173.29954408214</v>
      </c>
      <c r="J123" s="195">
        <f t="shared" si="14"/>
        <v>53789.147598903801</v>
      </c>
      <c r="K123" s="195">
        <f t="shared" si="15"/>
        <v>132204.27358333676</v>
      </c>
      <c r="L123" s="195">
        <f t="shared" si="16"/>
        <v>201892.85026257471</v>
      </c>
      <c r="M123" s="195">
        <f t="shared" si="17"/>
        <v>540331.40861626482</v>
      </c>
      <c r="O123" s="195">
        <f t="shared" si="18"/>
        <v>361962.44714298594</v>
      </c>
      <c r="P123" s="196">
        <f t="shared" si="19"/>
        <v>0.8513957786961931</v>
      </c>
      <c r="Q123" s="195">
        <f t="shared" si="20"/>
        <v>874428.53246217628</v>
      </c>
      <c r="R123" s="196">
        <f t="shared" si="21"/>
        <v>0.23088547864980338</v>
      </c>
      <c r="S123" s="464">
        <f t="shared" si="22"/>
        <v>1236390.9796051623</v>
      </c>
      <c r="T123" s="196">
        <f t="shared" si="28"/>
        <v>0.29275726943476854</v>
      </c>
      <c r="W123" s="195">
        <f t="shared" si="30"/>
        <v>60729.235080192448</v>
      </c>
      <c r="X123" s="195">
        <f t="shared" si="23"/>
        <v>12584.742490188131</v>
      </c>
      <c r="Y123" s="195">
        <f t="shared" si="31"/>
        <v>63671.083285066066</v>
      </c>
      <c r="Z123" s="195">
        <f t="shared" si="33"/>
        <v>136985.06085544665</v>
      </c>
      <c r="AA123" s="196">
        <f t="shared" si="34"/>
        <v>0.17547653108846928</v>
      </c>
      <c r="AB123" s="196">
        <f t="shared" si="24"/>
        <v>0.26785089966163939</v>
      </c>
      <c r="AC123" s="196">
        <f t="shared" si="32"/>
        <v>0.44332743075010872</v>
      </c>
      <c r="AD123" s="247">
        <f t="shared" si="29"/>
        <v>0.55667256924989128</v>
      </c>
      <c r="AF123" s="251">
        <f t="shared" si="25"/>
        <v>0.60418300579424211</v>
      </c>
      <c r="AG123" s="251">
        <f t="shared" si="26"/>
        <v>0.39581699420575783</v>
      </c>
    </row>
    <row r="124" spans="1:53" x14ac:dyDescent="0.25">
      <c r="A124" s="194">
        <v>2058</v>
      </c>
      <c r="B124" s="195">
        <f t="shared" si="27"/>
        <v>460367.28079098492</v>
      </c>
      <c r="C124" s="195">
        <f t="shared" si="9"/>
        <v>120106.77046665367</v>
      </c>
      <c r="D124" s="195">
        <f t="shared" si="10"/>
        <v>539614.30269211833</v>
      </c>
      <c r="E124" s="195">
        <f t="shared" si="11"/>
        <v>1120088.3539497568</v>
      </c>
      <c r="F124" s="196">
        <f t="shared" si="12"/>
        <v>0.41100979147546368</v>
      </c>
      <c r="H124" s="194">
        <v>2058</v>
      </c>
      <c r="I124" s="195">
        <f t="shared" si="13"/>
        <v>318349.7593507783</v>
      </c>
      <c r="J124" s="195">
        <f t="shared" si="14"/>
        <v>55206.924926923588</v>
      </c>
      <c r="K124" s="195">
        <f t="shared" si="15"/>
        <v>133301.1339496001</v>
      </c>
      <c r="L124" s="195">
        <f t="shared" si="16"/>
        <v>206884.00607346208</v>
      </c>
      <c r="M124" s="195">
        <f t="shared" si="17"/>
        <v>551886.11659668828</v>
      </c>
      <c r="O124" s="195">
        <f t="shared" si="18"/>
        <v>373556.68427770189</v>
      </c>
      <c r="P124" s="196">
        <f t="shared" si="19"/>
        <v>0.85221272366288914</v>
      </c>
      <c r="Q124" s="195">
        <f t="shared" si="20"/>
        <v>892071.25661975052</v>
      </c>
      <c r="R124" s="196">
        <f t="shared" si="21"/>
        <v>0.23191421597573941</v>
      </c>
      <c r="S124" s="464">
        <f t="shared" si="22"/>
        <v>1265627.9408974524</v>
      </c>
      <c r="T124" s="196">
        <f t="shared" si="28"/>
        <v>0.29515521284463281</v>
      </c>
      <c r="W124" s="195">
        <f t="shared" si="30"/>
        <v>64866.484633255459</v>
      </c>
      <c r="X124" s="195">
        <f t="shared" si="23"/>
        <v>13194.363482946428</v>
      </c>
      <c r="Y124" s="195">
        <f t="shared" si="31"/>
        <v>67478.738831493538</v>
      </c>
      <c r="Z124" s="195">
        <f t="shared" si="33"/>
        <v>145539.58694769541</v>
      </c>
      <c r="AA124" s="196">
        <f t="shared" si="34"/>
        <v>0.17555512164743781</v>
      </c>
      <c r="AB124" s="196">
        <f t="shared" si="24"/>
        <v>0.27014137917173398</v>
      </c>
      <c r="AC124" s="196">
        <f t="shared" si="32"/>
        <v>0.44569650081917184</v>
      </c>
      <c r="AD124" s="247">
        <f t="shared" si="29"/>
        <v>0.55430349918082822</v>
      </c>
      <c r="AF124" s="251">
        <f t="shared" si="25"/>
        <v>0.60611061265956823</v>
      </c>
      <c r="AG124" s="251">
        <f t="shared" si="26"/>
        <v>0.39388938734043172</v>
      </c>
    </row>
    <row r="125" spans="1:53" x14ac:dyDescent="0.25">
      <c r="A125" s="194">
        <v>2059</v>
      </c>
      <c r="B125" s="195">
        <f t="shared" si="27"/>
        <v>471593.62707301095</v>
      </c>
      <c r="C125" s="195">
        <f t="shared" si="9"/>
        <v>120567.98998921126</v>
      </c>
      <c r="D125" s="195">
        <f t="shared" si="10"/>
        <v>548916.20075906487</v>
      </c>
      <c r="E125" s="195">
        <f t="shared" si="11"/>
        <v>1141077.8178212871</v>
      </c>
      <c r="F125" s="196">
        <f t="shared" si="12"/>
        <v>0.41328787546974366</v>
      </c>
      <c r="H125" s="194">
        <v>2059</v>
      </c>
      <c r="I125" s="195">
        <f t="shared" si="13"/>
        <v>328831.85955371615</v>
      </c>
      <c r="J125" s="195">
        <f t="shared" si="14"/>
        <v>56658.639100383785</v>
      </c>
      <c r="K125" s="195">
        <f t="shared" si="15"/>
        <v>134390.31040673124</v>
      </c>
      <c r="L125" s="195">
        <f t="shared" si="16"/>
        <v>211981.22060469547</v>
      </c>
      <c r="M125" s="195">
        <f t="shared" si="17"/>
        <v>563729.72227296478</v>
      </c>
      <c r="O125" s="195">
        <f t="shared" si="18"/>
        <v>385490.49865409994</v>
      </c>
      <c r="P125" s="196">
        <f t="shared" si="19"/>
        <v>0.85302195696599126</v>
      </c>
      <c r="Q125" s="195">
        <f t="shared" si="20"/>
        <v>910101.25328439148</v>
      </c>
      <c r="R125" s="196">
        <f t="shared" si="21"/>
        <v>0.23292047982539682</v>
      </c>
      <c r="S125" s="464">
        <f t="shared" si="22"/>
        <v>1295591.7519384914</v>
      </c>
      <c r="T125" s="196">
        <f t="shared" si="28"/>
        <v>0.29754009940038678</v>
      </c>
      <c r="W125" s="195">
        <f t="shared" si="30"/>
        <v>69219.453085400688</v>
      </c>
      <c r="X125" s="195">
        <f t="shared" si="23"/>
        <v>13822.320417519979</v>
      </c>
      <c r="Y125" s="195">
        <f t="shared" si="31"/>
        <v>71472.160614283639</v>
      </c>
      <c r="Z125" s="195">
        <f t="shared" si="33"/>
        <v>154513.93411720431</v>
      </c>
      <c r="AA125" s="196">
        <f t="shared" si="34"/>
        <v>0.17559442157406077</v>
      </c>
      <c r="AB125" s="196">
        <f t="shared" si="24"/>
        <v>0.27238752569093649</v>
      </c>
      <c r="AC125" s="196">
        <f t="shared" si="32"/>
        <v>0.44798194726499729</v>
      </c>
      <c r="AD125" s="247">
        <f t="shared" si="29"/>
        <v>0.55201805273500271</v>
      </c>
      <c r="AF125" s="251">
        <f t="shared" si="25"/>
        <v>0.60803237129064391</v>
      </c>
      <c r="AG125" s="251">
        <f t="shared" si="26"/>
        <v>0.39196762870935598</v>
      </c>
    </row>
    <row r="126" spans="1:53" x14ac:dyDescent="0.25">
      <c r="A126" s="194">
        <v>2060</v>
      </c>
      <c r="B126" s="195">
        <f t="shared" si="27"/>
        <v>483016.03651670017</v>
      </c>
      <c r="C126" s="195">
        <f t="shared" si="9"/>
        <v>121005.1043454704</v>
      </c>
      <c r="D126" s="195">
        <f t="shared" si="10"/>
        <v>558357.00365728315</v>
      </c>
      <c r="E126" s="195">
        <f t="shared" si="11"/>
        <v>1162378.1445194536</v>
      </c>
      <c r="F126" s="196">
        <f t="shared" si="12"/>
        <v>0.41554122364919982</v>
      </c>
      <c r="H126" s="194">
        <v>2060</v>
      </c>
      <c r="I126" s="195">
        <f t="shared" si="13"/>
        <v>339621.34281219845</v>
      </c>
      <c r="J126" s="195">
        <f t="shared" si="14"/>
        <v>58144.765153932771</v>
      </c>
      <c r="K126" s="195">
        <f t="shared" si="15"/>
        <v>135473.70079537359</v>
      </c>
      <c r="L126" s="195">
        <f t="shared" si="16"/>
        <v>217185.22546972748</v>
      </c>
      <c r="M126" s="195">
        <f t="shared" si="17"/>
        <v>575867.13102716091</v>
      </c>
      <c r="O126" s="195">
        <f t="shared" si="18"/>
        <v>397766.10796613124</v>
      </c>
      <c r="P126" s="196">
        <f t="shared" si="19"/>
        <v>0.85382172088205244</v>
      </c>
      <c r="Q126" s="195">
        <f t="shared" si="20"/>
        <v>928526.05729226209</v>
      </c>
      <c r="R126" s="196">
        <f t="shared" si="21"/>
        <v>0.23390321010815363</v>
      </c>
      <c r="S126" s="464">
        <f t="shared" si="22"/>
        <v>1326292.1652583934</v>
      </c>
      <c r="T126" s="196">
        <f t="shared" si="28"/>
        <v>0.2999083598511923</v>
      </c>
      <c r="W126" s="195">
        <f t="shared" si="30"/>
        <v>73790.531765225809</v>
      </c>
      <c r="X126" s="195">
        <f t="shared" si="23"/>
        <v>14468.596449903183</v>
      </c>
      <c r="Y126" s="195">
        <f t="shared" si="31"/>
        <v>75654.8925238105</v>
      </c>
      <c r="Z126" s="195">
        <f t="shared" si="33"/>
        <v>163914.02073893949</v>
      </c>
      <c r="AA126" s="196">
        <f t="shared" si="34"/>
        <v>0.17559432054563853</v>
      </c>
      <c r="AB126" s="196">
        <f t="shared" si="24"/>
        <v>0.2745839584848635</v>
      </c>
      <c r="AC126" s="196">
        <f t="shared" si="32"/>
        <v>0.45017827903050212</v>
      </c>
      <c r="AD126" s="247">
        <f t="shared" si="29"/>
        <v>0.54982172096949788</v>
      </c>
      <c r="AF126" s="251">
        <f t="shared" si="25"/>
        <v>0.60994492909832043</v>
      </c>
      <c r="AG126" s="251">
        <f t="shared" si="26"/>
        <v>0.39005507090167946</v>
      </c>
      <c r="BA126" s="516"/>
    </row>
    <row r="127" spans="1:53" x14ac:dyDescent="0.25">
      <c r="BA127" s="516"/>
    </row>
    <row r="128" spans="1:53" x14ac:dyDescent="0.25">
      <c r="BA128" s="516"/>
    </row>
    <row r="129" spans="1:58" ht="92.25" customHeight="1" x14ac:dyDescent="0.25">
      <c r="BA129" s="516"/>
    </row>
    <row r="130" spans="1:58" ht="13.5" customHeight="1" thickBot="1" x14ac:dyDescent="0.3">
      <c r="BA130" s="516"/>
    </row>
    <row r="131" spans="1:58" s="485" customFormat="1" ht="44.25" customHeight="1" thickBot="1" x14ac:dyDescent="0.35">
      <c r="A131" s="491"/>
      <c r="B131" s="660" t="s">
        <v>602</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598</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516"/>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Water_cluster</v>
      </c>
      <c r="AU132" s="607"/>
      <c r="AV132" s="608"/>
      <c r="AW132" s="445"/>
      <c r="AX132" s="606" t="str">
        <f ca="1">CONCATENATE("Table 11(b): EMISSIONS ALLOCATION TO Education in LLDC, ",A1)</f>
        <v>Table 11(b): EMISSIONS ALLOCATION TO Education in LLDC, Water_cluster</v>
      </c>
      <c r="AY132" s="608"/>
      <c r="AZ132" s="446"/>
      <c r="BA132" s="606" t="str">
        <f ca="1">CONCATENATE("Table 11(c): EMISSIONS ALLOCATION TO Family Planning in LLDC, ",A1)</f>
        <v>Table 11(c): EMISSIONS ALLOCATION TO Family Planning in LLDC, Water_cluster</v>
      </c>
      <c r="BB132" s="608"/>
      <c r="BC132" s="516"/>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514" t="s">
        <v>219</v>
      </c>
      <c r="K133" s="514" t="s">
        <v>220</v>
      </c>
      <c r="L133" s="514" t="s">
        <v>221</v>
      </c>
      <c r="M133" s="515" t="s">
        <v>222</v>
      </c>
      <c r="N133" s="515" t="s">
        <v>220</v>
      </c>
      <c r="O133" s="515" t="s">
        <v>248</v>
      </c>
      <c r="P133" s="515"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516"/>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514" t="s">
        <v>500</v>
      </c>
      <c r="K134" s="514" t="s">
        <v>500</v>
      </c>
      <c r="L134" s="514" t="s">
        <v>513</v>
      </c>
      <c r="M134" s="515" t="s">
        <v>500</v>
      </c>
      <c r="N134" s="515" t="s">
        <v>500</v>
      </c>
      <c r="O134" s="515" t="s">
        <v>249</v>
      </c>
      <c r="P134" s="515"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516"/>
      <c r="BE134" s="481" t="s">
        <v>227</v>
      </c>
      <c r="BF134" s="481" t="s">
        <v>228</v>
      </c>
    </row>
    <row r="135" spans="1:58" ht="15.6" x14ac:dyDescent="0.3">
      <c r="A135" s="152">
        <v>2014</v>
      </c>
      <c r="B135" s="178"/>
      <c r="C135" s="182"/>
      <c r="D135" s="183"/>
      <c r="E135" s="179">
        <f>IFERROR(IF($G$19="Y",$F$19,$AA80)*(SUMIF($H$5:$H$16,"Y",$F$5:$F$16)*(Z29-B29)),0)</f>
        <v>0</v>
      </c>
      <c r="F135" s="183" t="str">
        <f>IFERROR(E135-E134,"")</f>
        <v/>
      </c>
      <c r="G135" s="247">
        <f t="shared" ref="G135:G181" si="35">IFERROR(E135/((Z29+N29)-B29),"")</f>
        <v>0</v>
      </c>
      <c r="H135" s="245" t="s">
        <v>264</v>
      </c>
      <c r="I135" s="416"/>
      <c r="J135" s="178"/>
      <c r="K135" s="182"/>
      <c r="L135" s="183"/>
      <c r="M135" s="179">
        <f t="shared" ref="M135:M181" si="36">IFERROR(IF($G$19="Y",$F$19,$AB80)*(SUMIF($H$5:$H$16,"Y",$F$5:$F$16)*((Z29+N29)-B29)),0)</f>
        <v>0</v>
      </c>
      <c r="N135" s="183" t="str">
        <f>IFERROR(M135-M134,"")</f>
        <v/>
      </c>
      <c r="O135" s="247">
        <f t="shared" ref="O135:O181" si="37">IFERROR(M135/((Z29+N29)-B29),"")</f>
        <v>0</v>
      </c>
      <c r="P135" s="245" t="s">
        <v>264</v>
      </c>
      <c r="Q135" s="416"/>
      <c r="R135" s="167"/>
      <c r="S135" s="167"/>
      <c r="T135" s="167"/>
      <c r="U135" s="167"/>
      <c r="V135" s="506"/>
      <c r="W135" s="167" t="s">
        <v>213</v>
      </c>
      <c r="X135" s="167" t="s">
        <v>211</v>
      </c>
      <c r="Y135" s="167" t="s">
        <v>211</v>
      </c>
      <c r="Z135" s="167" t="s">
        <v>211</v>
      </c>
      <c r="AA135" s="509"/>
      <c r="AB135" s="496"/>
      <c r="AC135" s="496"/>
      <c r="AE135" s="167" t="s">
        <v>211</v>
      </c>
      <c r="AF135" s="167" t="s">
        <v>211</v>
      </c>
      <c r="AG135" s="167" t="s">
        <v>211</v>
      </c>
      <c r="AH135" s="167" t="s">
        <v>211</v>
      </c>
      <c r="AI135" s="165"/>
      <c r="AJ135" s="167" t="s">
        <v>213</v>
      </c>
      <c r="AK135" s="167" t="s">
        <v>211</v>
      </c>
      <c r="AL135" s="167" t="s">
        <v>211</v>
      </c>
      <c r="AM135" s="167" t="s">
        <v>211</v>
      </c>
      <c r="AN135" s="165"/>
      <c r="AO135" s="257"/>
      <c r="AP135" s="257"/>
      <c r="AT135" s="478">
        <v>2014</v>
      </c>
      <c r="AU135" s="479">
        <f>IFERROR(AB135+AO135,"")</f>
        <v>0</v>
      </c>
      <c r="AV135" s="479">
        <f>IFERROR(AC135+AP135,"")</f>
        <v>0</v>
      </c>
      <c r="AW135" s="430"/>
      <c r="AX135" s="479">
        <f t="shared" ref="AX135:AY181" si="38">IFERROR(AO135*$F$20,"")</f>
        <v>0</v>
      </c>
      <c r="AY135" s="479">
        <f t="shared" si="38"/>
        <v>0</v>
      </c>
      <c r="AZ135" s="430"/>
      <c r="BA135" s="479">
        <f t="shared" ref="BA135:BB181" si="39">AU135-AX135</f>
        <v>0</v>
      </c>
      <c r="BB135" s="479">
        <f t="shared" si="39"/>
        <v>0</v>
      </c>
      <c r="BC135" s="516"/>
      <c r="BE135" s="480" t="str">
        <f t="shared" ref="BE135:BE181" si="40">IFERROR(AX135/AU135,"")</f>
        <v/>
      </c>
      <c r="BF135" s="480" t="str">
        <f t="shared" ref="BF135:BF181" si="41">IFERROR(BB135/(AY135+BB135),"")</f>
        <v/>
      </c>
    </row>
    <row r="136" spans="1:58" ht="15.6" x14ac:dyDescent="0.3">
      <c r="A136" s="152">
        <v>2015</v>
      </c>
      <c r="B136" s="178"/>
      <c r="C136" s="182"/>
      <c r="D136" s="183"/>
      <c r="E136" s="179">
        <f>IFERROR(IF($G$19="Y",$F$19,$AA81)*(SUMIF($H$5:$H$16,"Y",$F$5:$F$16)*(Z30-B30)),0)</f>
        <v>0</v>
      </c>
      <c r="F136" s="183">
        <f>IFERROR(E136-E135,"")</f>
        <v>0</v>
      </c>
      <c r="G136" s="247">
        <f t="shared" si="35"/>
        <v>0</v>
      </c>
      <c r="H136" s="246"/>
      <c r="I136" s="417"/>
      <c r="J136" s="178"/>
      <c r="K136" s="182"/>
      <c r="L136" s="183"/>
      <c r="M136" s="179">
        <f t="shared" si="36"/>
        <v>0</v>
      </c>
      <c r="N136" s="183">
        <f>IFERROR(M136-M135,"")</f>
        <v>0</v>
      </c>
      <c r="O136" s="247">
        <f t="shared" si="37"/>
        <v>0</v>
      </c>
      <c r="P136" s="246"/>
      <c r="Q136" s="417"/>
      <c r="R136" s="439"/>
      <c r="S136" s="440"/>
      <c r="T136" s="439"/>
      <c r="U136" s="440"/>
      <c r="V136" s="506"/>
      <c r="W136" s="259">
        <f>IF($W$135="Y",IFERROR(E136*$F$21*'Emissions Factors'!B12,""),"")</f>
        <v>0</v>
      </c>
      <c r="X136" s="259" t="str">
        <f>IF($X$135="Y",IFERROR($E136*(SUM($F$7,$F$5,$F$6)/SUMIF($H$5:$H$16,"Y",$F$5:$F$16))*('Emissions Factors'!$T$143*$F$22)/10^6,""),"")</f>
        <v/>
      </c>
      <c r="Y136" s="259"/>
      <c r="Z136" s="259"/>
      <c r="AA136" s="509"/>
      <c r="AB136" s="441">
        <f t="shared" ref="AB136:AB181" si="42">SUM(W136:Z136)</f>
        <v>0</v>
      </c>
      <c r="AC136" s="441">
        <f t="shared" ref="AC136:AC181" si="43">SUM(R136:U136)</f>
        <v>0</v>
      </c>
      <c r="AE136" s="182"/>
      <c r="AF136" s="178"/>
      <c r="AG136" s="182"/>
      <c r="AH136" s="178"/>
      <c r="AJ136" s="259">
        <f>IF($AJ$135="Y",IFERROR(M136*$F$21*'Emissions Factors'!B12,""),"")</f>
        <v>0</v>
      </c>
      <c r="AK136" s="259" t="str">
        <f>IF($AK$135="Y",IFERROR($M136*(SUM($F$7,$F$5,$F$6)/SUMIF($H$5:$H$16,"Y",$F$5:$F$16))*('Emissions Factors'!$T$143*$F$22)/10^6,""),"")</f>
        <v/>
      </c>
      <c r="AL136" s="259" t="b">
        <f>IF($AL$135="Y",IFERROR($M136*$F$23/10^6,""))</f>
        <v>0</v>
      </c>
      <c r="AM136" s="259" t="b">
        <f>IF($AM$135="Y",IFERROR($M136*$F$24/10^6,""))</f>
        <v>0</v>
      </c>
      <c r="AO136" s="180">
        <f t="shared" ref="AO136:AO181" si="44">SUM(AJ136:AM136)</f>
        <v>0</v>
      </c>
      <c r="AP136" s="180">
        <f t="shared" ref="AP136:AP181" si="45">SUM(AE136:AH136)</f>
        <v>0</v>
      </c>
      <c r="AT136" s="478">
        <v>2015</v>
      </c>
      <c r="AU136" s="479">
        <f t="shared" ref="AU136:AV181" si="46">IFERROR(AB136+AO136,"")</f>
        <v>0</v>
      </c>
      <c r="AV136" s="479">
        <f t="shared" si="46"/>
        <v>0</v>
      </c>
      <c r="AW136" s="430"/>
      <c r="AX136" s="479">
        <f t="shared" si="38"/>
        <v>0</v>
      </c>
      <c r="AY136" s="479">
        <f t="shared" si="38"/>
        <v>0</v>
      </c>
      <c r="AZ136" s="430"/>
      <c r="BA136" s="479">
        <f t="shared" si="39"/>
        <v>0</v>
      </c>
      <c r="BB136" s="479">
        <f t="shared" si="39"/>
        <v>0</v>
      </c>
      <c r="BC136" s="516"/>
      <c r="BE136" s="480" t="str">
        <f t="shared" si="40"/>
        <v/>
      </c>
      <c r="BF136" s="480" t="str">
        <f t="shared" si="41"/>
        <v/>
      </c>
    </row>
    <row r="137" spans="1:58" ht="15.6" x14ac:dyDescent="0.3">
      <c r="A137" s="152">
        <v>2016</v>
      </c>
      <c r="B137" s="178"/>
      <c r="C137" s="182"/>
      <c r="D137" s="183"/>
      <c r="E137" s="179">
        <f t="shared" ref="E137:E181" si="47">IFERROR(IF($G$19="Y",$F$19,$AA82)*(SUMIF($H$5:$H$16,"Y",$F$5:$F$16)*((Z31+N31)-B31)),0)</f>
        <v>-0.30041882911299644</v>
      </c>
      <c r="F137" s="183">
        <f t="shared" ref="F137:F181" si="48">IFERROR(E137-E136,"")</f>
        <v>-0.30041882911299644</v>
      </c>
      <c r="G137" s="247">
        <f t="shared" si="35"/>
        <v>0.40252724941820112</v>
      </c>
      <c r="H137" s="246"/>
      <c r="I137" s="417"/>
      <c r="J137" s="178"/>
      <c r="K137" s="182"/>
      <c r="L137" s="183"/>
      <c r="M137" s="179">
        <f t="shared" si="36"/>
        <v>-0.33396307947860732</v>
      </c>
      <c r="N137" s="183">
        <f>IFERROR(M137-M136,"")</f>
        <v>-0.33396307947860732</v>
      </c>
      <c r="O137" s="247">
        <f t="shared" si="37"/>
        <v>0.44747275058179875</v>
      </c>
      <c r="P137" s="246"/>
      <c r="Q137" s="417"/>
      <c r="R137" s="439"/>
      <c r="S137" s="440"/>
      <c r="T137" s="439"/>
      <c r="U137" s="440"/>
      <c r="V137" s="506"/>
      <c r="W137" s="259">
        <f>IF($W$135="Y",IFERROR(E137*$F$21*'Emissions Factors'!B13,""),"")</f>
        <v>-2.3389955546345841E-4</v>
      </c>
      <c r="X137" s="259" t="str">
        <f>IF($X$135="Y",IFERROR($E137*(SUM($F$7,$F$5,$F$6)/SUMIF($H$5:$H$16,"Y",$F$5:$F$16))*('Emissions Factors'!$T$143*$F$22)/10^6,""),"")</f>
        <v/>
      </c>
      <c r="Y137" s="259"/>
      <c r="Z137" s="259"/>
      <c r="AA137" s="509"/>
      <c r="AB137" s="441">
        <f t="shared" si="42"/>
        <v>-2.3389955546345841E-4</v>
      </c>
      <c r="AC137" s="441">
        <f t="shared" si="43"/>
        <v>0</v>
      </c>
      <c r="AE137" s="182"/>
      <c r="AF137" s="178"/>
      <c r="AG137" s="182"/>
      <c r="AH137" s="178"/>
      <c r="AJ137" s="259">
        <f>IF($AJ$135="Y",IFERROR(M137*$F$21*'Emissions Factors'!B13,""),"")</f>
        <v>-2.6001637800762803E-4</v>
      </c>
      <c r="AK137" s="259" t="str">
        <f>IF($AK$135="Y",IFERROR($M137*(SUM($F$7,$F$5,$F$6)/SUMIF($H$5:$H$16,"Y",$F$5:$F$16))*('Emissions Factors'!$T$143*$F$22)/10^6,""),"")</f>
        <v/>
      </c>
      <c r="AL137" s="259" t="b">
        <f t="shared" ref="AL137:AL181" si="49">IF($AL$135="Y",IFERROR($M137*$F$23/10^6,""))</f>
        <v>0</v>
      </c>
      <c r="AM137" s="259" t="b">
        <f t="shared" ref="AM137:AM181" si="50">IF($AM$135="Y",IFERROR($M137*$F$24/10^6,""))</f>
        <v>0</v>
      </c>
      <c r="AO137" s="180">
        <f t="shared" si="44"/>
        <v>-2.6001637800762803E-4</v>
      </c>
      <c r="AP137" s="180">
        <f t="shared" si="45"/>
        <v>0</v>
      </c>
      <c r="AT137" s="478">
        <v>2016</v>
      </c>
      <c r="AU137" s="479">
        <f t="shared" si="46"/>
        <v>-4.9391593347108639E-4</v>
      </c>
      <c r="AV137" s="479">
        <f t="shared" si="46"/>
        <v>0</v>
      </c>
      <c r="AW137" s="430"/>
      <c r="AX137" s="479">
        <f t="shared" si="38"/>
        <v>-1.3000818900381402E-4</v>
      </c>
      <c r="AY137" s="479">
        <f t="shared" si="38"/>
        <v>0</v>
      </c>
      <c r="AZ137" s="430"/>
      <c r="BA137" s="479">
        <f t="shared" si="39"/>
        <v>-3.6390774446727234E-4</v>
      </c>
      <c r="BB137" s="479">
        <f t="shared" si="39"/>
        <v>0</v>
      </c>
      <c r="BC137" s="516"/>
      <c r="BE137" s="480">
        <f t="shared" si="40"/>
        <v>0.26321926504811699</v>
      </c>
      <c r="BF137" s="480" t="str">
        <f t="shared" si="41"/>
        <v/>
      </c>
    </row>
    <row r="138" spans="1:58" ht="15.6" x14ac:dyDescent="0.3">
      <c r="A138" s="152">
        <v>2017</v>
      </c>
      <c r="B138" s="178"/>
      <c r="C138" s="182"/>
      <c r="D138" s="183"/>
      <c r="E138" s="179">
        <f t="shared" si="47"/>
        <v>-0.29810070084586404</v>
      </c>
      <c r="F138" s="183">
        <f>IFERROR(E138-E137,"")</f>
        <v>2.3181282671324022E-3</v>
      </c>
      <c r="G138" s="247">
        <f t="shared" si="35"/>
        <v>0.40114766860313955</v>
      </c>
      <c r="H138" s="246"/>
      <c r="I138" s="417"/>
      <c r="J138" s="178"/>
      <c r="K138" s="182"/>
      <c r="L138" s="183"/>
      <c r="M138" s="179">
        <f t="shared" si="36"/>
        <v>-0.33355097147050183</v>
      </c>
      <c r="N138" s="183">
        <f>IFERROR(M138-M137,"")</f>
        <v>4.1210800810548287E-4</v>
      </c>
      <c r="O138" s="247">
        <f t="shared" si="37"/>
        <v>0.44885233139686043</v>
      </c>
      <c r="P138" s="246"/>
      <c r="Q138" s="417"/>
      <c r="R138" s="439"/>
      <c r="S138" s="440"/>
      <c r="T138" s="439"/>
      <c r="U138" s="440"/>
      <c r="V138" s="506"/>
      <c r="W138" s="259">
        <f>IF($W$135="Y",IFERROR(E138*$F$21*'Emissions Factors'!B14,""),"")</f>
        <v>-2.2925731211889796E-4</v>
      </c>
      <c r="X138" s="259" t="str">
        <f>IF($X$135="Y",IFERROR($E138*(SUM($F$7,$F$5,$F$6)/SUMIF($H$5:$H$16,"Y",$F$5:$F$16))*('Emissions Factors'!$T$143*$F$22)/10^6,""),"")</f>
        <v/>
      </c>
      <c r="Y138" s="259"/>
      <c r="Z138" s="259"/>
      <c r="AA138" s="509"/>
      <c r="AB138" s="441">
        <f t="shared" si="42"/>
        <v>-2.2925731211889796E-4</v>
      </c>
      <c r="AC138" s="441">
        <f t="shared" si="43"/>
        <v>0</v>
      </c>
      <c r="AE138" s="182"/>
      <c r="AF138" s="178"/>
      <c r="AG138" s="182"/>
      <c r="AH138" s="178"/>
      <c r="AJ138" s="259">
        <f>IF($AJ$135="Y",IFERROR(M138*$F$21*'Emissions Factors'!B14,""),"")</f>
        <v>-2.5652069571454494E-4</v>
      </c>
      <c r="AK138" s="259" t="str">
        <f>IF($AK$135="Y",IFERROR($M138*(SUM($F$7,$F$5,$F$6)/SUMIF($H$5:$H$16,"Y",$F$5:$F$16))*('Emissions Factors'!$T$143*$F$22)/10^6,""),"")</f>
        <v/>
      </c>
      <c r="AL138" s="259" t="b">
        <f t="shared" si="49"/>
        <v>0</v>
      </c>
      <c r="AM138" s="259" t="b">
        <f t="shared" si="50"/>
        <v>0</v>
      </c>
      <c r="AO138" s="180">
        <f t="shared" si="44"/>
        <v>-2.5652069571454494E-4</v>
      </c>
      <c r="AP138" s="180">
        <f t="shared" si="45"/>
        <v>0</v>
      </c>
      <c r="AT138" s="478">
        <v>2017</v>
      </c>
      <c r="AU138" s="479">
        <f t="shared" si="46"/>
        <v>-4.857780078334429E-4</v>
      </c>
      <c r="AV138" s="479">
        <f t="shared" si="46"/>
        <v>0</v>
      </c>
      <c r="AW138" s="430"/>
      <c r="AX138" s="479">
        <f t="shared" si="38"/>
        <v>-1.2826034785727247E-4</v>
      </c>
      <c r="AY138" s="479">
        <f t="shared" si="38"/>
        <v>0</v>
      </c>
      <c r="AZ138" s="430"/>
      <c r="BA138" s="479">
        <f t="shared" si="39"/>
        <v>-3.5751765997617041E-4</v>
      </c>
      <c r="BB138" s="479">
        <f t="shared" si="39"/>
        <v>0</v>
      </c>
      <c r="BC138" s="516"/>
      <c r="BE138" s="480">
        <f t="shared" si="40"/>
        <v>0.26403078317462381</v>
      </c>
      <c r="BF138" s="480" t="str">
        <f t="shared" si="41"/>
        <v/>
      </c>
    </row>
    <row r="139" spans="1:58" ht="15.6" x14ac:dyDescent="0.3">
      <c r="A139" s="152">
        <v>2018</v>
      </c>
      <c r="B139" s="178"/>
      <c r="C139" s="182"/>
      <c r="D139" s="183"/>
      <c r="E139" s="179">
        <f t="shared" si="47"/>
        <v>-0.29478513763370312</v>
      </c>
      <c r="F139" s="183">
        <f t="shared" si="48"/>
        <v>3.3155632121609213E-3</v>
      </c>
      <c r="G139" s="247">
        <f t="shared" si="35"/>
        <v>0.39978938786418522</v>
      </c>
      <c r="H139" s="246"/>
      <c r="I139" s="417"/>
      <c r="J139" s="178"/>
      <c r="K139" s="182"/>
      <c r="L139" s="183"/>
      <c r="M139" s="179">
        <f t="shared" si="36"/>
        <v>-0.33196328189605517</v>
      </c>
      <c r="N139" s="183">
        <f t="shared" ref="N139:N181" si="51">IFERROR(M139-M138,"")</f>
        <v>1.5876895744466601E-3</v>
      </c>
      <c r="O139" s="247">
        <f t="shared" si="37"/>
        <v>0.45021061213581465</v>
      </c>
      <c r="P139" s="246"/>
      <c r="Q139" s="417"/>
      <c r="R139" s="439"/>
      <c r="S139" s="440"/>
      <c r="T139" s="439"/>
      <c r="U139" s="440"/>
      <c r="V139" s="506"/>
      <c r="W139" s="259">
        <f>IF($W$135="Y",IFERROR(E139*$F$21*'Emissions Factors'!B15,""),"")</f>
        <v>-2.2456029616396391E-4</v>
      </c>
      <c r="X139" s="259" t="str">
        <f>IF($X$135="Y",IFERROR($E139*(SUM($F$7,$F$5,$F$6)/SUMIF($H$5:$H$16,"Y",$F$5:$F$16))*('Emissions Factors'!$T$143*$F$22)/10^6,""),"")</f>
        <v/>
      </c>
      <c r="Y139" s="259"/>
      <c r="Z139" s="259"/>
      <c r="AA139" s="509"/>
      <c r="AB139" s="441">
        <f t="shared" si="42"/>
        <v>-2.2456029616396391E-4</v>
      </c>
      <c r="AC139" s="441">
        <f t="shared" si="43"/>
        <v>0</v>
      </c>
      <c r="AE139" s="182"/>
      <c r="AF139" s="178"/>
      <c r="AG139" s="182"/>
      <c r="AH139" s="178"/>
      <c r="AJ139" s="259">
        <f>IF($AJ$135="Y",IFERROR(M139*$F$21*'Emissions Factors'!B15,""),"")</f>
        <v>-2.5288172089180891E-4</v>
      </c>
      <c r="AK139" s="259" t="str">
        <f>IF($AK$135="Y",IFERROR($M139*(SUM($F$7,$F$5,$F$6)/SUMIF($H$5:$H$16,"Y",$F$5:$F$16))*('Emissions Factors'!$T$143*$F$22)/10^6,""),"")</f>
        <v/>
      </c>
      <c r="AL139" s="259" t="b">
        <f t="shared" si="49"/>
        <v>0</v>
      </c>
      <c r="AM139" s="259" t="b">
        <f t="shared" si="50"/>
        <v>0</v>
      </c>
      <c r="AO139" s="180">
        <f t="shared" si="44"/>
        <v>-2.5288172089180891E-4</v>
      </c>
      <c r="AP139" s="180">
        <f t="shared" si="45"/>
        <v>0</v>
      </c>
      <c r="AT139" s="478">
        <v>2018</v>
      </c>
      <c r="AU139" s="479">
        <f t="shared" si="46"/>
        <v>-4.7744201705577282E-4</v>
      </c>
      <c r="AV139" s="479">
        <f t="shared" si="46"/>
        <v>0</v>
      </c>
      <c r="AW139" s="430"/>
      <c r="AX139" s="479">
        <f t="shared" si="38"/>
        <v>-1.2644086044590446E-4</v>
      </c>
      <c r="AY139" s="479">
        <f t="shared" si="38"/>
        <v>0</v>
      </c>
      <c r="AZ139" s="430"/>
      <c r="BA139" s="479">
        <f t="shared" si="39"/>
        <v>-3.5100115660986839E-4</v>
      </c>
      <c r="BB139" s="479">
        <f t="shared" si="39"/>
        <v>0</v>
      </c>
      <c r="BC139" s="516"/>
      <c r="BE139" s="480">
        <f t="shared" si="40"/>
        <v>0.26482977184459688</v>
      </c>
      <c r="BF139" s="480" t="str">
        <f t="shared" si="41"/>
        <v/>
      </c>
    </row>
    <row r="140" spans="1:58" ht="15.6" x14ac:dyDescent="0.3">
      <c r="A140" s="152">
        <v>2019</v>
      </c>
      <c r="B140" s="178"/>
      <c r="C140" s="182"/>
      <c r="D140" s="183"/>
      <c r="E140" s="179">
        <f t="shared" si="47"/>
        <v>-0.29199910843985843</v>
      </c>
      <c r="F140" s="183">
        <f t="shared" si="48"/>
        <v>2.7860291938446857E-3</v>
      </c>
      <c r="G140" s="247">
        <f t="shared" si="35"/>
        <v>0.39843280062940178</v>
      </c>
      <c r="H140" s="246"/>
      <c r="I140" s="417"/>
      <c r="J140" s="178"/>
      <c r="K140" s="182"/>
      <c r="L140" s="183"/>
      <c r="M140" s="179">
        <f t="shared" si="36"/>
        <v>-0.33093967014915543</v>
      </c>
      <c r="N140" s="183">
        <f t="shared" si="51"/>
        <v>1.0236117468997441E-3</v>
      </c>
      <c r="O140" s="247">
        <f t="shared" si="37"/>
        <v>0.45156719937059808</v>
      </c>
      <c r="P140" s="246"/>
      <c r="Q140" s="417"/>
      <c r="R140" s="439"/>
      <c r="S140" s="440"/>
      <c r="T140" s="439"/>
      <c r="U140" s="440"/>
      <c r="V140" s="506"/>
      <c r="W140" s="259">
        <f>IF($W$135="Y",IFERROR(E140*$F$21*'Emissions Factors'!B16,""),"")</f>
        <v>-2.2127662612961369E-4</v>
      </c>
      <c r="X140" s="259" t="str">
        <f>IF($X$135="Y",IFERROR($E140*(SUM($F$7,$F$5,$F$6)/SUMIF($H$5:$H$16,"Y",$F$5:$F$16))*('Emissions Factors'!$T$143*$F$22)/10^6,""),"")</f>
        <v/>
      </c>
      <c r="Y140" s="259"/>
      <c r="Z140" s="259"/>
      <c r="AA140" s="509"/>
      <c r="AB140" s="441">
        <f t="shared" si="42"/>
        <v>-2.2127662612961369E-4</v>
      </c>
      <c r="AC140" s="441">
        <f t="shared" si="43"/>
        <v>0</v>
      </c>
      <c r="AE140" s="182"/>
      <c r="AF140" s="178"/>
      <c r="AG140" s="182"/>
      <c r="AH140" s="178"/>
      <c r="AJ140" s="259">
        <f>IF($AJ$135="Y",IFERROR(M140*$F$21*'Emissions Factors'!B16,""),"")</f>
        <v>-2.507857440192664E-4</v>
      </c>
      <c r="AK140" s="259" t="str">
        <f>IF($AK$135="Y",IFERROR($M140*(SUM($F$7,$F$5,$F$6)/SUMIF($H$5:$H$16,"Y",$F$5:$F$16))*('Emissions Factors'!$T$143*$F$22)/10^6,""),"")</f>
        <v/>
      </c>
      <c r="AL140" s="259" t="b">
        <f t="shared" si="49"/>
        <v>0</v>
      </c>
      <c r="AM140" s="259" t="b">
        <f t="shared" si="50"/>
        <v>0</v>
      </c>
      <c r="AO140" s="180">
        <f t="shared" si="44"/>
        <v>-2.507857440192664E-4</v>
      </c>
      <c r="AP140" s="180">
        <f t="shared" si="45"/>
        <v>0</v>
      </c>
      <c r="AT140" s="478">
        <v>2019</v>
      </c>
      <c r="AU140" s="479">
        <f t="shared" si="46"/>
        <v>-4.7206237014888006E-4</v>
      </c>
      <c r="AV140" s="479">
        <f t="shared" si="46"/>
        <v>0</v>
      </c>
      <c r="AW140" s="430"/>
      <c r="AX140" s="479">
        <f t="shared" si="38"/>
        <v>-1.253928720096332E-4</v>
      </c>
      <c r="AY140" s="479">
        <f t="shared" si="38"/>
        <v>0</v>
      </c>
      <c r="AZ140" s="430"/>
      <c r="BA140" s="479">
        <f t="shared" si="39"/>
        <v>-3.4666949813924684E-4</v>
      </c>
      <c r="BB140" s="479">
        <f t="shared" si="39"/>
        <v>0</v>
      </c>
      <c r="BC140" s="516"/>
      <c r="BE140" s="480">
        <f t="shared" si="40"/>
        <v>0.265627764335646</v>
      </c>
      <c r="BF140" s="480" t="str">
        <f t="shared" si="41"/>
        <v/>
      </c>
    </row>
    <row r="141" spans="1:58" ht="15.6" x14ac:dyDescent="0.3">
      <c r="A141" s="152">
        <v>2020</v>
      </c>
      <c r="B141" s="178"/>
      <c r="C141" s="182"/>
      <c r="D141" s="183"/>
      <c r="E141" s="179">
        <f t="shared" si="47"/>
        <v>-0.28981034728750671</v>
      </c>
      <c r="F141" s="183">
        <f t="shared" si="48"/>
        <v>2.1887611523517259E-3</v>
      </c>
      <c r="G141" s="247">
        <f t="shared" si="35"/>
        <v>0.39706356198212872</v>
      </c>
      <c r="H141" s="246"/>
      <c r="I141" s="417"/>
      <c r="J141" s="178"/>
      <c r="K141" s="182"/>
      <c r="L141" s="183"/>
      <c r="M141" s="179">
        <f t="shared" si="36"/>
        <v>-0.33059106644248965</v>
      </c>
      <c r="N141" s="183">
        <f t="shared" si="51"/>
        <v>3.4860370666578433E-4</v>
      </c>
      <c r="O141" s="247">
        <f t="shared" si="37"/>
        <v>0.4529364380178712</v>
      </c>
      <c r="P141" s="246"/>
      <c r="Q141" s="417"/>
      <c r="R141" s="439"/>
      <c r="S141" s="440"/>
      <c r="T141" s="439"/>
      <c r="U141" s="440"/>
      <c r="V141" s="506"/>
      <c r="W141" s="259">
        <f>IF($W$135="Y",IFERROR(E141*$F$21*'Emissions Factors'!B17,""),"")</f>
        <v>-2.1824304725518321E-4</v>
      </c>
      <c r="X141" s="259" t="str">
        <f>IF($X$135="Y",IFERROR($E141*(SUM($F$7,$F$5,$F$6)/SUMIF($H$5:$H$16,"Y",$F$5:$F$16))*('Emissions Factors'!$T$143*$F$22)/10^6,""),"")</f>
        <v/>
      </c>
      <c r="Y141" s="259"/>
      <c r="Z141" s="259"/>
      <c r="AA141" s="509"/>
      <c r="AB141" s="441">
        <f t="shared" si="42"/>
        <v>-2.1824304725518321E-4</v>
      </c>
      <c r="AC141" s="441">
        <f t="shared" si="43"/>
        <v>0</v>
      </c>
      <c r="AE141" s="182"/>
      <c r="AF141" s="178"/>
      <c r="AG141" s="182"/>
      <c r="AH141" s="178"/>
      <c r="AJ141" s="259">
        <f>IF($AJ$135="Y",IFERROR(M141*$F$21*'Emissions Factors'!B17,""),"")</f>
        <v>-2.4895315992349291E-4</v>
      </c>
      <c r="AK141" s="259" t="str">
        <f>IF($AK$135="Y",IFERROR($M141*(SUM($F$7,$F$5,$F$6)/SUMIF($H$5:$H$16,"Y",$F$5:$F$16))*('Emissions Factors'!$T$143*$F$22)/10^6,""),"")</f>
        <v/>
      </c>
      <c r="AL141" s="259" t="b">
        <f t="shared" si="49"/>
        <v>0</v>
      </c>
      <c r="AM141" s="259" t="b">
        <f t="shared" si="50"/>
        <v>0</v>
      </c>
      <c r="AO141" s="180">
        <f t="shared" si="44"/>
        <v>-2.4895315992349291E-4</v>
      </c>
      <c r="AP141" s="180">
        <f t="shared" si="45"/>
        <v>0</v>
      </c>
      <c r="AS141" s="430"/>
      <c r="AT141" s="478">
        <v>2020</v>
      </c>
      <c r="AU141" s="479">
        <f t="shared" si="46"/>
        <v>-4.6719620717867614E-4</v>
      </c>
      <c r="AV141" s="479">
        <f t="shared" si="46"/>
        <v>0</v>
      </c>
      <c r="AW141" s="430"/>
      <c r="AX141" s="479">
        <f t="shared" si="38"/>
        <v>-1.2447657996174645E-4</v>
      </c>
      <c r="AY141" s="479">
        <f t="shared" si="38"/>
        <v>0</v>
      </c>
      <c r="AZ141" s="430"/>
      <c r="BA141" s="479">
        <f t="shared" si="39"/>
        <v>-3.4271962721692966E-4</v>
      </c>
      <c r="BB141" s="479">
        <f t="shared" si="39"/>
        <v>0</v>
      </c>
      <c r="BC141" s="516"/>
      <c r="BE141" s="480">
        <f t="shared" si="40"/>
        <v>0.26643319883404187</v>
      </c>
      <c r="BF141" s="480" t="str">
        <f t="shared" si="41"/>
        <v/>
      </c>
    </row>
    <row r="142" spans="1:58" ht="15.6" x14ac:dyDescent="0.3">
      <c r="A142" s="152">
        <v>2021</v>
      </c>
      <c r="B142" s="178"/>
      <c r="C142" s="182"/>
      <c r="D142" s="183"/>
      <c r="E142" s="179">
        <f t="shared" si="47"/>
        <v>91.448804609282845</v>
      </c>
      <c r="F142" s="183">
        <f t="shared" si="48"/>
        <v>91.738614956570359</v>
      </c>
      <c r="G142" s="247">
        <f t="shared" si="35"/>
        <v>0.13968930002793567</v>
      </c>
      <c r="H142" s="246"/>
      <c r="I142" s="417"/>
      <c r="J142" s="178"/>
      <c r="K142" s="182"/>
      <c r="L142" s="183"/>
      <c r="M142" s="179">
        <f t="shared" si="36"/>
        <v>105.06515534973654</v>
      </c>
      <c r="N142" s="183">
        <f t="shared" si="51"/>
        <v>105.39574641617904</v>
      </c>
      <c r="O142" s="247">
        <f t="shared" si="37"/>
        <v>0.16048846205083395</v>
      </c>
      <c r="P142" s="246"/>
      <c r="Q142" s="417"/>
      <c r="R142" s="439"/>
      <c r="S142" s="440"/>
      <c r="T142" s="439"/>
      <c r="U142" s="440"/>
      <c r="V142" s="506"/>
      <c r="W142" s="259">
        <f>IF($W$135="Y",IFERROR(E142*$F$21*'Emissions Factors'!B18,""),"")</f>
        <v>6.8452232912004432E-2</v>
      </c>
      <c r="X142" s="259" t="str">
        <f>IF($X$135="Y",IFERROR($E142*(SUM($F$7,$F$5,$F$6)/SUMIF($H$5:$H$16,"Y",$F$5:$F$16))*('Emissions Factors'!$T$143*$F$22)/10^6,""),"")</f>
        <v/>
      </c>
      <c r="Y142" s="259"/>
      <c r="Z142" s="259"/>
      <c r="AA142" s="509"/>
      <c r="AB142" s="441">
        <f t="shared" si="42"/>
        <v>6.8452232912004432E-2</v>
      </c>
      <c r="AC142" s="441">
        <f t="shared" si="43"/>
        <v>0</v>
      </c>
      <c r="AE142" s="182"/>
      <c r="AF142" s="178"/>
      <c r="AG142" s="182"/>
      <c r="AH142" s="178"/>
      <c r="AJ142" s="259">
        <f>IF($AJ$135="Y",IFERROR(M142*$F$21*'Emissions Factors'!B18,""),"")</f>
        <v>7.8644488746067748E-2</v>
      </c>
      <c r="AK142" s="259" t="str">
        <f>IF($AK$135="Y",IFERROR($M142*(SUM($F$7,$F$5,$F$6)/SUMIF($H$5:$H$16,"Y",$F$5:$F$16))*('Emissions Factors'!$T$143*$F$22)/10^6,""),"")</f>
        <v/>
      </c>
      <c r="AL142" s="259" t="b">
        <f t="shared" si="49"/>
        <v>0</v>
      </c>
      <c r="AM142" s="259" t="b">
        <f t="shared" si="50"/>
        <v>0</v>
      </c>
      <c r="AO142" s="180">
        <f t="shared" si="44"/>
        <v>7.8644488746067748E-2</v>
      </c>
      <c r="AP142" s="180">
        <f t="shared" si="45"/>
        <v>0</v>
      </c>
      <c r="AS142" s="430"/>
      <c r="AT142" s="478">
        <v>2021</v>
      </c>
      <c r="AU142" s="479">
        <f t="shared" si="46"/>
        <v>0.14709672165807219</v>
      </c>
      <c r="AV142" s="479">
        <f t="shared" si="46"/>
        <v>0</v>
      </c>
      <c r="AW142" s="430"/>
      <c r="AX142" s="479">
        <f t="shared" si="38"/>
        <v>3.9322244373033874E-2</v>
      </c>
      <c r="AY142" s="479">
        <f t="shared" si="38"/>
        <v>0</v>
      </c>
      <c r="AZ142" s="430"/>
      <c r="BA142" s="479">
        <f t="shared" si="39"/>
        <v>0.10777447728503832</v>
      </c>
      <c r="BB142" s="479">
        <f t="shared" si="39"/>
        <v>0</v>
      </c>
      <c r="BC142" s="516"/>
      <c r="BE142" s="480">
        <f t="shared" si="40"/>
        <v>0.26732237081692972</v>
      </c>
      <c r="BF142" s="480" t="str">
        <f t="shared" si="41"/>
        <v/>
      </c>
    </row>
    <row r="143" spans="1:58" ht="15.6" x14ac:dyDescent="0.3">
      <c r="A143" s="152">
        <v>2022</v>
      </c>
      <c r="B143" s="178"/>
      <c r="C143" s="182"/>
      <c r="D143" s="183"/>
      <c r="E143" s="179">
        <f t="shared" si="47"/>
        <v>216.41397885337858</v>
      </c>
      <c r="F143" s="183">
        <f t="shared" si="48"/>
        <v>124.96517424409573</v>
      </c>
      <c r="G143" s="247">
        <f t="shared" si="35"/>
        <v>0.14444095331353257</v>
      </c>
      <c r="H143" s="246"/>
      <c r="I143" s="417"/>
      <c r="J143" s="178"/>
      <c r="K143" s="182"/>
      <c r="L143" s="183"/>
      <c r="M143" s="179">
        <f t="shared" si="36"/>
        <v>250.48935314373904</v>
      </c>
      <c r="N143" s="183">
        <f t="shared" si="51"/>
        <v>145.42419779400251</v>
      </c>
      <c r="O143" s="247">
        <f t="shared" si="37"/>
        <v>0.16718384438319725</v>
      </c>
      <c r="P143" s="246"/>
      <c r="Q143" s="417"/>
      <c r="R143" s="182"/>
      <c r="S143" s="178"/>
      <c r="T143" s="182"/>
      <c r="U143" s="178"/>
      <c r="V143" s="506"/>
      <c r="W143" s="259">
        <f>IF($W$135="Y",IFERROR(E143*$F$21*'Emissions Factors'!B19,""),"")</f>
        <v>0.16102936203973206</v>
      </c>
      <c r="X143" s="259" t="str">
        <f>IF($X$135="Y",IFERROR($E143*(SUM($F$7,$F$5,$F$6)/SUMIF($H$5:$H$16,"Y",$F$5:$F$16))*('Emissions Factors'!$T$143*$F$22)/10^6,""),"")</f>
        <v/>
      </c>
      <c r="Y143" s="259"/>
      <c r="Z143" s="259"/>
      <c r="AA143" s="509"/>
      <c r="AB143" s="180">
        <f t="shared" si="42"/>
        <v>0.16102936203973206</v>
      </c>
      <c r="AC143" s="180">
        <f t="shared" si="43"/>
        <v>0</v>
      </c>
      <c r="AE143" s="182"/>
      <c r="AF143" s="178"/>
      <c r="AG143" s="182"/>
      <c r="AH143" s="178"/>
      <c r="AJ143" s="259">
        <f>IF($AJ$135="Y",IFERROR(M143*$F$21*'Emissions Factors'!B19,""),"")</f>
        <v>0.18638417420257938</v>
      </c>
      <c r="AK143" s="259" t="str">
        <f>IF($AK$135="Y",IFERROR($M143*(SUM($F$7,$F$5,$F$6)/SUMIF($H$5:$H$16,"Y",$F$5:$F$16))*('Emissions Factors'!$T$143*$F$22)/10^6,""),"")</f>
        <v/>
      </c>
      <c r="AL143" s="259" t="b">
        <f t="shared" si="49"/>
        <v>0</v>
      </c>
      <c r="AM143" s="259" t="b">
        <f t="shared" si="50"/>
        <v>0</v>
      </c>
      <c r="AO143" s="180">
        <f t="shared" si="44"/>
        <v>0.18638417420257938</v>
      </c>
      <c r="AP143" s="180">
        <f t="shared" si="45"/>
        <v>0</v>
      </c>
      <c r="AS143" s="430"/>
      <c r="AT143" s="478">
        <v>2022</v>
      </c>
      <c r="AU143" s="479">
        <f t="shared" si="46"/>
        <v>0.34741353624231142</v>
      </c>
      <c r="AV143" s="479">
        <f t="shared" si="46"/>
        <v>0</v>
      </c>
      <c r="AW143" s="430"/>
      <c r="AX143" s="479">
        <f t="shared" si="38"/>
        <v>9.3192087101289692E-2</v>
      </c>
      <c r="AY143" s="479">
        <f t="shared" si="38"/>
        <v>0</v>
      </c>
      <c r="AZ143" s="430"/>
      <c r="BA143" s="479">
        <f t="shared" si="39"/>
        <v>0.25422144914102174</v>
      </c>
      <c r="BB143" s="479">
        <f t="shared" si="39"/>
        <v>0</v>
      </c>
      <c r="BC143" s="516"/>
      <c r="BE143" s="480">
        <f t="shared" si="40"/>
        <v>0.26824541182036948</v>
      </c>
      <c r="BF143" s="480" t="str">
        <f t="shared" si="41"/>
        <v/>
      </c>
    </row>
    <row r="144" spans="1:58" ht="15.6" x14ac:dyDescent="0.3">
      <c r="A144" s="152">
        <v>2023</v>
      </c>
      <c r="B144" s="178"/>
      <c r="C144" s="182"/>
      <c r="D144" s="183"/>
      <c r="E144" s="179">
        <f t="shared" si="47"/>
        <v>370.2791562624256</v>
      </c>
      <c r="F144" s="183">
        <f t="shared" si="48"/>
        <v>153.86517740904702</v>
      </c>
      <c r="G144" s="247">
        <f t="shared" si="35"/>
        <v>0.14725860777929445</v>
      </c>
      <c r="H144" s="246"/>
      <c r="I144" s="417"/>
      <c r="J144" s="178"/>
      <c r="K144" s="182"/>
      <c r="L144" s="183"/>
      <c r="M144" s="179">
        <f t="shared" si="36"/>
        <v>431.86354503884701</v>
      </c>
      <c r="N144" s="183">
        <f t="shared" si="51"/>
        <v>181.37419189510797</v>
      </c>
      <c r="O144" s="247">
        <f t="shared" si="37"/>
        <v>0.17175048424270339</v>
      </c>
      <c r="P144" s="246"/>
      <c r="Q144" s="417"/>
      <c r="R144" s="182"/>
      <c r="S144" s="178"/>
      <c r="T144" s="182"/>
      <c r="U144" s="178"/>
      <c r="V144" s="506"/>
      <c r="W144" s="259">
        <f>IF($W$135="Y",IFERROR(E144*$F$21*'Emissions Factors'!B20,""),"")</f>
        <v>0.27390913942928108</v>
      </c>
      <c r="X144" s="259" t="str">
        <f>IF($X$135="Y",IFERROR($E144*(SUM($F$7,$F$5,$F$6)/SUMIF($H$5:$H$16,"Y",$F$5:$F$16))*('Emissions Factors'!$T$143*$F$22)/10^6,""),"")</f>
        <v/>
      </c>
      <c r="Y144" s="259"/>
      <c r="Z144" s="259"/>
      <c r="AA144" s="509"/>
      <c r="AB144" s="180">
        <f t="shared" si="42"/>
        <v>0.27390913942928108</v>
      </c>
      <c r="AC144" s="180">
        <f t="shared" si="43"/>
        <v>0</v>
      </c>
      <c r="AE144" s="182"/>
      <c r="AF144" s="178"/>
      <c r="AG144" s="182"/>
      <c r="AH144" s="178"/>
      <c r="AJ144" s="259">
        <f>IF($AJ$135="Y",IFERROR(M144*$F$21*'Emissions Factors'!B20,""),"")</f>
        <v>0.31946538165014415</v>
      </c>
      <c r="AK144" s="259" t="str">
        <f>IF($AK$135="Y",IFERROR($M144*(SUM($F$7,$F$5,$F$6)/SUMIF($H$5:$H$16,"Y",$F$5:$F$16))*('Emissions Factors'!$T$143*$F$22)/10^6,""),"")</f>
        <v/>
      </c>
      <c r="AL144" s="259" t="b">
        <f t="shared" si="49"/>
        <v>0</v>
      </c>
      <c r="AM144" s="259" t="b">
        <f t="shared" si="50"/>
        <v>0</v>
      </c>
      <c r="AO144" s="180">
        <f t="shared" si="44"/>
        <v>0.31946538165014415</v>
      </c>
      <c r="AP144" s="180">
        <f t="shared" si="45"/>
        <v>0</v>
      </c>
      <c r="AS144" s="430"/>
      <c r="AT144" s="478">
        <v>2023</v>
      </c>
      <c r="AU144" s="479">
        <f t="shared" si="46"/>
        <v>0.59337452107942523</v>
      </c>
      <c r="AV144" s="479">
        <f t="shared" si="46"/>
        <v>0</v>
      </c>
      <c r="AW144" s="430"/>
      <c r="AX144" s="479">
        <f t="shared" si="38"/>
        <v>0.15973269082507208</v>
      </c>
      <c r="AY144" s="479">
        <f t="shared" si="38"/>
        <v>0</v>
      </c>
      <c r="AZ144" s="430"/>
      <c r="BA144" s="479">
        <f t="shared" si="39"/>
        <v>0.43364183025435316</v>
      </c>
      <c r="BB144" s="479">
        <f t="shared" si="39"/>
        <v>0</v>
      </c>
      <c r="BC144" s="516"/>
      <c r="BE144" s="480">
        <f t="shared" si="40"/>
        <v>0.26919371349901844</v>
      </c>
      <c r="BF144" s="480" t="str">
        <f t="shared" si="41"/>
        <v/>
      </c>
    </row>
    <row r="145" spans="1:58" ht="15.6" x14ac:dyDescent="0.3">
      <c r="A145" s="152">
        <v>2024</v>
      </c>
      <c r="B145" s="178"/>
      <c r="C145" s="182"/>
      <c r="D145" s="183"/>
      <c r="E145" s="179">
        <f t="shared" si="47"/>
        <v>550.09289964233926</v>
      </c>
      <c r="F145" s="183">
        <f t="shared" si="48"/>
        <v>179.81374337991366</v>
      </c>
      <c r="G145" s="247">
        <f t="shared" si="35"/>
        <v>0.14874684198215582</v>
      </c>
      <c r="H145" s="246"/>
      <c r="I145" s="417"/>
      <c r="J145" s="178"/>
      <c r="K145" s="182"/>
      <c r="L145" s="183"/>
      <c r="M145" s="179">
        <f t="shared" si="36"/>
        <v>646.59656169435107</v>
      </c>
      <c r="N145" s="183">
        <f t="shared" si="51"/>
        <v>214.73301665550406</v>
      </c>
      <c r="O145" s="247">
        <f t="shared" si="37"/>
        <v>0.17484173427995331</v>
      </c>
      <c r="P145" s="246"/>
      <c r="Q145" s="417"/>
      <c r="R145" s="182"/>
      <c r="S145" s="178"/>
      <c r="T145" s="182"/>
      <c r="U145" s="178"/>
      <c r="V145" s="506"/>
      <c r="W145" s="259">
        <f>IF($W$135="Y",IFERROR(E145*$F$21*'Emissions Factors'!B21,""),"")</f>
        <v>0.40458819289280268</v>
      </c>
      <c r="X145" s="259" t="str">
        <f>IF($X$135="Y",IFERROR($E145*(SUM($F$7,$F$5,$F$6)/SUMIF($H$5:$H$16,"Y",$F$5:$F$16))*('Emissions Factors'!$T$143*$F$22)/10^6,""),"")</f>
        <v/>
      </c>
      <c r="Y145" s="259"/>
      <c r="Z145" s="259"/>
      <c r="AA145" s="509"/>
      <c r="AB145" s="180">
        <f t="shared" si="42"/>
        <v>0.40458819289280268</v>
      </c>
      <c r="AC145" s="180">
        <f t="shared" si="43"/>
        <v>0</v>
      </c>
      <c r="AE145" s="182"/>
      <c r="AF145" s="178"/>
      <c r="AG145" s="182"/>
      <c r="AH145" s="178"/>
      <c r="AJ145" s="259">
        <f>IF($AJ$135="Y",IFERROR(M145*$F$21*'Emissions Factors'!B21,""),"")</f>
        <v>0.47556573552705061</v>
      </c>
      <c r="AK145" s="259" t="str">
        <f>IF($AK$135="Y",IFERROR($M145*(SUM($F$7,$F$5,$F$6)/SUMIF($H$5:$H$16,"Y",$F$5:$F$16))*('Emissions Factors'!$T$143*$F$22)/10^6,""),"")</f>
        <v/>
      </c>
      <c r="AL145" s="259" t="b">
        <f t="shared" si="49"/>
        <v>0</v>
      </c>
      <c r="AM145" s="259" t="b">
        <f t="shared" si="50"/>
        <v>0</v>
      </c>
      <c r="AO145" s="180">
        <f t="shared" si="44"/>
        <v>0.47556573552705061</v>
      </c>
      <c r="AP145" s="180">
        <f t="shared" si="45"/>
        <v>0</v>
      </c>
      <c r="AS145" s="430"/>
      <c r="AT145" s="478">
        <v>2024</v>
      </c>
      <c r="AU145" s="479">
        <f t="shared" si="46"/>
        <v>0.88015392841985329</v>
      </c>
      <c r="AV145" s="479">
        <f t="shared" si="46"/>
        <v>0</v>
      </c>
      <c r="AW145" s="430"/>
      <c r="AX145" s="479">
        <f t="shared" si="38"/>
        <v>0.23778286776352531</v>
      </c>
      <c r="AY145" s="479">
        <f t="shared" si="38"/>
        <v>0</v>
      </c>
      <c r="AZ145" s="430"/>
      <c r="BA145" s="479">
        <f t="shared" si="39"/>
        <v>0.64237106065632799</v>
      </c>
      <c r="BB145" s="479">
        <f t="shared" si="39"/>
        <v>0</v>
      </c>
      <c r="BC145" s="516"/>
      <c r="BE145" s="480">
        <f t="shared" si="40"/>
        <v>0.27016054815595564</v>
      </c>
      <c r="BF145" s="480" t="str">
        <f t="shared" si="41"/>
        <v/>
      </c>
    </row>
    <row r="146" spans="1:58" ht="15.6" x14ac:dyDescent="0.3">
      <c r="A146" s="152">
        <v>2025</v>
      </c>
      <c r="B146" s="178"/>
      <c r="C146" s="182"/>
      <c r="D146" s="183"/>
      <c r="E146" s="179">
        <f t="shared" si="47"/>
        <v>753.79570206057497</v>
      </c>
      <c r="F146" s="183">
        <f t="shared" si="48"/>
        <v>203.70280241823571</v>
      </c>
      <c r="G146" s="247">
        <f t="shared" si="35"/>
        <v>0.14936075408788882</v>
      </c>
      <c r="H146" s="246"/>
      <c r="I146" s="417"/>
      <c r="J146" s="178"/>
      <c r="K146" s="182"/>
      <c r="L146" s="183"/>
      <c r="M146" s="179">
        <f t="shared" si="36"/>
        <v>893.05964418584279</v>
      </c>
      <c r="N146" s="183">
        <f t="shared" si="51"/>
        <v>246.46308249149172</v>
      </c>
      <c r="O146" s="247">
        <f t="shared" si="37"/>
        <v>0.1769551902941735</v>
      </c>
      <c r="P146" s="246"/>
      <c r="Q146" s="417"/>
      <c r="R146" s="182"/>
      <c r="S146" s="178"/>
      <c r="T146" s="182"/>
      <c r="U146" s="178"/>
      <c r="V146" s="506"/>
      <c r="W146" s="259">
        <f>IF($W$135="Y",IFERROR(E146*$F$21*'Emissions Factors'!B22,""),"")</f>
        <v>0.55158964257148768</v>
      </c>
      <c r="X146" s="259" t="str">
        <f>IF($X$135="Y",IFERROR($E146*(SUM($F$7,$F$5,$F$6)/SUMIF($H$5:$H$16,"Y",$F$5:$F$16))*('Emissions Factors'!$T$143*$F$22)/10^6,""),"")</f>
        <v/>
      </c>
      <c r="Y146" s="259"/>
      <c r="Z146" s="259"/>
      <c r="AA146" s="509"/>
      <c r="AB146" s="180">
        <f t="shared" si="42"/>
        <v>0.55158964257148768</v>
      </c>
      <c r="AC146" s="180">
        <f t="shared" si="43"/>
        <v>0</v>
      </c>
      <c r="AE146" s="182"/>
      <c r="AF146" s="178"/>
      <c r="AG146" s="182"/>
      <c r="AH146" s="178"/>
      <c r="AJ146" s="259">
        <f>IF($AJ$135="Y",IFERROR(M146*$F$21*'Emissions Factors'!B22,""),"")</f>
        <v>0.65349596526606823</v>
      </c>
      <c r="AK146" s="259" t="str">
        <f>IF($AK$135="Y",IFERROR($M146*(SUM($F$7,$F$5,$F$6)/SUMIF($H$5:$H$16,"Y",$F$5:$F$16))*('Emissions Factors'!$T$143*$F$22)/10^6,""),"")</f>
        <v/>
      </c>
      <c r="AL146" s="259" t="b">
        <f t="shared" si="49"/>
        <v>0</v>
      </c>
      <c r="AM146" s="259" t="b">
        <f t="shared" si="50"/>
        <v>0</v>
      </c>
      <c r="AO146" s="180">
        <f t="shared" si="44"/>
        <v>0.65349596526606823</v>
      </c>
      <c r="AP146" s="180">
        <f t="shared" si="45"/>
        <v>0</v>
      </c>
      <c r="AS146" s="430"/>
      <c r="AT146" s="478">
        <v>2025</v>
      </c>
      <c r="AU146" s="479">
        <f t="shared" si="46"/>
        <v>1.2050856078375558</v>
      </c>
      <c r="AV146" s="479">
        <f t="shared" si="46"/>
        <v>0</v>
      </c>
      <c r="AW146" s="430"/>
      <c r="AX146" s="479">
        <f t="shared" si="38"/>
        <v>0.32674798263303412</v>
      </c>
      <c r="AY146" s="479">
        <f t="shared" si="38"/>
        <v>0</v>
      </c>
      <c r="AZ146" s="430"/>
      <c r="BA146" s="479">
        <f t="shared" si="39"/>
        <v>0.87833762520452163</v>
      </c>
      <c r="BB146" s="479">
        <f t="shared" si="39"/>
        <v>0</v>
      </c>
      <c r="BC146" s="516"/>
      <c r="BE146" s="480">
        <f t="shared" si="40"/>
        <v>0.27114088867044156</v>
      </c>
      <c r="BF146" s="480" t="str">
        <f t="shared" si="41"/>
        <v/>
      </c>
    </row>
    <row r="147" spans="1:58" ht="15.6" x14ac:dyDescent="0.3">
      <c r="A147" s="152">
        <v>2026</v>
      </c>
      <c r="B147" s="178"/>
      <c r="C147" s="182"/>
      <c r="D147" s="183"/>
      <c r="E147" s="179">
        <f t="shared" si="47"/>
        <v>980.11059001420313</v>
      </c>
      <c r="F147" s="183">
        <f t="shared" si="48"/>
        <v>226.31488795362816</v>
      </c>
      <c r="G147" s="247">
        <f t="shared" si="35"/>
        <v>0.14947420900917832</v>
      </c>
      <c r="H147" s="246"/>
      <c r="I147" s="417"/>
      <c r="J147" s="178"/>
      <c r="K147" s="182"/>
      <c r="L147" s="183"/>
      <c r="M147" s="179">
        <f t="shared" si="36"/>
        <v>1170.4936814082821</v>
      </c>
      <c r="N147" s="183">
        <f t="shared" si="51"/>
        <v>277.43403722243931</v>
      </c>
      <c r="O147" s="247">
        <f t="shared" si="37"/>
        <v>0.17850905699958691</v>
      </c>
      <c r="P147" s="246"/>
      <c r="Q147" s="417"/>
      <c r="R147" s="182"/>
      <c r="S147" s="178"/>
      <c r="T147" s="182"/>
      <c r="U147" s="178"/>
      <c r="V147" s="506"/>
      <c r="W147" s="259">
        <f>IF($W$135="Y",IFERROR(E147*$F$21*'Emissions Factors'!B23,""),"")</f>
        <v>0.71278875981749668</v>
      </c>
      <c r="X147" s="259" t="str">
        <f>IF($X$135="Y",IFERROR($E147*(SUM($F$7,$F$5,$F$6)/SUMIF($H$5:$H$16,"Y",$F$5:$F$16))*('Emissions Factors'!$T$143*$F$22)/10^6,""),"")</f>
        <v/>
      </c>
      <c r="Y147" s="259"/>
      <c r="Z147" s="259"/>
      <c r="AA147" s="509"/>
      <c r="AB147" s="180">
        <f t="shared" si="42"/>
        <v>0.71278875981749668</v>
      </c>
      <c r="AC147" s="180">
        <f t="shared" si="43"/>
        <v>0</v>
      </c>
      <c r="AE147" s="182"/>
      <c r="AF147" s="178"/>
      <c r="AG147" s="182"/>
      <c r="AH147" s="178"/>
      <c r="AJ147" s="259">
        <f>IF($AJ$135="Y",IFERROR(M147*$F$21*'Emissions Factors'!B23,""),"")</f>
        <v>0.85124551050217212</v>
      </c>
      <c r="AK147" s="259" t="str">
        <f>IF($AK$135="Y",IFERROR($M147*(SUM($F$7,$F$5,$F$6)/SUMIF($H$5:$H$16,"Y",$F$5:$F$16))*('Emissions Factors'!$T$143*$F$22)/10^6,""),"")</f>
        <v/>
      </c>
      <c r="AL147" s="259" t="b">
        <f t="shared" si="49"/>
        <v>0</v>
      </c>
      <c r="AM147" s="259" t="b">
        <f t="shared" si="50"/>
        <v>0</v>
      </c>
      <c r="AO147" s="180">
        <f t="shared" si="44"/>
        <v>0.85124551050217212</v>
      </c>
      <c r="AP147" s="180">
        <f t="shared" si="45"/>
        <v>0</v>
      </c>
      <c r="AS147" s="430"/>
      <c r="AT147" s="478">
        <v>2026</v>
      </c>
      <c r="AU147" s="479">
        <f t="shared" si="46"/>
        <v>1.5640342703196688</v>
      </c>
      <c r="AV147" s="479">
        <f t="shared" si="46"/>
        <v>0</v>
      </c>
      <c r="AW147" s="430"/>
      <c r="AX147" s="479">
        <f t="shared" si="38"/>
        <v>0.42562275525108606</v>
      </c>
      <c r="AY147" s="479">
        <f t="shared" si="38"/>
        <v>0</v>
      </c>
      <c r="AZ147" s="430"/>
      <c r="BA147" s="479">
        <f t="shared" si="39"/>
        <v>1.1384115150685827</v>
      </c>
      <c r="BB147" s="479">
        <f t="shared" si="39"/>
        <v>0</v>
      </c>
      <c r="BC147" s="516"/>
      <c r="BE147" s="480">
        <f t="shared" si="40"/>
        <v>0.27213134860791394</v>
      </c>
      <c r="BF147" s="480" t="str">
        <f t="shared" si="41"/>
        <v/>
      </c>
    </row>
    <row r="148" spans="1:58" ht="15.6" x14ac:dyDescent="0.3">
      <c r="A148" s="152">
        <v>2027</v>
      </c>
      <c r="B148" s="178"/>
      <c r="C148" s="182"/>
      <c r="D148" s="183"/>
      <c r="E148" s="179">
        <f t="shared" si="47"/>
        <v>1228.575210045869</v>
      </c>
      <c r="F148" s="183">
        <f t="shared" si="48"/>
        <v>248.46462003166585</v>
      </c>
      <c r="G148" s="247">
        <f t="shared" si="35"/>
        <v>0.14935483770608154</v>
      </c>
      <c r="H148" s="246"/>
      <c r="I148" s="417"/>
      <c r="J148" s="178"/>
      <c r="K148" s="182"/>
      <c r="L148" s="183"/>
      <c r="M148" s="179">
        <f t="shared" si="36"/>
        <v>1479.0856223098274</v>
      </c>
      <c r="N148" s="183">
        <f t="shared" si="51"/>
        <v>308.59194090154529</v>
      </c>
      <c r="O148" s="247">
        <f t="shared" si="37"/>
        <v>0.17980876650216249</v>
      </c>
      <c r="P148" s="246"/>
      <c r="Q148" s="417"/>
      <c r="R148" s="182"/>
      <c r="S148" s="178"/>
      <c r="T148" s="182"/>
      <c r="U148" s="182"/>
      <c r="V148" s="506"/>
      <c r="W148" s="259">
        <f>IF($W$135="Y",IFERROR(E148*$F$21*'Emissions Factors'!B24,""),"")</f>
        <v>0.888561504790917</v>
      </c>
      <c r="X148" s="259" t="str">
        <f>IF($X$135="Y",IFERROR($E148*(SUM($F$7,$F$5,$F$6)/SUMIF($H$5:$H$16,"Y",$F$5:$F$16))*('Emissions Factors'!$T$143*$F$22)/10^6,""),"")</f>
        <v/>
      </c>
      <c r="Y148" s="259"/>
      <c r="Z148" s="259"/>
      <c r="AA148" s="509"/>
      <c r="AB148" s="180">
        <f t="shared" si="42"/>
        <v>0.888561504790917</v>
      </c>
      <c r="AC148" s="180">
        <f>SUM(R148:U148)</f>
        <v>0</v>
      </c>
      <c r="AE148" s="182"/>
      <c r="AF148" s="178"/>
      <c r="AG148" s="182"/>
      <c r="AH148" s="178"/>
      <c r="AJ148" s="259">
        <f>IF($AJ$135="Y",IFERROR(M148*$F$21*'Emissions Factors'!B24,""),"")</f>
        <v>1.0697420357563312</v>
      </c>
      <c r="AK148" s="259" t="str">
        <f>IF($AK$135="Y",IFERROR($M148*(SUM($F$7,$F$5,$F$6)/SUMIF($H$5:$H$16,"Y",$F$5:$F$16))*('Emissions Factors'!$T$143*$F$22)/10^6,""),"")</f>
        <v/>
      </c>
      <c r="AL148" s="259" t="b">
        <f t="shared" si="49"/>
        <v>0</v>
      </c>
      <c r="AM148" s="259" t="b">
        <f t="shared" si="50"/>
        <v>0</v>
      </c>
      <c r="AO148" s="180">
        <f t="shared" si="44"/>
        <v>1.0697420357563312</v>
      </c>
      <c r="AP148" s="180">
        <f t="shared" si="45"/>
        <v>0</v>
      </c>
      <c r="AS148" s="430"/>
      <c r="AT148" s="478">
        <v>2027</v>
      </c>
      <c r="AU148" s="479">
        <f t="shared" si="46"/>
        <v>1.9583035405472482</v>
      </c>
      <c r="AV148" s="479">
        <f t="shared" si="46"/>
        <v>0</v>
      </c>
      <c r="AW148" s="430"/>
      <c r="AX148" s="479">
        <f t="shared" si="38"/>
        <v>0.5348710178781656</v>
      </c>
      <c r="AY148" s="479">
        <f t="shared" si="38"/>
        <v>0</v>
      </c>
      <c r="AZ148" s="430"/>
      <c r="BA148" s="479">
        <f t="shared" si="39"/>
        <v>1.4234325226690827</v>
      </c>
      <c r="BB148" s="479">
        <f t="shared" si="39"/>
        <v>0</v>
      </c>
      <c r="BC148" s="516"/>
      <c r="BE148" s="480">
        <f t="shared" si="40"/>
        <v>0.27312978136611848</v>
      </c>
      <c r="BF148" s="480" t="str">
        <f t="shared" si="41"/>
        <v/>
      </c>
    </row>
    <row r="149" spans="1:58" ht="15.6" x14ac:dyDescent="0.3">
      <c r="A149" s="152">
        <v>2028</v>
      </c>
      <c r="B149" s="178"/>
      <c r="C149" s="182"/>
      <c r="D149" s="183"/>
      <c r="E149" s="179">
        <f t="shared" si="47"/>
        <v>1499.8244922759452</v>
      </c>
      <c r="F149" s="183">
        <f t="shared" si="48"/>
        <v>271.24928223007623</v>
      </c>
      <c r="G149" s="247">
        <f t="shared" si="35"/>
        <v>0.14914100710636025</v>
      </c>
      <c r="H149" s="246"/>
      <c r="I149" s="417"/>
      <c r="J149" s="178"/>
      <c r="K149" s="182"/>
      <c r="L149" s="183"/>
      <c r="M149" s="179">
        <f t="shared" si="36"/>
        <v>1820.3518795825171</v>
      </c>
      <c r="N149" s="183">
        <f t="shared" si="51"/>
        <v>341.2662572726897</v>
      </c>
      <c r="O149" s="247">
        <f t="shared" si="37"/>
        <v>0.18101392130016136</v>
      </c>
      <c r="P149" s="246"/>
      <c r="Q149" s="417"/>
      <c r="R149" s="182"/>
      <c r="S149" s="178"/>
      <c r="T149" s="182"/>
      <c r="U149" s="178"/>
      <c r="V149" s="506"/>
      <c r="W149" s="259">
        <f>IF($W$135="Y",IFERROR(E149*$F$21*'Emissions Factors'!B25,""),"")</f>
        <v>1.078825347672304</v>
      </c>
      <c r="X149" s="259" t="str">
        <f>IF($X$135="Y",IFERROR($E149*(SUM($F$7,$F$5,$F$6)/SUMIF($H$5:$H$16,"Y",$F$5:$F$16))*('Emissions Factors'!$T$143*$F$22)/10^6,""),"")</f>
        <v/>
      </c>
      <c r="Y149" s="259"/>
      <c r="Z149" s="259"/>
      <c r="AA149" s="509"/>
      <c r="AB149" s="180">
        <f t="shared" si="42"/>
        <v>1.078825347672304</v>
      </c>
      <c r="AC149" s="180">
        <f t="shared" si="43"/>
        <v>0</v>
      </c>
      <c r="AE149" s="182"/>
      <c r="AF149" s="178"/>
      <c r="AG149" s="182"/>
      <c r="AH149" s="178"/>
      <c r="AJ149" s="259">
        <f>IF($AJ$135="Y",IFERROR(M149*$F$21*'Emissions Factors'!B25,""),"")</f>
        <v>1.3093810372415384</v>
      </c>
      <c r="AK149" s="259" t="str">
        <f>IF($AK$135="Y",IFERROR($M149*(SUM($F$7,$F$5,$F$6)/SUMIF($H$5:$H$16,"Y",$F$5:$F$16))*('Emissions Factors'!$T$143*$F$22)/10^6,""),"")</f>
        <v/>
      </c>
      <c r="AL149" s="259" t="b">
        <f t="shared" si="49"/>
        <v>0</v>
      </c>
      <c r="AM149" s="259" t="b">
        <f t="shared" si="50"/>
        <v>0</v>
      </c>
      <c r="AO149" s="180">
        <f t="shared" si="44"/>
        <v>1.3093810372415384</v>
      </c>
      <c r="AP149" s="180">
        <f t="shared" si="45"/>
        <v>0</v>
      </c>
      <c r="AS149" s="430"/>
      <c r="AT149" s="478">
        <v>2028</v>
      </c>
      <c r="AU149" s="479">
        <f t="shared" si="46"/>
        <v>2.3882063849138424</v>
      </c>
      <c r="AV149" s="479">
        <f t="shared" si="46"/>
        <v>0</v>
      </c>
      <c r="AW149" s="430"/>
      <c r="AX149" s="479">
        <f t="shared" si="38"/>
        <v>0.65469051862076921</v>
      </c>
      <c r="AY149" s="479">
        <f t="shared" si="38"/>
        <v>0</v>
      </c>
      <c r="AZ149" s="430"/>
      <c r="BA149" s="479">
        <f t="shared" si="39"/>
        <v>1.7335158662930732</v>
      </c>
      <c r="BB149" s="479">
        <f t="shared" si="39"/>
        <v>0</v>
      </c>
      <c r="BC149" s="516"/>
      <c r="BE149" s="480">
        <f t="shared" si="40"/>
        <v>0.27413481630248132</v>
      </c>
      <c r="BF149" s="480" t="str">
        <f t="shared" si="41"/>
        <v/>
      </c>
    </row>
    <row r="150" spans="1:58" ht="15.6" x14ac:dyDescent="0.3">
      <c r="A150" s="152">
        <v>2029</v>
      </c>
      <c r="B150" s="178"/>
      <c r="C150" s="182"/>
      <c r="D150" s="183"/>
      <c r="E150" s="179">
        <f t="shared" si="47"/>
        <v>1795.1933946162965</v>
      </c>
      <c r="F150" s="183">
        <f t="shared" si="48"/>
        <v>295.36890234035127</v>
      </c>
      <c r="G150" s="247">
        <f t="shared" si="35"/>
        <v>0.14893042017216732</v>
      </c>
      <c r="H150" s="246"/>
      <c r="I150" s="417"/>
      <c r="J150" s="178"/>
      <c r="K150" s="182"/>
      <c r="L150" s="183"/>
      <c r="M150" s="179">
        <f t="shared" si="36"/>
        <v>2196.7093500096944</v>
      </c>
      <c r="N150" s="183">
        <f t="shared" si="51"/>
        <v>376.3574704271773</v>
      </c>
      <c r="O150" s="247">
        <f t="shared" si="37"/>
        <v>0.18224044689235203</v>
      </c>
      <c r="P150" s="246"/>
      <c r="Q150" s="417"/>
      <c r="R150" s="182"/>
      <c r="S150" s="178"/>
      <c r="T150" s="182"/>
      <c r="U150" s="178"/>
      <c r="V150" s="506"/>
      <c r="W150" s="259">
        <f>IF($W$135="Y",IFERROR(E150*$F$21*'Emissions Factors'!B26,""),"")</f>
        <v>1.2843043555957636</v>
      </c>
      <c r="X150" s="259" t="str">
        <f>IF($X$135="Y",IFERROR($E150*(SUM($F$7,$F$5,$F$6)/SUMIF($H$5:$H$16,"Y",$F$5:$F$16))*('Emissions Factors'!$T$143*$F$22)/10^6,""),"")</f>
        <v/>
      </c>
      <c r="Y150" s="259"/>
      <c r="Z150" s="259"/>
      <c r="AA150" s="509"/>
      <c r="AB150" s="180">
        <f t="shared" si="42"/>
        <v>1.2843043555957636</v>
      </c>
      <c r="AC150" s="180">
        <f t="shared" si="43"/>
        <v>0</v>
      </c>
      <c r="AE150" s="182"/>
      <c r="AF150" s="178"/>
      <c r="AG150" s="182"/>
      <c r="AH150" s="178"/>
      <c r="AJ150" s="259">
        <f>IF($AJ$135="Y",IFERROR(M150*$F$21*'Emissions Factors'!B26,""),"")</f>
        <v>1.5715540145458256</v>
      </c>
      <c r="AK150" s="259" t="str">
        <f>IF($AK$135="Y",IFERROR($M150*(SUM($F$7,$F$5,$F$6)/SUMIF($H$5:$H$16,"Y",$F$5:$F$16))*('Emissions Factors'!$T$143*$F$22)/10^6,""),"")</f>
        <v/>
      </c>
      <c r="AL150" s="259" t="b">
        <f t="shared" si="49"/>
        <v>0</v>
      </c>
      <c r="AM150" s="259" t="b">
        <f t="shared" si="50"/>
        <v>0</v>
      </c>
      <c r="AO150" s="180">
        <f t="shared" si="44"/>
        <v>1.5715540145458256</v>
      </c>
      <c r="AP150" s="180">
        <f t="shared" si="45"/>
        <v>0</v>
      </c>
      <c r="AS150" s="430"/>
      <c r="AT150" s="478">
        <v>2029</v>
      </c>
      <c r="AU150" s="479">
        <f t="shared" si="46"/>
        <v>2.8558583701415889</v>
      </c>
      <c r="AV150" s="479">
        <f t="shared" si="46"/>
        <v>0</v>
      </c>
      <c r="AW150" s="430"/>
      <c r="AX150" s="479">
        <f t="shared" si="38"/>
        <v>0.78577700727291278</v>
      </c>
      <c r="AY150" s="479">
        <f t="shared" si="38"/>
        <v>0</v>
      </c>
      <c r="AZ150" s="430"/>
      <c r="BA150" s="479">
        <f t="shared" si="39"/>
        <v>2.0700813628686761</v>
      </c>
      <c r="BB150" s="479">
        <f t="shared" si="39"/>
        <v>0</v>
      </c>
      <c r="BC150" s="516"/>
      <c r="BE150" s="480">
        <f t="shared" si="40"/>
        <v>0.27514564989928236</v>
      </c>
      <c r="BF150" s="480" t="str">
        <f t="shared" si="41"/>
        <v/>
      </c>
    </row>
    <row r="151" spans="1:58" ht="15.6" x14ac:dyDescent="0.3">
      <c r="A151" s="152">
        <v>2030</v>
      </c>
      <c r="B151" s="178"/>
      <c r="C151" s="182"/>
      <c r="D151" s="183"/>
      <c r="E151" s="179">
        <f t="shared" si="47"/>
        <v>2116.039824179702</v>
      </c>
      <c r="F151" s="183">
        <f t="shared" si="48"/>
        <v>320.84642956340554</v>
      </c>
      <c r="G151" s="247">
        <f t="shared" si="35"/>
        <v>0.14876351505283386</v>
      </c>
      <c r="H151" s="246"/>
      <c r="I151" s="417"/>
      <c r="J151" s="178"/>
      <c r="K151" s="182"/>
      <c r="L151" s="183"/>
      <c r="M151" s="179">
        <f t="shared" si="36"/>
        <v>2610.6706925651806</v>
      </c>
      <c r="N151" s="183">
        <f t="shared" si="51"/>
        <v>413.96134255548623</v>
      </c>
      <c r="O151" s="247">
        <f t="shared" si="37"/>
        <v>0.18353744784645906</v>
      </c>
      <c r="P151" s="246"/>
      <c r="Q151" s="417"/>
      <c r="R151" s="182"/>
      <c r="S151" s="178"/>
      <c r="T151" s="182"/>
      <c r="U151" s="178"/>
      <c r="V151" s="506"/>
      <c r="W151" s="259">
        <f>IF($W$135="Y",IFERROR(E151*$F$21*'Emissions Factors'!B27,""),"")</f>
        <v>1.5060699146752532</v>
      </c>
      <c r="X151" s="259" t="str">
        <f>IF($X$135="Y",IFERROR($E151*(SUM($F$7,$F$5,$F$6)/SUMIF($H$5:$H$16,"Y",$F$5:$F$16))*('Emissions Factors'!$T$143*$F$22)/10^6,""),"")</f>
        <v/>
      </c>
      <c r="Y151" s="259"/>
      <c r="Z151" s="259"/>
      <c r="AA151" s="509"/>
      <c r="AB151" s="180">
        <f t="shared" si="42"/>
        <v>1.5060699146752532</v>
      </c>
      <c r="AC151" s="180">
        <f t="shared" si="43"/>
        <v>0</v>
      </c>
      <c r="AE151" s="182"/>
      <c r="AF151" s="178"/>
      <c r="AG151" s="182"/>
      <c r="AH151" s="178"/>
      <c r="AJ151" s="259">
        <f>IF($AJ$135="Y",IFERROR(M151*$F$21*'Emissions Factors'!B27,""),"")</f>
        <v>1.8581184258765249</v>
      </c>
      <c r="AK151" s="259" t="str">
        <f>IF($AK$135="Y",IFERROR($M151*(SUM($F$7,$F$5,$F$6)/SUMIF($H$5:$H$16,"Y",$F$5:$F$16))*('Emissions Factors'!$T$143*$F$22)/10^6,""),"")</f>
        <v/>
      </c>
      <c r="AL151" s="259" t="b">
        <f t="shared" si="49"/>
        <v>0</v>
      </c>
      <c r="AM151" s="259" t="b">
        <f t="shared" si="50"/>
        <v>0</v>
      </c>
      <c r="AO151" s="180">
        <f t="shared" si="44"/>
        <v>1.8581184258765249</v>
      </c>
      <c r="AP151" s="180">
        <f t="shared" si="45"/>
        <v>0</v>
      </c>
      <c r="AS151" s="430"/>
      <c r="AT151" s="478">
        <v>2030</v>
      </c>
      <c r="AU151" s="479">
        <f t="shared" si="46"/>
        <v>3.3641883405517783</v>
      </c>
      <c r="AV151" s="479">
        <f t="shared" si="46"/>
        <v>0</v>
      </c>
      <c r="AW151" s="430"/>
      <c r="AX151" s="479">
        <f t="shared" si="38"/>
        <v>0.92905921293826244</v>
      </c>
      <c r="AY151" s="479">
        <f t="shared" si="38"/>
        <v>0</v>
      </c>
      <c r="AZ151" s="430"/>
      <c r="BA151" s="479">
        <f t="shared" si="39"/>
        <v>2.4351291276135161</v>
      </c>
      <c r="BB151" s="479">
        <f t="shared" si="39"/>
        <v>0</v>
      </c>
      <c r="BC151" s="516"/>
      <c r="BE151" s="480">
        <f t="shared" si="40"/>
        <v>0.2761614745938637</v>
      </c>
      <c r="BF151" s="480" t="str">
        <f t="shared" si="41"/>
        <v/>
      </c>
    </row>
    <row r="152" spans="1:58" ht="15.6" x14ac:dyDescent="0.3">
      <c r="A152" s="152">
        <v>2031</v>
      </c>
      <c r="B152" s="178"/>
      <c r="C152" s="182"/>
      <c r="D152" s="183"/>
      <c r="E152" s="179">
        <f t="shared" si="47"/>
        <v>2462.7458558801541</v>
      </c>
      <c r="F152" s="183">
        <f t="shared" si="48"/>
        <v>346.70603170045206</v>
      </c>
      <c r="G152" s="247">
        <f t="shared" si="35"/>
        <v>0.14862397241598671</v>
      </c>
      <c r="H152" s="246"/>
      <c r="I152" s="417"/>
      <c r="J152" s="178"/>
      <c r="K152" s="182"/>
      <c r="L152" s="183"/>
      <c r="M152" s="179">
        <f t="shared" si="36"/>
        <v>3063.5930273118115</v>
      </c>
      <c r="N152" s="183">
        <f t="shared" si="51"/>
        <v>452.9223347466309</v>
      </c>
      <c r="O152" s="247">
        <f t="shared" si="37"/>
        <v>0.18488443072509936</v>
      </c>
      <c r="P152" s="246"/>
      <c r="Q152" s="417"/>
      <c r="R152" s="182"/>
      <c r="S152" s="178"/>
      <c r="T152" s="182"/>
      <c r="U152" s="178"/>
      <c r="V152" s="506"/>
      <c r="W152" s="259">
        <f>IF($W$135="Y",IFERROR(E152*$F$21*'Emissions Factors'!B28,""),"")</f>
        <v>1.7430771120720689</v>
      </c>
      <c r="X152" s="259" t="str">
        <f>IF($X$135="Y",IFERROR($E152*(SUM($F$7,$F$5,$F$6)/SUMIF($H$5:$H$16,"Y",$F$5:$F$16))*('Emissions Factors'!$T$143*$F$22)/10^6,""),"")</f>
        <v/>
      </c>
      <c r="Y152" s="259"/>
      <c r="Z152" s="259"/>
      <c r="AA152" s="509"/>
      <c r="AB152" s="180">
        <f t="shared" si="42"/>
        <v>1.7430771120720689</v>
      </c>
      <c r="AC152" s="180">
        <f t="shared" si="43"/>
        <v>0</v>
      </c>
      <c r="AE152" s="182"/>
      <c r="AF152" s="178"/>
      <c r="AG152" s="182"/>
      <c r="AH152" s="178"/>
      <c r="AJ152" s="259">
        <f>IF($AJ$135="Y",IFERROR(M152*$F$21*'Emissions Factors'!B28,""),"")</f>
        <v>2.1683434666474435</v>
      </c>
      <c r="AK152" s="259" t="str">
        <f>IF($AK$135="Y",IFERROR($M152*(SUM($F$7,$F$5,$F$6)/SUMIF($H$5:$H$16,"Y",$F$5:$F$16))*('Emissions Factors'!$T$143*$F$22)/10^6,""),"")</f>
        <v/>
      </c>
      <c r="AL152" s="259" t="b">
        <f t="shared" si="49"/>
        <v>0</v>
      </c>
      <c r="AM152" s="259" t="b">
        <f t="shared" si="50"/>
        <v>0</v>
      </c>
      <c r="AO152" s="180">
        <f t="shared" si="44"/>
        <v>2.1683434666474435</v>
      </c>
      <c r="AP152" s="180">
        <f t="shared" si="45"/>
        <v>0</v>
      </c>
      <c r="AS152" s="430"/>
      <c r="AT152" s="478">
        <v>2031</v>
      </c>
      <c r="AU152" s="479">
        <f t="shared" si="46"/>
        <v>3.9114205787195124</v>
      </c>
      <c r="AV152" s="479">
        <f t="shared" si="46"/>
        <v>0</v>
      </c>
      <c r="AW152" s="430"/>
      <c r="AX152" s="479">
        <f t="shared" si="38"/>
        <v>1.0841717333237217</v>
      </c>
      <c r="AY152" s="479">
        <f t="shared" si="38"/>
        <v>0</v>
      </c>
      <c r="AZ152" s="430"/>
      <c r="BA152" s="479">
        <f t="shared" si="39"/>
        <v>2.8272488453957907</v>
      </c>
      <c r="BB152" s="479">
        <f t="shared" si="39"/>
        <v>0</v>
      </c>
      <c r="BC152" s="516"/>
      <c r="BE152" s="480">
        <f t="shared" si="40"/>
        <v>0.27718106797879777</v>
      </c>
      <c r="BF152" s="480" t="str">
        <f t="shared" si="41"/>
        <v/>
      </c>
    </row>
    <row r="153" spans="1:58" ht="15.6" x14ac:dyDescent="0.3">
      <c r="A153" s="152">
        <v>2032</v>
      </c>
      <c r="B153" s="178"/>
      <c r="C153" s="182"/>
      <c r="D153" s="183"/>
      <c r="E153" s="179">
        <f t="shared" si="47"/>
        <v>2833.8190689927437</v>
      </c>
      <c r="F153" s="183">
        <f t="shared" si="48"/>
        <v>371.07321311258966</v>
      </c>
      <c r="G153" s="247">
        <f t="shared" si="35"/>
        <v>0.14848342849941196</v>
      </c>
      <c r="H153" s="246"/>
      <c r="I153" s="417"/>
      <c r="J153" s="178"/>
      <c r="K153" s="182"/>
      <c r="L153" s="183"/>
      <c r="M153" s="179">
        <f t="shared" si="36"/>
        <v>3554.4648792161247</v>
      </c>
      <c r="N153" s="183">
        <f t="shared" si="51"/>
        <v>490.87185190431319</v>
      </c>
      <c r="O153" s="247">
        <f t="shared" si="37"/>
        <v>0.18624305888884884</v>
      </c>
      <c r="P153" s="246"/>
      <c r="Q153" s="417"/>
      <c r="R153" s="182"/>
      <c r="S153" s="178"/>
      <c r="T153" s="182"/>
      <c r="U153" s="178"/>
      <c r="V153" s="506"/>
      <c r="W153" s="259">
        <f>IF($W$135="Y",IFERROR(E153*$F$21*'Emissions Factors'!B29,""),"")</f>
        <v>1.9950613724397905</v>
      </c>
      <c r="X153" s="259" t="str">
        <f>IF($X$135="Y",IFERROR($E153*(SUM($F$7,$F$5,$F$6)/SUMIF($H$5:$H$16,"Y",$F$5:$F$16))*('Emissions Factors'!$T$143*$F$22)/10^6,""),"")</f>
        <v/>
      </c>
      <c r="Y153" s="259"/>
      <c r="Z153" s="259"/>
      <c r="AA153" s="509"/>
      <c r="AB153" s="180">
        <f t="shared" si="42"/>
        <v>1.9950613724397905</v>
      </c>
      <c r="AC153" s="180">
        <f t="shared" si="43"/>
        <v>0</v>
      </c>
      <c r="AE153" s="182"/>
      <c r="AF153" s="178"/>
      <c r="AG153" s="182"/>
      <c r="AH153" s="178"/>
      <c r="AJ153" s="259">
        <f>IF($AJ$135="Y",IFERROR(M153*$F$21*'Emissions Factors'!B29,""),"")</f>
        <v>2.5024094367247391</v>
      </c>
      <c r="AK153" s="259" t="str">
        <f>IF($AK$135="Y",IFERROR($M153*(SUM($F$7,$F$5,$F$6)/SUMIF($H$5:$H$16,"Y",$F$5:$F$16))*('Emissions Factors'!$T$143*$F$22)/10^6,""),"")</f>
        <v/>
      </c>
      <c r="AL153" s="259" t="b">
        <f t="shared" si="49"/>
        <v>0</v>
      </c>
      <c r="AM153" s="259" t="b">
        <f t="shared" si="50"/>
        <v>0</v>
      </c>
      <c r="AO153" s="180">
        <f t="shared" si="44"/>
        <v>2.5024094367247391</v>
      </c>
      <c r="AP153" s="180">
        <f t="shared" si="45"/>
        <v>0</v>
      </c>
      <c r="AS153" s="430"/>
      <c r="AT153" s="478">
        <v>2032</v>
      </c>
      <c r="AU153" s="479">
        <f t="shared" si="46"/>
        <v>4.4974708091645299</v>
      </c>
      <c r="AV153" s="479">
        <f t="shared" si="46"/>
        <v>0</v>
      </c>
      <c r="AW153" s="430"/>
      <c r="AX153" s="479">
        <f t="shared" si="38"/>
        <v>1.2512047183623696</v>
      </c>
      <c r="AY153" s="479">
        <f t="shared" si="38"/>
        <v>0</v>
      </c>
      <c r="AZ153" s="430"/>
      <c r="BA153" s="479">
        <f t="shared" si="39"/>
        <v>3.2462660908021603</v>
      </c>
      <c r="BB153" s="479">
        <f t="shared" si="39"/>
        <v>0</v>
      </c>
      <c r="BC153" s="516"/>
      <c r="BE153" s="480">
        <f t="shared" si="40"/>
        <v>0.27820185420943261</v>
      </c>
      <c r="BF153" s="480" t="str">
        <f t="shared" si="41"/>
        <v/>
      </c>
    </row>
    <row r="154" spans="1:58" ht="15.6" x14ac:dyDescent="0.3">
      <c r="A154" s="152">
        <v>2033</v>
      </c>
      <c r="B154" s="178"/>
      <c r="C154" s="182"/>
      <c r="D154" s="183"/>
      <c r="E154" s="179">
        <f t="shared" si="47"/>
        <v>3225.2505853478056</v>
      </c>
      <c r="F154" s="183">
        <f t="shared" si="48"/>
        <v>391.43151635506183</v>
      </c>
      <c r="G154" s="247">
        <f t="shared" si="35"/>
        <v>0.14832685973648649</v>
      </c>
      <c r="H154" s="246"/>
      <c r="I154" s="417"/>
      <c r="J154" s="178"/>
      <c r="K154" s="182"/>
      <c r="L154" s="183"/>
      <c r="M154" s="179">
        <f t="shared" si="36"/>
        <v>4078.9494625379998</v>
      </c>
      <c r="N154" s="183">
        <f t="shared" si="51"/>
        <v>524.48458332187511</v>
      </c>
      <c r="O154" s="247">
        <f t="shared" si="37"/>
        <v>0.18758783195038059</v>
      </c>
      <c r="P154" s="246"/>
      <c r="Q154" s="417"/>
      <c r="R154" s="182"/>
      <c r="S154" s="178"/>
      <c r="T154" s="182"/>
      <c r="U154" s="178"/>
      <c r="V154" s="506"/>
      <c r="W154" s="259">
        <f>IF($W$135="Y",IFERROR(E154*$F$21*'Emissions Factors'!B30,""),"")</f>
        <v>2.2586113182433043</v>
      </c>
      <c r="X154" s="259" t="str">
        <f>IF($X$135="Y",IFERROR($E154*(SUM($F$7,$F$5,$F$6)/SUMIF($H$5:$H$16,"Y",$F$5:$F$16))*('Emissions Factors'!$T$143*$F$22)/10^6,""),"")</f>
        <v/>
      </c>
      <c r="Y154" s="259"/>
      <c r="Z154" s="259"/>
      <c r="AA154" s="509"/>
      <c r="AB154" s="180">
        <f t="shared" si="42"/>
        <v>2.2586113182433043</v>
      </c>
      <c r="AC154" s="180">
        <f t="shared" si="43"/>
        <v>0</v>
      </c>
      <c r="AE154" s="182"/>
      <c r="AF154" s="178"/>
      <c r="AG154" s="182"/>
      <c r="AH154" s="178"/>
      <c r="AJ154" s="259">
        <f>IF($AJ$135="Y",IFERROR(M154*$F$21*'Emissions Factors'!B30,""),"")</f>
        <v>2.8564482600155179</v>
      </c>
      <c r="AK154" s="259" t="str">
        <f>IF($AK$135="Y",IFERROR($M154*(SUM($F$7,$F$5,$F$6)/SUMIF($H$5:$H$16,"Y",$F$5:$F$16))*('Emissions Factors'!$T$143*$F$22)/10^6,""),"")</f>
        <v/>
      </c>
      <c r="AL154" s="259" t="b">
        <f t="shared" si="49"/>
        <v>0</v>
      </c>
      <c r="AM154" s="259" t="b">
        <f t="shared" si="50"/>
        <v>0</v>
      </c>
      <c r="AO154" s="180">
        <f t="shared" si="44"/>
        <v>2.8564482600155179</v>
      </c>
      <c r="AP154" s="180">
        <f t="shared" si="45"/>
        <v>0</v>
      </c>
      <c r="AS154" s="430"/>
      <c r="AT154" s="478">
        <v>2033</v>
      </c>
      <c r="AU154" s="479">
        <f t="shared" si="46"/>
        <v>5.1150595782588226</v>
      </c>
      <c r="AV154" s="479">
        <f t="shared" si="46"/>
        <v>0</v>
      </c>
      <c r="AW154" s="430"/>
      <c r="AX154" s="479">
        <f t="shared" si="38"/>
        <v>1.4282241300077589</v>
      </c>
      <c r="AY154" s="479">
        <f t="shared" si="38"/>
        <v>0</v>
      </c>
      <c r="AZ154" s="430"/>
      <c r="BA154" s="479">
        <f t="shared" si="39"/>
        <v>3.6868354482510637</v>
      </c>
      <c r="BB154" s="479">
        <f t="shared" si="39"/>
        <v>0</v>
      </c>
      <c r="BC154" s="516"/>
      <c r="BE154" s="480">
        <f t="shared" si="40"/>
        <v>0.27921945153450772</v>
      </c>
      <c r="BF154" s="480" t="str">
        <f t="shared" si="41"/>
        <v/>
      </c>
    </row>
    <row r="155" spans="1:58" ht="15.6" x14ac:dyDescent="0.3">
      <c r="A155" s="152">
        <v>2034</v>
      </c>
      <c r="B155" s="178"/>
      <c r="C155" s="182"/>
      <c r="D155" s="183"/>
      <c r="E155" s="179">
        <f t="shared" si="47"/>
        <v>3631.5693863073816</v>
      </c>
      <c r="F155" s="183">
        <f t="shared" si="48"/>
        <v>406.31880095957604</v>
      </c>
      <c r="G155" s="247">
        <f t="shared" si="35"/>
        <v>0.14814540545295091</v>
      </c>
      <c r="H155" s="246"/>
      <c r="I155" s="417"/>
      <c r="J155" s="178"/>
      <c r="K155" s="182"/>
      <c r="L155" s="183"/>
      <c r="M155" s="179">
        <f t="shared" si="36"/>
        <v>4630.5886443034888</v>
      </c>
      <c r="N155" s="183">
        <f t="shared" si="51"/>
        <v>551.63918176548896</v>
      </c>
      <c r="O155" s="247">
        <f t="shared" si="37"/>
        <v>0.18889916706058124</v>
      </c>
      <c r="P155" s="246"/>
      <c r="Q155" s="417"/>
      <c r="R155" s="182"/>
      <c r="S155" s="178"/>
      <c r="T155" s="182"/>
      <c r="U155" s="178"/>
      <c r="V155" s="506"/>
      <c r="W155" s="259">
        <f>IF($W$135="Y",IFERROR(E155*$F$21*'Emissions Factors'!B31,""),"")</f>
        <v>2.5297041325788383</v>
      </c>
      <c r="X155" s="259" t="str">
        <f>IF($X$135="Y",IFERROR($E155*(SUM($F$7,$F$5,$F$6)/SUMIF($H$5:$H$16,"Y",$F$5:$F$16))*('Emissions Factors'!$T$143*$F$22)/10^6,""),"")</f>
        <v/>
      </c>
      <c r="Y155" s="259"/>
      <c r="Z155" s="259"/>
      <c r="AA155" s="509"/>
      <c r="AB155" s="180">
        <f t="shared" si="42"/>
        <v>2.5297041325788383</v>
      </c>
      <c r="AC155" s="180">
        <f t="shared" si="43"/>
        <v>0</v>
      </c>
      <c r="AE155" s="182"/>
      <c r="AF155" s="178"/>
      <c r="AG155" s="182"/>
      <c r="AH155" s="178"/>
      <c r="AJ155" s="259">
        <f>IF($AJ$135="Y",IFERROR(M155*$F$21*'Emissions Factors'!B31,""),"")</f>
        <v>3.2256079902904227</v>
      </c>
      <c r="AK155" s="259" t="str">
        <f>IF($AK$135="Y",IFERROR($M155*(SUM($F$7,$F$5,$F$6)/SUMIF($H$5:$H$16,"Y",$F$5:$F$16))*('Emissions Factors'!$T$143*$F$22)/10^6,""),"")</f>
        <v/>
      </c>
      <c r="AL155" s="259" t="b">
        <f t="shared" si="49"/>
        <v>0</v>
      </c>
      <c r="AM155" s="259" t="b">
        <f t="shared" si="50"/>
        <v>0</v>
      </c>
      <c r="AO155" s="180">
        <f t="shared" si="44"/>
        <v>3.2256079902904227</v>
      </c>
      <c r="AP155" s="180">
        <f t="shared" si="45"/>
        <v>0</v>
      </c>
      <c r="AS155" s="430"/>
      <c r="AT155" s="478">
        <v>2034</v>
      </c>
      <c r="AU155" s="479">
        <f t="shared" si="46"/>
        <v>5.7553121228692614</v>
      </c>
      <c r="AV155" s="479">
        <f t="shared" si="46"/>
        <v>0</v>
      </c>
      <c r="AW155" s="430"/>
      <c r="AX155" s="479">
        <f t="shared" si="38"/>
        <v>1.6128039951452113</v>
      </c>
      <c r="AY155" s="479">
        <f t="shared" si="38"/>
        <v>0</v>
      </c>
      <c r="AZ155" s="430"/>
      <c r="BA155" s="479">
        <f t="shared" si="39"/>
        <v>4.1425081277240503</v>
      </c>
      <c r="BB155" s="479">
        <f t="shared" si="39"/>
        <v>0</v>
      </c>
      <c r="BC155" s="516"/>
      <c r="BE155" s="480">
        <f t="shared" si="40"/>
        <v>0.28022876270021679</v>
      </c>
      <c r="BF155" s="480" t="str">
        <f t="shared" si="41"/>
        <v/>
      </c>
    </row>
    <row r="156" spans="1:58" ht="15.6" x14ac:dyDescent="0.3">
      <c r="A156" s="152">
        <v>2035</v>
      </c>
      <c r="B156" s="178"/>
      <c r="C156" s="182"/>
      <c r="D156" s="183"/>
      <c r="E156" s="179">
        <f t="shared" si="47"/>
        <v>4048.9179926352972</v>
      </c>
      <c r="F156" s="183">
        <f t="shared" si="48"/>
        <v>417.3486063279156</v>
      </c>
      <c r="G156" s="247">
        <f t="shared" si="35"/>
        <v>0.14794460706269394</v>
      </c>
      <c r="H156" s="246"/>
      <c r="I156" s="417"/>
      <c r="J156" s="178"/>
      <c r="K156" s="182"/>
      <c r="L156" s="183"/>
      <c r="M156" s="179">
        <f t="shared" si="36"/>
        <v>5204.7473748696275</v>
      </c>
      <c r="N156" s="183">
        <f t="shared" si="51"/>
        <v>574.15873056613873</v>
      </c>
      <c r="O156" s="247">
        <f t="shared" si="37"/>
        <v>0.19017779728714629</v>
      </c>
      <c r="P156" s="246"/>
      <c r="Q156" s="417"/>
      <c r="R156" s="182"/>
      <c r="S156" s="178"/>
      <c r="T156" s="182"/>
      <c r="U156" s="178"/>
      <c r="V156" s="506"/>
      <c r="W156" s="259">
        <f>IF($W$135="Y",IFERROR(E156*$F$21*'Emissions Factors'!B32,""),"")</f>
        <v>2.8051003222772328</v>
      </c>
      <c r="X156" s="259" t="str">
        <f>IF($X$135="Y",IFERROR($E156*(SUM($F$7,$F$5,$F$6)/SUMIF($H$5:$H$16,"Y",$F$5:$F$16))*('Emissions Factors'!$T$143*$F$22)/10^6,""),"")</f>
        <v/>
      </c>
      <c r="Y156" s="259"/>
      <c r="Z156" s="259"/>
      <c r="AA156" s="509"/>
      <c r="AB156" s="180">
        <f t="shared" si="42"/>
        <v>2.8051003222772328</v>
      </c>
      <c r="AC156" s="180">
        <f t="shared" si="43"/>
        <v>0</v>
      </c>
      <c r="AE156" s="182"/>
      <c r="AF156" s="178"/>
      <c r="AG156" s="182"/>
      <c r="AH156" s="178"/>
      <c r="AJ156" s="259">
        <f>IF($AJ$135="Y",IFERROR(M156*$F$21*'Emissions Factors'!B32,""),"")</f>
        <v>3.6058617549613188</v>
      </c>
      <c r="AK156" s="259" t="str">
        <f>IF($AK$135="Y",IFERROR($M156*(SUM($F$7,$F$5,$F$6)/SUMIF($H$5:$H$16,"Y",$F$5:$F$16))*('Emissions Factors'!$T$143*$F$22)/10^6,""),"")</f>
        <v/>
      </c>
      <c r="AL156" s="259" t="b">
        <f t="shared" si="49"/>
        <v>0</v>
      </c>
      <c r="AM156" s="259" t="b">
        <f t="shared" si="50"/>
        <v>0</v>
      </c>
      <c r="AO156" s="180">
        <f t="shared" si="44"/>
        <v>3.6058617549613188</v>
      </c>
      <c r="AP156" s="180">
        <f t="shared" si="45"/>
        <v>0</v>
      </c>
      <c r="AS156" s="430"/>
      <c r="AT156" s="478">
        <v>2035</v>
      </c>
      <c r="AU156" s="479">
        <f t="shared" si="46"/>
        <v>6.4109620772385512</v>
      </c>
      <c r="AV156" s="479">
        <f t="shared" si="46"/>
        <v>0</v>
      </c>
      <c r="AW156" s="430"/>
      <c r="AX156" s="479">
        <f t="shared" si="38"/>
        <v>1.8029308774806594</v>
      </c>
      <c r="AY156" s="479">
        <f t="shared" si="38"/>
        <v>0</v>
      </c>
      <c r="AZ156" s="430"/>
      <c r="BA156" s="479">
        <f t="shared" si="39"/>
        <v>4.6080311997578915</v>
      </c>
      <c r="BB156" s="479">
        <f t="shared" si="39"/>
        <v>0</v>
      </c>
      <c r="BC156" s="516"/>
      <c r="BE156" s="480">
        <f t="shared" si="40"/>
        <v>0.28122625836171711</v>
      </c>
      <c r="BF156" s="480" t="str">
        <f t="shared" si="41"/>
        <v/>
      </c>
    </row>
    <row r="157" spans="1:58" ht="15.6" x14ac:dyDescent="0.3">
      <c r="A157" s="152">
        <v>2036</v>
      </c>
      <c r="B157" s="178"/>
      <c r="C157" s="182"/>
      <c r="D157" s="183"/>
      <c r="E157" s="179">
        <f t="shared" si="47"/>
        <v>4476.0808082396024</v>
      </c>
      <c r="F157" s="183">
        <f t="shared" si="48"/>
        <v>427.16281560430525</v>
      </c>
      <c r="G157" s="247">
        <f t="shared" si="35"/>
        <v>0.14774088955266132</v>
      </c>
      <c r="H157" s="246"/>
      <c r="I157" s="417"/>
      <c r="J157" s="178"/>
      <c r="K157" s="182"/>
      <c r="L157" s="183"/>
      <c r="M157" s="179">
        <f t="shared" si="36"/>
        <v>5800.0928042638379</v>
      </c>
      <c r="N157" s="183">
        <f t="shared" si="51"/>
        <v>595.34542939421044</v>
      </c>
      <c r="O157" s="247">
        <f t="shared" si="37"/>
        <v>0.19144222526378915</v>
      </c>
      <c r="P157" s="246"/>
      <c r="Q157" s="417"/>
      <c r="R157" s="182"/>
      <c r="S157" s="178"/>
      <c r="T157" s="182"/>
      <c r="U157" s="178"/>
      <c r="V157" s="506"/>
      <c r="W157" s="259">
        <f>IF($W$135="Y",IFERROR(E157*$F$21*'Emissions Factors'!B33,""),"")</f>
        <v>3.0849768001373219</v>
      </c>
      <c r="X157" s="259" t="str">
        <f>IF($X$135="Y",IFERROR($E157*(SUM($F$7,$F$5,$F$6)/SUMIF($H$5:$H$16,"Y",$F$5:$F$16))*('Emissions Factors'!$T$143*$F$22)/10^6,""),"")</f>
        <v/>
      </c>
      <c r="Y157" s="259"/>
      <c r="Z157" s="259"/>
      <c r="AA157" s="509"/>
      <c r="AB157" s="180">
        <f t="shared" si="42"/>
        <v>3.0849768001373219</v>
      </c>
      <c r="AC157" s="180">
        <f t="shared" si="43"/>
        <v>0</v>
      </c>
      <c r="AE157" s="182"/>
      <c r="AF157" s="178"/>
      <c r="AG157" s="182"/>
      <c r="AH157" s="178"/>
      <c r="AJ157" s="259">
        <f>IF($AJ$135="Y",IFERROR(M157*$F$21*'Emissions Factors'!B33,""),"")</f>
        <v>3.9975041797412403</v>
      </c>
      <c r="AK157" s="259" t="str">
        <f>IF($AK$135="Y",IFERROR($M157*(SUM($F$7,$F$5,$F$6)/SUMIF($H$5:$H$16,"Y",$F$5:$F$16))*('Emissions Factors'!$T$143*$F$22)/10^6,""),"")</f>
        <v/>
      </c>
      <c r="AL157" s="259" t="b">
        <f t="shared" si="49"/>
        <v>0</v>
      </c>
      <c r="AM157" s="259" t="b">
        <f t="shared" si="50"/>
        <v>0</v>
      </c>
      <c r="AO157" s="180">
        <f t="shared" si="44"/>
        <v>3.9975041797412403</v>
      </c>
      <c r="AP157" s="180">
        <f t="shared" si="45"/>
        <v>0</v>
      </c>
      <c r="AS157" s="430"/>
      <c r="AT157" s="478">
        <v>2036</v>
      </c>
      <c r="AU157" s="479">
        <f t="shared" si="46"/>
        <v>7.0824809798785626</v>
      </c>
      <c r="AV157" s="479">
        <f t="shared" si="46"/>
        <v>0</v>
      </c>
      <c r="AW157" s="430"/>
      <c r="AX157" s="479">
        <f t="shared" si="38"/>
        <v>1.9987520898706201</v>
      </c>
      <c r="AY157" s="479">
        <f t="shared" si="38"/>
        <v>0</v>
      </c>
      <c r="AZ157" s="430"/>
      <c r="BA157" s="479">
        <f t="shared" si="39"/>
        <v>5.0837288900079427</v>
      </c>
      <c r="BB157" s="479">
        <f t="shared" si="39"/>
        <v>0</v>
      </c>
      <c r="BC157" s="516"/>
      <c r="BE157" s="480">
        <f t="shared" si="40"/>
        <v>0.28221072468095654</v>
      </c>
      <c r="BF157" s="480" t="str">
        <f t="shared" si="41"/>
        <v/>
      </c>
    </row>
    <row r="158" spans="1:58" ht="15.6" x14ac:dyDescent="0.3">
      <c r="A158" s="152">
        <v>2037</v>
      </c>
      <c r="B158" s="178"/>
      <c r="C158" s="182"/>
      <c r="D158" s="183"/>
      <c r="E158" s="179">
        <f t="shared" si="47"/>
        <v>4914.6955501192379</v>
      </c>
      <c r="F158" s="183">
        <f t="shared" si="48"/>
        <v>438.6147418796354</v>
      </c>
      <c r="G158" s="247">
        <f t="shared" si="35"/>
        <v>0.14755146163608818</v>
      </c>
      <c r="H158" s="246"/>
      <c r="I158" s="417"/>
      <c r="J158" s="178"/>
      <c r="K158" s="182"/>
      <c r="L158" s="183"/>
      <c r="M158" s="179">
        <f t="shared" si="36"/>
        <v>6419.0441599032583</v>
      </c>
      <c r="N158" s="183">
        <f t="shared" si="51"/>
        <v>618.9513556394204</v>
      </c>
      <c r="O158" s="247">
        <f t="shared" si="37"/>
        <v>0.192715772206346</v>
      </c>
      <c r="P158" s="246"/>
      <c r="Q158" s="417"/>
      <c r="R158" s="182"/>
      <c r="S158" s="178"/>
      <c r="T158" s="182"/>
      <c r="U158" s="178"/>
      <c r="V158" s="506"/>
      <c r="W158" s="259">
        <f>IF($W$135="Y",IFERROR(E158*$F$21*'Emissions Factors'!B34,""),"")</f>
        <v>3.3692149437271164</v>
      </c>
      <c r="X158" s="259" t="str">
        <f>IF($X$135="Y",IFERROR($E158*(SUM($F$7,$F$5,$F$6)/SUMIF($H$5:$H$16,"Y",$F$5:$F$16))*('Emissions Factors'!$T$143*$F$22)/10^6,""),"")</f>
        <v/>
      </c>
      <c r="Y158" s="259"/>
      <c r="Z158" s="259"/>
      <c r="AA158" s="509"/>
      <c r="AB158" s="180">
        <f t="shared" si="42"/>
        <v>3.3692149437271164</v>
      </c>
      <c r="AC158" s="180">
        <f t="shared" si="43"/>
        <v>0</v>
      </c>
      <c r="AE158" s="182"/>
      <c r="AF158" s="178"/>
      <c r="AG158" s="182"/>
      <c r="AH158" s="178"/>
      <c r="AJ158" s="259">
        <f>IF($AJ$135="Y",IFERROR(M158*$F$21*'Emissions Factors'!B34,""),"")</f>
        <v>4.4005044234053576</v>
      </c>
      <c r="AK158" s="259" t="str">
        <f>IF($AK$135="Y",IFERROR($M158*(SUM($F$7,$F$5,$F$6)/SUMIF($H$5:$H$16,"Y",$F$5:$F$16))*('Emissions Factors'!$T$143*$F$22)/10^6,""),"")</f>
        <v/>
      </c>
      <c r="AL158" s="259" t="b">
        <f t="shared" si="49"/>
        <v>0</v>
      </c>
      <c r="AM158" s="259" t="b">
        <f t="shared" si="50"/>
        <v>0</v>
      </c>
      <c r="AO158" s="180">
        <f t="shared" si="44"/>
        <v>4.4005044234053576</v>
      </c>
      <c r="AP158" s="180">
        <f t="shared" si="45"/>
        <v>0</v>
      </c>
      <c r="AS158" s="430"/>
      <c r="AT158" s="478">
        <v>2037</v>
      </c>
      <c r="AU158" s="479">
        <f t="shared" si="46"/>
        <v>7.769719367132474</v>
      </c>
      <c r="AV158" s="479">
        <f t="shared" si="46"/>
        <v>0</v>
      </c>
      <c r="AW158" s="430"/>
      <c r="AX158" s="479">
        <f t="shared" si="38"/>
        <v>2.2002522117026788</v>
      </c>
      <c r="AY158" s="479">
        <f t="shared" si="38"/>
        <v>0</v>
      </c>
      <c r="AZ158" s="430"/>
      <c r="BA158" s="479">
        <f t="shared" si="39"/>
        <v>5.5694671554297948</v>
      </c>
      <c r="BB158" s="479">
        <f t="shared" si="39"/>
        <v>0</v>
      </c>
      <c r="BC158" s="516"/>
      <c r="BE158" s="480">
        <f t="shared" si="40"/>
        <v>0.28318297067590398</v>
      </c>
      <c r="BF158" s="480" t="str">
        <f t="shared" si="41"/>
        <v/>
      </c>
    </row>
    <row r="159" spans="1:58" ht="15.6" x14ac:dyDescent="0.3">
      <c r="A159" s="152">
        <v>2038</v>
      </c>
      <c r="B159" s="178"/>
      <c r="C159" s="182"/>
      <c r="D159" s="183"/>
      <c r="E159" s="179">
        <f t="shared" si="47"/>
        <v>5367.3764614268039</v>
      </c>
      <c r="F159" s="183">
        <f t="shared" si="48"/>
        <v>452.68091130756602</v>
      </c>
      <c r="G159" s="247">
        <f t="shared" si="35"/>
        <v>0.14738485444392968</v>
      </c>
      <c r="H159" s="246"/>
      <c r="I159" s="417"/>
      <c r="J159" s="178"/>
      <c r="K159" s="182"/>
      <c r="L159" s="183"/>
      <c r="M159" s="179">
        <f t="shared" si="36"/>
        <v>7065.4095781811402</v>
      </c>
      <c r="N159" s="183">
        <f t="shared" si="51"/>
        <v>646.36541827788187</v>
      </c>
      <c r="O159" s="247">
        <f t="shared" si="37"/>
        <v>0.19401179882771949</v>
      </c>
      <c r="P159" s="246"/>
      <c r="Q159" s="417"/>
      <c r="R159" s="182"/>
      <c r="S159" s="178"/>
      <c r="T159" s="182"/>
      <c r="U159" s="178"/>
      <c r="V159" s="506"/>
      <c r="W159" s="259">
        <f>IF($W$135="Y",IFERROR(E159*$F$21*'Emissions Factors'!B35,""),"")</f>
        <v>3.6598395549922933</v>
      </c>
      <c r="X159" s="259" t="str">
        <f>IF($X$135="Y",IFERROR($E159*(SUM($F$7,$F$5,$F$6)/SUMIF($H$5:$H$16,"Y",$F$5:$F$16))*('Emissions Factors'!$T$143*$F$22)/10^6,""),"")</f>
        <v/>
      </c>
      <c r="Y159" s="259"/>
      <c r="Z159" s="259"/>
      <c r="AA159" s="509"/>
      <c r="AB159" s="180">
        <f t="shared" si="42"/>
        <v>3.6598395549922933</v>
      </c>
      <c r="AC159" s="180">
        <f t="shared" si="43"/>
        <v>0</v>
      </c>
      <c r="AE159" s="182"/>
      <c r="AF159" s="178"/>
      <c r="AG159" s="182"/>
      <c r="AH159" s="178"/>
      <c r="AJ159" s="259">
        <f>IF($AJ$135="Y",IFERROR(M159*$F$21*'Emissions Factors'!B35,""),"")</f>
        <v>4.8176731467005904</v>
      </c>
      <c r="AK159" s="259" t="str">
        <f>IF($AK$135="Y",IFERROR($M159*(SUM($F$7,$F$5,$F$6)/SUMIF($H$5:$H$16,"Y",$F$5:$F$16))*('Emissions Factors'!$T$143*$F$22)/10^6,""),"")</f>
        <v/>
      </c>
      <c r="AL159" s="259" t="b">
        <f t="shared" si="49"/>
        <v>0</v>
      </c>
      <c r="AM159" s="259" t="b">
        <f t="shared" si="50"/>
        <v>0</v>
      </c>
      <c r="AO159" s="180">
        <f t="shared" si="44"/>
        <v>4.8176731467005904</v>
      </c>
      <c r="AP159" s="180">
        <f t="shared" si="45"/>
        <v>0</v>
      </c>
      <c r="AS159" s="430"/>
      <c r="AT159" s="478">
        <v>2038</v>
      </c>
      <c r="AU159" s="479">
        <f t="shared" si="46"/>
        <v>8.4775127016928842</v>
      </c>
      <c r="AV159" s="479">
        <f t="shared" si="46"/>
        <v>0</v>
      </c>
      <c r="AW159" s="430"/>
      <c r="AX159" s="479">
        <f t="shared" si="38"/>
        <v>2.4088365733502952</v>
      </c>
      <c r="AY159" s="479">
        <f t="shared" si="38"/>
        <v>0</v>
      </c>
      <c r="AZ159" s="430"/>
      <c r="BA159" s="479">
        <f t="shared" si="39"/>
        <v>6.068676128342589</v>
      </c>
      <c r="BB159" s="479">
        <f t="shared" si="39"/>
        <v>0</v>
      </c>
      <c r="BC159" s="516"/>
      <c r="BE159" s="480">
        <f t="shared" si="40"/>
        <v>0.28414426001028248</v>
      </c>
      <c r="BF159" s="480" t="str">
        <f t="shared" si="41"/>
        <v/>
      </c>
    </row>
    <row r="160" spans="1:58" ht="15.6" x14ac:dyDescent="0.3">
      <c r="A160" s="152">
        <v>2039</v>
      </c>
      <c r="B160" s="178"/>
      <c r="C160" s="182"/>
      <c r="D160" s="183"/>
      <c r="E160" s="179">
        <f t="shared" si="47"/>
        <v>5838.2446646056369</v>
      </c>
      <c r="F160" s="183">
        <f t="shared" si="48"/>
        <v>470.86820317883303</v>
      </c>
      <c r="G160" s="247">
        <f t="shared" si="35"/>
        <v>0.14724681917064295</v>
      </c>
      <c r="H160" s="246"/>
      <c r="I160" s="417"/>
      <c r="J160" s="178"/>
      <c r="K160" s="182"/>
      <c r="L160" s="183"/>
      <c r="M160" s="179">
        <f t="shared" si="36"/>
        <v>7745.1816123283033</v>
      </c>
      <c r="N160" s="183">
        <f t="shared" si="51"/>
        <v>679.77203414716314</v>
      </c>
      <c r="O160" s="247">
        <f t="shared" si="37"/>
        <v>0.19534182307026182</v>
      </c>
      <c r="P160" s="246"/>
      <c r="Q160" s="417"/>
      <c r="R160" s="182"/>
      <c r="S160" s="178"/>
      <c r="T160" s="182"/>
      <c r="U160" s="178"/>
      <c r="V160" s="506"/>
      <c r="W160" s="259">
        <f>IF($W$135="Y",IFERROR(E160*$F$21*'Emissions Factors'!B36,""),"")</f>
        <v>3.9593685097414175</v>
      </c>
      <c r="X160" s="259" t="str">
        <f>IF($X$135="Y",IFERROR($E160*(SUM($F$7,$F$5,$F$6)/SUMIF($H$5:$H$16,"Y",$F$5:$F$16))*('Emissions Factors'!$T$143*$F$22)/10^6,""),"")</f>
        <v/>
      </c>
      <c r="Y160" s="259"/>
      <c r="Z160" s="259"/>
      <c r="AA160" s="509"/>
      <c r="AB160" s="180">
        <f t="shared" si="42"/>
        <v>3.9593685097414175</v>
      </c>
      <c r="AC160" s="180">
        <f t="shared" si="43"/>
        <v>0</v>
      </c>
      <c r="AE160" s="182"/>
      <c r="AF160" s="178"/>
      <c r="AG160" s="182"/>
      <c r="AH160" s="178"/>
      <c r="AJ160" s="259">
        <f>IF($AJ$135="Y",IFERROR(M160*$F$21*'Emissions Factors'!B36,""),"")</f>
        <v>5.2526110054951554</v>
      </c>
      <c r="AK160" s="259" t="str">
        <f>IF($AK$135="Y",IFERROR($M160*(SUM($F$7,$F$5,$F$6)/SUMIF($H$5:$H$16,"Y",$F$5:$F$16))*('Emissions Factors'!$T$143*$F$22)/10^6,""),"")</f>
        <v/>
      </c>
      <c r="AL160" s="259" t="b">
        <f t="shared" si="49"/>
        <v>0</v>
      </c>
      <c r="AM160" s="259" t="b">
        <f t="shared" si="50"/>
        <v>0</v>
      </c>
      <c r="AO160" s="180">
        <f t="shared" si="44"/>
        <v>5.2526110054951554</v>
      </c>
      <c r="AP160" s="180">
        <f t="shared" si="45"/>
        <v>0</v>
      </c>
      <c r="AS160" s="430"/>
      <c r="AT160" s="478">
        <v>2039</v>
      </c>
      <c r="AU160" s="479">
        <f t="shared" si="46"/>
        <v>9.2119795152365729</v>
      </c>
      <c r="AV160" s="479">
        <f t="shared" si="46"/>
        <v>0</v>
      </c>
      <c r="AW160" s="430"/>
      <c r="AX160" s="479">
        <f t="shared" si="38"/>
        <v>2.6263055027475777</v>
      </c>
      <c r="AY160" s="479">
        <f t="shared" si="38"/>
        <v>0</v>
      </c>
      <c r="AZ160" s="430"/>
      <c r="BA160" s="479">
        <f t="shared" si="39"/>
        <v>6.5856740124889956</v>
      </c>
      <c r="BB160" s="479">
        <f t="shared" si="39"/>
        <v>0</v>
      </c>
      <c r="BC160" s="516"/>
      <c r="BE160" s="480">
        <f t="shared" si="40"/>
        <v>0.28509675888919206</v>
      </c>
      <c r="BF160" s="480" t="str">
        <f t="shared" si="41"/>
        <v/>
      </c>
    </row>
    <row r="161" spans="1:58" ht="15.6" x14ac:dyDescent="0.3">
      <c r="A161" s="152">
        <v>2040</v>
      </c>
      <c r="B161" s="178"/>
      <c r="C161" s="182"/>
      <c r="D161" s="183"/>
      <c r="E161" s="179">
        <f t="shared" si="47"/>
        <v>6331.0099909490445</v>
      </c>
      <c r="F161" s="183">
        <f t="shared" si="48"/>
        <v>492.76532634340765</v>
      </c>
      <c r="G161" s="247">
        <f t="shared" si="35"/>
        <v>0.14714039804906298</v>
      </c>
      <c r="H161" s="246"/>
      <c r="I161" s="417"/>
      <c r="J161" s="178"/>
      <c r="K161" s="182"/>
      <c r="L161" s="183"/>
      <c r="M161" s="179">
        <f t="shared" si="36"/>
        <v>8463.9959907334633</v>
      </c>
      <c r="N161" s="183">
        <f t="shared" si="51"/>
        <v>718.81437840515991</v>
      </c>
      <c r="O161" s="247">
        <f t="shared" si="37"/>
        <v>0.19671359560996443</v>
      </c>
      <c r="P161" s="246"/>
      <c r="Q161" s="417"/>
      <c r="R161" s="182"/>
      <c r="S161" s="178"/>
      <c r="T161" s="182"/>
      <c r="U161" s="178"/>
      <c r="V161" s="506"/>
      <c r="W161" s="259">
        <f>IF($W$135="Y",IFERROR(E161*$F$21*'Emissions Factors'!B37,""),"")</f>
        <v>4.2684798427770447</v>
      </c>
      <c r="X161" s="259" t="str">
        <f>IF($X$135="Y",IFERROR($E161*(SUM($F$7,$F$5,$F$6)/SUMIF($H$5:$H$16,"Y",$F$5:$F$16))*('Emissions Factors'!$T$143*$F$22)/10^6,""),"")</f>
        <v/>
      </c>
      <c r="Y161" s="259"/>
      <c r="Z161" s="259"/>
      <c r="AA161" s="509"/>
      <c r="AB161" s="180">
        <f t="shared" si="42"/>
        <v>4.2684798427770447</v>
      </c>
      <c r="AC161" s="180">
        <f t="shared" si="43"/>
        <v>0</v>
      </c>
      <c r="AE161" s="182"/>
      <c r="AF161" s="178"/>
      <c r="AG161" s="182"/>
      <c r="AH161" s="178"/>
      <c r="AJ161" s="259">
        <f>IF($AJ$135="Y",IFERROR(M161*$F$21*'Emissions Factors'!B37,""),"")</f>
        <v>5.7065770433850966</v>
      </c>
      <c r="AK161" s="259" t="str">
        <f>IF($AK$135="Y",IFERROR($M161*(SUM($F$7,$F$5,$F$6)/SUMIF($H$5:$H$16,"Y",$F$5:$F$16))*('Emissions Factors'!$T$143*$F$22)/10^6,""),"")</f>
        <v/>
      </c>
      <c r="AL161" s="259" t="b">
        <f t="shared" si="49"/>
        <v>0</v>
      </c>
      <c r="AM161" s="259" t="b">
        <f t="shared" si="50"/>
        <v>0</v>
      </c>
      <c r="AO161" s="180">
        <f t="shared" si="44"/>
        <v>5.7065770433850966</v>
      </c>
      <c r="AP161" s="180">
        <f t="shared" si="45"/>
        <v>0</v>
      </c>
      <c r="AS161" s="430"/>
      <c r="AT161" s="478">
        <v>2040</v>
      </c>
      <c r="AU161" s="479">
        <f t="shared" si="46"/>
        <v>9.9750568861621414</v>
      </c>
      <c r="AV161" s="479">
        <f t="shared" si="46"/>
        <v>0</v>
      </c>
      <c r="AW161" s="430"/>
      <c r="AX161" s="479">
        <f t="shared" si="38"/>
        <v>2.8532885216925483</v>
      </c>
      <c r="AY161" s="479">
        <f t="shared" si="38"/>
        <v>0</v>
      </c>
      <c r="AZ161" s="430"/>
      <c r="BA161" s="479">
        <f t="shared" si="39"/>
        <v>7.1217683644695935</v>
      </c>
      <c r="BB161" s="479">
        <f t="shared" si="39"/>
        <v>0</v>
      </c>
      <c r="BC161" s="516"/>
      <c r="BE161" s="480">
        <f t="shared" si="40"/>
        <v>0.28604233081124197</v>
      </c>
      <c r="BF161" s="480" t="str">
        <f t="shared" si="41"/>
        <v/>
      </c>
    </row>
    <row r="162" spans="1:58" ht="15.6" x14ac:dyDescent="0.3">
      <c r="A162" s="152">
        <v>2041</v>
      </c>
      <c r="B162" s="178"/>
      <c r="C162" s="182"/>
      <c r="D162" s="183"/>
      <c r="E162" s="179">
        <f t="shared" si="47"/>
        <v>6847.1851426873</v>
      </c>
      <c r="F162" s="183">
        <f t="shared" si="48"/>
        <v>516.17515173825541</v>
      </c>
      <c r="G162" s="247">
        <f t="shared" si="35"/>
        <v>0.14706387196647352</v>
      </c>
      <c r="H162" s="246"/>
      <c r="I162" s="417"/>
      <c r="J162" s="178"/>
      <c r="K162" s="182"/>
      <c r="L162" s="183"/>
      <c r="M162" s="179">
        <f>IFERROR(IF($G$19="Y",$F$19,$AB107)*(SUMIF($H$5:$H$16,"Y",$F$5:$F$16)*((Z56+N56)-B56)),0)</f>
        <v>9224.6024038151918</v>
      </c>
      <c r="N162" s="183">
        <f t="shared" si="51"/>
        <v>760.60641308172853</v>
      </c>
      <c r="O162" s="247">
        <f t="shared" si="37"/>
        <v>0.19812605013392076</v>
      </c>
      <c r="P162" s="246"/>
      <c r="Q162" s="417"/>
      <c r="R162" s="182"/>
      <c r="S162" s="178"/>
      <c r="T162" s="182"/>
      <c r="U162" s="178"/>
      <c r="V162" s="506"/>
      <c r="W162" s="259">
        <f>IF($W$135="Y",IFERROR(E162*$F$21*'Emissions Factors'!B38,""),"")</f>
        <v>4.593057690167698</v>
      </c>
      <c r="X162" s="259" t="str">
        <f>IF($X$135="Y",IFERROR($E162*(SUM($F$7,$F$5,$F$6)/SUMIF($H$5:$H$16,"Y",$F$5:$F$16))*('Emissions Factors'!$T$143*$F$22)/10^6,""),"")</f>
        <v/>
      </c>
      <c r="Y162" s="259"/>
      <c r="Z162" s="259"/>
      <c r="AA162" s="509"/>
      <c r="AB162" s="180">
        <f t="shared" si="42"/>
        <v>4.593057690167698</v>
      </c>
      <c r="AC162" s="180">
        <f t="shared" si="43"/>
        <v>0</v>
      </c>
      <c r="AE162" s="182"/>
      <c r="AF162" s="178"/>
      <c r="AG162" s="182"/>
      <c r="AH162" s="178"/>
      <c r="AJ162" s="259">
        <f>IF($AJ$135="Y",IFERROR(M162*$F$21*'Emissions Factors'!B38,""),"")</f>
        <v>6.1878173478093341</v>
      </c>
      <c r="AK162" s="259" t="str">
        <f>IF($AK$135="Y",IFERROR($M162*(SUM($F$7,$F$5,$F$6)/SUMIF($H$5:$H$16,"Y",$F$5:$F$16))*('Emissions Factors'!$T$143*$F$22)/10^6,""),"")</f>
        <v/>
      </c>
      <c r="AL162" s="259" t="b">
        <f t="shared" si="49"/>
        <v>0</v>
      </c>
      <c r="AM162" s="259" t="b">
        <f t="shared" si="50"/>
        <v>0</v>
      </c>
      <c r="AO162" s="180">
        <f t="shared" si="44"/>
        <v>6.1878173478093341</v>
      </c>
      <c r="AP162" s="180">
        <f t="shared" si="45"/>
        <v>0</v>
      </c>
      <c r="AS162" s="430"/>
      <c r="AT162" s="478">
        <v>2041</v>
      </c>
      <c r="AU162" s="479">
        <f t="shared" si="46"/>
        <v>10.780875037977033</v>
      </c>
      <c r="AV162" s="479">
        <f t="shared" si="46"/>
        <v>0</v>
      </c>
      <c r="AW162" s="430"/>
      <c r="AX162" s="479">
        <f t="shared" si="38"/>
        <v>3.0939086739046671</v>
      </c>
      <c r="AY162" s="479">
        <f t="shared" si="38"/>
        <v>0</v>
      </c>
      <c r="AZ162" s="430"/>
      <c r="BA162" s="479">
        <f t="shared" si="39"/>
        <v>7.686966364072366</v>
      </c>
      <c r="BB162" s="479">
        <f t="shared" si="39"/>
        <v>0</v>
      </c>
      <c r="BC162" s="516"/>
      <c r="BE162" s="480">
        <f t="shared" si="40"/>
        <v>0.28698122026328771</v>
      </c>
      <c r="BF162" s="480" t="str">
        <f t="shared" si="41"/>
        <v/>
      </c>
    </row>
    <row r="163" spans="1:58" ht="15.6" x14ac:dyDescent="0.3">
      <c r="A163" s="152">
        <v>2042</v>
      </c>
      <c r="B163" s="178"/>
      <c r="C163" s="182"/>
      <c r="D163" s="183"/>
      <c r="E163" s="179">
        <f t="shared" si="47"/>
        <v>7387.9422587327608</v>
      </c>
      <c r="F163" s="183">
        <f t="shared" si="48"/>
        <v>540.75711604546086</v>
      </c>
      <c r="G163" s="247">
        <f t="shared" si="35"/>
        <v>0.14701896331001774</v>
      </c>
      <c r="H163" s="246"/>
      <c r="I163" s="417"/>
      <c r="J163" s="178"/>
      <c r="K163" s="182"/>
      <c r="L163" s="183"/>
      <c r="M163" s="179">
        <f t="shared" si="36"/>
        <v>10029.368005076578</v>
      </c>
      <c r="N163" s="183">
        <f t="shared" si="51"/>
        <v>804.76560126138611</v>
      </c>
      <c r="O163" s="247">
        <f t="shared" si="37"/>
        <v>0.19958294679660077</v>
      </c>
      <c r="P163" s="246"/>
      <c r="Q163" s="417"/>
      <c r="R163" s="182"/>
      <c r="S163" s="178"/>
      <c r="T163" s="182"/>
      <c r="U163" s="178"/>
      <c r="V163" s="506"/>
      <c r="W163" s="259">
        <f>IF($W$135="Y",IFERROR(E163*$F$21*'Emissions Factors'!B39,""),"")</f>
        <v>4.9284294929187755</v>
      </c>
      <c r="X163" s="259" t="str">
        <f>IF($X$135="Y",IFERROR($E163*(SUM($F$7,$F$5,$F$6)/SUMIF($H$5:$H$16,"Y",$F$5:$F$16))*('Emissions Factors'!$T$143*$F$22)/10^6,""),"")</f>
        <v/>
      </c>
      <c r="Y163" s="259"/>
      <c r="Z163" s="259"/>
      <c r="AA163" s="509"/>
      <c r="AB163" s="180">
        <f t="shared" si="42"/>
        <v>4.9284294929187755</v>
      </c>
      <c r="AC163" s="180">
        <f t="shared" si="43"/>
        <v>0</v>
      </c>
      <c r="AE163" s="182"/>
      <c r="AF163" s="178"/>
      <c r="AG163" s="182"/>
      <c r="AH163" s="178"/>
      <c r="AJ163" s="259">
        <f>IF($AJ$135="Y",IFERROR(M163*$F$21*'Emissions Factors'!B39,""),"")</f>
        <v>6.6905007294999921</v>
      </c>
      <c r="AK163" s="259" t="str">
        <f>IF($AK$135="Y",IFERROR($M163*(SUM($F$7,$F$5,$F$6)/SUMIF($H$5:$H$16,"Y",$F$5:$F$16))*('Emissions Factors'!$T$143*$F$22)/10^6,""),"")</f>
        <v/>
      </c>
      <c r="AL163" s="259" t="b">
        <f t="shared" si="49"/>
        <v>0</v>
      </c>
      <c r="AM163" s="259" t="b">
        <f t="shared" si="50"/>
        <v>0</v>
      </c>
      <c r="AO163" s="180">
        <f t="shared" si="44"/>
        <v>6.6905007294999921</v>
      </c>
      <c r="AP163" s="180">
        <f t="shared" si="45"/>
        <v>0</v>
      </c>
      <c r="AS163" s="430"/>
      <c r="AT163" s="478">
        <v>2042</v>
      </c>
      <c r="AU163" s="479">
        <f t="shared" si="46"/>
        <v>11.618930222418768</v>
      </c>
      <c r="AV163" s="479">
        <f t="shared" si="46"/>
        <v>0</v>
      </c>
      <c r="AW163" s="430"/>
      <c r="AX163" s="479">
        <f t="shared" si="38"/>
        <v>3.345250364749996</v>
      </c>
      <c r="AY163" s="479">
        <f t="shared" si="38"/>
        <v>0</v>
      </c>
      <c r="AZ163" s="430"/>
      <c r="BA163" s="479">
        <f t="shared" si="39"/>
        <v>8.2736798576687729</v>
      </c>
      <c r="BB163" s="479">
        <f t="shared" si="39"/>
        <v>0</v>
      </c>
      <c r="BC163" s="516"/>
      <c r="BE163" s="480">
        <f t="shared" si="40"/>
        <v>0.28791380107398556</v>
      </c>
      <c r="BF163" s="480" t="str">
        <f t="shared" si="41"/>
        <v/>
      </c>
    </row>
    <row r="164" spans="1:58" ht="15.6" x14ac:dyDescent="0.3">
      <c r="A164" s="152">
        <v>2043</v>
      </c>
      <c r="B164" s="178"/>
      <c r="C164" s="182"/>
      <c r="D164" s="183"/>
      <c r="E164" s="179">
        <f t="shared" si="47"/>
        <v>7956.5588129899916</v>
      </c>
      <c r="F164" s="183">
        <f t="shared" si="48"/>
        <v>568.61655425723075</v>
      </c>
      <c r="G164" s="247">
        <f t="shared" si="35"/>
        <v>0.14701185974259651</v>
      </c>
      <c r="H164" s="246"/>
      <c r="I164" s="417"/>
      <c r="J164" s="178"/>
      <c r="K164" s="182"/>
      <c r="L164" s="183"/>
      <c r="M164" s="179">
        <f t="shared" si="36"/>
        <v>10883.765988909798</v>
      </c>
      <c r="N164" s="183">
        <f t="shared" si="51"/>
        <v>854.39798383321977</v>
      </c>
      <c r="O164" s="247">
        <f t="shared" si="37"/>
        <v>0.20109732318205159</v>
      </c>
      <c r="P164" s="246"/>
      <c r="Q164" s="417"/>
      <c r="R164" s="182"/>
      <c r="S164" s="178"/>
      <c r="T164" s="182"/>
      <c r="U164" s="178"/>
      <c r="V164" s="506"/>
      <c r="W164" s="259">
        <f>IF($W$135="Y",IFERROR(E164*$F$21*'Emissions Factors'!B40,""),"")</f>
        <v>5.2781351025888661</v>
      </c>
      <c r="X164" s="259" t="str">
        <f>IF($X$135="Y",IFERROR($E164*(SUM($F$7,$F$5,$F$6)/SUMIF($H$5:$H$16,"Y",$F$5:$F$16))*('Emissions Factors'!$T$143*$F$22)/10^6,""),"")</f>
        <v/>
      </c>
      <c r="Y164" s="259"/>
      <c r="Z164" s="259"/>
      <c r="AA164" s="509"/>
      <c r="AB164" s="180">
        <f t="shared" si="42"/>
        <v>5.2781351025888661</v>
      </c>
      <c r="AC164" s="180">
        <f t="shared" si="43"/>
        <v>0</v>
      </c>
      <c r="AE164" s="182"/>
      <c r="AF164" s="178"/>
      <c r="AG164" s="182"/>
      <c r="AH164" s="178"/>
      <c r="AJ164" s="259">
        <f>IF($AJ$135="Y",IFERROR(M164*$F$21*'Emissions Factors'!B40,""),"")</f>
        <v>7.2199538348966241</v>
      </c>
      <c r="AK164" s="259" t="str">
        <f>IF($AK$135="Y",IFERROR($M164*(SUM($F$7,$F$5,$F$6)/SUMIF($H$5:$H$16,"Y",$F$5:$F$16))*('Emissions Factors'!$T$143*$F$22)/10^6,""),"")</f>
        <v/>
      </c>
      <c r="AL164" s="259" t="b">
        <f t="shared" si="49"/>
        <v>0</v>
      </c>
      <c r="AM164" s="259" t="b">
        <f t="shared" si="50"/>
        <v>0</v>
      </c>
      <c r="AO164" s="180">
        <f t="shared" si="44"/>
        <v>7.2199538348966241</v>
      </c>
      <c r="AP164" s="180">
        <f t="shared" si="45"/>
        <v>0</v>
      </c>
      <c r="AS164" s="430"/>
      <c r="AT164" s="478">
        <v>2043</v>
      </c>
      <c r="AU164" s="479">
        <f t="shared" si="46"/>
        <v>12.498088937485491</v>
      </c>
      <c r="AV164" s="479">
        <f t="shared" si="46"/>
        <v>0</v>
      </c>
      <c r="AW164" s="430"/>
      <c r="AX164" s="479">
        <f t="shared" si="38"/>
        <v>3.6099769174483121</v>
      </c>
      <c r="AY164" s="479">
        <f t="shared" si="38"/>
        <v>0</v>
      </c>
      <c r="AZ164" s="430"/>
      <c r="BA164" s="479">
        <f t="shared" si="39"/>
        <v>8.8881120200371786</v>
      </c>
      <c r="BB164" s="479">
        <f t="shared" si="39"/>
        <v>0</v>
      </c>
      <c r="BC164" s="516"/>
      <c r="BE164" s="480">
        <f t="shared" si="40"/>
        <v>0.28884231305323138</v>
      </c>
      <c r="BF164" s="480" t="str">
        <f t="shared" si="41"/>
        <v/>
      </c>
    </row>
    <row r="165" spans="1:58" ht="15.6" x14ac:dyDescent="0.3">
      <c r="A165" s="152">
        <v>2044</v>
      </c>
      <c r="B165" s="178"/>
      <c r="C165" s="182"/>
      <c r="D165" s="183"/>
      <c r="E165" s="179">
        <f t="shared" si="47"/>
        <v>8556.8556832281902</v>
      </c>
      <c r="F165" s="183">
        <f t="shared" si="48"/>
        <v>600.29687023819861</v>
      </c>
      <c r="G165" s="247">
        <f t="shared" si="35"/>
        <v>0.14704882029331381</v>
      </c>
      <c r="H165" s="246"/>
      <c r="I165" s="417"/>
      <c r="J165" s="178"/>
      <c r="K165" s="182"/>
      <c r="L165" s="183"/>
      <c r="M165" s="179">
        <f t="shared" si="36"/>
        <v>11794.270446848732</v>
      </c>
      <c r="N165" s="183">
        <f t="shared" si="51"/>
        <v>910.50445793893414</v>
      </c>
      <c r="O165" s="247">
        <f t="shared" si="37"/>
        <v>0.20268351128426423</v>
      </c>
      <c r="P165" s="246"/>
      <c r="Q165" s="417"/>
      <c r="R165" s="182"/>
      <c r="S165" s="178"/>
      <c r="T165" s="182"/>
      <c r="U165" s="178"/>
      <c r="V165" s="506"/>
      <c r="W165" s="259">
        <f>IF($W$135="Y",IFERROR(E165*$F$21*'Emissions Factors'!B41,""),"")</f>
        <v>5.6443198827692278</v>
      </c>
      <c r="X165" s="259" t="str">
        <f>IF($X$135="Y",IFERROR($E165*(SUM($F$7,$F$5,$F$6)/SUMIF($H$5:$H$16,"Y",$F$5:$F$16))*('Emissions Factors'!$T$143*$F$22)/10^6,""),"")</f>
        <v/>
      </c>
      <c r="Y165" s="259"/>
      <c r="Z165" s="259"/>
      <c r="AA165" s="509"/>
      <c r="AB165" s="180">
        <f t="shared" si="42"/>
        <v>5.6443198827692278</v>
      </c>
      <c r="AC165" s="180">
        <f t="shared" si="43"/>
        <v>0</v>
      </c>
      <c r="AE165" s="182"/>
      <c r="AF165" s="178"/>
      <c r="AG165" s="182"/>
      <c r="AH165" s="178"/>
      <c r="AJ165" s="259">
        <f>IF($AJ$135="Y",IFERROR(M165*$F$21*'Emissions Factors'!B41,""),"")</f>
        <v>7.7798010917009073</v>
      </c>
      <c r="AK165" s="259" t="str">
        <f>IF($AK$135="Y",IFERROR($M165*(SUM($F$7,$F$5,$F$6)/SUMIF($H$5:$H$16,"Y",$F$5:$F$16))*('Emissions Factors'!$T$143*$F$22)/10^6,""),"")</f>
        <v/>
      </c>
      <c r="AL165" s="259" t="b">
        <f t="shared" si="49"/>
        <v>0</v>
      </c>
      <c r="AM165" s="259" t="b">
        <f t="shared" si="50"/>
        <v>0</v>
      </c>
      <c r="AO165" s="180">
        <f t="shared" si="44"/>
        <v>7.7798010917009073</v>
      </c>
      <c r="AP165" s="180">
        <f t="shared" si="45"/>
        <v>0</v>
      </c>
      <c r="AS165" s="430"/>
      <c r="AT165" s="478">
        <v>2044</v>
      </c>
      <c r="AU165" s="479">
        <f t="shared" si="46"/>
        <v>13.424120974470135</v>
      </c>
      <c r="AV165" s="479">
        <f t="shared" si="46"/>
        <v>0</v>
      </c>
      <c r="AW165" s="430"/>
      <c r="AX165" s="479">
        <f t="shared" si="38"/>
        <v>3.8899005458504536</v>
      </c>
      <c r="AY165" s="479">
        <f t="shared" si="38"/>
        <v>0</v>
      </c>
      <c r="AZ165" s="430"/>
      <c r="BA165" s="479">
        <f t="shared" si="39"/>
        <v>9.5342204286196814</v>
      </c>
      <c r="BB165" s="479">
        <f t="shared" si="39"/>
        <v>0</v>
      </c>
      <c r="BC165" s="516"/>
      <c r="BE165" s="480">
        <f t="shared" si="40"/>
        <v>0.28976947937583619</v>
      </c>
      <c r="BF165" s="480" t="str">
        <f t="shared" si="41"/>
        <v/>
      </c>
    </row>
    <row r="166" spans="1:58" ht="15.6" x14ac:dyDescent="0.3">
      <c r="A166" s="152">
        <v>2045</v>
      </c>
      <c r="B166" s="178"/>
      <c r="C166" s="182"/>
      <c r="D166" s="183"/>
      <c r="E166" s="179">
        <f t="shared" si="47"/>
        <v>9192.3327553321269</v>
      </c>
      <c r="F166" s="183">
        <f t="shared" si="48"/>
        <v>635.47707210393673</v>
      </c>
      <c r="G166" s="247">
        <f t="shared" si="35"/>
        <v>0.14713036638434501</v>
      </c>
      <c r="H166" s="246"/>
      <c r="I166" s="417"/>
      <c r="J166" s="178"/>
      <c r="K166" s="182"/>
      <c r="L166" s="183"/>
      <c r="M166" s="179">
        <f t="shared" si="36"/>
        <v>12767.112216591862</v>
      </c>
      <c r="N166" s="183">
        <f t="shared" si="51"/>
        <v>972.8417697431305</v>
      </c>
      <c r="O166" s="247">
        <f t="shared" si="37"/>
        <v>0.20434746522938926</v>
      </c>
      <c r="P166" s="246"/>
      <c r="Q166" s="417"/>
      <c r="R166" s="182"/>
      <c r="S166" s="178"/>
      <c r="T166" s="182"/>
      <c r="U166" s="178"/>
      <c r="V166" s="506"/>
      <c r="W166" s="259">
        <f>IF($W$135="Y",IFERROR(E166*$F$21*'Emissions Factors'!B42,""),"")</f>
        <v>6.0276106998636036</v>
      </c>
      <c r="X166" s="259" t="str">
        <f>IF($X$135="Y",IFERROR($E166*(SUM($F$7,$F$5,$F$6)/SUMIF($H$5:$H$16,"Y",$F$5:$F$16))*('Emissions Factors'!$T$143*$F$22)/10^6,""),"")</f>
        <v/>
      </c>
      <c r="Y166" s="259"/>
      <c r="Z166" s="259"/>
      <c r="AA166" s="509"/>
      <c r="AB166" s="180">
        <f t="shared" si="42"/>
        <v>6.0276106998636036</v>
      </c>
      <c r="AC166" s="180">
        <f t="shared" si="43"/>
        <v>0</v>
      </c>
      <c r="AE166" s="182"/>
      <c r="AF166" s="178"/>
      <c r="AG166" s="182"/>
      <c r="AH166" s="178"/>
      <c r="AJ166" s="259">
        <f>IF($AJ$135="Y",IFERROR(M166*$F$21*'Emissions Factors'!B42,""),"")</f>
        <v>8.3716706358839783</v>
      </c>
      <c r="AK166" s="259" t="str">
        <f>IF($AK$135="Y",IFERROR($M166*(SUM($F$7,$F$5,$F$6)/SUMIF($H$5:$H$16,"Y",$F$5:$F$16))*('Emissions Factors'!$T$143*$F$22)/10^6,""),"")</f>
        <v/>
      </c>
      <c r="AL166" s="259" t="b">
        <f t="shared" si="49"/>
        <v>0</v>
      </c>
      <c r="AM166" s="259" t="b">
        <f t="shared" si="50"/>
        <v>0</v>
      </c>
      <c r="AO166" s="180">
        <f t="shared" si="44"/>
        <v>8.3716706358839783</v>
      </c>
      <c r="AP166" s="180">
        <f t="shared" si="45"/>
        <v>0</v>
      </c>
      <c r="AS166" s="430"/>
      <c r="AT166" s="478">
        <v>2045</v>
      </c>
      <c r="AU166" s="479">
        <f t="shared" si="46"/>
        <v>14.399281335747581</v>
      </c>
      <c r="AV166" s="479">
        <f t="shared" si="46"/>
        <v>0</v>
      </c>
      <c r="AW166" s="430"/>
      <c r="AX166" s="479">
        <f t="shared" si="38"/>
        <v>4.1858353179419892</v>
      </c>
      <c r="AY166" s="479">
        <f t="shared" si="38"/>
        <v>0</v>
      </c>
      <c r="AZ166" s="430"/>
      <c r="BA166" s="479">
        <f t="shared" si="39"/>
        <v>10.213446017805591</v>
      </c>
      <c r="BB166" s="479">
        <f t="shared" si="39"/>
        <v>0</v>
      </c>
      <c r="BC166" s="516"/>
      <c r="BE166" s="480">
        <f t="shared" si="40"/>
        <v>0.2906975161010471</v>
      </c>
      <c r="BF166" s="480" t="str">
        <f t="shared" si="41"/>
        <v/>
      </c>
    </row>
    <row r="167" spans="1:58" ht="15.6" x14ac:dyDescent="0.3">
      <c r="A167" s="152">
        <v>2046</v>
      </c>
      <c r="B167" s="178"/>
      <c r="C167" s="182"/>
      <c r="D167" s="183"/>
      <c r="E167" s="179">
        <f t="shared" si="47"/>
        <v>9865.4138033246454</v>
      </c>
      <c r="F167" s="183">
        <f t="shared" si="48"/>
        <v>673.08104799251851</v>
      </c>
      <c r="G167" s="247">
        <f t="shared" si="35"/>
        <v>0.14725013534065962</v>
      </c>
      <c r="H167" s="246"/>
      <c r="I167" s="417"/>
      <c r="J167" s="178"/>
      <c r="K167" s="182"/>
      <c r="L167" s="183"/>
      <c r="M167" s="179">
        <f t="shared" si="36"/>
        <v>13807.099435847873</v>
      </c>
      <c r="N167" s="183">
        <f t="shared" si="51"/>
        <v>1039.9872192560106</v>
      </c>
      <c r="O167" s="247">
        <f t="shared" si="37"/>
        <v>0.20608332312481309</v>
      </c>
      <c r="P167" s="246"/>
      <c r="Q167" s="417"/>
      <c r="R167" s="182"/>
      <c r="S167" s="178"/>
      <c r="T167" s="182"/>
      <c r="U167" s="178"/>
      <c r="V167" s="506"/>
      <c r="W167" s="259">
        <f>IF($W$135="Y",IFERROR(E167*$F$21*'Emissions Factors'!B43,""),"")</f>
        <v>6.4328197523202304</v>
      </c>
      <c r="X167" s="259" t="str">
        <f>IF($X$135="Y",IFERROR($E167*(SUM($F$7,$F$5,$F$6)/SUMIF($H$5:$H$16,"Y",$F$5:$F$16))*('Emissions Factors'!$T$143*$F$22)/10^6,""),"")</f>
        <v/>
      </c>
      <c r="Y167" s="259"/>
      <c r="Z167" s="259"/>
      <c r="AA167" s="509"/>
      <c r="AB167" s="180">
        <f t="shared" si="42"/>
        <v>6.4328197523202304</v>
      </c>
      <c r="AC167" s="180">
        <f t="shared" si="43"/>
        <v>0</v>
      </c>
      <c r="AE167" s="182"/>
      <c r="AF167" s="178"/>
      <c r="AG167" s="182"/>
      <c r="AH167" s="178"/>
      <c r="AJ167" s="259">
        <f>IF($AJ$135="Y",IFERROR(M167*$F$21*'Emissions Factors'!B43,""),"")</f>
        <v>9.0030265069306914</v>
      </c>
      <c r="AK167" s="259" t="str">
        <f>IF($AK$135="Y",IFERROR($M167*(SUM($F$7,$F$5,$F$6)/SUMIF($H$5:$H$16,"Y",$F$5:$F$16))*('Emissions Factors'!$T$143*$F$22)/10^6,""),"")</f>
        <v/>
      </c>
      <c r="AL167" s="259" t="b">
        <f t="shared" si="49"/>
        <v>0</v>
      </c>
      <c r="AM167" s="259" t="b">
        <f t="shared" si="50"/>
        <v>0</v>
      </c>
      <c r="AO167" s="180">
        <f t="shared" si="44"/>
        <v>9.0030265069306914</v>
      </c>
      <c r="AP167" s="180">
        <f t="shared" si="45"/>
        <v>0</v>
      </c>
      <c r="AS167" s="430"/>
      <c r="AT167" s="478">
        <v>2046</v>
      </c>
      <c r="AU167" s="479">
        <f t="shared" si="46"/>
        <v>15.435846259250923</v>
      </c>
      <c r="AV167" s="479">
        <f t="shared" si="46"/>
        <v>0</v>
      </c>
      <c r="AW167" s="430"/>
      <c r="AX167" s="479">
        <f t="shared" si="38"/>
        <v>4.5015132534653457</v>
      </c>
      <c r="AY167" s="479">
        <f t="shared" si="38"/>
        <v>0</v>
      </c>
      <c r="AZ167" s="430"/>
      <c r="BA167" s="479">
        <f t="shared" si="39"/>
        <v>10.934333005785577</v>
      </c>
      <c r="BB167" s="479">
        <f t="shared" si="39"/>
        <v>0</v>
      </c>
      <c r="BC167" s="516"/>
      <c r="BE167" s="480">
        <f t="shared" si="40"/>
        <v>0.29162724076546981</v>
      </c>
      <c r="BF167" s="480" t="str">
        <f t="shared" si="41"/>
        <v/>
      </c>
    </row>
    <row r="168" spans="1:58" ht="15.6" x14ac:dyDescent="0.3">
      <c r="A168" s="152">
        <v>2047</v>
      </c>
      <c r="B168" s="178"/>
      <c r="C168" s="182"/>
      <c r="D168" s="183"/>
      <c r="E168" s="179">
        <f t="shared" si="47"/>
        <v>10578.235806690187</v>
      </c>
      <c r="F168" s="183">
        <f t="shared" si="48"/>
        <v>712.8220033655416</v>
      </c>
      <c r="G168" s="247">
        <f t="shared" si="35"/>
        <v>0.14739988921974903</v>
      </c>
      <c r="H168" s="246"/>
      <c r="I168" s="417"/>
      <c r="J168" s="178"/>
      <c r="K168" s="182"/>
      <c r="L168" s="183"/>
      <c r="M168" s="179">
        <f t="shared" si="36"/>
        <v>14918.738189022206</v>
      </c>
      <c r="N168" s="183">
        <f t="shared" si="51"/>
        <v>1111.638753174333</v>
      </c>
      <c r="O168" s="247">
        <f t="shared" si="37"/>
        <v>0.20788157841684204</v>
      </c>
      <c r="P168" s="246"/>
      <c r="Q168" s="417"/>
      <c r="R168" s="182"/>
      <c r="S168" s="178"/>
      <c r="T168" s="182"/>
      <c r="U168" s="178"/>
      <c r="V168" s="506"/>
      <c r="W168" s="259">
        <f>IF($W$135="Y",IFERROR(E168*$F$21*'Emissions Factors'!B44,""),"")</f>
        <v>6.8570903801368512</v>
      </c>
      <c r="X168" s="259" t="str">
        <f>IF($X$135="Y",IFERROR($E168*(SUM($F$7,$F$5,$F$6)/SUMIF($H$5:$H$16,"Y",$F$5:$F$16))*('Emissions Factors'!$T$143*$F$22)/10^6,""),"")</f>
        <v/>
      </c>
      <c r="Y168" s="259"/>
      <c r="Z168" s="259"/>
      <c r="AA168" s="509"/>
      <c r="AB168" s="180">
        <f t="shared" si="42"/>
        <v>6.8570903801368512</v>
      </c>
      <c r="AC168" s="180">
        <f t="shared" si="43"/>
        <v>0</v>
      </c>
      <c r="AE168" s="182"/>
      <c r="AF168" s="178"/>
      <c r="AG168" s="182"/>
      <c r="AH168" s="178"/>
      <c r="AJ168" s="259">
        <f>IF($AJ$135="Y",IFERROR(M168*$F$21*'Emissions Factors'!B44,""),"")</f>
        <v>9.6707180657691065</v>
      </c>
      <c r="AK168" s="259" t="str">
        <f>IF($AK$135="Y",IFERROR($M168*(SUM($F$7,$F$5,$F$6)/SUMIF($H$5:$H$16,"Y",$F$5:$F$16))*('Emissions Factors'!$T$143*$F$22)/10^6,""),"")</f>
        <v/>
      </c>
      <c r="AL168" s="259" t="b">
        <f t="shared" si="49"/>
        <v>0</v>
      </c>
      <c r="AM168" s="259" t="b">
        <f t="shared" si="50"/>
        <v>0</v>
      </c>
      <c r="AO168" s="180">
        <f t="shared" si="44"/>
        <v>9.6707180657691065</v>
      </c>
      <c r="AP168" s="180">
        <f t="shared" si="45"/>
        <v>0</v>
      </c>
      <c r="AS168" s="430"/>
      <c r="AT168" s="478">
        <v>2047</v>
      </c>
      <c r="AU168" s="479">
        <f t="shared" si="46"/>
        <v>16.527808445905958</v>
      </c>
      <c r="AV168" s="479">
        <f t="shared" si="46"/>
        <v>0</v>
      </c>
      <c r="AW168" s="430"/>
      <c r="AX168" s="479">
        <f t="shared" si="38"/>
        <v>4.8353590328845533</v>
      </c>
      <c r="AY168" s="479">
        <f t="shared" si="38"/>
        <v>0</v>
      </c>
      <c r="AZ168" s="430"/>
      <c r="BA168" s="479">
        <f t="shared" si="39"/>
        <v>11.692449413021404</v>
      </c>
      <c r="BB168" s="479">
        <f t="shared" si="39"/>
        <v>0</v>
      </c>
      <c r="BC168" s="516"/>
      <c r="BE168" s="480">
        <f t="shared" si="40"/>
        <v>0.29255899526608453</v>
      </c>
      <c r="BF168" s="480" t="str">
        <f t="shared" si="41"/>
        <v/>
      </c>
    </row>
    <row r="169" spans="1:58" ht="15.6" x14ac:dyDescent="0.3">
      <c r="A169" s="152">
        <v>2048</v>
      </c>
      <c r="B169" s="178"/>
      <c r="C169" s="182"/>
      <c r="D169" s="183"/>
      <c r="E169" s="179">
        <f t="shared" si="47"/>
        <v>11333.732290061622</v>
      </c>
      <c r="F169" s="183">
        <f t="shared" si="48"/>
        <v>755.49648337143481</v>
      </c>
      <c r="G169" s="247">
        <f t="shared" si="35"/>
        <v>0.14757445278315456</v>
      </c>
      <c r="H169" s="246"/>
      <c r="I169" s="417"/>
      <c r="J169" s="178"/>
      <c r="K169" s="182"/>
      <c r="L169" s="183"/>
      <c r="M169" s="179">
        <f t="shared" si="36"/>
        <v>16107.902447540491</v>
      </c>
      <c r="N169" s="183">
        <f t="shared" si="51"/>
        <v>1189.1642585182854</v>
      </c>
      <c r="O169" s="247">
        <f t="shared" si="37"/>
        <v>0.20973804818600492</v>
      </c>
      <c r="P169" s="246"/>
      <c r="Q169" s="417"/>
      <c r="R169" s="182"/>
      <c r="S169" s="178"/>
      <c r="T169" s="182"/>
      <c r="U169" s="178"/>
      <c r="V169" s="506"/>
      <c r="W169" s="259">
        <f>IF($W$135="Y",IFERROR(E169*$F$21*'Emissions Factors'!B45,""),"")</f>
        <v>7.3029828886967758</v>
      </c>
      <c r="X169" s="259" t="str">
        <f>IF($X$135="Y",IFERROR($E169*(SUM($F$7,$F$5,$F$6)/SUMIF($H$5:$H$16,"Y",$F$5:$F$16))*('Emissions Factors'!$T$143*$F$22)/10^6,""),"")</f>
        <v/>
      </c>
      <c r="Y169" s="259"/>
      <c r="Z169" s="259"/>
      <c r="AA169" s="509"/>
      <c r="AB169" s="180">
        <f t="shared" si="42"/>
        <v>7.3029828886967758</v>
      </c>
      <c r="AC169" s="180">
        <f t="shared" si="43"/>
        <v>0</v>
      </c>
      <c r="AE169" s="182"/>
      <c r="AF169" s="178"/>
      <c r="AG169" s="182"/>
      <c r="AH169" s="178"/>
      <c r="AJ169" s="259">
        <f>IF($AJ$135="Y",IFERROR(M169*$F$21*'Emissions Factors'!B45,""),"")</f>
        <v>10.379258388724967</v>
      </c>
      <c r="AK169" s="259" t="str">
        <f>IF($AK$135="Y",IFERROR($M169*(SUM($F$7,$F$5,$F$6)/SUMIF($H$5:$H$16,"Y",$F$5:$F$16))*('Emissions Factors'!$T$143*$F$22)/10^6,""),"")</f>
        <v/>
      </c>
      <c r="AL169" s="259" t="b">
        <f t="shared" si="49"/>
        <v>0</v>
      </c>
      <c r="AM169" s="259" t="b">
        <f t="shared" si="50"/>
        <v>0</v>
      </c>
      <c r="AO169" s="180">
        <f t="shared" si="44"/>
        <v>10.379258388724967</v>
      </c>
      <c r="AP169" s="180">
        <f t="shared" si="45"/>
        <v>0</v>
      </c>
      <c r="AS169" s="430"/>
      <c r="AT169" s="478">
        <v>2048</v>
      </c>
      <c r="AU169" s="479">
        <f t="shared" si="46"/>
        <v>17.682241277421742</v>
      </c>
      <c r="AV169" s="479">
        <f t="shared" si="46"/>
        <v>0</v>
      </c>
      <c r="AW169" s="430"/>
      <c r="AX169" s="479">
        <f t="shared" si="38"/>
        <v>5.1896291943624835</v>
      </c>
      <c r="AY169" s="479">
        <f t="shared" si="38"/>
        <v>0</v>
      </c>
      <c r="AZ169" s="430"/>
      <c r="BA169" s="479">
        <f t="shared" si="39"/>
        <v>12.492612083059258</v>
      </c>
      <c r="BB169" s="479">
        <f t="shared" si="39"/>
        <v>0</v>
      </c>
      <c r="BC169" s="516"/>
      <c r="BE169" s="480">
        <f t="shared" si="40"/>
        <v>0.29349385708185444</v>
      </c>
      <c r="BF169" s="480" t="str">
        <f t="shared" si="41"/>
        <v/>
      </c>
    </row>
    <row r="170" spans="1:58" ht="15.6" x14ac:dyDescent="0.3">
      <c r="A170" s="152">
        <v>2049</v>
      </c>
      <c r="B170" s="178"/>
      <c r="C170" s="182"/>
      <c r="D170" s="183"/>
      <c r="E170" s="179">
        <f t="shared" si="47"/>
        <v>12134.884441791641</v>
      </c>
      <c r="F170" s="183">
        <f t="shared" si="48"/>
        <v>801.15215173001889</v>
      </c>
      <c r="G170" s="247">
        <f t="shared" si="35"/>
        <v>0.14776788384838901</v>
      </c>
      <c r="H170" s="246"/>
      <c r="I170" s="417"/>
      <c r="J170" s="178"/>
      <c r="K170" s="182"/>
      <c r="L170" s="183"/>
      <c r="M170" s="179">
        <f t="shared" si="36"/>
        <v>17380.738264756943</v>
      </c>
      <c r="N170" s="183">
        <f t="shared" si="51"/>
        <v>1272.8358172164517</v>
      </c>
      <c r="O170" s="247">
        <f t="shared" si="37"/>
        <v>0.21164724933521151</v>
      </c>
      <c r="P170" s="246"/>
      <c r="Q170" s="417"/>
      <c r="R170" s="182"/>
      <c r="S170" s="178"/>
      <c r="T170" s="182"/>
      <c r="U170" s="178"/>
      <c r="V170" s="506"/>
      <c r="W170" s="259">
        <f>IF($W$135="Y",IFERROR(E170*$F$21*'Emissions Factors'!B46,""),"")</f>
        <v>7.7789088118577094</v>
      </c>
      <c r="X170" s="259" t="str">
        <f>IF($X$135="Y",IFERROR($E170*(SUM($F$7,$F$5,$F$6)/SUMIF($H$5:$H$16,"Y",$F$5:$F$16))*('Emissions Factors'!$T$143*$F$22)/10^6,""),"")</f>
        <v/>
      </c>
      <c r="Y170" s="259"/>
      <c r="Z170" s="259"/>
      <c r="AA170" s="509"/>
      <c r="AB170" s="180">
        <f t="shared" si="42"/>
        <v>7.7789088118577094</v>
      </c>
      <c r="AC170" s="180">
        <f t="shared" si="43"/>
        <v>0</v>
      </c>
      <c r="AE170" s="182"/>
      <c r="AF170" s="178"/>
      <c r="AG170" s="182"/>
      <c r="AH170" s="178"/>
      <c r="AJ170" s="259">
        <f>IF($AJ$135="Y",IFERROR(M170*$F$21*'Emissions Factors'!B46,""),"")</f>
        <v>11.141694730827478</v>
      </c>
      <c r="AK170" s="259" t="str">
        <f>IF($AK$135="Y",IFERROR($M170*(SUM($F$7,$F$5,$F$6)/SUMIF($H$5:$H$16,"Y",$F$5:$F$16))*('Emissions Factors'!$T$143*$F$22)/10^6,""),"")</f>
        <v/>
      </c>
      <c r="AL170" s="259" t="b">
        <f t="shared" si="49"/>
        <v>0</v>
      </c>
      <c r="AM170" s="259" t="b">
        <f t="shared" si="50"/>
        <v>0</v>
      </c>
      <c r="AO170" s="180">
        <f t="shared" si="44"/>
        <v>11.141694730827478</v>
      </c>
      <c r="AP170" s="180">
        <f t="shared" si="45"/>
        <v>0</v>
      </c>
      <c r="AS170" s="430"/>
      <c r="AT170" s="478">
        <v>2049</v>
      </c>
      <c r="AU170" s="479">
        <f t="shared" si="46"/>
        <v>18.920603542685186</v>
      </c>
      <c r="AV170" s="479">
        <f t="shared" si="46"/>
        <v>0</v>
      </c>
      <c r="AW170" s="430"/>
      <c r="AX170" s="479">
        <f t="shared" si="38"/>
        <v>5.5708473654137389</v>
      </c>
      <c r="AY170" s="479">
        <f t="shared" si="38"/>
        <v>0</v>
      </c>
      <c r="AZ170" s="430"/>
      <c r="BA170" s="479">
        <f t="shared" si="39"/>
        <v>13.349756177271447</v>
      </c>
      <c r="BB170" s="479">
        <f t="shared" si="39"/>
        <v>0</v>
      </c>
      <c r="BC170" s="516"/>
      <c r="BE170" s="480">
        <f t="shared" si="40"/>
        <v>0.29443285743215419</v>
      </c>
      <c r="BF170" s="480" t="str">
        <f t="shared" si="41"/>
        <v/>
      </c>
    </row>
    <row r="171" spans="1:58" ht="15.6" x14ac:dyDescent="0.3">
      <c r="A171" s="152">
        <v>2050</v>
      </c>
      <c r="B171" s="178"/>
      <c r="C171" s="182"/>
      <c r="D171" s="183"/>
      <c r="E171" s="179">
        <f t="shared" si="47"/>
        <v>12984.344563718018</v>
      </c>
      <c r="F171" s="183">
        <f t="shared" si="48"/>
        <v>849.46012192637681</v>
      </c>
      <c r="G171" s="247">
        <f t="shared" si="35"/>
        <v>0.14797346580445986</v>
      </c>
      <c r="H171" s="246"/>
      <c r="I171" s="417"/>
      <c r="J171" s="178"/>
      <c r="K171" s="182"/>
      <c r="L171" s="183"/>
      <c r="M171" s="179">
        <f t="shared" si="36"/>
        <v>18743.088946689437</v>
      </c>
      <c r="N171" s="183">
        <f t="shared" si="51"/>
        <v>1362.3506819324939</v>
      </c>
      <c r="O171" s="247">
        <f t="shared" si="37"/>
        <v>0.21360183548061387</v>
      </c>
      <c r="P171" s="246"/>
      <c r="Q171" s="417"/>
      <c r="R171" s="182"/>
      <c r="S171" s="178"/>
      <c r="T171" s="182"/>
      <c r="U171" s="178"/>
      <c r="V171" s="506"/>
      <c r="W171" s="259">
        <f>IF($W$135="Y",IFERROR(E171*$F$21*'Emissions Factors'!B47,""),"")</f>
        <v>8.2948204084966619</v>
      </c>
      <c r="X171" s="259" t="str">
        <f>IF($X$135="Y",IFERROR($E171*(SUM($F$7,$F$5,$F$6)/SUMIF($H$5:$H$16,"Y",$F$5:$F$16))*('Emissions Factors'!$T$143*$F$22)/10^6,""),"")</f>
        <v/>
      </c>
      <c r="Y171" s="259"/>
      <c r="Z171" s="259"/>
      <c r="AA171" s="509"/>
      <c r="AB171" s="180">
        <f t="shared" si="42"/>
        <v>8.2948204084966619</v>
      </c>
      <c r="AC171" s="180">
        <f t="shared" si="43"/>
        <v>0</v>
      </c>
      <c r="AE171" s="182"/>
      <c r="AF171" s="178"/>
      <c r="AG171" s="182"/>
      <c r="AH171" s="178"/>
      <c r="AJ171" s="259">
        <f>IF($AJ$135="Y",IFERROR(M171*$F$21*'Emissions Factors'!B47,""),"")</f>
        <v>11.973693084801297</v>
      </c>
      <c r="AK171" s="259" t="str">
        <f>IF($AK$135="Y",IFERROR($M171*(SUM($F$7,$F$5,$F$6)/SUMIF($H$5:$H$16,"Y",$F$5:$F$16))*('Emissions Factors'!$T$143*$F$22)/10^6,""),"")</f>
        <v/>
      </c>
      <c r="AL171" s="259" t="b">
        <f t="shared" si="49"/>
        <v>0</v>
      </c>
      <c r="AM171" s="259" t="b">
        <f t="shared" si="50"/>
        <v>0</v>
      </c>
      <c r="AO171" s="180">
        <f t="shared" si="44"/>
        <v>11.973693084801297</v>
      </c>
      <c r="AP171" s="180">
        <f t="shared" si="45"/>
        <v>0</v>
      </c>
      <c r="AS171" s="430"/>
      <c r="AT171" s="478">
        <v>2050</v>
      </c>
      <c r="AU171" s="479">
        <f t="shared" si="46"/>
        <v>20.268513493297959</v>
      </c>
      <c r="AV171" s="479">
        <f t="shared" si="46"/>
        <v>0</v>
      </c>
      <c r="AW171" s="430"/>
      <c r="AX171" s="479">
        <f t="shared" si="38"/>
        <v>5.9868465424006487</v>
      </c>
      <c r="AY171" s="479">
        <f t="shared" si="38"/>
        <v>0</v>
      </c>
      <c r="AZ171" s="430"/>
      <c r="BA171" s="479">
        <f t="shared" si="39"/>
        <v>14.281666950897311</v>
      </c>
      <c r="BB171" s="479">
        <f t="shared" si="39"/>
        <v>0</v>
      </c>
      <c r="BC171" s="516"/>
      <c r="BE171" s="480">
        <f t="shared" si="40"/>
        <v>0.29537669569997205</v>
      </c>
      <c r="BF171" s="480" t="str">
        <f t="shared" si="41"/>
        <v/>
      </c>
    </row>
    <row r="172" spans="1:58" ht="15.6" x14ac:dyDescent="0.3">
      <c r="A172" s="152">
        <v>2051</v>
      </c>
      <c r="B172" s="178"/>
      <c r="C172" s="182"/>
      <c r="D172" s="183"/>
      <c r="E172" s="179">
        <f t="shared" si="47"/>
        <v>13884.374699386519</v>
      </c>
      <c r="F172" s="183">
        <f t="shared" si="48"/>
        <v>900.03013566850132</v>
      </c>
      <c r="G172" s="247">
        <f t="shared" si="35"/>
        <v>0.14818499454676068</v>
      </c>
      <c r="H172" s="246"/>
      <c r="I172" s="417"/>
      <c r="J172" s="178"/>
      <c r="K172" s="182"/>
      <c r="L172" s="183"/>
      <c r="M172" s="179">
        <f t="shared" si="36"/>
        <v>20200.384566345765</v>
      </c>
      <c r="N172" s="183">
        <f t="shared" si="51"/>
        <v>1457.2956196563282</v>
      </c>
      <c r="O172" s="247">
        <f t="shared" si="37"/>
        <v>0.21559443198682032</v>
      </c>
      <c r="P172" s="246"/>
      <c r="Q172" s="417"/>
      <c r="R172" s="182"/>
      <c r="S172" s="178"/>
      <c r="T172" s="182"/>
      <c r="U172" s="178"/>
      <c r="V172" s="506"/>
      <c r="W172" s="259">
        <f>IF($W$135="Y",IFERROR(E172*$F$21*'Emissions Factors'!B48,""),"")</f>
        <v>8.8358879603271436</v>
      </c>
      <c r="X172" s="259" t="str">
        <f>IF($X$135="Y",IFERROR($E172*(SUM($F$7,$F$5,$F$6)/SUMIF($H$5:$H$16,"Y",$F$5:$F$16))*('Emissions Factors'!$T$143*$F$22)/10^6,""),"")</f>
        <v/>
      </c>
      <c r="Y172" s="259"/>
      <c r="Z172" s="259"/>
      <c r="AA172" s="509"/>
      <c r="AB172" s="180">
        <f t="shared" si="42"/>
        <v>8.8358879603271436</v>
      </c>
      <c r="AC172" s="180">
        <f t="shared" si="43"/>
        <v>0</v>
      </c>
      <c r="AE172" s="182"/>
      <c r="AF172" s="178"/>
      <c r="AG172" s="182"/>
      <c r="AH172" s="178"/>
      <c r="AJ172" s="259">
        <f>IF($AJ$135="Y",IFERROR(M172*$F$21*'Emissions Factors'!B48,""),"")</f>
        <v>12.855338367642824</v>
      </c>
      <c r="AK172" s="259" t="str">
        <f>IF($AK$135="Y",IFERROR($M172*(SUM($F$7,$F$5,$F$6)/SUMIF($H$5:$H$16,"Y",$F$5:$F$16))*('Emissions Factors'!$T$143*$F$22)/10^6,""),"")</f>
        <v/>
      </c>
      <c r="AL172" s="259" t="b">
        <f t="shared" si="49"/>
        <v>0</v>
      </c>
      <c r="AM172" s="259" t="b">
        <f t="shared" si="50"/>
        <v>0</v>
      </c>
      <c r="AO172" s="180">
        <f t="shared" si="44"/>
        <v>12.855338367642824</v>
      </c>
      <c r="AP172" s="180">
        <f t="shared" si="45"/>
        <v>0</v>
      </c>
      <c r="AT172" s="478">
        <v>2051</v>
      </c>
      <c r="AU172" s="479">
        <f t="shared" si="46"/>
        <v>21.691226327969968</v>
      </c>
      <c r="AV172" s="479">
        <f t="shared" si="46"/>
        <v>0</v>
      </c>
      <c r="AW172" s="430"/>
      <c r="AX172" s="479">
        <f t="shared" si="38"/>
        <v>6.4276691838214122</v>
      </c>
      <c r="AY172" s="479">
        <f t="shared" si="38"/>
        <v>0</v>
      </c>
      <c r="AZ172" s="430"/>
      <c r="BA172" s="479">
        <f t="shared" si="39"/>
        <v>15.263557144148557</v>
      </c>
      <c r="BB172" s="479">
        <f t="shared" si="39"/>
        <v>0</v>
      </c>
      <c r="BC172" s="516"/>
      <c r="BE172" s="480">
        <f t="shared" si="40"/>
        <v>0.29632576262104598</v>
      </c>
      <c r="BF172" s="480" t="str">
        <f t="shared" si="41"/>
        <v/>
      </c>
    </row>
    <row r="173" spans="1:58" ht="15.6" x14ac:dyDescent="0.3">
      <c r="A173" s="152">
        <v>2052</v>
      </c>
      <c r="B173" s="178"/>
      <c r="C173" s="182"/>
      <c r="D173" s="183"/>
      <c r="E173" s="179">
        <f t="shared" si="47"/>
        <v>14836.621750888013</v>
      </c>
      <c r="F173" s="183">
        <f t="shared" si="48"/>
        <v>952.24705150149384</v>
      </c>
      <c r="G173" s="247">
        <f t="shared" si="35"/>
        <v>0.14839504769949757</v>
      </c>
      <c r="H173" s="246"/>
      <c r="I173" s="417"/>
      <c r="J173" s="178"/>
      <c r="K173" s="182"/>
      <c r="L173" s="183"/>
      <c r="M173" s="179">
        <f t="shared" si="36"/>
        <v>21757.230059903461</v>
      </c>
      <c r="N173" s="183">
        <f t="shared" si="51"/>
        <v>1556.8454935576956</v>
      </c>
      <c r="O173" s="247">
        <f t="shared" si="37"/>
        <v>0.21761457876049659</v>
      </c>
      <c r="P173" s="246"/>
      <c r="Q173" s="417"/>
      <c r="R173" s="182"/>
      <c r="S173" s="178"/>
      <c r="T173" s="182"/>
      <c r="U173" s="178"/>
      <c r="V173" s="506"/>
      <c r="W173" s="259">
        <f>IF($W$135="Y",IFERROR(E173*$F$21*'Emissions Factors'!B49,""),"")</f>
        <v>9.4070238436359315</v>
      </c>
      <c r="X173" s="259" t="str">
        <f>IF($X$135="Y",IFERROR($E173*(SUM($F$7,$F$5,$F$6)/SUMIF($H$5:$H$16,"Y",$F$5:$F$16))*('Emissions Factors'!$T$143*$F$22)/10^6,""),"")</f>
        <v/>
      </c>
      <c r="Y173" s="259"/>
      <c r="Z173" s="259"/>
      <c r="AA173" s="509"/>
      <c r="AB173" s="180">
        <f t="shared" si="42"/>
        <v>9.4070238436359315</v>
      </c>
      <c r="AC173" s="180">
        <f t="shared" si="43"/>
        <v>0</v>
      </c>
      <c r="AE173" s="182"/>
      <c r="AF173" s="178"/>
      <c r="AG173" s="182"/>
      <c r="AH173" s="178"/>
      <c r="AJ173" s="259">
        <f>IF($AJ$135="Y",IFERROR(M173*$F$21*'Emissions Factors'!B49,""),"")</f>
        <v>13.794972021358852</v>
      </c>
      <c r="AK173" s="259" t="str">
        <f>IF($AK$135="Y",IFERROR($M173*(SUM($F$7,$F$5,$F$6)/SUMIF($H$5:$H$16,"Y",$F$5:$F$16))*('Emissions Factors'!$T$143*$F$22)/10^6,""),"")</f>
        <v/>
      </c>
      <c r="AL173" s="259" t="b">
        <f t="shared" si="49"/>
        <v>0</v>
      </c>
      <c r="AM173" s="259" t="b">
        <f t="shared" si="50"/>
        <v>0</v>
      </c>
      <c r="AO173" s="180">
        <f t="shared" si="44"/>
        <v>13.794972021358852</v>
      </c>
      <c r="AP173" s="180">
        <f t="shared" si="45"/>
        <v>0</v>
      </c>
      <c r="AT173" s="478">
        <v>2052</v>
      </c>
      <c r="AU173" s="479">
        <f t="shared" si="46"/>
        <v>23.201995864994785</v>
      </c>
      <c r="AV173" s="479">
        <f t="shared" si="46"/>
        <v>0</v>
      </c>
      <c r="AW173" s="430"/>
      <c r="AX173" s="479">
        <f t="shared" si="38"/>
        <v>6.897486010679426</v>
      </c>
      <c r="AY173" s="479">
        <f t="shared" si="38"/>
        <v>0</v>
      </c>
      <c r="AZ173" s="430"/>
      <c r="BA173" s="479">
        <f t="shared" si="39"/>
        <v>16.304509854315359</v>
      </c>
      <c r="BB173" s="479">
        <f t="shared" si="39"/>
        <v>0</v>
      </c>
      <c r="BC173" s="516"/>
      <c r="BE173" s="480">
        <f t="shared" si="40"/>
        <v>0.29727985690600744</v>
      </c>
      <c r="BF173" s="480" t="str">
        <f t="shared" si="41"/>
        <v/>
      </c>
    </row>
    <row r="174" spans="1:58" ht="15.6" x14ac:dyDescent="0.3">
      <c r="A174" s="152">
        <v>2053</v>
      </c>
      <c r="B174" s="178"/>
      <c r="C174" s="182"/>
      <c r="D174" s="183"/>
      <c r="E174" s="179">
        <f t="shared" si="47"/>
        <v>15842.225751370343</v>
      </c>
      <c r="F174" s="183">
        <f t="shared" si="48"/>
        <v>1005.6040004823299</v>
      </c>
      <c r="G174" s="247">
        <f t="shared" si="35"/>
        <v>0.14859450322030487</v>
      </c>
      <c r="H174" s="246"/>
      <c r="I174" s="417"/>
      <c r="J174" s="178"/>
      <c r="K174" s="182"/>
      <c r="L174" s="183"/>
      <c r="M174" s="179">
        <f t="shared" si="36"/>
        <v>23417.492814618556</v>
      </c>
      <c r="N174" s="183">
        <f t="shared" si="51"/>
        <v>1660.2627547150951</v>
      </c>
      <c r="O174" s="247">
        <f t="shared" si="37"/>
        <v>0.21964784280089622</v>
      </c>
      <c r="P174" s="246"/>
      <c r="Q174" s="417"/>
      <c r="R174" s="182"/>
      <c r="S174" s="178"/>
      <c r="T174" s="182"/>
      <c r="U174" s="178"/>
      <c r="V174" s="506"/>
      <c r="W174" s="259">
        <f>IF($W$135="Y",IFERROR(E174*$F$21*'Emissions Factors'!B50,""),"")</f>
        <v>10.006609214717338</v>
      </c>
      <c r="X174" s="259" t="str">
        <f>IF($X$135="Y",IFERROR($E174*(SUM($F$7,$F$5,$F$6)/SUMIF($H$5:$H$16,"Y",$F$5:$F$16))*('Emissions Factors'!$T$143*$F$22)/10^6,""),"")</f>
        <v/>
      </c>
      <c r="Y174" s="259"/>
      <c r="Z174" s="259"/>
      <c r="AA174" s="509"/>
      <c r="AB174" s="180">
        <f t="shared" si="42"/>
        <v>10.006609214717338</v>
      </c>
      <c r="AC174" s="180">
        <f t="shared" si="43"/>
        <v>0</v>
      </c>
      <c r="AE174" s="182"/>
      <c r="AF174" s="178"/>
      <c r="AG174" s="182"/>
      <c r="AH174" s="178"/>
      <c r="AJ174" s="259">
        <f>IF($AJ$135="Y",IFERROR(M174*$F$21*'Emissions Factors'!B50,""),"")</f>
        <v>14.791463211163352</v>
      </c>
      <c r="AK174" s="259" t="str">
        <f>IF($AK$135="Y",IFERROR($M174*(SUM($F$7,$F$5,$F$6)/SUMIF($H$5:$H$16,"Y",$F$5:$F$16))*('Emissions Factors'!$T$143*$F$22)/10^6,""),"")</f>
        <v/>
      </c>
      <c r="AL174" s="259" t="b">
        <f t="shared" si="49"/>
        <v>0</v>
      </c>
      <c r="AM174" s="259" t="b">
        <f t="shared" si="50"/>
        <v>0</v>
      </c>
      <c r="AO174" s="180">
        <f t="shared" si="44"/>
        <v>14.791463211163352</v>
      </c>
      <c r="AP174" s="180">
        <f t="shared" si="45"/>
        <v>0</v>
      </c>
      <c r="AT174" s="478">
        <v>2053</v>
      </c>
      <c r="AU174" s="479">
        <f t="shared" si="46"/>
        <v>24.79807242588069</v>
      </c>
      <c r="AV174" s="479">
        <f t="shared" si="46"/>
        <v>0</v>
      </c>
      <c r="AW174" s="430"/>
      <c r="AX174" s="479">
        <f t="shared" si="38"/>
        <v>7.395731605581676</v>
      </c>
      <c r="AY174" s="479">
        <f t="shared" si="38"/>
        <v>0</v>
      </c>
      <c r="AZ174" s="430"/>
      <c r="BA174" s="479">
        <f t="shared" si="39"/>
        <v>17.402340820299013</v>
      </c>
      <c r="BB174" s="479">
        <f t="shared" si="39"/>
        <v>0</v>
      </c>
      <c r="BC174" s="516"/>
      <c r="BE174" s="480">
        <f t="shared" si="40"/>
        <v>0.29823816458665819</v>
      </c>
      <c r="BF174" s="480" t="str">
        <f t="shared" si="41"/>
        <v/>
      </c>
    </row>
    <row r="175" spans="1:58" ht="15.6" x14ac:dyDescent="0.3">
      <c r="A175" s="152">
        <v>2054</v>
      </c>
      <c r="B175" s="178"/>
      <c r="C175" s="182"/>
      <c r="D175" s="183"/>
      <c r="E175" s="179">
        <f t="shared" si="47"/>
        <v>16901.878357497779</v>
      </c>
      <c r="F175" s="183">
        <f t="shared" si="48"/>
        <v>1059.6526061274362</v>
      </c>
      <c r="G175" s="247">
        <f t="shared" si="35"/>
        <v>0.14877474641863167</v>
      </c>
      <c r="H175" s="246"/>
      <c r="I175" s="417"/>
      <c r="J175" s="178"/>
      <c r="K175" s="182"/>
      <c r="L175" s="183"/>
      <c r="M175" s="179">
        <f t="shared" si="36"/>
        <v>25184.35308644157</v>
      </c>
      <c r="N175" s="183">
        <f t="shared" si="51"/>
        <v>1766.860271823014</v>
      </c>
      <c r="O175" s="247">
        <f t="shared" si="37"/>
        <v>0.22167925155434137</v>
      </c>
      <c r="P175" s="246"/>
      <c r="Q175" s="417"/>
      <c r="R175" s="182"/>
      <c r="S175" s="178"/>
      <c r="T175" s="182"/>
      <c r="U175" s="178"/>
      <c r="V175" s="506"/>
      <c r="W175" s="259">
        <f>IF($W$135="Y",IFERROR(E175*$F$21*'Emissions Factors'!B51,""),"")</f>
        <v>10.634504769705398</v>
      </c>
      <c r="X175" s="259" t="str">
        <f>IF($X$135="Y",IFERROR($E175*(SUM($F$7,$F$5,$F$6)/SUMIF($H$5:$H$16,"Y",$F$5:$F$16))*('Emissions Factors'!$T$143*$F$22)/10^6,""),"")</f>
        <v/>
      </c>
      <c r="Y175" s="259"/>
      <c r="Z175" s="259"/>
      <c r="AA175" s="509"/>
      <c r="AB175" s="180">
        <f t="shared" si="42"/>
        <v>10.634504769705398</v>
      </c>
      <c r="AC175" s="180">
        <f t="shared" si="43"/>
        <v>0</v>
      </c>
      <c r="AE175" s="182"/>
      <c r="AF175" s="178"/>
      <c r="AG175" s="182"/>
      <c r="AH175" s="178"/>
      <c r="AJ175" s="259">
        <f>IF($AJ$135="Y",IFERROR(M175*$F$21*'Emissions Factors'!B51,""),"")</f>
        <v>15.84576088851685</v>
      </c>
      <c r="AK175" s="259" t="str">
        <f>IF($AK$135="Y",IFERROR($M175*(SUM($F$7,$F$5,$F$6)/SUMIF($H$5:$H$16,"Y",$F$5:$F$16))*('Emissions Factors'!$T$143*$F$22)/10^6,""),"")</f>
        <v/>
      </c>
      <c r="AL175" s="259" t="b">
        <f t="shared" si="49"/>
        <v>0</v>
      </c>
      <c r="AM175" s="259" t="b">
        <f t="shared" si="50"/>
        <v>0</v>
      </c>
      <c r="AO175" s="180">
        <f t="shared" si="44"/>
        <v>15.84576088851685</v>
      </c>
      <c r="AP175" s="180">
        <f t="shared" si="45"/>
        <v>0</v>
      </c>
      <c r="AT175" s="478">
        <v>2054</v>
      </c>
      <c r="AU175" s="479">
        <f t="shared" si="46"/>
        <v>26.480265658222248</v>
      </c>
      <c r="AV175" s="479">
        <f t="shared" si="46"/>
        <v>0</v>
      </c>
      <c r="AW175" s="430"/>
      <c r="AX175" s="479">
        <f t="shared" si="38"/>
        <v>7.9228804442584249</v>
      </c>
      <c r="AY175" s="479">
        <f t="shared" si="38"/>
        <v>0</v>
      </c>
      <c r="AZ175" s="430"/>
      <c r="BA175" s="479">
        <f t="shared" si="39"/>
        <v>18.557385213963823</v>
      </c>
      <c r="BB175" s="479">
        <f t="shared" si="39"/>
        <v>0</v>
      </c>
      <c r="BC175" s="516"/>
      <c r="BE175" s="480">
        <f t="shared" si="40"/>
        <v>0.29919943200412469</v>
      </c>
      <c r="BF175" s="480" t="str">
        <f t="shared" si="41"/>
        <v/>
      </c>
    </row>
    <row r="176" spans="1:58" ht="15.6" x14ac:dyDescent="0.3">
      <c r="A176" s="152">
        <v>2055</v>
      </c>
      <c r="B176" s="178"/>
      <c r="C176" s="182"/>
      <c r="D176" s="183"/>
      <c r="E176" s="179">
        <f t="shared" si="47"/>
        <v>18016.259585727403</v>
      </c>
      <c r="F176" s="183">
        <f t="shared" si="48"/>
        <v>1114.381228229624</v>
      </c>
      <c r="G176" s="247">
        <f t="shared" si="35"/>
        <v>0.14892950987133144</v>
      </c>
      <c r="H176" s="246"/>
      <c r="I176" s="417"/>
      <c r="J176" s="178"/>
      <c r="K176" s="182"/>
      <c r="L176" s="183"/>
      <c r="M176" s="179">
        <f t="shared" si="36"/>
        <v>27061.00326646227</v>
      </c>
      <c r="N176" s="183">
        <f t="shared" si="51"/>
        <v>1876.6501800207006</v>
      </c>
      <c r="O176" s="247">
        <f t="shared" si="37"/>
        <v>0.22369692964978485</v>
      </c>
      <c r="P176" s="246"/>
      <c r="Q176" s="417"/>
      <c r="R176" s="182"/>
      <c r="S176" s="178"/>
      <c r="T176" s="182"/>
      <c r="U176" s="178"/>
      <c r="V176" s="506"/>
      <c r="W176" s="259">
        <f>IF($W$135="Y",IFERROR(E176*$F$21*'Emissions Factors'!B52,""),"")</f>
        <v>11.289592589635385</v>
      </c>
      <c r="X176" s="259" t="str">
        <f>IF($X$135="Y",IFERROR($E176*(SUM($F$7,$F$5,$F$6)/SUMIF($H$5:$H$16,"Y",$F$5:$F$16))*('Emissions Factors'!$T$143*$F$22)/10^6,""),"")</f>
        <v/>
      </c>
      <c r="Y176" s="259"/>
      <c r="Z176" s="259"/>
      <c r="AA176" s="509"/>
      <c r="AB176" s="180">
        <f t="shared" si="42"/>
        <v>11.289592589635385</v>
      </c>
      <c r="AC176" s="180">
        <f t="shared" si="43"/>
        <v>0</v>
      </c>
      <c r="AE176" s="182"/>
      <c r="AF176" s="178"/>
      <c r="AG176" s="182"/>
      <c r="AH176" s="178"/>
      <c r="AJ176" s="259">
        <f>IF($AJ$135="Y",IFERROR(M176*$F$21*'Emissions Factors'!B52,""),"")</f>
        <v>16.957332374760881</v>
      </c>
      <c r="AK176" s="259" t="str">
        <f>IF($AK$135="Y",IFERROR($M176*(SUM($F$7,$F$5,$F$6)/SUMIF($H$5:$H$16,"Y",$F$5:$F$16))*('Emissions Factors'!$T$143*$F$22)/10^6,""),"")</f>
        <v/>
      </c>
      <c r="AL176" s="259" t="b">
        <f t="shared" si="49"/>
        <v>0</v>
      </c>
      <c r="AM176" s="259" t="b">
        <f t="shared" si="50"/>
        <v>0</v>
      </c>
      <c r="AO176" s="180">
        <f t="shared" si="44"/>
        <v>16.957332374760881</v>
      </c>
      <c r="AP176" s="180">
        <f t="shared" si="45"/>
        <v>0</v>
      </c>
      <c r="AT176" s="478">
        <v>2055</v>
      </c>
      <c r="AU176" s="479">
        <f t="shared" si="46"/>
        <v>28.246924964396264</v>
      </c>
      <c r="AV176" s="479">
        <f t="shared" si="46"/>
        <v>0</v>
      </c>
      <c r="AW176" s="430"/>
      <c r="AX176" s="479">
        <f t="shared" si="38"/>
        <v>8.4786661873804405</v>
      </c>
      <c r="AY176" s="479">
        <f t="shared" si="38"/>
        <v>0</v>
      </c>
      <c r="AZ176" s="430"/>
      <c r="BA176" s="479">
        <f t="shared" si="39"/>
        <v>19.768258777015824</v>
      </c>
      <c r="BB176" s="479">
        <f t="shared" si="39"/>
        <v>0</v>
      </c>
      <c r="BC176" s="516"/>
      <c r="BE176" s="480">
        <f t="shared" si="40"/>
        <v>0.30016244947254772</v>
      </c>
      <c r="BF176" s="480" t="str">
        <f t="shared" si="41"/>
        <v/>
      </c>
    </row>
    <row r="177" spans="1:58" ht="15.6" x14ac:dyDescent="0.3">
      <c r="A177" s="152">
        <v>2056</v>
      </c>
      <c r="B177" s="178"/>
      <c r="C177" s="182"/>
      <c r="D177" s="183"/>
      <c r="E177" s="179">
        <f t="shared" si="47"/>
        <v>19186.80868782401</v>
      </c>
      <c r="F177" s="183">
        <f t="shared" si="48"/>
        <v>1170.5491020966074</v>
      </c>
      <c r="G177" s="247">
        <f t="shared" si="35"/>
        <v>0.14905675169593383</v>
      </c>
      <c r="H177" s="246"/>
      <c r="I177" s="417"/>
      <c r="J177" s="178"/>
      <c r="K177" s="182"/>
      <c r="L177" s="183"/>
      <c r="M177" s="179">
        <f t="shared" si="36"/>
        <v>29051.962899888695</v>
      </c>
      <c r="N177" s="183">
        <f t="shared" si="51"/>
        <v>1990.9596334264243</v>
      </c>
      <c r="O177" s="247">
        <f t="shared" si="37"/>
        <v>0.22569627345042878</v>
      </c>
      <c r="P177" s="246"/>
      <c r="Q177" s="417"/>
      <c r="R177" s="182"/>
      <c r="S177" s="178"/>
      <c r="T177" s="182"/>
      <c r="U177" s="178"/>
      <c r="V177" s="506"/>
      <c r="W177" s="259">
        <f>IF($W$135="Y",IFERROR(E177*$F$21*'Emissions Factors'!B53,""),"")</f>
        <v>11.974956971909835</v>
      </c>
      <c r="X177" s="259" t="str">
        <f>IF($X$135="Y",IFERROR($E177*(SUM($F$7,$F$5,$F$6)/SUMIF($H$5:$H$16,"Y",$F$5:$F$16))*('Emissions Factors'!$T$143*$F$22)/10^6,""),"")</f>
        <v/>
      </c>
      <c r="Y177" s="259"/>
      <c r="Z177" s="259"/>
      <c r="AA177" s="509"/>
      <c r="AB177" s="180">
        <f t="shared" si="42"/>
        <v>11.974956971909835</v>
      </c>
      <c r="AC177" s="180">
        <f t="shared" si="43"/>
        <v>0</v>
      </c>
      <c r="AE177" s="182"/>
      <c r="AF177" s="178"/>
      <c r="AG177" s="182"/>
      <c r="AH177" s="178"/>
      <c r="AJ177" s="259">
        <f>IF($AJ$135="Y",IFERROR(M177*$F$21*'Emissions Factors'!B53,""),"")</f>
        <v>18.132041202686487</v>
      </c>
      <c r="AK177" s="259" t="str">
        <f>IF($AK$135="Y",IFERROR($M177*(SUM($F$7,$F$5,$F$6)/SUMIF($H$5:$H$16,"Y",$F$5:$F$16))*('Emissions Factors'!$T$143*$F$22)/10^6,""),"")</f>
        <v/>
      </c>
      <c r="AL177" s="259" t="b">
        <f t="shared" si="49"/>
        <v>0</v>
      </c>
      <c r="AM177" s="259" t="b">
        <f t="shared" si="50"/>
        <v>0</v>
      </c>
      <c r="AO177" s="180">
        <f t="shared" si="44"/>
        <v>18.132041202686487</v>
      </c>
      <c r="AP177" s="180">
        <f t="shared" si="45"/>
        <v>0</v>
      </c>
      <c r="AT177" s="478">
        <v>2056</v>
      </c>
      <c r="AU177" s="479">
        <f t="shared" si="46"/>
        <v>30.10699817459632</v>
      </c>
      <c r="AV177" s="479">
        <f t="shared" si="46"/>
        <v>0</v>
      </c>
      <c r="AW177" s="430"/>
      <c r="AX177" s="479">
        <f t="shared" si="38"/>
        <v>9.0660206013432436</v>
      </c>
      <c r="AY177" s="479">
        <f t="shared" si="38"/>
        <v>0</v>
      </c>
      <c r="AZ177" s="430"/>
      <c r="BA177" s="479">
        <f t="shared" si="39"/>
        <v>21.040977573253077</v>
      </c>
      <c r="BB177" s="479">
        <f t="shared" si="39"/>
        <v>0</v>
      </c>
      <c r="BC177" s="516"/>
      <c r="BE177" s="480">
        <f t="shared" si="40"/>
        <v>0.30112668651878316</v>
      </c>
      <c r="BF177" s="480" t="str">
        <f t="shared" si="41"/>
        <v/>
      </c>
    </row>
    <row r="178" spans="1:58" ht="15.6" x14ac:dyDescent="0.3">
      <c r="A178" s="152">
        <v>2057</v>
      </c>
      <c r="B178" s="178"/>
      <c r="C178" s="182"/>
      <c r="D178" s="183"/>
      <c r="E178" s="179">
        <f t="shared" si="47"/>
        <v>20414.669223570309</v>
      </c>
      <c r="F178" s="183">
        <f t="shared" si="48"/>
        <v>1227.8605357462984</v>
      </c>
      <c r="G178" s="247">
        <f t="shared" si="35"/>
        <v>0.14915505142519889</v>
      </c>
      <c r="H178" s="246"/>
      <c r="I178" s="417"/>
      <c r="J178" s="178"/>
      <c r="K178" s="182"/>
      <c r="L178" s="183"/>
      <c r="M178" s="179">
        <f t="shared" si="36"/>
        <v>31161.360917667473</v>
      </c>
      <c r="N178" s="183">
        <f t="shared" si="51"/>
        <v>2109.398017778778</v>
      </c>
      <c r="O178" s="247">
        <f t="shared" si="37"/>
        <v>0.22767326471239346</v>
      </c>
      <c r="P178" s="246"/>
      <c r="Q178" s="417"/>
      <c r="R178" s="182"/>
      <c r="S178" s="178"/>
      <c r="T178" s="182"/>
      <c r="U178" s="178"/>
      <c r="V178" s="506"/>
      <c r="W178" s="259">
        <f>IF($W$135="Y",IFERROR(E178*$F$21*'Emissions Factors'!B54,""),"")</f>
        <v>12.687816803267873</v>
      </c>
      <c r="X178" s="259" t="str">
        <f>IF($X$135="Y",IFERROR($E178*(SUM($F$7,$F$5,$F$6)/SUMIF($H$5:$H$16,"Y",$F$5:$F$16))*('Emissions Factors'!$T$143*$F$22)/10^6,""),"")</f>
        <v/>
      </c>
      <c r="Y178" s="259"/>
      <c r="Z178" s="259"/>
      <c r="AA178" s="509"/>
      <c r="AB178" s="180">
        <f t="shared" si="42"/>
        <v>12.687816803267873</v>
      </c>
      <c r="AC178" s="180">
        <f t="shared" si="43"/>
        <v>0</v>
      </c>
      <c r="AE178" s="182"/>
      <c r="AF178" s="178"/>
      <c r="AG178" s="182"/>
      <c r="AH178" s="178"/>
      <c r="AJ178" s="259">
        <f>IF($AJ$135="Y",IFERROR(M178*$F$21*'Emissions Factors'!B54,""),"")</f>
        <v>19.366938270417407</v>
      </c>
      <c r="AK178" s="259" t="str">
        <f>IF($AK$135="Y",IFERROR($M178*(SUM($F$7,$F$5,$F$6)/SUMIF($H$5:$H$16,"Y",$F$5:$F$16))*('Emissions Factors'!$T$143*$F$22)/10^6,""),"")</f>
        <v/>
      </c>
      <c r="AL178" s="259" t="b">
        <f t="shared" si="49"/>
        <v>0</v>
      </c>
      <c r="AM178" s="259" t="b">
        <f t="shared" si="50"/>
        <v>0</v>
      </c>
      <c r="AO178" s="180">
        <f t="shared" si="44"/>
        <v>19.366938270417407</v>
      </c>
      <c r="AP178" s="180">
        <f t="shared" si="45"/>
        <v>0</v>
      </c>
      <c r="AT178" s="478">
        <v>2057</v>
      </c>
      <c r="AU178" s="479">
        <f t="shared" si="46"/>
        <v>32.054755073685278</v>
      </c>
      <c r="AV178" s="479">
        <f t="shared" si="46"/>
        <v>0</v>
      </c>
      <c r="AW178" s="430"/>
      <c r="AX178" s="479">
        <f t="shared" si="38"/>
        <v>9.6834691352087034</v>
      </c>
      <c r="AY178" s="479">
        <f t="shared" si="38"/>
        <v>0</v>
      </c>
      <c r="AZ178" s="430"/>
      <c r="BA178" s="479">
        <f t="shared" si="39"/>
        <v>22.371285938476575</v>
      </c>
      <c r="BB178" s="479">
        <f t="shared" si="39"/>
        <v>0</v>
      </c>
      <c r="BC178" s="516"/>
      <c r="BE178" s="480">
        <f t="shared" si="40"/>
        <v>0.30209150289712111</v>
      </c>
      <c r="BF178" s="480" t="str">
        <f t="shared" si="41"/>
        <v/>
      </c>
    </row>
    <row r="179" spans="1:58" ht="15.6" x14ac:dyDescent="0.3">
      <c r="A179" s="152">
        <v>2058</v>
      </c>
      <c r="B179" s="178"/>
      <c r="C179" s="182"/>
      <c r="D179" s="183"/>
      <c r="E179" s="179">
        <f t="shared" si="47"/>
        <v>21699.781830271935</v>
      </c>
      <c r="F179" s="183">
        <f t="shared" si="48"/>
        <v>1285.1126067016266</v>
      </c>
      <c r="G179" s="247">
        <f t="shared" si="35"/>
        <v>0.14922185340032212</v>
      </c>
      <c r="H179" s="246"/>
      <c r="I179" s="417"/>
      <c r="J179" s="178"/>
      <c r="K179" s="182"/>
      <c r="L179" s="183"/>
      <c r="M179" s="179">
        <f t="shared" si="36"/>
        <v>33391.272987910292</v>
      </c>
      <c r="N179" s="183">
        <f t="shared" si="51"/>
        <v>2229.912070242819</v>
      </c>
      <c r="O179" s="247">
        <f t="shared" si="37"/>
        <v>0.2296201722959739</v>
      </c>
      <c r="P179" s="246"/>
      <c r="Q179" s="417"/>
      <c r="R179" s="182"/>
      <c r="S179" s="178"/>
      <c r="T179" s="182"/>
      <c r="U179" s="178"/>
      <c r="V179" s="506"/>
      <c r="W179" s="259">
        <f>IF($W$135="Y",IFERROR(E179*$F$21*'Emissions Factors'!B55,""),"")</f>
        <v>13.428367877768157</v>
      </c>
      <c r="X179" s="259" t="str">
        <f>IF($X$135="Y",IFERROR($E179*(SUM($F$7,$F$5,$F$6)/SUMIF($H$5:$H$16,"Y",$F$5:$F$16))*('Emissions Factors'!$T$143*$F$22)/10^6,""),"")</f>
        <v/>
      </c>
      <c r="Y179" s="259"/>
      <c r="Z179" s="259"/>
      <c r="AA179" s="509"/>
      <c r="AB179" s="180">
        <f t="shared" si="42"/>
        <v>13.428367877768157</v>
      </c>
      <c r="AC179" s="180">
        <f t="shared" si="43"/>
        <v>0</v>
      </c>
      <c r="AE179" s="182"/>
      <c r="AF179" s="178"/>
      <c r="AG179" s="182"/>
      <c r="AH179" s="178"/>
      <c r="AJ179" s="259">
        <f>IF($AJ$135="Y",IFERROR(M179*$F$21*'Emissions Factors'!B55,""),"")</f>
        <v>20.66335510171454</v>
      </c>
      <c r="AK179" s="259" t="str">
        <f>IF($AK$135="Y",IFERROR($M179*(SUM($F$7,$F$5,$F$6)/SUMIF($H$5:$H$16,"Y",$F$5:$F$16))*('Emissions Factors'!$T$143*$F$22)/10^6,""),"")</f>
        <v/>
      </c>
      <c r="AL179" s="259" t="b">
        <f t="shared" si="49"/>
        <v>0</v>
      </c>
      <c r="AM179" s="259" t="b">
        <f t="shared" si="50"/>
        <v>0</v>
      </c>
      <c r="AO179" s="180">
        <f t="shared" si="44"/>
        <v>20.66335510171454</v>
      </c>
      <c r="AP179" s="180">
        <f t="shared" si="45"/>
        <v>0</v>
      </c>
      <c r="AT179" s="478">
        <v>2058</v>
      </c>
      <c r="AU179" s="479">
        <f t="shared" si="46"/>
        <v>34.091722979482697</v>
      </c>
      <c r="AV179" s="479">
        <f t="shared" si="46"/>
        <v>0</v>
      </c>
      <c r="AW179" s="430"/>
      <c r="AX179" s="479">
        <f t="shared" si="38"/>
        <v>10.33167755085727</v>
      </c>
      <c r="AY179" s="479">
        <f t="shared" si="38"/>
        <v>0</v>
      </c>
      <c r="AZ179" s="430"/>
      <c r="BA179" s="479">
        <f t="shared" si="39"/>
        <v>23.760045428625425</v>
      </c>
      <c r="BB179" s="479">
        <f t="shared" si="39"/>
        <v>0</v>
      </c>
      <c r="BC179" s="516"/>
      <c r="BE179" s="480">
        <f t="shared" si="40"/>
        <v>0.30305530632978417</v>
      </c>
      <c r="BF179" s="480" t="str">
        <f t="shared" si="41"/>
        <v/>
      </c>
    </row>
    <row r="180" spans="1:58" ht="15.6" x14ac:dyDescent="0.3">
      <c r="A180" s="152">
        <v>2059</v>
      </c>
      <c r="B180" s="178"/>
      <c r="C180" s="182"/>
      <c r="D180" s="183"/>
      <c r="E180" s="179">
        <f t="shared" si="47"/>
        <v>23041.589150680946</v>
      </c>
      <c r="F180" s="183">
        <f t="shared" si="48"/>
        <v>1341.8073204090106</v>
      </c>
      <c r="G180" s="247">
        <f t="shared" si="35"/>
        <v>0.14925525833795167</v>
      </c>
      <c r="H180" s="246"/>
      <c r="I180" s="417"/>
      <c r="J180" s="178"/>
      <c r="K180" s="182"/>
      <c r="L180" s="183"/>
      <c r="M180" s="179">
        <f t="shared" si="36"/>
        <v>35742.829416104018</v>
      </c>
      <c r="N180" s="183">
        <f t="shared" si="51"/>
        <v>2351.5564281937259</v>
      </c>
      <c r="O180" s="247">
        <f t="shared" si="37"/>
        <v>0.23152939683729604</v>
      </c>
      <c r="P180" s="246"/>
      <c r="Q180" s="417"/>
      <c r="R180" s="182"/>
      <c r="S180" s="178"/>
      <c r="T180" s="182"/>
      <c r="U180" s="178"/>
      <c r="V180" s="506"/>
      <c r="W180" s="259">
        <f>IF($W$135="Y",IFERROR(E180*$F$21*'Emissions Factors'!B56,""),"")</f>
        <v>14.195532005383116</v>
      </c>
      <c r="X180" s="259" t="str">
        <f>IF($X$135="Y",IFERROR($E180*(SUM($F$7,$F$5,$F$6)/SUMIF($H$5:$H$16,"Y",$F$5:$F$16))*('Emissions Factors'!$T$143*$F$22)/10^6,""),"")</f>
        <v/>
      </c>
      <c r="Y180" s="259"/>
      <c r="Z180" s="259"/>
      <c r="AA180" s="509"/>
      <c r="AB180" s="180">
        <f t="shared" si="42"/>
        <v>14.195532005383116</v>
      </c>
      <c r="AC180" s="180">
        <f t="shared" si="43"/>
        <v>0</v>
      </c>
      <c r="AE180" s="182"/>
      <c r="AF180" s="178"/>
      <c r="AG180" s="182"/>
      <c r="AH180" s="178"/>
      <c r="AJ180" s="259">
        <f>IF($AJ$135="Y",IFERROR(M180*$F$21*'Emissions Factors'!B56,""),"")</f>
        <v>22.020550562774833</v>
      </c>
      <c r="AK180" s="259" t="str">
        <f>IF($AK$135="Y",IFERROR($M180*(SUM($F$7,$F$5,$F$6)/SUMIF($H$5:$H$16,"Y",$F$5:$F$16))*('Emissions Factors'!$T$143*$F$22)/10^6,""),"")</f>
        <v/>
      </c>
      <c r="AL180" s="259" t="b">
        <f t="shared" si="49"/>
        <v>0</v>
      </c>
      <c r="AM180" s="259" t="b">
        <f t="shared" si="50"/>
        <v>0</v>
      </c>
      <c r="AO180" s="180">
        <f t="shared" si="44"/>
        <v>22.020550562774833</v>
      </c>
      <c r="AP180" s="180">
        <f t="shared" si="45"/>
        <v>0</v>
      </c>
      <c r="AT180" s="478">
        <v>2059</v>
      </c>
      <c r="AU180" s="479">
        <f t="shared" si="46"/>
        <v>36.216082568157951</v>
      </c>
      <c r="AV180" s="479">
        <f t="shared" si="46"/>
        <v>0</v>
      </c>
      <c r="AW180" s="430"/>
      <c r="AX180" s="479">
        <f t="shared" si="38"/>
        <v>11.010275281387417</v>
      </c>
      <c r="AY180" s="479">
        <f t="shared" si="38"/>
        <v>0</v>
      </c>
      <c r="AZ180" s="430"/>
      <c r="BA180" s="479">
        <f t="shared" si="39"/>
        <v>25.205807286770536</v>
      </c>
      <c r="BB180" s="479">
        <f t="shared" si="39"/>
        <v>0</v>
      </c>
      <c r="BC180" s="516"/>
      <c r="BE180" s="480">
        <f t="shared" si="40"/>
        <v>0.30401618564532196</v>
      </c>
      <c r="BF180" s="480" t="str">
        <f t="shared" si="41"/>
        <v/>
      </c>
    </row>
    <row r="181" spans="1:58" ht="15.6" x14ac:dyDescent="0.3">
      <c r="A181" s="152">
        <v>2060</v>
      </c>
      <c r="B181" s="178"/>
      <c r="C181" s="182"/>
      <c r="D181" s="183"/>
      <c r="E181" s="179">
        <f t="shared" si="47"/>
        <v>24439.882958545804</v>
      </c>
      <c r="F181" s="183">
        <f t="shared" si="48"/>
        <v>1398.2938078648585</v>
      </c>
      <c r="G181" s="247">
        <f t="shared" si="35"/>
        <v>0.14925517246379275</v>
      </c>
      <c r="H181" s="246"/>
      <c r="I181" s="417"/>
      <c r="J181" s="178"/>
      <c r="K181" s="182"/>
      <c r="L181" s="183"/>
      <c r="M181" s="179">
        <f t="shared" si="36"/>
        <v>38217.635893981365</v>
      </c>
      <c r="N181" s="183">
        <f t="shared" si="51"/>
        <v>2474.8064778773478</v>
      </c>
      <c r="O181" s="247">
        <f t="shared" si="37"/>
        <v>0.23339636471213396</v>
      </c>
      <c r="P181" s="246"/>
      <c r="Q181" s="417"/>
      <c r="R181" s="182"/>
      <c r="S181" s="178"/>
      <c r="T181" s="182"/>
      <c r="U181" s="178"/>
      <c r="V181" s="506"/>
      <c r="W181" s="259">
        <f>IF($W$135="Y",IFERROR(E181*$F$21*'Emissions Factors'!B57,""),"")</f>
        <v>14.993439811869635</v>
      </c>
      <c r="X181" s="259" t="str">
        <f>IF($X$135="Y",IFERROR($E181*(SUM($F$7,$F$5,$F$6)/SUMIF($H$5:$H$16,"Y",$F$5:$F$16))*('Emissions Factors'!$T$143*$F$22)/10^6,""),"")</f>
        <v/>
      </c>
      <c r="Y181" s="259"/>
      <c r="Z181" s="259"/>
      <c r="AA181" s="509"/>
      <c r="AB181" s="180">
        <f t="shared" si="42"/>
        <v>14.993439811869635</v>
      </c>
      <c r="AC181" s="180">
        <f t="shared" si="43"/>
        <v>0</v>
      </c>
      <c r="AE181" s="182"/>
      <c r="AF181" s="178"/>
      <c r="AG181" s="182"/>
      <c r="AH181" s="178"/>
      <c r="AJ181" s="259">
        <f>IF($AJ$135="Y",IFERROR(M181*$F$21*'Emissions Factors'!B57,""),"")</f>
        <v>23.445849740781778</v>
      </c>
      <c r="AK181" s="259" t="str">
        <f>IF($AK$135="Y",IFERROR($M181*(SUM($F$7,$F$5,$F$6)/SUMIF($H$5:$H$16,"Y",$F$5:$F$16))*('Emissions Factors'!$T$143*$F$22)/10^6,""),"")</f>
        <v/>
      </c>
      <c r="AL181" s="259" t="b">
        <f t="shared" si="49"/>
        <v>0</v>
      </c>
      <c r="AM181" s="259" t="b">
        <f t="shared" si="50"/>
        <v>0</v>
      </c>
      <c r="AO181" s="180">
        <f t="shared" si="44"/>
        <v>23.445849740781778</v>
      </c>
      <c r="AP181" s="180">
        <f t="shared" si="45"/>
        <v>0</v>
      </c>
      <c r="AT181" s="478">
        <v>2060</v>
      </c>
      <c r="AU181" s="479">
        <f t="shared" si="46"/>
        <v>38.439289552651417</v>
      </c>
      <c r="AV181" s="479">
        <f t="shared" si="46"/>
        <v>0</v>
      </c>
      <c r="AW181" s="430"/>
      <c r="AX181" s="479">
        <f t="shared" si="38"/>
        <v>11.722924870390889</v>
      </c>
      <c r="AY181" s="479">
        <f t="shared" si="38"/>
        <v>0</v>
      </c>
      <c r="AZ181" s="430"/>
      <c r="BA181" s="479">
        <f t="shared" si="39"/>
        <v>26.716364682260526</v>
      </c>
      <c r="BB181" s="479">
        <f t="shared" si="39"/>
        <v>0</v>
      </c>
      <c r="BC181" s="516"/>
      <c r="BE181" s="480">
        <f t="shared" si="40"/>
        <v>0.30497246454916022</v>
      </c>
      <c r="BF181" s="480" t="str">
        <f t="shared" si="41"/>
        <v/>
      </c>
    </row>
    <row r="182" spans="1:58" x14ac:dyDescent="0.25">
      <c r="BA182" s="516"/>
    </row>
    <row r="183" spans="1:58" x14ac:dyDescent="0.25">
      <c r="BA183" s="516"/>
    </row>
    <row r="184" spans="1:58" x14ac:dyDescent="0.25">
      <c r="BA184" s="516"/>
    </row>
    <row r="185" spans="1:58" x14ac:dyDescent="0.25">
      <c r="BA185" s="516"/>
    </row>
    <row r="186" spans="1:58" x14ac:dyDescent="0.25">
      <c r="BA186" s="516"/>
    </row>
    <row r="187" spans="1:58" x14ac:dyDescent="0.25">
      <c r="BA187" s="516"/>
    </row>
    <row r="188" spans="1:58" x14ac:dyDescent="0.25">
      <c r="BA188" s="516"/>
    </row>
    <row r="189" spans="1:58" ht="13.5" customHeight="1" thickBot="1" x14ac:dyDescent="0.3">
      <c r="BC189" s="516"/>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516"/>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Water_cluster</v>
      </c>
      <c r="Z191" s="607"/>
      <c r="AA191" s="608"/>
      <c r="AB191" s="445"/>
      <c r="AC191" s="606" t="str">
        <f ca="1">CONCATENATE("Table 14(b): EMISSIONS ALLOCATION TO Education in MDC, ",A1)</f>
        <v>Table 14(b): EMISSIONS ALLOCATION TO Education in MDC, Water_cluster</v>
      </c>
      <c r="AD191" s="608"/>
      <c r="AE191" s="446"/>
      <c r="AF191" s="606" t="str">
        <f ca="1">CONCATENATE("Table 14(c): EMISSIONS ALLOCATION TO Family Planning in MDC, ",$A$1)</f>
        <v>Table 14(c): EMISSIONS ALLOCATION TO Family Planning in MDC, Water_cluster</v>
      </c>
      <c r="AG191" s="608"/>
      <c r="AH191" s="516"/>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516"/>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516"/>
      <c r="AJ193" s="481" t="s">
        <v>227</v>
      </c>
      <c r="AK193" s="481" t="s">
        <v>228</v>
      </c>
    </row>
    <row r="194" spans="1:37" ht="15.6" x14ac:dyDescent="0.3">
      <c r="A194" s="152">
        <v>2014</v>
      </c>
      <c r="B194" s="178"/>
      <c r="C194" s="182"/>
      <c r="D194" s="183"/>
      <c r="E194" s="179">
        <f>IFERROR(IF($G$19="Y",$F$19,$AD80)*(SUMIF($H$5:$H$16,"Y",$F$5:$F$16)*(AL29-B29)),0)</f>
        <v>0</v>
      </c>
      <c r="F194" s="183" t="str">
        <f>IFERROR(E194-E193,"")</f>
        <v/>
      </c>
      <c r="G194" s="247">
        <f>E194/(AL29-B29)</f>
        <v>0</v>
      </c>
      <c r="H194" s="245" t="s">
        <v>264</v>
      </c>
      <c r="I194" s="416"/>
      <c r="J194" s="416"/>
      <c r="K194" s="167" t="s">
        <v>213</v>
      </c>
      <c r="L194" s="167" t="s">
        <v>213</v>
      </c>
      <c r="M194" s="167" t="s">
        <v>211</v>
      </c>
      <c r="N194" s="167" t="s">
        <v>211</v>
      </c>
      <c r="O194" s="495"/>
      <c r="P194" s="167" t="s">
        <v>213</v>
      </c>
      <c r="Q194" s="167" t="s">
        <v>211</v>
      </c>
      <c r="R194" s="167" t="s">
        <v>211</v>
      </c>
      <c r="S194" s="167" t="s">
        <v>211</v>
      </c>
      <c r="T194" s="496"/>
      <c r="U194" s="496"/>
      <c r="V194" s="496"/>
      <c r="Y194" s="478">
        <v>2014</v>
      </c>
      <c r="Z194" s="479">
        <f>U194</f>
        <v>0</v>
      </c>
      <c r="AA194" s="479">
        <f>V194</f>
        <v>0</v>
      </c>
      <c r="AB194" s="430"/>
      <c r="AC194" s="512"/>
      <c r="AD194" s="479"/>
      <c r="AE194" s="430"/>
      <c r="AF194" s="479">
        <f>Z194-AC194</f>
        <v>0</v>
      </c>
      <c r="AG194" s="479">
        <f t="shared" ref="AG194:AG240" si="52">AA194-AD194</f>
        <v>0</v>
      </c>
      <c r="AH194" s="516"/>
      <c r="AJ194" s="480" t="str">
        <f t="shared" ref="AJ194:AJ240" si="53">IFERROR(AC194/Z194,"")</f>
        <v/>
      </c>
      <c r="AK194" s="480" t="str">
        <f t="shared" ref="AK194:AK240" si="54">IFERROR(AG194/(AD194+AG194),"")</f>
        <v/>
      </c>
    </row>
    <row r="195" spans="1:37" ht="15.6" x14ac:dyDescent="0.3">
      <c r="A195" s="152">
        <v>2015</v>
      </c>
      <c r="B195" s="178"/>
      <c r="C195" s="182"/>
      <c r="D195" s="183"/>
      <c r="E195" s="179">
        <f t="shared" ref="E195:E240" si="55">IFERROR(IF($G$19="Y",$F$19,$AD81)*(SUMIF($H$5:$H$16,"Y",$F$5:$F$16)*(AL30-B30)),0)</f>
        <v>0</v>
      </c>
      <c r="F195" s="183">
        <f>IFERROR(E195-E194,"")</f>
        <v>0</v>
      </c>
      <c r="G195" s="247">
        <f t="shared" ref="G195:G240" si="56">E195/(AL30-B30)</f>
        <v>0</v>
      </c>
      <c r="H195" s="246"/>
      <c r="I195" s="417"/>
      <c r="J195" s="417"/>
      <c r="K195" s="439"/>
      <c r="L195" s="440"/>
      <c r="M195" s="439"/>
      <c r="N195" s="440"/>
      <c r="O195" s="495"/>
      <c r="P195" s="525">
        <f>IF($P$194="Y",IFERROR(E195*$F$21*'Emissions Factors'!B12,""),"")</f>
        <v>0</v>
      </c>
      <c r="Q195" s="525" t="str">
        <f>IF($X$135="Y",IFERROR($E195*(SUM($F$7,$F$5,$F$6)/SUMIF($H$5:$H$16,"Y",$F$5:$F$16))*('Emissions Factors'!$T$143*$F$22)/10^6,""),"")</f>
        <v/>
      </c>
      <c r="R195" s="525"/>
      <c r="S195" s="525"/>
      <c r="T195" s="496"/>
      <c r="U195" s="441">
        <f>SUM(P195:S195)</f>
        <v>0</v>
      </c>
      <c r="V195" s="441">
        <f t="shared" ref="V195:V240" si="57">SUM(K195:N195)</f>
        <v>0</v>
      </c>
      <c r="Y195" s="478">
        <v>2015</v>
      </c>
      <c r="Z195" s="479">
        <f t="shared" ref="Z195:AA240" si="58">U195</f>
        <v>0</v>
      </c>
      <c r="AA195" s="479">
        <f t="shared" si="58"/>
        <v>0</v>
      </c>
      <c r="AB195" s="430"/>
      <c r="AC195" s="479"/>
      <c r="AD195" s="479"/>
      <c r="AE195" s="430"/>
      <c r="AF195" s="479">
        <f t="shared" ref="AF195:AF240" si="59">Z195-AC195</f>
        <v>0</v>
      </c>
      <c r="AG195" s="479">
        <f t="shared" si="52"/>
        <v>0</v>
      </c>
      <c r="AH195" s="516"/>
      <c r="AJ195" s="480" t="str">
        <f t="shared" si="53"/>
        <v/>
      </c>
      <c r="AK195" s="480" t="str">
        <f t="shared" si="54"/>
        <v/>
      </c>
    </row>
    <row r="196" spans="1:37" ht="15.6" x14ac:dyDescent="0.3">
      <c r="A196" s="152">
        <v>2016</v>
      </c>
      <c r="B196" s="178"/>
      <c r="C196" s="182"/>
      <c r="D196" s="183"/>
      <c r="E196" s="179">
        <f t="shared" si="55"/>
        <v>0</v>
      </c>
      <c r="F196" s="183">
        <f t="shared" ref="F196" si="60">IFERROR(E196-E195,"")</f>
        <v>0</v>
      </c>
      <c r="G196" s="247">
        <f t="shared" si="56"/>
        <v>0</v>
      </c>
      <c r="H196" s="246"/>
      <c r="I196" s="417"/>
      <c r="J196" s="417"/>
      <c r="K196" s="439"/>
      <c r="L196" s="440"/>
      <c r="M196" s="439"/>
      <c r="N196" s="440"/>
      <c r="O196" s="495"/>
      <c r="P196" s="525">
        <f>IF($P$194="Y",IFERROR(E196*$F$21*'Emissions Factors'!B13,""),"")</f>
        <v>0</v>
      </c>
      <c r="Q196" s="525" t="str">
        <f>IF($X$135="Y",IFERROR($E196*(SUM($F$7,$F$5,$F$6)/SUMIF($H$5:$H$16,"Y",$F$5:$F$16))*('Emissions Factors'!$T$143*$F$22)/10^6,""),"")</f>
        <v/>
      </c>
      <c r="R196" s="525"/>
      <c r="S196" s="525"/>
      <c r="T196" s="496"/>
      <c r="U196" s="441">
        <f t="shared" ref="U196:U240" si="61">SUM(P196:S196)</f>
        <v>0</v>
      </c>
      <c r="V196" s="441">
        <f t="shared" si="57"/>
        <v>0</v>
      </c>
      <c r="Y196" s="478">
        <v>2016</v>
      </c>
      <c r="Z196" s="479">
        <f t="shared" si="58"/>
        <v>0</v>
      </c>
      <c r="AA196" s="479">
        <f t="shared" si="58"/>
        <v>0</v>
      </c>
      <c r="AB196" s="430"/>
      <c r="AC196" s="479"/>
      <c r="AD196" s="479"/>
      <c r="AE196" s="430"/>
      <c r="AF196" s="479">
        <f t="shared" si="59"/>
        <v>0</v>
      </c>
      <c r="AG196" s="479">
        <f t="shared" si="52"/>
        <v>0</v>
      </c>
      <c r="AH196" s="516"/>
      <c r="AJ196" s="480" t="str">
        <f t="shared" si="53"/>
        <v/>
      </c>
      <c r="AK196" s="480" t="str">
        <f t="shared" si="54"/>
        <v/>
      </c>
    </row>
    <row r="197" spans="1:37" ht="15.6" x14ac:dyDescent="0.3">
      <c r="A197" s="152">
        <v>2017</v>
      </c>
      <c r="B197" s="178"/>
      <c r="C197" s="182"/>
      <c r="D197" s="183"/>
      <c r="E197" s="179">
        <f t="shared" si="55"/>
        <v>0</v>
      </c>
      <c r="F197" s="183">
        <f>IFERROR(E197-E196,"")</f>
        <v>0</v>
      </c>
      <c r="G197" s="247">
        <f t="shared" si="56"/>
        <v>0</v>
      </c>
      <c r="H197" s="246"/>
      <c r="I197" s="417"/>
      <c r="J197" s="417"/>
      <c r="K197" s="439"/>
      <c r="L197" s="440"/>
      <c r="M197" s="439"/>
      <c r="N197" s="440"/>
      <c r="O197" s="495"/>
      <c r="P197" s="525">
        <f>IF($P$194="Y",IFERROR(E197*$F$21*'Emissions Factors'!B14,""),"")</f>
        <v>0</v>
      </c>
      <c r="Q197" s="525" t="str">
        <f>IF($X$135="Y",IFERROR($E197*(SUM($F$7,$F$5,$F$6)/SUMIF($H$5:$H$16,"Y",$F$5:$F$16))*('Emissions Factors'!$T$143*$F$22)/10^6,""),"")</f>
        <v/>
      </c>
      <c r="R197" s="525"/>
      <c r="S197" s="525"/>
      <c r="T197" s="496"/>
      <c r="U197" s="441">
        <f t="shared" si="61"/>
        <v>0</v>
      </c>
      <c r="V197" s="441">
        <f t="shared" si="57"/>
        <v>0</v>
      </c>
      <c r="Y197" s="478">
        <v>2017</v>
      </c>
      <c r="Z197" s="479">
        <f t="shared" si="58"/>
        <v>0</v>
      </c>
      <c r="AA197" s="479">
        <f t="shared" si="58"/>
        <v>0</v>
      </c>
      <c r="AB197" s="430"/>
      <c r="AC197" s="479"/>
      <c r="AD197" s="479"/>
      <c r="AE197" s="430"/>
      <c r="AF197" s="479">
        <f t="shared" si="59"/>
        <v>0</v>
      </c>
      <c r="AG197" s="479">
        <f t="shared" si="52"/>
        <v>0</v>
      </c>
      <c r="AH197" s="516"/>
      <c r="AJ197" s="480" t="str">
        <f t="shared" si="53"/>
        <v/>
      </c>
      <c r="AK197" s="480" t="str">
        <f t="shared" si="54"/>
        <v/>
      </c>
    </row>
    <row r="198" spans="1:37" ht="15.6" x14ac:dyDescent="0.3">
      <c r="A198" s="152">
        <v>2018</v>
      </c>
      <c r="B198" s="178"/>
      <c r="C198" s="182"/>
      <c r="D198" s="183"/>
      <c r="E198" s="179">
        <f t="shared" si="55"/>
        <v>0</v>
      </c>
      <c r="F198" s="183">
        <f t="shared" ref="F198:F240" si="62">IFERROR(E198-E197,"")</f>
        <v>0</v>
      </c>
      <c r="G198" s="247">
        <f t="shared" si="56"/>
        <v>0</v>
      </c>
      <c r="H198" s="246"/>
      <c r="I198" s="417"/>
      <c r="J198" s="417"/>
      <c r="K198" s="439"/>
      <c r="L198" s="440"/>
      <c r="M198" s="439"/>
      <c r="N198" s="440"/>
      <c r="O198" s="495"/>
      <c r="P198" s="525">
        <f>IF($P$194="Y",IFERROR(E198*$F$21*'Emissions Factors'!B15,""),"")</f>
        <v>0</v>
      </c>
      <c r="Q198" s="525" t="str">
        <f>IF($X$135="Y",IFERROR($E198*(SUM($F$7,$F$5,$F$6)/SUMIF($H$5:$H$16,"Y",$F$5:$F$16))*('Emissions Factors'!$T$143*$F$22)/10^6,""),"")</f>
        <v/>
      </c>
      <c r="R198" s="525"/>
      <c r="S198" s="525"/>
      <c r="T198" s="496"/>
      <c r="U198" s="441">
        <f t="shared" si="61"/>
        <v>0</v>
      </c>
      <c r="V198" s="441">
        <f t="shared" si="57"/>
        <v>0</v>
      </c>
      <c r="Y198" s="478">
        <v>2018</v>
      </c>
      <c r="Z198" s="479">
        <f t="shared" si="58"/>
        <v>0</v>
      </c>
      <c r="AA198" s="479">
        <f t="shared" si="58"/>
        <v>0</v>
      </c>
      <c r="AB198" s="430"/>
      <c r="AC198" s="479"/>
      <c r="AD198" s="479"/>
      <c r="AE198" s="430"/>
      <c r="AF198" s="479">
        <f t="shared" si="59"/>
        <v>0</v>
      </c>
      <c r="AG198" s="479">
        <f t="shared" si="52"/>
        <v>0</v>
      </c>
      <c r="AH198" s="516"/>
      <c r="AJ198" s="480" t="str">
        <f t="shared" si="53"/>
        <v/>
      </c>
      <c r="AK198" s="480" t="str">
        <f t="shared" si="54"/>
        <v/>
      </c>
    </row>
    <row r="199" spans="1:37" ht="15.6" x14ac:dyDescent="0.3">
      <c r="A199" s="152">
        <v>2019</v>
      </c>
      <c r="B199" s="178"/>
      <c r="C199" s="182"/>
      <c r="D199" s="183"/>
      <c r="E199" s="179">
        <f t="shared" si="55"/>
        <v>0</v>
      </c>
      <c r="F199" s="183">
        <f t="shared" si="62"/>
        <v>0</v>
      </c>
      <c r="G199" s="247">
        <f t="shared" si="56"/>
        <v>0</v>
      </c>
      <c r="H199" s="246"/>
      <c r="I199" s="417"/>
      <c r="J199" s="417"/>
      <c r="K199" s="439"/>
      <c r="L199" s="440"/>
      <c r="M199" s="439"/>
      <c r="N199" s="440"/>
      <c r="O199" s="495"/>
      <c r="P199" s="525">
        <f>IF($P$194="Y",IFERROR(E199*$F$21*'Emissions Factors'!B16,""),"")</f>
        <v>0</v>
      </c>
      <c r="Q199" s="525" t="str">
        <f>IF($X$135="Y",IFERROR($E199*(SUM($F$7,$F$5,$F$6)/SUMIF($H$5:$H$16,"Y",$F$5:$F$16))*('Emissions Factors'!$T$143*$F$22)/10^6,""),"")</f>
        <v/>
      </c>
      <c r="R199" s="525"/>
      <c r="S199" s="525"/>
      <c r="T199" s="496"/>
      <c r="U199" s="441">
        <f t="shared" si="61"/>
        <v>0</v>
      </c>
      <c r="V199" s="441">
        <f t="shared" si="57"/>
        <v>0</v>
      </c>
      <c r="Y199" s="478">
        <v>2019</v>
      </c>
      <c r="Z199" s="479">
        <f t="shared" si="58"/>
        <v>0</v>
      </c>
      <c r="AA199" s="479">
        <f t="shared" si="58"/>
        <v>0</v>
      </c>
      <c r="AB199" s="430"/>
      <c r="AC199" s="479"/>
      <c r="AD199" s="479"/>
      <c r="AE199" s="430"/>
      <c r="AF199" s="479">
        <f t="shared" si="59"/>
        <v>0</v>
      </c>
      <c r="AG199" s="479">
        <f t="shared" si="52"/>
        <v>0</v>
      </c>
      <c r="AH199" s="516"/>
      <c r="AJ199" s="480" t="str">
        <f t="shared" si="53"/>
        <v/>
      </c>
      <c r="AK199" s="480" t="str">
        <f t="shared" si="54"/>
        <v/>
      </c>
    </row>
    <row r="200" spans="1:37" ht="15.6" x14ac:dyDescent="0.3">
      <c r="A200" s="152">
        <v>2020</v>
      </c>
      <c r="B200" s="178"/>
      <c r="C200" s="182"/>
      <c r="D200" s="183"/>
      <c r="E200" s="179">
        <f t="shared" si="55"/>
        <v>0</v>
      </c>
      <c r="F200" s="183">
        <f t="shared" si="62"/>
        <v>0</v>
      </c>
      <c r="G200" s="247">
        <f t="shared" si="56"/>
        <v>0</v>
      </c>
      <c r="H200" s="246"/>
      <c r="I200" s="417"/>
      <c r="J200" s="417"/>
      <c r="K200" s="439"/>
      <c r="L200" s="440"/>
      <c r="M200" s="439"/>
      <c r="N200" s="440"/>
      <c r="O200" s="495"/>
      <c r="P200" s="525">
        <f>IF($P$194="Y",IFERROR(E200*$F$21*'Emissions Factors'!B17,""),"")</f>
        <v>0</v>
      </c>
      <c r="Q200" s="525" t="str">
        <f>IF($X$135="Y",IFERROR($E200*(SUM($F$7,$F$5,$F$6)/SUMIF($H$5:$H$16,"Y",$F$5:$F$16))*('Emissions Factors'!$T$143*$F$22)/10^6,""),"")</f>
        <v/>
      </c>
      <c r="R200" s="525"/>
      <c r="S200" s="525"/>
      <c r="T200" s="496"/>
      <c r="U200" s="441">
        <f t="shared" si="61"/>
        <v>0</v>
      </c>
      <c r="V200" s="441">
        <f t="shared" si="57"/>
        <v>0</v>
      </c>
      <c r="X200" s="430"/>
      <c r="Y200" s="478">
        <v>2020</v>
      </c>
      <c r="Z200" s="479">
        <f t="shared" si="58"/>
        <v>0</v>
      </c>
      <c r="AA200" s="479">
        <f t="shared" si="58"/>
        <v>0</v>
      </c>
      <c r="AB200" s="430"/>
      <c r="AC200" s="479"/>
      <c r="AD200" s="479"/>
      <c r="AE200" s="430"/>
      <c r="AF200" s="479">
        <f t="shared" si="59"/>
        <v>0</v>
      </c>
      <c r="AG200" s="479">
        <f t="shared" si="52"/>
        <v>0</v>
      </c>
      <c r="AH200" s="516"/>
      <c r="AJ200" s="480" t="str">
        <f t="shared" si="53"/>
        <v/>
      </c>
      <c r="AK200" s="480" t="str">
        <f t="shared" si="54"/>
        <v/>
      </c>
    </row>
    <row r="201" spans="1:37" ht="15.6" x14ac:dyDescent="0.3">
      <c r="A201" s="152">
        <v>2021</v>
      </c>
      <c r="B201" s="178"/>
      <c r="C201" s="182"/>
      <c r="D201" s="183"/>
      <c r="E201" s="179">
        <f t="shared" si="55"/>
        <v>359.94586840539608</v>
      </c>
      <c r="F201" s="183">
        <f t="shared" si="62"/>
        <v>359.94586840539608</v>
      </c>
      <c r="G201" s="247">
        <f t="shared" si="56"/>
        <v>0.54982223792123042</v>
      </c>
      <c r="H201" s="246"/>
      <c r="I201" s="417"/>
      <c r="J201" s="417"/>
      <c r="K201" s="439"/>
      <c r="L201" s="440"/>
      <c r="M201" s="439"/>
      <c r="N201" s="440"/>
      <c r="O201" s="495"/>
      <c r="P201" s="525">
        <f>IF($P$194="Y",IFERROR(E201*$F$21*'Emissions Factors'!B18,""),"")</f>
        <v>0.26943051388228628</v>
      </c>
      <c r="Q201" s="525" t="str">
        <f>IF($X$135="Y",IFERROR($E201*(SUM($F$7,$F$5,$F$6)/SUMIF($H$5:$H$16,"Y",$F$5:$F$16))*('Emissions Factors'!$T$143*$F$22)/10^6,""),"")</f>
        <v/>
      </c>
      <c r="R201" s="525"/>
      <c r="S201" s="525"/>
      <c r="T201" s="496"/>
      <c r="U201" s="441">
        <f t="shared" si="61"/>
        <v>0.26943051388228628</v>
      </c>
      <c r="V201" s="441">
        <f t="shared" si="57"/>
        <v>0</v>
      </c>
      <c r="X201" s="430"/>
      <c r="Y201" s="478">
        <v>2021</v>
      </c>
      <c r="Z201" s="479">
        <f t="shared" si="58"/>
        <v>0.26943051388228628</v>
      </c>
      <c r="AA201" s="479">
        <f t="shared" si="58"/>
        <v>0</v>
      </c>
      <c r="AB201" s="430"/>
      <c r="AC201" s="479"/>
      <c r="AD201" s="479"/>
      <c r="AE201" s="430"/>
      <c r="AF201" s="479">
        <f t="shared" si="59"/>
        <v>0.26943051388228628</v>
      </c>
      <c r="AG201" s="479">
        <f t="shared" si="52"/>
        <v>0</v>
      </c>
      <c r="AH201" s="516"/>
      <c r="AJ201" s="480">
        <f t="shared" si="53"/>
        <v>0</v>
      </c>
      <c r="AK201" s="480" t="str">
        <f t="shared" si="54"/>
        <v/>
      </c>
    </row>
    <row r="202" spans="1:37" ht="15.6" x14ac:dyDescent="0.3">
      <c r="A202" s="152">
        <v>2022</v>
      </c>
      <c r="B202" s="178"/>
      <c r="C202" s="182"/>
      <c r="D202" s="183"/>
      <c r="E202" s="179">
        <f t="shared" si="55"/>
        <v>806.64047815812512</v>
      </c>
      <c r="F202" s="183">
        <f t="shared" si="62"/>
        <v>446.69460975272904</v>
      </c>
      <c r="G202" s="247">
        <f t="shared" si="56"/>
        <v>0.53837520230327018</v>
      </c>
      <c r="H202" s="246"/>
      <c r="I202" s="417"/>
      <c r="J202" s="417"/>
      <c r="K202" s="182"/>
      <c r="L202" s="178"/>
      <c r="M202" s="182"/>
      <c r="N202" s="178"/>
      <c r="O202" s="495"/>
      <c r="P202" s="525">
        <f>IF($P$194="Y",IFERROR(E202*$F$21*'Emissions Factors'!B19,""),"")</f>
        <v>0.6002052283380005</v>
      </c>
      <c r="Q202" s="525" t="str">
        <f>IF($X$135="Y",IFERROR($E202*(SUM($F$7,$F$5,$F$6)/SUMIF($H$5:$H$16,"Y",$F$5:$F$16))*('Emissions Factors'!$T$143*$F$22)/10^6,""),"")</f>
        <v/>
      </c>
      <c r="R202" s="525"/>
      <c r="S202" s="525"/>
      <c r="T202" s="496"/>
      <c r="U202" s="180">
        <f t="shared" si="61"/>
        <v>0.6002052283380005</v>
      </c>
      <c r="V202" s="180">
        <f t="shared" si="57"/>
        <v>0</v>
      </c>
      <c r="X202" s="430"/>
      <c r="Y202" s="478">
        <v>2022</v>
      </c>
      <c r="Z202" s="479">
        <f t="shared" si="58"/>
        <v>0.6002052283380005</v>
      </c>
      <c r="AA202" s="479">
        <f t="shared" si="58"/>
        <v>0</v>
      </c>
      <c r="AB202" s="430"/>
      <c r="AC202" s="479"/>
      <c r="AD202" s="479"/>
      <c r="AE202" s="430"/>
      <c r="AF202" s="479">
        <f t="shared" si="59"/>
        <v>0.6002052283380005</v>
      </c>
      <c r="AG202" s="479">
        <f t="shared" si="52"/>
        <v>0</v>
      </c>
      <c r="AH202" s="516"/>
      <c r="AJ202" s="480">
        <f t="shared" si="53"/>
        <v>0</v>
      </c>
      <c r="AK202" s="480" t="str">
        <f t="shared" si="54"/>
        <v/>
      </c>
    </row>
    <row r="203" spans="1:37" ht="15.6" x14ac:dyDescent="0.3">
      <c r="A203" s="152">
        <v>2023</v>
      </c>
      <c r="B203" s="178"/>
      <c r="C203" s="182"/>
      <c r="D203" s="183"/>
      <c r="E203" s="179">
        <f t="shared" si="55"/>
        <v>1335.1672160570247</v>
      </c>
      <c r="F203" s="183">
        <f t="shared" si="62"/>
        <v>528.52673789889957</v>
      </c>
      <c r="G203" s="247">
        <f t="shared" si="56"/>
        <v>0.53099090797800208</v>
      </c>
      <c r="H203" s="246"/>
      <c r="I203" s="417"/>
      <c r="J203" s="417"/>
      <c r="K203" s="182"/>
      <c r="L203" s="178"/>
      <c r="M203" s="182"/>
      <c r="N203" s="178"/>
      <c r="O203" s="495"/>
      <c r="P203" s="525">
        <f>IF($P$194="Y",IFERROR(E203*$F$21*'Emissions Factors'!B20,""),"")</f>
        <v>0.98767240056358485</v>
      </c>
      <c r="Q203" s="525" t="str">
        <f>IF($X$135="Y",IFERROR($E203*(SUM($F$7,$F$5,$F$6)/SUMIF($H$5:$H$16,"Y",$F$5:$F$16))*('Emissions Factors'!$T$143*$F$22)/10^6,""),"")</f>
        <v/>
      </c>
      <c r="R203" s="525"/>
      <c r="S203" s="525"/>
      <c r="T203" s="496"/>
      <c r="U203" s="180">
        <f t="shared" si="61"/>
        <v>0.98767240056358485</v>
      </c>
      <c r="V203" s="180">
        <f t="shared" si="57"/>
        <v>0</v>
      </c>
      <c r="X203" s="430"/>
      <c r="Y203" s="478">
        <v>2023</v>
      </c>
      <c r="Z203" s="479">
        <f t="shared" si="58"/>
        <v>0.98767240056358485</v>
      </c>
      <c r="AA203" s="479">
        <f t="shared" si="58"/>
        <v>0</v>
      </c>
      <c r="AB203" s="430"/>
      <c r="AC203" s="479"/>
      <c r="AD203" s="479"/>
      <c r="AE203" s="430"/>
      <c r="AF203" s="479">
        <f t="shared" si="59"/>
        <v>0.98767240056358485</v>
      </c>
      <c r="AG203" s="479">
        <f t="shared" si="52"/>
        <v>0</v>
      </c>
      <c r="AH203" s="516"/>
      <c r="AJ203" s="480">
        <f t="shared" si="53"/>
        <v>0</v>
      </c>
      <c r="AK203" s="480" t="str">
        <f t="shared" si="54"/>
        <v/>
      </c>
    </row>
    <row r="204" spans="1:37" ht="15.6" x14ac:dyDescent="0.3">
      <c r="A204" s="152">
        <v>2024</v>
      </c>
      <c r="B204" s="178"/>
      <c r="C204" s="182"/>
      <c r="D204" s="183"/>
      <c r="E204" s="179">
        <f t="shared" si="55"/>
        <v>1946.7652733331101</v>
      </c>
      <c r="F204" s="183">
        <f t="shared" si="62"/>
        <v>611.59805727608546</v>
      </c>
      <c r="G204" s="247">
        <f t="shared" si="56"/>
        <v>0.52641142373789085</v>
      </c>
      <c r="H204" s="246"/>
      <c r="I204" s="417"/>
      <c r="J204" s="417"/>
      <c r="K204" s="182"/>
      <c r="L204" s="178"/>
      <c r="M204" s="182"/>
      <c r="N204" s="178"/>
      <c r="O204" s="495"/>
      <c r="P204" s="525">
        <f>IF($P$194="Y",IFERROR(E204*$F$21*'Emissions Factors'!B21,""),"")</f>
        <v>1.4318276866260493</v>
      </c>
      <c r="Q204" s="525" t="str">
        <f>IF($X$135="Y",IFERROR($E204*(SUM($F$7,$F$5,$F$6)/SUMIF($H$5:$H$16,"Y",$F$5:$F$16))*('Emissions Factors'!$T$143*$F$22)/10^6,""),"")</f>
        <v/>
      </c>
      <c r="R204" s="525"/>
      <c r="S204" s="525"/>
      <c r="T204" s="496"/>
      <c r="U204" s="180">
        <f t="shared" si="61"/>
        <v>1.4318276866260493</v>
      </c>
      <c r="V204" s="180">
        <f t="shared" si="57"/>
        <v>0</v>
      </c>
      <c r="X204" s="430"/>
      <c r="Y204" s="478">
        <v>2024</v>
      </c>
      <c r="Z204" s="479">
        <f t="shared" si="58"/>
        <v>1.4318276866260493</v>
      </c>
      <c r="AA204" s="479">
        <f t="shared" si="58"/>
        <v>0</v>
      </c>
      <c r="AB204" s="430"/>
      <c r="AC204" s="479"/>
      <c r="AD204" s="479"/>
      <c r="AE204" s="430"/>
      <c r="AF204" s="479">
        <f>Z204-AC204</f>
        <v>1.4318276866260493</v>
      </c>
      <c r="AG204" s="479">
        <f t="shared" si="52"/>
        <v>0</v>
      </c>
      <c r="AH204" s="516"/>
      <c r="AJ204" s="480">
        <f t="shared" si="53"/>
        <v>0</v>
      </c>
      <c r="AK204" s="480" t="str">
        <f t="shared" si="54"/>
        <v/>
      </c>
    </row>
    <row r="205" spans="1:37" ht="15.6" x14ac:dyDescent="0.3">
      <c r="A205" s="152">
        <v>2025</v>
      </c>
      <c r="B205" s="178"/>
      <c r="C205" s="182"/>
      <c r="D205" s="183"/>
      <c r="E205" s="179">
        <f t="shared" si="55"/>
        <v>2642.9351724494372</v>
      </c>
      <c r="F205" s="183">
        <f t="shared" si="62"/>
        <v>696.16989911632709</v>
      </c>
      <c r="G205" s="247">
        <f t="shared" si="56"/>
        <v>0.52368405561793763</v>
      </c>
      <c r="H205" s="246"/>
      <c r="I205" s="417"/>
      <c r="J205" s="417"/>
      <c r="K205" s="182"/>
      <c r="L205" s="178"/>
      <c r="M205" s="182"/>
      <c r="N205" s="178"/>
      <c r="O205" s="495"/>
      <c r="P205" s="525">
        <f>IF($P$194="Y",IFERROR(E205*$F$21*'Emissions Factors'!B22,""),"")</f>
        <v>1.9339665417644534</v>
      </c>
      <c r="Q205" s="525" t="str">
        <f>IF($X$135="Y",IFERROR($E205*(SUM($F$7,$F$5,$F$6)/SUMIF($H$5:$H$16,"Y",$F$5:$F$16))*('Emissions Factors'!$T$143*$F$22)/10^6,""),"")</f>
        <v/>
      </c>
      <c r="R205" s="525"/>
      <c r="S205" s="525"/>
      <c r="T205" s="496"/>
      <c r="U205" s="180">
        <f t="shared" si="61"/>
        <v>1.9339665417644534</v>
      </c>
      <c r="V205" s="180">
        <f t="shared" si="57"/>
        <v>0</v>
      </c>
      <c r="X205" s="430"/>
      <c r="Y205" s="478">
        <v>2025</v>
      </c>
      <c r="Z205" s="479">
        <f t="shared" si="58"/>
        <v>1.9339665417644534</v>
      </c>
      <c r="AA205" s="479">
        <f t="shared" si="58"/>
        <v>0</v>
      </c>
      <c r="AB205" s="430"/>
      <c r="AC205" s="479"/>
      <c r="AD205" s="479"/>
      <c r="AE205" s="430"/>
      <c r="AF205" s="479">
        <f t="shared" si="59"/>
        <v>1.9339665417644534</v>
      </c>
      <c r="AG205" s="479">
        <f t="shared" si="52"/>
        <v>0</v>
      </c>
      <c r="AH205" s="516"/>
      <c r="AJ205" s="480">
        <f t="shared" si="53"/>
        <v>0</v>
      </c>
      <c r="AK205" s="480" t="str">
        <f t="shared" si="54"/>
        <v/>
      </c>
    </row>
    <row r="206" spans="1:37" ht="15.6" x14ac:dyDescent="0.3">
      <c r="A206" s="152">
        <v>2026</v>
      </c>
      <c r="B206" s="178"/>
      <c r="C206" s="182"/>
      <c r="D206" s="183"/>
      <c r="E206" s="179">
        <f t="shared" si="55"/>
        <v>3422.8923674586563</v>
      </c>
      <c r="F206" s="183">
        <f t="shared" si="62"/>
        <v>779.95719500921905</v>
      </c>
      <c r="G206" s="247">
        <f t="shared" si="56"/>
        <v>0.52201673399123472</v>
      </c>
      <c r="H206" s="246"/>
      <c r="I206" s="417"/>
      <c r="J206" s="417"/>
      <c r="K206" s="182"/>
      <c r="L206" s="178"/>
      <c r="M206" s="182"/>
      <c r="N206" s="178"/>
      <c r="O206" s="495"/>
      <c r="P206" s="525">
        <f>IF($P$194="Y",IFERROR(E206*$F$21*'Emissions Factors'!B23,""),"")</f>
        <v>2.4893101150496442</v>
      </c>
      <c r="Q206" s="525" t="str">
        <f>IF($X$135="Y",IFERROR($E206*(SUM($F$7,$F$5,$F$6)/SUMIF($H$5:$H$16,"Y",$F$5:$F$16))*('Emissions Factors'!$T$143*$F$22)/10^6,""),"")</f>
        <v/>
      </c>
      <c r="R206" s="525"/>
      <c r="S206" s="525"/>
      <c r="T206" s="496"/>
      <c r="U206" s="180">
        <f t="shared" si="61"/>
        <v>2.4893101150496442</v>
      </c>
      <c r="V206" s="180">
        <f t="shared" si="57"/>
        <v>0</v>
      </c>
      <c r="X206" s="430"/>
      <c r="Y206" s="478">
        <v>2026</v>
      </c>
      <c r="Z206" s="479">
        <f t="shared" si="58"/>
        <v>2.4893101150496442</v>
      </c>
      <c r="AA206" s="479">
        <f t="shared" si="58"/>
        <v>0</v>
      </c>
      <c r="AB206" s="430"/>
      <c r="AC206" s="479"/>
      <c r="AD206" s="479"/>
      <c r="AE206" s="430"/>
      <c r="AF206" s="479">
        <f t="shared" si="59"/>
        <v>2.4893101150496442</v>
      </c>
      <c r="AG206" s="479">
        <f t="shared" si="52"/>
        <v>0</v>
      </c>
      <c r="AH206" s="516"/>
      <c r="AJ206" s="480">
        <f t="shared" si="53"/>
        <v>0</v>
      </c>
      <c r="AK206" s="480" t="str">
        <f t="shared" si="54"/>
        <v/>
      </c>
    </row>
    <row r="207" spans="1:37" ht="15.6" x14ac:dyDescent="0.3">
      <c r="A207" s="152">
        <v>2027</v>
      </c>
      <c r="B207" s="178"/>
      <c r="C207" s="182"/>
      <c r="D207" s="183"/>
      <c r="E207" s="179">
        <f>IFERROR(IF($G$19="Y",$F$19,$AD93)*(SUMIF($H$5:$H$16,"Y",$F$5:$F$16)*(AL42-B42)),0)</f>
        <v>4284.3385201799492</v>
      </c>
      <c r="F207" s="183">
        <f t="shared" si="62"/>
        <v>861.44615272129295</v>
      </c>
      <c r="G207" s="247">
        <f t="shared" si="56"/>
        <v>0.52083639579175589</v>
      </c>
      <c r="H207" s="246"/>
      <c r="I207" s="417"/>
      <c r="J207" s="417"/>
      <c r="K207" s="182"/>
      <c r="L207" s="178"/>
      <c r="M207" s="182"/>
      <c r="N207" s="178"/>
      <c r="O207" s="495"/>
      <c r="P207" s="525">
        <f>IF($P$194="Y",IFERROR(E207*$F$21*'Emissions Factors'!B24,""),"")</f>
        <v>3.0986285995325069</v>
      </c>
      <c r="Q207" s="525" t="str">
        <f>IF($X$135="Y",IFERROR($E207*(SUM($F$7,$F$5,$F$6)/SUMIF($H$5:$H$16,"Y",$F$5:$F$16))*('Emissions Factors'!$T$143*$F$22)/10^6,""),"")</f>
        <v/>
      </c>
      <c r="R207" s="525"/>
      <c r="S207" s="525"/>
      <c r="T207" s="496"/>
      <c r="U207" s="180">
        <f t="shared" si="61"/>
        <v>3.0986285995325069</v>
      </c>
      <c r="V207" s="180">
        <f t="shared" si="57"/>
        <v>0</v>
      </c>
      <c r="X207" s="430"/>
      <c r="Y207" s="478">
        <v>2027</v>
      </c>
      <c r="Z207" s="479">
        <f t="shared" si="58"/>
        <v>3.0986285995325069</v>
      </c>
      <c r="AA207" s="479">
        <f t="shared" si="58"/>
        <v>0</v>
      </c>
      <c r="AB207" s="430"/>
      <c r="AC207" s="479"/>
      <c r="AD207" s="479"/>
      <c r="AE207" s="430"/>
      <c r="AF207" s="479">
        <f t="shared" si="59"/>
        <v>3.0986285995325069</v>
      </c>
      <c r="AG207" s="479">
        <f t="shared" si="52"/>
        <v>0</v>
      </c>
      <c r="AH207" s="516"/>
      <c r="AJ207" s="480">
        <f t="shared" si="53"/>
        <v>0</v>
      </c>
      <c r="AK207" s="480" t="str">
        <f t="shared" si="54"/>
        <v/>
      </c>
    </row>
    <row r="208" spans="1:37" ht="15.6" x14ac:dyDescent="0.3">
      <c r="A208" s="152">
        <v>2028</v>
      </c>
      <c r="B208" s="178"/>
      <c r="C208" s="182"/>
      <c r="D208" s="183"/>
      <c r="E208" s="179">
        <f>IFERROR(IF($G$19="Y",$F$19,$AD94)*(SUMIF($H$5:$H$16,"Y",$F$5:$F$16)*(AL43-B43)),0)</f>
        <v>5227.779976092108</v>
      </c>
      <c r="F208" s="183">
        <f t="shared" si="62"/>
        <v>943.44145591215874</v>
      </c>
      <c r="G208" s="247">
        <f t="shared" si="56"/>
        <v>0.51984507159347826</v>
      </c>
      <c r="H208" s="246"/>
      <c r="I208" s="417"/>
      <c r="J208" s="417"/>
      <c r="K208" s="182"/>
      <c r="L208" s="178"/>
      <c r="M208" s="182"/>
      <c r="N208" s="178"/>
      <c r="O208" s="495"/>
      <c r="P208" s="525">
        <f>IF($P$194="Y",IFERROR(E208*$F$21*'Emissions Factors'!B25,""),"")</f>
        <v>3.7603476802165914</v>
      </c>
      <c r="Q208" s="525" t="str">
        <f>IF($X$135="Y",IFERROR($E208*(SUM($F$7,$F$5,$F$6)/SUMIF($H$5:$H$16,"Y",$F$5:$F$16))*('Emissions Factors'!$T$143*$F$22)/10^6,""),"")</f>
        <v/>
      </c>
      <c r="R208" s="525"/>
      <c r="S208" s="525"/>
      <c r="T208" s="496"/>
      <c r="U208" s="180">
        <f t="shared" si="61"/>
        <v>3.7603476802165914</v>
      </c>
      <c r="V208" s="180">
        <f t="shared" si="57"/>
        <v>0</v>
      </c>
      <c r="X208" s="430"/>
      <c r="Y208" s="478">
        <v>2028</v>
      </c>
      <c r="Z208" s="479">
        <f t="shared" si="58"/>
        <v>3.7603476802165914</v>
      </c>
      <c r="AA208" s="479">
        <f t="shared" si="58"/>
        <v>0</v>
      </c>
      <c r="AB208" s="430"/>
      <c r="AC208" s="479"/>
      <c r="AD208" s="479"/>
      <c r="AE208" s="430"/>
      <c r="AF208" s="479">
        <f t="shared" si="59"/>
        <v>3.7603476802165914</v>
      </c>
      <c r="AG208" s="479">
        <f t="shared" si="52"/>
        <v>0</v>
      </c>
      <c r="AH208" s="516"/>
      <c r="AJ208" s="480">
        <f t="shared" si="53"/>
        <v>0</v>
      </c>
      <c r="AK208" s="480" t="str">
        <f t="shared" si="54"/>
        <v/>
      </c>
    </row>
    <row r="209" spans="1:37" ht="15.6" x14ac:dyDescent="0.3">
      <c r="A209" s="152">
        <v>2029</v>
      </c>
      <c r="B209" s="178"/>
      <c r="C209" s="182"/>
      <c r="D209" s="183"/>
      <c r="E209" s="179">
        <f t="shared" si="55"/>
        <v>6253.9179793057383</v>
      </c>
      <c r="F209" s="183">
        <f t="shared" si="62"/>
        <v>1026.1380032136303</v>
      </c>
      <c r="G209" s="247">
        <f t="shared" si="56"/>
        <v>0.51882913293548061</v>
      </c>
      <c r="H209" s="246"/>
      <c r="I209" s="417"/>
      <c r="J209" s="417"/>
      <c r="K209" s="182"/>
      <c r="L209" s="178"/>
      <c r="M209" s="182"/>
      <c r="N209" s="178"/>
      <c r="O209" s="495"/>
      <c r="P209" s="525">
        <f>IF($P$194="Y",IFERROR(E209*$F$21*'Emissions Factors'!B26,""),"")</f>
        <v>4.4741330513182707</v>
      </c>
      <c r="Q209" s="525" t="str">
        <f>IF($X$135="Y",IFERROR($E209*(SUM($F$7,$F$5,$F$6)/SUMIF($H$5:$H$16,"Y",$F$5:$F$16))*('Emissions Factors'!$T$143*$F$22)/10^6,""),"")</f>
        <v/>
      </c>
      <c r="R209" s="525"/>
      <c r="S209" s="525"/>
      <c r="T209" s="496"/>
      <c r="U209" s="180">
        <f t="shared" si="61"/>
        <v>4.4741330513182707</v>
      </c>
      <c r="V209" s="180">
        <f t="shared" si="57"/>
        <v>0</v>
      </c>
      <c r="X209" s="430"/>
      <c r="Y209" s="478">
        <v>2029</v>
      </c>
      <c r="Z209" s="479">
        <f t="shared" si="58"/>
        <v>4.4741330513182707</v>
      </c>
      <c r="AA209" s="479">
        <f t="shared" si="58"/>
        <v>0</v>
      </c>
      <c r="AB209" s="430"/>
      <c r="AC209" s="479"/>
      <c r="AD209" s="479"/>
      <c r="AE209" s="430"/>
      <c r="AF209" s="479">
        <f t="shared" si="59"/>
        <v>4.4741330513182707</v>
      </c>
      <c r="AG209" s="479">
        <f t="shared" si="52"/>
        <v>0</v>
      </c>
      <c r="AH209" s="516"/>
      <c r="AJ209" s="480">
        <f t="shared" si="53"/>
        <v>0</v>
      </c>
      <c r="AK209" s="480" t="str">
        <f t="shared" si="54"/>
        <v/>
      </c>
    </row>
    <row r="210" spans="1:37" ht="15.6" x14ac:dyDescent="0.3">
      <c r="A210" s="152">
        <v>2030</v>
      </c>
      <c r="B210" s="178"/>
      <c r="C210" s="182"/>
      <c r="D210" s="183"/>
      <c r="E210" s="179">
        <f t="shared" si="55"/>
        <v>7363.8471036095161</v>
      </c>
      <c r="F210" s="183">
        <f t="shared" si="62"/>
        <v>1109.9291243037778</v>
      </c>
      <c r="G210" s="247">
        <f t="shared" si="56"/>
        <v>0.51769903710070708</v>
      </c>
      <c r="H210" s="246"/>
      <c r="I210" s="417"/>
      <c r="J210" s="417"/>
      <c r="K210" s="182"/>
      <c r="L210" s="178"/>
      <c r="M210" s="182"/>
      <c r="N210" s="178"/>
      <c r="O210" s="495"/>
      <c r="P210" s="525">
        <f>IF($P$194="Y",IFERROR(E210*$F$21*'Emissions Factors'!B27,""),"")</f>
        <v>5.2411435986627026</v>
      </c>
      <c r="Q210" s="525" t="str">
        <f>IF($X$135="Y",IFERROR($E210*(SUM($F$7,$F$5,$F$6)/SUMIF($H$5:$H$16,"Y",$F$5:$F$16))*('Emissions Factors'!$T$143*$F$22)/10^6,""),"")</f>
        <v/>
      </c>
      <c r="R210" s="525"/>
      <c r="S210" s="525"/>
      <c r="T210" s="496"/>
      <c r="U210" s="180">
        <f t="shared" si="61"/>
        <v>5.2411435986627026</v>
      </c>
      <c r="V210" s="180">
        <f t="shared" si="57"/>
        <v>0</v>
      </c>
      <c r="X210" s="430"/>
      <c r="Y210" s="478">
        <v>2030</v>
      </c>
      <c r="Z210" s="479">
        <f t="shared" si="58"/>
        <v>5.2411435986627026</v>
      </c>
      <c r="AA210" s="479">
        <f t="shared" si="58"/>
        <v>0</v>
      </c>
      <c r="AB210" s="430"/>
      <c r="AC210" s="479"/>
      <c r="AD210" s="479"/>
      <c r="AE210" s="430"/>
      <c r="AF210" s="479">
        <f t="shared" si="59"/>
        <v>5.2411435986627026</v>
      </c>
      <c r="AG210" s="479">
        <f t="shared" si="52"/>
        <v>0</v>
      </c>
      <c r="AH210" s="516"/>
      <c r="AJ210" s="480">
        <f t="shared" si="53"/>
        <v>0</v>
      </c>
      <c r="AK210" s="480" t="str">
        <f t="shared" si="54"/>
        <v/>
      </c>
    </row>
    <row r="211" spans="1:37" ht="15.6" x14ac:dyDescent="0.3">
      <c r="A211" s="152">
        <v>2031</v>
      </c>
      <c r="B211" s="178"/>
      <c r="C211" s="182"/>
      <c r="D211" s="183"/>
      <c r="E211" s="179">
        <f t="shared" si="55"/>
        <v>8558.4278167523426</v>
      </c>
      <c r="F211" s="183">
        <f t="shared" si="62"/>
        <v>1194.5807131428264</v>
      </c>
      <c r="G211" s="247">
        <f t="shared" si="56"/>
        <v>0.51649159685891388</v>
      </c>
      <c r="H211" s="246"/>
      <c r="I211" s="417"/>
      <c r="J211" s="417"/>
      <c r="K211" s="182"/>
      <c r="L211" s="178"/>
      <c r="M211" s="182"/>
      <c r="N211" s="178"/>
      <c r="O211" s="495"/>
      <c r="P211" s="525">
        <f>IF($P$194="Y",IFERROR(E211*$F$21*'Emissions Factors'!B28,""),"")</f>
        <v>6.057466143769199</v>
      </c>
      <c r="Q211" s="525" t="str">
        <f>IF($X$135="Y",IFERROR($E211*(SUM($F$7,$F$5,$F$6)/SUMIF($H$5:$H$16,"Y",$F$5:$F$16))*('Emissions Factors'!$T$143*$F$22)/10^6,""),"")</f>
        <v/>
      </c>
      <c r="R211" s="525"/>
      <c r="S211" s="525"/>
      <c r="T211" s="496"/>
      <c r="U211" s="180">
        <f t="shared" si="61"/>
        <v>6.057466143769199</v>
      </c>
      <c r="V211" s="180">
        <f t="shared" si="57"/>
        <v>0</v>
      </c>
      <c r="X211" s="430"/>
      <c r="Y211" s="478">
        <v>2031</v>
      </c>
      <c r="Z211" s="479">
        <f t="shared" si="58"/>
        <v>6.057466143769199</v>
      </c>
      <c r="AA211" s="479">
        <f t="shared" si="58"/>
        <v>0</v>
      </c>
      <c r="AB211" s="430"/>
      <c r="AC211" s="479"/>
      <c r="AD211" s="479"/>
      <c r="AE211" s="430"/>
      <c r="AF211" s="479">
        <f t="shared" si="59"/>
        <v>6.057466143769199</v>
      </c>
      <c r="AG211" s="479">
        <f t="shared" si="52"/>
        <v>0</v>
      </c>
      <c r="AH211" s="516"/>
      <c r="AJ211" s="480">
        <f t="shared" si="53"/>
        <v>0</v>
      </c>
      <c r="AK211" s="480" t="str">
        <f t="shared" si="54"/>
        <v/>
      </c>
    </row>
    <row r="212" spans="1:37" ht="15.6" x14ac:dyDescent="0.3">
      <c r="A212" s="152">
        <v>2032</v>
      </c>
      <c r="B212" s="178"/>
      <c r="C212" s="182"/>
      <c r="D212" s="183"/>
      <c r="E212" s="179">
        <f t="shared" si="55"/>
        <v>9834.0395325112167</v>
      </c>
      <c r="F212" s="183">
        <f t="shared" si="62"/>
        <v>1275.6117157588742</v>
      </c>
      <c r="G212" s="247">
        <f t="shared" si="56"/>
        <v>0.51527351261173926</v>
      </c>
      <c r="H212" s="246"/>
      <c r="I212" s="417"/>
      <c r="J212" s="417"/>
      <c r="K212" s="182"/>
      <c r="L212" s="178"/>
      <c r="M212" s="182"/>
      <c r="N212" s="178"/>
      <c r="O212" s="495"/>
      <c r="P212" s="525">
        <f>IF($P$194="Y",IFERROR(E212*$F$21*'Emissions Factors'!B29,""),"")</f>
        <v>6.9233468787873491</v>
      </c>
      <c r="Q212" s="525" t="str">
        <f>IF($X$135="Y",IFERROR($E212*(SUM($F$7,$F$5,$F$6)/SUMIF($H$5:$H$16,"Y",$F$5:$F$16))*('Emissions Factors'!$T$143*$F$22)/10^6,""),"")</f>
        <v/>
      </c>
      <c r="R212" s="525"/>
      <c r="S212" s="525"/>
      <c r="T212" s="496"/>
      <c r="U212" s="180">
        <f t="shared" si="61"/>
        <v>6.9233468787873491</v>
      </c>
      <c r="V212" s="180">
        <f t="shared" si="57"/>
        <v>0</v>
      </c>
      <c r="X212" s="430"/>
      <c r="Y212" s="478">
        <v>2032</v>
      </c>
      <c r="Z212" s="479">
        <f t="shared" si="58"/>
        <v>6.9233468787873491</v>
      </c>
      <c r="AA212" s="479">
        <f t="shared" si="58"/>
        <v>0</v>
      </c>
      <c r="AB212" s="430"/>
      <c r="AC212" s="479"/>
      <c r="AD212" s="479"/>
      <c r="AE212" s="430"/>
      <c r="AF212" s="479">
        <f t="shared" si="59"/>
        <v>6.9233468787873491</v>
      </c>
      <c r="AG212" s="479">
        <f t="shared" si="52"/>
        <v>0</v>
      </c>
      <c r="AH212" s="516"/>
      <c r="AJ212" s="480">
        <f t="shared" si="53"/>
        <v>0</v>
      </c>
      <c r="AK212" s="480" t="str">
        <f t="shared" si="54"/>
        <v/>
      </c>
    </row>
    <row r="213" spans="1:37" ht="15.6" x14ac:dyDescent="0.3">
      <c r="A213" s="152">
        <v>2033</v>
      </c>
      <c r="B213" s="178"/>
      <c r="C213" s="182"/>
      <c r="D213" s="183"/>
      <c r="E213" s="179">
        <f t="shared" si="55"/>
        <v>11178.37959019218</v>
      </c>
      <c r="F213" s="183">
        <f t="shared" si="62"/>
        <v>1344.3400576809636</v>
      </c>
      <c r="G213" s="247">
        <f t="shared" si="56"/>
        <v>0.51408530831313282</v>
      </c>
      <c r="H213" s="246"/>
      <c r="I213" s="417"/>
      <c r="J213" s="417"/>
      <c r="K213" s="182"/>
      <c r="L213" s="178"/>
      <c r="M213" s="182"/>
      <c r="N213" s="178"/>
      <c r="O213" s="495"/>
      <c r="P213" s="525">
        <f>IF($P$194="Y",IFERROR(E213*$F$21*'Emissions Factors'!B30,""),"")</f>
        <v>7.8281094736412076</v>
      </c>
      <c r="Q213" s="525" t="str">
        <f>IF($X$135="Y",IFERROR($E213*(SUM($F$7,$F$5,$F$6)/SUMIF($H$5:$H$16,"Y",$F$5:$F$16))*('Emissions Factors'!$T$143*$F$22)/10^6,""),"")</f>
        <v/>
      </c>
      <c r="R213" s="525"/>
      <c r="S213" s="525"/>
      <c r="T213" s="496"/>
      <c r="U213" s="180">
        <f t="shared" si="61"/>
        <v>7.8281094736412076</v>
      </c>
      <c r="V213" s="180">
        <f t="shared" si="57"/>
        <v>0</v>
      </c>
      <c r="X213" s="430"/>
      <c r="Y213" s="478">
        <v>2033</v>
      </c>
      <c r="Z213" s="479">
        <f t="shared" si="58"/>
        <v>7.8281094736412076</v>
      </c>
      <c r="AA213" s="479">
        <f t="shared" si="58"/>
        <v>0</v>
      </c>
      <c r="AB213" s="430"/>
      <c r="AC213" s="479"/>
      <c r="AD213" s="479"/>
      <c r="AE213" s="430"/>
      <c r="AF213" s="479">
        <f t="shared" si="59"/>
        <v>7.8281094736412076</v>
      </c>
      <c r="AG213" s="479">
        <f t="shared" si="52"/>
        <v>0</v>
      </c>
      <c r="AH213" s="516"/>
      <c r="AJ213" s="480">
        <f t="shared" si="53"/>
        <v>0</v>
      </c>
      <c r="AK213" s="480" t="str">
        <f t="shared" si="54"/>
        <v/>
      </c>
    </row>
    <row r="214" spans="1:37" ht="15.6" x14ac:dyDescent="0.3">
      <c r="A214" s="152">
        <v>2034</v>
      </c>
      <c r="B214" s="178"/>
      <c r="C214" s="182"/>
      <c r="D214" s="183"/>
      <c r="E214" s="179">
        <f t="shared" si="55"/>
        <v>12574.357073744584</v>
      </c>
      <c r="F214" s="183">
        <f t="shared" si="62"/>
        <v>1395.977483552404</v>
      </c>
      <c r="G214" s="247">
        <f t="shared" si="56"/>
        <v>0.51295542748646794</v>
      </c>
      <c r="H214" s="246"/>
      <c r="I214" s="417"/>
      <c r="J214" s="417"/>
      <c r="K214" s="182"/>
      <c r="L214" s="178"/>
      <c r="M214" s="182"/>
      <c r="N214" s="178"/>
      <c r="O214" s="495"/>
      <c r="P214" s="525">
        <f>IF($P$194="Y",IFERROR(E214*$F$21*'Emissions Factors'!B31,""),"")</f>
        <v>8.7591340465389713</v>
      </c>
      <c r="Q214" s="525" t="str">
        <f>IF($X$135="Y",IFERROR($E214*(SUM($F$7,$F$5,$F$6)/SUMIF($H$5:$H$16,"Y",$F$5:$F$16))*('Emissions Factors'!$T$143*$F$22)/10^6,""),"")</f>
        <v/>
      </c>
      <c r="R214" s="525"/>
      <c r="S214" s="525"/>
      <c r="T214" s="496"/>
      <c r="U214" s="180">
        <f t="shared" si="61"/>
        <v>8.7591340465389713</v>
      </c>
      <c r="V214" s="180">
        <f t="shared" si="57"/>
        <v>0</v>
      </c>
      <c r="X214" s="430"/>
      <c r="Y214" s="478">
        <v>2034</v>
      </c>
      <c r="Z214" s="479">
        <f t="shared" si="58"/>
        <v>8.7591340465389713</v>
      </c>
      <c r="AA214" s="479">
        <f t="shared" si="58"/>
        <v>0</v>
      </c>
      <c r="AB214" s="430"/>
      <c r="AC214" s="479"/>
      <c r="AD214" s="479"/>
      <c r="AE214" s="430"/>
      <c r="AF214" s="479">
        <f t="shared" si="59"/>
        <v>8.7591340465389713</v>
      </c>
      <c r="AG214" s="479">
        <f t="shared" si="52"/>
        <v>0</v>
      </c>
      <c r="AH214" s="516"/>
      <c r="AJ214" s="480">
        <f t="shared" si="53"/>
        <v>0</v>
      </c>
      <c r="AK214" s="480" t="str">
        <f t="shared" si="54"/>
        <v/>
      </c>
    </row>
    <row r="215" spans="1:37" ht="15.6" x14ac:dyDescent="0.3">
      <c r="A215" s="152">
        <v>2035</v>
      </c>
      <c r="B215" s="178"/>
      <c r="C215" s="182"/>
      <c r="D215" s="183"/>
      <c r="E215" s="179">
        <f t="shared" si="55"/>
        <v>14008.962193373834</v>
      </c>
      <c r="F215" s="183">
        <f t="shared" si="62"/>
        <v>1434.6051196292501</v>
      </c>
      <c r="G215" s="247">
        <f t="shared" si="56"/>
        <v>0.51187759565015967</v>
      </c>
      <c r="H215" s="246"/>
      <c r="I215" s="417"/>
      <c r="J215" s="417"/>
      <c r="K215" s="182"/>
      <c r="L215" s="178"/>
      <c r="M215" s="182"/>
      <c r="N215" s="178"/>
      <c r="O215" s="495"/>
      <c r="P215" s="525">
        <f>IF($P$194="Y",IFERROR(E215*$F$21*'Emissions Factors'!B32,""),"")</f>
        <v>9.7054433887967644</v>
      </c>
      <c r="Q215" s="525" t="str">
        <f>IF($X$135="Y",IFERROR($E215*(SUM($F$7,$F$5,$F$6)/SUMIF($H$5:$H$16,"Y",$F$5:$F$16))*('Emissions Factors'!$T$143*$F$22)/10^6,""),"")</f>
        <v/>
      </c>
      <c r="R215" s="525"/>
      <c r="S215" s="525"/>
      <c r="T215" s="496"/>
      <c r="U215" s="180">
        <f t="shared" si="61"/>
        <v>9.7054433887967644</v>
      </c>
      <c r="V215" s="180">
        <f t="shared" si="57"/>
        <v>0</v>
      </c>
      <c r="X215" s="430"/>
      <c r="Y215" s="478">
        <v>2035</v>
      </c>
      <c r="Z215" s="479">
        <f t="shared" si="58"/>
        <v>9.7054433887967644</v>
      </c>
      <c r="AA215" s="479">
        <f t="shared" si="58"/>
        <v>0</v>
      </c>
      <c r="AB215" s="430"/>
      <c r="AC215" s="479"/>
      <c r="AD215" s="479"/>
      <c r="AE215" s="430"/>
      <c r="AF215" s="479">
        <f t="shared" si="59"/>
        <v>9.7054433887967644</v>
      </c>
      <c r="AG215" s="479">
        <f t="shared" si="52"/>
        <v>0</v>
      </c>
      <c r="AH215" s="516"/>
      <c r="AJ215" s="480">
        <f t="shared" si="53"/>
        <v>0</v>
      </c>
      <c r="AK215" s="480" t="str">
        <f t="shared" si="54"/>
        <v/>
      </c>
    </row>
    <row r="216" spans="1:37" ht="15.6" x14ac:dyDescent="0.3">
      <c r="A216" s="152">
        <v>2036</v>
      </c>
      <c r="B216" s="178"/>
      <c r="C216" s="182"/>
      <c r="D216" s="183"/>
      <c r="E216" s="179">
        <f t="shared" si="55"/>
        <v>15476.133000267506</v>
      </c>
      <c r="F216" s="183">
        <f t="shared" si="62"/>
        <v>1467.1708068936714</v>
      </c>
      <c r="G216" s="247">
        <f t="shared" si="56"/>
        <v>0.51081688518354951</v>
      </c>
      <c r="H216" s="246"/>
      <c r="I216" s="417"/>
      <c r="J216" s="417"/>
      <c r="K216" s="182"/>
      <c r="L216" s="178"/>
      <c r="M216" s="182"/>
      <c r="N216" s="178"/>
      <c r="O216" s="495"/>
      <c r="P216" s="525">
        <f>IF($P$194="Y",IFERROR(E216*$F$21*'Emissions Factors'!B33,""),"")</f>
        <v>10.666364908734053</v>
      </c>
      <c r="Q216" s="525" t="str">
        <f>IF($X$135="Y",IFERROR($E216*(SUM($F$7,$F$5,$F$6)/SUMIF($H$5:$H$16,"Y",$F$5:$F$16))*('Emissions Factors'!$T$143*$F$22)/10^6,""),"")</f>
        <v/>
      </c>
      <c r="R216" s="525"/>
      <c r="S216" s="525"/>
      <c r="T216" s="496"/>
      <c r="U216" s="180">
        <f t="shared" si="61"/>
        <v>10.666364908734053</v>
      </c>
      <c r="V216" s="180">
        <f t="shared" si="57"/>
        <v>0</v>
      </c>
      <c r="X216" s="430"/>
      <c r="Y216" s="478">
        <v>2036</v>
      </c>
      <c r="Z216" s="479">
        <f t="shared" si="58"/>
        <v>10.666364908734053</v>
      </c>
      <c r="AA216" s="479">
        <f t="shared" si="58"/>
        <v>0</v>
      </c>
      <c r="AB216" s="430"/>
      <c r="AC216" s="479"/>
      <c r="AD216" s="479"/>
      <c r="AE216" s="430"/>
      <c r="AF216" s="479">
        <f t="shared" si="59"/>
        <v>10.666364908734053</v>
      </c>
      <c r="AG216" s="479">
        <f t="shared" si="52"/>
        <v>0</v>
      </c>
      <c r="AH216" s="516"/>
      <c r="AJ216" s="480">
        <f t="shared" si="53"/>
        <v>0</v>
      </c>
      <c r="AK216" s="480" t="str">
        <f t="shared" si="54"/>
        <v/>
      </c>
    </row>
    <row r="217" spans="1:37" ht="15.6" x14ac:dyDescent="0.3">
      <c r="A217" s="152">
        <v>2037</v>
      </c>
      <c r="B217" s="178"/>
      <c r="C217" s="182"/>
      <c r="D217" s="183"/>
      <c r="E217" s="179">
        <f t="shared" si="55"/>
        <v>16978.356769946364</v>
      </c>
      <c r="F217" s="183">
        <f t="shared" si="62"/>
        <v>1502.2237696788579</v>
      </c>
      <c r="G217" s="247">
        <f t="shared" si="56"/>
        <v>0.5097327661575658</v>
      </c>
      <c r="H217" s="246"/>
      <c r="I217" s="417"/>
      <c r="J217" s="417"/>
      <c r="K217" s="182"/>
      <c r="L217" s="178"/>
      <c r="M217" s="182"/>
      <c r="N217" s="178"/>
      <c r="O217" s="495"/>
      <c r="P217" s="525">
        <f>IF($P$194="Y",IFERROR(E217*$F$21*'Emissions Factors'!B34,""),"")</f>
        <v>11.639323894202541</v>
      </c>
      <c r="Q217" s="525" t="str">
        <f>IF($X$135="Y",IFERROR($E217*(SUM($F$7,$F$5,$F$6)/SUMIF($H$5:$H$16,"Y",$F$5:$F$16))*('Emissions Factors'!$T$143*$F$22)/10^6,""),"")</f>
        <v/>
      </c>
      <c r="R217" s="525"/>
      <c r="S217" s="525"/>
      <c r="T217" s="496"/>
      <c r="U217" s="180">
        <f t="shared" si="61"/>
        <v>11.639323894202541</v>
      </c>
      <c r="V217" s="180">
        <f t="shared" si="57"/>
        <v>0</v>
      </c>
      <c r="X217" s="430"/>
      <c r="Y217" s="478">
        <v>2037</v>
      </c>
      <c r="Z217" s="479">
        <f t="shared" si="58"/>
        <v>11.639323894202541</v>
      </c>
      <c r="AA217" s="479">
        <f t="shared" si="58"/>
        <v>0</v>
      </c>
      <c r="AB217" s="430"/>
      <c r="AC217" s="479"/>
      <c r="AD217" s="479"/>
      <c r="AE217" s="430"/>
      <c r="AF217" s="479">
        <f t="shared" si="59"/>
        <v>11.639323894202541</v>
      </c>
      <c r="AG217" s="479">
        <f t="shared" si="52"/>
        <v>0</v>
      </c>
      <c r="AH217" s="516"/>
      <c r="AJ217" s="480">
        <f t="shared" si="53"/>
        <v>0</v>
      </c>
      <c r="AK217" s="480" t="str">
        <f t="shared" si="54"/>
        <v/>
      </c>
    </row>
    <row r="218" spans="1:37" ht="15.6" x14ac:dyDescent="0.3">
      <c r="A218" s="152">
        <v>2038</v>
      </c>
      <c r="B218" s="178"/>
      <c r="C218" s="182"/>
      <c r="D218" s="183"/>
      <c r="E218" s="179">
        <f t="shared" si="55"/>
        <v>18522.022779967399</v>
      </c>
      <c r="F218" s="183">
        <f t="shared" si="62"/>
        <v>1543.6660100210356</v>
      </c>
      <c r="G218" s="247">
        <f t="shared" si="56"/>
        <v>0.50860334672835072</v>
      </c>
      <c r="H218" s="246"/>
      <c r="I218" s="417"/>
      <c r="J218" s="417"/>
      <c r="K218" s="182"/>
      <c r="L218" s="178"/>
      <c r="M218" s="182"/>
      <c r="N218" s="178"/>
      <c r="O218" s="495"/>
      <c r="P218" s="525">
        <f>IF($P$194="Y",IFERROR(E218*$F$21*'Emissions Factors'!B35,""),"")</f>
        <v>12.629565318504433</v>
      </c>
      <c r="Q218" s="525" t="str">
        <f>IF($X$135="Y",IFERROR($E218*(SUM($F$7,$F$5,$F$6)/SUMIF($H$5:$H$16,"Y",$F$5:$F$16))*('Emissions Factors'!$T$143*$F$22)/10^6,""),"")</f>
        <v/>
      </c>
      <c r="R218" s="525"/>
      <c r="S218" s="525"/>
      <c r="T218" s="496"/>
      <c r="U218" s="180">
        <f t="shared" si="61"/>
        <v>12.629565318504433</v>
      </c>
      <c r="V218" s="180">
        <f t="shared" si="57"/>
        <v>0</v>
      </c>
      <c r="X218" s="430"/>
      <c r="Y218" s="478">
        <v>2038</v>
      </c>
      <c r="Z218" s="479">
        <f t="shared" si="58"/>
        <v>12.629565318504433</v>
      </c>
      <c r="AA218" s="479">
        <f t="shared" si="58"/>
        <v>0</v>
      </c>
      <c r="AB218" s="430"/>
      <c r="AC218" s="479"/>
      <c r="AD218" s="479"/>
      <c r="AE218" s="430"/>
      <c r="AF218" s="479">
        <f t="shared" si="59"/>
        <v>12.629565318504433</v>
      </c>
      <c r="AG218" s="479">
        <f t="shared" si="52"/>
        <v>0</v>
      </c>
      <c r="AH218" s="516"/>
      <c r="AJ218" s="480">
        <f t="shared" si="53"/>
        <v>0</v>
      </c>
      <c r="AK218" s="480" t="str">
        <f t="shared" si="54"/>
        <v/>
      </c>
    </row>
    <row r="219" spans="1:37" ht="15.6" x14ac:dyDescent="0.3">
      <c r="A219" s="152">
        <v>2039</v>
      </c>
      <c r="B219" s="178"/>
      <c r="C219" s="182"/>
      <c r="D219" s="183"/>
      <c r="E219" s="179">
        <f t="shared" si="55"/>
        <v>20118.544284235111</v>
      </c>
      <c r="F219" s="183">
        <f t="shared" si="62"/>
        <v>1596.5215042677119</v>
      </c>
      <c r="G219" s="247">
        <f t="shared" si="56"/>
        <v>0.50741135775909518</v>
      </c>
      <c r="H219" s="246"/>
      <c r="I219" s="417"/>
      <c r="J219" s="417"/>
      <c r="K219" s="182"/>
      <c r="L219" s="178"/>
      <c r="M219" s="182"/>
      <c r="N219" s="178"/>
      <c r="O219" s="495"/>
      <c r="P219" s="525">
        <f>IF($P$194="Y",IFERROR(E219*$F$21*'Emissions Factors'!B36,""),"")</f>
        <v>13.643952125500611</v>
      </c>
      <c r="Q219" s="525" t="str">
        <f>IF($X$135="Y",IFERROR($E219*(SUM($F$7,$F$5,$F$6)/SUMIF($H$5:$H$16,"Y",$F$5:$F$16))*('Emissions Factors'!$T$143*$F$22)/10^6,""),"")</f>
        <v/>
      </c>
      <c r="R219" s="525"/>
      <c r="S219" s="525"/>
      <c r="T219" s="496"/>
      <c r="U219" s="180">
        <f t="shared" si="61"/>
        <v>13.643952125500611</v>
      </c>
      <c r="V219" s="180">
        <f t="shared" si="57"/>
        <v>0</v>
      </c>
      <c r="X219" s="430"/>
      <c r="Y219" s="478">
        <v>2039</v>
      </c>
      <c r="Z219" s="479">
        <f t="shared" si="58"/>
        <v>13.643952125500611</v>
      </c>
      <c r="AA219" s="479">
        <f t="shared" si="58"/>
        <v>0</v>
      </c>
      <c r="AB219" s="430"/>
      <c r="AC219" s="479"/>
      <c r="AD219" s="479"/>
      <c r="AE219" s="430"/>
      <c r="AF219" s="479">
        <f t="shared" si="59"/>
        <v>13.643952125500611</v>
      </c>
      <c r="AG219" s="479">
        <f t="shared" si="52"/>
        <v>0</v>
      </c>
      <c r="AH219" s="516"/>
      <c r="AJ219" s="480">
        <f t="shared" si="53"/>
        <v>0</v>
      </c>
      <c r="AK219" s="480" t="str">
        <f t="shared" si="54"/>
        <v/>
      </c>
    </row>
    <row r="220" spans="1:37" ht="15.6" x14ac:dyDescent="0.3">
      <c r="A220" s="152">
        <v>2040</v>
      </c>
      <c r="B220" s="178"/>
      <c r="C220" s="182"/>
      <c r="D220" s="183"/>
      <c r="E220" s="179">
        <f t="shared" si="55"/>
        <v>21777.944504099847</v>
      </c>
      <c r="F220" s="183">
        <f t="shared" si="62"/>
        <v>1659.4002198647358</v>
      </c>
      <c r="G220" s="247">
        <f t="shared" si="56"/>
        <v>0.5061460063409724</v>
      </c>
      <c r="H220" s="246"/>
      <c r="I220" s="417"/>
      <c r="J220" s="417"/>
      <c r="K220" s="182"/>
      <c r="L220" s="178"/>
      <c r="M220" s="182"/>
      <c r="N220" s="178"/>
      <c r="O220" s="495"/>
      <c r="P220" s="525">
        <f>IF($P$194="Y",IFERROR(E220*$F$21*'Emissions Factors'!B37,""),"")</f>
        <v>14.683078571312194</v>
      </c>
      <c r="Q220" s="525" t="str">
        <f>IF($X$135="Y",IFERROR($E220*(SUM($F$7,$F$5,$F$6)/SUMIF($H$5:$H$16,"Y",$F$5:$F$16))*('Emissions Factors'!$T$143*$F$22)/10^6,""),"")</f>
        <v/>
      </c>
      <c r="R220" s="525"/>
      <c r="S220" s="525"/>
      <c r="T220" s="496"/>
      <c r="U220" s="180">
        <f t="shared" si="61"/>
        <v>14.683078571312194</v>
      </c>
      <c r="V220" s="180">
        <f t="shared" si="57"/>
        <v>0</v>
      </c>
      <c r="X220" s="430"/>
      <c r="Y220" s="478">
        <v>2040</v>
      </c>
      <c r="Z220" s="479">
        <f t="shared" si="58"/>
        <v>14.683078571312194</v>
      </c>
      <c r="AA220" s="479">
        <f t="shared" si="58"/>
        <v>0</v>
      </c>
      <c r="AB220" s="430"/>
      <c r="AC220" s="479"/>
      <c r="AD220" s="479"/>
      <c r="AE220" s="430"/>
      <c r="AF220" s="479">
        <f t="shared" si="59"/>
        <v>14.683078571312194</v>
      </c>
      <c r="AG220" s="479">
        <f t="shared" si="52"/>
        <v>0</v>
      </c>
      <c r="AH220" s="516"/>
      <c r="AJ220" s="480">
        <f t="shared" si="53"/>
        <v>0</v>
      </c>
      <c r="AK220" s="480" t="str">
        <f t="shared" si="54"/>
        <v/>
      </c>
    </row>
    <row r="221" spans="1:37" ht="15.6" x14ac:dyDescent="0.3">
      <c r="A221" s="152">
        <v>2041</v>
      </c>
      <c r="B221" s="178"/>
      <c r="C221" s="182"/>
      <c r="D221" s="183"/>
      <c r="E221" s="179">
        <f t="shared" si="55"/>
        <v>23503.583980578114</v>
      </c>
      <c r="F221" s="183">
        <f t="shared" si="62"/>
        <v>1725.6394764782672</v>
      </c>
      <c r="G221" s="247">
        <f t="shared" si="56"/>
        <v>0.50481007789960564</v>
      </c>
      <c r="H221" s="246"/>
      <c r="I221" s="417"/>
      <c r="J221" s="417"/>
      <c r="K221" s="182"/>
      <c r="L221" s="178"/>
      <c r="M221" s="182"/>
      <c r="N221" s="178"/>
      <c r="O221" s="495"/>
      <c r="P221" s="525">
        <f>IF($P$194="Y",IFERROR(E221*$F$21*'Emissions Factors'!B38,""),"")</f>
        <v>15.766087070654034</v>
      </c>
      <c r="Q221" s="525" t="str">
        <f>IF($X$135="Y",IFERROR($E221*(SUM($F$7,$F$5,$F$6)/SUMIF($H$5:$H$16,"Y",$F$5:$F$16))*('Emissions Factors'!$T$143*$F$22)/10^6,""),"")</f>
        <v/>
      </c>
      <c r="R221" s="525"/>
      <c r="S221" s="525"/>
      <c r="T221" s="496"/>
      <c r="U221" s="180">
        <f t="shared" si="61"/>
        <v>15.766087070654034</v>
      </c>
      <c r="V221" s="180">
        <f t="shared" si="57"/>
        <v>0</v>
      </c>
      <c r="X221" s="430"/>
      <c r="Y221" s="478">
        <v>2041</v>
      </c>
      <c r="Z221" s="479">
        <f t="shared" si="58"/>
        <v>15.766087070654034</v>
      </c>
      <c r="AA221" s="479">
        <f t="shared" si="58"/>
        <v>0</v>
      </c>
      <c r="AB221" s="430"/>
      <c r="AC221" s="479"/>
      <c r="AD221" s="479"/>
      <c r="AE221" s="430"/>
      <c r="AF221" s="479">
        <f t="shared" si="59"/>
        <v>15.766087070654034</v>
      </c>
      <c r="AG221" s="479">
        <f t="shared" si="52"/>
        <v>0</v>
      </c>
      <c r="AH221" s="516"/>
      <c r="AJ221" s="480">
        <f t="shared" si="53"/>
        <v>0</v>
      </c>
      <c r="AK221" s="480" t="str">
        <f t="shared" si="54"/>
        <v/>
      </c>
    </row>
    <row r="222" spans="1:37" ht="15.6" x14ac:dyDescent="0.3">
      <c r="A222" s="152">
        <v>2042</v>
      </c>
      <c r="B222" s="178"/>
      <c r="C222" s="182"/>
      <c r="D222" s="183"/>
      <c r="E222" s="179">
        <f t="shared" si="55"/>
        <v>25296.573568174877</v>
      </c>
      <c r="F222" s="183">
        <f t="shared" si="62"/>
        <v>1792.9895875967632</v>
      </c>
      <c r="G222" s="247">
        <f t="shared" si="56"/>
        <v>0.50339808989338153</v>
      </c>
      <c r="H222" s="246"/>
      <c r="I222" s="417"/>
      <c r="J222" s="417"/>
      <c r="K222" s="182"/>
      <c r="L222" s="178"/>
      <c r="M222" s="182"/>
      <c r="N222" s="178"/>
      <c r="O222" s="495"/>
      <c r="P222" s="525">
        <f>IF($P$194="Y",IFERROR(E222*$F$21*'Emissions Factors'!B39,""),"")</f>
        <v>16.875115543278142</v>
      </c>
      <c r="Q222" s="525" t="str">
        <f>IF($X$135="Y",IFERROR($E222*(SUM($F$7,$F$5,$F$6)/SUMIF($H$5:$H$16,"Y",$F$5:$F$16))*('Emissions Factors'!$T$143*$F$22)/10^6,""),"")</f>
        <v/>
      </c>
      <c r="R222" s="525"/>
      <c r="S222" s="525"/>
      <c r="T222" s="496"/>
      <c r="U222" s="180">
        <f t="shared" si="61"/>
        <v>16.875115543278142</v>
      </c>
      <c r="V222" s="180">
        <f t="shared" si="57"/>
        <v>0</v>
      </c>
      <c r="X222" s="430"/>
      <c r="Y222" s="478">
        <v>2042</v>
      </c>
      <c r="Z222" s="479">
        <f t="shared" si="58"/>
        <v>16.875115543278142</v>
      </c>
      <c r="AA222" s="479">
        <f t="shared" si="58"/>
        <v>0</v>
      </c>
      <c r="AB222" s="430"/>
      <c r="AC222" s="479"/>
      <c r="AD222" s="479"/>
      <c r="AE222" s="430"/>
      <c r="AF222" s="479">
        <f t="shared" si="59"/>
        <v>16.875115543278142</v>
      </c>
      <c r="AG222" s="479">
        <f t="shared" si="52"/>
        <v>0</v>
      </c>
      <c r="AH222" s="516"/>
      <c r="AJ222" s="480">
        <f t="shared" si="53"/>
        <v>0</v>
      </c>
      <c r="AK222" s="480" t="str">
        <f t="shared" si="54"/>
        <v/>
      </c>
    </row>
    <row r="223" spans="1:37" ht="15.6" x14ac:dyDescent="0.3">
      <c r="A223" s="152">
        <v>2043</v>
      </c>
      <c r="B223" s="178"/>
      <c r="C223" s="182"/>
      <c r="D223" s="183"/>
      <c r="E223" s="179">
        <f t="shared" si="55"/>
        <v>27163.276559806545</v>
      </c>
      <c r="F223" s="183">
        <f t="shared" si="62"/>
        <v>1866.7029916316678</v>
      </c>
      <c r="G223" s="247">
        <f t="shared" si="56"/>
        <v>0.50189081707535188</v>
      </c>
      <c r="H223" s="246"/>
      <c r="I223" s="417"/>
      <c r="J223" s="417"/>
      <c r="K223" s="182"/>
      <c r="L223" s="178"/>
      <c r="M223" s="182"/>
      <c r="N223" s="178"/>
      <c r="O223" s="495"/>
      <c r="P223" s="525">
        <f>IF($P$194="Y",IFERROR(E223*$F$21*'Emissions Factors'!B40,""),"")</f>
        <v>18.01927779099351</v>
      </c>
      <c r="Q223" s="525" t="str">
        <f>IF($X$135="Y",IFERROR($E223*(SUM($F$7,$F$5,$F$6)/SUMIF($H$5:$H$16,"Y",$F$5:$F$16))*('Emissions Factors'!$T$143*$F$22)/10^6,""),"")</f>
        <v/>
      </c>
      <c r="R223" s="525"/>
      <c r="S223" s="525"/>
      <c r="T223" s="496"/>
      <c r="U223" s="180">
        <f t="shared" si="61"/>
        <v>18.01927779099351</v>
      </c>
      <c r="V223" s="180">
        <f t="shared" si="57"/>
        <v>0</v>
      </c>
      <c r="X223" s="430"/>
      <c r="Y223" s="478">
        <v>2043</v>
      </c>
      <c r="Z223" s="479">
        <f t="shared" si="58"/>
        <v>18.01927779099351</v>
      </c>
      <c r="AA223" s="479">
        <f t="shared" si="58"/>
        <v>0</v>
      </c>
      <c r="AB223" s="430"/>
      <c r="AC223" s="479"/>
      <c r="AD223" s="479"/>
      <c r="AE223" s="430"/>
      <c r="AF223" s="479">
        <f t="shared" si="59"/>
        <v>18.01927779099351</v>
      </c>
      <c r="AG223" s="479">
        <f t="shared" si="52"/>
        <v>0</v>
      </c>
      <c r="AH223" s="516"/>
      <c r="AJ223" s="480">
        <f t="shared" si="53"/>
        <v>0</v>
      </c>
      <c r="AK223" s="480" t="str">
        <f t="shared" si="54"/>
        <v/>
      </c>
    </row>
    <row r="224" spans="1:37" ht="15.6" x14ac:dyDescent="0.3">
      <c r="A224" s="152">
        <v>2044</v>
      </c>
      <c r="B224" s="178"/>
      <c r="C224" s="182"/>
      <c r="D224" s="183"/>
      <c r="E224" s="179">
        <f t="shared" si="55"/>
        <v>29110.864222760159</v>
      </c>
      <c r="F224" s="183">
        <f t="shared" si="62"/>
        <v>1947.5876629536142</v>
      </c>
      <c r="G224" s="247">
        <f t="shared" si="56"/>
        <v>0.50026766842242198</v>
      </c>
      <c r="H224" s="246"/>
      <c r="I224" s="417"/>
      <c r="J224" s="417"/>
      <c r="K224" s="182"/>
      <c r="L224" s="178"/>
      <c r="M224" s="182"/>
      <c r="N224" s="178"/>
      <c r="O224" s="495"/>
      <c r="P224" s="525">
        <f>IF($P$194="Y",IFERROR(E224*$F$21*'Emissions Factors'!B41,""),"")</f>
        <v>19.202267260294839</v>
      </c>
      <c r="Q224" s="525" t="str">
        <f>IF($X$135="Y",IFERROR($E224*(SUM($F$7,$F$5,$F$6)/SUMIF($H$5:$H$16,"Y",$F$5:$F$16))*('Emissions Factors'!$T$143*$F$22)/10^6,""),"")</f>
        <v/>
      </c>
      <c r="R224" s="525"/>
      <c r="S224" s="525"/>
      <c r="T224" s="496"/>
      <c r="U224" s="180">
        <f t="shared" si="61"/>
        <v>19.202267260294839</v>
      </c>
      <c r="V224" s="180">
        <f t="shared" si="57"/>
        <v>0</v>
      </c>
      <c r="X224" s="430"/>
      <c r="Y224" s="478">
        <v>2044</v>
      </c>
      <c r="Z224" s="479">
        <f t="shared" si="58"/>
        <v>19.202267260294839</v>
      </c>
      <c r="AA224" s="479">
        <f t="shared" si="58"/>
        <v>0</v>
      </c>
      <c r="AB224" s="430"/>
      <c r="AC224" s="479"/>
      <c r="AD224" s="479"/>
      <c r="AE224" s="430"/>
      <c r="AF224" s="479">
        <f t="shared" si="59"/>
        <v>19.202267260294839</v>
      </c>
      <c r="AG224" s="479">
        <f t="shared" si="52"/>
        <v>0</v>
      </c>
      <c r="AH224" s="516"/>
      <c r="AJ224" s="480">
        <f t="shared" si="53"/>
        <v>0</v>
      </c>
      <c r="AK224" s="480" t="str">
        <f t="shared" si="54"/>
        <v/>
      </c>
    </row>
    <row r="225" spans="1:37" ht="15.6" x14ac:dyDescent="0.3">
      <c r="A225" s="152">
        <v>2045</v>
      </c>
      <c r="B225" s="178"/>
      <c r="C225" s="182"/>
      <c r="D225" s="183"/>
      <c r="E225" s="179">
        <f t="shared" si="55"/>
        <v>31146.402814938301</v>
      </c>
      <c r="F225" s="183">
        <f t="shared" si="62"/>
        <v>2035.5385921781417</v>
      </c>
      <c r="G225" s="247">
        <f t="shared" si="56"/>
        <v>0.49852216838626556</v>
      </c>
      <c r="H225" s="246"/>
      <c r="I225" s="417"/>
      <c r="J225" s="417"/>
      <c r="K225" s="182"/>
      <c r="L225" s="178"/>
      <c r="M225" s="182"/>
      <c r="N225" s="178"/>
      <c r="O225" s="495"/>
      <c r="P225" s="525">
        <f>IF($P$194="Y",IFERROR(E225*$F$21*'Emissions Factors'!B42,""),"")</f>
        <v>20.423367589764847</v>
      </c>
      <c r="Q225" s="525" t="str">
        <f>IF($X$135="Y",IFERROR($E225*(SUM($F$7,$F$5,$F$6)/SUMIF($H$5:$H$16,"Y",$F$5:$F$16))*('Emissions Factors'!$T$143*$F$22)/10^6,""),"")</f>
        <v/>
      </c>
      <c r="R225" s="525"/>
      <c r="S225" s="525"/>
      <c r="T225" s="496"/>
      <c r="U225" s="180">
        <f t="shared" si="61"/>
        <v>20.423367589764847</v>
      </c>
      <c r="V225" s="180">
        <f t="shared" si="57"/>
        <v>0</v>
      </c>
      <c r="X225" s="430"/>
      <c r="Y225" s="478">
        <v>2045</v>
      </c>
      <c r="Z225" s="479">
        <f t="shared" si="58"/>
        <v>20.423367589764847</v>
      </c>
      <c r="AA225" s="479">
        <f t="shared" si="58"/>
        <v>0</v>
      </c>
      <c r="AB225" s="430"/>
      <c r="AC225" s="479"/>
      <c r="AD225" s="479"/>
      <c r="AE225" s="430"/>
      <c r="AF225" s="479">
        <f t="shared" si="59"/>
        <v>20.423367589764847</v>
      </c>
      <c r="AG225" s="479">
        <f t="shared" si="52"/>
        <v>0</v>
      </c>
      <c r="AH225" s="516"/>
      <c r="AJ225" s="480">
        <f t="shared" si="53"/>
        <v>0</v>
      </c>
      <c r="AK225" s="480" t="str">
        <f t="shared" si="54"/>
        <v/>
      </c>
    </row>
    <row r="226" spans="1:37" ht="15.6" x14ac:dyDescent="0.3">
      <c r="A226" s="152">
        <v>2046</v>
      </c>
      <c r="B226" s="178"/>
      <c r="C226" s="182"/>
      <c r="D226" s="183"/>
      <c r="E226" s="179">
        <f t="shared" si="55"/>
        <v>33275.493724801148</v>
      </c>
      <c r="F226" s="183">
        <f t="shared" si="62"/>
        <v>2129.0909098628472</v>
      </c>
      <c r="G226" s="247">
        <f t="shared" si="56"/>
        <v>0.49666654153452727</v>
      </c>
      <c r="H226" s="246"/>
      <c r="I226" s="417"/>
      <c r="J226" s="417"/>
      <c r="K226" s="182"/>
      <c r="L226" s="178"/>
      <c r="M226" s="182"/>
      <c r="N226" s="178"/>
      <c r="O226" s="495"/>
      <c r="P226" s="525">
        <f>IF($P$194="Y",IFERROR(E226*$F$21*'Emissions Factors'!B43,""),"")</f>
        <v>21.697544326926469</v>
      </c>
      <c r="Q226" s="525" t="str">
        <f>IF($X$135="Y",IFERROR($E226*(SUM($F$7,$F$5,$F$6)/SUMIF($H$5:$H$16,"Y",$F$5:$F$16))*('Emissions Factors'!$T$143*$F$22)/10^6,""),"")</f>
        <v/>
      </c>
      <c r="R226" s="525"/>
      <c r="S226" s="525"/>
      <c r="T226" s="496"/>
      <c r="U226" s="180">
        <f t="shared" si="61"/>
        <v>21.697544326926469</v>
      </c>
      <c r="V226" s="180">
        <f t="shared" si="57"/>
        <v>0</v>
      </c>
      <c r="X226" s="430"/>
      <c r="Y226" s="478">
        <v>2046</v>
      </c>
      <c r="Z226" s="479">
        <f t="shared" si="58"/>
        <v>21.697544326926469</v>
      </c>
      <c r="AA226" s="479">
        <f t="shared" si="58"/>
        <v>0</v>
      </c>
      <c r="AB226" s="430"/>
      <c r="AC226" s="479"/>
      <c r="AD226" s="479"/>
      <c r="AE226" s="430"/>
      <c r="AF226" s="479">
        <f t="shared" si="59"/>
        <v>21.697544326926469</v>
      </c>
      <c r="AG226" s="479">
        <f t="shared" si="52"/>
        <v>0</v>
      </c>
      <c r="AH226" s="516"/>
      <c r="AJ226" s="480">
        <f t="shared" si="53"/>
        <v>0</v>
      </c>
      <c r="AK226" s="480" t="str">
        <f t="shared" si="54"/>
        <v/>
      </c>
    </row>
    <row r="227" spans="1:37" ht="15.6" x14ac:dyDescent="0.3">
      <c r="A227" s="152">
        <v>2047</v>
      </c>
      <c r="B227" s="178"/>
      <c r="C227" s="182"/>
      <c r="D227" s="183"/>
      <c r="E227" s="179">
        <f t="shared" si="55"/>
        <v>35503.753231984563</v>
      </c>
      <c r="F227" s="183">
        <f t="shared" si="62"/>
        <v>2228.2595071834148</v>
      </c>
      <c r="G227" s="247">
        <f t="shared" si="56"/>
        <v>0.49471853236340901</v>
      </c>
      <c r="H227" s="246"/>
      <c r="I227" s="417"/>
      <c r="J227" s="417"/>
      <c r="K227" s="182"/>
      <c r="L227" s="178"/>
      <c r="M227" s="182"/>
      <c r="N227" s="178"/>
      <c r="O227" s="495"/>
      <c r="P227" s="525">
        <f>IF($P$194="Y",IFERROR(E227*$F$21*'Emissions Factors'!B44,""),"")</f>
        <v>23.014465662773649</v>
      </c>
      <c r="Q227" s="525" t="str">
        <f>IF($X$135="Y",IFERROR($E227*(SUM($F$7,$F$5,$F$6)/SUMIF($H$5:$H$16,"Y",$F$5:$F$16))*('Emissions Factors'!$T$143*$F$22)/10^6,""),"")</f>
        <v/>
      </c>
      <c r="R227" s="525"/>
      <c r="S227" s="525"/>
      <c r="T227" s="496"/>
      <c r="U227" s="180">
        <f t="shared" si="61"/>
        <v>23.014465662773649</v>
      </c>
      <c r="V227" s="180">
        <f t="shared" si="57"/>
        <v>0</v>
      </c>
      <c r="X227" s="430"/>
      <c r="Y227" s="478">
        <v>2047</v>
      </c>
      <c r="Z227" s="479">
        <f t="shared" si="58"/>
        <v>23.014465662773649</v>
      </c>
      <c r="AA227" s="479">
        <f t="shared" si="58"/>
        <v>0</v>
      </c>
      <c r="AB227" s="430"/>
      <c r="AC227" s="479"/>
      <c r="AD227" s="479"/>
      <c r="AE227" s="430"/>
      <c r="AF227" s="479">
        <f t="shared" si="59"/>
        <v>23.014465662773649</v>
      </c>
      <c r="AG227" s="479">
        <f t="shared" si="52"/>
        <v>0</v>
      </c>
      <c r="AH227" s="516"/>
      <c r="AJ227" s="480">
        <f t="shared" si="53"/>
        <v>0</v>
      </c>
      <c r="AK227" s="480" t="str">
        <f t="shared" si="54"/>
        <v/>
      </c>
    </row>
    <row r="228" spans="1:37" ht="15.6" x14ac:dyDescent="0.3">
      <c r="A228" s="152">
        <v>2048</v>
      </c>
      <c r="B228" s="178"/>
      <c r="C228" s="182"/>
      <c r="D228" s="183"/>
      <c r="E228" s="179">
        <f t="shared" si="55"/>
        <v>37838.447721575736</v>
      </c>
      <c r="F228" s="183">
        <f t="shared" si="62"/>
        <v>2334.6944895911729</v>
      </c>
      <c r="G228" s="247">
        <f t="shared" si="56"/>
        <v>0.49268749903084053</v>
      </c>
      <c r="H228" s="246"/>
      <c r="I228" s="417"/>
      <c r="J228" s="417"/>
      <c r="K228" s="182"/>
      <c r="L228" s="178"/>
      <c r="M228" s="182"/>
      <c r="N228" s="178"/>
      <c r="O228" s="495"/>
      <c r="P228" s="525">
        <f>IF($P$194="Y",IFERROR(E228*$F$21*'Emissions Factors'!B45,""),"")</f>
        <v>24.381512565620401</v>
      </c>
      <c r="Q228" s="525" t="str">
        <f>IF($X$135="Y",IFERROR($E228*(SUM($F$7,$F$5,$F$6)/SUMIF($H$5:$H$16,"Y",$F$5:$F$16))*('Emissions Factors'!$T$143*$F$22)/10^6,""),"")</f>
        <v/>
      </c>
      <c r="R228" s="525"/>
      <c r="S228" s="525"/>
      <c r="T228" s="496"/>
      <c r="U228" s="180">
        <f t="shared" si="61"/>
        <v>24.381512565620401</v>
      </c>
      <c r="V228" s="180">
        <f t="shared" si="57"/>
        <v>0</v>
      </c>
      <c r="X228" s="430"/>
      <c r="Y228" s="478">
        <v>2048</v>
      </c>
      <c r="Z228" s="479">
        <f t="shared" si="58"/>
        <v>24.381512565620401</v>
      </c>
      <c r="AA228" s="479">
        <f t="shared" si="58"/>
        <v>0</v>
      </c>
      <c r="AB228" s="430"/>
      <c r="AC228" s="479"/>
      <c r="AD228" s="479"/>
      <c r="AE228" s="430"/>
      <c r="AF228" s="479">
        <f t="shared" si="59"/>
        <v>24.381512565620401</v>
      </c>
      <c r="AG228" s="479">
        <f t="shared" si="52"/>
        <v>0</v>
      </c>
      <c r="AH228" s="516"/>
      <c r="AJ228" s="480">
        <f t="shared" si="53"/>
        <v>0</v>
      </c>
      <c r="AK228" s="480" t="str">
        <f t="shared" si="54"/>
        <v/>
      </c>
    </row>
    <row r="229" spans="1:37" ht="15.6" x14ac:dyDescent="0.3">
      <c r="A229" s="152">
        <v>2049</v>
      </c>
      <c r="B229" s="178"/>
      <c r="C229" s="182"/>
      <c r="D229" s="183"/>
      <c r="E229" s="179">
        <f t="shared" si="55"/>
        <v>40287.446180232015</v>
      </c>
      <c r="F229" s="183">
        <f t="shared" si="62"/>
        <v>2448.9984586562787</v>
      </c>
      <c r="G229" s="247">
        <f t="shared" si="56"/>
        <v>0.49058486681639929</v>
      </c>
      <c r="H229" s="246"/>
      <c r="I229" s="417"/>
      <c r="J229" s="417"/>
      <c r="K229" s="182"/>
      <c r="L229" s="178"/>
      <c r="M229" s="182"/>
      <c r="N229" s="178"/>
      <c r="O229" s="495"/>
      <c r="P229" s="525">
        <f>IF($P$194="Y",IFERROR(E229*$F$21*'Emissions Factors'!B46,""),"")</f>
        <v>25.825739964968271</v>
      </c>
      <c r="Q229" s="525" t="str">
        <f>IF($X$135="Y",IFERROR($E229*(SUM($F$7,$F$5,$F$6)/SUMIF($H$5:$H$16,"Y",$F$5:$F$16))*('Emissions Factors'!$T$143*$F$22)/10^6,""),"")</f>
        <v/>
      </c>
      <c r="R229" s="525"/>
      <c r="S229" s="525"/>
      <c r="T229" s="496"/>
      <c r="U229" s="180">
        <f t="shared" si="61"/>
        <v>25.825739964968271</v>
      </c>
      <c r="V229" s="180">
        <f t="shared" si="57"/>
        <v>0</v>
      </c>
      <c r="X229" s="430"/>
      <c r="Y229" s="478">
        <v>2049</v>
      </c>
      <c r="Z229" s="479">
        <f t="shared" si="58"/>
        <v>25.825739964968271</v>
      </c>
      <c r="AA229" s="479">
        <f t="shared" si="58"/>
        <v>0</v>
      </c>
      <c r="AB229" s="430"/>
      <c r="AC229" s="479"/>
      <c r="AD229" s="479"/>
      <c r="AE229" s="430"/>
      <c r="AF229" s="479">
        <f t="shared" si="59"/>
        <v>25.825739964968271</v>
      </c>
      <c r="AG229" s="479">
        <f t="shared" si="52"/>
        <v>0</v>
      </c>
      <c r="AH229" s="516"/>
      <c r="AJ229" s="480">
        <f t="shared" si="53"/>
        <v>0</v>
      </c>
      <c r="AK229" s="480" t="str">
        <f t="shared" si="54"/>
        <v/>
      </c>
    </row>
    <row r="230" spans="1:37" ht="15.6" x14ac:dyDescent="0.3">
      <c r="A230" s="152">
        <v>2050</v>
      </c>
      <c r="B230" s="178"/>
      <c r="C230" s="182"/>
      <c r="D230" s="183"/>
      <c r="E230" s="179">
        <f t="shared" si="55"/>
        <v>42858.187764049937</v>
      </c>
      <c r="F230" s="183">
        <f t="shared" si="62"/>
        <v>2570.7415838179222</v>
      </c>
      <c r="G230" s="247">
        <f t="shared" si="56"/>
        <v>0.48842469871492622</v>
      </c>
      <c r="H230" s="246"/>
      <c r="I230" s="417"/>
      <c r="J230" s="417"/>
      <c r="K230" s="182"/>
      <c r="L230" s="178"/>
      <c r="M230" s="182"/>
      <c r="N230" s="178"/>
      <c r="O230" s="495"/>
      <c r="P230" s="525">
        <f>IF($P$194="Y",IFERROR(E230*$F$21*'Emissions Factors'!B47,""),"")</f>
        <v>27.379200297086616</v>
      </c>
      <c r="Q230" s="525" t="str">
        <f>IF($X$135="Y",IFERROR($E230*(SUM($F$7,$F$5,$F$6)/SUMIF($H$5:$H$16,"Y",$F$5:$F$16))*('Emissions Factors'!$T$143*$F$22)/10^6,""),"")</f>
        <v/>
      </c>
      <c r="R230" s="525"/>
      <c r="S230" s="525"/>
      <c r="T230" s="496"/>
      <c r="U230" s="180">
        <f t="shared" si="61"/>
        <v>27.379200297086616</v>
      </c>
      <c r="V230" s="180">
        <f t="shared" si="57"/>
        <v>0</v>
      </c>
      <c r="X230" s="430"/>
      <c r="Y230" s="478">
        <v>2050</v>
      </c>
      <c r="Z230" s="479">
        <f t="shared" si="58"/>
        <v>27.379200297086616</v>
      </c>
      <c r="AA230" s="479">
        <f t="shared" si="58"/>
        <v>0</v>
      </c>
      <c r="AB230" s="430"/>
      <c r="AC230" s="479"/>
      <c r="AD230" s="479"/>
      <c r="AE230" s="430"/>
      <c r="AF230" s="479">
        <f t="shared" si="59"/>
        <v>27.379200297086616</v>
      </c>
      <c r="AG230" s="479">
        <f t="shared" si="52"/>
        <v>0</v>
      </c>
      <c r="AH230" s="516"/>
      <c r="AJ230" s="480">
        <f t="shared" si="53"/>
        <v>0</v>
      </c>
      <c r="AK230" s="480" t="str">
        <f t="shared" si="54"/>
        <v/>
      </c>
    </row>
    <row r="231" spans="1:37" ht="15.6" x14ac:dyDescent="0.3">
      <c r="A231" s="152">
        <v>2051</v>
      </c>
      <c r="B231" s="178"/>
      <c r="C231" s="182"/>
      <c r="D231" s="183"/>
      <c r="E231" s="179">
        <f t="shared" si="55"/>
        <v>45557.032607833142</v>
      </c>
      <c r="F231" s="183">
        <f t="shared" si="62"/>
        <v>2698.8448437832049</v>
      </c>
      <c r="G231" s="247">
        <f t="shared" si="56"/>
        <v>0.48622057346641906</v>
      </c>
      <c r="H231" s="246"/>
      <c r="I231" s="417"/>
      <c r="J231" s="417"/>
      <c r="K231" s="182"/>
      <c r="L231" s="178"/>
      <c r="M231" s="182"/>
      <c r="N231" s="178"/>
      <c r="O231" s="495"/>
      <c r="P231" s="525">
        <f>IF($P$194="Y",IFERROR(E231*$F$21*'Emissions Factors'!B48,""),"")</f>
        <v>28.992075238762471</v>
      </c>
      <c r="Q231" s="525" t="str">
        <f>IF($X$135="Y",IFERROR($E231*(SUM($F$7,$F$5,$F$6)/SUMIF($H$5:$H$16,"Y",$F$5:$F$16))*('Emissions Factors'!$T$143*$F$22)/10^6,""),"")</f>
        <v/>
      </c>
      <c r="R231" s="525"/>
      <c r="S231" s="525"/>
      <c r="T231" s="496"/>
      <c r="U231" s="180">
        <f t="shared" si="61"/>
        <v>28.992075238762471</v>
      </c>
      <c r="V231" s="180">
        <f t="shared" si="57"/>
        <v>0</v>
      </c>
      <c r="Y231" s="478">
        <v>2051</v>
      </c>
      <c r="Z231" s="479">
        <f t="shared" si="58"/>
        <v>28.992075238762471</v>
      </c>
      <c r="AA231" s="479">
        <f t="shared" si="58"/>
        <v>0</v>
      </c>
      <c r="AB231" s="430"/>
      <c r="AC231" s="479"/>
      <c r="AD231" s="479"/>
      <c r="AE231" s="430"/>
      <c r="AF231" s="479">
        <f t="shared" si="59"/>
        <v>28.992075238762471</v>
      </c>
      <c r="AG231" s="479">
        <f t="shared" si="52"/>
        <v>0</v>
      </c>
      <c r="AH231" s="516"/>
      <c r="AJ231" s="480">
        <f t="shared" si="53"/>
        <v>0</v>
      </c>
      <c r="AK231" s="480" t="str">
        <f t="shared" si="54"/>
        <v/>
      </c>
    </row>
    <row r="232" spans="1:37" ht="15.6" x14ac:dyDescent="0.3">
      <c r="A232" s="152">
        <v>2052</v>
      </c>
      <c r="B232" s="178"/>
      <c r="C232" s="182"/>
      <c r="D232" s="183"/>
      <c r="E232" s="179">
        <f t="shared" si="55"/>
        <v>48389.634388778701</v>
      </c>
      <c r="F232" s="183">
        <f t="shared" si="62"/>
        <v>2832.6017809455589</v>
      </c>
      <c r="G232" s="247">
        <f t="shared" si="56"/>
        <v>0.48399037354000574</v>
      </c>
      <c r="H232" s="246"/>
      <c r="I232" s="417"/>
      <c r="J232" s="417"/>
      <c r="K232" s="182"/>
      <c r="L232" s="178"/>
      <c r="M232" s="182"/>
      <c r="N232" s="178"/>
      <c r="O232" s="495"/>
      <c r="P232" s="525">
        <f>IF($P$194="Y",IFERROR(E232*$F$21*'Emissions Factors'!B49,""),"")</f>
        <v>30.681003541309622</v>
      </c>
      <c r="Q232" s="525" t="str">
        <f>IF($X$135="Y",IFERROR($E232*(SUM($F$7,$F$5,$F$6)/SUMIF($H$5:$H$16,"Y",$F$5:$F$16))*('Emissions Factors'!$T$143*$F$22)/10^6,""),"")</f>
        <v/>
      </c>
      <c r="R232" s="525"/>
      <c r="S232" s="525"/>
      <c r="T232" s="496"/>
      <c r="U232" s="180">
        <f t="shared" si="61"/>
        <v>30.681003541309622</v>
      </c>
      <c r="V232" s="180">
        <f t="shared" si="57"/>
        <v>0</v>
      </c>
      <c r="Y232" s="478">
        <v>2052</v>
      </c>
      <c r="Z232" s="479">
        <f t="shared" si="58"/>
        <v>30.681003541309622</v>
      </c>
      <c r="AA232" s="479">
        <f t="shared" si="58"/>
        <v>0</v>
      </c>
      <c r="AB232" s="430"/>
      <c r="AC232" s="479"/>
      <c r="AD232" s="479"/>
      <c r="AE232" s="430"/>
      <c r="AF232" s="479">
        <f t="shared" si="59"/>
        <v>30.681003541309622</v>
      </c>
      <c r="AG232" s="479">
        <f t="shared" si="52"/>
        <v>0</v>
      </c>
      <c r="AH232" s="516"/>
      <c r="AJ232" s="480">
        <f t="shared" si="53"/>
        <v>0</v>
      </c>
      <c r="AK232" s="480" t="str">
        <f t="shared" si="54"/>
        <v/>
      </c>
    </row>
    <row r="233" spans="1:37" ht="15.6" x14ac:dyDescent="0.3">
      <c r="A233" s="152">
        <v>2053</v>
      </c>
      <c r="B233" s="178"/>
      <c r="C233" s="182"/>
      <c r="D233" s="183"/>
      <c r="E233" s="179">
        <f t="shared" si="55"/>
        <v>51362.017748848935</v>
      </c>
      <c r="F233" s="183">
        <f t="shared" si="62"/>
        <v>2972.3833600702346</v>
      </c>
      <c r="G233" s="247">
        <f t="shared" si="56"/>
        <v>0.48175765397879877</v>
      </c>
      <c r="H233" s="246"/>
      <c r="I233" s="417"/>
      <c r="J233" s="417"/>
      <c r="K233" s="182"/>
      <c r="L233" s="178"/>
      <c r="M233" s="182"/>
      <c r="N233" s="178"/>
      <c r="O233" s="495"/>
      <c r="P233" s="525">
        <f>IF($P$194="Y",IFERROR(E233*$F$21*'Emissions Factors'!B50,""),"")</f>
        <v>32.442388346072526</v>
      </c>
      <c r="Q233" s="525" t="str">
        <f>IF($X$135="Y",IFERROR($E233*(SUM($F$7,$F$5,$F$6)/SUMIF($H$5:$H$16,"Y",$F$5:$F$16))*('Emissions Factors'!$T$143*$F$22)/10^6,""),"")</f>
        <v/>
      </c>
      <c r="R233" s="525"/>
      <c r="S233" s="525"/>
      <c r="T233" s="496"/>
      <c r="U233" s="180">
        <f t="shared" si="61"/>
        <v>32.442388346072526</v>
      </c>
      <c r="V233" s="180">
        <f t="shared" si="57"/>
        <v>0</v>
      </c>
      <c r="Y233" s="478">
        <v>2053</v>
      </c>
      <c r="Z233" s="479">
        <f t="shared" si="58"/>
        <v>32.442388346072526</v>
      </c>
      <c r="AA233" s="479">
        <f t="shared" si="58"/>
        <v>0</v>
      </c>
      <c r="AB233" s="430"/>
      <c r="AC233" s="479"/>
      <c r="AD233" s="479"/>
      <c r="AE233" s="430"/>
      <c r="AF233" s="479">
        <f t="shared" si="59"/>
        <v>32.442388346072526</v>
      </c>
      <c r="AG233" s="479">
        <f t="shared" si="52"/>
        <v>0</v>
      </c>
      <c r="AH233" s="516"/>
      <c r="AJ233" s="480">
        <f t="shared" si="53"/>
        <v>0</v>
      </c>
      <c r="AK233" s="480" t="str">
        <f t="shared" si="54"/>
        <v/>
      </c>
    </row>
    <row r="234" spans="1:37" ht="15.6" x14ac:dyDescent="0.3">
      <c r="A234" s="152">
        <v>2054</v>
      </c>
      <c r="B234" s="178"/>
      <c r="C234" s="182"/>
      <c r="D234" s="183"/>
      <c r="E234" s="179">
        <f t="shared" si="55"/>
        <v>54479.865623687212</v>
      </c>
      <c r="F234" s="183">
        <f t="shared" si="62"/>
        <v>3117.8478748382768</v>
      </c>
      <c r="G234" s="247">
        <f t="shared" si="56"/>
        <v>0.47954600202702696</v>
      </c>
      <c r="H234" s="246"/>
      <c r="I234" s="417"/>
      <c r="J234" s="417"/>
      <c r="K234" s="182"/>
      <c r="L234" s="178"/>
      <c r="M234" s="182"/>
      <c r="N234" s="178"/>
      <c r="O234" s="495"/>
      <c r="P234" s="525">
        <f>IF($P$194="Y",IFERROR(E234*$F$21*'Emissions Factors'!B51,""),"")</f>
        <v>34.278225092715815</v>
      </c>
      <c r="Q234" s="525" t="str">
        <f>IF($X$135="Y",IFERROR($E234*(SUM($F$7,$F$5,$F$6)/SUMIF($H$5:$H$16,"Y",$F$5:$F$16))*('Emissions Factors'!$T$143*$F$22)/10^6,""),"")</f>
        <v/>
      </c>
      <c r="R234" s="525"/>
      <c r="S234" s="525"/>
      <c r="T234" s="496"/>
      <c r="U234" s="180">
        <f t="shared" si="61"/>
        <v>34.278225092715815</v>
      </c>
      <c r="V234" s="180">
        <f t="shared" si="57"/>
        <v>0</v>
      </c>
      <c r="Y234" s="478">
        <v>2054</v>
      </c>
      <c r="Z234" s="479">
        <f t="shared" si="58"/>
        <v>34.278225092715815</v>
      </c>
      <c r="AA234" s="479">
        <f t="shared" si="58"/>
        <v>0</v>
      </c>
      <c r="AB234" s="430"/>
      <c r="AC234" s="479"/>
      <c r="AD234" s="479"/>
      <c r="AE234" s="430"/>
      <c r="AF234" s="479">
        <f t="shared" si="59"/>
        <v>34.278225092715815</v>
      </c>
      <c r="AG234" s="479">
        <f t="shared" si="52"/>
        <v>0</v>
      </c>
      <c r="AH234" s="516"/>
      <c r="AJ234" s="480">
        <f t="shared" si="53"/>
        <v>0</v>
      </c>
      <c r="AK234" s="480" t="str">
        <f t="shared" si="54"/>
        <v/>
      </c>
    </row>
    <row r="235" spans="1:37" ht="15.6" x14ac:dyDescent="0.3">
      <c r="A235" s="152">
        <v>2055</v>
      </c>
      <c r="B235" s="178"/>
      <c r="C235" s="182"/>
      <c r="D235" s="183"/>
      <c r="E235" s="179">
        <f t="shared" si="55"/>
        <v>57748.702674043248</v>
      </c>
      <c r="F235" s="183">
        <f t="shared" si="62"/>
        <v>3268.8370503560363</v>
      </c>
      <c r="G235" s="247">
        <f t="shared" si="56"/>
        <v>0.47737356047888369</v>
      </c>
      <c r="H235" s="246"/>
      <c r="I235" s="417"/>
      <c r="J235" s="417"/>
      <c r="K235" s="182"/>
      <c r="L235" s="178"/>
      <c r="M235" s="182"/>
      <c r="N235" s="178"/>
      <c r="O235" s="495"/>
      <c r="P235" s="525">
        <f>IF($P$194="Y",IFERROR(E235*$F$21*'Emissions Factors'!B52,""),"")</f>
        <v>36.187274204598062</v>
      </c>
      <c r="Q235" s="525" t="str">
        <f>IF($X$135="Y",IFERROR($E235*(SUM($F$7,$F$5,$F$6)/SUMIF($H$5:$H$16,"Y",$F$5:$F$16))*('Emissions Factors'!$T$143*$F$22)/10^6,""),"")</f>
        <v/>
      </c>
      <c r="R235" s="525"/>
      <c r="S235" s="525"/>
      <c r="T235" s="496"/>
      <c r="U235" s="180">
        <f t="shared" si="61"/>
        <v>36.187274204598062</v>
      </c>
      <c r="V235" s="180">
        <f t="shared" si="57"/>
        <v>0</v>
      </c>
      <c r="Y235" s="478">
        <v>2055</v>
      </c>
      <c r="Z235" s="479">
        <f t="shared" si="58"/>
        <v>36.187274204598062</v>
      </c>
      <c r="AA235" s="479">
        <f t="shared" si="58"/>
        <v>0</v>
      </c>
      <c r="AB235" s="430"/>
      <c r="AC235" s="479"/>
      <c r="AD235" s="479"/>
      <c r="AE235" s="430"/>
      <c r="AF235" s="479">
        <f t="shared" si="59"/>
        <v>36.187274204598062</v>
      </c>
      <c r="AG235" s="479">
        <f t="shared" si="52"/>
        <v>0</v>
      </c>
      <c r="AH235" s="516"/>
      <c r="AJ235" s="480">
        <f t="shared" si="53"/>
        <v>0</v>
      </c>
      <c r="AK235" s="480" t="str">
        <f t="shared" si="54"/>
        <v/>
      </c>
    </row>
    <row r="236" spans="1:37" ht="15.6" x14ac:dyDescent="0.3">
      <c r="A236" s="152">
        <v>2056</v>
      </c>
      <c r="B236" s="178"/>
      <c r="C236" s="182"/>
      <c r="D236" s="183"/>
      <c r="E236" s="179">
        <f t="shared" si="55"/>
        <v>61174.503551405345</v>
      </c>
      <c r="F236" s="183">
        <f t="shared" si="62"/>
        <v>3425.8008773620968</v>
      </c>
      <c r="G236" s="247">
        <f t="shared" si="56"/>
        <v>0.47524697485363737</v>
      </c>
      <c r="H236" s="246"/>
      <c r="I236" s="417"/>
      <c r="J236" s="417"/>
      <c r="K236" s="182"/>
      <c r="L236" s="178"/>
      <c r="M236" s="182"/>
      <c r="N236" s="178"/>
      <c r="O236" s="495"/>
      <c r="P236" s="525">
        <f>IF($P$194="Y",IFERROR(E236*$F$21*'Emissions Factors'!B53,""),"")</f>
        <v>38.180505144188459</v>
      </c>
      <c r="Q236" s="525" t="str">
        <f>IF($X$135="Y",IFERROR($E236*(SUM($F$7,$F$5,$F$6)/SUMIF($H$5:$H$16,"Y",$F$5:$F$16))*('Emissions Factors'!$T$143*$F$22)/10^6,""),"")</f>
        <v/>
      </c>
      <c r="R236" s="525"/>
      <c r="S236" s="525"/>
      <c r="T236" s="496"/>
      <c r="U236" s="180">
        <f t="shared" si="61"/>
        <v>38.180505144188459</v>
      </c>
      <c r="V236" s="180">
        <f t="shared" si="57"/>
        <v>0</v>
      </c>
      <c r="Y236" s="478">
        <v>2056</v>
      </c>
      <c r="Z236" s="479">
        <f t="shared" si="58"/>
        <v>38.180505144188459</v>
      </c>
      <c r="AA236" s="479">
        <f t="shared" si="58"/>
        <v>0</v>
      </c>
      <c r="AB236" s="430"/>
      <c r="AC236" s="479"/>
      <c r="AD236" s="479"/>
      <c r="AE236" s="430"/>
      <c r="AF236" s="479">
        <f t="shared" si="59"/>
        <v>38.180505144188459</v>
      </c>
      <c r="AG236" s="479">
        <f t="shared" si="52"/>
        <v>0</v>
      </c>
      <c r="AH236" s="516"/>
      <c r="AJ236" s="480">
        <f t="shared" si="53"/>
        <v>0</v>
      </c>
      <c r="AK236" s="480" t="str">
        <f t="shared" si="54"/>
        <v/>
      </c>
    </row>
    <row r="237" spans="1:37" ht="15.6" x14ac:dyDescent="0.3">
      <c r="A237" s="152">
        <v>2057</v>
      </c>
      <c r="B237" s="178"/>
      <c r="C237" s="182"/>
      <c r="D237" s="183"/>
      <c r="E237" s="179">
        <f t="shared" si="55"/>
        <v>64762.428893366261</v>
      </c>
      <c r="F237" s="183">
        <f t="shared" si="62"/>
        <v>3587.9253419609158</v>
      </c>
      <c r="G237" s="247">
        <f t="shared" si="56"/>
        <v>0.47317168386240754</v>
      </c>
      <c r="H237" s="246"/>
      <c r="I237" s="417"/>
      <c r="J237" s="417"/>
      <c r="K237" s="182"/>
      <c r="L237" s="178"/>
      <c r="M237" s="182"/>
      <c r="N237" s="178"/>
      <c r="O237" s="495"/>
      <c r="P237" s="525">
        <f>IF($P$194="Y",IFERROR(E237*$F$21*'Emissions Factors'!B54,""),"")</f>
        <v>40.250166413913021</v>
      </c>
      <c r="Q237" s="525" t="str">
        <f>IF($X$135="Y",IFERROR($E237*(SUM($F$7,$F$5,$F$6)/SUMIF($H$5:$H$16,"Y",$F$5:$F$16))*('Emissions Factors'!$T$143*$F$22)/10^6,""),"")</f>
        <v/>
      </c>
      <c r="R237" s="525"/>
      <c r="S237" s="525"/>
      <c r="T237" s="496"/>
      <c r="U237" s="180">
        <f t="shared" si="61"/>
        <v>40.250166413913021</v>
      </c>
      <c r="V237" s="180">
        <f t="shared" si="57"/>
        <v>0</v>
      </c>
      <c r="Y237" s="478">
        <v>2057</v>
      </c>
      <c r="Z237" s="479">
        <f t="shared" si="58"/>
        <v>40.250166413913021</v>
      </c>
      <c r="AA237" s="479">
        <f t="shared" si="58"/>
        <v>0</v>
      </c>
      <c r="AB237" s="430"/>
      <c r="AC237" s="479"/>
      <c r="AD237" s="479"/>
      <c r="AE237" s="430"/>
      <c r="AF237" s="479">
        <f t="shared" si="59"/>
        <v>40.250166413913021</v>
      </c>
      <c r="AG237" s="479">
        <f t="shared" si="52"/>
        <v>0</v>
      </c>
      <c r="AH237" s="516"/>
      <c r="AJ237" s="480">
        <f t="shared" si="53"/>
        <v>0</v>
      </c>
      <c r="AK237" s="480" t="str">
        <f t="shared" si="54"/>
        <v/>
      </c>
    </row>
    <row r="238" spans="1:37" ht="15.6" x14ac:dyDescent="0.3">
      <c r="A238" s="152">
        <v>2058</v>
      </c>
      <c r="B238" s="178"/>
      <c r="C238" s="182"/>
      <c r="D238" s="183"/>
      <c r="E238" s="179">
        <f t="shared" si="55"/>
        <v>68515.602889309623</v>
      </c>
      <c r="F238" s="183">
        <f t="shared" si="62"/>
        <v>3753.1739959433617</v>
      </c>
      <c r="G238" s="247">
        <f t="shared" si="56"/>
        <v>0.47115797430370399</v>
      </c>
      <c r="H238" s="246"/>
      <c r="I238" s="417"/>
      <c r="J238" s="417"/>
      <c r="K238" s="182"/>
      <c r="L238" s="178"/>
      <c r="M238" s="182"/>
      <c r="N238" s="178"/>
      <c r="O238" s="495"/>
      <c r="P238" s="525">
        <f>IF($P$194="Y",IFERROR(E238*$F$21*'Emissions Factors'!B55,""),"")</f>
        <v>42.399169178798815</v>
      </c>
      <c r="Q238" s="525" t="str">
        <f>IF($X$135="Y",IFERROR($E238*(SUM($F$7,$F$5,$F$6)/SUMIF($H$5:$H$16,"Y",$F$5:$F$16))*('Emissions Factors'!$T$143*$F$22)/10^6,""),"")</f>
        <v/>
      </c>
      <c r="R238" s="525"/>
      <c r="S238" s="525"/>
      <c r="T238" s="496"/>
      <c r="U238" s="180">
        <f t="shared" si="61"/>
        <v>42.399169178798815</v>
      </c>
      <c r="V238" s="180">
        <f t="shared" si="57"/>
        <v>0</v>
      </c>
      <c r="Y238" s="478">
        <v>2058</v>
      </c>
      <c r="Z238" s="479">
        <f t="shared" si="58"/>
        <v>42.399169178798815</v>
      </c>
      <c r="AA238" s="479">
        <f t="shared" si="58"/>
        <v>0</v>
      </c>
      <c r="AB238" s="430"/>
      <c r="AC238" s="479"/>
      <c r="AD238" s="479"/>
      <c r="AE238" s="430"/>
      <c r="AF238" s="479">
        <f t="shared" si="59"/>
        <v>42.399169178798815</v>
      </c>
      <c r="AG238" s="479">
        <f t="shared" si="52"/>
        <v>0</v>
      </c>
      <c r="AH238" s="516"/>
      <c r="AJ238" s="480">
        <f t="shared" si="53"/>
        <v>0</v>
      </c>
      <c r="AK238" s="480" t="str">
        <f t="shared" si="54"/>
        <v/>
      </c>
    </row>
    <row r="239" spans="1:37" ht="15.6" x14ac:dyDescent="0.3">
      <c r="A239" s="152">
        <v>2059</v>
      </c>
      <c r="B239" s="178"/>
      <c r="C239" s="182"/>
      <c r="D239" s="183"/>
      <c r="E239" s="179">
        <f t="shared" si="55"/>
        <v>72436.089147138351</v>
      </c>
      <c r="F239" s="183">
        <f t="shared" si="62"/>
        <v>3920.4862578287284</v>
      </c>
      <c r="G239" s="247">
        <f t="shared" si="56"/>
        <v>0.4692153448247523</v>
      </c>
      <c r="H239" s="246"/>
      <c r="I239" s="417"/>
      <c r="J239" s="417"/>
      <c r="K239" s="182"/>
      <c r="L239" s="178"/>
      <c r="M239" s="182"/>
      <c r="N239" s="178"/>
      <c r="O239" s="495"/>
      <c r="P239" s="525">
        <f>IF($P$194="Y",IFERROR(E239*$F$21*'Emissions Factors'!B56,""),"")</f>
        <v>44.626645111524297</v>
      </c>
      <c r="Q239" s="525" t="str">
        <f>IF($X$135="Y",IFERROR($E239*(SUM($F$7,$F$5,$F$6)/SUMIF($H$5:$H$16,"Y",$F$5:$F$16))*('Emissions Factors'!$T$143*$F$22)/10^6,""),"")</f>
        <v/>
      </c>
      <c r="R239" s="525"/>
      <c r="S239" s="525"/>
      <c r="T239" s="496"/>
      <c r="U239" s="180">
        <f t="shared" si="61"/>
        <v>44.626645111524297</v>
      </c>
      <c r="V239" s="180">
        <f t="shared" si="57"/>
        <v>0</v>
      </c>
      <c r="Y239" s="478">
        <v>2059</v>
      </c>
      <c r="Z239" s="479">
        <f t="shared" si="58"/>
        <v>44.626645111524297</v>
      </c>
      <c r="AA239" s="479">
        <f t="shared" si="58"/>
        <v>0</v>
      </c>
      <c r="AB239" s="430"/>
      <c r="AC239" s="479"/>
      <c r="AD239" s="479"/>
      <c r="AE239" s="430"/>
      <c r="AF239" s="479">
        <f t="shared" si="59"/>
        <v>44.626645111524297</v>
      </c>
      <c r="AG239" s="479">
        <f t="shared" si="52"/>
        <v>0</v>
      </c>
      <c r="AH239" s="516"/>
      <c r="AJ239" s="480">
        <f t="shared" si="53"/>
        <v>0</v>
      </c>
      <c r="AK239" s="480" t="str">
        <f t="shared" si="54"/>
        <v/>
      </c>
    </row>
    <row r="240" spans="1:37" ht="15.6" x14ac:dyDescent="0.3">
      <c r="A240" s="152">
        <v>2060</v>
      </c>
      <c r="B240" s="178"/>
      <c r="C240" s="182"/>
      <c r="D240" s="183"/>
      <c r="E240" s="179">
        <f t="shared" si="55"/>
        <v>76526.270706279538</v>
      </c>
      <c r="F240" s="183">
        <f t="shared" si="62"/>
        <v>4090.1815591411869</v>
      </c>
      <c r="G240" s="247">
        <f t="shared" si="56"/>
        <v>0.46734846282407311</v>
      </c>
      <c r="H240" s="246"/>
      <c r="I240" s="417"/>
      <c r="J240" s="417"/>
      <c r="K240" s="182"/>
      <c r="L240" s="178"/>
      <c r="M240" s="182"/>
      <c r="N240" s="178"/>
      <c r="O240" s="495"/>
      <c r="P240" s="525">
        <f>IF($P$194="Y",IFERROR(E240*$F$21*'Emissions Factors'!B57,""),"")</f>
        <v>46.947525722918421</v>
      </c>
      <c r="Q240" s="525" t="str">
        <f>IF($X$135="Y",IFERROR($E240*(SUM($F$7,$F$5,$F$6)/SUMIF($H$5:$H$16,"Y",$F$5:$F$16))*('Emissions Factors'!$T$143*$F$22)/10^6,""),"")</f>
        <v/>
      </c>
      <c r="R240" s="525"/>
      <c r="S240" s="525"/>
      <c r="T240" s="496"/>
      <c r="U240" s="180">
        <f t="shared" si="61"/>
        <v>46.947525722918421</v>
      </c>
      <c r="V240" s="180">
        <f t="shared" si="57"/>
        <v>0</v>
      </c>
      <c r="Y240" s="478">
        <v>2060</v>
      </c>
      <c r="Z240" s="479">
        <f t="shared" si="58"/>
        <v>46.947525722918421</v>
      </c>
      <c r="AA240" s="479">
        <f t="shared" si="58"/>
        <v>0</v>
      </c>
      <c r="AB240" s="430"/>
      <c r="AC240" s="479"/>
      <c r="AD240" s="479"/>
      <c r="AE240" s="430"/>
      <c r="AF240" s="479">
        <f t="shared" si="59"/>
        <v>46.947525722918421</v>
      </c>
      <c r="AG240" s="479">
        <f t="shared" si="52"/>
        <v>0</v>
      </c>
      <c r="AH240" s="516"/>
      <c r="AJ240" s="480">
        <f t="shared" si="53"/>
        <v>0</v>
      </c>
      <c r="AK240" s="480" t="str">
        <f t="shared" si="54"/>
        <v/>
      </c>
    </row>
    <row r="241" spans="1:10" x14ac:dyDescent="0.25">
      <c r="A241" s="13"/>
      <c r="B241" s="13"/>
      <c r="C241" s="13"/>
      <c r="D241" s="13"/>
      <c r="E241" s="13"/>
      <c r="F241" s="13"/>
      <c r="G241" s="13"/>
      <c r="H241" s="13"/>
      <c r="I241" s="13"/>
      <c r="J241" s="13"/>
    </row>
    <row r="244" spans="1:10" ht="13.95" customHeight="1" x14ac:dyDescent="0.25"/>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x14ac:dyDescent="0.25">
      <c r="L280" s="170"/>
      <c r="M280" s="170"/>
      <c r="S280" s="170"/>
    </row>
    <row r="281" spans="12:19" x14ac:dyDescent="0.25">
      <c r="L281" s="170"/>
      <c r="M281" s="170"/>
      <c r="S281" s="170"/>
    </row>
    <row r="282" spans="12:19" ht="13.8" thickBot="1" x14ac:dyDescent="0.3">
      <c r="L282" s="209"/>
      <c r="M282" s="209"/>
      <c r="S282" s="209"/>
    </row>
    <row r="293" spans="1:13" x14ac:dyDescent="0.25">
      <c r="A293" s="13"/>
      <c r="B293" s="13"/>
      <c r="C293" s="13"/>
      <c r="D293" s="13"/>
      <c r="E293" s="13"/>
      <c r="F293" s="13"/>
      <c r="G293" s="13"/>
      <c r="H293" s="13"/>
      <c r="I293" s="13"/>
      <c r="J293" s="13"/>
      <c r="K293" s="13"/>
    </row>
    <row r="302" spans="1:13" ht="13.8" thickBot="1" x14ac:dyDescent="0.3"/>
    <row r="303" spans="1:13" x14ac:dyDescent="0.25">
      <c r="L303" s="202"/>
      <c r="M303" s="202"/>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row>
    <row r="311" spans="12:29" x14ac:dyDescent="0.25">
      <c r="L311" s="170"/>
      <c r="M311" s="170"/>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x14ac:dyDescent="0.25">
      <c r="L331" s="170"/>
      <c r="M331" s="170"/>
      <c r="AC331" s="251"/>
    </row>
    <row r="332" spans="12:29" x14ac:dyDescent="0.25">
      <c r="L332" s="170"/>
      <c r="M332" s="170"/>
      <c r="AC332" s="251"/>
    </row>
    <row r="333" spans="12:29" ht="13.8" thickBot="1" x14ac:dyDescent="0.3">
      <c r="L333" s="209"/>
      <c r="M333" s="209"/>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row r="342" spans="29:29" x14ac:dyDescent="0.25">
      <c r="AC342" s="251"/>
    </row>
    <row r="343" spans="29:29" x14ac:dyDescent="0.25">
      <c r="AC343" s="251"/>
    </row>
  </sheetData>
  <mergeCells count="66">
    <mergeCell ref="AC191:AD191"/>
    <mergeCell ref="AF191:AG191"/>
    <mergeCell ref="AJ191:AK191"/>
    <mergeCell ref="K192:N192"/>
    <mergeCell ref="P192:S192"/>
    <mergeCell ref="U192:V192"/>
    <mergeCell ref="Z192:AA192"/>
    <mergeCell ref="AC192:AD192"/>
    <mergeCell ref="AF192:AG192"/>
    <mergeCell ref="AJ192:AK192"/>
    <mergeCell ref="Y191:AA191"/>
    <mergeCell ref="B191:D191"/>
    <mergeCell ref="E191:H191"/>
    <mergeCell ref="K191:N191"/>
    <mergeCell ref="P191:S191"/>
    <mergeCell ref="U191:V191"/>
    <mergeCell ref="AU133:AV133"/>
    <mergeCell ref="AX133:AY133"/>
    <mergeCell ref="BA133:BB133"/>
    <mergeCell ref="BE133:BF133"/>
    <mergeCell ref="B190:H190"/>
    <mergeCell ref="K190:V190"/>
    <mergeCell ref="Y190:AG190"/>
    <mergeCell ref="R133:U133"/>
    <mergeCell ref="W133:Z133"/>
    <mergeCell ref="AB133:AC133"/>
    <mergeCell ref="AE133:AH133"/>
    <mergeCell ref="AJ133:AM133"/>
    <mergeCell ref="AO133:AP133"/>
    <mergeCell ref="BE132:BF132"/>
    <mergeCell ref="AE131:AP131"/>
    <mergeCell ref="AT131:BB131"/>
    <mergeCell ref="B132:D132"/>
    <mergeCell ref="E132:H132"/>
    <mergeCell ref="J132:L132"/>
    <mergeCell ref="M132:P132"/>
    <mergeCell ref="R132:U132"/>
    <mergeCell ref="W132:Z132"/>
    <mergeCell ref="AB132:AC132"/>
    <mergeCell ref="AE132:AH132"/>
    <mergeCell ref="AJ132:AM132"/>
    <mergeCell ref="AO132:AP132"/>
    <mergeCell ref="AT132:AV132"/>
    <mergeCell ref="AX132:AY132"/>
    <mergeCell ref="BA132:BB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dataValidations count="1">
    <dataValidation type="list" allowBlank="1" showInputMessage="1" showErrorMessage="1" sqref="C27:G27 G19 G5:H16 AE135:AH135 AJ135:AM135 R135:U135 W135:Z135 K194:N194 P194:S194">
      <formula1>"Y,N"</formula1>
    </dataValidation>
  </dataValidations>
  <pageMargins left="0.7" right="0.7" top="0.75" bottom="0.75" header="0.3" footer="0.3"/>
  <pageSetup paperSize="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FF0000"/>
  </sheetPr>
  <dimension ref="A1:EX343"/>
  <sheetViews>
    <sheetView showGridLines="0" topLeftCell="X111" zoomScaleNormal="100" zoomScalePageLayoutView="80" workbookViewId="0">
      <selection activeCell="AE131" sqref="AE131:AP131"/>
    </sheetView>
  </sheetViews>
  <sheetFormatPr defaultColWidth="8.796875" defaultRowHeight="13.2" x14ac:dyDescent="0.25"/>
  <cols>
    <col min="1" max="1" width="25.296875" style="153" customWidth="1"/>
    <col min="2" max="2" width="39.19921875" style="153" customWidth="1"/>
    <col min="3" max="3" width="35.69921875" style="153" customWidth="1"/>
    <col min="4" max="4" width="25.5" style="153" customWidth="1"/>
    <col min="5" max="5" width="26.19921875" style="153" customWidth="1"/>
    <col min="6" max="8" width="14.19921875" style="153" customWidth="1"/>
    <col min="9" max="9" width="11.796875" style="153" customWidth="1"/>
    <col min="10" max="12" width="12.5" style="153" customWidth="1"/>
    <col min="13" max="13" width="14.296875" style="153" customWidth="1"/>
    <col min="14" max="14" width="12.5" style="153" customWidth="1"/>
    <col min="15" max="15" width="8.796875" style="153" customWidth="1"/>
    <col min="16" max="16" width="16" style="153" customWidth="1"/>
    <col min="17" max="17" width="17.5" style="153" customWidth="1"/>
    <col min="18" max="18" width="16.69921875" style="153"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9.199218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Plastics_cluster</v>
      </c>
      <c r="B1" s="156"/>
      <c r="C1" s="157" t="s">
        <v>535</v>
      </c>
      <c r="D1" s="157" t="s">
        <v>536</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D2" s="520" t="s">
        <v>189</v>
      </c>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tr">
        <f>IF(R4="Y","","LLDC")</f>
        <v/>
      </c>
      <c r="M4" s="153" t="s">
        <v>377</v>
      </c>
      <c r="N4" s="164">
        <f ca="1">SUM(OFFSET(AV136,J2-2015,0,J3-J2+1,1))/1000</f>
        <v>0</v>
      </c>
      <c r="O4" s="164">
        <f>SUM(AV136:AV181)/1000</f>
        <v>0</v>
      </c>
      <c r="Q4" s="153" t="s">
        <v>537</v>
      </c>
      <c r="R4" s="167" t="s">
        <v>213</v>
      </c>
    </row>
    <row r="5" spans="1:154" ht="12.75" customHeight="1" x14ac:dyDescent="0.25">
      <c r="E5" s="498" t="s">
        <v>399</v>
      </c>
      <c r="F5" s="499">
        <v>0.99464650876194527</v>
      </c>
      <c r="G5" s="167"/>
      <c r="H5" s="167" t="s">
        <v>213</v>
      </c>
      <c r="L5" s="617"/>
      <c r="M5" s="153" t="s">
        <v>375</v>
      </c>
      <c r="N5" s="164">
        <f ca="1">SUM(OFFSET(AU136,J2-2015,0,J3-J2+1,1))/1000</f>
        <v>0</v>
      </c>
      <c r="O5" s="164">
        <f>SUM(AU136:AU181)/1000</f>
        <v>0</v>
      </c>
    </row>
    <row r="6" spans="1:154" ht="13.8" x14ac:dyDescent="0.25">
      <c r="E6" s="498"/>
      <c r="F6" s="499"/>
      <c r="G6" s="167"/>
      <c r="H6" s="167"/>
    </row>
    <row r="7" spans="1:154" ht="13.8" x14ac:dyDescent="0.25">
      <c r="A7" s="35" t="s">
        <v>491</v>
      </c>
      <c r="E7" s="498"/>
      <c r="F7" s="499"/>
      <c r="G7" s="167"/>
      <c r="H7" s="167"/>
      <c r="I7" s="516"/>
      <c r="J7" s="516"/>
      <c r="K7" s="516"/>
      <c r="L7" s="618" t="str">
        <f>IF($R$4="Y","All","MDC")</f>
        <v>All</v>
      </c>
      <c r="M7" s="497" t="s">
        <v>377</v>
      </c>
      <c r="N7" s="164">
        <f ca="1">SUM(OFFSET(AA195,J2-2015,0,J3-J2+1,1))/1000</f>
        <v>0</v>
      </c>
      <c r="O7" s="164">
        <f>SUM(AA195:AA240)/1000</f>
        <v>0</v>
      </c>
      <c r="P7" s="165"/>
    </row>
    <row r="8" spans="1:154" ht="13.8" x14ac:dyDescent="0.25">
      <c r="A8" s="486" t="s">
        <v>368</v>
      </c>
      <c r="B8" s="487" t="s">
        <v>492</v>
      </c>
      <c r="C8" s="487"/>
      <c r="E8" s="498"/>
      <c r="F8" s="499"/>
      <c r="G8" s="167"/>
      <c r="H8" s="167"/>
      <c r="L8" s="618"/>
      <c r="M8" s="153" t="s">
        <v>375</v>
      </c>
      <c r="N8" s="164">
        <f ca="1">SUM(OFFSET(Z195,J2-2015,0,J3-J2+1,1))/1000</f>
        <v>1.9563869273839998</v>
      </c>
      <c r="O8" s="164">
        <f>SUM(Z195:Z240)/1000</f>
        <v>4.5152431484257738</v>
      </c>
    </row>
    <row r="9" spans="1:154" ht="13.8" x14ac:dyDescent="0.25">
      <c r="A9" s="488" t="s">
        <v>369</v>
      </c>
      <c r="B9" s="489" t="s">
        <v>455</v>
      </c>
      <c r="C9" s="489"/>
      <c r="E9" s="498"/>
      <c r="F9" s="499"/>
      <c r="G9" s="167"/>
      <c r="H9" s="167"/>
    </row>
    <row r="10" spans="1:154" ht="39.6" x14ac:dyDescent="0.25">
      <c r="A10" s="527" t="s">
        <v>592</v>
      </c>
      <c r="B10" s="490" t="s">
        <v>509</v>
      </c>
      <c r="C10" s="493" t="s">
        <v>512</v>
      </c>
      <c r="E10" s="498"/>
      <c r="F10" s="499"/>
      <c r="G10" s="167"/>
      <c r="H10" s="167"/>
    </row>
    <row r="11" spans="1:154" ht="39.6" x14ac:dyDescent="0.25">
      <c r="A11" s="527" t="s">
        <v>593</v>
      </c>
      <c r="B11" s="490" t="s">
        <v>507</v>
      </c>
      <c r="C11" s="493" t="s">
        <v>512</v>
      </c>
      <c r="E11" s="498"/>
      <c r="F11" s="499"/>
      <c r="G11" s="167"/>
      <c r="H11" s="167"/>
      <c r="L11" s="617" t="s">
        <v>522</v>
      </c>
      <c r="M11" s="497" t="s">
        <v>377</v>
      </c>
      <c r="N11" s="164">
        <f ca="1">N4+N7</f>
        <v>0</v>
      </c>
      <c r="O11" s="164">
        <f>O4+O7</f>
        <v>0</v>
      </c>
    </row>
    <row r="12" spans="1:154" ht="13.8" x14ac:dyDescent="0.25">
      <c r="A12" s="488" t="s">
        <v>493</v>
      </c>
      <c r="B12" s="489" t="s">
        <v>506</v>
      </c>
      <c r="C12" s="489"/>
      <c r="E12" s="498"/>
      <c r="F12" s="499"/>
      <c r="G12" s="167"/>
      <c r="H12" s="167"/>
      <c r="L12" s="617"/>
      <c r="M12" s="153" t="s">
        <v>375</v>
      </c>
      <c r="N12" s="164">
        <f ca="1">N5+N8</f>
        <v>1.9563869273839998</v>
      </c>
      <c r="O12" s="164">
        <f>O5+O8</f>
        <v>4.5152431484257738</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v>1</v>
      </c>
      <c r="G19" s="167" t="s">
        <v>213</v>
      </c>
    </row>
    <row r="20" spans="1:68" x14ac:dyDescent="0.25">
      <c r="E20" s="443" t="s">
        <v>472</v>
      </c>
      <c r="F20" s="444">
        <v>0.5</v>
      </c>
    </row>
    <row r="21" spans="1:68" ht="13.8" x14ac:dyDescent="0.25">
      <c r="E21" s="500" t="s">
        <v>326</v>
      </c>
      <c r="F21" s="501"/>
    </row>
    <row r="22" spans="1:68" ht="13.8" x14ac:dyDescent="0.25">
      <c r="E22" s="500" t="s">
        <v>268</v>
      </c>
      <c r="F22" s="518"/>
    </row>
    <row r="23" spans="1:68" x14ac:dyDescent="0.25">
      <c r="D23" s="443"/>
      <c r="E23" s="443" t="s">
        <v>527</v>
      </c>
      <c r="F23" s="519">
        <v>2449285.71429</v>
      </c>
      <c r="G23" s="153" t="s">
        <v>400</v>
      </c>
    </row>
    <row r="24" spans="1:68" ht="13.8" thickBot="1" x14ac:dyDescent="0.3">
      <c r="E24" s="443" t="s">
        <v>528</v>
      </c>
      <c r="F24" s="420"/>
    </row>
    <row r="25" spans="1:68" ht="15" customHeight="1" thickBot="1" x14ac:dyDescent="0.3">
      <c r="A25" s="646" t="str">
        <f>CONCATENATE("Table 2: REF2, ",C1," TAM ",D1)</f>
        <v>Table 2: REF2, Plastics Demand TAM (MMt)</v>
      </c>
      <c r="B25" s="647"/>
      <c r="C25" s="647"/>
      <c r="D25" s="647"/>
      <c r="E25" s="647"/>
      <c r="F25" s="699"/>
      <c r="G25" s="647"/>
      <c r="H25" s="647"/>
      <c r="I25" s="647"/>
      <c r="J25" s="647"/>
      <c r="K25" s="648"/>
      <c r="M25" s="638" t="str">
        <f>CONCATENATE("Table 3: REF1 ,",C1," TAM ",D1)</f>
        <v>Table 3: REF1 ,Plastics Demand TAM (MMt)</v>
      </c>
      <c r="N25" s="639"/>
      <c r="O25" s="639"/>
      <c r="P25" s="639"/>
      <c r="Q25" s="639"/>
      <c r="R25" s="639"/>
      <c r="S25" s="639"/>
      <c r="T25" s="639"/>
      <c r="U25" s="639"/>
      <c r="V25" s="639"/>
      <c r="W25" s="640"/>
      <c r="Y25" s="627" t="str">
        <f>CONCATENATE("Table 3: REF1 ",$C$1," TAM ",$D$1)</f>
        <v>Table 3: REF1 Plastics Demand TAM (MMt)</v>
      </c>
      <c r="Z25" s="627"/>
      <c r="AA25" s="627"/>
      <c r="AB25" s="627"/>
      <c r="AC25" s="627"/>
      <c r="AD25" s="627"/>
      <c r="AE25" s="627"/>
      <c r="AF25" s="627"/>
      <c r="AG25" s="627"/>
      <c r="AH25" s="627"/>
      <c r="AI25" s="627"/>
      <c r="AK25" s="628" t="str">
        <f>CONCATENATE("Table 3: REF1 ",$C$1," TAM ",$D$1)</f>
        <v>Table 3: REF1 Plastics Demand TAM (MMt)</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Plastics_cluster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528" t="s">
        <v>604</v>
      </c>
      <c r="C27" s="460" t="s">
        <v>211</v>
      </c>
      <c r="D27" s="460" t="s">
        <v>211</v>
      </c>
      <c r="E27" s="460" t="s">
        <v>211</v>
      </c>
      <c r="F27" s="460" t="s">
        <v>211</v>
      </c>
      <c r="G27" s="460" t="s">
        <v>211</v>
      </c>
      <c r="H27" s="435"/>
      <c r="I27" s="435"/>
      <c r="J27" s="435"/>
      <c r="K27" s="435"/>
      <c r="M27" s="455"/>
      <c r="N27" s="461" t="str">
        <f>B27</f>
        <v>Regions included as LLDC:</v>
      </c>
      <c r="O27" s="462" t="str">
        <f>C27</f>
        <v>N</v>
      </c>
      <c r="P27" s="462" t="str">
        <f t="shared" ref="P27:S27" si="0">D27</f>
        <v>N</v>
      </c>
      <c r="Q27" s="462" t="str">
        <f t="shared" si="0"/>
        <v>N</v>
      </c>
      <c r="R27" s="462" t="str">
        <f t="shared" si="0"/>
        <v>N</v>
      </c>
      <c r="S27" s="462" t="str">
        <f t="shared" si="0"/>
        <v>N</v>
      </c>
      <c r="T27" s="435"/>
      <c r="U27" s="435"/>
      <c r="V27" s="435"/>
      <c r="W27" s="435"/>
      <c r="Y27" s="455"/>
      <c r="Z27" s="461" t="str">
        <f>B27</f>
        <v>Regions included as LLDC:</v>
      </c>
      <c r="AA27" s="462" t="str">
        <f>O27</f>
        <v>N</v>
      </c>
      <c r="AB27" s="462" t="str">
        <f t="shared" ref="AB27:AE27" si="1">P27</f>
        <v>N</v>
      </c>
      <c r="AC27" s="462" t="str">
        <f t="shared" si="1"/>
        <v>N</v>
      </c>
      <c r="AD27" s="462" t="str">
        <f t="shared" si="1"/>
        <v>N</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40.200000000000003" thickBot="1" x14ac:dyDescent="0.3">
      <c r="A28" s="213"/>
      <c r="B28" s="474" t="s">
        <v>4</v>
      </c>
      <c r="C28" s="475" t="s">
        <v>5</v>
      </c>
      <c r="D28" s="475" t="s">
        <v>6</v>
      </c>
      <c r="E28" s="475" t="s">
        <v>7</v>
      </c>
      <c r="F28" s="475" t="s">
        <v>8</v>
      </c>
      <c r="G28" s="475" t="s">
        <v>9</v>
      </c>
      <c r="H28" s="475" t="s">
        <v>10</v>
      </c>
      <c r="I28" s="475" t="s">
        <v>11</v>
      </c>
      <c r="J28" s="475" t="s">
        <v>12</v>
      </c>
      <c r="K28" s="476" t="s">
        <v>13</v>
      </c>
      <c r="M28" s="189"/>
      <c r="N28" s="190" t="s">
        <v>4</v>
      </c>
      <c r="O28" s="191" t="s">
        <v>5</v>
      </c>
      <c r="P28" s="191" t="s">
        <v>6</v>
      </c>
      <c r="Q28" s="191" t="s">
        <v>460</v>
      </c>
      <c r="R28" s="191" t="s">
        <v>8</v>
      </c>
      <c r="S28" s="191" t="s">
        <v>9</v>
      </c>
      <c r="T28" s="191" t="s">
        <v>10</v>
      </c>
      <c r="U28" s="191" t="s">
        <v>11</v>
      </c>
      <c r="V28" s="191" t="s">
        <v>12</v>
      </c>
      <c r="W28" s="192" t="s">
        <v>13</v>
      </c>
      <c r="Y28" s="456"/>
      <c r="Z28" s="457" t="s">
        <v>4</v>
      </c>
      <c r="AA28" s="458" t="s">
        <v>5</v>
      </c>
      <c r="AB28" s="458" t="s">
        <v>6</v>
      </c>
      <c r="AC28" s="458" t="s">
        <v>7</v>
      </c>
      <c r="AD28" s="458" t="s">
        <v>8</v>
      </c>
      <c r="AE28" s="458" t="s">
        <v>9</v>
      </c>
      <c r="AF28" s="458" t="s">
        <v>10</v>
      </c>
      <c r="AG28" s="458" t="s">
        <v>11</v>
      </c>
      <c r="AH28" s="458" t="s">
        <v>12</v>
      </c>
      <c r="AI28" s="458" t="s">
        <v>13</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311</v>
      </c>
      <c r="C29" s="229"/>
      <c r="D29" s="229"/>
      <c r="E29" s="229"/>
      <c r="F29" s="229"/>
      <c r="G29" s="229"/>
      <c r="H29" s="229"/>
      <c r="I29" s="229"/>
      <c r="J29" s="229"/>
      <c r="K29" s="229"/>
      <c r="M29" s="194">
        <v>2014</v>
      </c>
      <c r="N29" s="521"/>
      <c r="O29" s="522"/>
      <c r="P29" s="522"/>
      <c r="Q29" s="522"/>
      <c r="R29" s="522"/>
      <c r="S29" s="522"/>
      <c r="T29" s="522"/>
      <c r="U29" s="522"/>
      <c r="V29" s="522"/>
      <c r="W29" s="522"/>
      <c r="Y29" s="456">
        <v>2014</v>
      </c>
      <c r="Z29" s="459">
        <f>((B29/Population_Tables!O3)*Population_Tables!C3)-N29</f>
        <v>310.99947398285508</v>
      </c>
      <c r="AA29" s="459">
        <f>((C29/Population_Tables!P3)*Population_Tables!D3)-O29</f>
        <v>0</v>
      </c>
      <c r="AB29" s="459">
        <f>((D29/Population_Tables!Q3)*Population_Tables!E3)-P29</f>
        <v>0</v>
      </c>
      <c r="AC29" s="459">
        <f>((E29/Population_Tables!R3)*Population_Tables!F3)-Q29</f>
        <v>0</v>
      </c>
      <c r="AD29" s="459">
        <f>((F29/Population_Tables!S3)*Population_Tables!G3)-R29</f>
        <v>0</v>
      </c>
      <c r="AE29" s="459">
        <f>((G29/Population_Tables!T3)*Population_Tables!H3)-S29</f>
        <v>0</v>
      </c>
      <c r="AF29" s="459">
        <f>(H29/Population_Tables!U3)*Population_Tables!I3</f>
        <v>0</v>
      </c>
      <c r="AG29" s="459">
        <f>(I29/Population_Tables!V3)*Population_Tables!J3</f>
        <v>0</v>
      </c>
      <c r="AH29" s="459">
        <f>(J29/Population_Tables!W3)*Population_Tables!K3</f>
        <v>0</v>
      </c>
      <c r="AI29" s="459">
        <f>(K29/Population_Tables!X3)*Population_Tables!L3</f>
        <v>0</v>
      </c>
      <c r="AK29" s="456">
        <v>2014</v>
      </c>
      <c r="AL29" s="459">
        <f>Z29+N29</f>
        <v>310.99947398285508</v>
      </c>
      <c r="AM29" s="459">
        <f t="shared" ref="AM29:AU44" si="2">AA29+O29</f>
        <v>0</v>
      </c>
      <c r="AN29" s="459">
        <f t="shared" si="2"/>
        <v>0</v>
      </c>
      <c r="AO29" s="459">
        <f t="shared" si="2"/>
        <v>0</v>
      </c>
      <c r="AP29" s="459">
        <f t="shared" si="2"/>
        <v>0</v>
      </c>
      <c r="AQ29" s="459">
        <f t="shared" si="2"/>
        <v>0</v>
      </c>
      <c r="AR29" s="459">
        <f t="shared" si="2"/>
        <v>0</v>
      </c>
      <c r="AS29" s="459">
        <f t="shared" si="2"/>
        <v>0</v>
      </c>
      <c r="AT29" s="459">
        <f t="shared" si="2"/>
        <v>0</v>
      </c>
      <c r="AU29" s="459">
        <f t="shared" si="2"/>
        <v>0</v>
      </c>
      <c r="AW29" s="216">
        <f>(B29/Population_Tables!O3)*Population_Tables!C3</f>
        <v>310.99947398285508</v>
      </c>
      <c r="AX29" s="153" t="str">
        <f>IF(AW29-AL29=0,"OK")</f>
        <v>OK</v>
      </c>
      <c r="AY29" s="421">
        <f t="shared" ref="AY29:AY75" si="3">SUM(BB29:BF29)</f>
        <v>0</v>
      </c>
      <c r="AZ29" s="153" t="str">
        <f t="shared" ref="AZ29:AZ75" si="4">IF(AY29-(SUM(AM29:AQ29))=0,"OK")</f>
        <v>OK</v>
      </c>
      <c r="BB29" s="216">
        <f>(C29/Population_Tables!P3)*Population_Tables!D3</f>
        <v>0</v>
      </c>
      <c r="BC29" s="216">
        <f>(D29/Population_Tables!Q3)*Population_Tables!E3</f>
        <v>0</v>
      </c>
      <c r="BD29" s="216">
        <f>(E29/Population_Tables!R3)*Population_Tables!F3</f>
        <v>0</v>
      </c>
      <c r="BE29" s="216">
        <f>(F29/Population_Tables!S3)*Population_Tables!G3</f>
        <v>0</v>
      </c>
      <c r="BF29" s="216">
        <f>(G29/Population_Tables!T3)*Population_Tables!H3</f>
        <v>0</v>
      </c>
      <c r="BG29" s="216"/>
      <c r="BN29" s="216"/>
      <c r="BO29" s="216"/>
      <c r="BP29" s="216"/>
    </row>
    <row r="30" spans="1:68" ht="15.6" x14ac:dyDescent="0.3">
      <c r="A30" s="194">
        <v>2015</v>
      </c>
      <c r="B30" s="229">
        <v>318.43190492399771</v>
      </c>
      <c r="C30" s="229"/>
      <c r="D30" s="229"/>
      <c r="E30" s="229"/>
      <c r="F30" s="229"/>
      <c r="G30" s="229"/>
      <c r="H30" s="229"/>
      <c r="I30" s="229"/>
      <c r="J30" s="229"/>
      <c r="K30" s="229"/>
      <c r="M30" s="194">
        <v>2015</v>
      </c>
      <c r="N30" s="521"/>
      <c r="O30" s="522"/>
      <c r="P30" s="522"/>
      <c r="Q30" s="522"/>
      <c r="R30" s="522"/>
      <c r="S30" s="522"/>
      <c r="T30" s="522"/>
      <c r="U30" s="522"/>
      <c r="V30" s="522"/>
      <c r="W30" s="522"/>
      <c r="Y30" s="456">
        <v>2015</v>
      </c>
      <c r="Z30" s="459">
        <f>((B30/Population_Tables!O4)*Population_Tables!C4)-N30</f>
        <v>318.43137578420652</v>
      </c>
      <c r="AA30" s="459">
        <f>((C30/Population_Tables!P4)*Population_Tables!D4)-O30</f>
        <v>0</v>
      </c>
      <c r="AB30" s="459">
        <f>((D30/Population_Tables!Q4)*Population_Tables!E4)-P30</f>
        <v>0</v>
      </c>
      <c r="AC30" s="459">
        <f>((E30/Population_Tables!R4)*Population_Tables!F4)-Q30</f>
        <v>0</v>
      </c>
      <c r="AD30" s="459">
        <f>((F30/Population_Tables!S4)*Population_Tables!G4)-R30</f>
        <v>0</v>
      </c>
      <c r="AE30" s="459">
        <f>((G30/Population_Tables!T4)*Population_Tables!H4)-S30</f>
        <v>0</v>
      </c>
      <c r="AF30" s="459">
        <f>(H30/Population_Tables!U4)*Population_Tables!I4</f>
        <v>0</v>
      </c>
      <c r="AG30" s="459">
        <f>(I30/Population_Tables!V4)*Population_Tables!J4</f>
        <v>0</v>
      </c>
      <c r="AH30" s="459">
        <f>(J30/Population_Tables!W4)*Population_Tables!K4</f>
        <v>0</v>
      </c>
      <c r="AI30" s="459">
        <f>(K30/Population_Tables!X4)*Population_Tables!L4</f>
        <v>0</v>
      </c>
      <c r="AK30" s="456">
        <v>2015</v>
      </c>
      <c r="AL30" s="459">
        <f t="shared" ref="AL30:AU68" si="5">Z30+N30</f>
        <v>318.43137578420652</v>
      </c>
      <c r="AM30" s="459">
        <f t="shared" si="2"/>
        <v>0</v>
      </c>
      <c r="AN30" s="459">
        <f t="shared" si="2"/>
        <v>0</v>
      </c>
      <c r="AO30" s="459">
        <f t="shared" si="2"/>
        <v>0</v>
      </c>
      <c r="AP30" s="459">
        <f t="shared" si="2"/>
        <v>0</v>
      </c>
      <c r="AQ30" s="459">
        <f t="shared" si="2"/>
        <v>0</v>
      </c>
      <c r="AR30" s="459">
        <f t="shared" si="2"/>
        <v>0</v>
      </c>
      <c r="AS30" s="459">
        <f t="shared" si="2"/>
        <v>0</v>
      </c>
      <c r="AT30" s="459">
        <f t="shared" si="2"/>
        <v>0</v>
      </c>
      <c r="AU30" s="459">
        <f t="shared" si="2"/>
        <v>0</v>
      </c>
      <c r="AW30" s="216">
        <f>(B30/Population_Tables!O4)*Population_Tables!C4</f>
        <v>318.43137578420652</v>
      </c>
      <c r="AX30" s="153" t="str">
        <f t="shared" ref="AX30:AX75" si="6">IF(AW30-AL30=0,"OK")</f>
        <v>OK</v>
      </c>
      <c r="AY30" s="421">
        <f t="shared" si="3"/>
        <v>0</v>
      </c>
      <c r="AZ30" s="153" t="str">
        <f t="shared" si="4"/>
        <v>OK</v>
      </c>
      <c r="BB30" s="216">
        <f>(C30/Population_Tables!P4)*Population_Tables!D4</f>
        <v>0</v>
      </c>
      <c r="BC30" s="216">
        <f>(D30/Population_Tables!Q4)*Population_Tables!E4</f>
        <v>0</v>
      </c>
      <c r="BD30" s="216">
        <f>(E30/Population_Tables!R4)*Population_Tables!F4</f>
        <v>0</v>
      </c>
      <c r="BE30" s="216">
        <f>(F30/Population_Tables!S4)*Population_Tables!G4</f>
        <v>0</v>
      </c>
      <c r="BF30" s="216">
        <f>(G30/Population_Tables!T4)*Population_Tables!H4</f>
        <v>0</v>
      </c>
      <c r="BG30" s="216"/>
      <c r="BN30" s="216"/>
      <c r="BO30" s="216"/>
      <c r="BP30" s="216"/>
    </row>
    <row r="31" spans="1:68" ht="15.6" x14ac:dyDescent="0.3">
      <c r="A31" s="194">
        <v>2016</v>
      </c>
      <c r="B31" s="229">
        <v>325.99238984806294</v>
      </c>
      <c r="C31" s="229"/>
      <c r="D31" s="229"/>
      <c r="E31" s="229"/>
      <c r="F31" s="229"/>
      <c r="G31" s="229"/>
      <c r="H31" s="229"/>
      <c r="I31" s="229"/>
      <c r="J31" s="229"/>
      <c r="K31" s="229"/>
      <c r="M31" s="194">
        <v>2016</v>
      </c>
      <c r="N31" s="521"/>
      <c r="O31" s="522"/>
      <c r="P31" s="522"/>
      <c r="Q31" s="522"/>
      <c r="R31" s="522"/>
      <c r="S31" s="522"/>
      <c r="T31" s="522"/>
      <c r="U31" s="522"/>
      <c r="V31" s="522"/>
      <c r="W31" s="522"/>
      <c r="Y31" s="456">
        <v>2016</v>
      </c>
      <c r="Z31" s="459">
        <f>((B31/Population_Tables!O5)*Population_Tables!C5)-N31</f>
        <v>325.99186142143986</v>
      </c>
      <c r="AA31" s="459">
        <f>((C31/Population_Tables!P5)*Population_Tables!D5)-O31</f>
        <v>0</v>
      </c>
      <c r="AB31" s="459">
        <f>((D31/Population_Tables!Q5)*Population_Tables!E5)-P31</f>
        <v>0</v>
      </c>
      <c r="AC31" s="459">
        <f>((E31/Population_Tables!R5)*Population_Tables!F5)-Q31</f>
        <v>0</v>
      </c>
      <c r="AD31" s="459">
        <f>((F31/Population_Tables!S5)*Population_Tables!G5)-R31</f>
        <v>0</v>
      </c>
      <c r="AE31" s="459">
        <f>((G31/Population_Tables!T5)*Population_Tables!H5)-S31</f>
        <v>0</v>
      </c>
      <c r="AF31" s="459">
        <f>(H31/Population_Tables!U5)*Population_Tables!I5</f>
        <v>0</v>
      </c>
      <c r="AG31" s="459">
        <f>(I31/Population_Tables!V5)*Population_Tables!J5</f>
        <v>0</v>
      </c>
      <c r="AH31" s="459">
        <f>(J31/Population_Tables!W5)*Population_Tables!K5</f>
        <v>0</v>
      </c>
      <c r="AI31" s="459">
        <f>(K31/Population_Tables!X5)*Population_Tables!L5</f>
        <v>0</v>
      </c>
      <c r="AK31" s="456">
        <v>2016</v>
      </c>
      <c r="AL31" s="459">
        <f t="shared" si="5"/>
        <v>325.99186142143986</v>
      </c>
      <c r="AM31" s="459">
        <f t="shared" si="2"/>
        <v>0</v>
      </c>
      <c r="AN31" s="459">
        <f t="shared" si="2"/>
        <v>0</v>
      </c>
      <c r="AO31" s="459">
        <f t="shared" si="2"/>
        <v>0</v>
      </c>
      <c r="AP31" s="459">
        <f t="shared" si="2"/>
        <v>0</v>
      </c>
      <c r="AQ31" s="459">
        <f t="shared" si="2"/>
        <v>0</v>
      </c>
      <c r="AR31" s="459">
        <f t="shared" si="2"/>
        <v>0</v>
      </c>
      <c r="AS31" s="459">
        <f t="shared" si="2"/>
        <v>0</v>
      </c>
      <c r="AT31" s="459">
        <f t="shared" si="2"/>
        <v>0</v>
      </c>
      <c r="AU31" s="459">
        <f t="shared" si="2"/>
        <v>0</v>
      </c>
      <c r="AW31" s="216">
        <f>(B31/Population_Tables!O5)*Population_Tables!C5</f>
        <v>325.99186142143986</v>
      </c>
      <c r="AX31" s="153" t="str">
        <f t="shared" si="6"/>
        <v>OK</v>
      </c>
      <c r="AY31" s="421">
        <f t="shared" si="3"/>
        <v>0</v>
      </c>
      <c r="AZ31" s="153" t="str">
        <f t="shared" si="4"/>
        <v>OK</v>
      </c>
      <c r="BB31" s="216">
        <f>(C31/Population_Tables!P5)*Population_Tables!D5</f>
        <v>0</v>
      </c>
      <c r="BC31" s="216">
        <f>(D31/Population_Tables!Q5)*Population_Tables!E5</f>
        <v>0</v>
      </c>
      <c r="BD31" s="216">
        <f>(E31/Population_Tables!R5)*Population_Tables!F5</f>
        <v>0</v>
      </c>
      <c r="BE31" s="216">
        <f>(F31/Population_Tables!S5)*Population_Tables!G5</f>
        <v>0</v>
      </c>
      <c r="BF31" s="216">
        <f>(G31/Population_Tables!T5)*Population_Tables!H5</f>
        <v>0</v>
      </c>
      <c r="BG31" s="216"/>
      <c r="BN31" s="216"/>
      <c r="BO31" s="216"/>
      <c r="BP31" s="216"/>
    </row>
    <row r="32" spans="1:68" ht="15.6" x14ac:dyDescent="0.3">
      <c r="A32" s="194">
        <v>2017</v>
      </c>
      <c r="B32" s="229">
        <v>333.95392543692475</v>
      </c>
      <c r="C32" s="229"/>
      <c r="D32" s="229"/>
      <c r="E32" s="229"/>
      <c r="F32" s="229"/>
      <c r="G32" s="229"/>
      <c r="H32" s="229"/>
      <c r="I32" s="229"/>
      <c r="J32" s="229"/>
      <c r="K32" s="229"/>
      <c r="M32" s="194">
        <v>2017</v>
      </c>
      <c r="N32" s="521"/>
      <c r="O32" s="522"/>
      <c r="P32" s="522"/>
      <c r="Q32" s="522"/>
      <c r="R32" s="522"/>
      <c r="S32" s="522"/>
      <c r="T32" s="522"/>
      <c r="U32" s="522"/>
      <c r="V32" s="522"/>
      <c r="W32" s="522"/>
      <c r="Y32" s="456">
        <v>2017</v>
      </c>
      <c r="Z32" s="459">
        <f>((B32/Population_Tables!O6)*Population_Tables!C6)-N32</f>
        <v>333.95339914478626</v>
      </c>
      <c r="AA32" s="459">
        <f>((C32/Population_Tables!P6)*Population_Tables!D6)-O32</f>
        <v>0</v>
      </c>
      <c r="AB32" s="459">
        <f>((D32/Population_Tables!Q6)*Population_Tables!E6)-P32</f>
        <v>0</v>
      </c>
      <c r="AC32" s="459">
        <f>((E32/Population_Tables!R6)*Population_Tables!F6)-Q32</f>
        <v>0</v>
      </c>
      <c r="AD32" s="459">
        <f>((F32/Population_Tables!S6)*Population_Tables!G6)-R32</f>
        <v>0</v>
      </c>
      <c r="AE32" s="459">
        <f>((G32/Population_Tables!T6)*Population_Tables!H6)-S32</f>
        <v>0</v>
      </c>
      <c r="AF32" s="459">
        <f>(H32/Population_Tables!U6)*Population_Tables!I6</f>
        <v>0</v>
      </c>
      <c r="AG32" s="459">
        <f>(I32/Population_Tables!V6)*Population_Tables!J6</f>
        <v>0</v>
      </c>
      <c r="AH32" s="459">
        <f>(J32/Population_Tables!W6)*Population_Tables!K6</f>
        <v>0</v>
      </c>
      <c r="AI32" s="459">
        <f>(K32/Population_Tables!X6)*Population_Tables!L6</f>
        <v>0</v>
      </c>
      <c r="AK32" s="456">
        <v>2017</v>
      </c>
      <c r="AL32" s="459">
        <f t="shared" si="5"/>
        <v>333.95339914478626</v>
      </c>
      <c r="AM32" s="459">
        <f t="shared" si="2"/>
        <v>0</v>
      </c>
      <c r="AN32" s="459">
        <f t="shared" si="2"/>
        <v>0</v>
      </c>
      <c r="AO32" s="459">
        <f t="shared" si="2"/>
        <v>0</v>
      </c>
      <c r="AP32" s="459">
        <f t="shared" si="2"/>
        <v>0</v>
      </c>
      <c r="AQ32" s="459">
        <f t="shared" si="2"/>
        <v>0</v>
      </c>
      <c r="AR32" s="459">
        <f t="shared" si="2"/>
        <v>0</v>
      </c>
      <c r="AS32" s="459">
        <f t="shared" si="2"/>
        <v>0</v>
      </c>
      <c r="AT32" s="459">
        <f t="shared" si="2"/>
        <v>0</v>
      </c>
      <c r="AU32" s="459">
        <f t="shared" si="2"/>
        <v>0</v>
      </c>
      <c r="AW32" s="216">
        <f>(B32/Population_Tables!O6)*Population_Tables!C6</f>
        <v>333.95339914478626</v>
      </c>
      <c r="AX32" s="153" t="str">
        <f t="shared" si="6"/>
        <v>OK</v>
      </c>
      <c r="AY32" s="421">
        <f t="shared" si="3"/>
        <v>0</v>
      </c>
      <c r="AZ32" s="153" t="str">
        <f t="shared" si="4"/>
        <v>OK</v>
      </c>
      <c r="BB32" s="216">
        <f>(C32/Population_Tables!P6)*Population_Tables!D6</f>
        <v>0</v>
      </c>
      <c r="BC32" s="216">
        <f>(D32/Population_Tables!Q6)*Population_Tables!E6</f>
        <v>0</v>
      </c>
      <c r="BD32" s="216">
        <f>(E32/Population_Tables!R6)*Population_Tables!F6</f>
        <v>0</v>
      </c>
      <c r="BE32" s="216">
        <f>(F32/Population_Tables!S6)*Population_Tables!G6</f>
        <v>0</v>
      </c>
      <c r="BF32" s="216">
        <f>(G32/Population_Tables!T6)*Population_Tables!H6</f>
        <v>0</v>
      </c>
      <c r="BG32" s="216"/>
      <c r="BN32" s="216"/>
      <c r="BO32" s="216"/>
      <c r="BP32" s="216"/>
    </row>
    <row r="33" spans="1:68" ht="15.6" x14ac:dyDescent="0.3">
      <c r="A33" s="194">
        <v>2018</v>
      </c>
      <c r="B33" s="229">
        <v>342.31068184555227</v>
      </c>
      <c r="C33" s="229"/>
      <c r="D33" s="229"/>
      <c r="E33" s="229"/>
      <c r="F33" s="229"/>
      <c r="G33" s="229"/>
      <c r="H33" s="229"/>
      <c r="I33" s="229"/>
      <c r="J33" s="229"/>
      <c r="K33" s="229"/>
      <c r="M33" s="194">
        <v>2018</v>
      </c>
      <c r="N33" s="521"/>
      <c r="O33" s="522"/>
      <c r="P33" s="522"/>
      <c r="Q33" s="522"/>
      <c r="R33" s="522"/>
      <c r="S33" s="522"/>
      <c r="T33" s="522"/>
      <c r="U33" s="522"/>
      <c r="V33" s="522"/>
      <c r="W33" s="522"/>
      <c r="Y33" s="456">
        <v>2018</v>
      </c>
      <c r="Z33" s="459">
        <f>((B33/Population_Tables!O7)*Population_Tables!C7)-N33</f>
        <v>342.31015907953446</v>
      </c>
      <c r="AA33" s="459">
        <f>((C33/Population_Tables!P7)*Population_Tables!D7)-O33</f>
        <v>0</v>
      </c>
      <c r="AB33" s="459">
        <f>((D33/Population_Tables!Q7)*Population_Tables!E7)-P33</f>
        <v>0</v>
      </c>
      <c r="AC33" s="459">
        <f>((E33/Population_Tables!R7)*Population_Tables!F7)-Q33</f>
        <v>0</v>
      </c>
      <c r="AD33" s="459">
        <f>((F33/Population_Tables!S7)*Population_Tables!G7)-R33</f>
        <v>0</v>
      </c>
      <c r="AE33" s="459">
        <f>((G33/Population_Tables!T7)*Population_Tables!H7)-S33</f>
        <v>0</v>
      </c>
      <c r="AF33" s="459">
        <f>(H33/Population_Tables!U7)*Population_Tables!I7</f>
        <v>0</v>
      </c>
      <c r="AG33" s="459">
        <f>(I33/Population_Tables!V7)*Population_Tables!J7</f>
        <v>0</v>
      </c>
      <c r="AH33" s="459">
        <f>(J33/Population_Tables!W7)*Population_Tables!K7</f>
        <v>0</v>
      </c>
      <c r="AI33" s="459">
        <f>(K33/Population_Tables!X7)*Population_Tables!L7</f>
        <v>0</v>
      </c>
      <c r="AK33" s="456">
        <v>2018</v>
      </c>
      <c r="AL33" s="459">
        <f t="shared" si="5"/>
        <v>342.31015907953446</v>
      </c>
      <c r="AM33" s="459">
        <f t="shared" si="2"/>
        <v>0</v>
      </c>
      <c r="AN33" s="459">
        <f t="shared" si="2"/>
        <v>0</v>
      </c>
      <c r="AO33" s="459">
        <f t="shared" si="2"/>
        <v>0</v>
      </c>
      <c r="AP33" s="459">
        <f t="shared" si="2"/>
        <v>0</v>
      </c>
      <c r="AQ33" s="459">
        <f t="shared" si="2"/>
        <v>0</v>
      </c>
      <c r="AR33" s="459">
        <f t="shared" si="2"/>
        <v>0</v>
      </c>
      <c r="AS33" s="459">
        <f t="shared" si="2"/>
        <v>0</v>
      </c>
      <c r="AT33" s="459">
        <f t="shared" si="2"/>
        <v>0</v>
      </c>
      <c r="AU33" s="459">
        <f t="shared" si="2"/>
        <v>0</v>
      </c>
      <c r="AW33" s="216">
        <f>(B33/Population_Tables!O7)*Population_Tables!C7</f>
        <v>342.31015907953446</v>
      </c>
      <c r="AX33" s="153" t="str">
        <f t="shared" si="6"/>
        <v>OK</v>
      </c>
      <c r="AY33" s="421">
        <f t="shared" si="3"/>
        <v>0</v>
      </c>
      <c r="AZ33" s="153" t="str">
        <f t="shared" si="4"/>
        <v>OK</v>
      </c>
      <c r="BB33" s="216">
        <f>(C33/Population_Tables!P7)*Population_Tables!D7</f>
        <v>0</v>
      </c>
      <c r="BC33" s="216">
        <f>(D33/Population_Tables!Q7)*Population_Tables!E7</f>
        <v>0</v>
      </c>
      <c r="BD33" s="216">
        <f>(E33/Population_Tables!R7)*Population_Tables!F7</f>
        <v>0</v>
      </c>
      <c r="BE33" s="216">
        <f>(F33/Population_Tables!S7)*Population_Tables!G7</f>
        <v>0</v>
      </c>
      <c r="BF33" s="216">
        <f>(G33/Population_Tables!T7)*Population_Tables!H7</f>
        <v>0</v>
      </c>
      <c r="BG33" s="216"/>
      <c r="BN33" s="216"/>
      <c r="BO33" s="216"/>
      <c r="BP33" s="216"/>
    </row>
    <row r="34" spans="1:68" ht="16.2" thickBot="1" x14ac:dyDescent="0.35">
      <c r="A34" s="198">
        <v>2019</v>
      </c>
      <c r="B34" s="230">
        <v>351.05682922891447</v>
      </c>
      <c r="C34" s="230"/>
      <c r="D34" s="230"/>
      <c r="E34" s="230"/>
      <c r="F34" s="230"/>
      <c r="G34" s="230"/>
      <c r="H34" s="230"/>
      <c r="I34" s="230"/>
      <c r="J34" s="230"/>
      <c r="K34" s="230"/>
      <c r="M34" s="198">
        <v>2019</v>
      </c>
      <c r="N34" s="521"/>
      <c r="O34" s="522"/>
      <c r="P34" s="522"/>
      <c r="Q34" s="522"/>
      <c r="R34" s="522"/>
      <c r="S34" s="522"/>
      <c r="T34" s="522"/>
      <c r="U34" s="522"/>
      <c r="V34" s="522"/>
      <c r="W34" s="522"/>
      <c r="Y34" s="456">
        <v>2019</v>
      </c>
      <c r="Z34" s="459">
        <f>((B34/Population_Tables!O8)*Population_Tables!C8)-N34</f>
        <v>351.05630870906208</v>
      </c>
      <c r="AA34" s="459">
        <f>((C34/Population_Tables!P8)*Population_Tables!D8)-O34</f>
        <v>0</v>
      </c>
      <c r="AB34" s="459">
        <f>((D34/Population_Tables!Q8)*Population_Tables!E8)-P34</f>
        <v>0</v>
      </c>
      <c r="AC34" s="459">
        <f>((E34/Population_Tables!R8)*Population_Tables!F8)-Q34</f>
        <v>0</v>
      </c>
      <c r="AD34" s="459">
        <f>((F34/Population_Tables!S8)*Population_Tables!G8)-R34</f>
        <v>0</v>
      </c>
      <c r="AE34" s="459">
        <f>((G34/Population_Tables!T8)*Population_Tables!H8)-S34</f>
        <v>0</v>
      </c>
      <c r="AF34" s="459">
        <f>(H34/Population_Tables!U8)*Population_Tables!I8</f>
        <v>0</v>
      </c>
      <c r="AG34" s="459">
        <f>(I34/Population_Tables!V8)*Population_Tables!J8</f>
        <v>0</v>
      </c>
      <c r="AH34" s="459">
        <f>(J34/Population_Tables!W8)*Population_Tables!K8</f>
        <v>0</v>
      </c>
      <c r="AI34" s="459">
        <f>(K34/Population_Tables!X8)*Population_Tables!L8</f>
        <v>0</v>
      </c>
      <c r="AK34" s="456">
        <v>2019</v>
      </c>
      <c r="AL34" s="459">
        <f t="shared" si="5"/>
        <v>351.05630870906208</v>
      </c>
      <c r="AM34" s="459">
        <f t="shared" si="2"/>
        <v>0</v>
      </c>
      <c r="AN34" s="459">
        <f t="shared" si="2"/>
        <v>0</v>
      </c>
      <c r="AO34" s="459">
        <f t="shared" si="2"/>
        <v>0</v>
      </c>
      <c r="AP34" s="459">
        <f t="shared" si="2"/>
        <v>0</v>
      </c>
      <c r="AQ34" s="459">
        <f t="shared" si="2"/>
        <v>0</v>
      </c>
      <c r="AR34" s="459">
        <f t="shared" si="2"/>
        <v>0</v>
      </c>
      <c r="AS34" s="459">
        <f t="shared" si="2"/>
        <v>0</v>
      </c>
      <c r="AT34" s="459">
        <f t="shared" si="2"/>
        <v>0</v>
      </c>
      <c r="AU34" s="459">
        <f t="shared" si="2"/>
        <v>0</v>
      </c>
      <c r="AW34" s="216">
        <f>(B34/Population_Tables!O8)*Population_Tables!C8</f>
        <v>351.05630870906208</v>
      </c>
      <c r="AX34" s="153" t="str">
        <f t="shared" si="6"/>
        <v>OK</v>
      </c>
      <c r="AY34" s="421">
        <f t="shared" si="3"/>
        <v>0</v>
      </c>
      <c r="AZ34" s="153" t="str">
        <f t="shared" si="4"/>
        <v>OK</v>
      </c>
      <c r="BB34" s="216">
        <f>(C34/Population_Tables!P8)*Population_Tables!D8</f>
        <v>0</v>
      </c>
      <c r="BC34" s="216">
        <f>(D34/Population_Tables!Q8)*Population_Tables!E8</f>
        <v>0</v>
      </c>
      <c r="BD34" s="216">
        <f>(E34/Population_Tables!R8)*Population_Tables!F8</f>
        <v>0</v>
      </c>
      <c r="BE34" s="216">
        <f>(F34/Population_Tables!S8)*Population_Tables!G8</f>
        <v>0</v>
      </c>
      <c r="BF34" s="216">
        <f>(G34/Population_Tables!T8)*Population_Tables!H8</f>
        <v>0</v>
      </c>
      <c r="BG34" s="216"/>
      <c r="BN34" s="216"/>
      <c r="BO34" s="216"/>
      <c r="BP34" s="216"/>
    </row>
    <row r="35" spans="1:68" ht="15.6" x14ac:dyDescent="0.3">
      <c r="A35" s="201">
        <v>2020</v>
      </c>
      <c r="B35" s="228">
        <v>360.18653774198049</v>
      </c>
      <c r="C35" s="228"/>
      <c r="D35" s="228"/>
      <c r="E35" s="228"/>
      <c r="F35" s="228"/>
      <c r="G35" s="228"/>
      <c r="H35" s="228"/>
      <c r="I35" s="228"/>
      <c r="J35" s="228"/>
      <c r="K35" s="228"/>
      <c r="M35" s="201">
        <v>2020</v>
      </c>
      <c r="N35" s="521"/>
      <c r="O35" s="522"/>
      <c r="P35" s="522"/>
      <c r="Q35" s="522"/>
      <c r="R35" s="522"/>
      <c r="S35" s="522"/>
      <c r="T35" s="522"/>
      <c r="U35" s="522"/>
      <c r="V35" s="522"/>
      <c r="W35" s="522"/>
      <c r="Y35" s="456">
        <v>2020</v>
      </c>
      <c r="Z35" s="459">
        <f>((B35/Population_Tables!O9)*Population_Tables!C9)-N35</f>
        <v>360.18601807994702</v>
      </c>
      <c r="AA35" s="459">
        <f>((C35/Population_Tables!P9)*Population_Tables!D9)-O35</f>
        <v>0</v>
      </c>
      <c r="AB35" s="459">
        <f>((D35/Population_Tables!Q9)*Population_Tables!E9)-P35</f>
        <v>0</v>
      </c>
      <c r="AC35" s="459">
        <f>((E35/Population_Tables!R9)*Population_Tables!F9)-Q35</f>
        <v>0</v>
      </c>
      <c r="AD35" s="459">
        <f>((F35/Population_Tables!S9)*Population_Tables!G9)-R35</f>
        <v>0</v>
      </c>
      <c r="AE35" s="459">
        <f>((G35/Population_Tables!T9)*Population_Tables!H9)-S35</f>
        <v>0</v>
      </c>
      <c r="AF35" s="459">
        <f>(H35/Population_Tables!U9)*Population_Tables!I9</f>
        <v>0</v>
      </c>
      <c r="AG35" s="459">
        <f>(I35/Population_Tables!V9)*Population_Tables!J9</f>
        <v>0</v>
      </c>
      <c r="AH35" s="459">
        <f>(J35/Population_Tables!W9)*Population_Tables!K9</f>
        <v>0</v>
      </c>
      <c r="AI35" s="459">
        <f>(K35/Population_Tables!X9)*Population_Tables!L9</f>
        <v>0</v>
      </c>
      <c r="AK35" s="456">
        <v>2020</v>
      </c>
      <c r="AL35" s="459">
        <f t="shared" si="5"/>
        <v>360.18601807994702</v>
      </c>
      <c r="AM35" s="459">
        <f t="shared" si="2"/>
        <v>0</v>
      </c>
      <c r="AN35" s="459">
        <f t="shared" si="2"/>
        <v>0</v>
      </c>
      <c r="AO35" s="459">
        <f t="shared" si="2"/>
        <v>0</v>
      </c>
      <c r="AP35" s="459">
        <f t="shared" si="2"/>
        <v>0</v>
      </c>
      <c r="AQ35" s="459">
        <f t="shared" si="2"/>
        <v>0</v>
      </c>
      <c r="AR35" s="459">
        <f t="shared" si="2"/>
        <v>0</v>
      </c>
      <c r="AS35" s="459">
        <f t="shared" si="2"/>
        <v>0</v>
      </c>
      <c r="AT35" s="459">
        <f t="shared" si="2"/>
        <v>0</v>
      </c>
      <c r="AU35" s="459">
        <f t="shared" si="2"/>
        <v>0</v>
      </c>
      <c r="AW35" s="216">
        <f>(B35/Population_Tables!O9)*Population_Tables!C9</f>
        <v>360.18601807994702</v>
      </c>
      <c r="AX35" s="153" t="str">
        <f t="shared" si="6"/>
        <v>OK</v>
      </c>
      <c r="AY35" s="421">
        <f t="shared" si="3"/>
        <v>0</v>
      </c>
      <c r="AZ35" s="153" t="str">
        <f t="shared" si="4"/>
        <v>OK</v>
      </c>
      <c r="BB35" s="216">
        <f>(C35/Population_Tables!P9)*Population_Tables!D9</f>
        <v>0</v>
      </c>
      <c r="BC35" s="216">
        <f>(D35/Population_Tables!Q9)*Population_Tables!E9</f>
        <v>0</v>
      </c>
      <c r="BD35" s="216">
        <f>(E35/Population_Tables!R9)*Population_Tables!F9</f>
        <v>0</v>
      </c>
      <c r="BE35" s="216">
        <f>(F35/Population_Tables!S9)*Population_Tables!G9</f>
        <v>0</v>
      </c>
      <c r="BF35" s="216">
        <f>(G35/Population_Tables!T9)*Population_Tables!H9</f>
        <v>0</v>
      </c>
      <c r="BG35" s="216"/>
      <c r="BN35" s="216"/>
      <c r="BO35" s="216"/>
      <c r="BP35" s="216"/>
    </row>
    <row r="36" spans="1:68" ht="15.6" x14ac:dyDescent="0.3">
      <c r="A36" s="206">
        <v>2021</v>
      </c>
      <c r="B36" s="229">
        <v>369.6939775397193</v>
      </c>
      <c r="C36" s="229"/>
      <c r="D36" s="229"/>
      <c r="E36" s="229"/>
      <c r="F36" s="229"/>
      <c r="G36" s="229"/>
      <c r="H36" s="229"/>
      <c r="I36" s="229"/>
      <c r="J36" s="229"/>
      <c r="K36" s="229"/>
      <c r="M36" s="206">
        <v>2021</v>
      </c>
      <c r="N36" s="521"/>
      <c r="O36" s="522"/>
      <c r="P36" s="522"/>
      <c r="Q36" s="522"/>
      <c r="R36" s="522"/>
      <c r="S36" s="522"/>
      <c r="T36" s="522"/>
      <c r="U36" s="522"/>
      <c r="V36" s="522"/>
      <c r="W36" s="522"/>
      <c r="Y36" s="456">
        <v>2021</v>
      </c>
      <c r="Z36" s="459">
        <f>((B36/Population_Tables!O10)*Population_Tables!C10)-N36</f>
        <v>370.16148045198361</v>
      </c>
      <c r="AA36" s="459">
        <f>((C36/Population_Tables!P10)*Population_Tables!D10)-O36</f>
        <v>0</v>
      </c>
      <c r="AB36" s="459">
        <f>((D36/Population_Tables!Q10)*Population_Tables!E10)-P36</f>
        <v>0</v>
      </c>
      <c r="AC36" s="459">
        <f>((E36/Population_Tables!R10)*Population_Tables!F10)-Q36</f>
        <v>0</v>
      </c>
      <c r="AD36" s="459">
        <f>((F36/Population_Tables!S10)*Population_Tables!G10)-R36</f>
        <v>0</v>
      </c>
      <c r="AE36" s="459">
        <f>((G36/Population_Tables!T10)*Population_Tables!H10)-S36</f>
        <v>0</v>
      </c>
      <c r="AF36" s="459">
        <f>(H36/Population_Tables!U10)*Population_Tables!I10</f>
        <v>0</v>
      </c>
      <c r="AG36" s="459">
        <f>(I36/Population_Tables!V10)*Population_Tables!J10</f>
        <v>0</v>
      </c>
      <c r="AH36" s="459">
        <f>(J36/Population_Tables!W10)*Population_Tables!K10</f>
        <v>0</v>
      </c>
      <c r="AI36" s="459">
        <f>(K36/Population_Tables!X10)*Population_Tables!L10</f>
        <v>0</v>
      </c>
      <c r="AK36" s="456">
        <v>2021</v>
      </c>
      <c r="AL36" s="459">
        <f t="shared" si="5"/>
        <v>370.16148045198361</v>
      </c>
      <c r="AM36" s="459">
        <f t="shared" si="2"/>
        <v>0</v>
      </c>
      <c r="AN36" s="459">
        <f t="shared" si="2"/>
        <v>0</v>
      </c>
      <c r="AO36" s="459">
        <f t="shared" si="2"/>
        <v>0</v>
      </c>
      <c r="AP36" s="459">
        <f t="shared" si="2"/>
        <v>0</v>
      </c>
      <c r="AQ36" s="459">
        <f t="shared" si="2"/>
        <v>0</v>
      </c>
      <c r="AR36" s="459">
        <f t="shared" si="2"/>
        <v>0</v>
      </c>
      <c r="AS36" s="459">
        <f t="shared" si="2"/>
        <v>0</v>
      </c>
      <c r="AT36" s="459">
        <f t="shared" si="2"/>
        <v>0</v>
      </c>
      <c r="AU36" s="459">
        <f t="shared" si="2"/>
        <v>0</v>
      </c>
      <c r="AW36" s="216">
        <f>(B36/Population_Tables!O10)*Population_Tables!C10</f>
        <v>370.16148045198361</v>
      </c>
      <c r="AX36" s="153" t="str">
        <f t="shared" si="6"/>
        <v>OK</v>
      </c>
      <c r="AY36" s="421">
        <f t="shared" si="3"/>
        <v>0</v>
      </c>
      <c r="AZ36" s="153" t="str">
        <f t="shared" si="4"/>
        <v>OK</v>
      </c>
      <c r="BB36" s="216">
        <f>(C36/Population_Tables!P10)*Population_Tables!D10</f>
        <v>0</v>
      </c>
      <c r="BC36" s="216">
        <f>(D36/Population_Tables!Q10)*Population_Tables!E10</f>
        <v>0</v>
      </c>
      <c r="BD36" s="216">
        <f>(E36/Population_Tables!R10)*Population_Tables!F10</f>
        <v>0</v>
      </c>
      <c r="BE36" s="216">
        <f>(F36/Population_Tables!S10)*Population_Tables!G10</f>
        <v>0</v>
      </c>
      <c r="BF36" s="216">
        <f>(G36/Population_Tables!T10)*Population_Tables!H10</f>
        <v>0</v>
      </c>
      <c r="BG36" s="216"/>
      <c r="BN36" s="216"/>
      <c r="BO36" s="216"/>
      <c r="BP36" s="216"/>
    </row>
    <row r="37" spans="1:68" ht="15.6" x14ac:dyDescent="0.3">
      <c r="A37" s="206">
        <v>2022</v>
      </c>
      <c r="B37" s="229">
        <v>379.57331877709993</v>
      </c>
      <c r="C37" s="229"/>
      <c r="D37" s="229"/>
      <c r="E37" s="229"/>
      <c r="F37" s="229"/>
      <c r="G37" s="229"/>
      <c r="H37" s="229"/>
      <c r="I37" s="229"/>
      <c r="J37" s="229"/>
      <c r="K37" s="229"/>
      <c r="M37" s="206">
        <v>2022</v>
      </c>
      <c r="N37" s="521"/>
      <c r="O37" s="522"/>
      <c r="P37" s="522"/>
      <c r="Q37" s="522"/>
      <c r="R37" s="522"/>
      <c r="S37" s="522"/>
      <c r="T37" s="522"/>
      <c r="U37" s="522"/>
      <c r="V37" s="522"/>
      <c r="W37" s="522"/>
      <c r="Y37" s="456">
        <v>2022</v>
      </c>
      <c r="Z37" s="459">
        <f>((B37/Population_Tables!O11)*Population_Tables!C11)-N37</f>
        <v>380.64701724645766</v>
      </c>
      <c r="AA37" s="459">
        <f>((C37/Population_Tables!P11)*Population_Tables!D11)-O37</f>
        <v>0</v>
      </c>
      <c r="AB37" s="459">
        <f>((D37/Population_Tables!Q11)*Population_Tables!E11)-P37</f>
        <v>0</v>
      </c>
      <c r="AC37" s="459">
        <f>((E37/Population_Tables!R11)*Population_Tables!F11)-Q37</f>
        <v>0</v>
      </c>
      <c r="AD37" s="459">
        <f>((F37/Population_Tables!S11)*Population_Tables!G11)-R37</f>
        <v>0</v>
      </c>
      <c r="AE37" s="459">
        <f>((G37/Population_Tables!T11)*Population_Tables!H11)-S37</f>
        <v>0</v>
      </c>
      <c r="AF37" s="459">
        <f>(H37/Population_Tables!U11)*Population_Tables!I11</f>
        <v>0</v>
      </c>
      <c r="AG37" s="459">
        <f>(I37/Population_Tables!V11)*Population_Tables!J11</f>
        <v>0</v>
      </c>
      <c r="AH37" s="459">
        <f>(J37/Population_Tables!W11)*Population_Tables!K11</f>
        <v>0</v>
      </c>
      <c r="AI37" s="459">
        <f>(K37/Population_Tables!X11)*Population_Tables!L11</f>
        <v>0</v>
      </c>
      <c r="AK37" s="456">
        <v>2022</v>
      </c>
      <c r="AL37" s="459">
        <f t="shared" si="5"/>
        <v>380.64701724645766</v>
      </c>
      <c r="AM37" s="459">
        <f t="shared" si="2"/>
        <v>0</v>
      </c>
      <c r="AN37" s="459">
        <f t="shared" si="2"/>
        <v>0</v>
      </c>
      <c r="AO37" s="459">
        <f t="shared" si="2"/>
        <v>0</v>
      </c>
      <c r="AP37" s="459">
        <f t="shared" si="2"/>
        <v>0</v>
      </c>
      <c r="AQ37" s="459">
        <f t="shared" si="2"/>
        <v>0</v>
      </c>
      <c r="AR37" s="459">
        <f t="shared" si="2"/>
        <v>0</v>
      </c>
      <c r="AS37" s="459">
        <f t="shared" si="2"/>
        <v>0</v>
      </c>
      <c r="AT37" s="459">
        <f t="shared" si="2"/>
        <v>0</v>
      </c>
      <c r="AU37" s="459">
        <f t="shared" si="2"/>
        <v>0</v>
      </c>
      <c r="AW37" s="216">
        <f>(B37/Population_Tables!O11)*Population_Tables!C11</f>
        <v>380.64701724645766</v>
      </c>
      <c r="AX37" s="153" t="str">
        <f t="shared" si="6"/>
        <v>OK</v>
      </c>
      <c r="AY37" s="421">
        <f t="shared" si="3"/>
        <v>0</v>
      </c>
      <c r="AZ37" s="153" t="str">
        <f t="shared" si="4"/>
        <v>OK</v>
      </c>
      <c r="BB37" s="216">
        <f>(C37/Population_Tables!P11)*Population_Tables!D11</f>
        <v>0</v>
      </c>
      <c r="BC37" s="216">
        <f>(D37/Population_Tables!Q11)*Population_Tables!E11</f>
        <v>0</v>
      </c>
      <c r="BD37" s="216">
        <f>(E37/Population_Tables!R11)*Population_Tables!F11</f>
        <v>0</v>
      </c>
      <c r="BE37" s="216">
        <f>(F37/Population_Tables!S11)*Population_Tables!G11</f>
        <v>0</v>
      </c>
      <c r="BF37" s="216">
        <f>(G37/Population_Tables!T11)*Population_Tables!H11</f>
        <v>0</v>
      </c>
      <c r="BG37" s="216"/>
      <c r="BN37" s="216"/>
      <c r="BO37" s="216"/>
      <c r="BP37" s="216"/>
    </row>
    <row r="38" spans="1:68" ht="15.6" x14ac:dyDescent="0.3">
      <c r="A38" s="206">
        <v>2023</v>
      </c>
      <c r="B38" s="229">
        <v>389.81873160909151</v>
      </c>
      <c r="C38" s="229"/>
      <c r="D38" s="229"/>
      <c r="E38" s="229"/>
      <c r="F38" s="229"/>
      <c r="G38" s="229"/>
      <c r="H38" s="229"/>
      <c r="I38" s="229"/>
      <c r="J38" s="229"/>
      <c r="K38" s="229"/>
      <c r="M38" s="206">
        <v>2023</v>
      </c>
      <c r="N38" s="521"/>
      <c r="O38" s="522"/>
      <c r="P38" s="522"/>
      <c r="Q38" s="522"/>
      <c r="R38" s="522"/>
      <c r="S38" s="522"/>
      <c r="T38" s="522"/>
      <c r="U38" s="522"/>
      <c r="V38" s="522"/>
      <c r="W38" s="522"/>
      <c r="Y38" s="456">
        <v>2023</v>
      </c>
      <c r="Z38" s="459">
        <f>((B38/Population_Tables!O12)*Population_Tables!C12)-N38</f>
        <v>391.62774259023792</v>
      </c>
      <c r="AA38" s="459">
        <f>((C38/Population_Tables!P12)*Population_Tables!D12)-O38</f>
        <v>0</v>
      </c>
      <c r="AB38" s="459">
        <f>((D38/Population_Tables!Q12)*Population_Tables!E12)-P38</f>
        <v>0</v>
      </c>
      <c r="AC38" s="459">
        <f>((E38/Population_Tables!R12)*Population_Tables!F12)-Q38</f>
        <v>0</v>
      </c>
      <c r="AD38" s="459">
        <f>((F38/Population_Tables!S12)*Population_Tables!G12)-R38</f>
        <v>0</v>
      </c>
      <c r="AE38" s="459">
        <f>((G38/Population_Tables!T12)*Population_Tables!H12)-S38</f>
        <v>0</v>
      </c>
      <c r="AF38" s="459">
        <f>(H38/Population_Tables!U12)*Population_Tables!I12</f>
        <v>0</v>
      </c>
      <c r="AG38" s="459">
        <f>(I38/Population_Tables!V12)*Population_Tables!J12</f>
        <v>0</v>
      </c>
      <c r="AH38" s="459">
        <f>(J38/Population_Tables!W12)*Population_Tables!K12</f>
        <v>0</v>
      </c>
      <c r="AI38" s="459">
        <f>(K38/Population_Tables!X12)*Population_Tables!L12</f>
        <v>0</v>
      </c>
      <c r="AK38" s="456">
        <v>2023</v>
      </c>
      <c r="AL38" s="459">
        <f t="shared" si="5"/>
        <v>391.62774259023792</v>
      </c>
      <c r="AM38" s="459">
        <f t="shared" si="2"/>
        <v>0</v>
      </c>
      <c r="AN38" s="459">
        <f t="shared" si="2"/>
        <v>0</v>
      </c>
      <c r="AO38" s="459">
        <f t="shared" si="2"/>
        <v>0</v>
      </c>
      <c r="AP38" s="459">
        <f t="shared" si="2"/>
        <v>0</v>
      </c>
      <c r="AQ38" s="459">
        <f t="shared" si="2"/>
        <v>0</v>
      </c>
      <c r="AR38" s="459">
        <f t="shared" si="2"/>
        <v>0</v>
      </c>
      <c r="AS38" s="459">
        <f t="shared" si="2"/>
        <v>0</v>
      </c>
      <c r="AT38" s="459">
        <f t="shared" si="2"/>
        <v>0</v>
      </c>
      <c r="AU38" s="459">
        <f t="shared" si="2"/>
        <v>0</v>
      </c>
      <c r="AW38" s="216">
        <f>(B38/Population_Tables!O12)*Population_Tables!C12</f>
        <v>391.62774259023792</v>
      </c>
      <c r="AX38" s="153" t="str">
        <f t="shared" si="6"/>
        <v>OK</v>
      </c>
      <c r="AY38" s="421">
        <f t="shared" si="3"/>
        <v>0</v>
      </c>
      <c r="AZ38" s="153" t="str">
        <f t="shared" si="4"/>
        <v>OK</v>
      </c>
      <c r="BB38" s="216">
        <f>(C38/Population_Tables!P12)*Population_Tables!D12</f>
        <v>0</v>
      </c>
      <c r="BC38" s="216">
        <f>(D38/Population_Tables!Q12)*Population_Tables!E12</f>
        <v>0</v>
      </c>
      <c r="BD38" s="216">
        <f>(E38/Population_Tables!R12)*Population_Tables!F12</f>
        <v>0</v>
      </c>
      <c r="BE38" s="216">
        <f>(F38/Population_Tables!S12)*Population_Tables!G12</f>
        <v>0</v>
      </c>
      <c r="BF38" s="216">
        <f>(G38/Population_Tables!T12)*Population_Tables!H12</f>
        <v>0</v>
      </c>
      <c r="BG38" s="216"/>
      <c r="BN38" s="216"/>
      <c r="BO38" s="216"/>
      <c r="BP38" s="216"/>
    </row>
    <row r="39" spans="1:68" ht="15.6" x14ac:dyDescent="0.3">
      <c r="A39" s="206">
        <v>2024</v>
      </c>
      <c r="B39" s="229">
        <v>400.42438619066303</v>
      </c>
      <c r="C39" s="229"/>
      <c r="D39" s="229"/>
      <c r="E39" s="229"/>
      <c r="F39" s="229"/>
      <c r="G39" s="229"/>
      <c r="H39" s="229"/>
      <c r="I39" s="229"/>
      <c r="J39" s="229"/>
      <c r="K39" s="229"/>
      <c r="M39" s="206">
        <v>2024</v>
      </c>
      <c r="N39" s="521"/>
      <c r="O39" s="522"/>
      <c r="P39" s="522"/>
      <c r="Q39" s="522"/>
      <c r="R39" s="522"/>
      <c r="S39" s="522"/>
      <c r="T39" s="522"/>
      <c r="U39" s="522"/>
      <c r="V39" s="522"/>
      <c r="W39" s="522"/>
      <c r="Y39" s="456">
        <v>2024</v>
      </c>
      <c r="Z39" s="459">
        <f>((B39/Population_Tables!O13)*Population_Tables!C13)-N39</f>
        <v>403.09645194190801</v>
      </c>
      <c r="AA39" s="459">
        <f>((C39/Population_Tables!P13)*Population_Tables!D13)-O39</f>
        <v>0</v>
      </c>
      <c r="AB39" s="459">
        <f>((D39/Population_Tables!Q13)*Population_Tables!E13)-P39</f>
        <v>0</v>
      </c>
      <c r="AC39" s="459">
        <f>((E39/Population_Tables!R13)*Population_Tables!F13)-Q39</f>
        <v>0</v>
      </c>
      <c r="AD39" s="459">
        <f>((F39/Population_Tables!S13)*Population_Tables!G13)-R39</f>
        <v>0</v>
      </c>
      <c r="AE39" s="459">
        <f>((G39/Population_Tables!T13)*Population_Tables!H13)-S39</f>
        <v>0</v>
      </c>
      <c r="AF39" s="459">
        <f>(H39/Population_Tables!U13)*Population_Tables!I13</f>
        <v>0</v>
      </c>
      <c r="AG39" s="459">
        <f>(I39/Population_Tables!V13)*Population_Tables!J13</f>
        <v>0</v>
      </c>
      <c r="AH39" s="459">
        <f>(J39/Population_Tables!W13)*Population_Tables!K13</f>
        <v>0</v>
      </c>
      <c r="AI39" s="459">
        <f>(K39/Population_Tables!X13)*Population_Tables!L13</f>
        <v>0</v>
      </c>
      <c r="AK39" s="456">
        <v>2024</v>
      </c>
      <c r="AL39" s="459">
        <f t="shared" si="5"/>
        <v>403.09645194190801</v>
      </c>
      <c r="AM39" s="459">
        <f t="shared" si="2"/>
        <v>0</v>
      </c>
      <c r="AN39" s="459">
        <f t="shared" si="2"/>
        <v>0</v>
      </c>
      <c r="AO39" s="459">
        <f t="shared" si="2"/>
        <v>0</v>
      </c>
      <c r="AP39" s="459">
        <f t="shared" si="2"/>
        <v>0</v>
      </c>
      <c r="AQ39" s="459">
        <f t="shared" si="2"/>
        <v>0</v>
      </c>
      <c r="AR39" s="459">
        <f t="shared" si="2"/>
        <v>0</v>
      </c>
      <c r="AS39" s="459">
        <f t="shared" si="2"/>
        <v>0</v>
      </c>
      <c r="AT39" s="459">
        <f t="shared" si="2"/>
        <v>0</v>
      </c>
      <c r="AU39" s="459">
        <f t="shared" si="2"/>
        <v>0</v>
      </c>
      <c r="AW39" s="216">
        <f>(B39/Population_Tables!O13)*Population_Tables!C13</f>
        <v>403.09645194190801</v>
      </c>
      <c r="AX39" s="153" t="str">
        <f t="shared" si="6"/>
        <v>OK</v>
      </c>
      <c r="AY39" s="421">
        <f t="shared" si="3"/>
        <v>0</v>
      </c>
      <c r="AZ39" s="153" t="str">
        <f t="shared" si="4"/>
        <v>OK</v>
      </c>
      <c r="BB39" s="216">
        <f>(C39/Population_Tables!P13)*Population_Tables!D13</f>
        <v>0</v>
      </c>
      <c r="BC39" s="216">
        <f>(D39/Population_Tables!Q13)*Population_Tables!E13</f>
        <v>0</v>
      </c>
      <c r="BD39" s="216">
        <f>(E39/Population_Tables!R13)*Population_Tables!F13</f>
        <v>0</v>
      </c>
      <c r="BE39" s="216">
        <f>(F39/Population_Tables!S13)*Population_Tables!G13</f>
        <v>0</v>
      </c>
      <c r="BF39" s="216">
        <f>(G39/Population_Tables!T13)*Population_Tables!H13</f>
        <v>0</v>
      </c>
      <c r="BG39" s="216"/>
      <c r="BN39" s="216"/>
      <c r="BO39" s="216"/>
      <c r="BP39" s="216"/>
    </row>
    <row r="40" spans="1:68" ht="15.6" x14ac:dyDescent="0.3">
      <c r="A40" s="206">
        <v>2025</v>
      </c>
      <c r="B40" s="229">
        <v>411.38445267678355</v>
      </c>
      <c r="C40" s="229"/>
      <c r="D40" s="229"/>
      <c r="E40" s="229"/>
      <c r="F40" s="229"/>
      <c r="G40" s="229"/>
      <c r="H40" s="229"/>
      <c r="I40" s="229"/>
      <c r="J40" s="229"/>
      <c r="K40" s="229"/>
      <c r="M40" s="206">
        <v>2025</v>
      </c>
      <c r="N40" s="521"/>
      <c r="O40" s="522"/>
      <c r="P40" s="522"/>
      <c r="Q40" s="522"/>
      <c r="R40" s="522"/>
      <c r="S40" s="522"/>
      <c r="T40" s="522"/>
      <c r="U40" s="522"/>
      <c r="V40" s="522"/>
      <c r="W40" s="522"/>
      <c r="Y40" s="456">
        <v>2025</v>
      </c>
      <c r="Z40" s="459">
        <f>((B40/Population_Tables!O14)*Population_Tables!C14)-N40</f>
        <v>415.04780583402055</v>
      </c>
      <c r="AA40" s="459">
        <f>((C40/Population_Tables!P14)*Population_Tables!D14)-O40</f>
        <v>0</v>
      </c>
      <c r="AB40" s="459">
        <f>((D40/Population_Tables!Q14)*Population_Tables!E14)-P40</f>
        <v>0</v>
      </c>
      <c r="AC40" s="459">
        <f>((E40/Population_Tables!R14)*Population_Tables!F14)-Q40</f>
        <v>0</v>
      </c>
      <c r="AD40" s="459">
        <f>((F40/Population_Tables!S14)*Population_Tables!G14)-R40</f>
        <v>0</v>
      </c>
      <c r="AE40" s="459">
        <f>((G40/Population_Tables!T14)*Population_Tables!H14)-S40</f>
        <v>0</v>
      </c>
      <c r="AF40" s="459">
        <f>(H40/Population_Tables!U14)*Population_Tables!I14</f>
        <v>0</v>
      </c>
      <c r="AG40" s="459">
        <f>(I40/Population_Tables!V14)*Population_Tables!J14</f>
        <v>0</v>
      </c>
      <c r="AH40" s="459">
        <f>(J40/Population_Tables!W14)*Population_Tables!K14</f>
        <v>0</v>
      </c>
      <c r="AI40" s="459">
        <f>(K40/Population_Tables!X14)*Population_Tables!L14</f>
        <v>0</v>
      </c>
      <c r="AK40" s="456">
        <v>2025</v>
      </c>
      <c r="AL40" s="459">
        <f t="shared" si="5"/>
        <v>415.04780583402055</v>
      </c>
      <c r="AM40" s="459">
        <f t="shared" si="2"/>
        <v>0</v>
      </c>
      <c r="AN40" s="459">
        <f t="shared" si="2"/>
        <v>0</v>
      </c>
      <c r="AO40" s="459">
        <f t="shared" si="2"/>
        <v>0</v>
      </c>
      <c r="AP40" s="459">
        <f t="shared" si="2"/>
        <v>0</v>
      </c>
      <c r="AQ40" s="459">
        <f t="shared" si="2"/>
        <v>0</v>
      </c>
      <c r="AR40" s="459">
        <f t="shared" si="2"/>
        <v>0</v>
      </c>
      <c r="AS40" s="459">
        <f t="shared" si="2"/>
        <v>0</v>
      </c>
      <c r="AT40" s="459">
        <f t="shared" si="2"/>
        <v>0</v>
      </c>
      <c r="AU40" s="459">
        <f t="shared" si="2"/>
        <v>0</v>
      </c>
      <c r="AW40" s="216">
        <f>(B40/Population_Tables!O14)*Population_Tables!C14</f>
        <v>415.04780583402055</v>
      </c>
      <c r="AX40" s="153" t="str">
        <f t="shared" si="6"/>
        <v>OK</v>
      </c>
      <c r="AY40" s="421">
        <f t="shared" si="3"/>
        <v>0</v>
      </c>
      <c r="AZ40" s="153" t="str">
        <f t="shared" si="4"/>
        <v>OK</v>
      </c>
      <c r="BB40" s="216">
        <f>(C40/Population_Tables!P14)*Population_Tables!D14</f>
        <v>0</v>
      </c>
      <c r="BC40" s="216">
        <f>(D40/Population_Tables!Q14)*Population_Tables!E14</f>
        <v>0</v>
      </c>
      <c r="BD40" s="216">
        <f>(E40/Population_Tables!R14)*Population_Tables!F14</f>
        <v>0</v>
      </c>
      <c r="BE40" s="216">
        <f>(F40/Population_Tables!S14)*Population_Tables!G14</f>
        <v>0</v>
      </c>
      <c r="BF40" s="216">
        <f>(G40/Population_Tables!T14)*Population_Tables!H14</f>
        <v>0</v>
      </c>
      <c r="BG40" s="216"/>
      <c r="BN40" s="216"/>
      <c r="BO40" s="216"/>
      <c r="BP40" s="216"/>
    </row>
    <row r="41" spans="1:68" ht="15.6" x14ac:dyDescent="0.3">
      <c r="A41" s="206">
        <v>2026</v>
      </c>
      <c r="B41" s="229">
        <v>422.69310122242211</v>
      </c>
      <c r="C41" s="229"/>
      <c r="D41" s="229"/>
      <c r="E41" s="229"/>
      <c r="F41" s="229"/>
      <c r="G41" s="229"/>
      <c r="H41" s="229"/>
      <c r="I41" s="229"/>
      <c r="J41" s="229"/>
      <c r="K41" s="229"/>
      <c r="M41" s="206">
        <v>2026</v>
      </c>
      <c r="N41" s="521"/>
      <c r="O41" s="522"/>
      <c r="P41" s="522"/>
      <c r="Q41" s="522"/>
      <c r="R41" s="522"/>
      <c r="S41" s="522"/>
      <c r="T41" s="522"/>
      <c r="U41" s="522"/>
      <c r="V41" s="522"/>
      <c r="W41" s="522"/>
      <c r="Y41" s="456">
        <v>2026</v>
      </c>
      <c r="Z41" s="459">
        <f>((B41/Population_Tables!O15)*Population_Tables!C15)-N41</f>
        <v>427.47595594754404</v>
      </c>
      <c r="AA41" s="459">
        <f>((C41/Population_Tables!P15)*Population_Tables!D15)-O41</f>
        <v>0</v>
      </c>
      <c r="AB41" s="459">
        <f>((D41/Population_Tables!Q15)*Population_Tables!E15)-P41</f>
        <v>0</v>
      </c>
      <c r="AC41" s="459">
        <f>((E41/Population_Tables!R15)*Population_Tables!F15)-Q41</f>
        <v>0</v>
      </c>
      <c r="AD41" s="459">
        <f>((F41/Population_Tables!S15)*Population_Tables!G15)-R41</f>
        <v>0</v>
      </c>
      <c r="AE41" s="459">
        <f>((G41/Population_Tables!T15)*Population_Tables!H15)-S41</f>
        <v>0</v>
      </c>
      <c r="AF41" s="459">
        <f>(H41/Population_Tables!U15)*Population_Tables!I15</f>
        <v>0</v>
      </c>
      <c r="AG41" s="459">
        <f>(I41/Population_Tables!V15)*Population_Tables!J15</f>
        <v>0</v>
      </c>
      <c r="AH41" s="459">
        <f>(J41/Population_Tables!W15)*Population_Tables!K15</f>
        <v>0</v>
      </c>
      <c r="AI41" s="459">
        <f>(K41/Population_Tables!X15)*Population_Tables!L15</f>
        <v>0</v>
      </c>
      <c r="AK41" s="456">
        <v>2026</v>
      </c>
      <c r="AL41" s="459">
        <f t="shared" si="5"/>
        <v>427.47595594754404</v>
      </c>
      <c r="AM41" s="459">
        <f t="shared" si="2"/>
        <v>0</v>
      </c>
      <c r="AN41" s="459">
        <f t="shared" si="2"/>
        <v>0</v>
      </c>
      <c r="AO41" s="459">
        <f t="shared" si="2"/>
        <v>0</v>
      </c>
      <c r="AP41" s="459">
        <f t="shared" si="2"/>
        <v>0</v>
      </c>
      <c r="AQ41" s="459">
        <f t="shared" si="2"/>
        <v>0</v>
      </c>
      <c r="AR41" s="459">
        <f t="shared" si="2"/>
        <v>0</v>
      </c>
      <c r="AS41" s="459">
        <f t="shared" si="2"/>
        <v>0</v>
      </c>
      <c r="AT41" s="459">
        <f t="shared" si="2"/>
        <v>0</v>
      </c>
      <c r="AU41" s="459">
        <f t="shared" si="2"/>
        <v>0</v>
      </c>
      <c r="AW41" s="216">
        <f>(B41/Population_Tables!O15)*Population_Tables!C15</f>
        <v>427.47595594754404</v>
      </c>
      <c r="AX41" s="153" t="str">
        <f t="shared" si="6"/>
        <v>OK</v>
      </c>
      <c r="AY41" s="421">
        <f t="shared" si="3"/>
        <v>0</v>
      </c>
      <c r="AZ41" s="153" t="str">
        <f t="shared" si="4"/>
        <v>OK</v>
      </c>
      <c r="BB41" s="216">
        <f>(C41/Population_Tables!P15)*Population_Tables!D15</f>
        <v>0</v>
      </c>
      <c r="BC41" s="216">
        <f>(D41/Population_Tables!Q15)*Population_Tables!E15</f>
        <v>0</v>
      </c>
      <c r="BD41" s="216">
        <f>(E41/Population_Tables!R15)*Population_Tables!F15</f>
        <v>0</v>
      </c>
      <c r="BE41" s="216">
        <f>(F41/Population_Tables!S15)*Population_Tables!G15</f>
        <v>0</v>
      </c>
      <c r="BF41" s="216">
        <f>(G41/Population_Tables!T15)*Population_Tables!H15</f>
        <v>0</v>
      </c>
      <c r="BG41" s="216"/>
      <c r="BN41" s="216"/>
      <c r="BO41" s="216"/>
      <c r="BP41" s="216"/>
    </row>
    <row r="42" spans="1:68" ht="15.6" x14ac:dyDescent="0.3">
      <c r="A42" s="206">
        <v>2027</v>
      </c>
      <c r="B42" s="229">
        <v>434.34450198254774</v>
      </c>
      <c r="C42" s="229"/>
      <c r="D42" s="229"/>
      <c r="E42" s="229"/>
      <c r="F42" s="229"/>
      <c r="G42" s="229"/>
      <c r="H42" s="229"/>
      <c r="I42" s="229"/>
      <c r="J42" s="229"/>
      <c r="K42" s="229"/>
      <c r="M42" s="206">
        <v>2027</v>
      </c>
      <c r="N42" s="521"/>
      <c r="O42" s="522"/>
      <c r="P42" s="522"/>
      <c r="Q42" s="522"/>
      <c r="R42" s="522"/>
      <c r="S42" s="522"/>
      <c r="T42" s="522"/>
      <c r="U42" s="522"/>
      <c r="V42" s="522"/>
      <c r="W42" s="522"/>
      <c r="Y42" s="456">
        <v>2027</v>
      </c>
      <c r="Z42" s="459">
        <f>((B42/Population_Tables!O16)*Population_Tables!C16)-N42</f>
        <v>440.37524371498057</v>
      </c>
      <c r="AA42" s="459">
        <f>((C42/Population_Tables!P16)*Population_Tables!D16)-O42</f>
        <v>0</v>
      </c>
      <c r="AB42" s="459">
        <f>((D42/Population_Tables!Q16)*Population_Tables!E16)-P42</f>
        <v>0</v>
      </c>
      <c r="AC42" s="459">
        <f>((E42/Population_Tables!R16)*Population_Tables!F16)-Q42</f>
        <v>0</v>
      </c>
      <c r="AD42" s="459">
        <f>((F42/Population_Tables!S16)*Population_Tables!G16)-R42</f>
        <v>0</v>
      </c>
      <c r="AE42" s="459">
        <f>((G42/Population_Tables!T16)*Population_Tables!H16)-S42</f>
        <v>0</v>
      </c>
      <c r="AF42" s="459">
        <f>(H42/Population_Tables!U16)*Population_Tables!I16</f>
        <v>0</v>
      </c>
      <c r="AG42" s="459">
        <f>(I42/Population_Tables!V16)*Population_Tables!J16</f>
        <v>0</v>
      </c>
      <c r="AH42" s="459">
        <f>(J42/Population_Tables!W16)*Population_Tables!K16</f>
        <v>0</v>
      </c>
      <c r="AI42" s="459">
        <f>(K42/Population_Tables!X16)*Population_Tables!L16</f>
        <v>0</v>
      </c>
      <c r="AK42" s="456">
        <v>2027</v>
      </c>
      <c r="AL42" s="459">
        <f t="shared" si="5"/>
        <v>440.37524371498057</v>
      </c>
      <c r="AM42" s="459">
        <f t="shared" si="2"/>
        <v>0</v>
      </c>
      <c r="AN42" s="459">
        <f t="shared" si="2"/>
        <v>0</v>
      </c>
      <c r="AO42" s="459">
        <f t="shared" si="2"/>
        <v>0</v>
      </c>
      <c r="AP42" s="459">
        <f t="shared" si="2"/>
        <v>0</v>
      </c>
      <c r="AQ42" s="459">
        <f t="shared" si="2"/>
        <v>0</v>
      </c>
      <c r="AR42" s="459">
        <f t="shared" si="2"/>
        <v>0</v>
      </c>
      <c r="AS42" s="459">
        <f t="shared" si="2"/>
        <v>0</v>
      </c>
      <c r="AT42" s="459">
        <f t="shared" si="2"/>
        <v>0</v>
      </c>
      <c r="AU42" s="459">
        <f t="shared" si="2"/>
        <v>0</v>
      </c>
      <c r="AW42" s="216">
        <f>(B42/Population_Tables!O16)*Population_Tables!C16</f>
        <v>440.37524371498057</v>
      </c>
      <c r="AX42" s="153" t="str">
        <f t="shared" si="6"/>
        <v>OK</v>
      </c>
      <c r="AY42" s="421">
        <f t="shared" si="3"/>
        <v>0</v>
      </c>
      <c r="AZ42" s="153" t="str">
        <f t="shared" si="4"/>
        <v>OK</v>
      </c>
      <c r="BB42" s="216">
        <f>(C42/Population_Tables!P16)*Population_Tables!D16</f>
        <v>0</v>
      </c>
      <c r="BC42" s="216">
        <f>(D42/Population_Tables!Q16)*Population_Tables!E16</f>
        <v>0</v>
      </c>
      <c r="BD42" s="216">
        <f>(E42/Population_Tables!R16)*Population_Tables!F16</f>
        <v>0</v>
      </c>
      <c r="BE42" s="216">
        <f>(F42/Population_Tables!S16)*Population_Tables!G16</f>
        <v>0</v>
      </c>
      <c r="BF42" s="216">
        <f>(G42/Population_Tables!T16)*Population_Tables!H16</f>
        <v>0</v>
      </c>
      <c r="BG42" s="216"/>
      <c r="BN42" s="216"/>
      <c r="BO42" s="216"/>
      <c r="BP42" s="216"/>
    </row>
    <row r="43" spans="1:68" ht="15.6" x14ac:dyDescent="0.3">
      <c r="A43" s="206">
        <v>2028</v>
      </c>
      <c r="B43" s="229">
        <v>446.33282511212951</v>
      </c>
      <c r="C43" s="229"/>
      <c r="D43" s="229"/>
      <c r="E43" s="229"/>
      <c r="F43" s="229"/>
      <c r="G43" s="229"/>
      <c r="H43" s="229"/>
      <c r="I43" s="229"/>
      <c r="J43" s="229"/>
      <c r="K43" s="229"/>
      <c r="M43" s="206">
        <v>2028</v>
      </c>
      <c r="N43" s="521"/>
      <c r="O43" s="522"/>
      <c r="P43" s="522"/>
      <c r="Q43" s="522"/>
      <c r="R43" s="522"/>
      <c r="S43" s="522"/>
      <c r="T43" s="522"/>
      <c r="U43" s="522"/>
      <c r="V43" s="522"/>
      <c r="W43" s="522"/>
      <c r="Y43" s="456">
        <v>2028</v>
      </c>
      <c r="Z43" s="459">
        <f>((B43/Population_Tables!O17)*Population_Tables!C17)-N43</f>
        <v>453.74448672185639</v>
      </c>
      <c r="AA43" s="459">
        <f>((C43/Population_Tables!P17)*Population_Tables!D17)-O43</f>
        <v>0</v>
      </c>
      <c r="AB43" s="459">
        <f>((D43/Population_Tables!Q17)*Population_Tables!E17)-P43</f>
        <v>0</v>
      </c>
      <c r="AC43" s="459">
        <f>((E43/Population_Tables!R17)*Population_Tables!F17)-Q43</f>
        <v>0</v>
      </c>
      <c r="AD43" s="459">
        <f>((F43/Population_Tables!S17)*Population_Tables!G17)-R43</f>
        <v>0</v>
      </c>
      <c r="AE43" s="459">
        <f>((G43/Population_Tables!T17)*Population_Tables!H17)-S43</f>
        <v>0</v>
      </c>
      <c r="AF43" s="459">
        <f>(H43/Population_Tables!U17)*Population_Tables!I17</f>
        <v>0</v>
      </c>
      <c r="AG43" s="459">
        <f>(I43/Population_Tables!V17)*Population_Tables!J17</f>
        <v>0</v>
      </c>
      <c r="AH43" s="459">
        <f>(J43/Population_Tables!W17)*Population_Tables!K17</f>
        <v>0</v>
      </c>
      <c r="AI43" s="459">
        <f>(K43/Population_Tables!X17)*Population_Tables!L17</f>
        <v>0</v>
      </c>
      <c r="AK43" s="456">
        <v>2028</v>
      </c>
      <c r="AL43" s="459">
        <f t="shared" si="5"/>
        <v>453.74448672185639</v>
      </c>
      <c r="AM43" s="459">
        <f t="shared" si="2"/>
        <v>0</v>
      </c>
      <c r="AN43" s="459">
        <f t="shared" si="2"/>
        <v>0</v>
      </c>
      <c r="AO43" s="459">
        <f t="shared" si="2"/>
        <v>0</v>
      </c>
      <c r="AP43" s="459">
        <f t="shared" si="2"/>
        <v>0</v>
      </c>
      <c r="AQ43" s="459">
        <f t="shared" si="2"/>
        <v>0</v>
      </c>
      <c r="AR43" s="459">
        <f t="shared" si="2"/>
        <v>0</v>
      </c>
      <c r="AS43" s="459">
        <f t="shared" si="2"/>
        <v>0</v>
      </c>
      <c r="AT43" s="459">
        <f t="shared" si="2"/>
        <v>0</v>
      </c>
      <c r="AU43" s="459">
        <f t="shared" si="2"/>
        <v>0</v>
      </c>
      <c r="AW43" s="216">
        <f>(B43/Population_Tables!O17)*Population_Tables!C17</f>
        <v>453.74448672185639</v>
      </c>
      <c r="AX43" s="153" t="str">
        <f t="shared" si="6"/>
        <v>OK</v>
      </c>
      <c r="AY43" s="421">
        <f t="shared" si="3"/>
        <v>0</v>
      </c>
      <c r="AZ43" s="153" t="str">
        <f t="shared" si="4"/>
        <v>OK</v>
      </c>
      <c r="BB43" s="216">
        <f>(C43/Population_Tables!P17)*Population_Tables!D17</f>
        <v>0</v>
      </c>
      <c r="BC43" s="216">
        <f>(D43/Population_Tables!Q17)*Population_Tables!E17</f>
        <v>0</v>
      </c>
      <c r="BD43" s="216">
        <f>(E43/Population_Tables!R17)*Population_Tables!F17</f>
        <v>0</v>
      </c>
      <c r="BE43" s="216">
        <f>(F43/Population_Tables!S17)*Population_Tables!G17</f>
        <v>0</v>
      </c>
      <c r="BF43" s="216">
        <f>(G43/Population_Tables!T17)*Population_Tables!H17</f>
        <v>0</v>
      </c>
      <c r="BG43" s="216"/>
      <c r="BN43" s="216"/>
      <c r="BO43" s="216"/>
      <c r="BP43" s="216"/>
    </row>
    <row r="44" spans="1:68" ht="15.6" x14ac:dyDescent="0.3">
      <c r="A44" s="206">
        <v>2029</v>
      </c>
      <c r="B44" s="229">
        <v>458.65224076613652</v>
      </c>
      <c r="C44" s="229"/>
      <c r="D44" s="229"/>
      <c r="E44" s="229"/>
      <c r="F44" s="229"/>
      <c r="G44" s="229"/>
      <c r="H44" s="229"/>
      <c r="I44" s="229"/>
      <c r="J44" s="229"/>
      <c r="K44" s="229"/>
      <c r="M44" s="206">
        <v>2029</v>
      </c>
      <c r="N44" s="521"/>
      <c r="O44" s="522"/>
      <c r="P44" s="522"/>
      <c r="Q44" s="522"/>
      <c r="R44" s="522"/>
      <c r="S44" s="522"/>
      <c r="T44" s="522"/>
      <c r="U44" s="522"/>
      <c r="V44" s="522"/>
      <c r="W44" s="522"/>
      <c r="Y44" s="456">
        <v>2029</v>
      </c>
      <c r="Z44" s="459">
        <f>((B44/Population_Tables!O18)*Population_Tables!C18)-N44</f>
        <v>467.58407116518657</v>
      </c>
      <c r="AA44" s="459">
        <f>((C44/Population_Tables!P18)*Population_Tables!D18)-O44</f>
        <v>0</v>
      </c>
      <c r="AB44" s="459">
        <f>((D44/Population_Tables!Q18)*Population_Tables!E18)-P44</f>
        <v>0</v>
      </c>
      <c r="AC44" s="459">
        <f>((E44/Population_Tables!R18)*Population_Tables!F18)-Q44</f>
        <v>0</v>
      </c>
      <c r="AD44" s="459">
        <f>((F44/Population_Tables!S18)*Population_Tables!G18)-R44</f>
        <v>0</v>
      </c>
      <c r="AE44" s="459">
        <f>((G44/Population_Tables!T18)*Population_Tables!H18)-S44</f>
        <v>0</v>
      </c>
      <c r="AF44" s="459">
        <f>(H44/Population_Tables!U18)*Population_Tables!I18</f>
        <v>0</v>
      </c>
      <c r="AG44" s="459">
        <f>(I44/Population_Tables!V18)*Population_Tables!J18</f>
        <v>0</v>
      </c>
      <c r="AH44" s="459">
        <f>(J44/Population_Tables!W18)*Population_Tables!K18</f>
        <v>0</v>
      </c>
      <c r="AI44" s="459">
        <f>(K44/Population_Tables!X18)*Population_Tables!L18</f>
        <v>0</v>
      </c>
      <c r="AK44" s="456">
        <v>2029</v>
      </c>
      <c r="AL44" s="459">
        <f t="shared" si="5"/>
        <v>467.58407116518657</v>
      </c>
      <c r="AM44" s="459">
        <f t="shared" si="2"/>
        <v>0</v>
      </c>
      <c r="AN44" s="459">
        <f t="shared" si="2"/>
        <v>0</v>
      </c>
      <c r="AO44" s="459">
        <f t="shared" si="2"/>
        <v>0</v>
      </c>
      <c r="AP44" s="459">
        <f t="shared" si="2"/>
        <v>0</v>
      </c>
      <c r="AQ44" s="459">
        <f t="shared" si="2"/>
        <v>0</v>
      </c>
      <c r="AR44" s="459">
        <f t="shared" si="2"/>
        <v>0</v>
      </c>
      <c r="AS44" s="459">
        <f t="shared" si="2"/>
        <v>0</v>
      </c>
      <c r="AT44" s="459">
        <f t="shared" si="2"/>
        <v>0</v>
      </c>
      <c r="AU44" s="459">
        <f t="shared" si="2"/>
        <v>0</v>
      </c>
      <c r="AW44" s="216">
        <f>(B44/Population_Tables!O18)*Population_Tables!C18</f>
        <v>467.58407116518657</v>
      </c>
      <c r="AX44" s="153" t="str">
        <f t="shared" si="6"/>
        <v>OK</v>
      </c>
      <c r="AY44" s="421">
        <f t="shared" si="3"/>
        <v>0</v>
      </c>
      <c r="AZ44" s="153" t="str">
        <f t="shared" si="4"/>
        <v>OK</v>
      </c>
      <c r="BB44" s="216">
        <f>(C44/Population_Tables!P18)*Population_Tables!D18</f>
        <v>0</v>
      </c>
      <c r="BC44" s="216">
        <f>(D44/Population_Tables!Q18)*Population_Tables!E18</f>
        <v>0</v>
      </c>
      <c r="BD44" s="216">
        <f>(E44/Population_Tables!R18)*Population_Tables!F18</f>
        <v>0</v>
      </c>
      <c r="BE44" s="216">
        <f>(F44/Population_Tables!S18)*Population_Tables!G18</f>
        <v>0</v>
      </c>
      <c r="BF44" s="216">
        <f>(G44/Population_Tables!T18)*Population_Tables!H18</f>
        <v>0</v>
      </c>
      <c r="BG44" s="216"/>
      <c r="BN44" s="216"/>
      <c r="BO44" s="216"/>
      <c r="BP44" s="216"/>
    </row>
    <row r="45" spans="1:68" ht="15.6" x14ac:dyDescent="0.3">
      <c r="A45" s="206">
        <v>2030</v>
      </c>
      <c r="B45" s="229">
        <v>471.29691909953766</v>
      </c>
      <c r="C45" s="229"/>
      <c r="D45" s="229"/>
      <c r="E45" s="229"/>
      <c r="F45" s="229"/>
      <c r="G45" s="229"/>
      <c r="H45" s="229"/>
      <c r="I45" s="229"/>
      <c r="J45" s="229"/>
      <c r="K45" s="229"/>
      <c r="M45" s="206">
        <v>2030</v>
      </c>
      <c r="N45" s="521"/>
      <c r="O45" s="522"/>
      <c r="P45" s="522"/>
      <c r="Q45" s="522"/>
      <c r="R45" s="522"/>
      <c r="S45" s="522"/>
      <c r="T45" s="522"/>
      <c r="U45" s="522"/>
      <c r="V45" s="522"/>
      <c r="W45" s="522"/>
      <c r="Y45" s="456">
        <v>2030</v>
      </c>
      <c r="Z45" s="459">
        <f>((B45/Population_Tables!O19)*Population_Tables!C19)-N45</f>
        <v>481.89484612228858</v>
      </c>
      <c r="AA45" s="459">
        <f>((C45/Population_Tables!P19)*Population_Tables!D19)-O45</f>
        <v>0</v>
      </c>
      <c r="AB45" s="459">
        <f>((D45/Population_Tables!Q19)*Population_Tables!E19)-P45</f>
        <v>0</v>
      </c>
      <c r="AC45" s="459">
        <f>((E45/Population_Tables!R19)*Population_Tables!F19)-Q45</f>
        <v>0</v>
      </c>
      <c r="AD45" s="459">
        <f>((F45/Population_Tables!S19)*Population_Tables!G19)-R45</f>
        <v>0</v>
      </c>
      <c r="AE45" s="459">
        <f>((G45/Population_Tables!T19)*Population_Tables!H19)-S45</f>
        <v>0</v>
      </c>
      <c r="AF45" s="459">
        <f>(H45/Population_Tables!U19)*Population_Tables!I19</f>
        <v>0</v>
      </c>
      <c r="AG45" s="459">
        <f>(I45/Population_Tables!V19)*Population_Tables!J19</f>
        <v>0</v>
      </c>
      <c r="AH45" s="459">
        <f>(J45/Population_Tables!W19)*Population_Tables!K19</f>
        <v>0</v>
      </c>
      <c r="AI45" s="459">
        <f>(K45/Population_Tables!X19)*Population_Tables!L19</f>
        <v>0</v>
      </c>
      <c r="AK45" s="456">
        <v>2030</v>
      </c>
      <c r="AL45" s="459">
        <f t="shared" si="5"/>
        <v>481.89484612228858</v>
      </c>
      <c r="AM45" s="459">
        <f t="shared" si="5"/>
        <v>0</v>
      </c>
      <c r="AN45" s="459">
        <f t="shared" si="5"/>
        <v>0</v>
      </c>
      <c r="AO45" s="459">
        <f t="shared" si="5"/>
        <v>0</v>
      </c>
      <c r="AP45" s="459">
        <f t="shared" si="5"/>
        <v>0</v>
      </c>
      <c r="AQ45" s="459">
        <f t="shared" si="5"/>
        <v>0</v>
      </c>
      <c r="AR45" s="459">
        <f t="shared" si="5"/>
        <v>0</v>
      </c>
      <c r="AS45" s="459">
        <f t="shared" si="5"/>
        <v>0</v>
      </c>
      <c r="AT45" s="459">
        <f t="shared" si="5"/>
        <v>0</v>
      </c>
      <c r="AU45" s="459">
        <f t="shared" si="5"/>
        <v>0</v>
      </c>
      <c r="AW45" s="216">
        <f>(B45/Population_Tables!O19)*Population_Tables!C19</f>
        <v>481.89484612228858</v>
      </c>
      <c r="AX45" s="153" t="str">
        <f t="shared" si="6"/>
        <v>OK</v>
      </c>
      <c r="AY45" s="421">
        <f t="shared" si="3"/>
        <v>0</v>
      </c>
      <c r="AZ45" s="153" t="str">
        <f t="shared" si="4"/>
        <v>OK</v>
      </c>
      <c r="BB45" s="216">
        <f>(C45/Population_Tables!P19)*Population_Tables!D19</f>
        <v>0</v>
      </c>
      <c r="BC45" s="216">
        <f>(D45/Population_Tables!Q19)*Population_Tables!E19</f>
        <v>0</v>
      </c>
      <c r="BD45" s="216">
        <f>(E45/Population_Tables!R19)*Population_Tables!F19</f>
        <v>0</v>
      </c>
      <c r="BE45" s="216">
        <f>(F45/Population_Tables!S19)*Population_Tables!G19</f>
        <v>0</v>
      </c>
      <c r="BF45" s="216">
        <f>(G45/Population_Tables!T19)*Population_Tables!H19</f>
        <v>0</v>
      </c>
      <c r="BG45" s="216"/>
      <c r="BN45" s="216"/>
      <c r="BO45" s="216"/>
      <c r="BP45" s="216"/>
    </row>
    <row r="46" spans="1:68" ht="15.6" x14ac:dyDescent="0.3">
      <c r="A46" s="206">
        <v>2031</v>
      </c>
      <c r="B46" s="229">
        <v>484.26103026730209</v>
      </c>
      <c r="C46" s="229"/>
      <c r="D46" s="229"/>
      <c r="E46" s="229"/>
      <c r="F46" s="229"/>
      <c r="G46" s="229"/>
      <c r="H46" s="229"/>
      <c r="I46" s="229"/>
      <c r="J46" s="229"/>
      <c r="K46" s="229"/>
      <c r="M46" s="206">
        <v>2031</v>
      </c>
      <c r="N46" s="521"/>
      <c r="O46" s="522"/>
      <c r="P46" s="522"/>
      <c r="Q46" s="522"/>
      <c r="R46" s="522"/>
      <c r="S46" s="522"/>
      <c r="T46" s="522"/>
      <c r="U46" s="522"/>
      <c r="V46" s="522"/>
      <c r="W46" s="522"/>
      <c r="Y46" s="456">
        <v>2031</v>
      </c>
      <c r="Z46" s="459">
        <f>((B46/Population_Tables!O20)*Population_Tables!C20)-N46</f>
        <v>496.67557915630829</v>
      </c>
      <c r="AA46" s="459">
        <f>((C46/Population_Tables!P20)*Population_Tables!D20)-O46</f>
        <v>0</v>
      </c>
      <c r="AB46" s="459">
        <f>((D46/Population_Tables!Q20)*Population_Tables!E20)-P46</f>
        <v>0</v>
      </c>
      <c r="AC46" s="459">
        <f>((E46/Population_Tables!R20)*Population_Tables!F20)-Q46</f>
        <v>0</v>
      </c>
      <c r="AD46" s="459">
        <f>((F46/Population_Tables!S20)*Population_Tables!G20)-R46</f>
        <v>0</v>
      </c>
      <c r="AE46" s="459">
        <f>((G46/Population_Tables!T20)*Population_Tables!H20)-S46</f>
        <v>0</v>
      </c>
      <c r="AF46" s="459">
        <f>(H46/Population_Tables!U20)*Population_Tables!I20</f>
        <v>0</v>
      </c>
      <c r="AG46" s="459">
        <f>(I46/Population_Tables!V20)*Population_Tables!J20</f>
        <v>0</v>
      </c>
      <c r="AH46" s="459">
        <f>(J46/Population_Tables!W20)*Population_Tables!K20</f>
        <v>0</v>
      </c>
      <c r="AI46" s="459">
        <f>(K46/Population_Tables!X20)*Population_Tables!L20</f>
        <v>0</v>
      </c>
      <c r="AK46" s="456">
        <v>2031</v>
      </c>
      <c r="AL46" s="459">
        <f t="shared" si="5"/>
        <v>496.67557915630829</v>
      </c>
      <c r="AM46" s="459">
        <f t="shared" si="5"/>
        <v>0</v>
      </c>
      <c r="AN46" s="459">
        <f t="shared" si="5"/>
        <v>0</v>
      </c>
      <c r="AO46" s="459">
        <f t="shared" si="5"/>
        <v>0</v>
      </c>
      <c r="AP46" s="459">
        <f t="shared" si="5"/>
        <v>0</v>
      </c>
      <c r="AQ46" s="459">
        <f t="shared" si="5"/>
        <v>0</v>
      </c>
      <c r="AR46" s="459">
        <f t="shared" si="5"/>
        <v>0</v>
      </c>
      <c r="AS46" s="459">
        <f t="shared" si="5"/>
        <v>0</v>
      </c>
      <c r="AT46" s="459">
        <f t="shared" si="5"/>
        <v>0</v>
      </c>
      <c r="AU46" s="459">
        <f t="shared" si="5"/>
        <v>0</v>
      </c>
      <c r="AW46" s="216">
        <f>(B46/Population_Tables!O20)*Population_Tables!C20</f>
        <v>496.67557915630829</v>
      </c>
      <c r="AX46" s="153" t="str">
        <f t="shared" si="6"/>
        <v>OK</v>
      </c>
      <c r="AY46" s="421">
        <f t="shared" si="3"/>
        <v>0</v>
      </c>
      <c r="AZ46" s="153" t="str">
        <f t="shared" si="4"/>
        <v>OK</v>
      </c>
      <c r="BB46" s="216">
        <f>(C46/Population_Tables!P20)*Population_Tables!D20</f>
        <v>0</v>
      </c>
      <c r="BC46" s="216">
        <f>(D46/Population_Tables!Q20)*Population_Tables!E20</f>
        <v>0</v>
      </c>
      <c r="BD46" s="216">
        <f>(E46/Population_Tables!R20)*Population_Tables!F20</f>
        <v>0</v>
      </c>
      <c r="BE46" s="216">
        <f>(F46/Population_Tables!S20)*Population_Tables!G20</f>
        <v>0</v>
      </c>
      <c r="BF46" s="216">
        <f>(G46/Population_Tables!T20)*Population_Tables!H20</f>
        <v>0</v>
      </c>
      <c r="BG46" s="216"/>
      <c r="BN46" s="216"/>
      <c r="BO46" s="216"/>
      <c r="BP46" s="216"/>
    </row>
    <row r="47" spans="1:68" ht="15.6" x14ac:dyDescent="0.3">
      <c r="A47" s="206">
        <v>2032</v>
      </c>
      <c r="B47" s="229">
        <v>497.53874442439883</v>
      </c>
      <c r="C47" s="229"/>
      <c r="D47" s="229"/>
      <c r="E47" s="229"/>
      <c r="F47" s="229"/>
      <c r="G47" s="229"/>
      <c r="H47" s="229"/>
      <c r="I47" s="229"/>
      <c r="J47" s="229"/>
      <c r="K47" s="229"/>
      <c r="M47" s="206">
        <v>2032</v>
      </c>
      <c r="N47" s="521"/>
      <c r="O47" s="522"/>
      <c r="P47" s="522"/>
      <c r="Q47" s="522"/>
      <c r="R47" s="522"/>
      <c r="S47" s="522"/>
      <c r="T47" s="522"/>
      <c r="U47" s="522"/>
      <c r="V47" s="522"/>
      <c r="W47" s="522"/>
      <c r="Y47" s="456">
        <v>2032</v>
      </c>
      <c r="Z47" s="459">
        <f>((B47/Population_Tables!O21)*Population_Tables!C21)-N47</f>
        <v>511.91724262823215</v>
      </c>
      <c r="AA47" s="459">
        <f>((C47/Population_Tables!P21)*Population_Tables!D21)-O47</f>
        <v>0</v>
      </c>
      <c r="AB47" s="459">
        <f>((D47/Population_Tables!Q21)*Population_Tables!E21)-P47</f>
        <v>0</v>
      </c>
      <c r="AC47" s="459">
        <f>((E47/Population_Tables!R21)*Population_Tables!F21)-Q47</f>
        <v>0</v>
      </c>
      <c r="AD47" s="459">
        <f>((F47/Population_Tables!S21)*Population_Tables!G21)-R47</f>
        <v>0</v>
      </c>
      <c r="AE47" s="459">
        <f>((G47/Population_Tables!T21)*Population_Tables!H21)-S47</f>
        <v>0</v>
      </c>
      <c r="AF47" s="459">
        <f>(H47/Population_Tables!U21)*Population_Tables!I21</f>
        <v>0</v>
      </c>
      <c r="AG47" s="459">
        <f>(I47/Population_Tables!V21)*Population_Tables!J21</f>
        <v>0</v>
      </c>
      <c r="AH47" s="459">
        <f>(J47/Population_Tables!W21)*Population_Tables!K21</f>
        <v>0</v>
      </c>
      <c r="AI47" s="459">
        <f>(K47/Population_Tables!X21)*Population_Tables!L21</f>
        <v>0</v>
      </c>
      <c r="AK47" s="456">
        <v>2032</v>
      </c>
      <c r="AL47" s="459">
        <f t="shared" si="5"/>
        <v>511.91724262823215</v>
      </c>
      <c r="AM47" s="459">
        <f t="shared" si="5"/>
        <v>0</v>
      </c>
      <c r="AN47" s="459">
        <f t="shared" si="5"/>
        <v>0</v>
      </c>
      <c r="AO47" s="459">
        <f t="shared" si="5"/>
        <v>0</v>
      </c>
      <c r="AP47" s="459">
        <f t="shared" si="5"/>
        <v>0</v>
      </c>
      <c r="AQ47" s="459">
        <f t="shared" si="5"/>
        <v>0</v>
      </c>
      <c r="AR47" s="459">
        <f t="shared" si="5"/>
        <v>0</v>
      </c>
      <c r="AS47" s="459">
        <f t="shared" si="5"/>
        <v>0</v>
      </c>
      <c r="AT47" s="459">
        <f t="shared" si="5"/>
        <v>0</v>
      </c>
      <c r="AU47" s="459">
        <f t="shared" si="5"/>
        <v>0</v>
      </c>
      <c r="AW47" s="216">
        <f>(B47/Population_Tables!O21)*Population_Tables!C21</f>
        <v>511.91724262823215</v>
      </c>
      <c r="AX47" s="153" t="str">
        <f t="shared" si="6"/>
        <v>OK</v>
      </c>
      <c r="AY47" s="421">
        <f t="shared" si="3"/>
        <v>0</v>
      </c>
      <c r="AZ47" s="153" t="str">
        <f t="shared" si="4"/>
        <v>OK</v>
      </c>
      <c r="BB47" s="216">
        <f>(C47/Population_Tables!P21)*Population_Tables!D21</f>
        <v>0</v>
      </c>
      <c r="BC47" s="216">
        <f>(D47/Population_Tables!Q21)*Population_Tables!E21</f>
        <v>0</v>
      </c>
      <c r="BD47" s="216">
        <f>(E47/Population_Tables!R21)*Population_Tables!F21</f>
        <v>0</v>
      </c>
      <c r="BE47" s="216">
        <f>(F47/Population_Tables!S21)*Population_Tables!G21</f>
        <v>0</v>
      </c>
      <c r="BF47" s="216">
        <f>(G47/Population_Tables!T21)*Population_Tables!H21</f>
        <v>0</v>
      </c>
      <c r="BG47" s="216"/>
      <c r="BN47" s="216"/>
      <c r="BO47" s="216"/>
      <c r="BP47" s="216"/>
    </row>
    <row r="48" spans="1:68" ht="15.6" x14ac:dyDescent="0.3">
      <c r="A48" s="206">
        <v>2033</v>
      </c>
      <c r="B48" s="229">
        <v>511.1242317257969</v>
      </c>
      <c r="C48" s="229"/>
      <c r="D48" s="229"/>
      <c r="E48" s="229"/>
      <c r="F48" s="229"/>
      <c r="G48" s="229"/>
      <c r="H48" s="229"/>
      <c r="I48" s="229"/>
      <c r="J48" s="229"/>
      <c r="K48" s="229"/>
      <c r="M48" s="206">
        <v>2033</v>
      </c>
      <c r="N48" s="521"/>
      <c r="O48" s="522"/>
      <c r="P48" s="522"/>
      <c r="Q48" s="522"/>
      <c r="R48" s="522"/>
      <c r="S48" s="522"/>
      <c r="T48" s="522"/>
      <c r="U48" s="522"/>
      <c r="V48" s="522"/>
      <c r="W48" s="522"/>
      <c r="Y48" s="456">
        <v>2033</v>
      </c>
      <c r="Z48" s="459">
        <f>((B48/Population_Tables!O22)*Population_Tables!C22)-N48</f>
        <v>527.59760885560831</v>
      </c>
      <c r="AA48" s="459">
        <f>((C48/Population_Tables!P22)*Population_Tables!D22)-O48</f>
        <v>0</v>
      </c>
      <c r="AB48" s="459">
        <f>((D48/Population_Tables!Q22)*Population_Tables!E22)-P48</f>
        <v>0</v>
      </c>
      <c r="AC48" s="459">
        <f>((E48/Population_Tables!R22)*Population_Tables!F22)-Q48</f>
        <v>0</v>
      </c>
      <c r="AD48" s="459">
        <f>((F48/Population_Tables!S22)*Population_Tables!G22)-R48</f>
        <v>0</v>
      </c>
      <c r="AE48" s="459">
        <f>((G48/Population_Tables!T22)*Population_Tables!H22)-S48</f>
        <v>0</v>
      </c>
      <c r="AF48" s="459">
        <f>(H48/Population_Tables!U22)*Population_Tables!I22</f>
        <v>0</v>
      </c>
      <c r="AG48" s="459">
        <f>(I48/Population_Tables!V22)*Population_Tables!J22</f>
        <v>0</v>
      </c>
      <c r="AH48" s="459">
        <f>(J48/Population_Tables!W22)*Population_Tables!K22</f>
        <v>0</v>
      </c>
      <c r="AI48" s="459">
        <f>(K48/Population_Tables!X22)*Population_Tables!L22</f>
        <v>0</v>
      </c>
      <c r="AK48" s="456">
        <v>2033</v>
      </c>
      <c r="AL48" s="459">
        <f t="shared" si="5"/>
        <v>527.59760885560831</v>
      </c>
      <c r="AM48" s="459">
        <f t="shared" si="5"/>
        <v>0</v>
      </c>
      <c r="AN48" s="459">
        <f t="shared" si="5"/>
        <v>0</v>
      </c>
      <c r="AO48" s="459">
        <f t="shared" si="5"/>
        <v>0</v>
      </c>
      <c r="AP48" s="459">
        <f t="shared" si="5"/>
        <v>0</v>
      </c>
      <c r="AQ48" s="459">
        <f t="shared" si="5"/>
        <v>0</v>
      </c>
      <c r="AR48" s="459">
        <f t="shared" si="5"/>
        <v>0</v>
      </c>
      <c r="AS48" s="459">
        <f t="shared" si="5"/>
        <v>0</v>
      </c>
      <c r="AT48" s="459">
        <f t="shared" si="5"/>
        <v>0</v>
      </c>
      <c r="AU48" s="459">
        <f t="shared" si="5"/>
        <v>0</v>
      </c>
      <c r="AW48" s="216">
        <f>(B48/Population_Tables!O22)*Population_Tables!C22</f>
        <v>527.59760885560831</v>
      </c>
      <c r="AX48" s="153" t="str">
        <f t="shared" si="6"/>
        <v>OK</v>
      </c>
      <c r="AY48" s="421">
        <f t="shared" si="3"/>
        <v>0</v>
      </c>
      <c r="AZ48" s="153" t="str">
        <f t="shared" si="4"/>
        <v>OK</v>
      </c>
      <c r="BB48" s="216">
        <f>(C48/Population_Tables!P22)*Population_Tables!D22</f>
        <v>0</v>
      </c>
      <c r="BC48" s="216">
        <f>(D48/Population_Tables!Q22)*Population_Tables!E22</f>
        <v>0</v>
      </c>
      <c r="BD48" s="216">
        <f>(E48/Population_Tables!R22)*Population_Tables!F22</f>
        <v>0</v>
      </c>
      <c r="BE48" s="216">
        <f>(F48/Population_Tables!S22)*Population_Tables!G22</f>
        <v>0</v>
      </c>
      <c r="BF48" s="216">
        <f>(G48/Population_Tables!T22)*Population_Tables!H22</f>
        <v>0</v>
      </c>
      <c r="BG48" s="216"/>
      <c r="BN48" s="216"/>
      <c r="BO48" s="216"/>
      <c r="BP48" s="216"/>
    </row>
    <row r="49" spans="1:68" ht="15.6" x14ac:dyDescent="0.3">
      <c r="A49" s="206">
        <v>2034</v>
      </c>
      <c r="B49" s="229">
        <v>525.0116623264654</v>
      </c>
      <c r="C49" s="229"/>
      <c r="D49" s="229"/>
      <c r="E49" s="229"/>
      <c r="F49" s="229"/>
      <c r="G49" s="229"/>
      <c r="H49" s="229"/>
      <c r="I49" s="229"/>
      <c r="J49" s="229"/>
      <c r="K49" s="229"/>
      <c r="M49" s="206">
        <v>2034</v>
      </c>
      <c r="N49" s="521"/>
      <c r="O49" s="522"/>
      <c r="P49" s="522"/>
      <c r="Q49" s="522"/>
      <c r="R49" s="522"/>
      <c r="S49" s="522"/>
      <c r="T49" s="522"/>
      <c r="U49" s="522"/>
      <c r="V49" s="522"/>
      <c r="W49" s="522"/>
      <c r="Y49" s="456">
        <v>2034</v>
      </c>
      <c r="Z49" s="459">
        <f>((B49/Population_Tables!O23)*Population_Tables!C23)-N49</f>
        <v>543.68638546243517</v>
      </c>
      <c r="AA49" s="459">
        <f>((C49/Population_Tables!P23)*Population_Tables!D23)-O49</f>
        <v>0</v>
      </c>
      <c r="AB49" s="459">
        <f>((D49/Population_Tables!Q23)*Population_Tables!E23)-P49</f>
        <v>0</v>
      </c>
      <c r="AC49" s="459">
        <f>((E49/Population_Tables!R23)*Population_Tables!F23)-Q49</f>
        <v>0</v>
      </c>
      <c r="AD49" s="459">
        <f>((F49/Population_Tables!S23)*Population_Tables!G23)-R49</f>
        <v>0</v>
      </c>
      <c r="AE49" s="459">
        <f>((G49/Population_Tables!T23)*Population_Tables!H23)-S49</f>
        <v>0</v>
      </c>
      <c r="AF49" s="459">
        <f>(H49/Population_Tables!U23)*Population_Tables!I23</f>
        <v>0</v>
      </c>
      <c r="AG49" s="459">
        <f>(I49/Population_Tables!V23)*Population_Tables!J23</f>
        <v>0</v>
      </c>
      <c r="AH49" s="459">
        <f>(J49/Population_Tables!W23)*Population_Tables!K23</f>
        <v>0</v>
      </c>
      <c r="AI49" s="459">
        <f>(K49/Population_Tables!X23)*Population_Tables!L23</f>
        <v>0</v>
      </c>
      <c r="AK49" s="456">
        <v>2034</v>
      </c>
      <c r="AL49" s="459">
        <f t="shared" si="5"/>
        <v>543.68638546243517</v>
      </c>
      <c r="AM49" s="459">
        <f t="shared" si="5"/>
        <v>0</v>
      </c>
      <c r="AN49" s="459">
        <f t="shared" si="5"/>
        <v>0</v>
      </c>
      <c r="AO49" s="459">
        <f t="shared" si="5"/>
        <v>0</v>
      </c>
      <c r="AP49" s="459">
        <f t="shared" si="5"/>
        <v>0</v>
      </c>
      <c r="AQ49" s="459">
        <f t="shared" si="5"/>
        <v>0</v>
      </c>
      <c r="AR49" s="459">
        <f t="shared" si="5"/>
        <v>0</v>
      </c>
      <c r="AS49" s="459">
        <f t="shared" si="5"/>
        <v>0</v>
      </c>
      <c r="AT49" s="459">
        <f t="shared" si="5"/>
        <v>0</v>
      </c>
      <c r="AU49" s="459">
        <f t="shared" si="5"/>
        <v>0</v>
      </c>
      <c r="AW49" s="216">
        <f>(B49/Population_Tables!O23)*Population_Tables!C23</f>
        <v>543.68638546243517</v>
      </c>
      <c r="AX49" s="153" t="str">
        <f t="shared" si="6"/>
        <v>OK</v>
      </c>
      <c r="AY49" s="421">
        <f t="shared" si="3"/>
        <v>0</v>
      </c>
      <c r="AZ49" s="153" t="str">
        <f t="shared" si="4"/>
        <v>OK</v>
      </c>
      <c r="BB49" s="216">
        <f>(C49/Population_Tables!P23)*Population_Tables!D23</f>
        <v>0</v>
      </c>
      <c r="BC49" s="216">
        <f>(D49/Population_Tables!Q23)*Population_Tables!E23</f>
        <v>0</v>
      </c>
      <c r="BD49" s="216">
        <f>(E49/Population_Tables!R23)*Population_Tables!F23</f>
        <v>0</v>
      </c>
      <c r="BE49" s="216">
        <f>(F49/Population_Tables!S23)*Population_Tables!G23</f>
        <v>0</v>
      </c>
      <c r="BF49" s="216">
        <f>(G49/Population_Tables!T23)*Population_Tables!H23</f>
        <v>0</v>
      </c>
      <c r="BG49" s="216"/>
      <c r="BN49" s="216"/>
      <c r="BO49" s="216"/>
      <c r="BP49" s="216"/>
    </row>
    <row r="50" spans="1:68" ht="15.6" x14ac:dyDescent="0.3">
      <c r="A50" s="206">
        <v>2035</v>
      </c>
      <c r="B50" s="229">
        <v>539.1952063813734</v>
      </c>
      <c r="C50" s="229"/>
      <c r="D50" s="229"/>
      <c r="E50" s="229"/>
      <c r="F50" s="229"/>
      <c r="G50" s="229"/>
      <c r="H50" s="229"/>
      <c r="I50" s="229"/>
      <c r="J50" s="229"/>
      <c r="K50" s="229"/>
      <c r="M50" s="206">
        <v>2035</v>
      </c>
      <c r="N50" s="521"/>
      <c r="O50" s="522"/>
      <c r="P50" s="522"/>
      <c r="Q50" s="522"/>
      <c r="R50" s="522"/>
      <c r="S50" s="522"/>
      <c r="T50" s="522"/>
      <c r="U50" s="522"/>
      <c r="V50" s="522"/>
      <c r="W50" s="522"/>
      <c r="Y50" s="456">
        <v>2035</v>
      </c>
      <c r="Z50" s="459">
        <f>((B50/Population_Tables!O24)*Population_Tables!C24)-N50</f>
        <v>560.15931689646527</v>
      </c>
      <c r="AA50" s="459">
        <f>((C50/Population_Tables!P24)*Population_Tables!D24)-O50</f>
        <v>0</v>
      </c>
      <c r="AB50" s="459">
        <f>((D50/Population_Tables!Q24)*Population_Tables!E24)-P50</f>
        <v>0</v>
      </c>
      <c r="AC50" s="459">
        <f>((E50/Population_Tables!R24)*Population_Tables!F24)-Q50</f>
        <v>0</v>
      </c>
      <c r="AD50" s="459">
        <f>((F50/Population_Tables!S24)*Population_Tables!G24)-R50</f>
        <v>0</v>
      </c>
      <c r="AE50" s="459">
        <f>((G50/Population_Tables!T24)*Population_Tables!H24)-S50</f>
        <v>0</v>
      </c>
      <c r="AF50" s="459">
        <f>(H50/Population_Tables!U24)*Population_Tables!I24</f>
        <v>0</v>
      </c>
      <c r="AG50" s="459">
        <f>(I50/Population_Tables!V24)*Population_Tables!J24</f>
        <v>0</v>
      </c>
      <c r="AH50" s="459">
        <f>(J50/Population_Tables!W24)*Population_Tables!K24</f>
        <v>0</v>
      </c>
      <c r="AI50" s="459">
        <f>(K50/Population_Tables!X24)*Population_Tables!L24</f>
        <v>0</v>
      </c>
      <c r="AK50" s="456">
        <v>2035</v>
      </c>
      <c r="AL50" s="459">
        <f t="shared" si="5"/>
        <v>560.15931689646527</v>
      </c>
      <c r="AM50" s="459">
        <f t="shared" si="5"/>
        <v>0</v>
      </c>
      <c r="AN50" s="459">
        <f t="shared" si="5"/>
        <v>0</v>
      </c>
      <c r="AO50" s="459">
        <f t="shared" si="5"/>
        <v>0</v>
      </c>
      <c r="AP50" s="459">
        <f t="shared" si="5"/>
        <v>0</v>
      </c>
      <c r="AQ50" s="459">
        <f t="shared" si="5"/>
        <v>0</v>
      </c>
      <c r="AR50" s="459">
        <f t="shared" si="5"/>
        <v>0</v>
      </c>
      <c r="AS50" s="459">
        <f t="shared" si="5"/>
        <v>0</v>
      </c>
      <c r="AT50" s="459">
        <f t="shared" si="5"/>
        <v>0</v>
      </c>
      <c r="AU50" s="459">
        <f t="shared" si="5"/>
        <v>0</v>
      </c>
      <c r="AW50" s="216">
        <f>(B50/Population_Tables!O24)*Population_Tables!C24</f>
        <v>560.15931689646527</v>
      </c>
      <c r="AX50" s="153" t="str">
        <f t="shared" si="6"/>
        <v>OK</v>
      </c>
      <c r="AY50" s="421">
        <f t="shared" si="3"/>
        <v>0</v>
      </c>
      <c r="AZ50" s="153" t="str">
        <f t="shared" si="4"/>
        <v>OK</v>
      </c>
      <c r="BB50" s="216">
        <f>(C50/Population_Tables!P24)*Population_Tables!D24</f>
        <v>0</v>
      </c>
      <c r="BC50" s="216">
        <f>(D50/Population_Tables!Q24)*Population_Tables!E24</f>
        <v>0</v>
      </c>
      <c r="BD50" s="216">
        <f>(E50/Population_Tables!R24)*Population_Tables!F24</f>
        <v>0</v>
      </c>
      <c r="BE50" s="216">
        <f>(F50/Population_Tables!S24)*Population_Tables!G24</f>
        <v>0</v>
      </c>
      <c r="BF50" s="216">
        <f>(G50/Population_Tables!T24)*Population_Tables!H24</f>
        <v>0</v>
      </c>
      <c r="BG50" s="216"/>
      <c r="BN50" s="216"/>
      <c r="BO50" s="216"/>
      <c r="BP50" s="216"/>
    </row>
    <row r="51" spans="1:68" ht="15.6" x14ac:dyDescent="0.3">
      <c r="A51" s="206">
        <v>2036</v>
      </c>
      <c r="B51" s="229">
        <v>553.66903404548975</v>
      </c>
      <c r="C51" s="229"/>
      <c r="D51" s="229"/>
      <c r="E51" s="229"/>
      <c r="F51" s="229"/>
      <c r="G51" s="229"/>
      <c r="H51" s="229"/>
      <c r="I51" s="229"/>
      <c r="J51" s="229"/>
      <c r="K51" s="229"/>
      <c r="M51" s="206">
        <v>2036</v>
      </c>
      <c r="N51" s="521"/>
      <c r="O51" s="522"/>
      <c r="P51" s="522"/>
      <c r="Q51" s="522"/>
      <c r="R51" s="522"/>
      <c r="S51" s="522"/>
      <c r="T51" s="522"/>
      <c r="U51" s="522"/>
      <c r="V51" s="522"/>
      <c r="W51" s="522"/>
      <c r="Y51" s="456">
        <v>2036</v>
      </c>
      <c r="Z51" s="459">
        <f>((B51/Population_Tables!O25)*Population_Tables!C25)-N51</f>
        <v>577.00324046536184</v>
      </c>
      <c r="AA51" s="459">
        <f>((C51/Population_Tables!P25)*Population_Tables!D25)-O51</f>
        <v>0</v>
      </c>
      <c r="AB51" s="459">
        <f>((D51/Population_Tables!Q25)*Population_Tables!E25)-P51</f>
        <v>0</v>
      </c>
      <c r="AC51" s="459">
        <f>((E51/Population_Tables!R25)*Population_Tables!F25)-Q51</f>
        <v>0</v>
      </c>
      <c r="AD51" s="459">
        <f>((F51/Population_Tables!S25)*Population_Tables!G25)-R51</f>
        <v>0</v>
      </c>
      <c r="AE51" s="459">
        <f>((G51/Population_Tables!T25)*Population_Tables!H25)-S51</f>
        <v>0</v>
      </c>
      <c r="AF51" s="459">
        <f>(H51/Population_Tables!U25)*Population_Tables!I25</f>
        <v>0</v>
      </c>
      <c r="AG51" s="459">
        <f>(I51/Population_Tables!V25)*Population_Tables!J25</f>
        <v>0</v>
      </c>
      <c r="AH51" s="459">
        <f>(J51/Population_Tables!W25)*Population_Tables!K25</f>
        <v>0</v>
      </c>
      <c r="AI51" s="459">
        <f>(K51/Population_Tables!X25)*Population_Tables!L25</f>
        <v>0</v>
      </c>
      <c r="AK51" s="456">
        <v>2036</v>
      </c>
      <c r="AL51" s="459">
        <f t="shared" si="5"/>
        <v>577.00324046536184</v>
      </c>
      <c r="AM51" s="459">
        <f t="shared" si="5"/>
        <v>0</v>
      </c>
      <c r="AN51" s="459">
        <f t="shared" si="5"/>
        <v>0</v>
      </c>
      <c r="AO51" s="459">
        <f t="shared" si="5"/>
        <v>0</v>
      </c>
      <c r="AP51" s="459">
        <f t="shared" si="5"/>
        <v>0</v>
      </c>
      <c r="AQ51" s="459">
        <f t="shared" si="5"/>
        <v>0</v>
      </c>
      <c r="AR51" s="459">
        <f t="shared" si="5"/>
        <v>0</v>
      </c>
      <c r="AS51" s="459">
        <f t="shared" si="5"/>
        <v>0</v>
      </c>
      <c r="AT51" s="459">
        <f t="shared" si="5"/>
        <v>0</v>
      </c>
      <c r="AU51" s="459">
        <f t="shared" si="5"/>
        <v>0</v>
      </c>
      <c r="AW51" s="216">
        <f>(B51/Population_Tables!O25)*Population_Tables!C25</f>
        <v>577.00324046536184</v>
      </c>
      <c r="AX51" s="153" t="str">
        <f t="shared" si="6"/>
        <v>OK</v>
      </c>
      <c r="AY51" s="421">
        <f t="shared" si="3"/>
        <v>0</v>
      </c>
      <c r="AZ51" s="153" t="str">
        <f t="shared" si="4"/>
        <v>OK</v>
      </c>
      <c r="BB51" s="216">
        <f>(C51/Population_Tables!P25)*Population_Tables!D25</f>
        <v>0</v>
      </c>
      <c r="BC51" s="216">
        <f>(D51/Population_Tables!Q25)*Population_Tables!E25</f>
        <v>0</v>
      </c>
      <c r="BD51" s="216">
        <f>(E51/Population_Tables!R25)*Population_Tables!F25</f>
        <v>0</v>
      </c>
      <c r="BE51" s="216">
        <f>(F51/Population_Tables!S25)*Population_Tables!G25</f>
        <v>0</v>
      </c>
      <c r="BF51" s="216">
        <f>(G51/Population_Tables!T25)*Population_Tables!H25</f>
        <v>0</v>
      </c>
      <c r="BG51" s="216"/>
      <c r="BN51" s="216"/>
      <c r="BO51" s="216"/>
      <c r="BP51" s="216"/>
    </row>
    <row r="52" spans="1:68" ht="15.6" x14ac:dyDescent="0.3">
      <c r="A52" s="206">
        <v>2037</v>
      </c>
      <c r="B52" s="229">
        <v>568.42731547378378</v>
      </c>
      <c r="C52" s="229"/>
      <c r="D52" s="229"/>
      <c r="E52" s="229"/>
      <c r="F52" s="229"/>
      <c r="G52" s="229"/>
      <c r="H52" s="229"/>
      <c r="I52" s="229"/>
      <c r="J52" s="229"/>
      <c r="K52" s="229"/>
      <c r="M52" s="206">
        <v>2037</v>
      </c>
      <c r="N52" s="521"/>
      <c r="O52" s="522"/>
      <c r="P52" s="522"/>
      <c r="Q52" s="522"/>
      <c r="R52" s="522"/>
      <c r="S52" s="522"/>
      <c r="T52" s="522"/>
      <c r="U52" s="522"/>
      <c r="V52" s="522"/>
      <c r="W52" s="522"/>
      <c r="Y52" s="456">
        <v>2037</v>
      </c>
      <c r="Z52" s="459">
        <f>((B52/Population_Tables!O26)*Population_Tables!C26)-N52</f>
        <v>594.21847060653567</v>
      </c>
      <c r="AA52" s="459">
        <f>((C52/Population_Tables!P26)*Population_Tables!D26)-O52</f>
        <v>0</v>
      </c>
      <c r="AB52" s="459">
        <f>((D52/Population_Tables!Q26)*Population_Tables!E26)-P52</f>
        <v>0</v>
      </c>
      <c r="AC52" s="459">
        <f>((E52/Population_Tables!R26)*Population_Tables!F26)-Q52</f>
        <v>0</v>
      </c>
      <c r="AD52" s="459">
        <f>((F52/Population_Tables!S26)*Population_Tables!G26)-R52</f>
        <v>0</v>
      </c>
      <c r="AE52" s="459">
        <f>((G52/Population_Tables!T26)*Population_Tables!H26)-S52</f>
        <v>0</v>
      </c>
      <c r="AF52" s="459">
        <f>(H52/Population_Tables!U26)*Population_Tables!I26</f>
        <v>0</v>
      </c>
      <c r="AG52" s="459">
        <f>(I52/Population_Tables!V26)*Population_Tables!J26</f>
        <v>0</v>
      </c>
      <c r="AH52" s="459">
        <f>(J52/Population_Tables!W26)*Population_Tables!K26</f>
        <v>0</v>
      </c>
      <c r="AI52" s="459">
        <f>(K52/Population_Tables!X26)*Population_Tables!L26</f>
        <v>0</v>
      </c>
      <c r="AK52" s="456">
        <v>2037</v>
      </c>
      <c r="AL52" s="459">
        <f t="shared" si="5"/>
        <v>594.21847060653567</v>
      </c>
      <c r="AM52" s="459">
        <f t="shared" si="5"/>
        <v>0</v>
      </c>
      <c r="AN52" s="459">
        <f t="shared" si="5"/>
        <v>0</v>
      </c>
      <c r="AO52" s="459">
        <f t="shared" si="5"/>
        <v>0</v>
      </c>
      <c r="AP52" s="459">
        <f t="shared" si="5"/>
        <v>0</v>
      </c>
      <c r="AQ52" s="459">
        <f t="shared" si="5"/>
        <v>0</v>
      </c>
      <c r="AR52" s="459">
        <f t="shared" si="5"/>
        <v>0</v>
      </c>
      <c r="AS52" s="459">
        <f t="shared" si="5"/>
        <v>0</v>
      </c>
      <c r="AT52" s="459">
        <f t="shared" si="5"/>
        <v>0</v>
      </c>
      <c r="AU52" s="459">
        <f t="shared" si="5"/>
        <v>0</v>
      </c>
      <c r="AW52" s="216">
        <f>(B52/Population_Tables!O26)*Population_Tables!C26</f>
        <v>594.21847060653567</v>
      </c>
      <c r="AX52" s="153" t="str">
        <f t="shared" si="6"/>
        <v>OK</v>
      </c>
      <c r="AY52" s="421">
        <f t="shared" si="3"/>
        <v>0</v>
      </c>
      <c r="AZ52" s="153" t="str">
        <f t="shared" si="4"/>
        <v>OK</v>
      </c>
      <c r="BB52" s="216">
        <f>(C52/Population_Tables!P26)*Population_Tables!D26</f>
        <v>0</v>
      </c>
      <c r="BC52" s="216">
        <f>(D52/Population_Tables!Q26)*Population_Tables!E26</f>
        <v>0</v>
      </c>
      <c r="BD52" s="216">
        <f>(E52/Population_Tables!R26)*Population_Tables!F26</f>
        <v>0</v>
      </c>
      <c r="BE52" s="216">
        <f>(F52/Population_Tables!S26)*Population_Tables!G26</f>
        <v>0</v>
      </c>
      <c r="BF52" s="216">
        <f>(G52/Population_Tables!T26)*Population_Tables!H26</f>
        <v>0</v>
      </c>
      <c r="BG52" s="216"/>
      <c r="BN52" s="216"/>
      <c r="BO52" s="216"/>
      <c r="BP52" s="216"/>
    </row>
    <row r="53" spans="1:68" ht="15.6" x14ac:dyDescent="0.3">
      <c r="A53" s="206">
        <v>2038</v>
      </c>
      <c r="B53" s="229">
        <v>583.46422082122433</v>
      </c>
      <c r="C53" s="229"/>
      <c r="D53" s="229"/>
      <c r="E53" s="229"/>
      <c r="F53" s="229"/>
      <c r="G53" s="229"/>
      <c r="H53" s="229"/>
      <c r="I53" s="229"/>
      <c r="J53" s="229"/>
      <c r="K53" s="229"/>
      <c r="M53" s="206">
        <v>2038</v>
      </c>
      <c r="N53" s="521"/>
      <c r="O53" s="522"/>
      <c r="P53" s="522"/>
      <c r="Q53" s="522"/>
      <c r="R53" s="522"/>
      <c r="S53" s="522"/>
      <c r="T53" s="522"/>
      <c r="U53" s="522"/>
      <c r="V53" s="522"/>
      <c r="W53" s="522"/>
      <c r="Y53" s="456">
        <v>2038</v>
      </c>
      <c r="Z53" s="459">
        <f>((B53/Population_Tables!O27)*Population_Tables!C27)-N53</f>
        <v>611.81103243059295</v>
      </c>
      <c r="AA53" s="459">
        <f>((C53/Population_Tables!P27)*Population_Tables!D27)-O53</f>
        <v>0</v>
      </c>
      <c r="AB53" s="459">
        <f>((D53/Population_Tables!Q27)*Population_Tables!E27)-P53</f>
        <v>0</v>
      </c>
      <c r="AC53" s="459">
        <f>((E53/Population_Tables!R27)*Population_Tables!F27)-Q53</f>
        <v>0</v>
      </c>
      <c r="AD53" s="459">
        <f>((F53/Population_Tables!S27)*Population_Tables!G27)-R53</f>
        <v>0</v>
      </c>
      <c r="AE53" s="459">
        <f>((G53/Population_Tables!T27)*Population_Tables!H27)-S53</f>
        <v>0</v>
      </c>
      <c r="AF53" s="459">
        <f>(H53/Population_Tables!U27)*Population_Tables!I27</f>
        <v>0</v>
      </c>
      <c r="AG53" s="459">
        <f>(I53/Population_Tables!V27)*Population_Tables!J27</f>
        <v>0</v>
      </c>
      <c r="AH53" s="459">
        <f>(J53/Population_Tables!W27)*Population_Tables!K27</f>
        <v>0</v>
      </c>
      <c r="AI53" s="459">
        <f>(K53/Population_Tables!X27)*Population_Tables!L27</f>
        <v>0</v>
      </c>
      <c r="AK53" s="456">
        <v>2038</v>
      </c>
      <c r="AL53" s="459">
        <f t="shared" si="5"/>
        <v>611.81103243059295</v>
      </c>
      <c r="AM53" s="459">
        <f t="shared" si="5"/>
        <v>0</v>
      </c>
      <c r="AN53" s="459">
        <f t="shared" si="5"/>
        <v>0</v>
      </c>
      <c r="AO53" s="459">
        <f t="shared" si="5"/>
        <v>0</v>
      </c>
      <c r="AP53" s="459">
        <f t="shared" si="5"/>
        <v>0</v>
      </c>
      <c r="AQ53" s="459">
        <f t="shared" si="5"/>
        <v>0</v>
      </c>
      <c r="AR53" s="459">
        <f t="shared" si="5"/>
        <v>0</v>
      </c>
      <c r="AS53" s="459">
        <f t="shared" si="5"/>
        <v>0</v>
      </c>
      <c r="AT53" s="459">
        <f t="shared" si="5"/>
        <v>0</v>
      </c>
      <c r="AU53" s="459">
        <f t="shared" si="5"/>
        <v>0</v>
      </c>
      <c r="AW53" s="216">
        <f>(B53/Population_Tables!O27)*Population_Tables!C27</f>
        <v>611.81103243059295</v>
      </c>
      <c r="AX53" s="153" t="str">
        <f t="shared" si="6"/>
        <v>OK</v>
      </c>
      <c r="AY53" s="421">
        <f t="shared" si="3"/>
        <v>0</v>
      </c>
      <c r="AZ53" s="153" t="str">
        <f t="shared" si="4"/>
        <v>OK</v>
      </c>
      <c r="BB53" s="216">
        <f>(C53/Population_Tables!P27)*Population_Tables!D27</f>
        <v>0</v>
      </c>
      <c r="BC53" s="216">
        <f>(D53/Population_Tables!Q27)*Population_Tables!E27</f>
        <v>0</v>
      </c>
      <c r="BD53" s="216">
        <f>(E53/Population_Tables!R27)*Population_Tables!F27</f>
        <v>0</v>
      </c>
      <c r="BE53" s="216">
        <f>(F53/Population_Tables!S27)*Population_Tables!G27</f>
        <v>0</v>
      </c>
      <c r="BF53" s="216">
        <f>(G53/Population_Tables!T27)*Population_Tables!H27</f>
        <v>0</v>
      </c>
      <c r="BG53" s="216"/>
      <c r="BN53" s="216"/>
      <c r="BO53" s="216"/>
      <c r="BP53" s="216"/>
    </row>
    <row r="54" spans="1:68" ht="15.6" x14ac:dyDescent="0.3">
      <c r="A54" s="206">
        <v>2039</v>
      </c>
      <c r="B54" s="229">
        <v>598.77392024278049</v>
      </c>
      <c r="C54" s="229"/>
      <c r="D54" s="229"/>
      <c r="E54" s="229"/>
      <c r="F54" s="229"/>
      <c r="G54" s="229"/>
      <c r="H54" s="229"/>
      <c r="I54" s="229"/>
      <c r="J54" s="229"/>
      <c r="K54" s="229"/>
      <c r="M54" s="206">
        <v>2039</v>
      </c>
      <c r="N54" s="521"/>
      <c r="O54" s="522"/>
      <c r="P54" s="522"/>
      <c r="Q54" s="522"/>
      <c r="R54" s="522"/>
      <c r="S54" s="522"/>
      <c r="T54" s="522"/>
      <c r="U54" s="522"/>
      <c r="V54" s="522"/>
      <c r="W54" s="522"/>
      <c r="Y54" s="456">
        <v>2039</v>
      </c>
      <c r="Z54" s="459">
        <f>((B54/Population_Tables!O28)*Population_Tables!C28)-N54</f>
        <v>629.79506176889981</v>
      </c>
      <c r="AA54" s="459">
        <f>((C54/Population_Tables!P28)*Population_Tables!D28)-O54</f>
        <v>0</v>
      </c>
      <c r="AB54" s="459">
        <f>((D54/Population_Tables!Q28)*Population_Tables!E28)-P54</f>
        <v>0</v>
      </c>
      <c r="AC54" s="459">
        <f>((E54/Population_Tables!R28)*Population_Tables!F28)-Q54</f>
        <v>0</v>
      </c>
      <c r="AD54" s="459">
        <f>((F54/Population_Tables!S28)*Population_Tables!G28)-R54</f>
        <v>0</v>
      </c>
      <c r="AE54" s="459">
        <f>((G54/Population_Tables!T28)*Population_Tables!H28)-S54</f>
        <v>0</v>
      </c>
      <c r="AF54" s="459">
        <f>(H54/Population_Tables!U28)*Population_Tables!I28</f>
        <v>0</v>
      </c>
      <c r="AG54" s="459">
        <f>(I54/Population_Tables!V28)*Population_Tables!J28</f>
        <v>0</v>
      </c>
      <c r="AH54" s="459">
        <f>(J54/Population_Tables!W28)*Population_Tables!K28</f>
        <v>0</v>
      </c>
      <c r="AI54" s="459">
        <f>(K54/Population_Tables!X28)*Population_Tables!L28</f>
        <v>0</v>
      </c>
      <c r="AK54" s="456">
        <v>2039</v>
      </c>
      <c r="AL54" s="459">
        <f t="shared" si="5"/>
        <v>629.79506176889981</v>
      </c>
      <c r="AM54" s="459">
        <f t="shared" si="5"/>
        <v>0</v>
      </c>
      <c r="AN54" s="459">
        <f t="shared" si="5"/>
        <v>0</v>
      </c>
      <c r="AO54" s="459">
        <f t="shared" si="5"/>
        <v>0</v>
      </c>
      <c r="AP54" s="459">
        <f t="shared" si="5"/>
        <v>0</v>
      </c>
      <c r="AQ54" s="459">
        <f t="shared" si="5"/>
        <v>0</v>
      </c>
      <c r="AR54" s="459">
        <f t="shared" si="5"/>
        <v>0</v>
      </c>
      <c r="AS54" s="459">
        <f t="shared" si="5"/>
        <v>0</v>
      </c>
      <c r="AT54" s="459">
        <f t="shared" si="5"/>
        <v>0</v>
      </c>
      <c r="AU54" s="459">
        <f t="shared" si="5"/>
        <v>0</v>
      </c>
      <c r="AW54" s="216">
        <f>(B54/Population_Tables!O28)*Population_Tables!C28</f>
        <v>629.79506176889981</v>
      </c>
      <c r="AX54" s="153" t="str">
        <f t="shared" si="6"/>
        <v>OK</v>
      </c>
      <c r="AY54" s="421">
        <f t="shared" si="3"/>
        <v>0</v>
      </c>
      <c r="AZ54" s="153" t="str">
        <f t="shared" si="4"/>
        <v>OK</v>
      </c>
      <c r="BB54" s="216">
        <f>(C54/Population_Tables!P28)*Population_Tables!D28</f>
        <v>0</v>
      </c>
      <c r="BC54" s="216">
        <f>(D54/Population_Tables!Q28)*Population_Tables!E28</f>
        <v>0</v>
      </c>
      <c r="BD54" s="216">
        <f>(E54/Population_Tables!R28)*Population_Tables!F28</f>
        <v>0</v>
      </c>
      <c r="BE54" s="216">
        <f>(F54/Population_Tables!S28)*Population_Tables!G28</f>
        <v>0</v>
      </c>
      <c r="BF54" s="216">
        <f>(G54/Population_Tables!T28)*Population_Tables!H28</f>
        <v>0</v>
      </c>
      <c r="BG54" s="216"/>
      <c r="BN54" s="216"/>
      <c r="BO54" s="216"/>
      <c r="BP54" s="216"/>
    </row>
    <row r="55" spans="1:68" ht="15.6" x14ac:dyDescent="0.3">
      <c r="A55" s="206">
        <v>2040</v>
      </c>
      <c r="B55" s="229">
        <v>614.35058389342134</v>
      </c>
      <c r="C55" s="229"/>
      <c r="D55" s="229"/>
      <c r="E55" s="229"/>
      <c r="F55" s="229"/>
      <c r="G55" s="229"/>
      <c r="H55" s="229"/>
      <c r="I55" s="229"/>
      <c r="J55" s="229"/>
      <c r="K55" s="229"/>
      <c r="M55" s="206">
        <v>2040</v>
      </c>
      <c r="N55" s="521"/>
      <c r="O55" s="522"/>
      <c r="P55" s="522"/>
      <c r="Q55" s="522"/>
      <c r="R55" s="522"/>
      <c r="S55" s="522"/>
      <c r="T55" s="522"/>
      <c r="U55" s="522"/>
      <c r="V55" s="522"/>
      <c r="W55" s="522"/>
      <c r="Y55" s="456">
        <v>2040</v>
      </c>
      <c r="Z55" s="459">
        <f>((B55/Population_Tables!O29)*Population_Tables!C29)-N55</f>
        <v>648.18293920172823</v>
      </c>
      <c r="AA55" s="459">
        <f>((C55/Population_Tables!P29)*Population_Tables!D29)-O55</f>
        <v>0</v>
      </c>
      <c r="AB55" s="459">
        <f>((D55/Population_Tables!Q29)*Population_Tables!E29)-P55</f>
        <v>0</v>
      </c>
      <c r="AC55" s="459">
        <f>((E55/Population_Tables!R29)*Population_Tables!F29)-Q55</f>
        <v>0</v>
      </c>
      <c r="AD55" s="459">
        <f>((F55/Population_Tables!S29)*Population_Tables!G29)-R55</f>
        <v>0</v>
      </c>
      <c r="AE55" s="459">
        <f>((G55/Population_Tables!T29)*Population_Tables!H29)-S55</f>
        <v>0</v>
      </c>
      <c r="AF55" s="459">
        <f>(H55/Population_Tables!U29)*Population_Tables!I29</f>
        <v>0</v>
      </c>
      <c r="AG55" s="459">
        <f>(I55/Population_Tables!V29)*Population_Tables!J29</f>
        <v>0</v>
      </c>
      <c r="AH55" s="459">
        <f>(J55/Population_Tables!W29)*Population_Tables!K29</f>
        <v>0</v>
      </c>
      <c r="AI55" s="459">
        <f>(K55/Population_Tables!X29)*Population_Tables!L29</f>
        <v>0</v>
      </c>
      <c r="AK55" s="456">
        <v>2040</v>
      </c>
      <c r="AL55" s="459">
        <f t="shared" si="5"/>
        <v>648.18293920172823</v>
      </c>
      <c r="AM55" s="459">
        <f t="shared" si="5"/>
        <v>0</v>
      </c>
      <c r="AN55" s="459">
        <f t="shared" si="5"/>
        <v>0</v>
      </c>
      <c r="AO55" s="459">
        <f t="shared" si="5"/>
        <v>0</v>
      </c>
      <c r="AP55" s="459">
        <f t="shared" si="5"/>
        <v>0</v>
      </c>
      <c r="AQ55" s="459">
        <f t="shared" si="5"/>
        <v>0</v>
      </c>
      <c r="AR55" s="459">
        <f t="shared" si="5"/>
        <v>0</v>
      </c>
      <c r="AS55" s="459">
        <f t="shared" si="5"/>
        <v>0</v>
      </c>
      <c r="AT55" s="459">
        <f t="shared" si="5"/>
        <v>0</v>
      </c>
      <c r="AU55" s="459">
        <f t="shared" si="5"/>
        <v>0</v>
      </c>
      <c r="AW55" s="216">
        <f>(B55/Population_Tables!O29)*Population_Tables!C29</f>
        <v>648.18293920172823</v>
      </c>
      <c r="AX55" s="153" t="str">
        <f t="shared" si="6"/>
        <v>OK</v>
      </c>
      <c r="AY55" s="421">
        <f t="shared" si="3"/>
        <v>0</v>
      </c>
      <c r="AZ55" s="153" t="str">
        <f t="shared" si="4"/>
        <v>OK</v>
      </c>
      <c r="BB55" s="216">
        <f>(C55/Population_Tables!P29)*Population_Tables!D29</f>
        <v>0</v>
      </c>
      <c r="BC55" s="216">
        <f>(D55/Population_Tables!Q29)*Population_Tables!E29</f>
        <v>0</v>
      </c>
      <c r="BD55" s="216">
        <f>(E55/Population_Tables!R29)*Population_Tables!F29</f>
        <v>0</v>
      </c>
      <c r="BE55" s="216">
        <f>(F55/Population_Tables!S29)*Population_Tables!G29</f>
        <v>0</v>
      </c>
      <c r="BF55" s="216">
        <f>(G55/Population_Tables!T29)*Population_Tables!H29</f>
        <v>0</v>
      </c>
      <c r="BG55" s="216"/>
      <c r="BN55" s="216"/>
      <c r="BO55" s="216"/>
      <c r="BP55" s="216"/>
    </row>
    <row r="56" spans="1:68" ht="15.6" x14ac:dyDescent="0.3">
      <c r="A56" s="206">
        <v>2041</v>
      </c>
      <c r="B56" s="229">
        <v>630.18838192811586</v>
      </c>
      <c r="C56" s="229"/>
      <c r="D56" s="229"/>
      <c r="E56" s="229"/>
      <c r="F56" s="229"/>
      <c r="G56" s="229"/>
      <c r="H56" s="229"/>
      <c r="I56" s="229"/>
      <c r="J56" s="229"/>
      <c r="K56" s="229"/>
      <c r="M56" s="206">
        <v>2041</v>
      </c>
      <c r="N56" s="521"/>
      <c r="O56" s="522"/>
      <c r="P56" s="522"/>
      <c r="Q56" s="522"/>
      <c r="R56" s="522"/>
      <c r="S56" s="522"/>
      <c r="T56" s="522"/>
      <c r="U56" s="522"/>
      <c r="V56" s="522"/>
      <c r="W56" s="522"/>
      <c r="Y56" s="456">
        <v>2041</v>
      </c>
      <c r="Z56" s="459">
        <f>((B56/Population_Tables!O30)*Population_Tables!C30)-N56</f>
        <v>666.97630839117039</v>
      </c>
      <c r="AA56" s="459">
        <f>((C56/Population_Tables!P30)*Population_Tables!D30)-O56</f>
        <v>0</v>
      </c>
      <c r="AB56" s="459">
        <f>((D56/Population_Tables!Q30)*Population_Tables!E30)-P56</f>
        <v>0</v>
      </c>
      <c r="AC56" s="459">
        <f>((E56/Population_Tables!R30)*Population_Tables!F30)-Q56</f>
        <v>0</v>
      </c>
      <c r="AD56" s="459">
        <f>((F56/Population_Tables!S30)*Population_Tables!G30)-R56</f>
        <v>0</v>
      </c>
      <c r="AE56" s="459">
        <f>((G56/Population_Tables!T30)*Population_Tables!H30)-S56</f>
        <v>0</v>
      </c>
      <c r="AF56" s="459">
        <f>(H56/Population_Tables!U30)*Population_Tables!I30</f>
        <v>0</v>
      </c>
      <c r="AG56" s="459">
        <f>(I56/Population_Tables!V30)*Population_Tables!J30</f>
        <v>0</v>
      </c>
      <c r="AH56" s="459">
        <f>(J56/Population_Tables!W30)*Population_Tables!K30</f>
        <v>0</v>
      </c>
      <c r="AI56" s="459">
        <f>(K56/Population_Tables!X30)*Population_Tables!L30</f>
        <v>0</v>
      </c>
      <c r="AK56" s="456">
        <v>2041</v>
      </c>
      <c r="AL56" s="459">
        <f t="shared" si="5"/>
        <v>666.97630839117039</v>
      </c>
      <c r="AM56" s="459">
        <f t="shared" si="5"/>
        <v>0</v>
      </c>
      <c r="AN56" s="459">
        <f t="shared" si="5"/>
        <v>0</v>
      </c>
      <c r="AO56" s="459">
        <f t="shared" si="5"/>
        <v>0</v>
      </c>
      <c r="AP56" s="459">
        <f t="shared" si="5"/>
        <v>0</v>
      </c>
      <c r="AQ56" s="459">
        <f t="shared" si="5"/>
        <v>0</v>
      </c>
      <c r="AR56" s="459">
        <f t="shared" si="5"/>
        <v>0</v>
      </c>
      <c r="AS56" s="459">
        <f t="shared" si="5"/>
        <v>0</v>
      </c>
      <c r="AT56" s="459">
        <f t="shared" si="5"/>
        <v>0</v>
      </c>
      <c r="AU56" s="459">
        <f t="shared" si="5"/>
        <v>0</v>
      </c>
      <c r="AW56" s="216">
        <f>(B56/Population_Tables!O30)*Population_Tables!C30</f>
        <v>666.97630839117039</v>
      </c>
      <c r="AX56" s="153" t="str">
        <f t="shared" si="6"/>
        <v>OK</v>
      </c>
      <c r="AY56" s="421">
        <f t="shared" si="3"/>
        <v>0</v>
      </c>
      <c r="AZ56" s="153" t="str">
        <f t="shared" si="4"/>
        <v>OK</v>
      </c>
      <c r="BB56" s="216">
        <f>(C56/Population_Tables!P30)*Population_Tables!D30</f>
        <v>0</v>
      </c>
      <c r="BC56" s="216">
        <f>(D56/Population_Tables!Q30)*Population_Tables!E30</f>
        <v>0</v>
      </c>
      <c r="BD56" s="216">
        <f>(E56/Population_Tables!R30)*Population_Tables!F30</f>
        <v>0</v>
      </c>
      <c r="BE56" s="216">
        <f>(F56/Population_Tables!S30)*Population_Tables!G30</f>
        <v>0</v>
      </c>
      <c r="BF56" s="216">
        <f>(G56/Population_Tables!T30)*Population_Tables!H30</f>
        <v>0</v>
      </c>
      <c r="BG56" s="216"/>
      <c r="BN56" s="216"/>
      <c r="BO56" s="216"/>
      <c r="BP56" s="216"/>
    </row>
    <row r="57" spans="1:68" ht="15.6" x14ac:dyDescent="0.3">
      <c r="A57" s="206">
        <v>2042</v>
      </c>
      <c r="B57" s="229">
        <v>646.28148450183323</v>
      </c>
      <c r="C57" s="229"/>
      <c r="D57" s="229"/>
      <c r="E57" s="229"/>
      <c r="F57" s="229"/>
      <c r="G57" s="229"/>
      <c r="H57" s="229"/>
      <c r="I57" s="229"/>
      <c r="J57" s="229"/>
      <c r="K57" s="229"/>
      <c r="M57" s="206">
        <v>2042</v>
      </c>
      <c r="N57" s="521"/>
      <c r="O57" s="522"/>
      <c r="P57" s="522"/>
      <c r="Q57" s="522"/>
      <c r="R57" s="522"/>
      <c r="S57" s="522"/>
      <c r="T57" s="522"/>
      <c r="U57" s="522"/>
      <c r="V57" s="522"/>
      <c r="W57" s="522"/>
      <c r="Y57" s="456">
        <v>2042</v>
      </c>
      <c r="Z57" s="459">
        <f>((B57/Population_Tables!O31)*Population_Tables!C31)-N57</f>
        <v>686.17398979061807</v>
      </c>
      <c r="AA57" s="459">
        <f>((C57/Population_Tables!P31)*Population_Tables!D31)-O57</f>
        <v>0</v>
      </c>
      <c r="AB57" s="459">
        <f>((D57/Population_Tables!Q31)*Population_Tables!E31)-P57</f>
        <v>0</v>
      </c>
      <c r="AC57" s="459">
        <f>((E57/Population_Tables!R31)*Population_Tables!F31)-Q57</f>
        <v>0</v>
      </c>
      <c r="AD57" s="459">
        <f>((F57/Population_Tables!S31)*Population_Tables!G31)-R57</f>
        <v>0</v>
      </c>
      <c r="AE57" s="459">
        <f>((G57/Population_Tables!T31)*Population_Tables!H31)-S57</f>
        <v>0</v>
      </c>
      <c r="AF57" s="459">
        <f>(H57/Population_Tables!U31)*Population_Tables!I31</f>
        <v>0</v>
      </c>
      <c r="AG57" s="459">
        <f>(I57/Population_Tables!V31)*Population_Tables!J31</f>
        <v>0</v>
      </c>
      <c r="AH57" s="459">
        <f>(J57/Population_Tables!W31)*Population_Tables!K31</f>
        <v>0</v>
      </c>
      <c r="AI57" s="459">
        <f>(K57/Population_Tables!X31)*Population_Tables!L31</f>
        <v>0</v>
      </c>
      <c r="AK57" s="456">
        <v>2042</v>
      </c>
      <c r="AL57" s="459">
        <f t="shared" si="5"/>
        <v>686.17398979061807</v>
      </c>
      <c r="AM57" s="459">
        <f t="shared" si="5"/>
        <v>0</v>
      </c>
      <c r="AN57" s="459">
        <f t="shared" si="5"/>
        <v>0</v>
      </c>
      <c r="AO57" s="459">
        <f t="shared" si="5"/>
        <v>0</v>
      </c>
      <c r="AP57" s="459">
        <f t="shared" si="5"/>
        <v>0</v>
      </c>
      <c r="AQ57" s="459">
        <f t="shared" si="5"/>
        <v>0</v>
      </c>
      <c r="AR57" s="459">
        <f t="shared" si="5"/>
        <v>0</v>
      </c>
      <c r="AS57" s="459">
        <f t="shared" si="5"/>
        <v>0</v>
      </c>
      <c r="AT57" s="459">
        <f t="shared" si="5"/>
        <v>0</v>
      </c>
      <c r="AU57" s="459">
        <f t="shared" si="5"/>
        <v>0</v>
      </c>
      <c r="AW57" s="216">
        <f>(B57/Population_Tables!O31)*Population_Tables!C31</f>
        <v>686.17398979061807</v>
      </c>
      <c r="AX57" s="153" t="str">
        <f t="shared" si="6"/>
        <v>OK</v>
      </c>
      <c r="AY57" s="421">
        <f t="shared" si="3"/>
        <v>0</v>
      </c>
      <c r="AZ57" s="153" t="str">
        <f t="shared" si="4"/>
        <v>OK</v>
      </c>
      <c r="BB57" s="216">
        <f>(C57/Population_Tables!P31)*Population_Tables!D31</f>
        <v>0</v>
      </c>
      <c r="BC57" s="216">
        <f>(D57/Population_Tables!Q31)*Population_Tables!E31</f>
        <v>0</v>
      </c>
      <c r="BD57" s="216">
        <f>(E57/Population_Tables!R31)*Population_Tables!F31</f>
        <v>0</v>
      </c>
      <c r="BE57" s="216">
        <f>(F57/Population_Tables!S31)*Population_Tables!G31</f>
        <v>0</v>
      </c>
      <c r="BF57" s="216">
        <f>(G57/Population_Tables!T31)*Population_Tables!H31</f>
        <v>0</v>
      </c>
      <c r="BG57" s="216"/>
      <c r="BN57" s="216"/>
      <c r="BO57" s="216"/>
      <c r="BP57" s="216"/>
    </row>
    <row r="58" spans="1:68" ht="15.6" x14ac:dyDescent="0.3">
      <c r="A58" s="206">
        <v>2043</v>
      </c>
      <c r="B58" s="229">
        <v>662.62406176954232</v>
      </c>
      <c r="C58" s="229"/>
      <c r="D58" s="229"/>
      <c r="E58" s="229"/>
      <c r="F58" s="229"/>
      <c r="G58" s="229"/>
      <c r="H58" s="229"/>
      <c r="I58" s="229"/>
      <c r="J58" s="229"/>
      <c r="K58" s="229"/>
      <c r="M58" s="206">
        <v>2043</v>
      </c>
      <c r="N58" s="521"/>
      <c r="O58" s="522"/>
      <c r="P58" s="522"/>
      <c r="Q58" s="522"/>
      <c r="R58" s="522"/>
      <c r="S58" s="522"/>
      <c r="T58" s="522"/>
      <c r="U58" s="522"/>
      <c r="V58" s="522"/>
      <c r="W58" s="522"/>
      <c r="Y58" s="456">
        <v>2043</v>
      </c>
      <c r="Z58" s="459">
        <f>((B58/Population_Tables!O32)*Population_Tables!C32)-N58</f>
        <v>705.78451312049594</v>
      </c>
      <c r="AA58" s="459">
        <f>((C58/Population_Tables!P32)*Population_Tables!D32)-O58</f>
        <v>0</v>
      </c>
      <c r="AB58" s="459">
        <f>((D58/Population_Tables!Q32)*Population_Tables!E32)-P58</f>
        <v>0</v>
      </c>
      <c r="AC58" s="459">
        <f>((E58/Population_Tables!R32)*Population_Tables!F32)-Q58</f>
        <v>0</v>
      </c>
      <c r="AD58" s="459">
        <f>((F58/Population_Tables!S32)*Population_Tables!G32)-R58</f>
        <v>0</v>
      </c>
      <c r="AE58" s="459">
        <f>((G58/Population_Tables!T32)*Population_Tables!H32)-S58</f>
        <v>0</v>
      </c>
      <c r="AF58" s="459">
        <f>(H58/Population_Tables!U32)*Population_Tables!I32</f>
        <v>0</v>
      </c>
      <c r="AG58" s="459">
        <f>(I58/Population_Tables!V32)*Population_Tables!J32</f>
        <v>0</v>
      </c>
      <c r="AH58" s="459">
        <f>(J58/Population_Tables!W32)*Population_Tables!K32</f>
        <v>0</v>
      </c>
      <c r="AI58" s="459">
        <f>(K58/Population_Tables!X32)*Population_Tables!L32</f>
        <v>0</v>
      </c>
      <c r="AK58" s="456">
        <v>2043</v>
      </c>
      <c r="AL58" s="459">
        <f t="shared" si="5"/>
        <v>705.78451312049594</v>
      </c>
      <c r="AM58" s="459">
        <f t="shared" si="5"/>
        <v>0</v>
      </c>
      <c r="AN58" s="459">
        <f t="shared" si="5"/>
        <v>0</v>
      </c>
      <c r="AO58" s="459">
        <f t="shared" si="5"/>
        <v>0</v>
      </c>
      <c r="AP58" s="459">
        <f t="shared" si="5"/>
        <v>0</v>
      </c>
      <c r="AQ58" s="459">
        <f t="shared" si="5"/>
        <v>0</v>
      </c>
      <c r="AR58" s="459">
        <f t="shared" si="5"/>
        <v>0</v>
      </c>
      <c r="AS58" s="459">
        <f t="shared" si="5"/>
        <v>0</v>
      </c>
      <c r="AT58" s="459">
        <f t="shared" si="5"/>
        <v>0</v>
      </c>
      <c r="AU58" s="459">
        <f t="shared" si="5"/>
        <v>0</v>
      </c>
      <c r="AW58" s="216">
        <f>(B58/Population_Tables!O32)*Population_Tables!C32</f>
        <v>705.78451312049594</v>
      </c>
      <c r="AX58" s="153" t="str">
        <f t="shared" si="6"/>
        <v>OK</v>
      </c>
      <c r="AY58" s="421">
        <f t="shared" si="3"/>
        <v>0</v>
      </c>
      <c r="AZ58" s="153" t="str">
        <f t="shared" si="4"/>
        <v>OK</v>
      </c>
      <c r="BB58" s="216">
        <f>(C58/Population_Tables!P32)*Population_Tables!D32</f>
        <v>0</v>
      </c>
      <c r="BC58" s="216">
        <f>(D58/Population_Tables!Q32)*Population_Tables!E32</f>
        <v>0</v>
      </c>
      <c r="BD58" s="216">
        <f>(E58/Population_Tables!R32)*Population_Tables!F32</f>
        <v>0</v>
      </c>
      <c r="BE58" s="216">
        <f>(F58/Population_Tables!S32)*Population_Tables!G32</f>
        <v>0</v>
      </c>
      <c r="BF58" s="216">
        <f>(G58/Population_Tables!T32)*Population_Tables!H32</f>
        <v>0</v>
      </c>
      <c r="BG58" s="216"/>
      <c r="BN58" s="216"/>
      <c r="BO58" s="216"/>
      <c r="BP58" s="216"/>
    </row>
    <row r="59" spans="1:68" ht="15.6" x14ac:dyDescent="0.3">
      <c r="A59" s="206">
        <v>2044</v>
      </c>
      <c r="B59" s="229">
        <v>679.21028388621244</v>
      </c>
      <c r="C59" s="229"/>
      <c r="D59" s="229"/>
      <c r="E59" s="229"/>
      <c r="F59" s="229"/>
      <c r="G59" s="229"/>
      <c r="H59" s="229"/>
      <c r="I59" s="229"/>
      <c r="J59" s="229"/>
      <c r="K59" s="229"/>
      <c r="M59" s="206">
        <v>2044</v>
      </c>
      <c r="N59" s="521"/>
      <c r="O59" s="522"/>
      <c r="P59" s="522"/>
      <c r="Q59" s="522"/>
      <c r="R59" s="522"/>
      <c r="S59" s="522"/>
      <c r="T59" s="522"/>
      <c r="U59" s="522"/>
      <c r="V59" s="522"/>
      <c r="W59" s="522"/>
      <c r="Y59" s="456">
        <v>2044</v>
      </c>
      <c r="Z59" s="459">
        <f>((B59/Population_Tables!O33)*Population_Tables!C33)-N59</f>
        <v>725.81868196423636</v>
      </c>
      <c r="AA59" s="459">
        <f>((C59/Population_Tables!P33)*Population_Tables!D33)-O59</f>
        <v>0</v>
      </c>
      <c r="AB59" s="459">
        <f>((D59/Population_Tables!Q33)*Population_Tables!E33)-P59</f>
        <v>0</v>
      </c>
      <c r="AC59" s="459">
        <f>((E59/Population_Tables!R33)*Population_Tables!F33)-Q59</f>
        <v>0</v>
      </c>
      <c r="AD59" s="459">
        <f>((F59/Population_Tables!S33)*Population_Tables!G33)-R59</f>
        <v>0</v>
      </c>
      <c r="AE59" s="459">
        <f>((G59/Population_Tables!T33)*Population_Tables!H33)-S59</f>
        <v>0</v>
      </c>
      <c r="AF59" s="459">
        <f>(H59/Population_Tables!U33)*Population_Tables!I33</f>
        <v>0</v>
      </c>
      <c r="AG59" s="459">
        <f>(I59/Population_Tables!V33)*Population_Tables!J33</f>
        <v>0</v>
      </c>
      <c r="AH59" s="459">
        <f>(J59/Population_Tables!W33)*Population_Tables!K33</f>
        <v>0</v>
      </c>
      <c r="AI59" s="459">
        <f>(K59/Population_Tables!X33)*Population_Tables!L33</f>
        <v>0</v>
      </c>
      <c r="AK59" s="456">
        <v>2044</v>
      </c>
      <c r="AL59" s="459">
        <f t="shared" si="5"/>
        <v>725.81868196423636</v>
      </c>
      <c r="AM59" s="459">
        <f t="shared" si="5"/>
        <v>0</v>
      </c>
      <c r="AN59" s="459">
        <f t="shared" si="5"/>
        <v>0</v>
      </c>
      <c r="AO59" s="459">
        <f t="shared" si="5"/>
        <v>0</v>
      </c>
      <c r="AP59" s="459">
        <f t="shared" si="5"/>
        <v>0</v>
      </c>
      <c r="AQ59" s="459">
        <f t="shared" si="5"/>
        <v>0</v>
      </c>
      <c r="AR59" s="459">
        <f t="shared" si="5"/>
        <v>0</v>
      </c>
      <c r="AS59" s="459">
        <f t="shared" si="5"/>
        <v>0</v>
      </c>
      <c r="AT59" s="459">
        <f t="shared" si="5"/>
        <v>0</v>
      </c>
      <c r="AU59" s="459">
        <f t="shared" si="5"/>
        <v>0</v>
      </c>
      <c r="AW59" s="216">
        <f>(B59/Population_Tables!O33)*Population_Tables!C33</f>
        <v>725.81868196423636</v>
      </c>
      <c r="AX59" s="153" t="str">
        <f t="shared" si="6"/>
        <v>OK</v>
      </c>
      <c r="AY59" s="421">
        <f t="shared" si="3"/>
        <v>0</v>
      </c>
      <c r="AZ59" s="153" t="str">
        <f t="shared" si="4"/>
        <v>OK</v>
      </c>
      <c r="BB59" s="216">
        <f>(C59/Population_Tables!P33)*Population_Tables!D33</f>
        <v>0</v>
      </c>
      <c r="BC59" s="216">
        <f>(D59/Population_Tables!Q33)*Population_Tables!E33</f>
        <v>0</v>
      </c>
      <c r="BD59" s="216">
        <f>(E59/Population_Tables!R33)*Population_Tables!F33</f>
        <v>0</v>
      </c>
      <c r="BE59" s="216">
        <f>(F59/Population_Tables!S33)*Population_Tables!G33</f>
        <v>0</v>
      </c>
      <c r="BF59" s="216">
        <f>(G59/Population_Tables!T33)*Population_Tables!H33</f>
        <v>0</v>
      </c>
      <c r="BG59" s="216"/>
      <c r="BN59" s="216"/>
      <c r="BO59" s="216"/>
      <c r="BP59" s="216"/>
    </row>
    <row r="60" spans="1:68" ht="15.6" x14ac:dyDescent="0.3">
      <c r="A60" s="206">
        <v>2045</v>
      </c>
      <c r="B60" s="229">
        <v>696.03432100681221</v>
      </c>
      <c r="C60" s="229"/>
      <c r="D60" s="229"/>
      <c r="E60" s="229"/>
      <c r="F60" s="229"/>
      <c r="G60" s="229"/>
      <c r="H60" s="229"/>
      <c r="I60" s="229"/>
      <c r="J60" s="229"/>
      <c r="K60" s="229"/>
      <c r="M60" s="206">
        <v>2045</v>
      </c>
      <c r="N60" s="521"/>
      <c r="O60" s="522"/>
      <c r="P60" s="522"/>
      <c r="Q60" s="522"/>
      <c r="R60" s="522"/>
      <c r="S60" s="522"/>
      <c r="T60" s="522"/>
      <c r="U60" s="522"/>
      <c r="V60" s="522"/>
      <c r="W60" s="522"/>
      <c r="Y60" s="456">
        <v>2045</v>
      </c>
      <c r="Z60" s="459">
        <f>((B60/Population_Tables!O34)*Population_Tables!C34)-N60</f>
        <v>746.28673890638845</v>
      </c>
      <c r="AA60" s="459">
        <f>((C60/Population_Tables!P34)*Population_Tables!D34)-O60</f>
        <v>0</v>
      </c>
      <c r="AB60" s="459">
        <f>((D60/Population_Tables!Q34)*Population_Tables!E34)-P60</f>
        <v>0</v>
      </c>
      <c r="AC60" s="459">
        <f>((E60/Population_Tables!R34)*Population_Tables!F34)-Q60</f>
        <v>0</v>
      </c>
      <c r="AD60" s="459">
        <f>((F60/Population_Tables!S34)*Population_Tables!G34)-R60</f>
        <v>0</v>
      </c>
      <c r="AE60" s="459">
        <f>((G60/Population_Tables!T34)*Population_Tables!H34)-S60</f>
        <v>0</v>
      </c>
      <c r="AF60" s="459">
        <f>(H60/Population_Tables!U34)*Population_Tables!I34</f>
        <v>0</v>
      </c>
      <c r="AG60" s="459">
        <f>(I60/Population_Tables!V34)*Population_Tables!J34</f>
        <v>0</v>
      </c>
      <c r="AH60" s="459">
        <f>(J60/Population_Tables!W34)*Population_Tables!K34</f>
        <v>0</v>
      </c>
      <c r="AI60" s="459">
        <f>(K60/Population_Tables!X34)*Population_Tables!L34</f>
        <v>0</v>
      </c>
      <c r="AK60" s="456">
        <v>2045</v>
      </c>
      <c r="AL60" s="459">
        <f t="shared" si="5"/>
        <v>746.28673890638845</v>
      </c>
      <c r="AM60" s="459">
        <f t="shared" si="5"/>
        <v>0</v>
      </c>
      <c r="AN60" s="459">
        <f t="shared" si="5"/>
        <v>0</v>
      </c>
      <c r="AO60" s="459">
        <f t="shared" si="5"/>
        <v>0</v>
      </c>
      <c r="AP60" s="459">
        <f t="shared" si="5"/>
        <v>0</v>
      </c>
      <c r="AQ60" s="459">
        <f t="shared" si="5"/>
        <v>0</v>
      </c>
      <c r="AR60" s="459">
        <f t="shared" si="5"/>
        <v>0</v>
      </c>
      <c r="AS60" s="459">
        <f t="shared" si="5"/>
        <v>0</v>
      </c>
      <c r="AT60" s="459">
        <f t="shared" si="5"/>
        <v>0</v>
      </c>
      <c r="AU60" s="459">
        <f t="shared" si="5"/>
        <v>0</v>
      </c>
      <c r="AW60" s="216">
        <f>(B60/Population_Tables!O34)*Population_Tables!C34</f>
        <v>746.28673890638845</v>
      </c>
      <c r="AX60" s="153" t="str">
        <f t="shared" si="6"/>
        <v>OK</v>
      </c>
      <c r="AY60" s="421">
        <f t="shared" si="3"/>
        <v>0</v>
      </c>
      <c r="AZ60" s="153" t="str">
        <f t="shared" si="4"/>
        <v>OK</v>
      </c>
      <c r="BB60" s="216">
        <f>(C60/Population_Tables!P34)*Population_Tables!D34</f>
        <v>0</v>
      </c>
      <c r="BC60" s="216">
        <f>(D60/Population_Tables!Q34)*Population_Tables!E34</f>
        <v>0</v>
      </c>
      <c r="BD60" s="216">
        <f>(E60/Population_Tables!R34)*Population_Tables!F34</f>
        <v>0</v>
      </c>
      <c r="BE60" s="216">
        <f>(F60/Population_Tables!S34)*Population_Tables!G34</f>
        <v>0</v>
      </c>
      <c r="BF60" s="216">
        <f>(G60/Population_Tables!T34)*Population_Tables!H34</f>
        <v>0</v>
      </c>
      <c r="BG60" s="216"/>
      <c r="BN60" s="216"/>
      <c r="BO60" s="216"/>
      <c r="BP60" s="216"/>
    </row>
    <row r="61" spans="1:68" ht="15.6" x14ac:dyDescent="0.3">
      <c r="A61" s="206">
        <v>2046</v>
      </c>
      <c r="B61" s="229">
        <v>713.09034328631105</v>
      </c>
      <c r="C61" s="229"/>
      <c r="D61" s="229"/>
      <c r="E61" s="229"/>
      <c r="F61" s="229"/>
      <c r="G61" s="229"/>
      <c r="H61" s="229"/>
      <c r="I61" s="229"/>
      <c r="J61" s="229"/>
      <c r="K61" s="229"/>
      <c r="M61" s="206">
        <v>2046</v>
      </c>
      <c r="N61" s="521"/>
      <c r="O61" s="522"/>
      <c r="P61" s="522"/>
      <c r="Q61" s="522"/>
      <c r="R61" s="522"/>
      <c r="S61" s="522"/>
      <c r="T61" s="522"/>
      <c r="U61" s="522"/>
      <c r="V61" s="522"/>
      <c r="W61" s="522"/>
      <c r="Y61" s="456">
        <v>2046</v>
      </c>
      <c r="Z61" s="459">
        <f>((B61/Population_Tables!O35)*Population_Tables!C35)-N61</f>
        <v>767.19519550164762</v>
      </c>
      <c r="AA61" s="459">
        <f>((C61/Population_Tables!P35)*Population_Tables!D35)-O61</f>
        <v>0</v>
      </c>
      <c r="AB61" s="459">
        <f>((D61/Population_Tables!Q35)*Population_Tables!E35)-P61</f>
        <v>0</v>
      </c>
      <c r="AC61" s="459">
        <f>((E61/Population_Tables!R35)*Population_Tables!F35)-Q61</f>
        <v>0</v>
      </c>
      <c r="AD61" s="459">
        <f>((F61/Population_Tables!S35)*Population_Tables!G35)-R61</f>
        <v>0</v>
      </c>
      <c r="AE61" s="459">
        <f>((G61/Population_Tables!T35)*Population_Tables!H35)-S61</f>
        <v>0</v>
      </c>
      <c r="AF61" s="459">
        <f>(H61/Population_Tables!U35)*Population_Tables!I35</f>
        <v>0</v>
      </c>
      <c r="AG61" s="459">
        <f>(I61/Population_Tables!V35)*Population_Tables!J35</f>
        <v>0</v>
      </c>
      <c r="AH61" s="459">
        <f>(J61/Population_Tables!W35)*Population_Tables!K35</f>
        <v>0</v>
      </c>
      <c r="AI61" s="459">
        <f>(K61/Population_Tables!X35)*Population_Tables!L35</f>
        <v>0</v>
      </c>
      <c r="AK61" s="456">
        <v>2046</v>
      </c>
      <c r="AL61" s="459">
        <f t="shared" si="5"/>
        <v>767.19519550164762</v>
      </c>
      <c r="AM61" s="459">
        <f t="shared" si="5"/>
        <v>0</v>
      </c>
      <c r="AN61" s="459">
        <f t="shared" si="5"/>
        <v>0</v>
      </c>
      <c r="AO61" s="459">
        <f t="shared" si="5"/>
        <v>0</v>
      </c>
      <c r="AP61" s="459">
        <f t="shared" si="5"/>
        <v>0</v>
      </c>
      <c r="AQ61" s="459">
        <f t="shared" si="5"/>
        <v>0</v>
      </c>
      <c r="AR61" s="459">
        <f t="shared" si="5"/>
        <v>0</v>
      </c>
      <c r="AS61" s="459">
        <f t="shared" si="5"/>
        <v>0</v>
      </c>
      <c r="AT61" s="459">
        <f t="shared" si="5"/>
        <v>0</v>
      </c>
      <c r="AU61" s="459">
        <f t="shared" si="5"/>
        <v>0</v>
      </c>
      <c r="AW61" s="216">
        <f>(B61/Population_Tables!O35)*Population_Tables!C35</f>
        <v>767.19519550164762</v>
      </c>
      <c r="AX61" s="153" t="str">
        <f t="shared" si="6"/>
        <v>OK</v>
      </c>
      <c r="AY61" s="421">
        <f t="shared" si="3"/>
        <v>0</v>
      </c>
      <c r="AZ61" s="153" t="str">
        <f t="shared" si="4"/>
        <v>OK</v>
      </c>
      <c r="BB61" s="216">
        <f>(C61/Population_Tables!P35)*Population_Tables!D35</f>
        <v>0</v>
      </c>
      <c r="BC61" s="216">
        <f>(D61/Population_Tables!Q35)*Population_Tables!E35</f>
        <v>0</v>
      </c>
      <c r="BD61" s="216">
        <f>(E61/Population_Tables!R35)*Population_Tables!F35</f>
        <v>0</v>
      </c>
      <c r="BE61" s="216">
        <f>(F61/Population_Tables!S35)*Population_Tables!G35</f>
        <v>0</v>
      </c>
      <c r="BF61" s="216">
        <f>(G61/Population_Tables!T35)*Population_Tables!H35</f>
        <v>0</v>
      </c>
      <c r="BG61" s="216"/>
      <c r="BN61" s="216"/>
      <c r="BO61" s="216"/>
      <c r="BP61" s="216"/>
    </row>
    <row r="62" spans="1:68" ht="15.6" x14ac:dyDescent="0.3">
      <c r="A62" s="206">
        <v>2047</v>
      </c>
      <c r="B62" s="229">
        <v>730.37252087967795</v>
      </c>
      <c r="C62" s="229"/>
      <c r="D62" s="229"/>
      <c r="E62" s="229"/>
      <c r="F62" s="229"/>
      <c r="G62" s="229"/>
      <c r="H62" s="229"/>
      <c r="I62" s="229"/>
      <c r="J62" s="229"/>
      <c r="K62" s="229"/>
      <c r="M62" s="206">
        <v>2047</v>
      </c>
      <c r="N62" s="521"/>
      <c r="O62" s="522"/>
      <c r="P62" s="522"/>
      <c r="Q62" s="522"/>
      <c r="R62" s="522"/>
      <c r="S62" s="522"/>
      <c r="T62" s="522"/>
      <c r="U62" s="522"/>
      <c r="V62" s="522"/>
      <c r="W62" s="522"/>
      <c r="Y62" s="456">
        <v>2047</v>
      </c>
      <c r="Z62" s="459">
        <f>((B62/Population_Tables!O36)*Population_Tables!C36)-N62</f>
        <v>788.54996528464551</v>
      </c>
      <c r="AA62" s="459">
        <f>((C62/Population_Tables!P36)*Population_Tables!D36)-O62</f>
        <v>0</v>
      </c>
      <c r="AB62" s="459">
        <f>((D62/Population_Tables!Q36)*Population_Tables!E36)-P62</f>
        <v>0</v>
      </c>
      <c r="AC62" s="459">
        <f>((E62/Population_Tables!R36)*Population_Tables!F36)-Q62</f>
        <v>0</v>
      </c>
      <c r="AD62" s="459">
        <f>((F62/Population_Tables!S36)*Population_Tables!G36)-R62</f>
        <v>0</v>
      </c>
      <c r="AE62" s="459">
        <f>((G62/Population_Tables!T36)*Population_Tables!H36)-S62</f>
        <v>0</v>
      </c>
      <c r="AF62" s="459">
        <f>(H62/Population_Tables!U36)*Population_Tables!I36</f>
        <v>0</v>
      </c>
      <c r="AG62" s="459">
        <f>(I62/Population_Tables!V36)*Population_Tables!J36</f>
        <v>0</v>
      </c>
      <c r="AH62" s="459">
        <f>(J62/Population_Tables!W36)*Population_Tables!K36</f>
        <v>0</v>
      </c>
      <c r="AI62" s="459">
        <f>(K62/Population_Tables!X36)*Population_Tables!L36</f>
        <v>0</v>
      </c>
      <c r="AK62" s="456">
        <v>2047</v>
      </c>
      <c r="AL62" s="459">
        <f t="shared" si="5"/>
        <v>788.54996528464551</v>
      </c>
      <c r="AM62" s="459">
        <f t="shared" si="5"/>
        <v>0</v>
      </c>
      <c r="AN62" s="459">
        <f t="shared" si="5"/>
        <v>0</v>
      </c>
      <c r="AO62" s="459">
        <f t="shared" si="5"/>
        <v>0</v>
      </c>
      <c r="AP62" s="459">
        <f t="shared" si="5"/>
        <v>0</v>
      </c>
      <c r="AQ62" s="459">
        <f t="shared" si="5"/>
        <v>0</v>
      </c>
      <c r="AR62" s="459">
        <f t="shared" si="5"/>
        <v>0</v>
      </c>
      <c r="AS62" s="459">
        <f t="shared" si="5"/>
        <v>0</v>
      </c>
      <c r="AT62" s="459">
        <f t="shared" si="5"/>
        <v>0</v>
      </c>
      <c r="AU62" s="459">
        <f t="shared" si="5"/>
        <v>0</v>
      </c>
      <c r="AW62" s="216">
        <f>(B62/Population_Tables!O36)*Population_Tables!C36</f>
        <v>788.54996528464551</v>
      </c>
      <c r="AX62" s="153" t="str">
        <f t="shared" si="6"/>
        <v>OK</v>
      </c>
      <c r="AY62" s="421">
        <f t="shared" si="3"/>
        <v>0</v>
      </c>
      <c r="AZ62" s="153" t="str">
        <f t="shared" si="4"/>
        <v>OK</v>
      </c>
      <c r="BB62" s="216">
        <f>(C62/Population_Tables!P36)*Population_Tables!D36</f>
        <v>0</v>
      </c>
      <c r="BC62" s="216">
        <f>(D62/Population_Tables!Q36)*Population_Tables!E36</f>
        <v>0</v>
      </c>
      <c r="BD62" s="216">
        <f>(E62/Population_Tables!R36)*Population_Tables!F36</f>
        <v>0</v>
      </c>
      <c r="BE62" s="216">
        <f>(F62/Population_Tables!S36)*Population_Tables!G36</f>
        <v>0</v>
      </c>
      <c r="BF62" s="216">
        <f>(G62/Population_Tables!T36)*Population_Tables!H36</f>
        <v>0</v>
      </c>
      <c r="BG62" s="216"/>
      <c r="BN62" s="216"/>
      <c r="BO62" s="216"/>
      <c r="BP62" s="216"/>
    </row>
    <row r="63" spans="1:68" ht="15.6" x14ac:dyDescent="0.3">
      <c r="A63" s="206">
        <v>2048</v>
      </c>
      <c r="B63" s="229">
        <v>747.87502394188164</v>
      </c>
      <c r="C63" s="229"/>
      <c r="D63" s="229"/>
      <c r="E63" s="229"/>
      <c r="F63" s="229"/>
      <c r="G63" s="229"/>
      <c r="H63" s="229"/>
      <c r="I63" s="229"/>
      <c r="J63" s="229"/>
      <c r="K63" s="229"/>
      <c r="M63" s="206">
        <v>2048</v>
      </c>
      <c r="N63" s="521"/>
      <c r="O63" s="522"/>
      <c r="P63" s="522"/>
      <c r="Q63" s="522"/>
      <c r="R63" s="522"/>
      <c r="S63" s="522"/>
      <c r="T63" s="522"/>
      <c r="U63" s="522"/>
      <c r="V63" s="522"/>
      <c r="W63" s="522"/>
      <c r="Y63" s="456">
        <v>2048</v>
      </c>
      <c r="Z63" s="459">
        <f>((B63/Population_Tables!O37)*Population_Tables!C37)-N63</f>
        <v>810.36053254958824</v>
      </c>
      <c r="AA63" s="459">
        <f>((C63/Population_Tables!P37)*Population_Tables!D37)-O63</f>
        <v>0</v>
      </c>
      <c r="AB63" s="459">
        <f>((D63/Population_Tables!Q37)*Population_Tables!E37)-P63</f>
        <v>0</v>
      </c>
      <c r="AC63" s="459">
        <f>((E63/Population_Tables!R37)*Population_Tables!F37)-Q63</f>
        <v>0</v>
      </c>
      <c r="AD63" s="459">
        <f>((F63/Population_Tables!S37)*Population_Tables!G37)-R63</f>
        <v>0</v>
      </c>
      <c r="AE63" s="459">
        <f>((G63/Population_Tables!T37)*Population_Tables!H37)-S63</f>
        <v>0</v>
      </c>
      <c r="AF63" s="459">
        <f>(H63/Population_Tables!U37)*Population_Tables!I37</f>
        <v>0</v>
      </c>
      <c r="AG63" s="459">
        <f>(I63/Population_Tables!V37)*Population_Tables!J37</f>
        <v>0</v>
      </c>
      <c r="AH63" s="459">
        <f>(J63/Population_Tables!W37)*Population_Tables!K37</f>
        <v>0</v>
      </c>
      <c r="AI63" s="459">
        <f>(K63/Population_Tables!X37)*Population_Tables!L37</f>
        <v>0</v>
      </c>
      <c r="AK63" s="456">
        <v>2048</v>
      </c>
      <c r="AL63" s="459">
        <f t="shared" si="5"/>
        <v>810.36053254958824</v>
      </c>
      <c r="AM63" s="459">
        <f t="shared" si="5"/>
        <v>0</v>
      </c>
      <c r="AN63" s="459">
        <f t="shared" si="5"/>
        <v>0</v>
      </c>
      <c r="AO63" s="459">
        <f t="shared" si="5"/>
        <v>0</v>
      </c>
      <c r="AP63" s="459">
        <f t="shared" si="5"/>
        <v>0</v>
      </c>
      <c r="AQ63" s="459">
        <f t="shared" si="5"/>
        <v>0</v>
      </c>
      <c r="AR63" s="459">
        <f t="shared" si="5"/>
        <v>0</v>
      </c>
      <c r="AS63" s="459">
        <f t="shared" si="5"/>
        <v>0</v>
      </c>
      <c r="AT63" s="459">
        <f t="shared" si="5"/>
        <v>0</v>
      </c>
      <c r="AU63" s="459">
        <f t="shared" si="5"/>
        <v>0</v>
      </c>
      <c r="AW63" s="216">
        <f>(B63/Population_Tables!O37)*Population_Tables!C37</f>
        <v>810.36053254958824</v>
      </c>
      <c r="AX63" s="153" t="str">
        <f t="shared" si="6"/>
        <v>OK</v>
      </c>
      <c r="AY63" s="421">
        <f t="shared" si="3"/>
        <v>0</v>
      </c>
      <c r="AZ63" s="153" t="str">
        <f t="shared" si="4"/>
        <v>OK</v>
      </c>
      <c r="BB63" s="216">
        <f>(C63/Population_Tables!P37)*Population_Tables!D37</f>
        <v>0</v>
      </c>
      <c r="BC63" s="216">
        <f>(D63/Population_Tables!Q37)*Population_Tables!E37</f>
        <v>0</v>
      </c>
      <c r="BD63" s="216">
        <f>(E63/Population_Tables!R37)*Population_Tables!F37</f>
        <v>0</v>
      </c>
      <c r="BE63" s="216">
        <f>(F63/Population_Tables!S37)*Population_Tables!G37</f>
        <v>0</v>
      </c>
      <c r="BF63" s="216">
        <f>(G63/Population_Tables!T37)*Population_Tables!H37</f>
        <v>0</v>
      </c>
      <c r="BG63" s="216"/>
      <c r="BN63" s="216"/>
      <c r="BO63" s="216"/>
      <c r="BP63" s="216"/>
    </row>
    <row r="64" spans="1:68" ht="15.6" x14ac:dyDescent="0.3">
      <c r="A64" s="206">
        <v>2049</v>
      </c>
      <c r="B64" s="229">
        <v>765.59202262789165</v>
      </c>
      <c r="C64" s="229"/>
      <c r="D64" s="229"/>
      <c r="E64" s="229"/>
      <c r="F64" s="229"/>
      <c r="G64" s="229"/>
      <c r="H64" s="229"/>
      <c r="I64" s="229"/>
      <c r="J64" s="229"/>
      <c r="K64" s="229"/>
      <c r="M64" s="206">
        <v>2049</v>
      </c>
      <c r="N64" s="521"/>
      <c r="O64" s="522"/>
      <c r="P64" s="522"/>
      <c r="Q64" s="522"/>
      <c r="R64" s="522"/>
      <c r="S64" s="522"/>
      <c r="T64" s="522"/>
      <c r="U64" s="522"/>
      <c r="V64" s="522"/>
      <c r="W64" s="522"/>
      <c r="Y64" s="456">
        <v>2049</v>
      </c>
      <c r="Z64" s="459">
        <f>((B64/Population_Tables!O38)*Population_Tables!C38)-N64</f>
        <v>832.63721627612313</v>
      </c>
      <c r="AA64" s="459">
        <f>((C64/Population_Tables!P38)*Population_Tables!D38)-O64</f>
        <v>0</v>
      </c>
      <c r="AB64" s="459">
        <f>((D64/Population_Tables!Q38)*Population_Tables!E38)-P64</f>
        <v>0</v>
      </c>
      <c r="AC64" s="459">
        <f>((E64/Population_Tables!R38)*Population_Tables!F38)-Q64</f>
        <v>0</v>
      </c>
      <c r="AD64" s="459">
        <f>((F64/Population_Tables!S38)*Population_Tables!G38)-R64</f>
        <v>0</v>
      </c>
      <c r="AE64" s="459">
        <f>((G64/Population_Tables!T38)*Population_Tables!H38)-S64</f>
        <v>0</v>
      </c>
      <c r="AF64" s="459">
        <f>(H64/Population_Tables!U38)*Population_Tables!I38</f>
        <v>0</v>
      </c>
      <c r="AG64" s="459">
        <f>(I64/Population_Tables!V38)*Population_Tables!J38</f>
        <v>0</v>
      </c>
      <c r="AH64" s="459">
        <f>(J64/Population_Tables!W38)*Population_Tables!K38</f>
        <v>0</v>
      </c>
      <c r="AI64" s="459">
        <f>(K64/Population_Tables!X38)*Population_Tables!L38</f>
        <v>0</v>
      </c>
      <c r="AK64" s="456">
        <v>2049</v>
      </c>
      <c r="AL64" s="459">
        <f t="shared" si="5"/>
        <v>832.63721627612313</v>
      </c>
      <c r="AM64" s="459">
        <f t="shared" si="5"/>
        <v>0</v>
      </c>
      <c r="AN64" s="459">
        <f t="shared" si="5"/>
        <v>0</v>
      </c>
      <c r="AO64" s="459">
        <f t="shared" si="5"/>
        <v>0</v>
      </c>
      <c r="AP64" s="459">
        <f t="shared" si="5"/>
        <v>0</v>
      </c>
      <c r="AQ64" s="459">
        <f t="shared" si="5"/>
        <v>0</v>
      </c>
      <c r="AR64" s="459">
        <f t="shared" si="5"/>
        <v>0</v>
      </c>
      <c r="AS64" s="459">
        <f t="shared" si="5"/>
        <v>0</v>
      </c>
      <c r="AT64" s="459">
        <f t="shared" si="5"/>
        <v>0</v>
      </c>
      <c r="AU64" s="459">
        <f t="shared" si="5"/>
        <v>0</v>
      </c>
      <c r="AW64" s="216">
        <f>(B64/Population_Tables!O38)*Population_Tables!C38</f>
        <v>832.63721627612313</v>
      </c>
      <c r="AX64" s="153" t="str">
        <f t="shared" si="6"/>
        <v>OK</v>
      </c>
      <c r="AY64" s="421">
        <f t="shared" si="3"/>
        <v>0</v>
      </c>
      <c r="AZ64" s="153" t="str">
        <f t="shared" si="4"/>
        <v>OK</v>
      </c>
      <c r="BB64" s="216">
        <f>(C64/Population_Tables!P38)*Population_Tables!D38</f>
        <v>0</v>
      </c>
      <c r="BC64" s="216">
        <f>(D64/Population_Tables!Q38)*Population_Tables!E38</f>
        <v>0</v>
      </c>
      <c r="BD64" s="216">
        <f>(E64/Population_Tables!R38)*Population_Tables!F38</f>
        <v>0</v>
      </c>
      <c r="BE64" s="216">
        <f>(F64/Population_Tables!S38)*Population_Tables!G38</f>
        <v>0</v>
      </c>
      <c r="BF64" s="216">
        <f>(G64/Population_Tables!T38)*Population_Tables!H38</f>
        <v>0</v>
      </c>
      <c r="BG64" s="216"/>
      <c r="BN64" s="216"/>
      <c r="BO64" s="216"/>
      <c r="BP64" s="216"/>
    </row>
    <row r="65" spans="1:68" ht="16.2" thickBot="1" x14ac:dyDescent="0.35">
      <c r="A65" s="208">
        <v>2050</v>
      </c>
      <c r="B65" s="231">
        <v>783.51768709267662</v>
      </c>
      <c r="C65" s="231"/>
      <c r="D65" s="231"/>
      <c r="E65" s="231"/>
      <c r="F65" s="231"/>
      <c r="G65" s="231"/>
      <c r="H65" s="231"/>
      <c r="I65" s="231"/>
      <c r="J65" s="231"/>
      <c r="K65" s="231"/>
      <c r="M65" s="208">
        <v>2050</v>
      </c>
      <c r="N65" s="521"/>
      <c r="O65" s="522"/>
      <c r="P65" s="522"/>
      <c r="Q65" s="522"/>
      <c r="R65" s="522"/>
      <c r="S65" s="522"/>
      <c r="T65" s="522"/>
      <c r="U65" s="522"/>
      <c r="V65" s="522"/>
      <c r="W65" s="522"/>
      <c r="Y65" s="456">
        <v>2050</v>
      </c>
      <c r="Z65" s="459">
        <f>((B65/Population_Tables!O39)*Population_Tables!C39)-N65</f>
        <v>855.38924502317786</v>
      </c>
      <c r="AA65" s="459">
        <f>((C65/Population_Tables!P39)*Population_Tables!D39)-O65</f>
        <v>0</v>
      </c>
      <c r="AB65" s="459">
        <f>((D65/Population_Tables!Q39)*Population_Tables!E39)-P65</f>
        <v>0</v>
      </c>
      <c r="AC65" s="459">
        <f>((E65/Population_Tables!R39)*Population_Tables!F39)-Q65</f>
        <v>0</v>
      </c>
      <c r="AD65" s="459">
        <f>((F65/Population_Tables!S39)*Population_Tables!G39)-R65</f>
        <v>0</v>
      </c>
      <c r="AE65" s="459">
        <f>((G65/Population_Tables!T39)*Population_Tables!H39)-S65</f>
        <v>0</v>
      </c>
      <c r="AF65" s="459">
        <f>(H65/Population_Tables!U39)*Population_Tables!I39</f>
        <v>0</v>
      </c>
      <c r="AG65" s="459">
        <f>(I65/Population_Tables!V39)*Population_Tables!J39</f>
        <v>0</v>
      </c>
      <c r="AH65" s="459">
        <f>(J65/Population_Tables!W39)*Population_Tables!K39</f>
        <v>0</v>
      </c>
      <c r="AI65" s="459">
        <f>(K65/Population_Tables!X39)*Population_Tables!L39</f>
        <v>0</v>
      </c>
      <c r="AK65" s="456">
        <v>2050</v>
      </c>
      <c r="AL65" s="459">
        <f t="shared" si="5"/>
        <v>855.38924502317786</v>
      </c>
      <c r="AM65" s="459">
        <f t="shared" si="5"/>
        <v>0</v>
      </c>
      <c r="AN65" s="459">
        <f t="shared" si="5"/>
        <v>0</v>
      </c>
      <c r="AO65" s="459">
        <f t="shared" si="5"/>
        <v>0</v>
      </c>
      <c r="AP65" s="459">
        <f t="shared" si="5"/>
        <v>0</v>
      </c>
      <c r="AQ65" s="459">
        <f t="shared" si="5"/>
        <v>0</v>
      </c>
      <c r="AR65" s="459">
        <f t="shared" si="5"/>
        <v>0</v>
      </c>
      <c r="AS65" s="459">
        <f t="shared" si="5"/>
        <v>0</v>
      </c>
      <c r="AT65" s="459">
        <f t="shared" si="5"/>
        <v>0</v>
      </c>
      <c r="AU65" s="459">
        <f t="shared" si="5"/>
        <v>0</v>
      </c>
      <c r="AW65" s="216">
        <f>(B65/Population_Tables!O39)*Population_Tables!C39</f>
        <v>855.38924502317786</v>
      </c>
      <c r="AX65" s="153" t="str">
        <f t="shared" si="6"/>
        <v>OK</v>
      </c>
      <c r="AY65" s="421">
        <f t="shared" si="3"/>
        <v>0</v>
      </c>
      <c r="AZ65" s="153" t="str">
        <f t="shared" si="4"/>
        <v>OK</v>
      </c>
      <c r="BB65" s="216">
        <f>(C65/Population_Tables!P39)*Population_Tables!D39</f>
        <v>0</v>
      </c>
      <c r="BC65" s="216">
        <f>(D65/Population_Tables!Q39)*Population_Tables!E39</f>
        <v>0</v>
      </c>
      <c r="BD65" s="216">
        <f>(E65/Population_Tables!R39)*Population_Tables!F39</f>
        <v>0</v>
      </c>
      <c r="BE65" s="216">
        <f>(F65/Population_Tables!S39)*Population_Tables!G39</f>
        <v>0</v>
      </c>
      <c r="BF65" s="216">
        <f>(G65/Population_Tables!T39)*Population_Tables!H39</f>
        <v>0</v>
      </c>
      <c r="BG65" s="216"/>
      <c r="BN65" s="216"/>
      <c r="BO65" s="216"/>
      <c r="BP65" s="216"/>
    </row>
    <row r="66" spans="1:68" ht="15.6" x14ac:dyDescent="0.3">
      <c r="A66" s="213">
        <v>2051</v>
      </c>
      <c r="B66" s="227">
        <v>801.64618749120586</v>
      </c>
      <c r="C66" s="227"/>
      <c r="D66" s="227"/>
      <c r="E66" s="227"/>
      <c r="F66" s="227"/>
      <c r="G66" s="227"/>
      <c r="H66" s="227"/>
      <c r="I66" s="227"/>
      <c r="J66" s="227"/>
      <c r="K66" s="227"/>
      <c r="M66" s="213">
        <v>2051</v>
      </c>
      <c r="N66" s="521"/>
      <c r="O66" s="522"/>
      <c r="P66" s="522"/>
      <c r="Q66" s="522"/>
      <c r="R66" s="522"/>
      <c r="S66" s="522"/>
      <c r="T66" s="522"/>
      <c r="U66" s="522"/>
      <c r="V66" s="522"/>
      <c r="W66" s="522"/>
      <c r="Y66" s="456">
        <v>2051</v>
      </c>
      <c r="Z66" s="459">
        <f>((B66/Population_Tables!O40)*Population_Tables!C40)-N66</f>
        <v>878.62391806637993</v>
      </c>
      <c r="AA66" s="459">
        <f>((C66/Population_Tables!P40)*Population_Tables!D40)-O66</f>
        <v>0</v>
      </c>
      <c r="AB66" s="459">
        <f>((D66/Population_Tables!Q40)*Population_Tables!E40)-P66</f>
        <v>0</v>
      </c>
      <c r="AC66" s="459">
        <f>((E66/Population_Tables!R40)*Population_Tables!F40)-Q66</f>
        <v>0</v>
      </c>
      <c r="AD66" s="459">
        <f>((F66/Population_Tables!S40)*Population_Tables!G40)-R66</f>
        <v>0</v>
      </c>
      <c r="AE66" s="459">
        <f>((G66/Population_Tables!T40)*Population_Tables!H40)-S66</f>
        <v>0</v>
      </c>
      <c r="AF66" s="459">
        <f>(H66/Population_Tables!U40)*Population_Tables!I40</f>
        <v>0</v>
      </c>
      <c r="AG66" s="459">
        <f>(I66/Population_Tables!V40)*Population_Tables!J40</f>
        <v>0</v>
      </c>
      <c r="AH66" s="459">
        <f>(J66/Population_Tables!W40)*Population_Tables!K40</f>
        <v>0</v>
      </c>
      <c r="AI66" s="459">
        <f>(K66/Population_Tables!X40)*Population_Tables!L40</f>
        <v>0</v>
      </c>
      <c r="AK66" s="456">
        <v>2051</v>
      </c>
      <c r="AL66" s="459">
        <f t="shared" si="5"/>
        <v>878.62391806637993</v>
      </c>
      <c r="AM66" s="459">
        <f t="shared" si="5"/>
        <v>0</v>
      </c>
      <c r="AN66" s="459">
        <f t="shared" si="5"/>
        <v>0</v>
      </c>
      <c r="AO66" s="459">
        <f t="shared" si="5"/>
        <v>0</v>
      </c>
      <c r="AP66" s="459">
        <f t="shared" si="5"/>
        <v>0</v>
      </c>
      <c r="AQ66" s="459">
        <f t="shared" si="5"/>
        <v>0</v>
      </c>
      <c r="AR66" s="459">
        <f t="shared" si="5"/>
        <v>0</v>
      </c>
      <c r="AS66" s="459">
        <f t="shared" si="5"/>
        <v>0</v>
      </c>
      <c r="AT66" s="459">
        <f t="shared" si="5"/>
        <v>0</v>
      </c>
      <c r="AU66" s="459">
        <f t="shared" si="5"/>
        <v>0</v>
      </c>
      <c r="AW66" s="216">
        <f>(B66/Population_Tables!O40)*Population_Tables!C40</f>
        <v>878.62391806637993</v>
      </c>
      <c r="AX66" s="153" t="str">
        <f t="shared" si="6"/>
        <v>OK</v>
      </c>
      <c r="AY66" s="421">
        <f t="shared" si="3"/>
        <v>0</v>
      </c>
      <c r="AZ66" s="153" t="str">
        <f t="shared" si="4"/>
        <v>OK</v>
      </c>
      <c r="BB66" s="216">
        <f>(C66/Population_Tables!P40)*Population_Tables!D40</f>
        <v>0</v>
      </c>
      <c r="BC66" s="216">
        <f>(D66/Population_Tables!Q40)*Population_Tables!E40</f>
        <v>0</v>
      </c>
      <c r="BD66" s="216">
        <f>(E66/Population_Tables!R40)*Population_Tables!F40</f>
        <v>0</v>
      </c>
      <c r="BE66" s="216">
        <f>(F66/Population_Tables!S40)*Population_Tables!G40</f>
        <v>0</v>
      </c>
      <c r="BF66" s="216">
        <f>(G66/Population_Tables!T40)*Population_Tables!H40</f>
        <v>0</v>
      </c>
      <c r="BG66" s="216"/>
      <c r="BN66" s="216"/>
      <c r="BO66" s="216"/>
      <c r="BP66" s="216"/>
    </row>
    <row r="67" spans="1:68" ht="15.6" x14ac:dyDescent="0.3">
      <c r="A67" s="194">
        <v>2052</v>
      </c>
      <c r="B67" s="229">
        <v>819.97169397844823</v>
      </c>
      <c r="C67" s="229"/>
      <c r="D67" s="229"/>
      <c r="E67" s="229"/>
      <c r="F67" s="229"/>
      <c r="G67" s="229"/>
      <c r="H67" s="229"/>
      <c r="I67" s="229"/>
      <c r="J67" s="229"/>
      <c r="K67" s="229"/>
      <c r="M67" s="194">
        <v>2052</v>
      </c>
      <c r="N67" s="521"/>
      <c r="O67" s="522"/>
      <c r="P67" s="522"/>
      <c r="Q67" s="522"/>
      <c r="R67" s="522"/>
      <c r="S67" s="522"/>
      <c r="T67" s="522"/>
      <c r="U67" s="522"/>
      <c r="V67" s="522"/>
      <c r="W67" s="522"/>
      <c r="Y67" s="456">
        <v>2052</v>
      </c>
      <c r="Z67" s="459">
        <f>((B67/Population_Tables!O41)*Population_Tables!C41)-N67</f>
        <v>902.34629569699871</v>
      </c>
      <c r="AA67" s="459">
        <f>((C67/Population_Tables!P41)*Population_Tables!D41)-O67</f>
        <v>0</v>
      </c>
      <c r="AB67" s="459">
        <f>((D67/Population_Tables!Q41)*Population_Tables!E41)-P67</f>
        <v>0</v>
      </c>
      <c r="AC67" s="459">
        <f>((E67/Population_Tables!R41)*Population_Tables!F41)-Q67</f>
        <v>0</v>
      </c>
      <c r="AD67" s="459">
        <f>((F67/Population_Tables!S41)*Population_Tables!G41)-R67</f>
        <v>0</v>
      </c>
      <c r="AE67" s="459">
        <f>((G67/Population_Tables!T41)*Population_Tables!H41)-S67</f>
        <v>0</v>
      </c>
      <c r="AF67" s="459">
        <f>(H67/Population_Tables!U41)*Population_Tables!I41</f>
        <v>0</v>
      </c>
      <c r="AG67" s="459">
        <f>(I67/Population_Tables!V41)*Population_Tables!J41</f>
        <v>0</v>
      </c>
      <c r="AH67" s="459">
        <f>(J67/Population_Tables!W41)*Population_Tables!K41</f>
        <v>0</v>
      </c>
      <c r="AI67" s="459">
        <f>(K67/Population_Tables!X41)*Population_Tables!L41</f>
        <v>0</v>
      </c>
      <c r="AK67" s="456">
        <v>2052</v>
      </c>
      <c r="AL67" s="459">
        <f t="shared" si="5"/>
        <v>902.34629569699871</v>
      </c>
      <c r="AM67" s="459">
        <f t="shared" si="5"/>
        <v>0</v>
      </c>
      <c r="AN67" s="459">
        <f t="shared" si="5"/>
        <v>0</v>
      </c>
      <c r="AO67" s="459">
        <f t="shared" si="5"/>
        <v>0</v>
      </c>
      <c r="AP67" s="459">
        <f t="shared" si="5"/>
        <v>0</v>
      </c>
      <c r="AQ67" s="459">
        <f t="shared" si="5"/>
        <v>0</v>
      </c>
      <c r="AR67" s="459">
        <f t="shared" si="5"/>
        <v>0</v>
      </c>
      <c r="AS67" s="459">
        <f t="shared" si="5"/>
        <v>0</v>
      </c>
      <c r="AT67" s="459">
        <f t="shared" si="5"/>
        <v>0</v>
      </c>
      <c r="AU67" s="459">
        <f t="shared" si="5"/>
        <v>0</v>
      </c>
      <c r="AW67" s="216">
        <f>(B67/Population_Tables!O41)*Population_Tables!C41</f>
        <v>902.34629569699871</v>
      </c>
      <c r="AX67" s="153" t="str">
        <f t="shared" si="6"/>
        <v>OK</v>
      </c>
      <c r="AY67" s="421">
        <f t="shared" si="3"/>
        <v>0</v>
      </c>
      <c r="AZ67" s="153" t="str">
        <f t="shared" si="4"/>
        <v>OK</v>
      </c>
      <c r="BB67" s="216">
        <f>(C67/Population_Tables!P41)*Population_Tables!D41</f>
        <v>0</v>
      </c>
      <c r="BC67" s="216">
        <f>(D67/Population_Tables!Q41)*Population_Tables!E41</f>
        <v>0</v>
      </c>
      <c r="BD67" s="216">
        <f>(E67/Population_Tables!R41)*Population_Tables!F41</f>
        <v>0</v>
      </c>
      <c r="BE67" s="216">
        <f>(F67/Population_Tables!S41)*Population_Tables!G41</f>
        <v>0</v>
      </c>
      <c r="BF67" s="216">
        <f>(G67/Population_Tables!T41)*Population_Tables!H41</f>
        <v>0</v>
      </c>
      <c r="BG67" s="216"/>
      <c r="BN67" s="216"/>
      <c r="BO67" s="216"/>
      <c r="BP67" s="216"/>
    </row>
    <row r="68" spans="1:68" ht="15.6" x14ac:dyDescent="0.3">
      <c r="A68" s="194">
        <v>2053</v>
      </c>
      <c r="B68" s="229">
        <v>838.48837670937291</v>
      </c>
      <c r="C68" s="229"/>
      <c r="D68" s="229"/>
      <c r="E68" s="229"/>
      <c r="F68" s="229"/>
      <c r="G68" s="229"/>
      <c r="H68" s="229"/>
      <c r="I68" s="229"/>
      <c r="J68" s="229"/>
      <c r="K68" s="229"/>
      <c r="M68" s="194">
        <v>2053</v>
      </c>
      <c r="N68" s="521"/>
      <c r="O68" s="522"/>
      <c r="P68" s="522"/>
      <c r="Q68" s="522"/>
      <c r="R68" s="522"/>
      <c r="S68" s="522"/>
      <c r="T68" s="522"/>
      <c r="U68" s="522"/>
      <c r="V68" s="522"/>
      <c r="W68" s="522"/>
      <c r="Y68" s="456">
        <v>2053</v>
      </c>
      <c r="Z68" s="459">
        <f>((B68/Population_Tables!O42)*Population_Tables!C42)-N68</f>
        <v>926.56038532842672</v>
      </c>
      <c r="AA68" s="459">
        <f>((C68/Population_Tables!P42)*Population_Tables!D42)-O68</f>
        <v>0</v>
      </c>
      <c r="AB68" s="459">
        <f>((D68/Population_Tables!Q42)*Population_Tables!E42)-P68</f>
        <v>0</v>
      </c>
      <c r="AC68" s="459">
        <f>((E68/Population_Tables!R42)*Population_Tables!F42)-Q68</f>
        <v>0</v>
      </c>
      <c r="AD68" s="459">
        <f>((F68/Population_Tables!S42)*Population_Tables!G42)-R68</f>
        <v>0</v>
      </c>
      <c r="AE68" s="459">
        <f>((G68/Population_Tables!T42)*Population_Tables!H42)-S68</f>
        <v>0</v>
      </c>
      <c r="AF68" s="459">
        <f>(H68/Population_Tables!U42)*Population_Tables!I42</f>
        <v>0</v>
      </c>
      <c r="AG68" s="459">
        <f>(I68/Population_Tables!V42)*Population_Tables!J42</f>
        <v>0</v>
      </c>
      <c r="AH68" s="459">
        <f>(J68/Population_Tables!W42)*Population_Tables!K42</f>
        <v>0</v>
      </c>
      <c r="AI68" s="459">
        <f>(K68/Population_Tables!X42)*Population_Tables!L42</f>
        <v>0</v>
      </c>
      <c r="AK68" s="456">
        <v>2053</v>
      </c>
      <c r="AL68" s="459">
        <f t="shared" si="5"/>
        <v>926.56038532842672</v>
      </c>
      <c r="AM68" s="459">
        <f t="shared" si="5"/>
        <v>0</v>
      </c>
      <c r="AN68" s="459">
        <f t="shared" si="5"/>
        <v>0</v>
      </c>
      <c r="AO68" s="459">
        <f t="shared" si="5"/>
        <v>0</v>
      </c>
      <c r="AP68" s="459">
        <f t="shared" si="5"/>
        <v>0</v>
      </c>
      <c r="AQ68" s="459">
        <f t="shared" si="5"/>
        <v>0</v>
      </c>
      <c r="AR68" s="459">
        <f t="shared" si="5"/>
        <v>0</v>
      </c>
      <c r="AS68" s="459">
        <f t="shared" si="5"/>
        <v>0</v>
      </c>
      <c r="AT68" s="459">
        <f t="shared" si="5"/>
        <v>0</v>
      </c>
      <c r="AU68" s="459">
        <f t="shared" si="5"/>
        <v>0</v>
      </c>
      <c r="AW68" s="216">
        <f>(B68/Population_Tables!O42)*Population_Tables!C42</f>
        <v>926.56038532842672</v>
      </c>
      <c r="AX68" s="153" t="str">
        <f t="shared" si="6"/>
        <v>OK</v>
      </c>
      <c r="AY68" s="421">
        <f t="shared" si="3"/>
        <v>0</v>
      </c>
      <c r="AZ68" s="153" t="str">
        <f t="shared" si="4"/>
        <v>OK</v>
      </c>
      <c r="BB68" s="216">
        <f>(C68/Population_Tables!P42)*Population_Tables!D42</f>
        <v>0</v>
      </c>
      <c r="BC68" s="216">
        <f>(D68/Population_Tables!Q42)*Population_Tables!E42</f>
        <v>0</v>
      </c>
      <c r="BD68" s="216">
        <f>(E68/Population_Tables!R42)*Population_Tables!F42</f>
        <v>0</v>
      </c>
      <c r="BE68" s="216">
        <f>(F68/Population_Tables!S42)*Population_Tables!G42</f>
        <v>0</v>
      </c>
      <c r="BF68" s="216">
        <f>(G68/Population_Tables!T42)*Population_Tables!H42</f>
        <v>0</v>
      </c>
      <c r="BG68" s="216"/>
      <c r="BN68" s="216"/>
      <c r="BO68" s="216"/>
      <c r="BP68" s="216"/>
    </row>
    <row r="69" spans="1:68" ht="15.6" x14ac:dyDescent="0.3">
      <c r="A69" s="194">
        <v>2054</v>
      </c>
      <c r="B69" s="229">
        <v>857.19040583894889</v>
      </c>
      <c r="C69" s="229"/>
      <c r="D69" s="229"/>
      <c r="E69" s="229"/>
      <c r="F69" s="229"/>
      <c r="G69" s="229"/>
      <c r="H69" s="229"/>
      <c r="I69" s="229"/>
      <c r="J69" s="229"/>
      <c r="K69" s="229"/>
      <c r="M69" s="194">
        <v>2054</v>
      </c>
      <c r="N69" s="521"/>
      <c r="O69" s="522"/>
      <c r="P69" s="522"/>
      <c r="Q69" s="522"/>
      <c r="R69" s="522"/>
      <c r="S69" s="522"/>
      <c r="T69" s="522"/>
      <c r="U69" s="522"/>
      <c r="V69" s="522"/>
      <c r="W69" s="522"/>
      <c r="Y69" s="456">
        <v>2054</v>
      </c>
      <c r="Z69" s="459">
        <f>((B69/Population_Tables!O43)*Population_Tables!C43)-N69</f>
        <v>951.26852373112433</v>
      </c>
      <c r="AA69" s="459">
        <f>((C69/Population_Tables!P43)*Population_Tables!D43)-O69</f>
        <v>0</v>
      </c>
      <c r="AB69" s="459">
        <f>((D69/Population_Tables!Q43)*Population_Tables!E43)-P69</f>
        <v>0</v>
      </c>
      <c r="AC69" s="459">
        <f>((E69/Population_Tables!R43)*Population_Tables!F43)-Q69</f>
        <v>0</v>
      </c>
      <c r="AD69" s="459">
        <f>((F69/Population_Tables!S43)*Population_Tables!G43)-R69</f>
        <v>0</v>
      </c>
      <c r="AE69" s="459">
        <f>((G69/Population_Tables!T43)*Population_Tables!H43)-S69</f>
        <v>0</v>
      </c>
      <c r="AF69" s="459">
        <f>(H69/Population_Tables!U43)*Population_Tables!I43</f>
        <v>0</v>
      </c>
      <c r="AG69" s="459">
        <f>(I69/Population_Tables!V43)*Population_Tables!J43</f>
        <v>0</v>
      </c>
      <c r="AH69" s="459">
        <f>(J69/Population_Tables!W43)*Population_Tables!K43</f>
        <v>0</v>
      </c>
      <c r="AI69" s="459">
        <f>(K69/Population_Tables!X43)*Population_Tables!L43</f>
        <v>0</v>
      </c>
      <c r="AK69" s="456">
        <v>2054</v>
      </c>
      <c r="AL69" s="459">
        <f t="shared" ref="AL69:AU75" si="7">Z69+N69</f>
        <v>951.26852373112433</v>
      </c>
      <c r="AM69" s="459">
        <f t="shared" si="7"/>
        <v>0</v>
      </c>
      <c r="AN69" s="459">
        <f t="shared" si="7"/>
        <v>0</v>
      </c>
      <c r="AO69" s="459">
        <f t="shared" si="7"/>
        <v>0</v>
      </c>
      <c r="AP69" s="459">
        <f t="shared" si="7"/>
        <v>0</v>
      </c>
      <c r="AQ69" s="459">
        <f t="shared" si="7"/>
        <v>0</v>
      </c>
      <c r="AR69" s="459">
        <f t="shared" si="7"/>
        <v>0</v>
      </c>
      <c r="AS69" s="459">
        <f t="shared" si="7"/>
        <v>0</v>
      </c>
      <c r="AT69" s="459">
        <f t="shared" si="7"/>
        <v>0</v>
      </c>
      <c r="AU69" s="459">
        <f t="shared" si="7"/>
        <v>0</v>
      </c>
      <c r="AW69" s="216">
        <f>(B69/Population_Tables!O43)*Population_Tables!C43</f>
        <v>951.26852373112433</v>
      </c>
      <c r="AX69" s="153" t="str">
        <f t="shared" si="6"/>
        <v>OK</v>
      </c>
      <c r="AY69" s="421">
        <f t="shared" si="3"/>
        <v>0</v>
      </c>
      <c r="AZ69" s="153" t="str">
        <f t="shared" si="4"/>
        <v>OK</v>
      </c>
      <c r="BB69" s="216">
        <f>(C69/Population_Tables!P43)*Population_Tables!D43</f>
        <v>0</v>
      </c>
      <c r="BC69" s="216">
        <f>(D69/Population_Tables!Q43)*Population_Tables!E43</f>
        <v>0</v>
      </c>
      <c r="BD69" s="216">
        <f>(E69/Population_Tables!R43)*Population_Tables!F43</f>
        <v>0</v>
      </c>
      <c r="BE69" s="216">
        <f>(F69/Population_Tables!S43)*Population_Tables!G43</f>
        <v>0</v>
      </c>
      <c r="BF69" s="216">
        <f>(G69/Population_Tables!T43)*Population_Tables!H43</f>
        <v>0</v>
      </c>
      <c r="BG69" s="216"/>
      <c r="BN69" s="216"/>
      <c r="BO69" s="216"/>
      <c r="BP69" s="216"/>
    </row>
    <row r="70" spans="1:68" ht="15.6" x14ac:dyDescent="0.3">
      <c r="A70" s="194">
        <v>2055</v>
      </c>
      <c r="B70" s="229">
        <v>876.07195152214524</v>
      </c>
      <c r="C70" s="229"/>
      <c r="D70" s="229"/>
      <c r="E70" s="229"/>
      <c r="F70" s="229"/>
      <c r="G70" s="229"/>
      <c r="H70" s="229"/>
      <c r="I70" s="229"/>
      <c r="J70" s="229"/>
      <c r="K70" s="229"/>
      <c r="M70" s="194">
        <v>2055</v>
      </c>
      <c r="N70" s="521"/>
      <c r="O70" s="522"/>
      <c r="P70" s="522"/>
      <c r="Q70" s="522"/>
      <c r="R70" s="522"/>
      <c r="S70" s="522"/>
      <c r="T70" s="522"/>
      <c r="U70" s="522"/>
      <c r="V70" s="522"/>
      <c r="W70" s="522"/>
      <c r="Y70" s="456">
        <v>2055</v>
      </c>
      <c r="Z70" s="459">
        <f>((B70/Population_Tables!O44)*Population_Tables!C44)-N70</f>
        <v>976.47263245977229</v>
      </c>
      <c r="AA70" s="459">
        <f>((C70/Population_Tables!P44)*Population_Tables!D44)-O70</f>
        <v>0</v>
      </c>
      <c r="AB70" s="459">
        <f>((D70/Population_Tables!Q44)*Population_Tables!E44)-P70</f>
        <v>0</v>
      </c>
      <c r="AC70" s="459">
        <f>((E70/Population_Tables!R44)*Population_Tables!F44)-Q70</f>
        <v>0</v>
      </c>
      <c r="AD70" s="459">
        <f>((F70/Population_Tables!S44)*Population_Tables!G44)-R70</f>
        <v>0</v>
      </c>
      <c r="AE70" s="459">
        <f>((G70/Population_Tables!T44)*Population_Tables!H44)-S70</f>
        <v>0</v>
      </c>
      <c r="AF70" s="459">
        <f>(H70/Population_Tables!U44)*Population_Tables!I44</f>
        <v>0</v>
      </c>
      <c r="AG70" s="459">
        <f>(I70/Population_Tables!V44)*Population_Tables!J44</f>
        <v>0</v>
      </c>
      <c r="AH70" s="459">
        <f>(J70/Population_Tables!W44)*Population_Tables!K44</f>
        <v>0</v>
      </c>
      <c r="AI70" s="459">
        <f>(K70/Population_Tables!X44)*Population_Tables!L44</f>
        <v>0</v>
      </c>
      <c r="AK70" s="456">
        <v>2055</v>
      </c>
      <c r="AL70" s="459">
        <f t="shared" si="7"/>
        <v>976.47263245977229</v>
      </c>
      <c r="AM70" s="459">
        <f t="shared" si="7"/>
        <v>0</v>
      </c>
      <c r="AN70" s="459">
        <f t="shared" si="7"/>
        <v>0</v>
      </c>
      <c r="AO70" s="459">
        <f t="shared" si="7"/>
        <v>0</v>
      </c>
      <c r="AP70" s="459">
        <f t="shared" si="7"/>
        <v>0</v>
      </c>
      <c r="AQ70" s="459">
        <f t="shared" si="7"/>
        <v>0</v>
      </c>
      <c r="AR70" s="459">
        <f t="shared" si="7"/>
        <v>0</v>
      </c>
      <c r="AS70" s="459">
        <f t="shared" si="7"/>
        <v>0</v>
      </c>
      <c r="AT70" s="459">
        <f t="shared" si="7"/>
        <v>0</v>
      </c>
      <c r="AU70" s="459">
        <f t="shared" si="7"/>
        <v>0</v>
      </c>
      <c r="AW70" s="216">
        <f>(B70/Population_Tables!O44)*Population_Tables!C44</f>
        <v>976.47263245977229</v>
      </c>
      <c r="AX70" s="153" t="str">
        <f t="shared" si="6"/>
        <v>OK</v>
      </c>
      <c r="AY70" s="421">
        <f t="shared" si="3"/>
        <v>0</v>
      </c>
      <c r="AZ70" s="153" t="str">
        <f t="shared" si="4"/>
        <v>OK</v>
      </c>
      <c r="BB70" s="216">
        <f>(C70/Population_Tables!P44)*Population_Tables!D44</f>
        <v>0</v>
      </c>
      <c r="BC70" s="216">
        <f>(D70/Population_Tables!Q44)*Population_Tables!E44</f>
        <v>0</v>
      </c>
      <c r="BD70" s="216">
        <f>(E70/Population_Tables!R44)*Population_Tables!F44</f>
        <v>0</v>
      </c>
      <c r="BE70" s="216">
        <f>(F70/Population_Tables!S44)*Population_Tables!G44</f>
        <v>0</v>
      </c>
      <c r="BF70" s="216">
        <f>(G70/Population_Tables!T44)*Population_Tables!H44</f>
        <v>0</v>
      </c>
      <c r="BG70" s="216"/>
      <c r="BN70" s="216"/>
      <c r="BO70" s="216"/>
      <c r="BP70" s="216"/>
    </row>
    <row r="71" spans="1:68" ht="15.6" x14ac:dyDescent="0.3">
      <c r="A71" s="194">
        <v>2056</v>
      </c>
      <c r="B71" s="229">
        <v>895.12718391393093</v>
      </c>
      <c r="C71" s="229"/>
      <c r="D71" s="229"/>
      <c r="E71" s="229"/>
      <c r="F71" s="229"/>
      <c r="G71" s="229"/>
      <c r="H71" s="229"/>
      <c r="I71" s="229"/>
      <c r="J71" s="229"/>
      <c r="K71" s="229"/>
      <c r="M71" s="194">
        <v>2056</v>
      </c>
      <c r="N71" s="521"/>
      <c r="O71" s="522"/>
      <c r="P71" s="522"/>
      <c r="Q71" s="522"/>
      <c r="R71" s="522"/>
      <c r="S71" s="522"/>
      <c r="T71" s="522"/>
      <c r="U71" s="522"/>
      <c r="V71" s="522"/>
      <c r="W71" s="522"/>
      <c r="Y71" s="456">
        <v>2056</v>
      </c>
      <c r="Z71" s="459">
        <f>((B71/Population_Tables!O45)*Population_Tables!C45)-N71</f>
        <v>1002.1768391225546</v>
      </c>
      <c r="AA71" s="459">
        <f>((C71/Population_Tables!P45)*Population_Tables!D45)-O71</f>
        <v>0</v>
      </c>
      <c r="AB71" s="459">
        <f>((D71/Population_Tables!Q45)*Population_Tables!E45)-P71</f>
        <v>0</v>
      </c>
      <c r="AC71" s="459">
        <f>((E71/Population_Tables!R45)*Population_Tables!F45)-Q71</f>
        <v>0</v>
      </c>
      <c r="AD71" s="459">
        <f>((F71/Population_Tables!S45)*Population_Tables!G45)-R71</f>
        <v>0</v>
      </c>
      <c r="AE71" s="459">
        <f>((G71/Population_Tables!T45)*Population_Tables!H45)-S71</f>
        <v>0</v>
      </c>
      <c r="AF71" s="459">
        <f>(H71/Population_Tables!U45)*Population_Tables!I45</f>
        <v>0</v>
      </c>
      <c r="AG71" s="459">
        <f>(I71/Population_Tables!V45)*Population_Tables!J45</f>
        <v>0</v>
      </c>
      <c r="AH71" s="459">
        <f>(J71/Population_Tables!W45)*Population_Tables!K45</f>
        <v>0</v>
      </c>
      <c r="AI71" s="459">
        <f>(K71/Population_Tables!X45)*Population_Tables!L45</f>
        <v>0</v>
      </c>
      <c r="AK71" s="456">
        <v>2056</v>
      </c>
      <c r="AL71" s="459">
        <f t="shared" si="7"/>
        <v>1002.1768391225546</v>
      </c>
      <c r="AM71" s="459">
        <f t="shared" si="7"/>
        <v>0</v>
      </c>
      <c r="AN71" s="459">
        <f t="shared" si="7"/>
        <v>0</v>
      </c>
      <c r="AO71" s="459">
        <f t="shared" si="7"/>
        <v>0</v>
      </c>
      <c r="AP71" s="459">
        <f t="shared" si="7"/>
        <v>0</v>
      </c>
      <c r="AQ71" s="459">
        <f t="shared" si="7"/>
        <v>0</v>
      </c>
      <c r="AR71" s="459">
        <f t="shared" si="7"/>
        <v>0</v>
      </c>
      <c r="AS71" s="459">
        <f t="shared" si="7"/>
        <v>0</v>
      </c>
      <c r="AT71" s="459">
        <f t="shared" si="7"/>
        <v>0</v>
      </c>
      <c r="AU71" s="459">
        <f t="shared" si="7"/>
        <v>0</v>
      </c>
      <c r="AW71" s="216">
        <f>(B71/Population_Tables!O45)*Population_Tables!C45</f>
        <v>1002.1768391225546</v>
      </c>
      <c r="AX71" s="153" t="str">
        <f t="shared" si="6"/>
        <v>OK</v>
      </c>
      <c r="AY71" s="421">
        <f t="shared" si="3"/>
        <v>0</v>
      </c>
      <c r="AZ71" s="153" t="str">
        <f t="shared" si="4"/>
        <v>OK</v>
      </c>
      <c r="BB71" s="216">
        <f>(C71/Population_Tables!P45)*Population_Tables!D45</f>
        <v>0</v>
      </c>
      <c r="BC71" s="216">
        <f>(D71/Population_Tables!Q45)*Population_Tables!E45</f>
        <v>0</v>
      </c>
      <c r="BD71" s="216">
        <f>(E71/Population_Tables!R45)*Population_Tables!F45</f>
        <v>0</v>
      </c>
      <c r="BE71" s="216">
        <f>(F71/Population_Tables!S45)*Population_Tables!G45</f>
        <v>0</v>
      </c>
      <c r="BF71" s="216">
        <f>(G71/Population_Tables!T45)*Population_Tables!H45</f>
        <v>0</v>
      </c>
      <c r="BG71" s="216"/>
      <c r="BN71" s="216"/>
      <c r="BO71" s="216"/>
      <c r="BP71" s="216"/>
    </row>
    <row r="72" spans="1:68" ht="15.6" x14ac:dyDescent="0.3">
      <c r="A72" s="194">
        <v>2057</v>
      </c>
      <c r="B72" s="229">
        <v>914.35027316927506</v>
      </c>
      <c r="C72" s="229"/>
      <c r="D72" s="229"/>
      <c r="E72" s="229"/>
      <c r="F72" s="229"/>
      <c r="G72" s="229"/>
      <c r="H72" s="229"/>
      <c r="I72" s="229"/>
      <c r="J72" s="229"/>
      <c r="K72" s="229"/>
      <c r="M72" s="194">
        <v>2057</v>
      </c>
      <c r="N72" s="521"/>
      <c r="O72" s="522"/>
      <c r="P72" s="522"/>
      <c r="Q72" s="522"/>
      <c r="R72" s="522"/>
      <c r="S72" s="522"/>
      <c r="T72" s="522"/>
      <c r="U72" s="522"/>
      <c r="V72" s="522"/>
      <c r="W72" s="522"/>
      <c r="Y72" s="456">
        <v>2057</v>
      </c>
      <c r="Z72" s="459">
        <f>((B72/Population_Tables!O46)*Population_Tables!C46)-N72</f>
        <v>1028.3835313866425</v>
      </c>
      <c r="AA72" s="459">
        <f>((C72/Population_Tables!P46)*Population_Tables!D46)-O72</f>
        <v>0</v>
      </c>
      <c r="AB72" s="459">
        <f>((D72/Population_Tables!Q46)*Population_Tables!E46)-P72</f>
        <v>0</v>
      </c>
      <c r="AC72" s="459">
        <f>((E72/Population_Tables!R46)*Population_Tables!F46)-Q72</f>
        <v>0</v>
      </c>
      <c r="AD72" s="459">
        <f>((F72/Population_Tables!S46)*Population_Tables!G46)-R72</f>
        <v>0</v>
      </c>
      <c r="AE72" s="459">
        <f>((G72/Population_Tables!T46)*Population_Tables!H46)-S72</f>
        <v>0</v>
      </c>
      <c r="AF72" s="459">
        <f>(H72/Population_Tables!U46)*Population_Tables!I46</f>
        <v>0</v>
      </c>
      <c r="AG72" s="459">
        <f>(I72/Population_Tables!V46)*Population_Tables!J46</f>
        <v>0</v>
      </c>
      <c r="AH72" s="459">
        <f>(J72/Population_Tables!W46)*Population_Tables!K46</f>
        <v>0</v>
      </c>
      <c r="AI72" s="459">
        <f>(K72/Population_Tables!X46)*Population_Tables!L46</f>
        <v>0</v>
      </c>
      <c r="AK72" s="456">
        <v>2057</v>
      </c>
      <c r="AL72" s="459">
        <f t="shared" si="7"/>
        <v>1028.3835313866425</v>
      </c>
      <c r="AM72" s="459">
        <f t="shared" si="7"/>
        <v>0</v>
      </c>
      <c r="AN72" s="459">
        <f t="shared" si="7"/>
        <v>0</v>
      </c>
      <c r="AO72" s="459">
        <f t="shared" si="7"/>
        <v>0</v>
      </c>
      <c r="AP72" s="459">
        <f t="shared" si="7"/>
        <v>0</v>
      </c>
      <c r="AQ72" s="459">
        <f t="shared" si="7"/>
        <v>0</v>
      </c>
      <c r="AR72" s="459">
        <f t="shared" si="7"/>
        <v>0</v>
      </c>
      <c r="AS72" s="459">
        <f t="shared" si="7"/>
        <v>0</v>
      </c>
      <c r="AT72" s="459">
        <f t="shared" si="7"/>
        <v>0</v>
      </c>
      <c r="AU72" s="459">
        <f t="shared" si="7"/>
        <v>0</v>
      </c>
      <c r="AW72" s="216">
        <f>(B72/Population_Tables!O46)*Population_Tables!C46</f>
        <v>1028.3835313866425</v>
      </c>
      <c r="AX72" s="153" t="str">
        <f t="shared" si="6"/>
        <v>OK</v>
      </c>
      <c r="AY72" s="421">
        <f t="shared" si="3"/>
        <v>0</v>
      </c>
      <c r="AZ72" s="153" t="str">
        <f t="shared" si="4"/>
        <v>OK</v>
      </c>
      <c r="BB72" s="216">
        <f>(C72/Population_Tables!P46)*Population_Tables!D46</f>
        <v>0</v>
      </c>
      <c r="BC72" s="216">
        <f>(D72/Population_Tables!Q46)*Population_Tables!E46</f>
        <v>0</v>
      </c>
      <c r="BD72" s="216">
        <f>(E72/Population_Tables!R46)*Population_Tables!F46</f>
        <v>0</v>
      </c>
      <c r="BE72" s="216">
        <f>(F72/Population_Tables!S46)*Population_Tables!G46</f>
        <v>0</v>
      </c>
      <c r="BF72" s="216">
        <f>(G72/Population_Tables!T46)*Population_Tables!H46</f>
        <v>0</v>
      </c>
      <c r="BG72" s="216"/>
      <c r="BN72" s="216"/>
      <c r="BO72" s="216"/>
      <c r="BP72" s="216"/>
    </row>
    <row r="73" spans="1:68" ht="15.6" x14ac:dyDescent="0.3">
      <c r="A73" s="194">
        <v>2058</v>
      </c>
      <c r="B73" s="229">
        <v>933.73538944314669</v>
      </c>
      <c r="C73" s="229"/>
      <c r="D73" s="229"/>
      <c r="E73" s="229"/>
      <c r="F73" s="229"/>
      <c r="G73" s="229"/>
      <c r="H73" s="229"/>
      <c r="I73" s="229"/>
      <c r="J73" s="229"/>
      <c r="K73" s="229"/>
      <c r="M73" s="194">
        <v>2058</v>
      </c>
      <c r="N73" s="521"/>
      <c r="O73" s="522"/>
      <c r="P73" s="522"/>
      <c r="Q73" s="522"/>
      <c r="R73" s="522"/>
      <c r="S73" s="522"/>
      <c r="T73" s="522"/>
      <c r="U73" s="522"/>
      <c r="V73" s="522"/>
      <c r="W73" s="522"/>
      <c r="Y73" s="456">
        <v>2058</v>
      </c>
      <c r="Z73" s="459">
        <f>((B73/Population_Tables!O47)*Population_Tables!C47)-N73</f>
        <v>1055.0896057651346</v>
      </c>
      <c r="AA73" s="459">
        <f>((C73/Population_Tables!P47)*Population_Tables!D47)-O73</f>
        <v>0</v>
      </c>
      <c r="AB73" s="459">
        <f>((D73/Population_Tables!Q47)*Population_Tables!E47)-P73</f>
        <v>0</v>
      </c>
      <c r="AC73" s="459">
        <f>((E73/Population_Tables!R47)*Population_Tables!F47)-Q73</f>
        <v>0</v>
      </c>
      <c r="AD73" s="459">
        <f>((F73/Population_Tables!S47)*Population_Tables!G47)-R73</f>
        <v>0</v>
      </c>
      <c r="AE73" s="459">
        <f>((G73/Population_Tables!T47)*Population_Tables!H47)-S73</f>
        <v>0</v>
      </c>
      <c r="AF73" s="459">
        <f>(H73/Population_Tables!U47)*Population_Tables!I47</f>
        <v>0</v>
      </c>
      <c r="AG73" s="459">
        <f>(I73/Population_Tables!V47)*Population_Tables!J47</f>
        <v>0</v>
      </c>
      <c r="AH73" s="459">
        <f>(J73/Population_Tables!W47)*Population_Tables!K47</f>
        <v>0</v>
      </c>
      <c r="AI73" s="459">
        <f>(K73/Population_Tables!X47)*Population_Tables!L47</f>
        <v>0</v>
      </c>
      <c r="AK73" s="456">
        <v>2058</v>
      </c>
      <c r="AL73" s="459">
        <f t="shared" si="7"/>
        <v>1055.0896057651346</v>
      </c>
      <c r="AM73" s="459">
        <f t="shared" si="7"/>
        <v>0</v>
      </c>
      <c r="AN73" s="459">
        <f t="shared" si="7"/>
        <v>0</v>
      </c>
      <c r="AO73" s="459">
        <f t="shared" si="7"/>
        <v>0</v>
      </c>
      <c r="AP73" s="459">
        <f t="shared" si="7"/>
        <v>0</v>
      </c>
      <c r="AQ73" s="459">
        <f t="shared" si="7"/>
        <v>0</v>
      </c>
      <c r="AR73" s="459">
        <f t="shared" si="7"/>
        <v>0</v>
      </c>
      <c r="AS73" s="459">
        <f t="shared" si="7"/>
        <v>0</v>
      </c>
      <c r="AT73" s="459">
        <f t="shared" si="7"/>
        <v>0</v>
      </c>
      <c r="AU73" s="459">
        <f t="shared" si="7"/>
        <v>0</v>
      </c>
      <c r="AW73" s="216">
        <f>(B73/Population_Tables!O47)*Population_Tables!C47</f>
        <v>1055.0896057651346</v>
      </c>
      <c r="AX73" s="153" t="str">
        <f t="shared" si="6"/>
        <v>OK</v>
      </c>
      <c r="AY73" s="421">
        <f t="shared" si="3"/>
        <v>0</v>
      </c>
      <c r="AZ73" s="153" t="str">
        <f t="shared" si="4"/>
        <v>OK</v>
      </c>
      <c r="BB73" s="216">
        <f>(C73/Population_Tables!P47)*Population_Tables!D47</f>
        <v>0</v>
      </c>
      <c r="BC73" s="216">
        <f>(D73/Population_Tables!Q47)*Population_Tables!E47</f>
        <v>0</v>
      </c>
      <c r="BD73" s="216">
        <f>(E73/Population_Tables!R47)*Population_Tables!F47</f>
        <v>0</v>
      </c>
      <c r="BE73" s="216">
        <f>(F73/Population_Tables!S47)*Population_Tables!G47</f>
        <v>0</v>
      </c>
      <c r="BF73" s="216">
        <f>(G73/Population_Tables!T47)*Population_Tables!H47</f>
        <v>0</v>
      </c>
      <c r="BG73" s="216"/>
      <c r="BN73" s="216"/>
      <c r="BO73" s="216"/>
      <c r="BP73" s="216"/>
    </row>
    <row r="74" spans="1:68" ht="15.6" x14ac:dyDescent="0.3">
      <c r="A74" s="194">
        <v>2059</v>
      </c>
      <c r="B74" s="229">
        <v>953.27670289051491</v>
      </c>
      <c r="C74" s="229"/>
      <c r="D74" s="229"/>
      <c r="E74" s="229"/>
      <c r="F74" s="229"/>
      <c r="G74" s="229"/>
      <c r="H74" s="229"/>
      <c r="I74" s="229"/>
      <c r="J74" s="229"/>
      <c r="K74" s="229"/>
      <c r="M74" s="194">
        <v>2059</v>
      </c>
      <c r="N74" s="521"/>
      <c r="O74" s="522"/>
      <c r="P74" s="522"/>
      <c r="Q74" s="522"/>
      <c r="R74" s="522"/>
      <c r="S74" s="522"/>
      <c r="T74" s="522"/>
      <c r="U74" s="522"/>
      <c r="V74" s="522"/>
      <c r="W74" s="522"/>
      <c r="Y74" s="456">
        <v>2059</v>
      </c>
      <c r="Z74" s="459">
        <f>((B74/Population_Tables!O48)*Population_Tables!C48)-N74</f>
        <v>1082.2891601898291</v>
      </c>
      <c r="AA74" s="459">
        <f>((C74/Population_Tables!P48)*Population_Tables!D48)-O74</f>
        <v>0</v>
      </c>
      <c r="AB74" s="459">
        <f>((D74/Population_Tables!Q48)*Population_Tables!E48)-P74</f>
        <v>0</v>
      </c>
      <c r="AC74" s="459">
        <f>((E74/Population_Tables!R48)*Population_Tables!F48)-Q74</f>
        <v>0</v>
      </c>
      <c r="AD74" s="459">
        <f>((F74/Population_Tables!S48)*Population_Tables!G48)-R74</f>
        <v>0</v>
      </c>
      <c r="AE74" s="459">
        <f>((G74/Population_Tables!T48)*Population_Tables!H48)-S74</f>
        <v>0</v>
      </c>
      <c r="AF74" s="459">
        <f>(H74/Population_Tables!U48)*Population_Tables!I48</f>
        <v>0</v>
      </c>
      <c r="AG74" s="459">
        <f>(I74/Population_Tables!V48)*Population_Tables!J48</f>
        <v>0</v>
      </c>
      <c r="AH74" s="459">
        <f>(J74/Population_Tables!W48)*Population_Tables!K48</f>
        <v>0</v>
      </c>
      <c r="AI74" s="459">
        <f>(K74/Population_Tables!X48)*Population_Tables!L48</f>
        <v>0</v>
      </c>
      <c r="AK74" s="456">
        <v>2059</v>
      </c>
      <c r="AL74" s="459">
        <f t="shared" si="7"/>
        <v>1082.2891601898291</v>
      </c>
      <c r="AM74" s="459">
        <f t="shared" si="7"/>
        <v>0</v>
      </c>
      <c r="AN74" s="459">
        <f t="shared" si="7"/>
        <v>0</v>
      </c>
      <c r="AO74" s="459">
        <f t="shared" si="7"/>
        <v>0</v>
      </c>
      <c r="AP74" s="459">
        <f t="shared" si="7"/>
        <v>0</v>
      </c>
      <c r="AQ74" s="459">
        <f t="shared" si="7"/>
        <v>0</v>
      </c>
      <c r="AR74" s="459">
        <f t="shared" si="7"/>
        <v>0</v>
      </c>
      <c r="AS74" s="459">
        <f t="shared" si="7"/>
        <v>0</v>
      </c>
      <c r="AT74" s="459">
        <f t="shared" si="7"/>
        <v>0</v>
      </c>
      <c r="AU74" s="459">
        <f t="shared" si="7"/>
        <v>0</v>
      </c>
      <c r="AW74" s="216">
        <f>(B74/Population_Tables!O48)*Population_Tables!C48</f>
        <v>1082.2891601898291</v>
      </c>
      <c r="AX74" s="153" t="str">
        <f t="shared" si="6"/>
        <v>OK</v>
      </c>
      <c r="AY74" s="421">
        <f t="shared" si="3"/>
        <v>0</v>
      </c>
      <c r="AZ74" s="153" t="str">
        <f t="shared" si="4"/>
        <v>OK</v>
      </c>
      <c r="BB74" s="216">
        <f>(C74/Population_Tables!P48)*Population_Tables!D48</f>
        <v>0</v>
      </c>
      <c r="BC74" s="216">
        <f>(D74/Population_Tables!Q48)*Population_Tables!E48</f>
        <v>0</v>
      </c>
      <c r="BD74" s="216">
        <f>(E74/Population_Tables!R48)*Population_Tables!F48</f>
        <v>0</v>
      </c>
      <c r="BE74" s="216">
        <f>(F74/Population_Tables!S48)*Population_Tables!G48</f>
        <v>0</v>
      </c>
      <c r="BF74" s="216">
        <f>(G74/Population_Tables!T48)*Population_Tables!H48</f>
        <v>0</v>
      </c>
      <c r="BG74" s="216"/>
      <c r="BN74" s="216"/>
      <c r="BO74" s="216"/>
      <c r="BP74" s="216"/>
    </row>
    <row r="75" spans="1:68" ht="15.6" x14ac:dyDescent="0.3">
      <c r="A75" s="194">
        <v>2060</v>
      </c>
      <c r="B75" s="229">
        <v>972.96838366634859</v>
      </c>
      <c r="C75" s="229"/>
      <c r="D75" s="229"/>
      <c r="E75" s="229"/>
      <c r="F75" s="229"/>
      <c r="G75" s="229"/>
      <c r="H75" s="229"/>
      <c r="I75" s="229"/>
      <c r="J75" s="229"/>
      <c r="K75" s="229"/>
      <c r="M75" s="194">
        <v>2060</v>
      </c>
      <c r="N75" s="521"/>
      <c r="O75" s="522"/>
      <c r="P75" s="522"/>
      <c r="Q75" s="522"/>
      <c r="R75" s="522"/>
      <c r="S75" s="522"/>
      <c r="T75" s="522"/>
      <c r="U75" s="522"/>
      <c r="V75" s="522"/>
      <c r="W75" s="522"/>
      <c r="Y75" s="456">
        <v>2060</v>
      </c>
      <c r="Z75" s="459">
        <f>((B75/Population_Tables!O49)*Population_Tables!C49)-N75</f>
        <v>1109.9770688669942</v>
      </c>
      <c r="AA75" s="459">
        <f>((C75/Population_Tables!P49)*Population_Tables!D49)-O75</f>
        <v>0</v>
      </c>
      <c r="AB75" s="459">
        <f>((D75/Population_Tables!Q49)*Population_Tables!E49)-P75</f>
        <v>0</v>
      </c>
      <c r="AC75" s="459">
        <f>((E75/Population_Tables!R49)*Population_Tables!F49)-Q75</f>
        <v>0</v>
      </c>
      <c r="AD75" s="459">
        <f>((F75/Population_Tables!S49)*Population_Tables!G49)-R75</f>
        <v>0</v>
      </c>
      <c r="AE75" s="459">
        <f>((G75/Population_Tables!T49)*Population_Tables!H49)-S75</f>
        <v>0</v>
      </c>
      <c r="AF75" s="459">
        <f>(H75/Population_Tables!U49)*Population_Tables!I49</f>
        <v>0</v>
      </c>
      <c r="AG75" s="459">
        <f>(I75/Population_Tables!V49)*Population_Tables!J49</f>
        <v>0</v>
      </c>
      <c r="AH75" s="459">
        <f>(J75/Population_Tables!W49)*Population_Tables!K49</f>
        <v>0</v>
      </c>
      <c r="AI75" s="459">
        <f>(K75/Population_Tables!X49)*Population_Tables!L49</f>
        <v>0</v>
      </c>
      <c r="AK75" s="456">
        <v>2060</v>
      </c>
      <c r="AL75" s="459">
        <f t="shared" si="7"/>
        <v>1109.9770688669942</v>
      </c>
      <c r="AM75" s="459">
        <f t="shared" si="7"/>
        <v>0</v>
      </c>
      <c r="AN75" s="459">
        <f t="shared" si="7"/>
        <v>0</v>
      </c>
      <c r="AO75" s="459">
        <f t="shared" si="7"/>
        <v>0</v>
      </c>
      <c r="AP75" s="459">
        <f t="shared" si="7"/>
        <v>0</v>
      </c>
      <c r="AQ75" s="459">
        <f t="shared" si="7"/>
        <v>0</v>
      </c>
      <c r="AR75" s="459">
        <f t="shared" si="7"/>
        <v>0</v>
      </c>
      <c r="AS75" s="459">
        <f t="shared" si="7"/>
        <v>0</v>
      </c>
      <c r="AT75" s="459">
        <f t="shared" si="7"/>
        <v>0</v>
      </c>
      <c r="AU75" s="459">
        <f t="shared" si="7"/>
        <v>0</v>
      </c>
      <c r="AW75" s="216">
        <f>(B75/Population_Tables!O49)*Population_Tables!C49</f>
        <v>1109.9770688669942</v>
      </c>
      <c r="AX75" s="153" t="str">
        <f t="shared" si="6"/>
        <v>OK</v>
      </c>
      <c r="AY75" s="421">
        <f t="shared" si="3"/>
        <v>0</v>
      </c>
      <c r="AZ75" s="153" t="str">
        <f t="shared" si="4"/>
        <v>OK</v>
      </c>
      <c r="BB75" s="216">
        <f>(C75/Population_Tables!P49)*Population_Tables!D49</f>
        <v>0</v>
      </c>
      <c r="BC75" s="216">
        <f>(D75/Population_Tables!Q49)*Population_Tables!E49</f>
        <v>0</v>
      </c>
      <c r="BD75" s="216">
        <f>(E75/Population_Tables!R49)*Population_Tables!F49</f>
        <v>0</v>
      </c>
      <c r="BE75" s="216">
        <f>(F75/Population_Tables!S49)*Population_Tables!G49</f>
        <v>0</v>
      </c>
      <c r="BF75" s="216">
        <f>(G75/Population_Tables!T49)*Population_Tables!H49</f>
        <v>0</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Plastics Demand by Economic Development Status (MMt)</v>
      </c>
      <c r="B78" s="644"/>
      <c r="C78" s="644"/>
      <c r="D78" s="644"/>
      <c r="E78" s="644"/>
      <c r="F78" s="645"/>
      <c r="H78" s="650" t="str">
        <f>CONCATENATE("Table 5: Total REF1 ",C1," by Economic Development Status ",D1)</f>
        <v>Table 5: Total REF1 Plastics Demand by Economic Development Status (MMt)</v>
      </c>
      <c r="I78" s="651"/>
      <c r="J78" s="651"/>
      <c r="K78" s="651"/>
      <c r="L78" s="651"/>
      <c r="M78" s="651"/>
      <c r="N78" s="651"/>
      <c r="O78" s="651"/>
      <c r="P78" s="651"/>
      <c r="Q78" s="651"/>
      <c r="R78" s="651"/>
      <c r="S78" s="651"/>
      <c r="T78" s="652"/>
      <c r="W78" s="653" t="str">
        <f>CONCATENATE("Table 6: Change in ",C1," by MDC vs. LLDC Regions, REF1-REF2 ",D1)</f>
        <v>Table 6: Change in Plastics Demand by MDC vs. LLDC Regions, REF1-REF2 (MMt)</v>
      </c>
      <c r="X78" s="654"/>
      <c r="Y78" s="654"/>
      <c r="Z78" s="654"/>
      <c r="AA78" s="654"/>
      <c r="AB78" s="654"/>
      <c r="AC78" s="654"/>
      <c r="AD78" s="655"/>
    </row>
    <row r="79" spans="1:68" ht="105" customHeight="1" x14ac:dyDescent="0.25">
      <c r="A79" s="213"/>
      <c r="B79" s="529" t="s">
        <v>368</v>
      </c>
      <c r="C79" s="463" t="s">
        <v>10</v>
      </c>
      <c r="D79" s="463" t="s">
        <v>514</v>
      </c>
      <c r="E79" s="463" t="str">
        <f>Q79</f>
        <v>Total Plastics Demand in Countries with Higher Educational Attainment (TWh)</v>
      </c>
      <c r="F79" s="463" t="str">
        <f>R79</f>
        <v xml:space="preserve"> --&gt; % LLDC</v>
      </c>
      <c r="H79" s="472"/>
      <c r="I79" s="473" t="s">
        <v>488</v>
      </c>
      <c r="J79" s="473" t="s">
        <v>490</v>
      </c>
      <c r="K79" s="473" t="s">
        <v>10</v>
      </c>
      <c r="L79" s="473" t="s">
        <v>489</v>
      </c>
      <c r="M79" s="473" t="s">
        <v>475</v>
      </c>
      <c r="O79" s="473" t="s">
        <v>627</v>
      </c>
      <c r="P79" s="473" t="s">
        <v>502</v>
      </c>
      <c r="Q79" s="473" t="s">
        <v>626</v>
      </c>
      <c r="R79" s="473" t="s">
        <v>502</v>
      </c>
      <c r="S79" s="473" t="s">
        <v>625</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0</v>
      </c>
      <c r="C80" s="195">
        <f t="shared" ref="C80:C126" si="8">H29</f>
        <v>0</v>
      </c>
      <c r="D80" s="195">
        <f t="shared" ref="D80:D126" si="9">SUMIF($AA$27:$AE$27,"N",C29:G29)-(IF($AC$27="N",H29))</f>
        <v>0</v>
      </c>
      <c r="E80" s="195">
        <f t="shared" ref="E80:E126" si="10">B80+D80+C80</f>
        <v>0</v>
      </c>
      <c r="F80" s="196" t="str">
        <f>IFERROR(B80/E80,"")</f>
        <v/>
      </c>
      <c r="H80" s="194">
        <v>2014</v>
      </c>
      <c r="I80" s="195">
        <f t="shared" ref="I80:I126" si="11">SUMIF($O$27:$S$27,"Y",O29:S29)-T29</f>
        <v>0</v>
      </c>
      <c r="J80" s="195">
        <f t="shared" ref="J80:J126" si="12">SUMIF($O$27:$S$27,"N",O29:S29)-(IF($Q$27="N",T29))</f>
        <v>0</v>
      </c>
      <c r="K80" s="195">
        <f t="shared" ref="K80:K126" si="13">AF29</f>
        <v>0</v>
      </c>
      <c r="L80" s="195">
        <f t="shared" ref="L80:L126" si="14">SUMIF($AA$27:$AE$27,"Y",AA29:AE29)-AF29</f>
        <v>0</v>
      </c>
      <c r="M80" s="195">
        <f t="shared" ref="M80:M126" si="15">SUMIF($AA$27:$AE$27,"N",AA29:AE29)-(IF($AC$27="N",AF29))</f>
        <v>0</v>
      </c>
      <c r="O80" s="195">
        <f t="shared" ref="O80:O126" si="16">I80+J80</f>
        <v>0</v>
      </c>
      <c r="P80" s="196" t="str">
        <f>IFERROR(I80/O80,"")</f>
        <v/>
      </c>
      <c r="Q80" s="195">
        <f t="shared" ref="Q80:Q126" si="17">L80+M80+K80</f>
        <v>0</v>
      </c>
      <c r="R80" s="196" t="str">
        <f>IFERROR(L80/Q80,"")</f>
        <v/>
      </c>
      <c r="S80" s="464">
        <f t="shared" ref="S80:S126" si="18">Q80+O80</f>
        <v>0</v>
      </c>
      <c r="T80" s="196" t="str">
        <f>IFERROR(O80/S80,"")</f>
        <v/>
      </c>
      <c r="W80" s="197">
        <v>0</v>
      </c>
      <c r="X80" s="195">
        <f t="shared" ref="X80:X126" si="19">K80-C80</f>
        <v>0</v>
      </c>
      <c r="Y80" s="197">
        <v>0</v>
      </c>
      <c r="Z80" s="195">
        <f>(Q80+O80)-E80</f>
        <v>0</v>
      </c>
      <c r="AA80" s="196">
        <v>0</v>
      </c>
      <c r="AB80" s="196" t="str">
        <f>IFERROR((W80/Z80)*(I80/(L80+I80)),"")</f>
        <v/>
      </c>
      <c r="AC80" s="196" t="str">
        <f>IFERROR(W80/Z80,"")</f>
        <v/>
      </c>
      <c r="AD80" s="247" t="str">
        <f>IFERROR((X80+Y80)/Z80,"")</f>
        <v/>
      </c>
      <c r="AF80" s="251" t="e">
        <f t="shared" ref="AF80:AF126" si="20">I80/(I80+L80)</f>
        <v>#DIV/0!</v>
      </c>
      <c r="AG80" s="251" t="e">
        <f t="shared" ref="AG80:AG126" si="21">L80/(L80+I80)</f>
        <v>#DIV/0!</v>
      </c>
    </row>
    <row r="81" spans="1:33" x14ac:dyDescent="0.25">
      <c r="A81" s="194">
        <v>2015</v>
      </c>
      <c r="B81" s="195">
        <f t="shared" ref="B81:B126" si="22">SUMIF($AA$27:$AE$27,"Y",C30:G30)-H30</f>
        <v>0</v>
      </c>
      <c r="C81" s="195">
        <f t="shared" si="8"/>
        <v>0</v>
      </c>
      <c r="D81" s="195">
        <f t="shared" si="9"/>
        <v>0</v>
      </c>
      <c r="E81" s="195">
        <f t="shared" si="10"/>
        <v>0</v>
      </c>
      <c r="F81" s="196" t="str">
        <f t="shared" ref="F81:F126" si="23">IFERROR(B81/E81,"")</f>
        <v/>
      </c>
      <c r="H81" s="194">
        <v>2015</v>
      </c>
      <c r="I81" s="195">
        <f t="shared" si="11"/>
        <v>0</v>
      </c>
      <c r="J81" s="195">
        <f t="shared" si="12"/>
        <v>0</v>
      </c>
      <c r="K81" s="195">
        <f t="shared" si="13"/>
        <v>0</v>
      </c>
      <c r="L81" s="195">
        <f t="shared" si="14"/>
        <v>0</v>
      </c>
      <c r="M81" s="195">
        <f t="shared" si="15"/>
        <v>0</v>
      </c>
      <c r="O81" s="195">
        <f t="shared" si="16"/>
        <v>0</v>
      </c>
      <c r="P81" s="196" t="str">
        <f t="shared" ref="P81:P126" si="24">IFERROR(I81/O81,"")</f>
        <v/>
      </c>
      <c r="Q81" s="195">
        <f t="shared" si="17"/>
        <v>0</v>
      </c>
      <c r="R81" s="196" t="str">
        <f t="shared" ref="R81:R126" si="25">IFERROR(L81/Q81,"")</f>
        <v/>
      </c>
      <c r="S81" s="464">
        <f t="shared" si="18"/>
        <v>0</v>
      </c>
      <c r="T81" s="196" t="str">
        <f t="shared" ref="T81:T126" si="26">IFERROR(O81/S81,"")</f>
        <v/>
      </c>
      <c r="W81" s="197">
        <v>0</v>
      </c>
      <c r="X81" s="195">
        <f t="shared" si="19"/>
        <v>0</v>
      </c>
      <c r="Y81" s="197">
        <v>0</v>
      </c>
      <c r="Z81" s="195">
        <f>W81+X81+Y81</f>
        <v>0</v>
      </c>
      <c r="AA81" s="196">
        <v>0</v>
      </c>
      <c r="AB81" s="196" t="str">
        <f t="shared" ref="AB81:AB126" si="27">IFERROR((W81/Z81)*(I81/(L81+I81)),"")</f>
        <v/>
      </c>
      <c r="AC81" s="196" t="str">
        <f t="shared" ref="AC81:AC126" si="28">IFERROR(W81/Z81,"")</f>
        <v/>
      </c>
      <c r="AD81" s="247" t="str">
        <f t="shared" ref="AD81:AD126" si="29">IFERROR((X81+Y81)/Z81,"")</f>
        <v/>
      </c>
      <c r="AF81" s="251" t="e">
        <f t="shared" si="20"/>
        <v>#DIV/0!</v>
      </c>
      <c r="AG81" s="251" t="e">
        <f t="shared" si="21"/>
        <v>#DIV/0!</v>
      </c>
    </row>
    <row r="82" spans="1:33" x14ac:dyDescent="0.25">
      <c r="A82" s="194">
        <v>2016</v>
      </c>
      <c r="B82" s="195">
        <f t="shared" si="22"/>
        <v>0</v>
      </c>
      <c r="C82" s="195">
        <f t="shared" si="8"/>
        <v>0</v>
      </c>
      <c r="D82" s="195">
        <f t="shared" si="9"/>
        <v>0</v>
      </c>
      <c r="E82" s="195">
        <f t="shared" si="10"/>
        <v>0</v>
      </c>
      <c r="F82" s="196" t="str">
        <f t="shared" si="23"/>
        <v/>
      </c>
      <c r="H82" s="194">
        <v>2016</v>
      </c>
      <c r="I82" s="195">
        <f t="shared" si="11"/>
        <v>0</v>
      </c>
      <c r="J82" s="195">
        <f t="shared" si="12"/>
        <v>0</v>
      </c>
      <c r="K82" s="195">
        <f t="shared" si="13"/>
        <v>0</v>
      </c>
      <c r="L82" s="195">
        <f t="shared" si="14"/>
        <v>0</v>
      </c>
      <c r="M82" s="195">
        <f t="shared" si="15"/>
        <v>0</v>
      </c>
      <c r="O82" s="195">
        <f t="shared" si="16"/>
        <v>0</v>
      </c>
      <c r="P82" s="196" t="str">
        <f t="shared" si="24"/>
        <v/>
      </c>
      <c r="Q82" s="195">
        <f t="shared" si="17"/>
        <v>0</v>
      </c>
      <c r="R82" s="196" t="str">
        <f t="shared" si="25"/>
        <v/>
      </c>
      <c r="S82" s="464">
        <f t="shared" si="18"/>
        <v>0</v>
      </c>
      <c r="T82" s="196" t="str">
        <f t="shared" si="26"/>
        <v/>
      </c>
      <c r="W82" s="195">
        <f t="shared" ref="W82:W126" si="30">(L82+I82)-B82</f>
        <v>0</v>
      </c>
      <c r="X82" s="195">
        <f t="shared" si="19"/>
        <v>0</v>
      </c>
      <c r="Y82" s="195">
        <f t="shared" ref="Y82:Y126" si="31">(M82+J82)-D82</f>
        <v>0</v>
      </c>
      <c r="Z82" s="195">
        <f>W82+X82+Y82</f>
        <v>0</v>
      </c>
      <c r="AA82" s="196" t="str">
        <f>IFERROR((W82/Z82)*(L82/(L82+I82)),"")</f>
        <v/>
      </c>
      <c r="AB82" s="196" t="str">
        <f t="shared" si="27"/>
        <v/>
      </c>
      <c r="AC82" s="196" t="str">
        <f t="shared" si="28"/>
        <v/>
      </c>
      <c r="AD82" s="247" t="str">
        <f t="shared" si="29"/>
        <v/>
      </c>
      <c r="AF82" s="251" t="e">
        <f t="shared" si="20"/>
        <v>#DIV/0!</v>
      </c>
      <c r="AG82" s="251" t="e">
        <f t="shared" si="21"/>
        <v>#DIV/0!</v>
      </c>
    </row>
    <row r="83" spans="1:33" x14ac:dyDescent="0.25">
      <c r="A83" s="194">
        <v>2017</v>
      </c>
      <c r="B83" s="195">
        <f t="shared" si="22"/>
        <v>0</v>
      </c>
      <c r="C83" s="195">
        <f t="shared" si="8"/>
        <v>0</v>
      </c>
      <c r="D83" s="195">
        <f t="shared" si="9"/>
        <v>0</v>
      </c>
      <c r="E83" s="195">
        <f t="shared" si="10"/>
        <v>0</v>
      </c>
      <c r="F83" s="196" t="str">
        <f t="shared" si="23"/>
        <v/>
      </c>
      <c r="H83" s="194">
        <v>2017</v>
      </c>
      <c r="I83" s="195">
        <f t="shared" si="11"/>
        <v>0</v>
      </c>
      <c r="J83" s="195">
        <f t="shared" si="12"/>
        <v>0</v>
      </c>
      <c r="K83" s="195">
        <f t="shared" si="13"/>
        <v>0</v>
      </c>
      <c r="L83" s="195">
        <f t="shared" si="14"/>
        <v>0</v>
      </c>
      <c r="M83" s="195">
        <f t="shared" si="15"/>
        <v>0</v>
      </c>
      <c r="O83" s="195">
        <f t="shared" si="16"/>
        <v>0</v>
      </c>
      <c r="P83" s="196" t="str">
        <f t="shared" si="24"/>
        <v/>
      </c>
      <c r="Q83" s="195">
        <f t="shared" si="17"/>
        <v>0</v>
      </c>
      <c r="R83" s="196" t="str">
        <f t="shared" si="25"/>
        <v/>
      </c>
      <c r="S83" s="464">
        <f t="shared" si="18"/>
        <v>0</v>
      </c>
      <c r="T83" s="196" t="str">
        <f t="shared" si="26"/>
        <v/>
      </c>
      <c r="W83" s="195">
        <f t="shared" si="30"/>
        <v>0</v>
      </c>
      <c r="X83" s="195">
        <f t="shared" si="19"/>
        <v>0</v>
      </c>
      <c r="Y83" s="195">
        <f t="shared" si="31"/>
        <v>0</v>
      </c>
      <c r="Z83" s="195">
        <f t="shared" ref="Z83:Z126" si="32">W83+X83+Y83</f>
        <v>0</v>
      </c>
      <c r="AA83" s="196" t="str">
        <f t="shared" ref="AA83:AA126" si="33">IFERROR((W83/Z83)*(L83/(L83+I83)),"")</f>
        <v/>
      </c>
      <c r="AB83" s="196" t="str">
        <f t="shared" si="27"/>
        <v/>
      </c>
      <c r="AC83" s="196" t="str">
        <f t="shared" si="28"/>
        <v/>
      </c>
      <c r="AD83" s="247" t="str">
        <f t="shared" si="29"/>
        <v/>
      </c>
      <c r="AF83" s="251" t="e">
        <f t="shared" si="20"/>
        <v>#DIV/0!</v>
      </c>
      <c r="AG83" s="251" t="e">
        <f t="shared" si="21"/>
        <v>#DIV/0!</v>
      </c>
    </row>
    <row r="84" spans="1:33" x14ac:dyDescent="0.25">
      <c r="A84" s="194">
        <v>2018</v>
      </c>
      <c r="B84" s="195">
        <f t="shared" si="22"/>
        <v>0</v>
      </c>
      <c r="C84" s="195">
        <f t="shared" si="8"/>
        <v>0</v>
      </c>
      <c r="D84" s="195">
        <f t="shared" si="9"/>
        <v>0</v>
      </c>
      <c r="E84" s="195">
        <f t="shared" si="10"/>
        <v>0</v>
      </c>
      <c r="F84" s="196" t="str">
        <f t="shared" si="23"/>
        <v/>
      </c>
      <c r="H84" s="194">
        <v>2018</v>
      </c>
      <c r="I84" s="195">
        <f t="shared" si="11"/>
        <v>0</v>
      </c>
      <c r="J84" s="195">
        <f t="shared" si="12"/>
        <v>0</v>
      </c>
      <c r="K84" s="195">
        <f t="shared" si="13"/>
        <v>0</v>
      </c>
      <c r="L84" s="195">
        <f t="shared" si="14"/>
        <v>0</v>
      </c>
      <c r="M84" s="195">
        <f t="shared" si="15"/>
        <v>0</v>
      </c>
      <c r="O84" s="195">
        <f t="shared" si="16"/>
        <v>0</v>
      </c>
      <c r="P84" s="196" t="str">
        <f t="shared" si="24"/>
        <v/>
      </c>
      <c r="Q84" s="195">
        <f t="shared" si="17"/>
        <v>0</v>
      </c>
      <c r="R84" s="196" t="str">
        <f t="shared" si="25"/>
        <v/>
      </c>
      <c r="S84" s="464">
        <f t="shared" si="18"/>
        <v>0</v>
      </c>
      <c r="T84" s="196" t="str">
        <f t="shared" si="26"/>
        <v/>
      </c>
      <c r="W84" s="195">
        <f t="shared" si="30"/>
        <v>0</v>
      </c>
      <c r="X84" s="195">
        <f t="shared" si="19"/>
        <v>0</v>
      </c>
      <c r="Y84" s="195">
        <f t="shared" si="31"/>
        <v>0</v>
      </c>
      <c r="Z84" s="195">
        <f t="shared" si="32"/>
        <v>0</v>
      </c>
      <c r="AA84" s="196" t="str">
        <f t="shared" si="33"/>
        <v/>
      </c>
      <c r="AB84" s="196" t="str">
        <f t="shared" si="27"/>
        <v/>
      </c>
      <c r="AC84" s="196" t="str">
        <f t="shared" si="28"/>
        <v/>
      </c>
      <c r="AD84" s="247" t="str">
        <f t="shared" si="29"/>
        <v/>
      </c>
      <c r="AF84" s="251" t="e">
        <f t="shared" si="20"/>
        <v>#DIV/0!</v>
      </c>
      <c r="AG84" s="251" t="e">
        <f t="shared" si="21"/>
        <v>#DIV/0!</v>
      </c>
    </row>
    <row r="85" spans="1:33" ht="13.8" thickBot="1" x14ac:dyDescent="0.3">
      <c r="A85" s="198">
        <v>2019</v>
      </c>
      <c r="B85" s="195">
        <f t="shared" si="22"/>
        <v>0</v>
      </c>
      <c r="C85" s="195">
        <f t="shared" si="8"/>
        <v>0</v>
      </c>
      <c r="D85" s="195">
        <f t="shared" si="9"/>
        <v>0</v>
      </c>
      <c r="E85" s="195">
        <f t="shared" si="10"/>
        <v>0</v>
      </c>
      <c r="F85" s="196" t="str">
        <f t="shared" si="23"/>
        <v/>
      </c>
      <c r="H85" s="198">
        <v>2019</v>
      </c>
      <c r="I85" s="195">
        <f t="shared" si="11"/>
        <v>0</v>
      </c>
      <c r="J85" s="195">
        <f t="shared" si="12"/>
        <v>0</v>
      </c>
      <c r="K85" s="195">
        <f t="shared" si="13"/>
        <v>0</v>
      </c>
      <c r="L85" s="195">
        <f t="shared" si="14"/>
        <v>0</v>
      </c>
      <c r="M85" s="195">
        <f t="shared" si="15"/>
        <v>0</v>
      </c>
      <c r="O85" s="195">
        <f t="shared" si="16"/>
        <v>0</v>
      </c>
      <c r="P85" s="196" t="str">
        <f t="shared" si="24"/>
        <v/>
      </c>
      <c r="Q85" s="195">
        <f t="shared" si="17"/>
        <v>0</v>
      </c>
      <c r="R85" s="196" t="str">
        <f t="shared" si="25"/>
        <v/>
      </c>
      <c r="S85" s="464">
        <f t="shared" si="18"/>
        <v>0</v>
      </c>
      <c r="T85" s="196" t="str">
        <f t="shared" si="26"/>
        <v/>
      </c>
      <c r="W85" s="195">
        <f t="shared" si="30"/>
        <v>0</v>
      </c>
      <c r="X85" s="195">
        <f t="shared" si="19"/>
        <v>0</v>
      </c>
      <c r="Y85" s="195">
        <f t="shared" si="31"/>
        <v>0</v>
      </c>
      <c r="Z85" s="195">
        <f t="shared" si="32"/>
        <v>0</v>
      </c>
      <c r="AA85" s="196" t="str">
        <f t="shared" si="33"/>
        <v/>
      </c>
      <c r="AB85" s="196" t="str">
        <f t="shared" si="27"/>
        <v/>
      </c>
      <c r="AC85" s="196" t="str">
        <f t="shared" si="28"/>
        <v/>
      </c>
      <c r="AD85" s="247" t="str">
        <f t="shared" si="29"/>
        <v/>
      </c>
      <c r="AF85" s="251" t="e">
        <f t="shared" si="20"/>
        <v>#DIV/0!</v>
      </c>
      <c r="AG85" s="251" t="e">
        <f t="shared" si="21"/>
        <v>#DIV/0!</v>
      </c>
    </row>
    <row r="86" spans="1:33" x14ac:dyDescent="0.25">
      <c r="A86" s="201">
        <v>2020</v>
      </c>
      <c r="B86" s="195">
        <f t="shared" si="22"/>
        <v>0</v>
      </c>
      <c r="C86" s="195">
        <f t="shared" si="8"/>
        <v>0</v>
      </c>
      <c r="D86" s="195">
        <f t="shared" si="9"/>
        <v>0</v>
      </c>
      <c r="E86" s="195">
        <f t="shared" si="10"/>
        <v>0</v>
      </c>
      <c r="F86" s="196" t="str">
        <f t="shared" si="23"/>
        <v/>
      </c>
      <c r="H86" s="201">
        <v>2020</v>
      </c>
      <c r="I86" s="195">
        <f t="shared" si="11"/>
        <v>0</v>
      </c>
      <c r="J86" s="195">
        <f t="shared" si="12"/>
        <v>0</v>
      </c>
      <c r="K86" s="195">
        <f t="shared" si="13"/>
        <v>0</v>
      </c>
      <c r="L86" s="195">
        <f t="shared" si="14"/>
        <v>0</v>
      </c>
      <c r="M86" s="195">
        <f t="shared" si="15"/>
        <v>0</v>
      </c>
      <c r="O86" s="195">
        <f t="shared" si="16"/>
        <v>0</v>
      </c>
      <c r="P86" s="196" t="str">
        <f t="shared" si="24"/>
        <v/>
      </c>
      <c r="Q86" s="195">
        <f t="shared" si="17"/>
        <v>0</v>
      </c>
      <c r="R86" s="196" t="str">
        <f t="shared" si="25"/>
        <v/>
      </c>
      <c r="S86" s="464">
        <f t="shared" si="18"/>
        <v>0</v>
      </c>
      <c r="T86" s="196" t="str">
        <f t="shared" si="26"/>
        <v/>
      </c>
      <c r="W86" s="195">
        <f t="shared" si="30"/>
        <v>0</v>
      </c>
      <c r="X86" s="195">
        <f t="shared" si="19"/>
        <v>0</v>
      </c>
      <c r="Y86" s="195">
        <f t="shared" si="31"/>
        <v>0</v>
      </c>
      <c r="Z86" s="195">
        <f t="shared" si="32"/>
        <v>0</v>
      </c>
      <c r="AA86" s="196" t="str">
        <f t="shared" si="33"/>
        <v/>
      </c>
      <c r="AB86" s="196" t="str">
        <f t="shared" si="27"/>
        <v/>
      </c>
      <c r="AC86" s="196" t="str">
        <f t="shared" si="28"/>
        <v/>
      </c>
      <c r="AD86" s="247" t="str">
        <f t="shared" si="29"/>
        <v/>
      </c>
      <c r="AF86" s="251" t="e">
        <f t="shared" si="20"/>
        <v>#DIV/0!</v>
      </c>
      <c r="AG86" s="251" t="e">
        <f t="shared" si="21"/>
        <v>#DIV/0!</v>
      </c>
    </row>
    <row r="87" spans="1:33" x14ac:dyDescent="0.25">
      <c r="A87" s="206">
        <v>2021</v>
      </c>
      <c r="B87" s="195">
        <f t="shared" si="22"/>
        <v>0</v>
      </c>
      <c r="C87" s="195">
        <f t="shared" si="8"/>
        <v>0</v>
      </c>
      <c r="D87" s="195">
        <f t="shared" si="9"/>
        <v>0</v>
      </c>
      <c r="E87" s="195">
        <f t="shared" si="10"/>
        <v>0</v>
      </c>
      <c r="F87" s="196" t="str">
        <f t="shared" si="23"/>
        <v/>
      </c>
      <c r="H87" s="206">
        <v>2021</v>
      </c>
      <c r="I87" s="195">
        <f t="shared" si="11"/>
        <v>0</v>
      </c>
      <c r="J87" s="195">
        <f t="shared" si="12"/>
        <v>0</v>
      </c>
      <c r="K87" s="195">
        <f t="shared" si="13"/>
        <v>0</v>
      </c>
      <c r="L87" s="195">
        <f t="shared" si="14"/>
        <v>0</v>
      </c>
      <c r="M87" s="195">
        <f t="shared" si="15"/>
        <v>0</v>
      </c>
      <c r="O87" s="195">
        <f t="shared" si="16"/>
        <v>0</v>
      </c>
      <c r="P87" s="196" t="str">
        <f t="shared" si="24"/>
        <v/>
      </c>
      <c r="Q87" s="195">
        <f t="shared" si="17"/>
        <v>0</v>
      </c>
      <c r="R87" s="196" t="str">
        <f t="shared" si="25"/>
        <v/>
      </c>
      <c r="S87" s="464">
        <f t="shared" si="18"/>
        <v>0</v>
      </c>
      <c r="T87" s="196" t="str">
        <f t="shared" si="26"/>
        <v/>
      </c>
      <c r="W87" s="195">
        <f t="shared" si="30"/>
        <v>0</v>
      </c>
      <c r="X87" s="195">
        <f t="shared" si="19"/>
        <v>0</v>
      </c>
      <c r="Y87" s="195">
        <f t="shared" si="31"/>
        <v>0</v>
      </c>
      <c r="Z87" s="195">
        <f t="shared" si="32"/>
        <v>0</v>
      </c>
      <c r="AA87" s="196" t="str">
        <f t="shared" si="33"/>
        <v/>
      </c>
      <c r="AB87" s="196" t="str">
        <f t="shared" si="27"/>
        <v/>
      </c>
      <c r="AC87" s="196" t="str">
        <f t="shared" si="28"/>
        <v/>
      </c>
      <c r="AD87" s="247" t="str">
        <f t="shared" si="29"/>
        <v/>
      </c>
      <c r="AF87" s="251" t="e">
        <f t="shared" si="20"/>
        <v>#DIV/0!</v>
      </c>
      <c r="AG87" s="251" t="e">
        <f t="shared" si="21"/>
        <v>#DIV/0!</v>
      </c>
    </row>
    <row r="88" spans="1:33" x14ac:dyDescent="0.25">
      <c r="A88" s="206">
        <v>2022</v>
      </c>
      <c r="B88" s="195">
        <f t="shared" si="22"/>
        <v>0</v>
      </c>
      <c r="C88" s="195">
        <f t="shared" si="8"/>
        <v>0</v>
      </c>
      <c r="D88" s="195">
        <f t="shared" si="9"/>
        <v>0</v>
      </c>
      <c r="E88" s="195">
        <f t="shared" si="10"/>
        <v>0</v>
      </c>
      <c r="F88" s="196" t="str">
        <f t="shared" si="23"/>
        <v/>
      </c>
      <c r="H88" s="206">
        <v>2022</v>
      </c>
      <c r="I88" s="195">
        <f t="shared" si="11"/>
        <v>0</v>
      </c>
      <c r="J88" s="195">
        <f t="shared" si="12"/>
        <v>0</v>
      </c>
      <c r="K88" s="195">
        <f t="shared" si="13"/>
        <v>0</v>
      </c>
      <c r="L88" s="195">
        <f t="shared" si="14"/>
        <v>0</v>
      </c>
      <c r="M88" s="195">
        <f t="shared" si="15"/>
        <v>0</v>
      </c>
      <c r="O88" s="195">
        <f t="shared" si="16"/>
        <v>0</v>
      </c>
      <c r="P88" s="196" t="str">
        <f t="shared" si="24"/>
        <v/>
      </c>
      <c r="Q88" s="195">
        <f t="shared" si="17"/>
        <v>0</v>
      </c>
      <c r="R88" s="196" t="str">
        <f t="shared" si="25"/>
        <v/>
      </c>
      <c r="S88" s="464">
        <f t="shared" si="18"/>
        <v>0</v>
      </c>
      <c r="T88" s="196" t="str">
        <f t="shared" si="26"/>
        <v/>
      </c>
      <c r="W88" s="195">
        <f t="shared" si="30"/>
        <v>0</v>
      </c>
      <c r="X88" s="195">
        <f t="shared" si="19"/>
        <v>0</v>
      </c>
      <c r="Y88" s="195">
        <f t="shared" si="31"/>
        <v>0</v>
      </c>
      <c r="Z88" s="195">
        <f t="shared" si="32"/>
        <v>0</v>
      </c>
      <c r="AA88" s="196" t="str">
        <f t="shared" si="33"/>
        <v/>
      </c>
      <c r="AB88" s="196" t="str">
        <f t="shared" si="27"/>
        <v/>
      </c>
      <c r="AC88" s="196" t="str">
        <f t="shared" si="28"/>
        <v/>
      </c>
      <c r="AD88" s="247" t="str">
        <f t="shared" si="29"/>
        <v/>
      </c>
      <c r="AF88" s="251" t="e">
        <f t="shared" si="20"/>
        <v>#DIV/0!</v>
      </c>
      <c r="AG88" s="251" t="e">
        <f t="shared" si="21"/>
        <v>#DIV/0!</v>
      </c>
    </row>
    <row r="89" spans="1:33" x14ac:dyDescent="0.25">
      <c r="A89" s="206">
        <v>2023</v>
      </c>
      <c r="B89" s="195">
        <f t="shared" si="22"/>
        <v>0</v>
      </c>
      <c r="C89" s="195">
        <f t="shared" si="8"/>
        <v>0</v>
      </c>
      <c r="D89" s="195">
        <f t="shared" si="9"/>
        <v>0</v>
      </c>
      <c r="E89" s="195">
        <f t="shared" si="10"/>
        <v>0</v>
      </c>
      <c r="F89" s="196" t="str">
        <f t="shared" si="23"/>
        <v/>
      </c>
      <c r="H89" s="206">
        <v>2023</v>
      </c>
      <c r="I89" s="195">
        <f t="shared" si="11"/>
        <v>0</v>
      </c>
      <c r="J89" s="195">
        <f t="shared" si="12"/>
        <v>0</v>
      </c>
      <c r="K89" s="195">
        <f t="shared" si="13"/>
        <v>0</v>
      </c>
      <c r="L89" s="195">
        <f t="shared" si="14"/>
        <v>0</v>
      </c>
      <c r="M89" s="195">
        <f t="shared" si="15"/>
        <v>0</v>
      </c>
      <c r="O89" s="195">
        <f t="shared" si="16"/>
        <v>0</v>
      </c>
      <c r="P89" s="196" t="str">
        <f t="shared" si="24"/>
        <v/>
      </c>
      <c r="Q89" s="195">
        <f t="shared" si="17"/>
        <v>0</v>
      </c>
      <c r="R89" s="196" t="str">
        <f t="shared" si="25"/>
        <v/>
      </c>
      <c r="S89" s="464">
        <f t="shared" si="18"/>
        <v>0</v>
      </c>
      <c r="T89" s="196" t="str">
        <f t="shared" si="26"/>
        <v/>
      </c>
      <c r="W89" s="195">
        <f t="shared" si="30"/>
        <v>0</v>
      </c>
      <c r="X89" s="195">
        <f t="shared" si="19"/>
        <v>0</v>
      </c>
      <c r="Y89" s="195">
        <f t="shared" si="31"/>
        <v>0</v>
      </c>
      <c r="Z89" s="195">
        <f t="shared" si="32"/>
        <v>0</v>
      </c>
      <c r="AA89" s="196" t="str">
        <f t="shared" si="33"/>
        <v/>
      </c>
      <c r="AB89" s="196" t="str">
        <f t="shared" si="27"/>
        <v/>
      </c>
      <c r="AC89" s="196" t="str">
        <f t="shared" si="28"/>
        <v/>
      </c>
      <c r="AD89" s="247" t="str">
        <f t="shared" si="29"/>
        <v/>
      </c>
      <c r="AF89" s="251" t="e">
        <f t="shared" si="20"/>
        <v>#DIV/0!</v>
      </c>
      <c r="AG89" s="251" t="e">
        <f t="shared" si="21"/>
        <v>#DIV/0!</v>
      </c>
    </row>
    <row r="90" spans="1:33" x14ac:dyDescent="0.25">
      <c r="A90" s="206">
        <v>2024</v>
      </c>
      <c r="B90" s="195">
        <f t="shared" si="22"/>
        <v>0</v>
      </c>
      <c r="C90" s="195">
        <f t="shared" si="8"/>
        <v>0</v>
      </c>
      <c r="D90" s="195">
        <f t="shared" si="9"/>
        <v>0</v>
      </c>
      <c r="E90" s="195">
        <f t="shared" si="10"/>
        <v>0</v>
      </c>
      <c r="F90" s="196" t="str">
        <f t="shared" si="23"/>
        <v/>
      </c>
      <c r="H90" s="206">
        <v>2024</v>
      </c>
      <c r="I90" s="195">
        <f t="shared" si="11"/>
        <v>0</v>
      </c>
      <c r="J90" s="195">
        <f t="shared" si="12"/>
        <v>0</v>
      </c>
      <c r="K90" s="195">
        <f t="shared" si="13"/>
        <v>0</v>
      </c>
      <c r="L90" s="195">
        <f t="shared" si="14"/>
        <v>0</v>
      </c>
      <c r="M90" s="195">
        <f t="shared" si="15"/>
        <v>0</v>
      </c>
      <c r="O90" s="195">
        <f t="shared" si="16"/>
        <v>0</v>
      </c>
      <c r="P90" s="196" t="str">
        <f t="shared" si="24"/>
        <v/>
      </c>
      <c r="Q90" s="195">
        <f t="shared" si="17"/>
        <v>0</v>
      </c>
      <c r="R90" s="196" t="str">
        <f t="shared" si="25"/>
        <v/>
      </c>
      <c r="S90" s="464">
        <f t="shared" si="18"/>
        <v>0</v>
      </c>
      <c r="T90" s="196" t="str">
        <f t="shared" si="26"/>
        <v/>
      </c>
      <c r="W90" s="195">
        <f t="shared" si="30"/>
        <v>0</v>
      </c>
      <c r="X90" s="195">
        <f t="shared" si="19"/>
        <v>0</v>
      </c>
      <c r="Y90" s="195">
        <f t="shared" si="31"/>
        <v>0</v>
      </c>
      <c r="Z90" s="195">
        <f t="shared" si="32"/>
        <v>0</v>
      </c>
      <c r="AA90" s="196" t="str">
        <f t="shared" si="33"/>
        <v/>
      </c>
      <c r="AB90" s="196" t="str">
        <f t="shared" si="27"/>
        <v/>
      </c>
      <c r="AC90" s="196" t="str">
        <f t="shared" si="28"/>
        <v/>
      </c>
      <c r="AD90" s="247" t="str">
        <f t="shared" si="29"/>
        <v/>
      </c>
      <c r="AF90" s="251" t="e">
        <f t="shared" si="20"/>
        <v>#DIV/0!</v>
      </c>
      <c r="AG90" s="251" t="e">
        <f t="shared" si="21"/>
        <v>#DIV/0!</v>
      </c>
    </row>
    <row r="91" spans="1:33" x14ac:dyDescent="0.25">
      <c r="A91" s="206">
        <v>2025</v>
      </c>
      <c r="B91" s="195">
        <f t="shared" si="22"/>
        <v>0</v>
      </c>
      <c r="C91" s="195">
        <f t="shared" si="8"/>
        <v>0</v>
      </c>
      <c r="D91" s="195">
        <f t="shared" si="9"/>
        <v>0</v>
      </c>
      <c r="E91" s="195">
        <f t="shared" si="10"/>
        <v>0</v>
      </c>
      <c r="F91" s="196" t="str">
        <f t="shared" si="23"/>
        <v/>
      </c>
      <c r="H91" s="206">
        <v>2025</v>
      </c>
      <c r="I91" s="195">
        <f t="shared" si="11"/>
        <v>0</v>
      </c>
      <c r="J91" s="195">
        <f t="shared" si="12"/>
        <v>0</v>
      </c>
      <c r="K91" s="195">
        <f t="shared" si="13"/>
        <v>0</v>
      </c>
      <c r="L91" s="195">
        <f t="shared" si="14"/>
        <v>0</v>
      </c>
      <c r="M91" s="195">
        <f t="shared" si="15"/>
        <v>0</v>
      </c>
      <c r="O91" s="195">
        <f t="shared" si="16"/>
        <v>0</v>
      </c>
      <c r="P91" s="196" t="str">
        <f t="shared" si="24"/>
        <v/>
      </c>
      <c r="Q91" s="195">
        <f t="shared" si="17"/>
        <v>0</v>
      </c>
      <c r="R91" s="196" t="str">
        <f t="shared" si="25"/>
        <v/>
      </c>
      <c r="S91" s="464">
        <f t="shared" si="18"/>
        <v>0</v>
      </c>
      <c r="T91" s="196" t="str">
        <f t="shared" si="26"/>
        <v/>
      </c>
      <c r="W91" s="195">
        <f t="shared" si="30"/>
        <v>0</v>
      </c>
      <c r="X91" s="195">
        <f t="shared" si="19"/>
        <v>0</v>
      </c>
      <c r="Y91" s="195">
        <f t="shared" si="31"/>
        <v>0</v>
      </c>
      <c r="Z91" s="195">
        <f t="shared" si="32"/>
        <v>0</v>
      </c>
      <c r="AA91" s="196" t="str">
        <f t="shared" si="33"/>
        <v/>
      </c>
      <c r="AB91" s="196" t="str">
        <f t="shared" si="27"/>
        <v/>
      </c>
      <c r="AC91" s="196" t="str">
        <f t="shared" si="28"/>
        <v/>
      </c>
      <c r="AD91" s="247" t="str">
        <f t="shared" si="29"/>
        <v/>
      </c>
      <c r="AF91" s="251" t="e">
        <f t="shared" si="20"/>
        <v>#DIV/0!</v>
      </c>
      <c r="AG91" s="251" t="e">
        <f t="shared" si="21"/>
        <v>#DIV/0!</v>
      </c>
    </row>
    <row r="92" spans="1:33" x14ac:dyDescent="0.25">
      <c r="A92" s="206">
        <v>2026</v>
      </c>
      <c r="B92" s="195">
        <f t="shared" si="22"/>
        <v>0</v>
      </c>
      <c r="C92" s="195">
        <f t="shared" si="8"/>
        <v>0</v>
      </c>
      <c r="D92" s="195">
        <f t="shared" si="9"/>
        <v>0</v>
      </c>
      <c r="E92" s="195">
        <f t="shared" si="10"/>
        <v>0</v>
      </c>
      <c r="F92" s="196" t="str">
        <f t="shared" si="23"/>
        <v/>
      </c>
      <c r="H92" s="206">
        <v>2026</v>
      </c>
      <c r="I92" s="195">
        <f t="shared" si="11"/>
        <v>0</v>
      </c>
      <c r="J92" s="195">
        <f t="shared" si="12"/>
        <v>0</v>
      </c>
      <c r="K92" s="195">
        <f t="shared" si="13"/>
        <v>0</v>
      </c>
      <c r="L92" s="195">
        <f t="shared" si="14"/>
        <v>0</v>
      </c>
      <c r="M92" s="195">
        <f t="shared" si="15"/>
        <v>0</v>
      </c>
      <c r="O92" s="195">
        <f t="shared" si="16"/>
        <v>0</v>
      </c>
      <c r="P92" s="196" t="str">
        <f t="shared" si="24"/>
        <v/>
      </c>
      <c r="Q92" s="195">
        <f t="shared" si="17"/>
        <v>0</v>
      </c>
      <c r="R92" s="196" t="str">
        <f t="shared" si="25"/>
        <v/>
      </c>
      <c r="S92" s="464">
        <f t="shared" si="18"/>
        <v>0</v>
      </c>
      <c r="T92" s="196" t="str">
        <f t="shared" si="26"/>
        <v/>
      </c>
      <c r="W92" s="195">
        <f t="shared" si="30"/>
        <v>0</v>
      </c>
      <c r="X92" s="195">
        <f t="shared" si="19"/>
        <v>0</v>
      </c>
      <c r="Y92" s="195">
        <f t="shared" si="31"/>
        <v>0</v>
      </c>
      <c r="Z92" s="195">
        <f t="shared" si="32"/>
        <v>0</v>
      </c>
      <c r="AA92" s="196" t="str">
        <f t="shared" si="33"/>
        <v/>
      </c>
      <c r="AB92" s="196" t="str">
        <f t="shared" si="27"/>
        <v/>
      </c>
      <c r="AC92" s="196" t="str">
        <f t="shared" si="28"/>
        <v/>
      </c>
      <c r="AD92" s="247" t="str">
        <f t="shared" si="29"/>
        <v/>
      </c>
      <c r="AF92" s="251" t="e">
        <f t="shared" si="20"/>
        <v>#DIV/0!</v>
      </c>
      <c r="AG92" s="251" t="e">
        <f t="shared" si="21"/>
        <v>#DIV/0!</v>
      </c>
    </row>
    <row r="93" spans="1:33" x14ac:dyDescent="0.25">
      <c r="A93" s="206">
        <v>2027</v>
      </c>
      <c r="B93" s="195">
        <f t="shared" si="22"/>
        <v>0</v>
      </c>
      <c r="C93" s="195">
        <f t="shared" si="8"/>
        <v>0</v>
      </c>
      <c r="D93" s="195">
        <f t="shared" si="9"/>
        <v>0</v>
      </c>
      <c r="E93" s="195">
        <f t="shared" si="10"/>
        <v>0</v>
      </c>
      <c r="F93" s="196" t="str">
        <f t="shared" si="23"/>
        <v/>
      </c>
      <c r="H93" s="206">
        <v>2027</v>
      </c>
      <c r="I93" s="195">
        <f t="shared" si="11"/>
        <v>0</v>
      </c>
      <c r="J93" s="195">
        <f t="shared" si="12"/>
        <v>0</v>
      </c>
      <c r="K93" s="195">
        <f t="shared" si="13"/>
        <v>0</v>
      </c>
      <c r="L93" s="195">
        <f t="shared" si="14"/>
        <v>0</v>
      </c>
      <c r="M93" s="195">
        <f t="shared" si="15"/>
        <v>0</v>
      </c>
      <c r="O93" s="195">
        <f t="shared" si="16"/>
        <v>0</v>
      </c>
      <c r="P93" s="196" t="str">
        <f t="shared" si="24"/>
        <v/>
      </c>
      <c r="Q93" s="195">
        <f t="shared" si="17"/>
        <v>0</v>
      </c>
      <c r="R93" s="196" t="str">
        <f t="shared" si="25"/>
        <v/>
      </c>
      <c r="S93" s="464">
        <f t="shared" si="18"/>
        <v>0</v>
      </c>
      <c r="T93" s="196" t="str">
        <f t="shared" si="26"/>
        <v/>
      </c>
      <c r="W93" s="195">
        <f t="shared" si="30"/>
        <v>0</v>
      </c>
      <c r="X93" s="195">
        <f t="shared" si="19"/>
        <v>0</v>
      </c>
      <c r="Y93" s="195">
        <f t="shared" si="31"/>
        <v>0</v>
      </c>
      <c r="Z93" s="195">
        <f t="shared" si="32"/>
        <v>0</v>
      </c>
      <c r="AA93" s="196" t="str">
        <f t="shared" si="33"/>
        <v/>
      </c>
      <c r="AB93" s="196" t="str">
        <f t="shared" si="27"/>
        <v/>
      </c>
      <c r="AC93" s="196" t="str">
        <f t="shared" si="28"/>
        <v/>
      </c>
      <c r="AD93" s="247" t="str">
        <f t="shared" si="29"/>
        <v/>
      </c>
      <c r="AF93" s="251" t="e">
        <f t="shared" si="20"/>
        <v>#DIV/0!</v>
      </c>
      <c r="AG93" s="251" t="e">
        <f t="shared" si="21"/>
        <v>#DIV/0!</v>
      </c>
    </row>
    <row r="94" spans="1:33" x14ac:dyDescent="0.25">
      <c r="A94" s="206">
        <v>2028</v>
      </c>
      <c r="B94" s="195">
        <f t="shared" si="22"/>
        <v>0</v>
      </c>
      <c r="C94" s="195">
        <f t="shared" si="8"/>
        <v>0</v>
      </c>
      <c r="D94" s="195">
        <f t="shared" si="9"/>
        <v>0</v>
      </c>
      <c r="E94" s="195">
        <f t="shared" si="10"/>
        <v>0</v>
      </c>
      <c r="F94" s="196" t="str">
        <f t="shared" si="23"/>
        <v/>
      </c>
      <c r="H94" s="206">
        <v>2028</v>
      </c>
      <c r="I94" s="195">
        <f t="shared" si="11"/>
        <v>0</v>
      </c>
      <c r="J94" s="195">
        <f t="shared" si="12"/>
        <v>0</v>
      </c>
      <c r="K94" s="195">
        <f t="shared" si="13"/>
        <v>0</v>
      </c>
      <c r="L94" s="195">
        <f t="shared" si="14"/>
        <v>0</v>
      </c>
      <c r="M94" s="195">
        <f t="shared" si="15"/>
        <v>0</v>
      </c>
      <c r="O94" s="195">
        <f t="shared" si="16"/>
        <v>0</v>
      </c>
      <c r="P94" s="196" t="str">
        <f t="shared" si="24"/>
        <v/>
      </c>
      <c r="Q94" s="195">
        <f t="shared" si="17"/>
        <v>0</v>
      </c>
      <c r="R94" s="196" t="str">
        <f t="shared" si="25"/>
        <v/>
      </c>
      <c r="S94" s="464">
        <f t="shared" si="18"/>
        <v>0</v>
      </c>
      <c r="T94" s="196" t="str">
        <f t="shared" si="26"/>
        <v/>
      </c>
      <c r="W94" s="195">
        <f t="shared" si="30"/>
        <v>0</v>
      </c>
      <c r="X94" s="195">
        <f t="shared" si="19"/>
        <v>0</v>
      </c>
      <c r="Y94" s="195">
        <f t="shared" si="31"/>
        <v>0</v>
      </c>
      <c r="Z94" s="195">
        <f t="shared" si="32"/>
        <v>0</v>
      </c>
      <c r="AA94" s="196" t="str">
        <f t="shared" si="33"/>
        <v/>
      </c>
      <c r="AB94" s="196" t="str">
        <f t="shared" si="27"/>
        <v/>
      </c>
      <c r="AC94" s="196" t="str">
        <f t="shared" si="28"/>
        <v/>
      </c>
      <c r="AD94" s="247" t="str">
        <f t="shared" si="29"/>
        <v/>
      </c>
      <c r="AF94" s="251" t="e">
        <f t="shared" si="20"/>
        <v>#DIV/0!</v>
      </c>
      <c r="AG94" s="251" t="e">
        <f t="shared" si="21"/>
        <v>#DIV/0!</v>
      </c>
    </row>
    <row r="95" spans="1:33" x14ac:dyDescent="0.25">
      <c r="A95" s="206">
        <v>2029</v>
      </c>
      <c r="B95" s="195">
        <f t="shared" si="22"/>
        <v>0</v>
      </c>
      <c r="C95" s="195">
        <f t="shared" si="8"/>
        <v>0</v>
      </c>
      <c r="D95" s="195">
        <f t="shared" si="9"/>
        <v>0</v>
      </c>
      <c r="E95" s="195">
        <f t="shared" si="10"/>
        <v>0</v>
      </c>
      <c r="F95" s="196" t="str">
        <f t="shared" si="23"/>
        <v/>
      </c>
      <c r="H95" s="206">
        <v>2029</v>
      </c>
      <c r="I95" s="195">
        <f t="shared" si="11"/>
        <v>0</v>
      </c>
      <c r="J95" s="195">
        <f t="shared" si="12"/>
        <v>0</v>
      </c>
      <c r="K95" s="195">
        <f t="shared" si="13"/>
        <v>0</v>
      </c>
      <c r="L95" s="195">
        <f t="shared" si="14"/>
        <v>0</v>
      </c>
      <c r="M95" s="195">
        <f t="shared" si="15"/>
        <v>0</v>
      </c>
      <c r="O95" s="195">
        <f t="shared" si="16"/>
        <v>0</v>
      </c>
      <c r="P95" s="196" t="str">
        <f t="shared" si="24"/>
        <v/>
      </c>
      <c r="Q95" s="195">
        <f t="shared" si="17"/>
        <v>0</v>
      </c>
      <c r="R95" s="196" t="str">
        <f t="shared" si="25"/>
        <v/>
      </c>
      <c r="S95" s="464">
        <f t="shared" si="18"/>
        <v>0</v>
      </c>
      <c r="T95" s="196" t="str">
        <f t="shared" si="26"/>
        <v/>
      </c>
      <c r="W95" s="195">
        <f t="shared" si="30"/>
        <v>0</v>
      </c>
      <c r="X95" s="195">
        <f t="shared" si="19"/>
        <v>0</v>
      </c>
      <c r="Y95" s="195">
        <f t="shared" si="31"/>
        <v>0</v>
      </c>
      <c r="Z95" s="195">
        <f t="shared" si="32"/>
        <v>0</v>
      </c>
      <c r="AA95" s="196" t="str">
        <f t="shared" si="33"/>
        <v/>
      </c>
      <c r="AB95" s="196" t="str">
        <f t="shared" si="27"/>
        <v/>
      </c>
      <c r="AC95" s="196" t="str">
        <f t="shared" si="28"/>
        <v/>
      </c>
      <c r="AD95" s="247" t="str">
        <f t="shared" si="29"/>
        <v/>
      </c>
      <c r="AF95" s="251" t="e">
        <f t="shared" si="20"/>
        <v>#DIV/0!</v>
      </c>
      <c r="AG95" s="251" t="e">
        <f t="shared" si="21"/>
        <v>#DIV/0!</v>
      </c>
    </row>
    <row r="96" spans="1:33" x14ac:dyDescent="0.25">
      <c r="A96" s="206">
        <v>2030</v>
      </c>
      <c r="B96" s="195">
        <f t="shared" si="22"/>
        <v>0</v>
      </c>
      <c r="C96" s="195">
        <f t="shared" si="8"/>
        <v>0</v>
      </c>
      <c r="D96" s="195">
        <f t="shared" si="9"/>
        <v>0</v>
      </c>
      <c r="E96" s="195">
        <f t="shared" si="10"/>
        <v>0</v>
      </c>
      <c r="F96" s="196" t="str">
        <f t="shared" si="23"/>
        <v/>
      </c>
      <c r="H96" s="206">
        <v>2030</v>
      </c>
      <c r="I96" s="195">
        <f t="shared" si="11"/>
        <v>0</v>
      </c>
      <c r="J96" s="195">
        <f t="shared" si="12"/>
        <v>0</v>
      </c>
      <c r="K96" s="195">
        <f t="shared" si="13"/>
        <v>0</v>
      </c>
      <c r="L96" s="195">
        <f t="shared" si="14"/>
        <v>0</v>
      </c>
      <c r="M96" s="195">
        <f t="shared" si="15"/>
        <v>0</v>
      </c>
      <c r="O96" s="195">
        <f t="shared" si="16"/>
        <v>0</v>
      </c>
      <c r="P96" s="196" t="str">
        <f t="shared" si="24"/>
        <v/>
      </c>
      <c r="Q96" s="195">
        <f t="shared" si="17"/>
        <v>0</v>
      </c>
      <c r="R96" s="196" t="str">
        <f t="shared" si="25"/>
        <v/>
      </c>
      <c r="S96" s="464">
        <f t="shared" si="18"/>
        <v>0</v>
      </c>
      <c r="T96" s="196" t="str">
        <f t="shared" si="26"/>
        <v/>
      </c>
      <c r="W96" s="195">
        <f t="shared" si="30"/>
        <v>0</v>
      </c>
      <c r="X96" s="195">
        <f t="shared" si="19"/>
        <v>0</v>
      </c>
      <c r="Y96" s="195">
        <f t="shared" si="31"/>
        <v>0</v>
      </c>
      <c r="Z96" s="195">
        <f t="shared" si="32"/>
        <v>0</v>
      </c>
      <c r="AA96" s="196" t="str">
        <f t="shared" si="33"/>
        <v/>
      </c>
      <c r="AB96" s="196" t="str">
        <f t="shared" si="27"/>
        <v/>
      </c>
      <c r="AC96" s="196" t="str">
        <f t="shared" si="28"/>
        <v/>
      </c>
      <c r="AD96" s="247" t="str">
        <f t="shared" si="29"/>
        <v/>
      </c>
      <c r="AF96" s="251" t="e">
        <f t="shared" si="20"/>
        <v>#DIV/0!</v>
      </c>
      <c r="AG96" s="251" t="e">
        <f t="shared" si="21"/>
        <v>#DIV/0!</v>
      </c>
    </row>
    <row r="97" spans="1:33" x14ac:dyDescent="0.25">
      <c r="A97" s="206">
        <v>2031</v>
      </c>
      <c r="B97" s="195">
        <f t="shared" si="22"/>
        <v>0</v>
      </c>
      <c r="C97" s="195">
        <f t="shared" si="8"/>
        <v>0</v>
      </c>
      <c r="D97" s="195">
        <f t="shared" si="9"/>
        <v>0</v>
      </c>
      <c r="E97" s="195">
        <f t="shared" si="10"/>
        <v>0</v>
      </c>
      <c r="F97" s="196" t="str">
        <f t="shared" si="23"/>
        <v/>
      </c>
      <c r="H97" s="206">
        <v>2031</v>
      </c>
      <c r="I97" s="195">
        <f t="shared" si="11"/>
        <v>0</v>
      </c>
      <c r="J97" s="195">
        <f t="shared" si="12"/>
        <v>0</v>
      </c>
      <c r="K97" s="195">
        <f t="shared" si="13"/>
        <v>0</v>
      </c>
      <c r="L97" s="195">
        <f t="shared" si="14"/>
        <v>0</v>
      </c>
      <c r="M97" s="195">
        <f t="shared" si="15"/>
        <v>0</v>
      </c>
      <c r="O97" s="195">
        <f t="shared" si="16"/>
        <v>0</v>
      </c>
      <c r="P97" s="196" t="str">
        <f t="shared" si="24"/>
        <v/>
      </c>
      <c r="Q97" s="195">
        <f t="shared" si="17"/>
        <v>0</v>
      </c>
      <c r="R97" s="196" t="str">
        <f t="shared" si="25"/>
        <v/>
      </c>
      <c r="S97" s="464">
        <f t="shared" si="18"/>
        <v>0</v>
      </c>
      <c r="T97" s="196" t="str">
        <f t="shared" si="26"/>
        <v/>
      </c>
      <c r="W97" s="195">
        <f t="shared" si="30"/>
        <v>0</v>
      </c>
      <c r="X97" s="195">
        <f t="shared" si="19"/>
        <v>0</v>
      </c>
      <c r="Y97" s="195">
        <f t="shared" si="31"/>
        <v>0</v>
      </c>
      <c r="Z97" s="195">
        <f t="shared" si="32"/>
        <v>0</v>
      </c>
      <c r="AA97" s="196" t="str">
        <f t="shared" si="33"/>
        <v/>
      </c>
      <c r="AB97" s="196" t="str">
        <f t="shared" si="27"/>
        <v/>
      </c>
      <c r="AC97" s="196" t="str">
        <f t="shared" si="28"/>
        <v/>
      </c>
      <c r="AD97" s="247" t="str">
        <f t="shared" si="29"/>
        <v/>
      </c>
      <c r="AF97" s="251" t="e">
        <f t="shared" si="20"/>
        <v>#DIV/0!</v>
      </c>
      <c r="AG97" s="251" t="e">
        <f t="shared" si="21"/>
        <v>#DIV/0!</v>
      </c>
    </row>
    <row r="98" spans="1:33" x14ac:dyDescent="0.25">
      <c r="A98" s="206">
        <v>2032</v>
      </c>
      <c r="B98" s="195">
        <f t="shared" si="22"/>
        <v>0</v>
      </c>
      <c r="C98" s="195">
        <f t="shared" si="8"/>
        <v>0</v>
      </c>
      <c r="D98" s="195">
        <f t="shared" si="9"/>
        <v>0</v>
      </c>
      <c r="E98" s="195">
        <f t="shared" si="10"/>
        <v>0</v>
      </c>
      <c r="F98" s="196" t="str">
        <f t="shared" si="23"/>
        <v/>
      </c>
      <c r="H98" s="206">
        <v>2032</v>
      </c>
      <c r="I98" s="195">
        <f t="shared" si="11"/>
        <v>0</v>
      </c>
      <c r="J98" s="195">
        <f t="shared" si="12"/>
        <v>0</v>
      </c>
      <c r="K98" s="195">
        <f t="shared" si="13"/>
        <v>0</v>
      </c>
      <c r="L98" s="195">
        <f t="shared" si="14"/>
        <v>0</v>
      </c>
      <c r="M98" s="195">
        <f t="shared" si="15"/>
        <v>0</v>
      </c>
      <c r="O98" s="195">
        <f t="shared" si="16"/>
        <v>0</v>
      </c>
      <c r="P98" s="196" t="str">
        <f t="shared" si="24"/>
        <v/>
      </c>
      <c r="Q98" s="195">
        <f t="shared" si="17"/>
        <v>0</v>
      </c>
      <c r="R98" s="196" t="str">
        <f t="shared" si="25"/>
        <v/>
      </c>
      <c r="S98" s="464">
        <f t="shared" si="18"/>
        <v>0</v>
      </c>
      <c r="T98" s="196" t="str">
        <f t="shared" si="26"/>
        <v/>
      </c>
      <c r="W98" s="195">
        <f t="shared" si="30"/>
        <v>0</v>
      </c>
      <c r="X98" s="195">
        <f t="shared" si="19"/>
        <v>0</v>
      </c>
      <c r="Y98" s="195">
        <f t="shared" si="31"/>
        <v>0</v>
      </c>
      <c r="Z98" s="195">
        <f t="shared" si="32"/>
        <v>0</v>
      </c>
      <c r="AA98" s="196" t="str">
        <f t="shared" si="33"/>
        <v/>
      </c>
      <c r="AB98" s="196" t="str">
        <f t="shared" si="27"/>
        <v/>
      </c>
      <c r="AC98" s="196" t="str">
        <f t="shared" si="28"/>
        <v/>
      </c>
      <c r="AD98" s="247" t="str">
        <f t="shared" si="29"/>
        <v/>
      </c>
      <c r="AF98" s="251" t="e">
        <f t="shared" si="20"/>
        <v>#DIV/0!</v>
      </c>
      <c r="AG98" s="251" t="e">
        <f t="shared" si="21"/>
        <v>#DIV/0!</v>
      </c>
    </row>
    <row r="99" spans="1:33" x14ac:dyDescent="0.25">
      <c r="A99" s="206">
        <v>2033</v>
      </c>
      <c r="B99" s="195">
        <f t="shared" si="22"/>
        <v>0</v>
      </c>
      <c r="C99" s="195">
        <f t="shared" si="8"/>
        <v>0</v>
      </c>
      <c r="D99" s="195">
        <f t="shared" si="9"/>
        <v>0</v>
      </c>
      <c r="E99" s="195">
        <f t="shared" si="10"/>
        <v>0</v>
      </c>
      <c r="F99" s="196" t="str">
        <f t="shared" si="23"/>
        <v/>
      </c>
      <c r="H99" s="206">
        <v>2033</v>
      </c>
      <c r="I99" s="195">
        <f t="shared" si="11"/>
        <v>0</v>
      </c>
      <c r="J99" s="195">
        <f t="shared" si="12"/>
        <v>0</v>
      </c>
      <c r="K99" s="195">
        <f t="shared" si="13"/>
        <v>0</v>
      </c>
      <c r="L99" s="195">
        <f t="shared" si="14"/>
        <v>0</v>
      </c>
      <c r="M99" s="195">
        <f t="shared" si="15"/>
        <v>0</v>
      </c>
      <c r="O99" s="195">
        <f t="shared" si="16"/>
        <v>0</v>
      </c>
      <c r="P99" s="196" t="str">
        <f t="shared" si="24"/>
        <v/>
      </c>
      <c r="Q99" s="195">
        <f t="shared" si="17"/>
        <v>0</v>
      </c>
      <c r="R99" s="196" t="str">
        <f t="shared" si="25"/>
        <v/>
      </c>
      <c r="S99" s="464">
        <f t="shared" si="18"/>
        <v>0</v>
      </c>
      <c r="T99" s="196" t="str">
        <f t="shared" si="26"/>
        <v/>
      </c>
      <c r="W99" s="195">
        <f t="shared" si="30"/>
        <v>0</v>
      </c>
      <c r="X99" s="195">
        <f t="shared" si="19"/>
        <v>0</v>
      </c>
      <c r="Y99" s="195">
        <f t="shared" si="31"/>
        <v>0</v>
      </c>
      <c r="Z99" s="195">
        <f t="shared" si="32"/>
        <v>0</v>
      </c>
      <c r="AA99" s="196" t="str">
        <f t="shared" si="33"/>
        <v/>
      </c>
      <c r="AB99" s="196" t="str">
        <f t="shared" si="27"/>
        <v/>
      </c>
      <c r="AC99" s="196" t="str">
        <f t="shared" si="28"/>
        <v/>
      </c>
      <c r="AD99" s="247" t="str">
        <f t="shared" si="29"/>
        <v/>
      </c>
      <c r="AF99" s="251" t="e">
        <f t="shared" si="20"/>
        <v>#DIV/0!</v>
      </c>
      <c r="AG99" s="251" t="e">
        <f t="shared" si="21"/>
        <v>#DIV/0!</v>
      </c>
    </row>
    <row r="100" spans="1:33" x14ac:dyDescent="0.25">
      <c r="A100" s="206">
        <v>2034</v>
      </c>
      <c r="B100" s="195">
        <f t="shared" si="22"/>
        <v>0</v>
      </c>
      <c r="C100" s="195">
        <f t="shared" si="8"/>
        <v>0</v>
      </c>
      <c r="D100" s="195">
        <f t="shared" si="9"/>
        <v>0</v>
      </c>
      <c r="E100" s="195">
        <f t="shared" si="10"/>
        <v>0</v>
      </c>
      <c r="F100" s="196" t="str">
        <f t="shared" si="23"/>
        <v/>
      </c>
      <c r="H100" s="206">
        <v>2034</v>
      </c>
      <c r="I100" s="195">
        <f t="shared" si="11"/>
        <v>0</v>
      </c>
      <c r="J100" s="195">
        <f t="shared" si="12"/>
        <v>0</v>
      </c>
      <c r="K100" s="195">
        <f t="shared" si="13"/>
        <v>0</v>
      </c>
      <c r="L100" s="195">
        <f t="shared" si="14"/>
        <v>0</v>
      </c>
      <c r="M100" s="195">
        <f t="shared" si="15"/>
        <v>0</v>
      </c>
      <c r="O100" s="195">
        <f t="shared" si="16"/>
        <v>0</v>
      </c>
      <c r="P100" s="196" t="str">
        <f t="shared" si="24"/>
        <v/>
      </c>
      <c r="Q100" s="195">
        <f t="shared" si="17"/>
        <v>0</v>
      </c>
      <c r="R100" s="196" t="str">
        <f t="shared" si="25"/>
        <v/>
      </c>
      <c r="S100" s="464">
        <f t="shared" si="18"/>
        <v>0</v>
      </c>
      <c r="T100" s="196" t="str">
        <f t="shared" si="26"/>
        <v/>
      </c>
      <c r="W100" s="195">
        <f t="shared" si="30"/>
        <v>0</v>
      </c>
      <c r="X100" s="195">
        <f t="shared" si="19"/>
        <v>0</v>
      </c>
      <c r="Y100" s="195">
        <f t="shared" si="31"/>
        <v>0</v>
      </c>
      <c r="Z100" s="195">
        <f t="shared" si="32"/>
        <v>0</v>
      </c>
      <c r="AA100" s="196" t="str">
        <f t="shared" si="33"/>
        <v/>
      </c>
      <c r="AB100" s="196" t="str">
        <f t="shared" si="27"/>
        <v/>
      </c>
      <c r="AC100" s="196" t="str">
        <f t="shared" si="28"/>
        <v/>
      </c>
      <c r="AD100" s="247" t="str">
        <f t="shared" si="29"/>
        <v/>
      </c>
      <c r="AF100" s="251" t="e">
        <f t="shared" si="20"/>
        <v>#DIV/0!</v>
      </c>
      <c r="AG100" s="251" t="e">
        <f t="shared" si="21"/>
        <v>#DIV/0!</v>
      </c>
    </row>
    <row r="101" spans="1:33" x14ac:dyDescent="0.25">
      <c r="A101" s="206">
        <v>2035</v>
      </c>
      <c r="B101" s="195">
        <f t="shared" si="22"/>
        <v>0</v>
      </c>
      <c r="C101" s="195">
        <f t="shared" si="8"/>
        <v>0</v>
      </c>
      <c r="D101" s="195">
        <f t="shared" si="9"/>
        <v>0</v>
      </c>
      <c r="E101" s="195">
        <f t="shared" si="10"/>
        <v>0</v>
      </c>
      <c r="F101" s="196" t="str">
        <f t="shared" si="23"/>
        <v/>
      </c>
      <c r="H101" s="206">
        <v>2035</v>
      </c>
      <c r="I101" s="195">
        <f t="shared" si="11"/>
        <v>0</v>
      </c>
      <c r="J101" s="195">
        <f t="shared" si="12"/>
        <v>0</v>
      </c>
      <c r="K101" s="195">
        <f t="shared" si="13"/>
        <v>0</v>
      </c>
      <c r="L101" s="195">
        <f t="shared" si="14"/>
        <v>0</v>
      </c>
      <c r="M101" s="195">
        <f t="shared" si="15"/>
        <v>0</v>
      </c>
      <c r="O101" s="195">
        <f t="shared" si="16"/>
        <v>0</v>
      </c>
      <c r="P101" s="196" t="str">
        <f t="shared" si="24"/>
        <v/>
      </c>
      <c r="Q101" s="195">
        <f t="shared" si="17"/>
        <v>0</v>
      </c>
      <c r="R101" s="196" t="str">
        <f t="shared" si="25"/>
        <v/>
      </c>
      <c r="S101" s="464">
        <f t="shared" si="18"/>
        <v>0</v>
      </c>
      <c r="T101" s="196" t="str">
        <f t="shared" si="26"/>
        <v/>
      </c>
      <c r="W101" s="195">
        <f t="shared" si="30"/>
        <v>0</v>
      </c>
      <c r="X101" s="195">
        <f t="shared" si="19"/>
        <v>0</v>
      </c>
      <c r="Y101" s="195">
        <f t="shared" si="31"/>
        <v>0</v>
      </c>
      <c r="Z101" s="195">
        <f t="shared" si="32"/>
        <v>0</v>
      </c>
      <c r="AA101" s="196" t="str">
        <f t="shared" si="33"/>
        <v/>
      </c>
      <c r="AB101" s="196" t="str">
        <f t="shared" si="27"/>
        <v/>
      </c>
      <c r="AC101" s="196" t="str">
        <f t="shared" si="28"/>
        <v/>
      </c>
      <c r="AD101" s="247" t="str">
        <f t="shared" si="29"/>
        <v/>
      </c>
      <c r="AF101" s="251" t="e">
        <f t="shared" si="20"/>
        <v>#DIV/0!</v>
      </c>
      <c r="AG101" s="251" t="e">
        <f t="shared" si="21"/>
        <v>#DIV/0!</v>
      </c>
    </row>
    <row r="102" spans="1:33" x14ac:dyDescent="0.25">
      <c r="A102" s="206">
        <v>2036</v>
      </c>
      <c r="B102" s="195">
        <f t="shared" si="22"/>
        <v>0</v>
      </c>
      <c r="C102" s="195">
        <f t="shared" si="8"/>
        <v>0</v>
      </c>
      <c r="D102" s="195">
        <f t="shared" si="9"/>
        <v>0</v>
      </c>
      <c r="E102" s="195">
        <f t="shared" si="10"/>
        <v>0</v>
      </c>
      <c r="F102" s="196" t="str">
        <f t="shared" si="23"/>
        <v/>
      </c>
      <c r="H102" s="206">
        <v>2036</v>
      </c>
      <c r="I102" s="195">
        <f t="shared" si="11"/>
        <v>0</v>
      </c>
      <c r="J102" s="195">
        <f t="shared" si="12"/>
        <v>0</v>
      </c>
      <c r="K102" s="195">
        <f t="shared" si="13"/>
        <v>0</v>
      </c>
      <c r="L102" s="195">
        <f t="shared" si="14"/>
        <v>0</v>
      </c>
      <c r="M102" s="195">
        <f t="shared" si="15"/>
        <v>0</v>
      </c>
      <c r="O102" s="195">
        <f t="shared" si="16"/>
        <v>0</v>
      </c>
      <c r="P102" s="196" t="str">
        <f t="shared" si="24"/>
        <v/>
      </c>
      <c r="Q102" s="195">
        <f t="shared" si="17"/>
        <v>0</v>
      </c>
      <c r="R102" s="196" t="str">
        <f t="shared" si="25"/>
        <v/>
      </c>
      <c r="S102" s="464">
        <f t="shared" si="18"/>
        <v>0</v>
      </c>
      <c r="T102" s="196" t="str">
        <f t="shared" si="26"/>
        <v/>
      </c>
      <c r="W102" s="195">
        <f t="shared" si="30"/>
        <v>0</v>
      </c>
      <c r="X102" s="195">
        <f t="shared" si="19"/>
        <v>0</v>
      </c>
      <c r="Y102" s="195">
        <f t="shared" si="31"/>
        <v>0</v>
      </c>
      <c r="Z102" s="195">
        <f t="shared" si="32"/>
        <v>0</v>
      </c>
      <c r="AA102" s="196" t="str">
        <f t="shared" si="33"/>
        <v/>
      </c>
      <c r="AB102" s="196" t="str">
        <f t="shared" si="27"/>
        <v/>
      </c>
      <c r="AC102" s="196" t="str">
        <f t="shared" si="28"/>
        <v/>
      </c>
      <c r="AD102" s="247" t="str">
        <f t="shared" si="29"/>
        <v/>
      </c>
      <c r="AF102" s="251" t="e">
        <f t="shared" si="20"/>
        <v>#DIV/0!</v>
      </c>
      <c r="AG102" s="251" t="e">
        <f t="shared" si="21"/>
        <v>#DIV/0!</v>
      </c>
    </row>
    <row r="103" spans="1:33" x14ac:dyDescent="0.25">
      <c r="A103" s="206">
        <v>2037</v>
      </c>
      <c r="B103" s="195">
        <f t="shared" si="22"/>
        <v>0</v>
      </c>
      <c r="C103" s="195">
        <f t="shared" si="8"/>
        <v>0</v>
      </c>
      <c r="D103" s="195">
        <f t="shared" si="9"/>
        <v>0</v>
      </c>
      <c r="E103" s="195">
        <f t="shared" si="10"/>
        <v>0</v>
      </c>
      <c r="F103" s="196" t="str">
        <f t="shared" si="23"/>
        <v/>
      </c>
      <c r="H103" s="206">
        <v>2037</v>
      </c>
      <c r="I103" s="195">
        <f t="shared" si="11"/>
        <v>0</v>
      </c>
      <c r="J103" s="195">
        <f t="shared" si="12"/>
        <v>0</v>
      </c>
      <c r="K103" s="195">
        <f t="shared" si="13"/>
        <v>0</v>
      </c>
      <c r="L103" s="195">
        <f t="shared" si="14"/>
        <v>0</v>
      </c>
      <c r="M103" s="195">
        <f t="shared" si="15"/>
        <v>0</v>
      </c>
      <c r="O103" s="195">
        <f t="shared" si="16"/>
        <v>0</v>
      </c>
      <c r="P103" s="196" t="str">
        <f t="shared" si="24"/>
        <v/>
      </c>
      <c r="Q103" s="195">
        <f t="shared" si="17"/>
        <v>0</v>
      </c>
      <c r="R103" s="196" t="str">
        <f t="shared" si="25"/>
        <v/>
      </c>
      <c r="S103" s="464">
        <f t="shared" si="18"/>
        <v>0</v>
      </c>
      <c r="T103" s="196" t="str">
        <f t="shared" si="26"/>
        <v/>
      </c>
      <c r="W103" s="195">
        <f t="shared" si="30"/>
        <v>0</v>
      </c>
      <c r="X103" s="195">
        <f t="shared" si="19"/>
        <v>0</v>
      </c>
      <c r="Y103" s="195">
        <f t="shared" si="31"/>
        <v>0</v>
      </c>
      <c r="Z103" s="195">
        <f t="shared" si="32"/>
        <v>0</v>
      </c>
      <c r="AA103" s="196" t="str">
        <f t="shared" si="33"/>
        <v/>
      </c>
      <c r="AB103" s="196" t="str">
        <f t="shared" si="27"/>
        <v/>
      </c>
      <c r="AC103" s="196" t="str">
        <f t="shared" si="28"/>
        <v/>
      </c>
      <c r="AD103" s="247" t="str">
        <f t="shared" si="29"/>
        <v/>
      </c>
      <c r="AF103" s="251" t="e">
        <f t="shared" si="20"/>
        <v>#DIV/0!</v>
      </c>
      <c r="AG103" s="251" t="e">
        <f t="shared" si="21"/>
        <v>#DIV/0!</v>
      </c>
    </row>
    <row r="104" spans="1:33" x14ac:dyDescent="0.25">
      <c r="A104" s="206">
        <v>2038</v>
      </c>
      <c r="B104" s="195">
        <f t="shared" si="22"/>
        <v>0</v>
      </c>
      <c r="C104" s="195">
        <f t="shared" si="8"/>
        <v>0</v>
      </c>
      <c r="D104" s="195">
        <f t="shared" si="9"/>
        <v>0</v>
      </c>
      <c r="E104" s="195">
        <f t="shared" si="10"/>
        <v>0</v>
      </c>
      <c r="F104" s="196" t="str">
        <f t="shared" si="23"/>
        <v/>
      </c>
      <c r="H104" s="206">
        <v>2038</v>
      </c>
      <c r="I104" s="195">
        <f t="shared" si="11"/>
        <v>0</v>
      </c>
      <c r="J104" s="195">
        <f t="shared" si="12"/>
        <v>0</v>
      </c>
      <c r="K104" s="195">
        <f t="shared" si="13"/>
        <v>0</v>
      </c>
      <c r="L104" s="195">
        <f t="shared" si="14"/>
        <v>0</v>
      </c>
      <c r="M104" s="195">
        <f t="shared" si="15"/>
        <v>0</v>
      </c>
      <c r="O104" s="195">
        <f t="shared" si="16"/>
        <v>0</v>
      </c>
      <c r="P104" s="196" t="str">
        <f t="shared" si="24"/>
        <v/>
      </c>
      <c r="Q104" s="195">
        <f t="shared" si="17"/>
        <v>0</v>
      </c>
      <c r="R104" s="196" t="str">
        <f t="shared" si="25"/>
        <v/>
      </c>
      <c r="S104" s="464">
        <f t="shared" si="18"/>
        <v>0</v>
      </c>
      <c r="T104" s="196" t="str">
        <f t="shared" si="26"/>
        <v/>
      </c>
      <c r="W104" s="195">
        <f t="shared" si="30"/>
        <v>0</v>
      </c>
      <c r="X104" s="195">
        <f t="shared" si="19"/>
        <v>0</v>
      </c>
      <c r="Y104" s="195">
        <f t="shared" si="31"/>
        <v>0</v>
      </c>
      <c r="Z104" s="195">
        <f t="shared" si="32"/>
        <v>0</v>
      </c>
      <c r="AA104" s="196" t="str">
        <f t="shared" si="33"/>
        <v/>
      </c>
      <c r="AB104" s="196" t="str">
        <f t="shared" si="27"/>
        <v/>
      </c>
      <c r="AC104" s="196" t="str">
        <f t="shared" si="28"/>
        <v/>
      </c>
      <c r="AD104" s="247" t="str">
        <f t="shared" si="29"/>
        <v/>
      </c>
      <c r="AF104" s="251" t="e">
        <f t="shared" si="20"/>
        <v>#DIV/0!</v>
      </c>
      <c r="AG104" s="251" t="e">
        <f t="shared" si="21"/>
        <v>#DIV/0!</v>
      </c>
    </row>
    <row r="105" spans="1:33" x14ac:dyDescent="0.25">
      <c r="A105" s="206">
        <v>2039</v>
      </c>
      <c r="B105" s="195">
        <f t="shared" si="22"/>
        <v>0</v>
      </c>
      <c r="C105" s="195">
        <f t="shared" si="8"/>
        <v>0</v>
      </c>
      <c r="D105" s="195">
        <f t="shared" si="9"/>
        <v>0</v>
      </c>
      <c r="E105" s="195">
        <f t="shared" si="10"/>
        <v>0</v>
      </c>
      <c r="F105" s="196" t="str">
        <f t="shared" si="23"/>
        <v/>
      </c>
      <c r="H105" s="206">
        <v>2039</v>
      </c>
      <c r="I105" s="195">
        <f t="shared" si="11"/>
        <v>0</v>
      </c>
      <c r="J105" s="195">
        <f t="shared" si="12"/>
        <v>0</v>
      </c>
      <c r="K105" s="195">
        <f t="shared" si="13"/>
        <v>0</v>
      </c>
      <c r="L105" s="195">
        <f t="shared" si="14"/>
        <v>0</v>
      </c>
      <c r="M105" s="195">
        <f t="shared" si="15"/>
        <v>0</v>
      </c>
      <c r="O105" s="195">
        <f t="shared" si="16"/>
        <v>0</v>
      </c>
      <c r="P105" s="196" t="str">
        <f t="shared" si="24"/>
        <v/>
      </c>
      <c r="Q105" s="195">
        <f t="shared" si="17"/>
        <v>0</v>
      </c>
      <c r="R105" s="196" t="str">
        <f t="shared" si="25"/>
        <v/>
      </c>
      <c r="S105" s="464">
        <f t="shared" si="18"/>
        <v>0</v>
      </c>
      <c r="T105" s="196" t="str">
        <f t="shared" si="26"/>
        <v/>
      </c>
      <c r="W105" s="195">
        <f t="shared" si="30"/>
        <v>0</v>
      </c>
      <c r="X105" s="195">
        <f t="shared" si="19"/>
        <v>0</v>
      </c>
      <c r="Y105" s="195">
        <f t="shared" si="31"/>
        <v>0</v>
      </c>
      <c r="Z105" s="195">
        <f t="shared" si="32"/>
        <v>0</v>
      </c>
      <c r="AA105" s="196" t="str">
        <f t="shared" si="33"/>
        <v/>
      </c>
      <c r="AB105" s="196" t="str">
        <f t="shared" si="27"/>
        <v/>
      </c>
      <c r="AC105" s="196" t="str">
        <f t="shared" si="28"/>
        <v/>
      </c>
      <c r="AD105" s="247" t="str">
        <f t="shared" si="29"/>
        <v/>
      </c>
      <c r="AF105" s="251" t="e">
        <f t="shared" si="20"/>
        <v>#DIV/0!</v>
      </c>
      <c r="AG105" s="251" t="e">
        <f t="shared" si="21"/>
        <v>#DIV/0!</v>
      </c>
    </row>
    <row r="106" spans="1:33" x14ac:dyDescent="0.25">
      <c r="A106" s="206">
        <v>2040</v>
      </c>
      <c r="B106" s="195">
        <f t="shared" si="22"/>
        <v>0</v>
      </c>
      <c r="C106" s="195">
        <f t="shared" si="8"/>
        <v>0</v>
      </c>
      <c r="D106" s="195">
        <f t="shared" si="9"/>
        <v>0</v>
      </c>
      <c r="E106" s="195">
        <f t="shared" si="10"/>
        <v>0</v>
      </c>
      <c r="F106" s="196" t="str">
        <f t="shared" si="23"/>
        <v/>
      </c>
      <c r="H106" s="206">
        <v>2040</v>
      </c>
      <c r="I106" s="195">
        <f t="shared" si="11"/>
        <v>0</v>
      </c>
      <c r="J106" s="195">
        <f t="shared" si="12"/>
        <v>0</v>
      </c>
      <c r="K106" s="195">
        <f t="shared" si="13"/>
        <v>0</v>
      </c>
      <c r="L106" s="195">
        <f t="shared" si="14"/>
        <v>0</v>
      </c>
      <c r="M106" s="195">
        <f t="shared" si="15"/>
        <v>0</v>
      </c>
      <c r="O106" s="195">
        <f t="shared" si="16"/>
        <v>0</v>
      </c>
      <c r="P106" s="196" t="str">
        <f t="shared" si="24"/>
        <v/>
      </c>
      <c r="Q106" s="195">
        <f t="shared" si="17"/>
        <v>0</v>
      </c>
      <c r="R106" s="196" t="str">
        <f t="shared" si="25"/>
        <v/>
      </c>
      <c r="S106" s="464">
        <f t="shared" si="18"/>
        <v>0</v>
      </c>
      <c r="T106" s="196" t="str">
        <f t="shared" si="26"/>
        <v/>
      </c>
      <c r="W106" s="195">
        <f t="shared" si="30"/>
        <v>0</v>
      </c>
      <c r="X106" s="195">
        <f t="shared" si="19"/>
        <v>0</v>
      </c>
      <c r="Y106" s="195">
        <f t="shared" si="31"/>
        <v>0</v>
      </c>
      <c r="Z106" s="195">
        <f t="shared" si="32"/>
        <v>0</v>
      </c>
      <c r="AA106" s="196" t="str">
        <f t="shared" si="33"/>
        <v/>
      </c>
      <c r="AB106" s="196" t="str">
        <f t="shared" si="27"/>
        <v/>
      </c>
      <c r="AC106" s="196" t="str">
        <f t="shared" si="28"/>
        <v/>
      </c>
      <c r="AD106" s="247" t="str">
        <f t="shared" si="29"/>
        <v/>
      </c>
      <c r="AF106" s="251" t="e">
        <f t="shared" si="20"/>
        <v>#DIV/0!</v>
      </c>
      <c r="AG106" s="251" t="e">
        <f t="shared" si="21"/>
        <v>#DIV/0!</v>
      </c>
    </row>
    <row r="107" spans="1:33" x14ac:dyDescent="0.25">
      <c r="A107" s="206">
        <v>2041</v>
      </c>
      <c r="B107" s="195">
        <f t="shared" si="22"/>
        <v>0</v>
      </c>
      <c r="C107" s="195">
        <f t="shared" si="8"/>
        <v>0</v>
      </c>
      <c r="D107" s="195">
        <f t="shared" si="9"/>
        <v>0</v>
      </c>
      <c r="E107" s="195">
        <f t="shared" si="10"/>
        <v>0</v>
      </c>
      <c r="F107" s="196" t="str">
        <f t="shared" si="23"/>
        <v/>
      </c>
      <c r="H107" s="206">
        <v>2041</v>
      </c>
      <c r="I107" s="195">
        <f t="shared" si="11"/>
        <v>0</v>
      </c>
      <c r="J107" s="195">
        <f t="shared" si="12"/>
        <v>0</v>
      </c>
      <c r="K107" s="195">
        <f t="shared" si="13"/>
        <v>0</v>
      </c>
      <c r="L107" s="195">
        <f t="shared" si="14"/>
        <v>0</v>
      </c>
      <c r="M107" s="195">
        <f t="shared" si="15"/>
        <v>0</v>
      </c>
      <c r="O107" s="195">
        <f t="shared" si="16"/>
        <v>0</v>
      </c>
      <c r="P107" s="196" t="str">
        <f t="shared" si="24"/>
        <v/>
      </c>
      <c r="Q107" s="195">
        <f t="shared" si="17"/>
        <v>0</v>
      </c>
      <c r="R107" s="196" t="str">
        <f t="shared" si="25"/>
        <v/>
      </c>
      <c r="S107" s="464">
        <f t="shared" si="18"/>
        <v>0</v>
      </c>
      <c r="T107" s="196" t="str">
        <f t="shared" si="26"/>
        <v/>
      </c>
      <c r="W107" s="195">
        <f t="shared" si="30"/>
        <v>0</v>
      </c>
      <c r="X107" s="195">
        <f t="shared" si="19"/>
        <v>0</v>
      </c>
      <c r="Y107" s="195">
        <f t="shared" si="31"/>
        <v>0</v>
      </c>
      <c r="Z107" s="195">
        <f t="shared" si="32"/>
        <v>0</v>
      </c>
      <c r="AA107" s="196" t="str">
        <f t="shared" si="33"/>
        <v/>
      </c>
      <c r="AB107" s="196" t="str">
        <f t="shared" si="27"/>
        <v/>
      </c>
      <c r="AC107" s="196" t="str">
        <f t="shared" si="28"/>
        <v/>
      </c>
      <c r="AD107" s="247" t="str">
        <f t="shared" si="29"/>
        <v/>
      </c>
      <c r="AF107" s="251" t="e">
        <f t="shared" si="20"/>
        <v>#DIV/0!</v>
      </c>
      <c r="AG107" s="251" t="e">
        <f t="shared" si="21"/>
        <v>#DIV/0!</v>
      </c>
    </row>
    <row r="108" spans="1:33" x14ac:dyDescent="0.25">
      <c r="A108" s="206">
        <v>2042</v>
      </c>
      <c r="B108" s="195">
        <f t="shared" si="22"/>
        <v>0</v>
      </c>
      <c r="C108" s="195">
        <f t="shared" si="8"/>
        <v>0</v>
      </c>
      <c r="D108" s="195">
        <f t="shared" si="9"/>
        <v>0</v>
      </c>
      <c r="E108" s="195">
        <f t="shared" si="10"/>
        <v>0</v>
      </c>
      <c r="F108" s="196" t="str">
        <f t="shared" si="23"/>
        <v/>
      </c>
      <c r="H108" s="206">
        <v>2042</v>
      </c>
      <c r="I108" s="195">
        <f t="shared" si="11"/>
        <v>0</v>
      </c>
      <c r="J108" s="195">
        <f t="shared" si="12"/>
        <v>0</v>
      </c>
      <c r="K108" s="195">
        <f t="shared" si="13"/>
        <v>0</v>
      </c>
      <c r="L108" s="195">
        <f t="shared" si="14"/>
        <v>0</v>
      </c>
      <c r="M108" s="195">
        <f t="shared" si="15"/>
        <v>0</v>
      </c>
      <c r="O108" s="195">
        <f t="shared" si="16"/>
        <v>0</v>
      </c>
      <c r="P108" s="196" t="str">
        <f t="shared" si="24"/>
        <v/>
      </c>
      <c r="Q108" s="195">
        <f t="shared" si="17"/>
        <v>0</v>
      </c>
      <c r="R108" s="196" t="str">
        <f t="shared" si="25"/>
        <v/>
      </c>
      <c r="S108" s="464">
        <f t="shared" si="18"/>
        <v>0</v>
      </c>
      <c r="T108" s="196" t="str">
        <f t="shared" si="26"/>
        <v/>
      </c>
      <c r="W108" s="195">
        <f t="shared" si="30"/>
        <v>0</v>
      </c>
      <c r="X108" s="195">
        <f t="shared" si="19"/>
        <v>0</v>
      </c>
      <c r="Y108" s="195">
        <f t="shared" si="31"/>
        <v>0</v>
      </c>
      <c r="Z108" s="195">
        <f t="shared" si="32"/>
        <v>0</v>
      </c>
      <c r="AA108" s="196" t="str">
        <f t="shared" si="33"/>
        <v/>
      </c>
      <c r="AB108" s="196" t="str">
        <f t="shared" si="27"/>
        <v/>
      </c>
      <c r="AC108" s="196" t="str">
        <f t="shared" si="28"/>
        <v/>
      </c>
      <c r="AD108" s="247" t="str">
        <f t="shared" si="29"/>
        <v/>
      </c>
      <c r="AF108" s="251" t="e">
        <f t="shared" si="20"/>
        <v>#DIV/0!</v>
      </c>
      <c r="AG108" s="251" t="e">
        <f t="shared" si="21"/>
        <v>#DIV/0!</v>
      </c>
    </row>
    <row r="109" spans="1:33" x14ac:dyDescent="0.25">
      <c r="A109" s="206">
        <v>2043</v>
      </c>
      <c r="B109" s="195">
        <f t="shared" si="22"/>
        <v>0</v>
      </c>
      <c r="C109" s="195">
        <f t="shared" si="8"/>
        <v>0</v>
      </c>
      <c r="D109" s="195">
        <f t="shared" si="9"/>
        <v>0</v>
      </c>
      <c r="E109" s="195">
        <f t="shared" si="10"/>
        <v>0</v>
      </c>
      <c r="F109" s="196" t="str">
        <f t="shared" si="23"/>
        <v/>
      </c>
      <c r="H109" s="206">
        <v>2043</v>
      </c>
      <c r="I109" s="195">
        <f t="shared" si="11"/>
        <v>0</v>
      </c>
      <c r="J109" s="195">
        <f t="shared" si="12"/>
        <v>0</v>
      </c>
      <c r="K109" s="195">
        <f t="shared" si="13"/>
        <v>0</v>
      </c>
      <c r="L109" s="195">
        <f t="shared" si="14"/>
        <v>0</v>
      </c>
      <c r="M109" s="195">
        <f t="shared" si="15"/>
        <v>0</v>
      </c>
      <c r="O109" s="195">
        <f t="shared" si="16"/>
        <v>0</v>
      </c>
      <c r="P109" s="196" t="str">
        <f t="shared" si="24"/>
        <v/>
      </c>
      <c r="Q109" s="195">
        <f t="shared" si="17"/>
        <v>0</v>
      </c>
      <c r="R109" s="196" t="str">
        <f t="shared" si="25"/>
        <v/>
      </c>
      <c r="S109" s="464">
        <f t="shared" si="18"/>
        <v>0</v>
      </c>
      <c r="T109" s="196" t="str">
        <f t="shared" si="26"/>
        <v/>
      </c>
      <c r="W109" s="195">
        <f t="shared" si="30"/>
        <v>0</v>
      </c>
      <c r="X109" s="195">
        <f t="shared" si="19"/>
        <v>0</v>
      </c>
      <c r="Y109" s="195">
        <f t="shared" si="31"/>
        <v>0</v>
      </c>
      <c r="Z109" s="195">
        <f t="shared" si="32"/>
        <v>0</v>
      </c>
      <c r="AA109" s="196" t="str">
        <f t="shared" si="33"/>
        <v/>
      </c>
      <c r="AB109" s="196" t="str">
        <f t="shared" si="27"/>
        <v/>
      </c>
      <c r="AC109" s="196" t="str">
        <f t="shared" si="28"/>
        <v/>
      </c>
      <c r="AD109" s="247" t="str">
        <f t="shared" si="29"/>
        <v/>
      </c>
      <c r="AF109" s="251" t="e">
        <f t="shared" si="20"/>
        <v>#DIV/0!</v>
      </c>
      <c r="AG109" s="251" t="e">
        <f t="shared" si="21"/>
        <v>#DIV/0!</v>
      </c>
    </row>
    <row r="110" spans="1:33" x14ac:dyDescent="0.25">
      <c r="A110" s="206">
        <v>2044</v>
      </c>
      <c r="B110" s="195">
        <f t="shared" si="22"/>
        <v>0</v>
      </c>
      <c r="C110" s="195">
        <f t="shared" si="8"/>
        <v>0</v>
      </c>
      <c r="D110" s="195">
        <f t="shared" si="9"/>
        <v>0</v>
      </c>
      <c r="E110" s="195">
        <f t="shared" si="10"/>
        <v>0</v>
      </c>
      <c r="F110" s="196" t="str">
        <f t="shared" si="23"/>
        <v/>
      </c>
      <c r="H110" s="206">
        <v>2044</v>
      </c>
      <c r="I110" s="195">
        <f t="shared" si="11"/>
        <v>0</v>
      </c>
      <c r="J110" s="195">
        <f t="shared" si="12"/>
        <v>0</v>
      </c>
      <c r="K110" s="195">
        <f t="shared" si="13"/>
        <v>0</v>
      </c>
      <c r="L110" s="195">
        <f t="shared" si="14"/>
        <v>0</v>
      </c>
      <c r="M110" s="195">
        <f t="shared" si="15"/>
        <v>0</v>
      </c>
      <c r="O110" s="195">
        <f t="shared" si="16"/>
        <v>0</v>
      </c>
      <c r="P110" s="196" t="str">
        <f t="shared" si="24"/>
        <v/>
      </c>
      <c r="Q110" s="195">
        <f t="shared" si="17"/>
        <v>0</v>
      </c>
      <c r="R110" s="196" t="str">
        <f t="shared" si="25"/>
        <v/>
      </c>
      <c r="S110" s="464">
        <f t="shared" si="18"/>
        <v>0</v>
      </c>
      <c r="T110" s="196" t="str">
        <f t="shared" si="26"/>
        <v/>
      </c>
      <c r="W110" s="195">
        <f t="shared" si="30"/>
        <v>0</v>
      </c>
      <c r="X110" s="195">
        <f t="shared" si="19"/>
        <v>0</v>
      </c>
      <c r="Y110" s="195">
        <f t="shared" si="31"/>
        <v>0</v>
      </c>
      <c r="Z110" s="195">
        <f t="shared" si="32"/>
        <v>0</v>
      </c>
      <c r="AA110" s="196" t="str">
        <f t="shared" si="33"/>
        <v/>
      </c>
      <c r="AB110" s="196" t="str">
        <f t="shared" si="27"/>
        <v/>
      </c>
      <c r="AC110" s="196" t="str">
        <f t="shared" si="28"/>
        <v/>
      </c>
      <c r="AD110" s="247" t="str">
        <f t="shared" si="29"/>
        <v/>
      </c>
      <c r="AF110" s="251" t="e">
        <f t="shared" si="20"/>
        <v>#DIV/0!</v>
      </c>
      <c r="AG110" s="251" t="e">
        <f t="shared" si="21"/>
        <v>#DIV/0!</v>
      </c>
    </row>
    <row r="111" spans="1:33" x14ac:dyDescent="0.25">
      <c r="A111" s="206">
        <v>2045</v>
      </c>
      <c r="B111" s="195">
        <f t="shared" si="22"/>
        <v>0</v>
      </c>
      <c r="C111" s="195">
        <f t="shared" si="8"/>
        <v>0</v>
      </c>
      <c r="D111" s="195">
        <f t="shared" si="9"/>
        <v>0</v>
      </c>
      <c r="E111" s="195">
        <f t="shared" si="10"/>
        <v>0</v>
      </c>
      <c r="F111" s="196" t="str">
        <f t="shared" si="23"/>
        <v/>
      </c>
      <c r="H111" s="206">
        <v>2045</v>
      </c>
      <c r="I111" s="195">
        <f t="shared" si="11"/>
        <v>0</v>
      </c>
      <c r="J111" s="195">
        <f t="shared" si="12"/>
        <v>0</v>
      </c>
      <c r="K111" s="195">
        <f t="shared" si="13"/>
        <v>0</v>
      </c>
      <c r="L111" s="195">
        <f t="shared" si="14"/>
        <v>0</v>
      </c>
      <c r="M111" s="195">
        <f t="shared" si="15"/>
        <v>0</v>
      </c>
      <c r="O111" s="195">
        <f t="shared" si="16"/>
        <v>0</v>
      </c>
      <c r="P111" s="196" t="str">
        <f t="shared" si="24"/>
        <v/>
      </c>
      <c r="Q111" s="195">
        <f t="shared" si="17"/>
        <v>0</v>
      </c>
      <c r="R111" s="196" t="str">
        <f t="shared" si="25"/>
        <v/>
      </c>
      <c r="S111" s="464">
        <f t="shared" si="18"/>
        <v>0</v>
      </c>
      <c r="T111" s="196" t="str">
        <f t="shared" si="26"/>
        <v/>
      </c>
      <c r="W111" s="195">
        <f t="shared" si="30"/>
        <v>0</v>
      </c>
      <c r="X111" s="195">
        <f t="shared" si="19"/>
        <v>0</v>
      </c>
      <c r="Y111" s="195">
        <f t="shared" si="31"/>
        <v>0</v>
      </c>
      <c r="Z111" s="195">
        <f t="shared" si="32"/>
        <v>0</v>
      </c>
      <c r="AA111" s="196" t="str">
        <f t="shared" si="33"/>
        <v/>
      </c>
      <c r="AB111" s="196" t="str">
        <f t="shared" si="27"/>
        <v/>
      </c>
      <c r="AC111" s="196" t="str">
        <f t="shared" si="28"/>
        <v/>
      </c>
      <c r="AD111" s="247" t="str">
        <f t="shared" si="29"/>
        <v/>
      </c>
      <c r="AF111" s="251" t="e">
        <f t="shared" si="20"/>
        <v>#DIV/0!</v>
      </c>
      <c r="AG111" s="251" t="e">
        <f t="shared" si="21"/>
        <v>#DIV/0!</v>
      </c>
    </row>
    <row r="112" spans="1:33" x14ac:dyDescent="0.25">
      <c r="A112" s="206">
        <v>2046</v>
      </c>
      <c r="B112" s="195">
        <f t="shared" si="22"/>
        <v>0</v>
      </c>
      <c r="C112" s="195">
        <f t="shared" si="8"/>
        <v>0</v>
      </c>
      <c r="D112" s="195">
        <f t="shared" si="9"/>
        <v>0</v>
      </c>
      <c r="E112" s="195">
        <f t="shared" si="10"/>
        <v>0</v>
      </c>
      <c r="F112" s="196" t="str">
        <f t="shared" si="23"/>
        <v/>
      </c>
      <c r="H112" s="206">
        <v>2046</v>
      </c>
      <c r="I112" s="195">
        <f t="shared" si="11"/>
        <v>0</v>
      </c>
      <c r="J112" s="195">
        <f t="shared" si="12"/>
        <v>0</v>
      </c>
      <c r="K112" s="195">
        <f t="shared" si="13"/>
        <v>0</v>
      </c>
      <c r="L112" s="195">
        <f t="shared" si="14"/>
        <v>0</v>
      </c>
      <c r="M112" s="195">
        <f t="shared" si="15"/>
        <v>0</v>
      </c>
      <c r="O112" s="195">
        <f t="shared" si="16"/>
        <v>0</v>
      </c>
      <c r="P112" s="196" t="str">
        <f t="shared" si="24"/>
        <v/>
      </c>
      <c r="Q112" s="195">
        <f t="shared" si="17"/>
        <v>0</v>
      </c>
      <c r="R112" s="196" t="str">
        <f t="shared" si="25"/>
        <v/>
      </c>
      <c r="S112" s="464">
        <f t="shared" si="18"/>
        <v>0</v>
      </c>
      <c r="T112" s="196" t="str">
        <f t="shared" si="26"/>
        <v/>
      </c>
      <c r="W112" s="195">
        <f t="shared" si="30"/>
        <v>0</v>
      </c>
      <c r="X112" s="195">
        <f t="shared" si="19"/>
        <v>0</v>
      </c>
      <c r="Y112" s="195">
        <f t="shared" si="31"/>
        <v>0</v>
      </c>
      <c r="Z112" s="195">
        <f t="shared" si="32"/>
        <v>0</v>
      </c>
      <c r="AA112" s="196" t="str">
        <f t="shared" si="33"/>
        <v/>
      </c>
      <c r="AB112" s="196" t="str">
        <f t="shared" si="27"/>
        <v/>
      </c>
      <c r="AC112" s="196" t="str">
        <f t="shared" si="28"/>
        <v/>
      </c>
      <c r="AD112" s="247" t="str">
        <f t="shared" si="29"/>
        <v/>
      </c>
      <c r="AF112" s="251" t="e">
        <f t="shared" si="20"/>
        <v>#DIV/0!</v>
      </c>
      <c r="AG112" s="251" t="e">
        <f t="shared" si="21"/>
        <v>#DIV/0!</v>
      </c>
    </row>
    <row r="113" spans="1:53" x14ac:dyDescent="0.25">
      <c r="A113" s="206">
        <v>2047</v>
      </c>
      <c r="B113" s="195">
        <f t="shared" si="22"/>
        <v>0</v>
      </c>
      <c r="C113" s="195">
        <f t="shared" si="8"/>
        <v>0</v>
      </c>
      <c r="D113" s="195">
        <f t="shared" si="9"/>
        <v>0</v>
      </c>
      <c r="E113" s="195">
        <f t="shared" si="10"/>
        <v>0</v>
      </c>
      <c r="F113" s="196" t="str">
        <f t="shared" si="23"/>
        <v/>
      </c>
      <c r="H113" s="206">
        <v>2047</v>
      </c>
      <c r="I113" s="195">
        <f t="shared" si="11"/>
        <v>0</v>
      </c>
      <c r="J113" s="195">
        <f t="shared" si="12"/>
        <v>0</v>
      </c>
      <c r="K113" s="195">
        <f t="shared" si="13"/>
        <v>0</v>
      </c>
      <c r="L113" s="195">
        <f t="shared" si="14"/>
        <v>0</v>
      </c>
      <c r="M113" s="195">
        <f t="shared" si="15"/>
        <v>0</v>
      </c>
      <c r="O113" s="195">
        <f t="shared" si="16"/>
        <v>0</v>
      </c>
      <c r="P113" s="196" t="str">
        <f t="shared" si="24"/>
        <v/>
      </c>
      <c r="Q113" s="195">
        <f t="shared" si="17"/>
        <v>0</v>
      </c>
      <c r="R113" s="196" t="str">
        <f t="shared" si="25"/>
        <v/>
      </c>
      <c r="S113" s="464">
        <f t="shared" si="18"/>
        <v>0</v>
      </c>
      <c r="T113" s="196" t="str">
        <f t="shared" si="26"/>
        <v/>
      </c>
      <c r="W113" s="195">
        <f t="shared" si="30"/>
        <v>0</v>
      </c>
      <c r="X113" s="195">
        <f t="shared" si="19"/>
        <v>0</v>
      </c>
      <c r="Y113" s="195">
        <f t="shared" si="31"/>
        <v>0</v>
      </c>
      <c r="Z113" s="195">
        <f t="shared" si="32"/>
        <v>0</v>
      </c>
      <c r="AA113" s="196" t="str">
        <f t="shared" si="33"/>
        <v/>
      </c>
      <c r="AB113" s="196" t="str">
        <f t="shared" si="27"/>
        <v/>
      </c>
      <c r="AC113" s="196" t="str">
        <f t="shared" si="28"/>
        <v/>
      </c>
      <c r="AD113" s="247" t="str">
        <f t="shared" si="29"/>
        <v/>
      </c>
      <c r="AF113" s="251" t="e">
        <f t="shared" si="20"/>
        <v>#DIV/0!</v>
      </c>
      <c r="AG113" s="251" t="e">
        <f t="shared" si="21"/>
        <v>#DIV/0!</v>
      </c>
    </row>
    <row r="114" spans="1:53" x14ac:dyDescent="0.25">
      <c r="A114" s="206">
        <v>2048</v>
      </c>
      <c r="B114" s="195">
        <f t="shared" si="22"/>
        <v>0</v>
      </c>
      <c r="C114" s="195">
        <f t="shared" si="8"/>
        <v>0</v>
      </c>
      <c r="D114" s="195">
        <f t="shared" si="9"/>
        <v>0</v>
      </c>
      <c r="E114" s="195">
        <f t="shared" si="10"/>
        <v>0</v>
      </c>
      <c r="F114" s="196" t="str">
        <f t="shared" si="23"/>
        <v/>
      </c>
      <c r="H114" s="206">
        <v>2048</v>
      </c>
      <c r="I114" s="195">
        <f t="shared" si="11"/>
        <v>0</v>
      </c>
      <c r="J114" s="195">
        <f t="shared" si="12"/>
        <v>0</v>
      </c>
      <c r="K114" s="195">
        <f t="shared" si="13"/>
        <v>0</v>
      </c>
      <c r="L114" s="195">
        <f t="shared" si="14"/>
        <v>0</v>
      </c>
      <c r="M114" s="195">
        <f t="shared" si="15"/>
        <v>0</v>
      </c>
      <c r="O114" s="195">
        <f t="shared" si="16"/>
        <v>0</v>
      </c>
      <c r="P114" s="196" t="str">
        <f t="shared" si="24"/>
        <v/>
      </c>
      <c r="Q114" s="195">
        <f t="shared" si="17"/>
        <v>0</v>
      </c>
      <c r="R114" s="196" t="str">
        <f t="shared" si="25"/>
        <v/>
      </c>
      <c r="S114" s="464">
        <f t="shared" si="18"/>
        <v>0</v>
      </c>
      <c r="T114" s="196" t="str">
        <f t="shared" si="26"/>
        <v/>
      </c>
      <c r="W114" s="195">
        <f t="shared" si="30"/>
        <v>0</v>
      </c>
      <c r="X114" s="195">
        <f t="shared" si="19"/>
        <v>0</v>
      </c>
      <c r="Y114" s="195">
        <f t="shared" si="31"/>
        <v>0</v>
      </c>
      <c r="Z114" s="195">
        <f t="shared" si="32"/>
        <v>0</v>
      </c>
      <c r="AA114" s="196" t="str">
        <f t="shared" si="33"/>
        <v/>
      </c>
      <c r="AB114" s="196" t="str">
        <f t="shared" si="27"/>
        <v/>
      </c>
      <c r="AC114" s="196" t="str">
        <f t="shared" si="28"/>
        <v/>
      </c>
      <c r="AD114" s="247" t="str">
        <f t="shared" si="29"/>
        <v/>
      </c>
      <c r="AF114" s="251" t="e">
        <f t="shared" si="20"/>
        <v>#DIV/0!</v>
      </c>
      <c r="AG114" s="251" t="e">
        <f t="shared" si="21"/>
        <v>#DIV/0!</v>
      </c>
    </row>
    <row r="115" spans="1:53" x14ac:dyDescent="0.25">
      <c r="A115" s="206">
        <v>2049</v>
      </c>
      <c r="B115" s="195">
        <f t="shared" si="22"/>
        <v>0</v>
      </c>
      <c r="C115" s="195">
        <f t="shared" si="8"/>
        <v>0</v>
      </c>
      <c r="D115" s="195">
        <f t="shared" si="9"/>
        <v>0</v>
      </c>
      <c r="E115" s="195">
        <f t="shared" si="10"/>
        <v>0</v>
      </c>
      <c r="F115" s="196" t="str">
        <f t="shared" si="23"/>
        <v/>
      </c>
      <c r="H115" s="206">
        <v>2049</v>
      </c>
      <c r="I115" s="195">
        <f t="shared" si="11"/>
        <v>0</v>
      </c>
      <c r="J115" s="195">
        <f t="shared" si="12"/>
        <v>0</v>
      </c>
      <c r="K115" s="195">
        <f t="shared" si="13"/>
        <v>0</v>
      </c>
      <c r="L115" s="195">
        <f t="shared" si="14"/>
        <v>0</v>
      </c>
      <c r="M115" s="195">
        <f t="shared" si="15"/>
        <v>0</v>
      </c>
      <c r="O115" s="195">
        <f t="shared" si="16"/>
        <v>0</v>
      </c>
      <c r="P115" s="196" t="str">
        <f t="shared" si="24"/>
        <v/>
      </c>
      <c r="Q115" s="195">
        <f t="shared" si="17"/>
        <v>0</v>
      </c>
      <c r="R115" s="196" t="str">
        <f t="shared" si="25"/>
        <v/>
      </c>
      <c r="S115" s="464">
        <f t="shared" si="18"/>
        <v>0</v>
      </c>
      <c r="T115" s="196" t="str">
        <f t="shared" si="26"/>
        <v/>
      </c>
      <c r="W115" s="195">
        <f t="shared" si="30"/>
        <v>0</v>
      </c>
      <c r="X115" s="195">
        <f t="shared" si="19"/>
        <v>0</v>
      </c>
      <c r="Y115" s="195">
        <f t="shared" si="31"/>
        <v>0</v>
      </c>
      <c r="Z115" s="195">
        <f t="shared" si="32"/>
        <v>0</v>
      </c>
      <c r="AA115" s="196" t="str">
        <f t="shared" si="33"/>
        <v/>
      </c>
      <c r="AB115" s="196" t="str">
        <f t="shared" si="27"/>
        <v/>
      </c>
      <c r="AC115" s="196" t="str">
        <f t="shared" si="28"/>
        <v/>
      </c>
      <c r="AD115" s="247" t="str">
        <f t="shared" si="29"/>
        <v/>
      </c>
      <c r="AF115" s="251" t="e">
        <f t="shared" si="20"/>
        <v>#DIV/0!</v>
      </c>
      <c r="AG115" s="251" t="e">
        <f t="shared" si="21"/>
        <v>#DIV/0!</v>
      </c>
    </row>
    <row r="116" spans="1:53" ht="13.8" thickBot="1" x14ac:dyDescent="0.3">
      <c r="A116" s="208">
        <v>2050</v>
      </c>
      <c r="B116" s="195">
        <f t="shared" si="22"/>
        <v>0</v>
      </c>
      <c r="C116" s="195">
        <f t="shared" si="8"/>
        <v>0</v>
      </c>
      <c r="D116" s="195">
        <f t="shared" si="9"/>
        <v>0</v>
      </c>
      <c r="E116" s="195">
        <f t="shared" si="10"/>
        <v>0</v>
      </c>
      <c r="F116" s="196" t="str">
        <f t="shared" si="23"/>
        <v/>
      </c>
      <c r="H116" s="208">
        <v>2050</v>
      </c>
      <c r="I116" s="195">
        <f t="shared" si="11"/>
        <v>0</v>
      </c>
      <c r="J116" s="195">
        <f t="shared" si="12"/>
        <v>0</v>
      </c>
      <c r="K116" s="195">
        <f t="shared" si="13"/>
        <v>0</v>
      </c>
      <c r="L116" s="195">
        <f t="shared" si="14"/>
        <v>0</v>
      </c>
      <c r="M116" s="195">
        <f t="shared" si="15"/>
        <v>0</v>
      </c>
      <c r="O116" s="195">
        <f t="shared" si="16"/>
        <v>0</v>
      </c>
      <c r="P116" s="196" t="str">
        <f t="shared" si="24"/>
        <v/>
      </c>
      <c r="Q116" s="195">
        <f t="shared" si="17"/>
        <v>0</v>
      </c>
      <c r="R116" s="196" t="str">
        <f t="shared" si="25"/>
        <v/>
      </c>
      <c r="S116" s="464">
        <f t="shared" si="18"/>
        <v>0</v>
      </c>
      <c r="T116" s="196" t="str">
        <f t="shared" si="26"/>
        <v/>
      </c>
      <c r="W116" s="195">
        <f t="shared" si="30"/>
        <v>0</v>
      </c>
      <c r="X116" s="195">
        <f t="shared" si="19"/>
        <v>0</v>
      </c>
      <c r="Y116" s="195">
        <f t="shared" si="31"/>
        <v>0</v>
      </c>
      <c r="Z116" s="195">
        <f t="shared" si="32"/>
        <v>0</v>
      </c>
      <c r="AA116" s="196" t="str">
        <f t="shared" si="33"/>
        <v/>
      </c>
      <c r="AB116" s="196" t="str">
        <f t="shared" si="27"/>
        <v/>
      </c>
      <c r="AC116" s="196" t="str">
        <f t="shared" si="28"/>
        <v/>
      </c>
      <c r="AD116" s="247" t="str">
        <f t="shared" si="29"/>
        <v/>
      </c>
      <c r="AF116" s="251" t="e">
        <f t="shared" si="20"/>
        <v>#DIV/0!</v>
      </c>
      <c r="AG116" s="251" t="e">
        <f t="shared" si="21"/>
        <v>#DIV/0!</v>
      </c>
    </row>
    <row r="117" spans="1:53" x14ac:dyDescent="0.25">
      <c r="A117" s="213">
        <v>2051</v>
      </c>
      <c r="B117" s="195">
        <f t="shared" si="22"/>
        <v>0</v>
      </c>
      <c r="C117" s="195">
        <f t="shared" si="8"/>
        <v>0</v>
      </c>
      <c r="D117" s="195">
        <f t="shared" si="9"/>
        <v>0</v>
      </c>
      <c r="E117" s="195">
        <f t="shared" si="10"/>
        <v>0</v>
      </c>
      <c r="F117" s="196" t="str">
        <f t="shared" si="23"/>
        <v/>
      </c>
      <c r="H117" s="213">
        <v>2051</v>
      </c>
      <c r="I117" s="195">
        <f t="shared" si="11"/>
        <v>0</v>
      </c>
      <c r="J117" s="195">
        <f t="shared" si="12"/>
        <v>0</v>
      </c>
      <c r="K117" s="195">
        <f t="shared" si="13"/>
        <v>0</v>
      </c>
      <c r="L117" s="195">
        <f t="shared" si="14"/>
        <v>0</v>
      </c>
      <c r="M117" s="195">
        <f t="shared" si="15"/>
        <v>0</v>
      </c>
      <c r="O117" s="195">
        <f t="shared" si="16"/>
        <v>0</v>
      </c>
      <c r="P117" s="196" t="str">
        <f t="shared" si="24"/>
        <v/>
      </c>
      <c r="Q117" s="195">
        <f t="shared" si="17"/>
        <v>0</v>
      </c>
      <c r="R117" s="196" t="str">
        <f t="shared" si="25"/>
        <v/>
      </c>
      <c r="S117" s="464">
        <f t="shared" si="18"/>
        <v>0</v>
      </c>
      <c r="T117" s="196" t="str">
        <f t="shared" si="26"/>
        <v/>
      </c>
      <c r="W117" s="195">
        <f t="shared" si="30"/>
        <v>0</v>
      </c>
      <c r="X117" s="195">
        <f t="shared" si="19"/>
        <v>0</v>
      </c>
      <c r="Y117" s="195">
        <f t="shared" si="31"/>
        <v>0</v>
      </c>
      <c r="Z117" s="195">
        <f t="shared" si="32"/>
        <v>0</v>
      </c>
      <c r="AA117" s="196" t="str">
        <f t="shared" si="33"/>
        <v/>
      </c>
      <c r="AB117" s="196" t="str">
        <f t="shared" si="27"/>
        <v/>
      </c>
      <c r="AC117" s="196" t="str">
        <f t="shared" si="28"/>
        <v/>
      </c>
      <c r="AD117" s="247" t="str">
        <f t="shared" si="29"/>
        <v/>
      </c>
      <c r="AF117" s="251" t="e">
        <f t="shared" si="20"/>
        <v>#DIV/0!</v>
      </c>
      <c r="AG117" s="251" t="e">
        <f t="shared" si="21"/>
        <v>#DIV/0!</v>
      </c>
    </row>
    <row r="118" spans="1:53" x14ac:dyDescent="0.25">
      <c r="A118" s="194">
        <v>2052</v>
      </c>
      <c r="B118" s="195">
        <f t="shared" si="22"/>
        <v>0</v>
      </c>
      <c r="C118" s="195">
        <f t="shared" si="8"/>
        <v>0</v>
      </c>
      <c r="D118" s="195">
        <f t="shared" si="9"/>
        <v>0</v>
      </c>
      <c r="E118" s="195">
        <f t="shared" si="10"/>
        <v>0</v>
      </c>
      <c r="F118" s="196" t="str">
        <f t="shared" si="23"/>
        <v/>
      </c>
      <c r="H118" s="194">
        <v>2052</v>
      </c>
      <c r="I118" s="195">
        <f t="shared" si="11"/>
        <v>0</v>
      </c>
      <c r="J118" s="195">
        <f t="shared" si="12"/>
        <v>0</v>
      </c>
      <c r="K118" s="195">
        <f t="shared" si="13"/>
        <v>0</v>
      </c>
      <c r="L118" s="195">
        <f t="shared" si="14"/>
        <v>0</v>
      </c>
      <c r="M118" s="195">
        <f t="shared" si="15"/>
        <v>0</v>
      </c>
      <c r="O118" s="195">
        <f t="shared" si="16"/>
        <v>0</v>
      </c>
      <c r="P118" s="196" t="str">
        <f t="shared" si="24"/>
        <v/>
      </c>
      <c r="Q118" s="195">
        <f t="shared" si="17"/>
        <v>0</v>
      </c>
      <c r="R118" s="196" t="str">
        <f t="shared" si="25"/>
        <v/>
      </c>
      <c r="S118" s="464">
        <f t="shared" si="18"/>
        <v>0</v>
      </c>
      <c r="T118" s="196" t="str">
        <f t="shared" si="26"/>
        <v/>
      </c>
      <c r="W118" s="195">
        <f t="shared" si="30"/>
        <v>0</v>
      </c>
      <c r="X118" s="195">
        <f t="shared" si="19"/>
        <v>0</v>
      </c>
      <c r="Y118" s="195">
        <f t="shared" si="31"/>
        <v>0</v>
      </c>
      <c r="Z118" s="195">
        <f t="shared" si="32"/>
        <v>0</v>
      </c>
      <c r="AA118" s="196" t="str">
        <f t="shared" si="33"/>
        <v/>
      </c>
      <c r="AB118" s="196" t="str">
        <f t="shared" si="27"/>
        <v/>
      </c>
      <c r="AC118" s="196" t="str">
        <f t="shared" si="28"/>
        <v/>
      </c>
      <c r="AD118" s="247" t="str">
        <f t="shared" si="29"/>
        <v/>
      </c>
      <c r="AF118" s="251" t="e">
        <f t="shared" si="20"/>
        <v>#DIV/0!</v>
      </c>
      <c r="AG118" s="251" t="e">
        <f t="shared" si="21"/>
        <v>#DIV/0!</v>
      </c>
    </row>
    <row r="119" spans="1:53" x14ac:dyDescent="0.25">
      <c r="A119" s="194">
        <v>2053</v>
      </c>
      <c r="B119" s="195">
        <f t="shared" si="22"/>
        <v>0</v>
      </c>
      <c r="C119" s="195">
        <f t="shared" si="8"/>
        <v>0</v>
      </c>
      <c r="D119" s="195">
        <f t="shared" si="9"/>
        <v>0</v>
      </c>
      <c r="E119" s="195">
        <f t="shared" si="10"/>
        <v>0</v>
      </c>
      <c r="F119" s="196" t="str">
        <f t="shared" si="23"/>
        <v/>
      </c>
      <c r="H119" s="194">
        <v>2053</v>
      </c>
      <c r="I119" s="195">
        <f t="shared" si="11"/>
        <v>0</v>
      </c>
      <c r="J119" s="195">
        <f t="shared" si="12"/>
        <v>0</v>
      </c>
      <c r="K119" s="195">
        <f t="shared" si="13"/>
        <v>0</v>
      </c>
      <c r="L119" s="195">
        <f t="shared" si="14"/>
        <v>0</v>
      </c>
      <c r="M119" s="195">
        <f t="shared" si="15"/>
        <v>0</v>
      </c>
      <c r="O119" s="195">
        <f t="shared" si="16"/>
        <v>0</v>
      </c>
      <c r="P119" s="196" t="str">
        <f t="shared" si="24"/>
        <v/>
      </c>
      <c r="Q119" s="195">
        <f t="shared" si="17"/>
        <v>0</v>
      </c>
      <c r="R119" s="196" t="str">
        <f t="shared" si="25"/>
        <v/>
      </c>
      <c r="S119" s="464">
        <f t="shared" si="18"/>
        <v>0</v>
      </c>
      <c r="T119" s="196" t="str">
        <f t="shared" si="26"/>
        <v/>
      </c>
      <c r="W119" s="195">
        <f t="shared" si="30"/>
        <v>0</v>
      </c>
      <c r="X119" s="195">
        <f t="shared" si="19"/>
        <v>0</v>
      </c>
      <c r="Y119" s="195">
        <f t="shared" si="31"/>
        <v>0</v>
      </c>
      <c r="Z119" s="195">
        <f t="shared" si="32"/>
        <v>0</v>
      </c>
      <c r="AA119" s="196" t="str">
        <f t="shared" si="33"/>
        <v/>
      </c>
      <c r="AB119" s="196" t="str">
        <f t="shared" si="27"/>
        <v/>
      </c>
      <c r="AC119" s="196" t="str">
        <f t="shared" si="28"/>
        <v/>
      </c>
      <c r="AD119" s="247" t="str">
        <f t="shared" si="29"/>
        <v/>
      </c>
      <c r="AF119" s="251" t="e">
        <f t="shared" si="20"/>
        <v>#DIV/0!</v>
      </c>
      <c r="AG119" s="251" t="e">
        <f t="shared" si="21"/>
        <v>#DIV/0!</v>
      </c>
    </row>
    <row r="120" spans="1:53" x14ac:dyDescent="0.25">
      <c r="A120" s="194">
        <v>2054</v>
      </c>
      <c r="B120" s="195">
        <f t="shared" si="22"/>
        <v>0</v>
      </c>
      <c r="C120" s="195">
        <f t="shared" si="8"/>
        <v>0</v>
      </c>
      <c r="D120" s="195">
        <f t="shared" si="9"/>
        <v>0</v>
      </c>
      <c r="E120" s="195">
        <f t="shared" si="10"/>
        <v>0</v>
      </c>
      <c r="F120" s="196" t="str">
        <f t="shared" si="23"/>
        <v/>
      </c>
      <c r="H120" s="194">
        <v>2054</v>
      </c>
      <c r="I120" s="195">
        <f t="shared" si="11"/>
        <v>0</v>
      </c>
      <c r="J120" s="195">
        <f t="shared" si="12"/>
        <v>0</v>
      </c>
      <c r="K120" s="195">
        <f t="shared" si="13"/>
        <v>0</v>
      </c>
      <c r="L120" s="195">
        <f t="shared" si="14"/>
        <v>0</v>
      </c>
      <c r="M120" s="195">
        <f t="shared" si="15"/>
        <v>0</v>
      </c>
      <c r="O120" s="195">
        <f t="shared" si="16"/>
        <v>0</v>
      </c>
      <c r="P120" s="196" t="str">
        <f t="shared" si="24"/>
        <v/>
      </c>
      <c r="Q120" s="195">
        <f t="shared" si="17"/>
        <v>0</v>
      </c>
      <c r="R120" s="196" t="str">
        <f t="shared" si="25"/>
        <v/>
      </c>
      <c r="S120" s="464">
        <f t="shared" si="18"/>
        <v>0</v>
      </c>
      <c r="T120" s="196" t="str">
        <f t="shared" si="26"/>
        <v/>
      </c>
      <c r="W120" s="195">
        <f t="shared" si="30"/>
        <v>0</v>
      </c>
      <c r="X120" s="195">
        <f t="shared" si="19"/>
        <v>0</v>
      </c>
      <c r="Y120" s="195">
        <f t="shared" si="31"/>
        <v>0</v>
      </c>
      <c r="Z120" s="195">
        <f t="shared" si="32"/>
        <v>0</v>
      </c>
      <c r="AA120" s="196" t="str">
        <f t="shared" si="33"/>
        <v/>
      </c>
      <c r="AB120" s="196" t="str">
        <f t="shared" si="27"/>
        <v/>
      </c>
      <c r="AC120" s="196" t="str">
        <f t="shared" si="28"/>
        <v/>
      </c>
      <c r="AD120" s="247" t="str">
        <f t="shared" si="29"/>
        <v/>
      </c>
      <c r="AF120" s="251" t="e">
        <f t="shared" si="20"/>
        <v>#DIV/0!</v>
      </c>
      <c r="AG120" s="251" t="e">
        <f t="shared" si="21"/>
        <v>#DIV/0!</v>
      </c>
    </row>
    <row r="121" spans="1:53" x14ac:dyDescent="0.25">
      <c r="A121" s="194">
        <v>2055</v>
      </c>
      <c r="B121" s="195">
        <f t="shared" si="22"/>
        <v>0</v>
      </c>
      <c r="C121" s="195">
        <f t="shared" si="8"/>
        <v>0</v>
      </c>
      <c r="D121" s="195">
        <f t="shared" si="9"/>
        <v>0</v>
      </c>
      <c r="E121" s="195">
        <f t="shared" si="10"/>
        <v>0</v>
      </c>
      <c r="F121" s="196" t="str">
        <f t="shared" si="23"/>
        <v/>
      </c>
      <c r="H121" s="194">
        <v>2055</v>
      </c>
      <c r="I121" s="195">
        <f t="shared" si="11"/>
        <v>0</v>
      </c>
      <c r="J121" s="195">
        <f t="shared" si="12"/>
        <v>0</v>
      </c>
      <c r="K121" s="195">
        <f t="shared" si="13"/>
        <v>0</v>
      </c>
      <c r="L121" s="195">
        <f t="shared" si="14"/>
        <v>0</v>
      </c>
      <c r="M121" s="195">
        <f t="shared" si="15"/>
        <v>0</v>
      </c>
      <c r="O121" s="195">
        <f t="shared" si="16"/>
        <v>0</v>
      </c>
      <c r="P121" s="196" t="str">
        <f t="shared" si="24"/>
        <v/>
      </c>
      <c r="Q121" s="195">
        <f t="shared" si="17"/>
        <v>0</v>
      </c>
      <c r="R121" s="196" t="str">
        <f t="shared" si="25"/>
        <v/>
      </c>
      <c r="S121" s="464">
        <f t="shared" si="18"/>
        <v>0</v>
      </c>
      <c r="T121" s="196" t="str">
        <f t="shared" si="26"/>
        <v/>
      </c>
      <c r="W121" s="195">
        <f t="shared" si="30"/>
        <v>0</v>
      </c>
      <c r="X121" s="195">
        <f t="shared" si="19"/>
        <v>0</v>
      </c>
      <c r="Y121" s="195">
        <f t="shared" si="31"/>
        <v>0</v>
      </c>
      <c r="Z121" s="195">
        <f t="shared" si="32"/>
        <v>0</v>
      </c>
      <c r="AA121" s="196" t="str">
        <f t="shared" si="33"/>
        <v/>
      </c>
      <c r="AB121" s="196" t="str">
        <f t="shared" si="27"/>
        <v/>
      </c>
      <c r="AC121" s="196" t="str">
        <f t="shared" si="28"/>
        <v/>
      </c>
      <c r="AD121" s="247" t="str">
        <f t="shared" si="29"/>
        <v/>
      </c>
      <c r="AF121" s="251" t="e">
        <f t="shared" si="20"/>
        <v>#DIV/0!</v>
      </c>
      <c r="AG121" s="251" t="e">
        <f t="shared" si="21"/>
        <v>#DIV/0!</v>
      </c>
    </row>
    <row r="122" spans="1:53" x14ac:dyDescent="0.25">
      <c r="A122" s="194">
        <v>2056</v>
      </c>
      <c r="B122" s="195">
        <f t="shared" si="22"/>
        <v>0</v>
      </c>
      <c r="C122" s="195">
        <f t="shared" si="8"/>
        <v>0</v>
      </c>
      <c r="D122" s="195">
        <f t="shared" si="9"/>
        <v>0</v>
      </c>
      <c r="E122" s="195">
        <f t="shared" si="10"/>
        <v>0</v>
      </c>
      <c r="F122" s="196" t="str">
        <f t="shared" si="23"/>
        <v/>
      </c>
      <c r="H122" s="194">
        <v>2056</v>
      </c>
      <c r="I122" s="195">
        <f t="shared" si="11"/>
        <v>0</v>
      </c>
      <c r="J122" s="195">
        <f t="shared" si="12"/>
        <v>0</v>
      </c>
      <c r="K122" s="195">
        <f t="shared" si="13"/>
        <v>0</v>
      </c>
      <c r="L122" s="195">
        <f t="shared" si="14"/>
        <v>0</v>
      </c>
      <c r="M122" s="195">
        <f t="shared" si="15"/>
        <v>0</v>
      </c>
      <c r="O122" s="195">
        <f t="shared" si="16"/>
        <v>0</v>
      </c>
      <c r="P122" s="196" t="str">
        <f t="shared" si="24"/>
        <v/>
      </c>
      <c r="Q122" s="195">
        <f t="shared" si="17"/>
        <v>0</v>
      </c>
      <c r="R122" s="196" t="str">
        <f t="shared" si="25"/>
        <v/>
      </c>
      <c r="S122" s="464">
        <f t="shared" si="18"/>
        <v>0</v>
      </c>
      <c r="T122" s="196" t="str">
        <f t="shared" si="26"/>
        <v/>
      </c>
      <c r="W122" s="195">
        <f t="shared" si="30"/>
        <v>0</v>
      </c>
      <c r="X122" s="195">
        <f t="shared" si="19"/>
        <v>0</v>
      </c>
      <c r="Y122" s="195">
        <f t="shared" si="31"/>
        <v>0</v>
      </c>
      <c r="Z122" s="195">
        <f t="shared" si="32"/>
        <v>0</v>
      </c>
      <c r="AA122" s="196" t="str">
        <f t="shared" si="33"/>
        <v/>
      </c>
      <c r="AB122" s="196" t="str">
        <f t="shared" si="27"/>
        <v/>
      </c>
      <c r="AC122" s="196" t="str">
        <f t="shared" si="28"/>
        <v/>
      </c>
      <c r="AD122" s="247" t="str">
        <f t="shared" si="29"/>
        <v/>
      </c>
      <c r="AF122" s="251" t="e">
        <f t="shared" si="20"/>
        <v>#DIV/0!</v>
      </c>
      <c r="AG122" s="251" t="e">
        <f t="shared" si="21"/>
        <v>#DIV/0!</v>
      </c>
    </row>
    <row r="123" spans="1:53" x14ac:dyDescent="0.25">
      <c r="A123" s="194">
        <v>2057</v>
      </c>
      <c r="B123" s="195">
        <f t="shared" si="22"/>
        <v>0</v>
      </c>
      <c r="C123" s="195">
        <f t="shared" si="8"/>
        <v>0</v>
      </c>
      <c r="D123" s="195">
        <f t="shared" si="9"/>
        <v>0</v>
      </c>
      <c r="E123" s="195">
        <f t="shared" si="10"/>
        <v>0</v>
      </c>
      <c r="F123" s="196" t="str">
        <f t="shared" si="23"/>
        <v/>
      </c>
      <c r="H123" s="194">
        <v>2057</v>
      </c>
      <c r="I123" s="195">
        <f t="shared" si="11"/>
        <v>0</v>
      </c>
      <c r="J123" s="195">
        <f t="shared" si="12"/>
        <v>0</v>
      </c>
      <c r="K123" s="195">
        <f t="shared" si="13"/>
        <v>0</v>
      </c>
      <c r="L123" s="195">
        <f t="shared" si="14"/>
        <v>0</v>
      </c>
      <c r="M123" s="195">
        <f t="shared" si="15"/>
        <v>0</v>
      </c>
      <c r="O123" s="195">
        <f t="shared" si="16"/>
        <v>0</v>
      </c>
      <c r="P123" s="196" t="str">
        <f t="shared" si="24"/>
        <v/>
      </c>
      <c r="Q123" s="195">
        <f t="shared" si="17"/>
        <v>0</v>
      </c>
      <c r="R123" s="196" t="str">
        <f t="shared" si="25"/>
        <v/>
      </c>
      <c r="S123" s="464">
        <f t="shared" si="18"/>
        <v>0</v>
      </c>
      <c r="T123" s="196" t="str">
        <f t="shared" si="26"/>
        <v/>
      </c>
      <c r="W123" s="195">
        <f t="shared" si="30"/>
        <v>0</v>
      </c>
      <c r="X123" s="195">
        <f t="shared" si="19"/>
        <v>0</v>
      </c>
      <c r="Y123" s="195">
        <f t="shared" si="31"/>
        <v>0</v>
      </c>
      <c r="Z123" s="195">
        <f t="shared" si="32"/>
        <v>0</v>
      </c>
      <c r="AA123" s="196" t="str">
        <f t="shared" si="33"/>
        <v/>
      </c>
      <c r="AB123" s="196" t="str">
        <f t="shared" si="27"/>
        <v/>
      </c>
      <c r="AC123" s="196" t="str">
        <f t="shared" si="28"/>
        <v/>
      </c>
      <c r="AD123" s="247" t="str">
        <f t="shared" si="29"/>
        <v/>
      </c>
      <c r="AF123" s="251" t="e">
        <f t="shared" si="20"/>
        <v>#DIV/0!</v>
      </c>
      <c r="AG123" s="251" t="e">
        <f t="shared" si="21"/>
        <v>#DIV/0!</v>
      </c>
    </row>
    <row r="124" spans="1:53" x14ac:dyDescent="0.25">
      <c r="A124" s="194">
        <v>2058</v>
      </c>
      <c r="B124" s="195">
        <f t="shared" si="22"/>
        <v>0</v>
      </c>
      <c r="C124" s="195">
        <f t="shared" si="8"/>
        <v>0</v>
      </c>
      <c r="D124" s="195">
        <f t="shared" si="9"/>
        <v>0</v>
      </c>
      <c r="E124" s="195">
        <f t="shared" si="10"/>
        <v>0</v>
      </c>
      <c r="F124" s="196" t="str">
        <f t="shared" si="23"/>
        <v/>
      </c>
      <c r="H124" s="194">
        <v>2058</v>
      </c>
      <c r="I124" s="195">
        <f t="shared" si="11"/>
        <v>0</v>
      </c>
      <c r="J124" s="195">
        <f t="shared" si="12"/>
        <v>0</v>
      </c>
      <c r="K124" s="195">
        <f t="shared" si="13"/>
        <v>0</v>
      </c>
      <c r="L124" s="195">
        <f t="shared" si="14"/>
        <v>0</v>
      </c>
      <c r="M124" s="195">
        <f t="shared" si="15"/>
        <v>0</v>
      </c>
      <c r="O124" s="195">
        <f t="shared" si="16"/>
        <v>0</v>
      </c>
      <c r="P124" s="196" t="str">
        <f t="shared" si="24"/>
        <v/>
      </c>
      <c r="Q124" s="195">
        <f t="shared" si="17"/>
        <v>0</v>
      </c>
      <c r="R124" s="196" t="str">
        <f t="shared" si="25"/>
        <v/>
      </c>
      <c r="S124" s="464">
        <f t="shared" si="18"/>
        <v>0</v>
      </c>
      <c r="T124" s="196" t="str">
        <f t="shared" si="26"/>
        <v/>
      </c>
      <c r="W124" s="195">
        <f t="shared" si="30"/>
        <v>0</v>
      </c>
      <c r="X124" s="195">
        <f t="shared" si="19"/>
        <v>0</v>
      </c>
      <c r="Y124" s="195">
        <f t="shared" si="31"/>
        <v>0</v>
      </c>
      <c r="Z124" s="195">
        <f t="shared" si="32"/>
        <v>0</v>
      </c>
      <c r="AA124" s="196" t="str">
        <f t="shared" si="33"/>
        <v/>
      </c>
      <c r="AB124" s="196" t="str">
        <f t="shared" si="27"/>
        <v/>
      </c>
      <c r="AC124" s="196" t="str">
        <f t="shared" si="28"/>
        <v/>
      </c>
      <c r="AD124" s="247" t="str">
        <f t="shared" si="29"/>
        <v/>
      </c>
      <c r="AF124" s="251" t="e">
        <f t="shared" si="20"/>
        <v>#DIV/0!</v>
      </c>
      <c r="AG124" s="251" t="e">
        <f t="shared" si="21"/>
        <v>#DIV/0!</v>
      </c>
    </row>
    <row r="125" spans="1:53" x14ac:dyDescent="0.25">
      <c r="A125" s="194">
        <v>2059</v>
      </c>
      <c r="B125" s="195">
        <f t="shared" si="22"/>
        <v>0</v>
      </c>
      <c r="C125" s="195">
        <f t="shared" si="8"/>
        <v>0</v>
      </c>
      <c r="D125" s="195">
        <f t="shared" si="9"/>
        <v>0</v>
      </c>
      <c r="E125" s="195">
        <f t="shared" si="10"/>
        <v>0</v>
      </c>
      <c r="F125" s="196" t="str">
        <f t="shared" si="23"/>
        <v/>
      </c>
      <c r="H125" s="194">
        <v>2059</v>
      </c>
      <c r="I125" s="195">
        <f t="shared" si="11"/>
        <v>0</v>
      </c>
      <c r="J125" s="195">
        <f t="shared" si="12"/>
        <v>0</v>
      </c>
      <c r="K125" s="195">
        <f t="shared" si="13"/>
        <v>0</v>
      </c>
      <c r="L125" s="195">
        <f t="shared" si="14"/>
        <v>0</v>
      </c>
      <c r="M125" s="195">
        <f t="shared" si="15"/>
        <v>0</v>
      </c>
      <c r="O125" s="195">
        <f t="shared" si="16"/>
        <v>0</v>
      </c>
      <c r="P125" s="196" t="str">
        <f t="shared" si="24"/>
        <v/>
      </c>
      <c r="Q125" s="195">
        <f t="shared" si="17"/>
        <v>0</v>
      </c>
      <c r="R125" s="196" t="str">
        <f t="shared" si="25"/>
        <v/>
      </c>
      <c r="S125" s="464">
        <f t="shared" si="18"/>
        <v>0</v>
      </c>
      <c r="T125" s="196" t="str">
        <f t="shared" si="26"/>
        <v/>
      </c>
      <c r="W125" s="195">
        <f t="shared" si="30"/>
        <v>0</v>
      </c>
      <c r="X125" s="195">
        <f t="shared" si="19"/>
        <v>0</v>
      </c>
      <c r="Y125" s="195">
        <f t="shared" si="31"/>
        <v>0</v>
      </c>
      <c r="Z125" s="195">
        <f t="shared" si="32"/>
        <v>0</v>
      </c>
      <c r="AA125" s="196" t="str">
        <f t="shared" si="33"/>
        <v/>
      </c>
      <c r="AB125" s="196" t="str">
        <f t="shared" si="27"/>
        <v/>
      </c>
      <c r="AC125" s="196" t="str">
        <f t="shared" si="28"/>
        <v/>
      </c>
      <c r="AD125" s="247" t="str">
        <f t="shared" si="29"/>
        <v/>
      </c>
      <c r="AF125" s="251" t="e">
        <f t="shared" si="20"/>
        <v>#DIV/0!</v>
      </c>
      <c r="AG125" s="251" t="e">
        <f t="shared" si="21"/>
        <v>#DIV/0!</v>
      </c>
    </row>
    <row r="126" spans="1:53" x14ac:dyDescent="0.25">
      <c r="A126" s="194">
        <v>2060</v>
      </c>
      <c r="B126" s="195">
        <f t="shared" si="22"/>
        <v>0</v>
      </c>
      <c r="C126" s="195">
        <f t="shared" si="8"/>
        <v>0</v>
      </c>
      <c r="D126" s="195">
        <f t="shared" si="9"/>
        <v>0</v>
      </c>
      <c r="E126" s="195">
        <f t="shared" si="10"/>
        <v>0</v>
      </c>
      <c r="F126" s="196" t="str">
        <f t="shared" si="23"/>
        <v/>
      </c>
      <c r="H126" s="194">
        <v>2060</v>
      </c>
      <c r="I126" s="195">
        <f t="shared" si="11"/>
        <v>0</v>
      </c>
      <c r="J126" s="195">
        <f t="shared" si="12"/>
        <v>0</v>
      </c>
      <c r="K126" s="195">
        <f t="shared" si="13"/>
        <v>0</v>
      </c>
      <c r="L126" s="195">
        <f t="shared" si="14"/>
        <v>0</v>
      </c>
      <c r="M126" s="195">
        <f t="shared" si="15"/>
        <v>0</v>
      </c>
      <c r="O126" s="195">
        <f t="shared" si="16"/>
        <v>0</v>
      </c>
      <c r="P126" s="196" t="str">
        <f t="shared" si="24"/>
        <v/>
      </c>
      <c r="Q126" s="195">
        <f t="shared" si="17"/>
        <v>0</v>
      </c>
      <c r="R126" s="196" t="str">
        <f t="shared" si="25"/>
        <v/>
      </c>
      <c r="S126" s="464">
        <f t="shared" si="18"/>
        <v>0</v>
      </c>
      <c r="T126" s="196" t="str">
        <f t="shared" si="26"/>
        <v/>
      </c>
      <c r="W126" s="195">
        <f t="shared" si="30"/>
        <v>0</v>
      </c>
      <c r="X126" s="195">
        <f t="shared" si="19"/>
        <v>0</v>
      </c>
      <c r="Y126" s="195">
        <f t="shared" si="31"/>
        <v>0</v>
      </c>
      <c r="Z126" s="195">
        <f t="shared" si="32"/>
        <v>0</v>
      </c>
      <c r="AA126" s="196" t="str">
        <f t="shared" si="33"/>
        <v/>
      </c>
      <c r="AB126" s="196" t="str">
        <f t="shared" si="27"/>
        <v/>
      </c>
      <c r="AC126" s="196" t="str">
        <f t="shared" si="28"/>
        <v/>
      </c>
      <c r="AD126" s="247" t="str">
        <f t="shared" si="29"/>
        <v/>
      </c>
      <c r="AF126" s="251" t="e">
        <f t="shared" si="20"/>
        <v>#DIV/0!</v>
      </c>
      <c r="AG126" s="251" t="e">
        <f t="shared" si="21"/>
        <v>#DIV/0!</v>
      </c>
      <c r="BA126" s="516"/>
    </row>
    <row r="127" spans="1:53" x14ac:dyDescent="0.25">
      <c r="BA127" s="516"/>
    </row>
    <row r="128" spans="1:53" x14ac:dyDescent="0.25">
      <c r="BA128" s="516"/>
    </row>
    <row r="129" spans="1:58" ht="92.25" customHeight="1" x14ac:dyDescent="0.25">
      <c r="BA129" s="516"/>
    </row>
    <row r="130" spans="1:58" ht="13.5" customHeight="1" thickBot="1" x14ac:dyDescent="0.3">
      <c r="BA130" s="516"/>
    </row>
    <row r="131" spans="1:58" s="485" customFormat="1" ht="44.25" customHeight="1" thickBot="1" x14ac:dyDescent="0.35">
      <c r="A131" s="491"/>
      <c r="B131" s="660" t="s">
        <v>595</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598</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516"/>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Plastics_cluster</v>
      </c>
      <c r="AU132" s="607"/>
      <c r="AV132" s="608"/>
      <c r="AW132" s="445"/>
      <c r="AX132" s="606" t="str">
        <f ca="1">CONCATENATE("Table 11(b): EMISSIONS ALLOCATION TO Education in LLDC, ",A1)</f>
        <v>Table 11(b): EMISSIONS ALLOCATION TO Education in LLDC, Plastics_cluster</v>
      </c>
      <c r="AY132" s="608"/>
      <c r="AZ132" s="446"/>
      <c r="BA132" s="606" t="str">
        <f ca="1">CONCATENATE("Table 11(c): EMISSIONS ALLOCATION TO Family Planning in LLDC, ",A1)</f>
        <v>Table 11(c): EMISSIONS ALLOCATION TO Family Planning in LLDC, Plastics_cluster</v>
      </c>
      <c r="BB132" s="608"/>
      <c r="BC132" s="516"/>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514" t="s">
        <v>219</v>
      </c>
      <c r="K133" s="514" t="s">
        <v>220</v>
      </c>
      <c r="L133" s="514" t="s">
        <v>221</v>
      </c>
      <c r="M133" s="515" t="s">
        <v>222</v>
      </c>
      <c r="N133" s="515" t="s">
        <v>220</v>
      </c>
      <c r="O133" s="515" t="s">
        <v>248</v>
      </c>
      <c r="P133" s="515"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516"/>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514" t="s">
        <v>500</v>
      </c>
      <c r="K134" s="514" t="s">
        <v>500</v>
      </c>
      <c r="L134" s="514" t="s">
        <v>513</v>
      </c>
      <c r="M134" s="515" t="s">
        <v>500</v>
      </c>
      <c r="N134" s="515" t="s">
        <v>500</v>
      </c>
      <c r="O134" s="515" t="s">
        <v>249</v>
      </c>
      <c r="P134" s="515"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516"/>
      <c r="BE134" s="481" t="s">
        <v>227</v>
      </c>
      <c r="BF134" s="481" t="s">
        <v>228</v>
      </c>
    </row>
    <row r="135" spans="1:58" ht="15.6" x14ac:dyDescent="0.3">
      <c r="A135" s="152">
        <v>2014</v>
      </c>
      <c r="B135" s="178"/>
      <c r="C135" s="182"/>
      <c r="D135" s="183"/>
      <c r="E135" s="179" t="str">
        <f>IF($R$4="Y","",IFERROR(IF($G$19="Y",$F$19,$AA80)*(SUMIF($H$5:$H$16,"Y",$F$5:$F$16)*(Z29-B29)),0))</f>
        <v/>
      </c>
      <c r="F135" s="183" t="str">
        <f>IFERROR(E135-E134,"")</f>
        <v/>
      </c>
      <c r="G135" s="247" t="str">
        <f t="shared" ref="G135:G181" si="34">IFERROR(E135/((Z29+N29)-B29),"")</f>
        <v/>
      </c>
      <c r="H135" s="245" t="s">
        <v>264</v>
      </c>
      <c r="I135" s="416"/>
      <c r="J135" s="178"/>
      <c r="K135" s="182"/>
      <c r="L135" s="183"/>
      <c r="M135" s="179" t="str">
        <f>IF($R$4="Y","",IFERROR(IF($G$19="Y",$F$19,$AB80)*(SUMIF($H$5:$H$16,"Y",$F$5:$F$16)*((Z29+N29)-B29)),0))</f>
        <v/>
      </c>
      <c r="N135" s="183" t="str">
        <f>IFERROR(M135-M134,"")</f>
        <v/>
      </c>
      <c r="O135" s="247" t="str">
        <f t="shared" ref="O135:O181" si="35">IFERROR(M135/((Z29+N29)-B29),"")</f>
        <v/>
      </c>
      <c r="P135" s="245" t="s">
        <v>264</v>
      </c>
      <c r="Q135" s="416"/>
      <c r="R135" s="167"/>
      <c r="S135" s="167"/>
      <c r="T135" s="167"/>
      <c r="U135" s="167"/>
      <c r="V135" s="506"/>
      <c r="W135" s="167" t="s">
        <v>211</v>
      </c>
      <c r="X135" s="167" t="s">
        <v>211</v>
      </c>
      <c r="Y135" s="167" t="s">
        <v>213</v>
      </c>
      <c r="Z135" s="167" t="s">
        <v>211</v>
      </c>
      <c r="AA135" s="509"/>
      <c r="AB135" s="496"/>
      <c r="AC135" s="496"/>
      <c r="AE135" s="167" t="s">
        <v>211</v>
      </c>
      <c r="AF135" s="167" t="s">
        <v>211</v>
      </c>
      <c r="AG135" s="167" t="s">
        <v>211</v>
      </c>
      <c r="AH135" s="167" t="s">
        <v>211</v>
      </c>
      <c r="AI135" s="165"/>
      <c r="AJ135" s="167" t="s">
        <v>211</v>
      </c>
      <c r="AK135" s="167" t="s">
        <v>211</v>
      </c>
      <c r="AL135" s="167" t="s">
        <v>213</v>
      </c>
      <c r="AM135" s="167" t="s">
        <v>211</v>
      </c>
      <c r="AN135" s="165"/>
      <c r="AO135" s="257"/>
      <c r="AP135" s="257"/>
      <c r="AT135" s="478">
        <v>2014</v>
      </c>
      <c r="AU135" s="479">
        <f>IFERROR(AB135+AO135,"")</f>
        <v>0</v>
      </c>
      <c r="AV135" s="479">
        <f>IFERROR(AC135+AP135,"")</f>
        <v>0</v>
      </c>
      <c r="AW135" s="430"/>
      <c r="AX135" s="479">
        <f t="shared" ref="AX135:AY181" si="36">IFERROR(AO135*$F$20,"")</f>
        <v>0</v>
      </c>
      <c r="AY135" s="479">
        <f t="shared" si="36"/>
        <v>0</v>
      </c>
      <c r="AZ135" s="430"/>
      <c r="BA135" s="479">
        <f t="shared" ref="BA135:BB181" si="37">AU135-AX135</f>
        <v>0</v>
      </c>
      <c r="BB135" s="479">
        <f t="shared" si="37"/>
        <v>0</v>
      </c>
      <c r="BC135" s="516"/>
      <c r="BE135" s="480" t="str">
        <f t="shared" ref="BE135:BE181" si="38">IFERROR(AX135/AU135,"")</f>
        <v/>
      </c>
      <c r="BF135" s="480" t="str">
        <f t="shared" ref="BF135:BF181" si="39">IFERROR(BB135/(AY135+BB135),"")</f>
        <v/>
      </c>
    </row>
    <row r="136" spans="1:58" ht="15.6" x14ac:dyDescent="0.3">
      <c r="A136" s="152">
        <v>2015</v>
      </c>
      <c r="B136" s="178"/>
      <c r="C136" s="182"/>
      <c r="D136" s="183"/>
      <c r="E136" s="179" t="str">
        <f t="shared" ref="E136:E181" si="40">IF($R$4="Y","",IFERROR(IF($G$19="Y",$F$19,$AA81)*(SUMIF($H$5:$H$16,"Y",$F$5:$F$16)*(Z30-B30)),0))</f>
        <v/>
      </c>
      <c r="F136" s="183" t="str">
        <f>IFERROR(E136-E135,"")</f>
        <v/>
      </c>
      <c r="G136" s="247" t="str">
        <f t="shared" si="34"/>
        <v/>
      </c>
      <c r="H136" s="246"/>
      <c r="I136" s="417"/>
      <c r="J136" s="178"/>
      <c r="K136" s="182"/>
      <c r="L136" s="183"/>
      <c r="M136" s="179" t="str">
        <f t="shared" ref="M136:M181" si="41">IF($R$4="Y","",IFERROR(IF($G$19="Y",$F$19,$AB81)*(SUMIF($H$5:$H$16,"Y",$F$5:$F$16)*((Z30+N30)-B30)),0))</f>
        <v/>
      </c>
      <c r="N136" s="183" t="str">
        <f>IFERROR(M136-M135,"")</f>
        <v/>
      </c>
      <c r="O136" s="247" t="str">
        <f t="shared" si="35"/>
        <v/>
      </c>
      <c r="P136" s="246"/>
      <c r="Q136" s="417"/>
      <c r="R136" s="439"/>
      <c r="S136" s="440"/>
      <c r="T136" s="439"/>
      <c r="U136" s="440"/>
      <c r="V136" s="506"/>
      <c r="W136" s="259" t="str">
        <f>IF(W135="Y",IFERROR(E136*($F$8/SUMIF($H$5:$H$16,"Y",$F$5:$F$16))*$F$21*'Emissions Factors'!$B12,""),"")</f>
        <v/>
      </c>
      <c r="X136" s="259" t="str">
        <f>IF($X$135="Y",IFERROR($E136*(SUM($F$7,$F$5,$F$6)/SUMIF($H$5:$H$16,"Y",$F$5:$F$16))*('Emissions Factors'!$T$143*$F$22)/10^6,""),"")</f>
        <v/>
      </c>
      <c r="Y136" s="259" t="str">
        <f>IF($Y$135="Y",IFERROR($E136*$F$23/10^6,""),"")</f>
        <v/>
      </c>
      <c r="Z136" s="259"/>
      <c r="AA136" s="509"/>
      <c r="AB136" s="441">
        <f t="shared" ref="AB136:AB181" si="42">SUM(W136:Z136)</f>
        <v>0</v>
      </c>
      <c r="AC136" s="441">
        <f t="shared" ref="AC136:AC181" si="43">SUM(R136:U136)</f>
        <v>0</v>
      </c>
      <c r="AE136" s="182"/>
      <c r="AF136" s="178"/>
      <c r="AG136" s="182"/>
      <c r="AH136" s="178"/>
      <c r="AJ136" s="259" t="str">
        <f>IF($AJ$135="Y",IFERROR(M136*($F$8/SUMIF($H$5:$H$16,"Y",$F$5:$F$16))*$F$21*'Emissions Factors'!$B12,""),"")</f>
        <v/>
      </c>
      <c r="AK136" s="259" t="str">
        <f>IF($AK$135="Y",IFERROR($M136*(SUM($F$7,$F$5,$F$6)/SUMIF($H$5:$H$16,"Y",$F$5:$F$16))*('Emissions Factors'!$T$143*$F$22)/10^6,""),"")</f>
        <v/>
      </c>
      <c r="AL136" s="259" t="str">
        <f>IF($Y$135="Y",IFERROR($M136*$F$23/10^6,""),"")</f>
        <v/>
      </c>
      <c r="AM136" s="180"/>
      <c r="AO136" s="180">
        <f t="shared" ref="AO136:AO181" si="44">SUM(AJ136:AM136)</f>
        <v>0</v>
      </c>
      <c r="AP136" s="180">
        <f t="shared" ref="AP136:AP181" si="45">SUM(AE136:AH136)</f>
        <v>0</v>
      </c>
      <c r="AT136" s="478">
        <v>2015</v>
      </c>
      <c r="AU136" s="479">
        <f t="shared" ref="AU136:AV181" si="46">IFERROR(AB136+AO136,"")</f>
        <v>0</v>
      </c>
      <c r="AV136" s="479">
        <f t="shared" si="46"/>
        <v>0</v>
      </c>
      <c r="AW136" s="430"/>
      <c r="AX136" s="479">
        <f t="shared" si="36"/>
        <v>0</v>
      </c>
      <c r="AY136" s="479">
        <f t="shared" si="36"/>
        <v>0</v>
      </c>
      <c r="AZ136" s="430"/>
      <c r="BA136" s="479">
        <f t="shared" si="37"/>
        <v>0</v>
      </c>
      <c r="BB136" s="479">
        <f t="shared" si="37"/>
        <v>0</v>
      </c>
      <c r="BC136" s="516"/>
      <c r="BE136" s="480" t="str">
        <f t="shared" si="38"/>
        <v/>
      </c>
      <c r="BF136" s="480" t="str">
        <f t="shared" si="39"/>
        <v/>
      </c>
    </row>
    <row r="137" spans="1:58" ht="15.6" x14ac:dyDescent="0.3">
      <c r="A137" s="152">
        <v>2016</v>
      </c>
      <c r="B137" s="178"/>
      <c r="C137" s="182"/>
      <c r="D137" s="183"/>
      <c r="E137" s="179" t="str">
        <f t="shared" si="40"/>
        <v/>
      </c>
      <c r="F137" s="183" t="str">
        <f t="shared" ref="F137:F181" si="47">IFERROR(E137-E136,"")</f>
        <v/>
      </c>
      <c r="G137" s="247" t="str">
        <f t="shared" si="34"/>
        <v/>
      </c>
      <c r="H137" s="246"/>
      <c r="I137" s="417"/>
      <c r="J137" s="178"/>
      <c r="K137" s="182"/>
      <c r="L137" s="183"/>
      <c r="M137" s="179" t="str">
        <f t="shared" si="41"/>
        <v/>
      </c>
      <c r="N137" s="183" t="str">
        <f>IFERROR(M137-M136,"")</f>
        <v/>
      </c>
      <c r="O137" s="247" t="str">
        <f t="shared" si="35"/>
        <v/>
      </c>
      <c r="P137" s="246"/>
      <c r="Q137" s="417"/>
      <c r="R137" s="439"/>
      <c r="S137" s="440"/>
      <c r="T137" s="439"/>
      <c r="U137" s="440"/>
      <c r="V137" s="506"/>
      <c r="W137" s="259" t="str">
        <f>IF($W$135="Y",IFERROR(E137*($F$8/SUMIF($H$5:$H$16,"Y",$F$5:$F$16))*$F$21*'Emissions Factors'!$B13,""),"")</f>
        <v/>
      </c>
      <c r="X137" s="259" t="str">
        <f>IF($X$135="Y",IFERROR($E137*(SUM($F$7,$F$5,$F$6)/SUMIF($H$5:$H$16,"Y",$F$5:$F$16))*('Emissions Factors'!$T$143*$F$22)/10^6,""),"")</f>
        <v/>
      </c>
      <c r="Y137" s="259" t="str">
        <f t="shared" ref="Y137:Y181" si="48">IF($Y$135="Y",IFERROR($E137*$F$23/10^6,""),"")</f>
        <v/>
      </c>
      <c r="Z137" s="441"/>
      <c r="AA137" s="509"/>
      <c r="AB137" s="441">
        <f t="shared" si="42"/>
        <v>0</v>
      </c>
      <c r="AC137" s="441">
        <f t="shared" si="43"/>
        <v>0</v>
      </c>
      <c r="AE137" s="182"/>
      <c r="AF137" s="178"/>
      <c r="AG137" s="182"/>
      <c r="AH137" s="178"/>
      <c r="AJ137" s="259" t="str">
        <f>IF($AJ$135="Y",IFERROR(M137*($F$8/SUMIF($H$5:$H$16,"Y",$F$5:$F$16))*$F$21*'Emissions Factors'!$B13,""),"")</f>
        <v/>
      </c>
      <c r="AK137" s="259" t="str">
        <f>IF($AK$135="Y",IFERROR($M137*(SUM($F$7,$F$5,$F$6)/SUMIF($H$5:$H$16,"Y",$F$5:$F$16))*('Emissions Factors'!$T$143*$F$22)/10^6,""),"")</f>
        <v/>
      </c>
      <c r="AL137" s="259" t="str">
        <f t="shared" ref="AL137:AL181" si="49">IF($Y$135="Y",IFERROR($M137*$F$23/10^6,""),"")</f>
        <v/>
      </c>
      <c r="AM137" s="180"/>
      <c r="AO137" s="180">
        <f t="shared" si="44"/>
        <v>0</v>
      </c>
      <c r="AP137" s="180">
        <f t="shared" si="45"/>
        <v>0</v>
      </c>
      <c r="AT137" s="478">
        <v>2016</v>
      </c>
      <c r="AU137" s="479">
        <f t="shared" si="46"/>
        <v>0</v>
      </c>
      <c r="AV137" s="479">
        <f t="shared" si="46"/>
        <v>0</v>
      </c>
      <c r="AW137" s="430"/>
      <c r="AX137" s="479">
        <f t="shared" si="36"/>
        <v>0</v>
      </c>
      <c r="AY137" s="479">
        <f t="shared" si="36"/>
        <v>0</v>
      </c>
      <c r="AZ137" s="430"/>
      <c r="BA137" s="479">
        <f t="shared" si="37"/>
        <v>0</v>
      </c>
      <c r="BB137" s="479">
        <f t="shared" si="37"/>
        <v>0</v>
      </c>
      <c r="BC137" s="516"/>
      <c r="BE137" s="480" t="str">
        <f t="shared" si="38"/>
        <v/>
      </c>
      <c r="BF137" s="480" t="str">
        <f t="shared" si="39"/>
        <v/>
      </c>
    </row>
    <row r="138" spans="1:58" ht="15.6" x14ac:dyDescent="0.3">
      <c r="A138" s="152">
        <v>2017</v>
      </c>
      <c r="B138" s="178"/>
      <c r="C138" s="182"/>
      <c r="D138" s="183"/>
      <c r="E138" s="179" t="str">
        <f t="shared" si="40"/>
        <v/>
      </c>
      <c r="F138" s="183" t="str">
        <f>IFERROR(E138-E137,"")</f>
        <v/>
      </c>
      <c r="G138" s="247" t="str">
        <f t="shared" si="34"/>
        <v/>
      </c>
      <c r="H138" s="246"/>
      <c r="I138" s="417"/>
      <c r="J138" s="178"/>
      <c r="K138" s="182"/>
      <c r="L138" s="183"/>
      <c r="M138" s="179" t="str">
        <f t="shared" si="41"/>
        <v/>
      </c>
      <c r="N138" s="183" t="str">
        <f>IFERROR(M138-M137,"")</f>
        <v/>
      </c>
      <c r="O138" s="247" t="str">
        <f t="shared" si="35"/>
        <v/>
      </c>
      <c r="P138" s="246"/>
      <c r="Q138" s="417"/>
      <c r="R138" s="439"/>
      <c r="S138" s="440"/>
      <c r="T138" s="439"/>
      <c r="U138" s="440"/>
      <c r="V138" s="506"/>
      <c r="W138" s="259" t="str">
        <f>IF($W$135="Y",IFERROR(E138*($F$8/SUMIF($H$5:$H$16,"Y",$F$5:$F$16))*$F$21*'Emissions Factors'!$B14,""),"")</f>
        <v/>
      </c>
      <c r="X138" s="259" t="str">
        <f>IF($X$135="Y",IFERROR($E138*(SUM($F$7,$F$5,$F$6)/SUMIF($H$5:$H$16,"Y",$F$5:$F$16))*('Emissions Factors'!$T$143*$F$22)/10^6,""),"")</f>
        <v/>
      </c>
      <c r="Y138" s="259" t="str">
        <f t="shared" si="48"/>
        <v/>
      </c>
      <c r="Z138" s="441"/>
      <c r="AA138" s="509"/>
      <c r="AB138" s="441">
        <f t="shared" si="42"/>
        <v>0</v>
      </c>
      <c r="AC138" s="441">
        <f t="shared" si="43"/>
        <v>0</v>
      </c>
      <c r="AE138" s="182"/>
      <c r="AF138" s="178"/>
      <c r="AG138" s="182"/>
      <c r="AH138" s="178"/>
      <c r="AJ138" s="259" t="str">
        <f>IF($AJ$135="Y",IFERROR(M138*($F$8/SUMIF($H$5:$H$16,"Y",$F$5:$F$16))*$F$21*'Emissions Factors'!$B14,""),"")</f>
        <v/>
      </c>
      <c r="AK138" s="259" t="str">
        <f>IF($AK$135="Y",IFERROR($M138*(SUM($F$7,$F$5,$F$6)/SUMIF($H$5:$H$16,"Y",$F$5:$F$16))*('Emissions Factors'!$T$143*$F$22)/10^6,""),"")</f>
        <v/>
      </c>
      <c r="AL138" s="259" t="str">
        <f t="shared" si="49"/>
        <v/>
      </c>
      <c r="AM138" s="180"/>
      <c r="AO138" s="180">
        <f t="shared" si="44"/>
        <v>0</v>
      </c>
      <c r="AP138" s="180">
        <f t="shared" si="45"/>
        <v>0</v>
      </c>
      <c r="AT138" s="478">
        <v>2017</v>
      </c>
      <c r="AU138" s="479">
        <f t="shared" si="46"/>
        <v>0</v>
      </c>
      <c r="AV138" s="479">
        <f t="shared" si="46"/>
        <v>0</v>
      </c>
      <c r="AW138" s="430"/>
      <c r="AX138" s="479">
        <f t="shared" si="36"/>
        <v>0</v>
      </c>
      <c r="AY138" s="479">
        <f t="shared" si="36"/>
        <v>0</v>
      </c>
      <c r="AZ138" s="430"/>
      <c r="BA138" s="479">
        <f t="shared" si="37"/>
        <v>0</v>
      </c>
      <c r="BB138" s="479">
        <f t="shared" si="37"/>
        <v>0</v>
      </c>
      <c r="BC138" s="516"/>
      <c r="BE138" s="480" t="str">
        <f t="shared" si="38"/>
        <v/>
      </c>
      <c r="BF138" s="480" t="str">
        <f t="shared" si="39"/>
        <v/>
      </c>
    </row>
    <row r="139" spans="1:58" ht="15.6" x14ac:dyDescent="0.3">
      <c r="A139" s="152">
        <v>2018</v>
      </c>
      <c r="B139" s="178"/>
      <c r="C139" s="182"/>
      <c r="D139" s="183"/>
      <c r="E139" s="179" t="str">
        <f t="shared" si="40"/>
        <v/>
      </c>
      <c r="F139" s="183" t="str">
        <f t="shared" si="47"/>
        <v/>
      </c>
      <c r="G139" s="247" t="str">
        <f t="shared" si="34"/>
        <v/>
      </c>
      <c r="H139" s="246"/>
      <c r="I139" s="417"/>
      <c r="J139" s="178"/>
      <c r="K139" s="182"/>
      <c r="L139" s="183"/>
      <c r="M139" s="179" t="str">
        <f t="shared" si="41"/>
        <v/>
      </c>
      <c r="N139" s="183" t="str">
        <f t="shared" ref="N139:N181" si="50">IFERROR(M139-M138,"")</f>
        <v/>
      </c>
      <c r="O139" s="247" t="str">
        <f t="shared" si="35"/>
        <v/>
      </c>
      <c r="P139" s="246"/>
      <c r="Q139" s="417"/>
      <c r="R139" s="439"/>
      <c r="S139" s="440"/>
      <c r="T139" s="439"/>
      <c r="U139" s="440"/>
      <c r="V139" s="506"/>
      <c r="W139" s="259" t="str">
        <f>IF($W$135="Y",IFERROR(E139*($F$8/SUMIF($H$5:$H$16,"Y",$F$5:$F$16))*$F$21*'Emissions Factors'!$B15,""),"")</f>
        <v/>
      </c>
      <c r="X139" s="259" t="str">
        <f>IF($X$135="Y",IFERROR($E139*(SUM($F$7,$F$5,$F$6)/SUMIF($H$5:$H$16,"Y",$F$5:$F$16))*('Emissions Factors'!$T$143*$F$22)/10^6,""),"")</f>
        <v/>
      </c>
      <c r="Y139" s="259" t="str">
        <f t="shared" si="48"/>
        <v/>
      </c>
      <c r="Z139" s="441"/>
      <c r="AA139" s="509"/>
      <c r="AB139" s="441">
        <f t="shared" si="42"/>
        <v>0</v>
      </c>
      <c r="AC139" s="441">
        <f t="shared" si="43"/>
        <v>0</v>
      </c>
      <c r="AE139" s="182"/>
      <c r="AF139" s="178"/>
      <c r="AG139" s="182"/>
      <c r="AH139" s="178"/>
      <c r="AJ139" s="259" t="str">
        <f>IF($AJ$135="Y",IFERROR(M139*($F$8/SUMIF($H$5:$H$16,"Y",$F$5:$F$16))*$F$21*'Emissions Factors'!$B15,""),"")</f>
        <v/>
      </c>
      <c r="AK139" s="259" t="str">
        <f>IF($AK$135="Y",IFERROR($M139*(SUM($F$7,$F$5,$F$6)/SUMIF($H$5:$H$16,"Y",$F$5:$F$16))*('Emissions Factors'!$T$143*$F$22)/10^6,""),"")</f>
        <v/>
      </c>
      <c r="AL139" s="259" t="str">
        <f t="shared" si="49"/>
        <v/>
      </c>
      <c r="AM139" s="180"/>
      <c r="AO139" s="180">
        <f t="shared" si="44"/>
        <v>0</v>
      </c>
      <c r="AP139" s="180">
        <f t="shared" si="45"/>
        <v>0</v>
      </c>
      <c r="AT139" s="478">
        <v>2018</v>
      </c>
      <c r="AU139" s="479">
        <f t="shared" si="46"/>
        <v>0</v>
      </c>
      <c r="AV139" s="479">
        <f t="shared" si="46"/>
        <v>0</v>
      </c>
      <c r="AW139" s="430"/>
      <c r="AX139" s="479">
        <f t="shared" si="36"/>
        <v>0</v>
      </c>
      <c r="AY139" s="479">
        <f t="shared" si="36"/>
        <v>0</v>
      </c>
      <c r="AZ139" s="430"/>
      <c r="BA139" s="479">
        <f t="shared" si="37"/>
        <v>0</v>
      </c>
      <c r="BB139" s="479">
        <f t="shared" si="37"/>
        <v>0</v>
      </c>
      <c r="BC139" s="516"/>
      <c r="BE139" s="480" t="str">
        <f t="shared" si="38"/>
        <v/>
      </c>
      <c r="BF139" s="480" t="str">
        <f t="shared" si="39"/>
        <v/>
      </c>
    </row>
    <row r="140" spans="1:58" ht="15.6" x14ac:dyDescent="0.3">
      <c r="A140" s="152">
        <v>2019</v>
      </c>
      <c r="B140" s="178"/>
      <c r="C140" s="182"/>
      <c r="D140" s="183"/>
      <c r="E140" s="179" t="str">
        <f t="shared" si="40"/>
        <v/>
      </c>
      <c r="F140" s="183" t="str">
        <f t="shared" si="47"/>
        <v/>
      </c>
      <c r="G140" s="247" t="str">
        <f t="shared" si="34"/>
        <v/>
      </c>
      <c r="H140" s="246"/>
      <c r="I140" s="417"/>
      <c r="J140" s="178"/>
      <c r="K140" s="182"/>
      <c r="L140" s="183"/>
      <c r="M140" s="179" t="str">
        <f t="shared" si="41"/>
        <v/>
      </c>
      <c r="N140" s="183" t="str">
        <f t="shared" si="50"/>
        <v/>
      </c>
      <c r="O140" s="247" t="str">
        <f t="shared" si="35"/>
        <v/>
      </c>
      <c r="P140" s="246"/>
      <c r="Q140" s="417"/>
      <c r="R140" s="439"/>
      <c r="S140" s="440"/>
      <c r="T140" s="439"/>
      <c r="U140" s="440"/>
      <c r="V140" s="506"/>
      <c r="W140" s="259" t="str">
        <f>IF($W$135="Y",IFERROR(E140*($F$8/SUMIF($H$5:$H$16,"Y",$F$5:$F$16))*$F$21*'Emissions Factors'!$B16,""),"")</f>
        <v/>
      </c>
      <c r="X140" s="259" t="str">
        <f>IF($X$135="Y",IFERROR($E140*(SUM($F$7,$F$5,$F$6)/SUMIF($H$5:$H$16,"Y",$F$5:$F$16))*('Emissions Factors'!$T$143*$F$22)/10^6,""),"")</f>
        <v/>
      </c>
      <c r="Y140" s="259" t="str">
        <f t="shared" si="48"/>
        <v/>
      </c>
      <c r="Z140" s="441"/>
      <c r="AA140" s="509"/>
      <c r="AB140" s="441">
        <f t="shared" si="42"/>
        <v>0</v>
      </c>
      <c r="AC140" s="441">
        <f t="shared" si="43"/>
        <v>0</v>
      </c>
      <c r="AE140" s="182"/>
      <c r="AF140" s="178"/>
      <c r="AG140" s="182"/>
      <c r="AH140" s="178"/>
      <c r="AJ140" s="259" t="str">
        <f>IF($AJ$135="Y",IFERROR(M140*($F$8/SUMIF($H$5:$H$16,"Y",$F$5:$F$16))*$F$21*'Emissions Factors'!$B16,""),"")</f>
        <v/>
      </c>
      <c r="AK140" s="259" t="str">
        <f>IF($AK$135="Y",IFERROR($M140*(SUM($F$7,$F$5,$F$6)/SUMIF($H$5:$H$16,"Y",$F$5:$F$16))*('Emissions Factors'!$T$143*$F$22)/10^6,""),"")</f>
        <v/>
      </c>
      <c r="AL140" s="259" t="str">
        <f t="shared" si="49"/>
        <v/>
      </c>
      <c r="AM140" s="180"/>
      <c r="AO140" s="180">
        <f t="shared" si="44"/>
        <v>0</v>
      </c>
      <c r="AP140" s="180">
        <f t="shared" si="45"/>
        <v>0</v>
      </c>
      <c r="AT140" s="478">
        <v>2019</v>
      </c>
      <c r="AU140" s="479">
        <f t="shared" si="46"/>
        <v>0</v>
      </c>
      <c r="AV140" s="479">
        <f t="shared" si="46"/>
        <v>0</v>
      </c>
      <c r="AW140" s="430"/>
      <c r="AX140" s="479">
        <f t="shared" si="36"/>
        <v>0</v>
      </c>
      <c r="AY140" s="479">
        <f t="shared" si="36"/>
        <v>0</v>
      </c>
      <c r="AZ140" s="430"/>
      <c r="BA140" s="479">
        <f t="shared" si="37"/>
        <v>0</v>
      </c>
      <c r="BB140" s="479">
        <f t="shared" si="37"/>
        <v>0</v>
      </c>
      <c r="BC140" s="516"/>
      <c r="BE140" s="480" t="str">
        <f t="shared" si="38"/>
        <v/>
      </c>
      <c r="BF140" s="480" t="str">
        <f t="shared" si="39"/>
        <v/>
      </c>
    </row>
    <row r="141" spans="1:58" ht="15.6" x14ac:dyDescent="0.3">
      <c r="A141" s="152">
        <v>2020</v>
      </c>
      <c r="B141" s="178"/>
      <c r="C141" s="182"/>
      <c r="D141" s="183"/>
      <c r="E141" s="179" t="str">
        <f t="shared" si="40"/>
        <v/>
      </c>
      <c r="F141" s="183" t="str">
        <f t="shared" si="47"/>
        <v/>
      </c>
      <c r="G141" s="247" t="str">
        <f t="shared" si="34"/>
        <v/>
      </c>
      <c r="H141" s="246"/>
      <c r="I141" s="417"/>
      <c r="J141" s="178"/>
      <c r="K141" s="182"/>
      <c r="L141" s="183"/>
      <c r="M141" s="179" t="str">
        <f t="shared" si="41"/>
        <v/>
      </c>
      <c r="N141" s="183" t="str">
        <f t="shared" si="50"/>
        <v/>
      </c>
      <c r="O141" s="247" t="str">
        <f t="shared" si="35"/>
        <v/>
      </c>
      <c r="P141" s="246"/>
      <c r="Q141" s="417"/>
      <c r="R141" s="439"/>
      <c r="S141" s="440"/>
      <c r="T141" s="439"/>
      <c r="U141" s="440"/>
      <c r="V141" s="506"/>
      <c r="W141" s="259" t="str">
        <f>IF($W$135="Y",IFERROR(E141*($F$8/SUMIF($H$5:$H$16,"Y",$F$5:$F$16))*$F$21*'Emissions Factors'!$B17,""),"")</f>
        <v/>
      </c>
      <c r="X141" s="259" t="str">
        <f>IF($X$135="Y",IFERROR($E141*(SUM($F$7,$F$5,$F$6)/SUMIF($H$5:$H$16,"Y",$F$5:$F$16))*('Emissions Factors'!$T$143*$F$22)/10^6,""),"")</f>
        <v/>
      </c>
      <c r="Y141" s="259" t="str">
        <f t="shared" si="48"/>
        <v/>
      </c>
      <c r="Z141" s="441"/>
      <c r="AA141" s="509"/>
      <c r="AB141" s="441">
        <f t="shared" si="42"/>
        <v>0</v>
      </c>
      <c r="AC141" s="441">
        <f t="shared" si="43"/>
        <v>0</v>
      </c>
      <c r="AE141" s="182"/>
      <c r="AF141" s="178"/>
      <c r="AG141" s="182"/>
      <c r="AH141" s="178"/>
      <c r="AJ141" s="259" t="str">
        <f>IF($AJ$135="Y",IFERROR(M141*($F$8/SUMIF($H$5:$H$16,"Y",$F$5:$F$16))*$F$21*'Emissions Factors'!$B17,""),"")</f>
        <v/>
      </c>
      <c r="AK141" s="259" t="str">
        <f>IF($AK$135="Y",IFERROR($M141*(SUM($F$7,$F$5,$F$6)/SUMIF($H$5:$H$16,"Y",$F$5:$F$16))*('Emissions Factors'!$T$143*$F$22)/10^6,""),"")</f>
        <v/>
      </c>
      <c r="AL141" s="259" t="str">
        <f t="shared" si="49"/>
        <v/>
      </c>
      <c r="AM141" s="180"/>
      <c r="AO141" s="180">
        <f t="shared" si="44"/>
        <v>0</v>
      </c>
      <c r="AP141" s="180">
        <f t="shared" si="45"/>
        <v>0</v>
      </c>
      <c r="AS141" s="430"/>
      <c r="AT141" s="478">
        <v>2020</v>
      </c>
      <c r="AU141" s="479">
        <f t="shared" si="46"/>
        <v>0</v>
      </c>
      <c r="AV141" s="479">
        <f t="shared" si="46"/>
        <v>0</v>
      </c>
      <c r="AW141" s="430"/>
      <c r="AX141" s="479">
        <f t="shared" si="36"/>
        <v>0</v>
      </c>
      <c r="AY141" s="479">
        <f t="shared" si="36"/>
        <v>0</v>
      </c>
      <c r="AZ141" s="430"/>
      <c r="BA141" s="479">
        <f t="shared" si="37"/>
        <v>0</v>
      </c>
      <c r="BB141" s="479">
        <f t="shared" si="37"/>
        <v>0</v>
      </c>
      <c r="BC141" s="516"/>
      <c r="BE141" s="480" t="str">
        <f t="shared" si="38"/>
        <v/>
      </c>
      <c r="BF141" s="480" t="str">
        <f t="shared" si="39"/>
        <v/>
      </c>
    </row>
    <row r="142" spans="1:58" ht="15.6" x14ac:dyDescent="0.3">
      <c r="A142" s="152">
        <v>2021</v>
      </c>
      <c r="B142" s="178"/>
      <c r="C142" s="182"/>
      <c r="D142" s="183"/>
      <c r="E142" s="179" t="str">
        <f t="shared" si="40"/>
        <v/>
      </c>
      <c r="F142" s="183" t="str">
        <f t="shared" si="47"/>
        <v/>
      </c>
      <c r="G142" s="247" t="str">
        <f t="shared" si="34"/>
        <v/>
      </c>
      <c r="H142" s="246"/>
      <c r="I142" s="417"/>
      <c r="J142" s="178"/>
      <c r="K142" s="182"/>
      <c r="L142" s="183"/>
      <c r="M142" s="179" t="str">
        <f t="shared" si="41"/>
        <v/>
      </c>
      <c r="N142" s="183" t="str">
        <f t="shared" si="50"/>
        <v/>
      </c>
      <c r="O142" s="247" t="str">
        <f t="shared" si="35"/>
        <v/>
      </c>
      <c r="P142" s="246"/>
      <c r="Q142" s="417"/>
      <c r="R142" s="439"/>
      <c r="S142" s="440"/>
      <c r="T142" s="439"/>
      <c r="U142" s="440"/>
      <c r="V142" s="506"/>
      <c r="W142" s="259" t="str">
        <f>IF($W$135="Y",IFERROR(E142*($F$8/SUMIF($H$5:$H$16,"Y",$F$5:$F$16))*$F$21*'Emissions Factors'!$B18,""),"")</f>
        <v/>
      </c>
      <c r="X142" s="259" t="str">
        <f>IF($X$135="Y",IFERROR($E142*(SUM($F$7,$F$5,$F$6)/SUMIF($H$5:$H$16,"Y",$F$5:$F$16))*('Emissions Factors'!$T$143*$F$22)/10^6,""),"")</f>
        <v/>
      </c>
      <c r="Y142" s="259" t="str">
        <f t="shared" si="48"/>
        <v/>
      </c>
      <c r="Z142" s="441"/>
      <c r="AA142" s="509"/>
      <c r="AB142" s="441">
        <f t="shared" si="42"/>
        <v>0</v>
      </c>
      <c r="AC142" s="441">
        <f t="shared" si="43"/>
        <v>0</v>
      </c>
      <c r="AE142" s="182"/>
      <c r="AF142" s="178"/>
      <c r="AG142" s="182"/>
      <c r="AH142" s="178"/>
      <c r="AJ142" s="259" t="str">
        <f>IF($AJ$135="Y",IFERROR(M142*($F$8/SUMIF($H$5:$H$16,"Y",$F$5:$F$16))*$F$21*'Emissions Factors'!$B18,""),"")</f>
        <v/>
      </c>
      <c r="AK142" s="259" t="str">
        <f>IF($AK$135="Y",IFERROR($M142*(SUM($F$7,$F$5,$F$6)/SUMIF($H$5:$H$16,"Y",$F$5:$F$16))*('Emissions Factors'!$T$143*$F$22)/10^6,""),"")</f>
        <v/>
      </c>
      <c r="AL142" s="259" t="str">
        <f t="shared" si="49"/>
        <v/>
      </c>
      <c r="AM142" s="180"/>
      <c r="AO142" s="180">
        <f t="shared" si="44"/>
        <v>0</v>
      </c>
      <c r="AP142" s="180">
        <f t="shared" si="45"/>
        <v>0</v>
      </c>
      <c r="AS142" s="430"/>
      <c r="AT142" s="478">
        <v>2021</v>
      </c>
      <c r="AU142" s="479">
        <f t="shared" si="46"/>
        <v>0</v>
      </c>
      <c r="AV142" s="479">
        <f t="shared" si="46"/>
        <v>0</v>
      </c>
      <c r="AW142" s="430"/>
      <c r="AX142" s="479">
        <f t="shared" si="36"/>
        <v>0</v>
      </c>
      <c r="AY142" s="479">
        <f t="shared" si="36"/>
        <v>0</v>
      </c>
      <c r="AZ142" s="430"/>
      <c r="BA142" s="479">
        <f t="shared" si="37"/>
        <v>0</v>
      </c>
      <c r="BB142" s="479">
        <f t="shared" si="37"/>
        <v>0</v>
      </c>
      <c r="BC142" s="516"/>
      <c r="BE142" s="480" t="str">
        <f t="shared" si="38"/>
        <v/>
      </c>
      <c r="BF142" s="480" t="str">
        <f t="shared" si="39"/>
        <v/>
      </c>
    </row>
    <row r="143" spans="1:58" ht="15.6" x14ac:dyDescent="0.3">
      <c r="A143" s="152">
        <v>2022</v>
      </c>
      <c r="B143" s="178"/>
      <c r="C143" s="182"/>
      <c r="D143" s="183"/>
      <c r="E143" s="179" t="str">
        <f t="shared" si="40"/>
        <v/>
      </c>
      <c r="F143" s="183" t="str">
        <f t="shared" si="47"/>
        <v/>
      </c>
      <c r="G143" s="247" t="str">
        <f t="shared" si="34"/>
        <v/>
      </c>
      <c r="H143" s="246"/>
      <c r="I143" s="417"/>
      <c r="J143" s="178"/>
      <c r="K143" s="182"/>
      <c r="L143" s="183"/>
      <c r="M143" s="179" t="str">
        <f t="shared" si="41"/>
        <v/>
      </c>
      <c r="N143" s="183" t="str">
        <f t="shared" si="50"/>
        <v/>
      </c>
      <c r="O143" s="247" t="str">
        <f t="shared" si="35"/>
        <v/>
      </c>
      <c r="P143" s="246"/>
      <c r="Q143" s="417"/>
      <c r="R143" s="182"/>
      <c r="S143" s="178"/>
      <c r="T143" s="182"/>
      <c r="U143" s="178"/>
      <c r="V143" s="506"/>
      <c r="W143" s="259" t="str">
        <f>IF($W$135="Y",IFERROR(E143*($F$8/SUMIF($H$5:$H$16,"Y",$F$5:$F$16))*$F$21*'Emissions Factors'!$B19,""),"")</f>
        <v/>
      </c>
      <c r="X143" s="259" t="str">
        <f>IF($X$135="Y",IFERROR($E143*(SUM($F$7,$F$5,$F$6)/SUMIF($H$5:$H$16,"Y",$F$5:$F$16))*('Emissions Factors'!$T$143*$F$22)/10^6,""),"")</f>
        <v/>
      </c>
      <c r="Y143" s="259" t="str">
        <f t="shared" si="48"/>
        <v/>
      </c>
      <c r="Z143" s="180"/>
      <c r="AA143" s="509"/>
      <c r="AB143" s="180">
        <f t="shared" si="42"/>
        <v>0</v>
      </c>
      <c r="AC143" s="180">
        <f t="shared" si="43"/>
        <v>0</v>
      </c>
      <c r="AE143" s="182"/>
      <c r="AF143" s="178"/>
      <c r="AG143" s="182"/>
      <c r="AH143" s="178"/>
      <c r="AJ143" s="259" t="str">
        <f>IF($AJ$135="Y",IFERROR(M143*($F$8/SUMIF($H$5:$H$16,"Y",$F$5:$F$16))*$F$21*'Emissions Factors'!$B19,""),"")</f>
        <v/>
      </c>
      <c r="AK143" s="259" t="str">
        <f>IF($AK$135="Y",IFERROR($M143*(SUM($F$7,$F$5,$F$6)/SUMIF($H$5:$H$16,"Y",$F$5:$F$16))*('Emissions Factors'!$T$143*$F$22)/10^6,""),"")</f>
        <v/>
      </c>
      <c r="AL143" s="259" t="str">
        <f t="shared" si="49"/>
        <v/>
      </c>
      <c r="AM143" s="180"/>
      <c r="AO143" s="180">
        <f t="shared" si="44"/>
        <v>0</v>
      </c>
      <c r="AP143" s="180">
        <f t="shared" si="45"/>
        <v>0</v>
      </c>
      <c r="AS143" s="430"/>
      <c r="AT143" s="478">
        <v>2022</v>
      </c>
      <c r="AU143" s="479">
        <f t="shared" si="46"/>
        <v>0</v>
      </c>
      <c r="AV143" s="479">
        <f t="shared" si="46"/>
        <v>0</v>
      </c>
      <c r="AW143" s="430"/>
      <c r="AX143" s="479">
        <f t="shared" si="36"/>
        <v>0</v>
      </c>
      <c r="AY143" s="479">
        <f t="shared" si="36"/>
        <v>0</v>
      </c>
      <c r="AZ143" s="430"/>
      <c r="BA143" s="479">
        <f t="shared" si="37"/>
        <v>0</v>
      </c>
      <c r="BB143" s="479">
        <f t="shared" si="37"/>
        <v>0</v>
      </c>
      <c r="BC143" s="516"/>
      <c r="BE143" s="480" t="str">
        <f t="shared" si="38"/>
        <v/>
      </c>
      <c r="BF143" s="480" t="str">
        <f t="shared" si="39"/>
        <v/>
      </c>
    </row>
    <row r="144" spans="1:58" ht="15.6" x14ac:dyDescent="0.3">
      <c r="A144" s="152">
        <v>2023</v>
      </c>
      <c r="B144" s="178"/>
      <c r="C144" s="182"/>
      <c r="D144" s="183"/>
      <c r="E144" s="179" t="str">
        <f t="shared" si="40"/>
        <v/>
      </c>
      <c r="F144" s="183" t="str">
        <f t="shared" si="47"/>
        <v/>
      </c>
      <c r="G144" s="247" t="str">
        <f t="shared" si="34"/>
        <v/>
      </c>
      <c r="H144" s="246"/>
      <c r="I144" s="417"/>
      <c r="J144" s="178"/>
      <c r="K144" s="182"/>
      <c r="L144" s="183"/>
      <c r="M144" s="179" t="str">
        <f t="shared" si="41"/>
        <v/>
      </c>
      <c r="N144" s="183" t="str">
        <f t="shared" si="50"/>
        <v/>
      </c>
      <c r="O144" s="247" t="str">
        <f t="shared" si="35"/>
        <v/>
      </c>
      <c r="P144" s="246"/>
      <c r="Q144" s="417"/>
      <c r="R144" s="182"/>
      <c r="S144" s="178"/>
      <c r="T144" s="182"/>
      <c r="U144" s="178"/>
      <c r="V144" s="506"/>
      <c r="W144" s="259" t="str">
        <f>IF($W$135="Y",IFERROR(E144*($F$8/SUMIF($H$5:$H$16,"Y",$F$5:$F$16))*$F$21*'Emissions Factors'!$B20,""),"")</f>
        <v/>
      </c>
      <c r="X144" s="259" t="str">
        <f>IF($X$135="Y",IFERROR($E144*(SUM($F$7,$F$5,$F$6)/SUMIF($H$5:$H$16,"Y",$F$5:$F$16))*('Emissions Factors'!$T$143*$F$22)/10^6,""),"")</f>
        <v/>
      </c>
      <c r="Y144" s="259" t="str">
        <f t="shared" si="48"/>
        <v/>
      </c>
      <c r="Z144" s="180"/>
      <c r="AA144" s="509"/>
      <c r="AB144" s="180">
        <f t="shared" si="42"/>
        <v>0</v>
      </c>
      <c r="AC144" s="180">
        <f t="shared" si="43"/>
        <v>0</v>
      </c>
      <c r="AE144" s="182"/>
      <c r="AF144" s="178"/>
      <c r="AG144" s="182"/>
      <c r="AH144" s="178"/>
      <c r="AJ144" s="259" t="str">
        <f>IF($AJ$135="Y",IFERROR(M144*($F$8/SUMIF($H$5:$H$16,"Y",$F$5:$F$16))*$F$21*'Emissions Factors'!$B20,""),"")</f>
        <v/>
      </c>
      <c r="AK144" s="259" t="str">
        <f>IF($AK$135="Y",IFERROR($M144*(SUM($F$7,$F$5,$F$6)/SUMIF($H$5:$H$16,"Y",$F$5:$F$16))*('Emissions Factors'!$T$143*$F$22)/10^6,""),"")</f>
        <v/>
      </c>
      <c r="AL144" s="259" t="str">
        <f t="shared" si="49"/>
        <v/>
      </c>
      <c r="AM144" s="180"/>
      <c r="AO144" s="180">
        <f t="shared" si="44"/>
        <v>0</v>
      </c>
      <c r="AP144" s="180">
        <f t="shared" si="45"/>
        <v>0</v>
      </c>
      <c r="AS144" s="430"/>
      <c r="AT144" s="478">
        <v>2023</v>
      </c>
      <c r="AU144" s="479">
        <f t="shared" si="46"/>
        <v>0</v>
      </c>
      <c r="AV144" s="479">
        <f t="shared" si="46"/>
        <v>0</v>
      </c>
      <c r="AW144" s="430"/>
      <c r="AX144" s="479">
        <f t="shared" si="36"/>
        <v>0</v>
      </c>
      <c r="AY144" s="479">
        <f t="shared" si="36"/>
        <v>0</v>
      </c>
      <c r="AZ144" s="430"/>
      <c r="BA144" s="479">
        <f t="shared" si="37"/>
        <v>0</v>
      </c>
      <c r="BB144" s="479">
        <f t="shared" si="37"/>
        <v>0</v>
      </c>
      <c r="BC144" s="516"/>
      <c r="BE144" s="480" t="str">
        <f t="shared" si="38"/>
        <v/>
      </c>
      <c r="BF144" s="480" t="str">
        <f t="shared" si="39"/>
        <v/>
      </c>
    </row>
    <row r="145" spans="1:58" ht="15.6" x14ac:dyDescent="0.3">
      <c r="A145" s="152">
        <v>2024</v>
      </c>
      <c r="B145" s="178"/>
      <c r="C145" s="182"/>
      <c r="D145" s="183"/>
      <c r="E145" s="179" t="str">
        <f t="shared" si="40"/>
        <v/>
      </c>
      <c r="F145" s="183" t="str">
        <f t="shared" si="47"/>
        <v/>
      </c>
      <c r="G145" s="247" t="str">
        <f t="shared" si="34"/>
        <v/>
      </c>
      <c r="H145" s="246"/>
      <c r="I145" s="417"/>
      <c r="J145" s="178"/>
      <c r="K145" s="182"/>
      <c r="L145" s="183"/>
      <c r="M145" s="179" t="str">
        <f t="shared" si="41"/>
        <v/>
      </c>
      <c r="N145" s="183" t="str">
        <f t="shared" si="50"/>
        <v/>
      </c>
      <c r="O145" s="247" t="str">
        <f t="shared" si="35"/>
        <v/>
      </c>
      <c r="P145" s="246"/>
      <c r="Q145" s="417"/>
      <c r="R145" s="182"/>
      <c r="S145" s="178"/>
      <c r="T145" s="182"/>
      <c r="U145" s="178"/>
      <c r="V145" s="506"/>
      <c r="W145" s="259" t="str">
        <f>IF($W$135="Y",IFERROR(E145*($F$8/SUMIF($H$5:$H$16,"Y",$F$5:$F$16))*$F$21*'Emissions Factors'!$B21,""),"")</f>
        <v/>
      </c>
      <c r="X145" s="259" t="str">
        <f>IF($X$135="Y",IFERROR($E145*(SUM($F$7,$F$5,$F$6)/SUMIF($H$5:$H$16,"Y",$F$5:$F$16))*('Emissions Factors'!$T$143*$F$22)/10^6,""),"")</f>
        <v/>
      </c>
      <c r="Y145" s="259" t="str">
        <f t="shared" si="48"/>
        <v/>
      </c>
      <c r="Z145" s="180"/>
      <c r="AA145" s="509"/>
      <c r="AB145" s="180">
        <f t="shared" si="42"/>
        <v>0</v>
      </c>
      <c r="AC145" s="180">
        <f t="shared" si="43"/>
        <v>0</v>
      </c>
      <c r="AE145" s="182"/>
      <c r="AF145" s="178"/>
      <c r="AG145" s="182"/>
      <c r="AH145" s="178"/>
      <c r="AJ145" s="259" t="str">
        <f>IF($AJ$135="Y",IFERROR(M145*($F$8/SUMIF($H$5:$H$16,"Y",$F$5:$F$16))*$F$21*'Emissions Factors'!$B21,""),"")</f>
        <v/>
      </c>
      <c r="AK145" s="259" t="str">
        <f>IF($AK$135="Y",IFERROR($M145*(SUM($F$7,$F$5,$F$6)/SUMIF($H$5:$H$16,"Y",$F$5:$F$16))*('Emissions Factors'!$T$143*$F$22)/10^6,""),"")</f>
        <v/>
      </c>
      <c r="AL145" s="259" t="str">
        <f t="shared" si="49"/>
        <v/>
      </c>
      <c r="AM145" s="180"/>
      <c r="AO145" s="180">
        <f t="shared" si="44"/>
        <v>0</v>
      </c>
      <c r="AP145" s="180">
        <f t="shared" si="45"/>
        <v>0</v>
      </c>
      <c r="AS145" s="430"/>
      <c r="AT145" s="478">
        <v>2024</v>
      </c>
      <c r="AU145" s="479">
        <f t="shared" si="46"/>
        <v>0</v>
      </c>
      <c r="AV145" s="479">
        <f t="shared" si="46"/>
        <v>0</v>
      </c>
      <c r="AW145" s="430"/>
      <c r="AX145" s="479">
        <f t="shared" si="36"/>
        <v>0</v>
      </c>
      <c r="AY145" s="479">
        <f t="shared" si="36"/>
        <v>0</v>
      </c>
      <c r="AZ145" s="430"/>
      <c r="BA145" s="479">
        <f t="shared" si="37"/>
        <v>0</v>
      </c>
      <c r="BB145" s="479">
        <f t="shared" si="37"/>
        <v>0</v>
      </c>
      <c r="BC145" s="516"/>
      <c r="BE145" s="480" t="str">
        <f t="shared" si="38"/>
        <v/>
      </c>
      <c r="BF145" s="480" t="str">
        <f t="shared" si="39"/>
        <v/>
      </c>
    </row>
    <row r="146" spans="1:58" ht="15.6" x14ac:dyDescent="0.3">
      <c r="A146" s="152">
        <v>2025</v>
      </c>
      <c r="B146" s="178"/>
      <c r="C146" s="182"/>
      <c r="D146" s="183"/>
      <c r="E146" s="179" t="str">
        <f t="shared" si="40"/>
        <v/>
      </c>
      <c r="F146" s="183" t="str">
        <f t="shared" si="47"/>
        <v/>
      </c>
      <c r="G146" s="247" t="str">
        <f t="shared" si="34"/>
        <v/>
      </c>
      <c r="H146" s="246"/>
      <c r="I146" s="417"/>
      <c r="J146" s="178"/>
      <c r="K146" s="182"/>
      <c r="L146" s="183"/>
      <c r="M146" s="179" t="str">
        <f t="shared" si="41"/>
        <v/>
      </c>
      <c r="N146" s="183" t="str">
        <f t="shared" si="50"/>
        <v/>
      </c>
      <c r="O146" s="247" t="str">
        <f t="shared" si="35"/>
        <v/>
      </c>
      <c r="P146" s="246"/>
      <c r="Q146" s="417"/>
      <c r="R146" s="182"/>
      <c r="S146" s="178"/>
      <c r="T146" s="182"/>
      <c r="U146" s="178"/>
      <c r="V146" s="506"/>
      <c r="W146" s="259" t="str">
        <f>IF($W$135="Y",IFERROR(E146*($F$8/SUMIF($H$5:$H$16,"Y",$F$5:$F$16))*$F$21*'Emissions Factors'!$B22,""),"")</f>
        <v/>
      </c>
      <c r="X146" s="259" t="str">
        <f>IF($X$135="Y",IFERROR($E146*(SUM($F$7,$F$5,$F$6)/SUMIF($H$5:$H$16,"Y",$F$5:$F$16))*('Emissions Factors'!$T$143*$F$22)/10^6,""),"")</f>
        <v/>
      </c>
      <c r="Y146" s="259" t="str">
        <f t="shared" si="48"/>
        <v/>
      </c>
      <c r="Z146" s="180"/>
      <c r="AA146" s="509"/>
      <c r="AB146" s="180">
        <f t="shared" si="42"/>
        <v>0</v>
      </c>
      <c r="AC146" s="180">
        <f t="shared" si="43"/>
        <v>0</v>
      </c>
      <c r="AE146" s="182"/>
      <c r="AF146" s="178"/>
      <c r="AG146" s="182"/>
      <c r="AH146" s="178"/>
      <c r="AJ146" s="259" t="str">
        <f>IF($AJ$135="Y",IFERROR(M146*($F$8/SUMIF($H$5:$H$16,"Y",$F$5:$F$16))*$F$21*'Emissions Factors'!$B22,""),"")</f>
        <v/>
      </c>
      <c r="AK146" s="259" t="str">
        <f>IF($AK$135="Y",IFERROR($M146*(SUM($F$7,$F$5,$F$6)/SUMIF($H$5:$H$16,"Y",$F$5:$F$16))*('Emissions Factors'!$T$143*$F$22)/10^6,""),"")</f>
        <v/>
      </c>
      <c r="AL146" s="259" t="str">
        <f t="shared" si="49"/>
        <v/>
      </c>
      <c r="AM146" s="180"/>
      <c r="AO146" s="180">
        <f t="shared" si="44"/>
        <v>0</v>
      </c>
      <c r="AP146" s="180">
        <f t="shared" si="45"/>
        <v>0</v>
      </c>
      <c r="AS146" s="430"/>
      <c r="AT146" s="478">
        <v>2025</v>
      </c>
      <c r="AU146" s="479">
        <f t="shared" si="46"/>
        <v>0</v>
      </c>
      <c r="AV146" s="479">
        <f t="shared" si="46"/>
        <v>0</v>
      </c>
      <c r="AW146" s="430"/>
      <c r="AX146" s="479">
        <f t="shared" si="36"/>
        <v>0</v>
      </c>
      <c r="AY146" s="479">
        <f t="shared" si="36"/>
        <v>0</v>
      </c>
      <c r="AZ146" s="430"/>
      <c r="BA146" s="479">
        <f t="shared" si="37"/>
        <v>0</v>
      </c>
      <c r="BB146" s="479">
        <f t="shared" si="37"/>
        <v>0</v>
      </c>
      <c r="BC146" s="516"/>
      <c r="BE146" s="480" t="str">
        <f t="shared" si="38"/>
        <v/>
      </c>
      <c r="BF146" s="480" t="str">
        <f t="shared" si="39"/>
        <v/>
      </c>
    </row>
    <row r="147" spans="1:58" ht="15.6" x14ac:dyDescent="0.3">
      <c r="A147" s="152">
        <v>2026</v>
      </c>
      <c r="B147" s="178"/>
      <c r="C147" s="182"/>
      <c r="D147" s="183"/>
      <c r="E147" s="179" t="str">
        <f t="shared" si="40"/>
        <v/>
      </c>
      <c r="F147" s="183" t="str">
        <f t="shared" si="47"/>
        <v/>
      </c>
      <c r="G147" s="247" t="str">
        <f t="shared" si="34"/>
        <v/>
      </c>
      <c r="H147" s="246"/>
      <c r="I147" s="417"/>
      <c r="J147" s="178"/>
      <c r="K147" s="182"/>
      <c r="L147" s="183"/>
      <c r="M147" s="179" t="str">
        <f t="shared" si="41"/>
        <v/>
      </c>
      <c r="N147" s="183" t="str">
        <f t="shared" si="50"/>
        <v/>
      </c>
      <c r="O147" s="247" t="str">
        <f t="shared" si="35"/>
        <v/>
      </c>
      <c r="P147" s="246"/>
      <c r="Q147" s="417"/>
      <c r="R147" s="182"/>
      <c r="S147" s="178"/>
      <c r="T147" s="182"/>
      <c r="U147" s="178"/>
      <c r="V147" s="506"/>
      <c r="W147" s="259" t="str">
        <f>IF($W$135="Y",IFERROR(E147*($F$8/SUMIF($H$5:$H$16,"Y",$F$5:$F$16))*$F$21*'Emissions Factors'!$B23,""),"")</f>
        <v/>
      </c>
      <c r="X147" s="259" t="str">
        <f>IF($X$135="Y",IFERROR($E147*(SUM($F$7,$F$5,$F$6)/SUMIF($H$5:$H$16,"Y",$F$5:$F$16))*('Emissions Factors'!$T$143*$F$22)/10^6,""),"")</f>
        <v/>
      </c>
      <c r="Y147" s="259" t="str">
        <f t="shared" si="48"/>
        <v/>
      </c>
      <c r="Z147" s="180"/>
      <c r="AA147" s="509"/>
      <c r="AB147" s="180">
        <f t="shared" si="42"/>
        <v>0</v>
      </c>
      <c r="AC147" s="180">
        <f t="shared" si="43"/>
        <v>0</v>
      </c>
      <c r="AE147" s="182"/>
      <c r="AF147" s="178"/>
      <c r="AG147" s="182"/>
      <c r="AH147" s="178"/>
      <c r="AJ147" s="259" t="str">
        <f>IF($AJ$135="Y",IFERROR(M147*($F$8/SUMIF($H$5:$H$16,"Y",$F$5:$F$16))*$F$21*'Emissions Factors'!$B23,""),"")</f>
        <v/>
      </c>
      <c r="AK147" s="259" t="str">
        <f>IF($AK$135="Y",IFERROR($M147*(SUM($F$7,$F$5,$F$6)/SUMIF($H$5:$H$16,"Y",$F$5:$F$16))*('Emissions Factors'!$T$143*$F$22)/10^6,""),"")</f>
        <v/>
      </c>
      <c r="AL147" s="259" t="str">
        <f t="shared" si="49"/>
        <v/>
      </c>
      <c r="AM147" s="180"/>
      <c r="AO147" s="180">
        <f t="shared" si="44"/>
        <v>0</v>
      </c>
      <c r="AP147" s="180">
        <f t="shared" si="45"/>
        <v>0</v>
      </c>
      <c r="AS147" s="430"/>
      <c r="AT147" s="478">
        <v>2026</v>
      </c>
      <c r="AU147" s="479">
        <f t="shared" si="46"/>
        <v>0</v>
      </c>
      <c r="AV147" s="479">
        <f t="shared" si="46"/>
        <v>0</v>
      </c>
      <c r="AW147" s="430"/>
      <c r="AX147" s="479">
        <f t="shared" si="36"/>
        <v>0</v>
      </c>
      <c r="AY147" s="479">
        <f t="shared" si="36"/>
        <v>0</v>
      </c>
      <c r="AZ147" s="430"/>
      <c r="BA147" s="479">
        <f t="shared" si="37"/>
        <v>0</v>
      </c>
      <c r="BB147" s="479">
        <f t="shared" si="37"/>
        <v>0</v>
      </c>
      <c r="BC147" s="516"/>
      <c r="BE147" s="480" t="str">
        <f t="shared" si="38"/>
        <v/>
      </c>
      <c r="BF147" s="480" t="str">
        <f t="shared" si="39"/>
        <v/>
      </c>
    </row>
    <row r="148" spans="1:58" ht="15.6" x14ac:dyDescent="0.3">
      <c r="A148" s="152">
        <v>2027</v>
      </c>
      <c r="B148" s="178"/>
      <c r="C148" s="182"/>
      <c r="D148" s="183"/>
      <c r="E148" s="179" t="str">
        <f t="shared" si="40"/>
        <v/>
      </c>
      <c r="F148" s="183" t="str">
        <f t="shared" si="47"/>
        <v/>
      </c>
      <c r="G148" s="247" t="str">
        <f t="shared" si="34"/>
        <v/>
      </c>
      <c r="H148" s="246"/>
      <c r="I148" s="417"/>
      <c r="J148" s="178"/>
      <c r="K148" s="182"/>
      <c r="L148" s="183"/>
      <c r="M148" s="179" t="str">
        <f t="shared" si="41"/>
        <v/>
      </c>
      <c r="N148" s="183" t="str">
        <f t="shared" si="50"/>
        <v/>
      </c>
      <c r="O148" s="247" t="str">
        <f t="shared" si="35"/>
        <v/>
      </c>
      <c r="P148" s="246"/>
      <c r="Q148" s="417"/>
      <c r="R148" s="182"/>
      <c r="S148" s="178"/>
      <c r="T148" s="182"/>
      <c r="U148" s="182"/>
      <c r="V148" s="506"/>
      <c r="W148" s="259" t="str">
        <f>IF($W$135="Y",IFERROR(E148*($F$8/SUMIF($H$5:$H$16,"Y",$F$5:$F$16))*$F$21*'Emissions Factors'!$B24,""),"")</f>
        <v/>
      </c>
      <c r="X148" s="259" t="str">
        <f>IF($X$135="Y",IFERROR($E148*(SUM($F$7,$F$5,$F$6)/SUMIF($H$5:$H$16,"Y",$F$5:$F$16))*('Emissions Factors'!$T$143*$F$22)/10^6,""),"")</f>
        <v/>
      </c>
      <c r="Y148" s="259" t="str">
        <f t="shared" si="48"/>
        <v/>
      </c>
      <c r="Z148" s="180"/>
      <c r="AA148" s="509"/>
      <c r="AB148" s="180">
        <f t="shared" si="42"/>
        <v>0</v>
      </c>
      <c r="AC148" s="180">
        <f>SUM(R148:U148)</f>
        <v>0</v>
      </c>
      <c r="AE148" s="182"/>
      <c r="AF148" s="178"/>
      <c r="AG148" s="182"/>
      <c r="AH148" s="178"/>
      <c r="AJ148" s="259" t="str">
        <f>IF($AJ$135="Y",IFERROR(M148*($F$8/SUMIF($H$5:$H$16,"Y",$F$5:$F$16))*$F$21*'Emissions Factors'!$B24,""),"")</f>
        <v/>
      </c>
      <c r="AK148" s="259" t="str">
        <f>IF($AK$135="Y",IFERROR($M148*(SUM($F$7,$F$5,$F$6)/SUMIF($H$5:$H$16,"Y",$F$5:$F$16))*('Emissions Factors'!$T$143*$F$22)/10^6,""),"")</f>
        <v/>
      </c>
      <c r="AL148" s="259" t="str">
        <f t="shared" si="49"/>
        <v/>
      </c>
      <c r="AM148" s="180"/>
      <c r="AO148" s="180">
        <f t="shared" si="44"/>
        <v>0</v>
      </c>
      <c r="AP148" s="180">
        <f t="shared" si="45"/>
        <v>0</v>
      </c>
      <c r="AS148" s="430"/>
      <c r="AT148" s="478">
        <v>2027</v>
      </c>
      <c r="AU148" s="479">
        <f t="shared" si="46"/>
        <v>0</v>
      </c>
      <c r="AV148" s="479">
        <f t="shared" si="46"/>
        <v>0</v>
      </c>
      <c r="AW148" s="430"/>
      <c r="AX148" s="479">
        <f t="shared" si="36"/>
        <v>0</v>
      </c>
      <c r="AY148" s="479">
        <f t="shared" si="36"/>
        <v>0</v>
      </c>
      <c r="AZ148" s="430"/>
      <c r="BA148" s="479">
        <f t="shared" si="37"/>
        <v>0</v>
      </c>
      <c r="BB148" s="479">
        <f t="shared" si="37"/>
        <v>0</v>
      </c>
      <c r="BC148" s="516"/>
      <c r="BE148" s="480" t="str">
        <f t="shared" si="38"/>
        <v/>
      </c>
      <c r="BF148" s="480" t="str">
        <f t="shared" si="39"/>
        <v/>
      </c>
    </row>
    <row r="149" spans="1:58" ht="15.6" x14ac:dyDescent="0.3">
      <c r="A149" s="152">
        <v>2028</v>
      </c>
      <c r="B149" s="178"/>
      <c r="C149" s="182"/>
      <c r="D149" s="183"/>
      <c r="E149" s="179" t="str">
        <f t="shared" si="40"/>
        <v/>
      </c>
      <c r="F149" s="183" t="str">
        <f t="shared" si="47"/>
        <v/>
      </c>
      <c r="G149" s="247" t="str">
        <f t="shared" si="34"/>
        <v/>
      </c>
      <c r="H149" s="246"/>
      <c r="I149" s="417"/>
      <c r="J149" s="178"/>
      <c r="K149" s="182"/>
      <c r="L149" s="183"/>
      <c r="M149" s="179" t="str">
        <f t="shared" si="41"/>
        <v/>
      </c>
      <c r="N149" s="183" t="str">
        <f t="shared" si="50"/>
        <v/>
      </c>
      <c r="O149" s="247" t="str">
        <f t="shared" si="35"/>
        <v/>
      </c>
      <c r="P149" s="246"/>
      <c r="Q149" s="417"/>
      <c r="R149" s="182"/>
      <c r="S149" s="178"/>
      <c r="T149" s="182"/>
      <c r="U149" s="178"/>
      <c r="V149" s="506"/>
      <c r="W149" s="259" t="str">
        <f>IF($W$135="Y",IFERROR(E149*($F$8/SUMIF($H$5:$H$16,"Y",$F$5:$F$16))*$F$21*'Emissions Factors'!$B25,""),"")</f>
        <v/>
      </c>
      <c r="X149" s="259" t="str">
        <f>IF($X$135="Y",IFERROR($E149*(SUM($F$7,$F$5,$F$6)/SUMIF($H$5:$H$16,"Y",$F$5:$F$16))*('Emissions Factors'!$T$143*$F$22)/10^6,""),"")</f>
        <v/>
      </c>
      <c r="Y149" s="259" t="str">
        <f t="shared" si="48"/>
        <v/>
      </c>
      <c r="Z149" s="180"/>
      <c r="AA149" s="509"/>
      <c r="AB149" s="180">
        <f t="shared" si="42"/>
        <v>0</v>
      </c>
      <c r="AC149" s="180">
        <f t="shared" si="43"/>
        <v>0</v>
      </c>
      <c r="AE149" s="182"/>
      <c r="AF149" s="178"/>
      <c r="AG149" s="182"/>
      <c r="AH149" s="178"/>
      <c r="AJ149" s="259" t="str">
        <f>IF($AJ$135="Y",IFERROR(M149*($F$8/SUMIF($H$5:$H$16,"Y",$F$5:$F$16))*$F$21*'Emissions Factors'!$B25,""),"")</f>
        <v/>
      </c>
      <c r="AK149" s="259" t="str">
        <f>IF($AK$135="Y",IFERROR($M149*(SUM($F$7,$F$5,$F$6)/SUMIF($H$5:$H$16,"Y",$F$5:$F$16))*('Emissions Factors'!$T$143*$F$22)/10^6,""),"")</f>
        <v/>
      </c>
      <c r="AL149" s="259" t="str">
        <f t="shared" si="49"/>
        <v/>
      </c>
      <c r="AM149" s="180"/>
      <c r="AO149" s="180">
        <f t="shared" si="44"/>
        <v>0</v>
      </c>
      <c r="AP149" s="180">
        <f t="shared" si="45"/>
        <v>0</v>
      </c>
      <c r="AS149" s="430"/>
      <c r="AT149" s="478">
        <v>2028</v>
      </c>
      <c r="AU149" s="479">
        <f t="shared" si="46"/>
        <v>0</v>
      </c>
      <c r="AV149" s="479">
        <f t="shared" si="46"/>
        <v>0</v>
      </c>
      <c r="AW149" s="430"/>
      <c r="AX149" s="479">
        <f t="shared" si="36"/>
        <v>0</v>
      </c>
      <c r="AY149" s="479">
        <f t="shared" si="36"/>
        <v>0</v>
      </c>
      <c r="AZ149" s="430"/>
      <c r="BA149" s="479">
        <f t="shared" si="37"/>
        <v>0</v>
      </c>
      <c r="BB149" s="479">
        <f t="shared" si="37"/>
        <v>0</v>
      </c>
      <c r="BC149" s="516"/>
      <c r="BE149" s="480" t="str">
        <f t="shared" si="38"/>
        <v/>
      </c>
      <c r="BF149" s="480" t="str">
        <f t="shared" si="39"/>
        <v/>
      </c>
    </row>
    <row r="150" spans="1:58" ht="15.6" x14ac:dyDescent="0.3">
      <c r="A150" s="152">
        <v>2029</v>
      </c>
      <c r="B150" s="178"/>
      <c r="C150" s="182"/>
      <c r="D150" s="183"/>
      <c r="E150" s="179" t="str">
        <f t="shared" si="40"/>
        <v/>
      </c>
      <c r="F150" s="183" t="str">
        <f t="shared" si="47"/>
        <v/>
      </c>
      <c r="G150" s="247" t="str">
        <f t="shared" si="34"/>
        <v/>
      </c>
      <c r="H150" s="246"/>
      <c r="I150" s="417"/>
      <c r="J150" s="178"/>
      <c r="K150" s="182"/>
      <c r="L150" s="183"/>
      <c r="M150" s="179" t="str">
        <f t="shared" si="41"/>
        <v/>
      </c>
      <c r="N150" s="183" t="str">
        <f t="shared" si="50"/>
        <v/>
      </c>
      <c r="O150" s="247" t="str">
        <f t="shared" si="35"/>
        <v/>
      </c>
      <c r="P150" s="246"/>
      <c r="Q150" s="417"/>
      <c r="R150" s="182"/>
      <c r="S150" s="178"/>
      <c r="T150" s="182"/>
      <c r="U150" s="178"/>
      <c r="V150" s="506"/>
      <c r="W150" s="259" t="str">
        <f>IF($W$135="Y",IFERROR(E150*($F$8/SUMIF($H$5:$H$16,"Y",$F$5:$F$16))*$F$21*'Emissions Factors'!$B26,""),"")</f>
        <v/>
      </c>
      <c r="X150" s="259" t="str">
        <f>IF($X$135="Y",IFERROR($E150*(SUM($F$7,$F$5,$F$6)/SUMIF($H$5:$H$16,"Y",$F$5:$F$16))*('Emissions Factors'!$T$143*$F$22)/10^6,""),"")</f>
        <v/>
      </c>
      <c r="Y150" s="259" t="str">
        <f t="shared" si="48"/>
        <v/>
      </c>
      <c r="Z150" s="180"/>
      <c r="AA150" s="509"/>
      <c r="AB150" s="180">
        <f t="shared" si="42"/>
        <v>0</v>
      </c>
      <c r="AC150" s="180">
        <f t="shared" si="43"/>
        <v>0</v>
      </c>
      <c r="AE150" s="182"/>
      <c r="AF150" s="178"/>
      <c r="AG150" s="182"/>
      <c r="AH150" s="178"/>
      <c r="AJ150" s="259" t="str">
        <f>IF($AJ$135="Y",IFERROR(M150*($F$8/SUMIF($H$5:$H$16,"Y",$F$5:$F$16))*$F$21*'Emissions Factors'!$B26,""),"")</f>
        <v/>
      </c>
      <c r="AK150" s="259" t="str">
        <f>IF($AK$135="Y",IFERROR($M150*(SUM($F$7,$F$5,$F$6)/SUMIF($H$5:$H$16,"Y",$F$5:$F$16))*('Emissions Factors'!$T$143*$F$22)/10^6,""),"")</f>
        <v/>
      </c>
      <c r="AL150" s="259" t="str">
        <f t="shared" si="49"/>
        <v/>
      </c>
      <c r="AM150" s="180"/>
      <c r="AO150" s="180">
        <f t="shared" si="44"/>
        <v>0</v>
      </c>
      <c r="AP150" s="180">
        <f t="shared" si="45"/>
        <v>0</v>
      </c>
      <c r="AS150" s="430"/>
      <c r="AT150" s="478">
        <v>2029</v>
      </c>
      <c r="AU150" s="479">
        <f t="shared" si="46"/>
        <v>0</v>
      </c>
      <c r="AV150" s="479">
        <f t="shared" si="46"/>
        <v>0</v>
      </c>
      <c r="AW150" s="430"/>
      <c r="AX150" s="479">
        <f t="shared" si="36"/>
        <v>0</v>
      </c>
      <c r="AY150" s="479">
        <f t="shared" si="36"/>
        <v>0</v>
      </c>
      <c r="AZ150" s="430"/>
      <c r="BA150" s="479">
        <f t="shared" si="37"/>
        <v>0</v>
      </c>
      <c r="BB150" s="479">
        <f t="shared" si="37"/>
        <v>0</v>
      </c>
      <c r="BC150" s="516"/>
      <c r="BE150" s="480" t="str">
        <f t="shared" si="38"/>
        <v/>
      </c>
      <c r="BF150" s="480" t="str">
        <f t="shared" si="39"/>
        <v/>
      </c>
    </row>
    <row r="151" spans="1:58" ht="15.6" x14ac:dyDescent="0.3">
      <c r="A151" s="152">
        <v>2030</v>
      </c>
      <c r="B151" s="178"/>
      <c r="C151" s="182"/>
      <c r="D151" s="183"/>
      <c r="E151" s="179" t="str">
        <f t="shared" si="40"/>
        <v/>
      </c>
      <c r="F151" s="183" t="str">
        <f t="shared" si="47"/>
        <v/>
      </c>
      <c r="G151" s="247" t="str">
        <f t="shared" si="34"/>
        <v/>
      </c>
      <c r="H151" s="246"/>
      <c r="I151" s="417"/>
      <c r="J151" s="178"/>
      <c r="K151" s="182"/>
      <c r="L151" s="183"/>
      <c r="M151" s="179" t="str">
        <f t="shared" si="41"/>
        <v/>
      </c>
      <c r="N151" s="183" t="str">
        <f t="shared" si="50"/>
        <v/>
      </c>
      <c r="O151" s="247" t="str">
        <f t="shared" si="35"/>
        <v/>
      </c>
      <c r="P151" s="246"/>
      <c r="Q151" s="417"/>
      <c r="R151" s="182"/>
      <c r="S151" s="178"/>
      <c r="T151" s="182"/>
      <c r="U151" s="178"/>
      <c r="V151" s="506"/>
      <c r="W151" s="259" t="str">
        <f>IF($W$135="Y",IFERROR(E151*($F$8/SUMIF($H$5:$H$16,"Y",$F$5:$F$16))*$F$21*'Emissions Factors'!$B27,""),"")</f>
        <v/>
      </c>
      <c r="X151" s="259" t="str">
        <f>IF($X$135="Y",IFERROR($E151*(SUM($F$7,$F$5,$F$6)/SUMIF($H$5:$H$16,"Y",$F$5:$F$16))*('Emissions Factors'!$T$143*$F$22)/10^6,""),"")</f>
        <v/>
      </c>
      <c r="Y151" s="259" t="str">
        <f t="shared" si="48"/>
        <v/>
      </c>
      <c r="Z151" s="180"/>
      <c r="AA151" s="509"/>
      <c r="AB151" s="180">
        <f t="shared" si="42"/>
        <v>0</v>
      </c>
      <c r="AC151" s="180">
        <f t="shared" si="43"/>
        <v>0</v>
      </c>
      <c r="AE151" s="182"/>
      <c r="AF151" s="178"/>
      <c r="AG151" s="182"/>
      <c r="AH151" s="178"/>
      <c r="AJ151" s="259" t="str">
        <f>IF($AJ$135="Y",IFERROR(M151*($F$8/SUMIF($H$5:$H$16,"Y",$F$5:$F$16))*$F$21*'Emissions Factors'!$B27,""),"")</f>
        <v/>
      </c>
      <c r="AK151" s="259" t="str">
        <f>IF($AK$135="Y",IFERROR($M151*(SUM($F$7,$F$5,$F$6)/SUMIF($H$5:$H$16,"Y",$F$5:$F$16))*('Emissions Factors'!$T$143*$F$22)/10^6,""),"")</f>
        <v/>
      </c>
      <c r="AL151" s="259" t="str">
        <f t="shared" si="49"/>
        <v/>
      </c>
      <c r="AM151" s="180"/>
      <c r="AO151" s="180">
        <f t="shared" si="44"/>
        <v>0</v>
      </c>
      <c r="AP151" s="180">
        <f t="shared" si="45"/>
        <v>0</v>
      </c>
      <c r="AS151" s="430"/>
      <c r="AT151" s="478">
        <v>2030</v>
      </c>
      <c r="AU151" s="479">
        <f t="shared" si="46"/>
        <v>0</v>
      </c>
      <c r="AV151" s="479">
        <f t="shared" si="46"/>
        <v>0</v>
      </c>
      <c r="AW151" s="430"/>
      <c r="AX151" s="479">
        <f t="shared" si="36"/>
        <v>0</v>
      </c>
      <c r="AY151" s="479">
        <f t="shared" si="36"/>
        <v>0</v>
      </c>
      <c r="AZ151" s="430"/>
      <c r="BA151" s="479">
        <f t="shared" si="37"/>
        <v>0</v>
      </c>
      <c r="BB151" s="479">
        <f t="shared" si="37"/>
        <v>0</v>
      </c>
      <c r="BC151" s="516"/>
      <c r="BE151" s="480" t="str">
        <f t="shared" si="38"/>
        <v/>
      </c>
      <c r="BF151" s="480" t="str">
        <f t="shared" si="39"/>
        <v/>
      </c>
    </row>
    <row r="152" spans="1:58" ht="15.6" x14ac:dyDescent="0.3">
      <c r="A152" s="152">
        <v>2031</v>
      </c>
      <c r="B152" s="178"/>
      <c r="C152" s="182"/>
      <c r="D152" s="183"/>
      <c r="E152" s="179" t="str">
        <f t="shared" si="40"/>
        <v/>
      </c>
      <c r="F152" s="183" t="str">
        <f t="shared" si="47"/>
        <v/>
      </c>
      <c r="G152" s="247" t="str">
        <f t="shared" si="34"/>
        <v/>
      </c>
      <c r="H152" s="246"/>
      <c r="I152" s="417"/>
      <c r="J152" s="178"/>
      <c r="K152" s="182"/>
      <c r="L152" s="183"/>
      <c r="M152" s="179" t="str">
        <f t="shared" si="41"/>
        <v/>
      </c>
      <c r="N152" s="183" t="str">
        <f t="shared" si="50"/>
        <v/>
      </c>
      <c r="O152" s="247" t="str">
        <f t="shared" si="35"/>
        <v/>
      </c>
      <c r="P152" s="246"/>
      <c r="Q152" s="417"/>
      <c r="R152" s="182"/>
      <c r="S152" s="178"/>
      <c r="T152" s="182"/>
      <c r="U152" s="178"/>
      <c r="V152" s="506"/>
      <c r="W152" s="259" t="str">
        <f>IF($W$135="Y",IFERROR(E152*($F$8/SUMIF($H$5:$H$16,"Y",$F$5:$F$16))*$F$21*'Emissions Factors'!$B28,""),"")</f>
        <v/>
      </c>
      <c r="X152" s="259" t="str">
        <f>IF($X$135="Y",IFERROR($E152*(SUM($F$7,$F$5,$F$6)/SUMIF($H$5:$H$16,"Y",$F$5:$F$16))*('Emissions Factors'!$T$143*$F$22)/10^6,""),"")</f>
        <v/>
      </c>
      <c r="Y152" s="259" t="str">
        <f t="shared" si="48"/>
        <v/>
      </c>
      <c r="Z152" s="180"/>
      <c r="AA152" s="509"/>
      <c r="AB152" s="180">
        <f t="shared" si="42"/>
        <v>0</v>
      </c>
      <c r="AC152" s="180">
        <f t="shared" si="43"/>
        <v>0</v>
      </c>
      <c r="AE152" s="182"/>
      <c r="AF152" s="178"/>
      <c r="AG152" s="182"/>
      <c r="AH152" s="178"/>
      <c r="AJ152" s="259" t="str">
        <f>IF($AJ$135="Y",IFERROR(M152*($F$8/SUMIF($H$5:$H$16,"Y",$F$5:$F$16))*$F$21*'Emissions Factors'!$B28,""),"")</f>
        <v/>
      </c>
      <c r="AK152" s="259" t="str">
        <f>IF($AK$135="Y",IFERROR($M152*(SUM($F$7,$F$5,$F$6)/SUMIF($H$5:$H$16,"Y",$F$5:$F$16))*('Emissions Factors'!$T$143*$F$22)/10^6,""),"")</f>
        <v/>
      </c>
      <c r="AL152" s="259" t="str">
        <f t="shared" si="49"/>
        <v/>
      </c>
      <c r="AM152" s="180"/>
      <c r="AO152" s="180">
        <f t="shared" si="44"/>
        <v>0</v>
      </c>
      <c r="AP152" s="180">
        <f t="shared" si="45"/>
        <v>0</v>
      </c>
      <c r="AS152" s="430"/>
      <c r="AT152" s="478">
        <v>2031</v>
      </c>
      <c r="AU152" s="479">
        <f t="shared" si="46"/>
        <v>0</v>
      </c>
      <c r="AV152" s="479">
        <f t="shared" si="46"/>
        <v>0</v>
      </c>
      <c r="AW152" s="430"/>
      <c r="AX152" s="479">
        <f t="shared" si="36"/>
        <v>0</v>
      </c>
      <c r="AY152" s="479">
        <f t="shared" si="36"/>
        <v>0</v>
      </c>
      <c r="AZ152" s="430"/>
      <c r="BA152" s="479">
        <f t="shared" si="37"/>
        <v>0</v>
      </c>
      <c r="BB152" s="479">
        <f t="shared" si="37"/>
        <v>0</v>
      </c>
      <c r="BC152" s="516"/>
      <c r="BE152" s="480" t="str">
        <f t="shared" si="38"/>
        <v/>
      </c>
      <c r="BF152" s="480" t="str">
        <f t="shared" si="39"/>
        <v/>
      </c>
    </row>
    <row r="153" spans="1:58" ht="15.6" x14ac:dyDescent="0.3">
      <c r="A153" s="152">
        <v>2032</v>
      </c>
      <c r="B153" s="178"/>
      <c r="C153" s="182"/>
      <c r="D153" s="183"/>
      <c r="E153" s="179" t="str">
        <f t="shared" si="40"/>
        <v/>
      </c>
      <c r="F153" s="183" t="str">
        <f t="shared" si="47"/>
        <v/>
      </c>
      <c r="G153" s="247" t="str">
        <f t="shared" si="34"/>
        <v/>
      </c>
      <c r="H153" s="246"/>
      <c r="I153" s="417"/>
      <c r="J153" s="178"/>
      <c r="K153" s="182"/>
      <c r="L153" s="183"/>
      <c r="M153" s="179" t="str">
        <f t="shared" si="41"/>
        <v/>
      </c>
      <c r="N153" s="183" t="str">
        <f t="shared" si="50"/>
        <v/>
      </c>
      <c r="O153" s="247" t="str">
        <f t="shared" si="35"/>
        <v/>
      </c>
      <c r="P153" s="246"/>
      <c r="Q153" s="417"/>
      <c r="R153" s="182"/>
      <c r="S153" s="178"/>
      <c r="T153" s="182"/>
      <c r="U153" s="178"/>
      <c r="V153" s="506"/>
      <c r="W153" s="259" t="str">
        <f>IF($W$135="Y",IFERROR(E153*($F$8/SUMIF($H$5:$H$16,"Y",$F$5:$F$16))*$F$21*'Emissions Factors'!$B29,""),"")</f>
        <v/>
      </c>
      <c r="X153" s="259" t="str">
        <f>IF($X$135="Y",IFERROR($E153*(SUM($F$7,$F$5,$F$6)/SUMIF($H$5:$H$16,"Y",$F$5:$F$16))*('Emissions Factors'!$T$143*$F$22)/10^6,""),"")</f>
        <v/>
      </c>
      <c r="Y153" s="259" t="str">
        <f t="shared" si="48"/>
        <v/>
      </c>
      <c r="Z153" s="180"/>
      <c r="AA153" s="509"/>
      <c r="AB153" s="180">
        <f t="shared" si="42"/>
        <v>0</v>
      </c>
      <c r="AC153" s="180">
        <f t="shared" si="43"/>
        <v>0</v>
      </c>
      <c r="AE153" s="182"/>
      <c r="AF153" s="178"/>
      <c r="AG153" s="182"/>
      <c r="AH153" s="178"/>
      <c r="AJ153" s="259" t="str">
        <f>IF($AJ$135="Y",IFERROR(M153*($F$8/SUMIF($H$5:$H$16,"Y",$F$5:$F$16))*$F$21*'Emissions Factors'!$B29,""),"")</f>
        <v/>
      </c>
      <c r="AK153" s="259" t="str">
        <f>IF($AK$135="Y",IFERROR($M153*(SUM($F$7,$F$5,$F$6)/SUMIF($H$5:$H$16,"Y",$F$5:$F$16))*('Emissions Factors'!$T$143*$F$22)/10^6,""),"")</f>
        <v/>
      </c>
      <c r="AL153" s="259" t="str">
        <f t="shared" si="49"/>
        <v/>
      </c>
      <c r="AM153" s="180"/>
      <c r="AO153" s="180">
        <f t="shared" si="44"/>
        <v>0</v>
      </c>
      <c r="AP153" s="180">
        <f t="shared" si="45"/>
        <v>0</v>
      </c>
      <c r="AS153" s="430"/>
      <c r="AT153" s="478">
        <v>2032</v>
      </c>
      <c r="AU153" s="479">
        <f t="shared" si="46"/>
        <v>0</v>
      </c>
      <c r="AV153" s="479">
        <f t="shared" si="46"/>
        <v>0</v>
      </c>
      <c r="AW153" s="430"/>
      <c r="AX153" s="479">
        <f t="shared" si="36"/>
        <v>0</v>
      </c>
      <c r="AY153" s="479">
        <f t="shared" si="36"/>
        <v>0</v>
      </c>
      <c r="AZ153" s="430"/>
      <c r="BA153" s="479">
        <f t="shared" si="37"/>
        <v>0</v>
      </c>
      <c r="BB153" s="479">
        <f t="shared" si="37"/>
        <v>0</v>
      </c>
      <c r="BC153" s="516"/>
      <c r="BE153" s="480" t="str">
        <f t="shared" si="38"/>
        <v/>
      </c>
      <c r="BF153" s="480" t="str">
        <f t="shared" si="39"/>
        <v/>
      </c>
    </row>
    <row r="154" spans="1:58" ht="15.6" x14ac:dyDescent="0.3">
      <c r="A154" s="152">
        <v>2033</v>
      </c>
      <c r="B154" s="178"/>
      <c r="C154" s="182"/>
      <c r="D154" s="183"/>
      <c r="E154" s="179" t="str">
        <f t="shared" si="40"/>
        <v/>
      </c>
      <c r="F154" s="183" t="str">
        <f t="shared" si="47"/>
        <v/>
      </c>
      <c r="G154" s="247" t="str">
        <f t="shared" si="34"/>
        <v/>
      </c>
      <c r="H154" s="246"/>
      <c r="I154" s="417"/>
      <c r="J154" s="178"/>
      <c r="K154" s="182"/>
      <c r="L154" s="183"/>
      <c r="M154" s="179" t="str">
        <f t="shared" si="41"/>
        <v/>
      </c>
      <c r="N154" s="183" t="str">
        <f t="shared" si="50"/>
        <v/>
      </c>
      <c r="O154" s="247" t="str">
        <f t="shared" si="35"/>
        <v/>
      </c>
      <c r="P154" s="246"/>
      <c r="Q154" s="417"/>
      <c r="R154" s="182"/>
      <c r="S154" s="178"/>
      <c r="T154" s="182"/>
      <c r="U154" s="178"/>
      <c r="V154" s="506"/>
      <c r="W154" s="259" t="str">
        <f>IF($W$135="Y",IFERROR(E154*($F$8/SUMIF($H$5:$H$16,"Y",$F$5:$F$16))*$F$21*'Emissions Factors'!$B30,""),"")</f>
        <v/>
      </c>
      <c r="X154" s="259" t="str">
        <f>IF($X$135="Y",IFERROR($E154*(SUM($F$7,$F$5,$F$6)/SUMIF($H$5:$H$16,"Y",$F$5:$F$16))*('Emissions Factors'!$T$143*$F$22)/10^6,""),"")</f>
        <v/>
      </c>
      <c r="Y154" s="259" t="str">
        <f t="shared" si="48"/>
        <v/>
      </c>
      <c r="Z154" s="180"/>
      <c r="AA154" s="509"/>
      <c r="AB154" s="180">
        <f t="shared" si="42"/>
        <v>0</v>
      </c>
      <c r="AC154" s="180">
        <f t="shared" si="43"/>
        <v>0</v>
      </c>
      <c r="AE154" s="182"/>
      <c r="AF154" s="178"/>
      <c r="AG154" s="182"/>
      <c r="AH154" s="178"/>
      <c r="AJ154" s="259" t="str">
        <f>IF($AJ$135="Y",IFERROR(M154*($F$8/SUMIF($H$5:$H$16,"Y",$F$5:$F$16))*$F$21*'Emissions Factors'!$B30,""),"")</f>
        <v/>
      </c>
      <c r="AK154" s="259" t="str">
        <f>IF($AK$135="Y",IFERROR($M154*(SUM($F$7,$F$5,$F$6)/SUMIF($H$5:$H$16,"Y",$F$5:$F$16))*('Emissions Factors'!$T$143*$F$22)/10^6,""),"")</f>
        <v/>
      </c>
      <c r="AL154" s="259" t="str">
        <f t="shared" si="49"/>
        <v/>
      </c>
      <c r="AM154" s="180"/>
      <c r="AO154" s="180">
        <f t="shared" si="44"/>
        <v>0</v>
      </c>
      <c r="AP154" s="180">
        <f t="shared" si="45"/>
        <v>0</v>
      </c>
      <c r="AS154" s="430"/>
      <c r="AT154" s="478">
        <v>2033</v>
      </c>
      <c r="AU154" s="479">
        <f t="shared" si="46"/>
        <v>0</v>
      </c>
      <c r="AV154" s="479">
        <f t="shared" si="46"/>
        <v>0</v>
      </c>
      <c r="AW154" s="430"/>
      <c r="AX154" s="479">
        <f t="shared" si="36"/>
        <v>0</v>
      </c>
      <c r="AY154" s="479">
        <f t="shared" si="36"/>
        <v>0</v>
      </c>
      <c r="AZ154" s="430"/>
      <c r="BA154" s="479">
        <f t="shared" si="37"/>
        <v>0</v>
      </c>
      <c r="BB154" s="479">
        <f t="shared" si="37"/>
        <v>0</v>
      </c>
      <c r="BC154" s="516"/>
      <c r="BE154" s="480" t="str">
        <f t="shared" si="38"/>
        <v/>
      </c>
      <c r="BF154" s="480" t="str">
        <f t="shared" si="39"/>
        <v/>
      </c>
    </row>
    <row r="155" spans="1:58" ht="15.6" x14ac:dyDescent="0.3">
      <c r="A155" s="152">
        <v>2034</v>
      </c>
      <c r="B155" s="178"/>
      <c r="C155" s="182"/>
      <c r="D155" s="183"/>
      <c r="E155" s="179" t="str">
        <f t="shared" si="40"/>
        <v/>
      </c>
      <c r="F155" s="183" t="str">
        <f t="shared" si="47"/>
        <v/>
      </c>
      <c r="G155" s="247" t="str">
        <f t="shared" si="34"/>
        <v/>
      </c>
      <c r="H155" s="246"/>
      <c r="I155" s="417"/>
      <c r="J155" s="178"/>
      <c r="K155" s="182"/>
      <c r="L155" s="183"/>
      <c r="M155" s="179" t="str">
        <f t="shared" si="41"/>
        <v/>
      </c>
      <c r="N155" s="183" t="str">
        <f t="shared" si="50"/>
        <v/>
      </c>
      <c r="O155" s="247" t="str">
        <f t="shared" si="35"/>
        <v/>
      </c>
      <c r="P155" s="246"/>
      <c r="Q155" s="417"/>
      <c r="R155" s="182"/>
      <c r="S155" s="178"/>
      <c r="T155" s="182"/>
      <c r="U155" s="178"/>
      <c r="V155" s="506"/>
      <c r="W155" s="259" t="str">
        <f>IF($W$135="Y",IFERROR(E155*($F$8/SUMIF($H$5:$H$16,"Y",$F$5:$F$16))*$F$21*'Emissions Factors'!$B31,""),"")</f>
        <v/>
      </c>
      <c r="X155" s="259" t="str">
        <f>IF($X$135="Y",IFERROR($E155*(SUM($F$7,$F$5,$F$6)/SUMIF($H$5:$H$16,"Y",$F$5:$F$16))*('Emissions Factors'!$T$143*$F$22)/10^6,""),"")</f>
        <v/>
      </c>
      <c r="Y155" s="259" t="str">
        <f t="shared" si="48"/>
        <v/>
      </c>
      <c r="Z155" s="180"/>
      <c r="AA155" s="509"/>
      <c r="AB155" s="180">
        <f t="shared" si="42"/>
        <v>0</v>
      </c>
      <c r="AC155" s="180">
        <f t="shared" si="43"/>
        <v>0</v>
      </c>
      <c r="AE155" s="182"/>
      <c r="AF155" s="178"/>
      <c r="AG155" s="182"/>
      <c r="AH155" s="178"/>
      <c r="AJ155" s="259" t="str">
        <f>IF($AJ$135="Y",IFERROR(M155*($F$8/SUMIF($H$5:$H$16,"Y",$F$5:$F$16))*$F$21*'Emissions Factors'!$B31,""),"")</f>
        <v/>
      </c>
      <c r="AK155" s="259" t="str">
        <f>IF($AK$135="Y",IFERROR($M155*(SUM($F$7,$F$5,$F$6)/SUMIF($H$5:$H$16,"Y",$F$5:$F$16))*('Emissions Factors'!$T$143*$F$22)/10^6,""),"")</f>
        <v/>
      </c>
      <c r="AL155" s="259" t="str">
        <f t="shared" si="49"/>
        <v/>
      </c>
      <c r="AM155" s="180"/>
      <c r="AO155" s="180">
        <f t="shared" si="44"/>
        <v>0</v>
      </c>
      <c r="AP155" s="180">
        <f t="shared" si="45"/>
        <v>0</v>
      </c>
      <c r="AS155" s="430"/>
      <c r="AT155" s="478">
        <v>2034</v>
      </c>
      <c r="AU155" s="479">
        <f t="shared" si="46"/>
        <v>0</v>
      </c>
      <c r="AV155" s="479">
        <f t="shared" si="46"/>
        <v>0</v>
      </c>
      <c r="AW155" s="430"/>
      <c r="AX155" s="479">
        <f t="shared" si="36"/>
        <v>0</v>
      </c>
      <c r="AY155" s="479">
        <f t="shared" si="36"/>
        <v>0</v>
      </c>
      <c r="AZ155" s="430"/>
      <c r="BA155" s="479">
        <f t="shared" si="37"/>
        <v>0</v>
      </c>
      <c r="BB155" s="479">
        <f t="shared" si="37"/>
        <v>0</v>
      </c>
      <c r="BC155" s="516"/>
      <c r="BE155" s="480" t="str">
        <f t="shared" si="38"/>
        <v/>
      </c>
      <c r="BF155" s="480" t="str">
        <f t="shared" si="39"/>
        <v/>
      </c>
    </row>
    <row r="156" spans="1:58" ht="15.6" x14ac:dyDescent="0.3">
      <c r="A156" s="152">
        <v>2035</v>
      </c>
      <c r="B156" s="178"/>
      <c r="C156" s="182"/>
      <c r="D156" s="183"/>
      <c r="E156" s="179" t="str">
        <f t="shared" si="40"/>
        <v/>
      </c>
      <c r="F156" s="183" t="str">
        <f t="shared" si="47"/>
        <v/>
      </c>
      <c r="G156" s="247" t="str">
        <f t="shared" si="34"/>
        <v/>
      </c>
      <c r="H156" s="246"/>
      <c r="I156" s="417"/>
      <c r="J156" s="178"/>
      <c r="K156" s="182"/>
      <c r="L156" s="183"/>
      <c r="M156" s="179" t="str">
        <f t="shared" si="41"/>
        <v/>
      </c>
      <c r="N156" s="183" t="str">
        <f t="shared" si="50"/>
        <v/>
      </c>
      <c r="O156" s="247" t="str">
        <f t="shared" si="35"/>
        <v/>
      </c>
      <c r="P156" s="246"/>
      <c r="Q156" s="417"/>
      <c r="R156" s="182"/>
      <c r="S156" s="178"/>
      <c r="T156" s="182"/>
      <c r="U156" s="178"/>
      <c r="V156" s="506"/>
      <c r="W156" s="259" t="str">
        <f>IF($W$135="Y",IFERROR(E156*($F$8/SUMIF($H$5:$H$16,"Y",$F$5:$F$16))*$F$21*'Emissions Factors'!$B32,""),"")</f>
        <v/>
      </c>
      <c r="X156" s="259" t="str">
        <f>IF($X$135="Y",IFERROR($E156*(SUM($F$7,$F$5,$F$6)/SUMIF($H$5:$H$16,"Y",$F$5:$F$16))*('Emissions Factors'!$T$143*$F$22)/10^6,""),"")</f>
        <v/>
      </c>
      <c r="Y156" s="259" t="str">
        <f t="shared" si="48"/>
        <v/>
      </c>
      <c r="Z156" s="180"/>
      <c r="AA156" s="509"/>
      <c r="AB156" s="180">
        <f t="shared" si="42"/>
        <v>0</v>
      </c>
      <c r="AC156" s="180">
        <f t="shared" si="43"/>
        <v>0</v>
      </c>
      <c r="AE156" s="182"/>
      <c r="AF156" s="178"/>
      <c r="AG156" s="182"/>
      <c r="AH156" s="178"/>
      <c r="AJ156" s="259" t="str">
        <f>IF($AJ$135="Y",IFERROR(M156*($F$8/SUMIF($H$5:$H$16,"Y",$F$5:$F$16))*$F$21*'Emissions Factors'!$B32,""),"")</f>
        <v/>
      </c>
      <c r="AK156" s="259" t="str">
        <f>IF($AK$135="Y",IFERROR($M156*(SUM($F$7,$F$5,$F$6)/SUMIF($H$5:$H$16,"Y",$F$5:$F$16))*('Emissions Factors'!$T$143*$F$22)/10^6,""),"")</f>
        <v/>
      </c>
      <c r="AL156" s="259" t="str">
        <f t="shared" si="49"/>
        <v/>
      </c>
      <c r="AM156" s="180"/>
      <c r="AO156" s="180">
        <f t="shared" si="44"/>
        <v>0</v>
      </c>
      <c r="AP156" s="180">
        <f t="shared" si="45"/>
        <v>0</v>
      </c>
      <c r="AS156" s="430"/>
      <c r="AT156" s="478">
        <v>2035</v>
      </c>
      <c r="AU156" s="479">
        <f t="shared" si="46"/>
        <v>0</v>
      </c>
      <c r="AV156" s="479">
        <f t="shared" si="46"/>
        <v>0</v>
      </c>
      <c r="AW156" s="430"/>
      <c r="AX156" s="479">
        <f t="shared" si="36"/>
        <v>0</v>
      </c>
      <c r="AY156" s="479">
        <f t="shared" si="36"/>
        <v>0</v>
      </c>
      <c r="AZ156" s="430"/>
      <c r="BA156" s="479">
        <f t="shared" si="37"/>
        <v>0</v>
      </c>
      <c r="BB156" s="479">
        <f t="shared" si="37"/>
        <v>0</v>
      </c>
      <c r="BC156" s="516"/>
      <c r="BE156" s="480" t="str">
        <f t="shared" si="38"/>
        <v/>
      </c>
      <c r="BF156" s="480" t="str">
        <f t="shared" si="39"/>
        <v/>
      </c>
    </row>
    <row r="157" spans="1:58" ht="15.6" x14ac:dyDescent="0.3">
      <c r="A157" s="152">
        <v>2036</v>
      </c>
      <c r="B157" s="178"/>
      <c r="C157" s="182"/>
      <c r="D157" s="183"/>
      <c r="E157" s="179" t="str">
        <f t="shared" si="40"/>
        <v/>
      </c>
      <c r="F157" s="183" t="str">
        <f t="shared" si="47"/>
        <v/>
      </c>
      <c r="G157" s="247" t="str">
        <f t="shared" si="34"/>
        <v/>
      </c>
      <c r="H157" s="246"/>
      <c r="I157" s="417"/>
      <c r="J157" s="178"/>
      <c r="K157" s="182"/>
      <c r="L157" s="183"/>
      <c r="M157" s="179" t="str">
        <f t="shared" si="41"/>
        <v/>
      </c>
      <c r="N157" s="183" t="str">
        <f t="shared" si="50"/>
        <v/>
      </c>
      <c r="O157" s="247" t="str">
        <f t="shared" si="35"/>
        <v/>
      </c>
      <c r="P157" s="246"/>
      <c r="Q157" s="417"/>
      <c r="R157" s="182"/>
      <c r="S157" s="178"/>
      <c r="T157" s="182"/>
      <c r="U157" s="178"/>
      <c r="V157" s="506"/>
      <c r="W157" s="259" t="str">
        <f>IF($W$135="Y",IFERROR(E157*($F$8/SUMIF($H$5:$H$16,"Y",$F$5:$F$16))*$F$21*'Emissions Factors'!$B33,""),"")</f>
        <v/>
      </c>
      <c r="X157" s="259" t="str">
        <f>IF($X$135="Y",IFERROR($E157*(SUM($F$7,$F$5,$F$6)/SUMIF($H$5:$H$16,"Y",$F$5:$F$16))*('Emissions Factors'!$T$143*$F$22)/10^6,""),"")</f>
        <v/>
      </c>
      <c r="Y157" s="259" t="str">
        <f t="shared" si="48"/>
        <v/>
      </c>
      <c r="Z157" s="180"/>
      <c r="AA157" s="509"/>
      <c r="AB157" s="180">
        <f t="shared" si="42"/>
        <v>0</v>
      </c>
      <c r="AC157" s="180">
        <f t="shared" si="43"/>
        <v>0</v>
      </c>
      <c r="AE157" s="182"/>
      <c r="AF157" s="178"/>
      <c r="AG157" s="182"/>
      <c r="AH157" s="178"/>
      <c r="AJ157" s="259" t="str">
        <f>IF($AJ$135="Y",IFERROR(M157*($F$8/SUMIF($H$5:$H$16,"Y",$F$5:$F$16))*$F$21*'Emissions Factors'!$B33,""),"")</f>
        <v/>
      </c>
      <c r="AK157" s="259" t="str">
        <f>IF($AK$135="Y",IFERROR($M157*(SUM($F$7,$F$5,$F$6)/SUMIF($H$5:$H$16,"Y",$F$5:$F$16))*('Emissions Factors'!$T$143*$F$22)/10^6,""),"")</f>
        <v/>
      </c>
      <c r="AL157" s="259" t="str">
        <f t="shared" si="49"/>
        <v/>
      </c>
      <c r="AM157" s="180"/>
      <c r="AO157" s="180">
        <f t="shared" si="44"/>
        <v>0</v>
      </c>
      <c r="AP157" s="180">
        <f t="shared" si="45"/>
        <v>0</v>
      </c>
      <c r="AS157" s="430"/>
      <c r="AT157" s="478">
        <v>2036</v>
      </c>
      <c r="AU157" s="479">
        <f t="shared" si="46"/>
        <v>0</v>
      </c>
      <c r="AV157" s="479">
        <f t="shared" si="46"/>
        <v>0</v>
      </c>
      <c r="AW157" s="430"/>
      <c r="AX157" s="479">
        <f t="shared" si="36"/>
        <v>0</v>
      </c>
      <c r="AY157" s="479">
        <f t="shared" si="36"/>
        <v>0</v>
      </c>
      <c r="AZ157" s="430"/>
      <c r="BA157" s="479">
        <f t="shared" si="37"/>
        <v>0</v>
      </c>
      <c r="BB157" s="479">
        <f t="shared" si="37"/>
        <v>0</v>
      </c>
      <c r="BC157" s="516"/>
      <c r="BE157" s="480" t="str">
        <f t="shared" si="38"/>
        <v/>
      </c>
      <c r="BF157" s="480" t="str">
        <f t="shared" si="39"/>
        <v/>
      </c>
    </row>
    <row r="158" spans="1:58" ht="15.6" x14ac:dyDescent="0.3">
      <c r="A158" s="152">
        <v>2037</v>
      </c>
      <c r="B158" s="178"/>
      <c r="C158" s="182"/>
      <c r="D158" s="183"/>
      <c r="E158" s="179" t="str">
        <f t="shared" si="40"/>
        <v/>
      </c>
      <c r="F158" s="183" t="str">
        <f t="shared" si="47"/>
        <v/>
      </c>
      <c r="G158" s="247" t="str">
        <f t="shared" si="34"/>
        <v/>
      </c>
      <c r="H158" s="246"/>
      <c r="I158" s="417"/>
      <c r="J158" s="178"/>
      <c r="K158" s="182"/>
      <c r="L158" s="183"/>
      <c r="M158" s="179" t="str">
        <f t="shared" si="41"/>
        <v/>
      </c>
      <c r="N158" s="183" t="str">
        <f t="shared" si="50"/>
        <v/>
      </c>
      <c r="O158" s="247" t="str">
        <f t="shared" si="35"/>
        <v/>
      </c>
      <c r="P158" s="246"/>
      <c r="Q158" s="417"/>
      <c r="R158" s="182"/>
      <c r="S158" s="178"/>
      <c r="T158" s="182"/>
      <c r="U158" s="178"/>
      <c r="V158" s="506"/>
      <c r="W158" s="259" t="str">
        <f>IF($W$135="Y",IFERROR(E158*($F$8/SUMIF($H$5:$H$16,"Y",$F$5:$F$16))*$F$21*'Emissions Factors'!$B34,""),"")</f>
        <v/>
      </c>
      <c r="X158" s="259" t="str">
        <f>IF($X$135="Y",IFERROR($E158*(SUM($F$7,$F$5,$F$6)/SUMIF($H$5:$H$16,"Y",$F$5:$F$16))*('Emissions Factors'!$T$143*$F$22)/10^6,""),"")</f>
        <v/>
      </c>
      <c r="Y158" s="259" t="str">
        <f t="shared" si="48"/>
        <v/>
      </c>
      <c r="Z158" s="180"/>
      <c r="AA158" s="509"/>
      <c r="AB158" s="180">
        <f t="shared" si="42"/>
        <v>0</v>
      </c>
      <c r="AC158" s="180">
        <f t="shared" si="43"/>
        <v>0</v>
      </c>
      <c r="AE158" s="182"/>
      <c r="AF158" s="178"/>
      <c r="AG158" s="182"/>
      <c r="AH158" s="178"/>
      <c r="AJ158" s="259" t="str">
        <f>IF($AJ$135="Y",IFERROR(M158*($F$8/SUMIF($H$5:$H$16,"Y",$F$5:$F$16))*$F$21*'Emissions Factors'!$B34,""),"")</f>
        <v/>
      </c>
      <c r="AK158" s="259" t="str">
        <f>IF($AK$135="Y",IFERROR($M158*(SUM($F$7,$F$5,$F$6)/SUMIF($H$5:$H$16,"Y",$F$5:$F$16))*('Emissions Factors'!$T$143*$F$22)/10^6,""),"")</f>
        <v/>
      </c>
      <c r="AL158" s="259" t="str">
        <f t="shared" si="49"/>
        <v/>
      </c>
      <c r="AM158" s="180"/>
      <c r="AO158" s="180">
        <f t="shared" si="44"/>
        <v>0</v>
      </c>
      <c r="AP158" s="180">
        <f t="shared" si="45"/>
        <v>0</v>
      </c>
      <c r="AS158" s="430"/>
      <c r="AT158" s="478">
        <v>2037</v>
      </c>
      <c r="AU158" s="479">
        <f t="shared" si="46"/>
        <v>0</v>
      </c>
      <c r="AV158" s="479">
        <f t="shared" si="46"/>
        <v>0</v>
      </c>
      <c r="AW158" s="430"/>
      <c r="AX158" s="479">
        <f t="shared" si="36"/>
        <v>0</v>
      </c>
      <c r="AY158" s="479">
        <f t="shared" si="36"/>
        <v>0</v>
      </c>
      <c r="AZ158" s="430"/>
      <c r="BA158" s="479">
        <f t="shared" si="37"/>
        <v>0</v>
      </c>
      <c r="BB158" s="479">
        <f t="shared" si="37"/>
        <v>0</v>
      </c>
      <c r="BC158" s="516"/>
      <c r="BE158" s="480" t="str">
        <f t="shared" si="38"/>
        <v/>
      </c>
      <c r="BF158" s="480" t="str">
        <f t="shared" si="39"/>
        <v/>
      </c>
    </row>
    <row r="159" spans="1:58" ht="15.6" x14ac:dyDescent="0.3">
      <c r="A159" s="152">
        <v>2038</v>
      </c>
      <c r="B159" s="178"/>
      <c r="C159" s="182"/>
      <c r="D159" s="183"/>
      <c r="E159" s="179" t="str">
        <f t="shared" si="40"/>
        <v/>
      </c>
      <c r="F159" s="183" t="str">
        <f t="shared" si="47"/>
        <v/>
      </c>
      <c r="G159" s="247" t="str">
        <f t="shared" si="34"/>
        <v/>
      </c>
      <c r="H159" s="246"/>
      <c r="I159" s="417"/>
      <c r="J159" s="178"/>
      <c r="K159" s="182"/>
      <c r="L159" s="183"/>
      <c r="M159" s="179" t="str">
        <f t="shared" si="41"/>
        <v/>
      </c>
      <c r="N159" s="183" t="str">
        <f t="shared" si="50"/>
        <v/>
      </c>
      <c r="O159" s="247" t="str">
        <f t="shared" si="35"/>
        <v/>
      </c>
      <c r="P159" s="246"/>
      <c r="Q159" s="417"/>
      <c r="R159" s="182"/>
      <c r="S159" s="178"/>
      <c r="T159" s="182"/>
      <c r="U159" s="178"/>
      <c r="V159" s="506"/>
      <c r="W159" s="259" t="str">
        <f>IF($W$135="Y",IFERROR(E159*($F$8/SUMIF($H$5:$H$16,"Y",$F$5:$F$16))*$F$21*'Emissions Factors'!$B35,""),"")</f>
        <v/>
      </c>
      <c r="X159" s="259" t="str">
        <f>IF($X$135="Y",IFERROR($E159*(SUM($F$7,$F$5,$F$6)/SUMIF($H$5:$H$16,"Y",$F$5:$F$16))*('Emissions Factors'!$T$143*$F$22)/10^6,""),"")</f>
        <v/>
      </c>
      <c r="Y159" s="259" t="str">
        <f t="shared" si="48"/>
        <v/>
      </c>
      <c r="Z159" s="180"/>
      <c r="AA159" s="509"/>
      <c r="AB159" s="180">
        <f t="shared" si="42"/>
        <v>0</v>
      </c>
      <c r="AC159" s="180">
        <f t="shared" si="43"/>
        <v>0</v>
      </c>
      <c r="AE159" s="182"/>
      <c r="AF159" s="178"/>
      <c r="AG159" s="182"/>
      <c r="AH159" s="178"/>
      <c r="AJ159" s="259" t="str">
        <f>IF($AJ$135="Y",IFERROR(M159*($F$8/SUMIF($H$5:$H$16,"Y",$F$5:$F$16))*$F$21*'Emissions Factors'!$B35,""),"")</f>
        <v/>
      </c>
      <c r="AK159" s="259" t="str">
        <f>IF($AK$135="Y",IFERROR($M159*(SUM($F$7,$F$5,$F$6)/SUMIF($H$5:$H$16,"Y",$F$5:$F$16))*('Emissions Factors'!$T$143*$F$22)/10^6,""),"")</f>
        <v/>
      </c>
      <c r="AL159" s="259" t="str">
        <f t="shared" si="49"/>
        <v/>
      </c>
      <c r="AM159" s="180"/>
      <c r="AO159" s="180">
        <f t="shared" si="44"/>
        <v>0</v>
      </c>
      <c r="AP159" s="180">
        <f t="shared" si="45"/>
        <v>0</v>
      </c>
      <c r="AS159" s="430"/>
      <c r="AT159" s="478">
        <v>2038</v>
      </c>
      <c r="AU159" s="479">
        <f t="shared" si="46"/>
        <v>0</v>
      </c>
      <c r="AV159" s="479">
        <f t="shared" si="46"/>
        <v>0</v>
      </c>
      <c r="AW159" s="430"/>
      <c r="AX159" s="479">
        <f t="shared" si="36"/>
        <v>0</v>
      </c>
      <c r="AY159" s="479">
        <f t="shared" si="36"/>
        <v>0</v>
      </c>
      <c r="AZ159" s="430"/>
      <c r="BA159" s="479">
        <f t="shared" si="37"/>
        <v>0</v>
      </c>
      <c r="BB159" s="479">
        <f t="shared" si="37"/>
        <v>0</v>
      </c>
      <c r="BC159" s="516"/>
      <c r="BE159" s="480" t="str">
        <f t="shared" si="38"/>
        <v/>
      </c>
      <c r="BF159" s="480" t="str">
        <f t="shared" si="39"/>
        <v/>
      </c>
    </row>
    <row r="160" spans="1:58" ht="15.6" x14ac:dyDescent="0.3">
      <c r="A160" s="152">
        <v>2039</v>
      </c>
      <c r="B160" s="178"/>
      <c r="C160" s="182"/>
      <c r="D160" s="183"/>
      <c r="E160" s="179" t="str">
        <f t="shared" si="40"/>
        <v/>
      </c>
      <c r="F160" s="183" t="str">
        <f t="shared" si="47"/>
        <v/>
      </c>
      <c r="G160" s="247" t="str">
        <f t="shared" si="34"/>
        <v/>
      </c>
      <c r="H160" s="246"/>
      <c r="I160" s="417"/>
      <c r="J160" s="178"/>
      <c r="K160" s="182"/>
      <c r="L160" s="183"/>
      <c r="M160" s="179" t="str">
        <f t="shared" si="41"/>
        <v/>
      </c>
      <c r="N160" s="183" t="str">
        <f t="shared" si="50"/>
        <v/>
      </c>
      <c r="O160" s="247" t="str">
        <f t="shared" si="35"/>
        <v/>
      </c>
      <c r="P160" s="246"/>
      <c r="Q160" s="417"/>
      <c r="R160" s="182"/>
      <c r="S160" s="178"/>
      <c r="T160" s="182"/>
      <c r="U160" s="178"/>
      <c r="V160" s="506"/>
      <c r="W160" s="259" t="str">
        <f>IF($W$135="Y",IFERROR(E160*($F$8/SUMIF($H$5:$H$16,"Y",$F$5:$F$16))*$F$21*'Emissions Factors'!$B36,""),"")</f>
        <v/>
      </c>
      <c r="X160" s="259" t="str">
        <f>IF($X$135="Y",IFERROR($E160*(SUM($F$7,$F$5,$F$6)/SUMIF($H$5:$H$16,"Y",$F$5:$F$16))*('Emissions Factors'!$T$143*$F$22)/10^6,""),"")</f>
        <v/>
      </c>
      <c r="Y160" s="259" t="str">
        <f t="shared" si="48"/>
        <v/>
      </c>
      <c r="Z160" s="180"/>
      <c r="AA160" s="509"/>
      <c r="AB160" s="180">
        <f t="shared" si="42"/>
        <v>0</v>
      </c>
      <c r="AC160" s="180">
        <f t="shared" si="43"/>
        <v>0</v>
      </c>
      <c r="AE160" s="182"/>
      <c r="AF160" s="178"/>
      <c r="AG160" s="182"/>
      <c r="AH160" s="178"/>
      <c r="AJ160" s="259" t="str">
        <f>IF($AJ$135="Y",IFERROR(M160*($F$8/SUMIF($H$5:$H$16,"Y",$F$5:$F$16))*$F$21*'Emissions Factors'!$B36,""),"")</f>
        <v/>
      </c>
      <c r="AK160" s="259" t="str">
        <f>IF($AK$135="Y",IFERROR($M160*(SUM($F$7,$F$5,$F$6)/SUMIF($H$5:$H$16,"Y",$F$5:$F$16))*('Emissions Factors'!$T$143*$F$22)/10^6,""),"")</f>
        <v/>
      </c>
      <c r="AL160" s="259" t="str">
        <f t="shared" si="49"/>
        <v/>
      </c>
      <c r="AM160" s="180"/>
      <c r="AO160" s="180">
        <f t="shared" si="44"/>
        <v>0</v>
      </c>
      <c r="AP160" s="180">
        <f t="shared" si="45"/>
        <v>0</v>
      </c>
      <c r="AS160" s="430"/>
      <c r="AT160" s="478">
        <v>2039</v>
      </c>
      <c r="AU160" s="479">
        <f t="shared" si="46"/>
        <v>0</v>
      </c>
      <c r="AV160" s="479">
        <f t="shared" si="46"/>
        <v>0</v>
      </c>
      <c r="AW160" s="430"/>
      <c r="AX160" s="479">
        <f t="shared" si="36"/>
        <v>0</v>
      </c>
      <c r="AY160" s="479">
        <f t="shared" si="36"/>
        <v>0</v>
      </c>
      <c r="AZ160" s="430"/>
      <c r="BA160" s="479">
        <f t="shared" si="37"/>
        <v>0</v>
      </c>
      <c r="BB160" s="479">
        <f t="shared" si="37"/>
        <v>0</v>
      </c>
      <c r="BC160" s="516"/>
      <c r="BE160" s="480" t="str">
        <f t="shared" si="38"/>
        <v/>
      </c>
      <c r="BF160" s="480" t="str">
        <f t="shared" si="39"/>
        <v/>
      </c>
    </row>
    <row r="161" spans="1:58" ht="15.6" x14ac:dyDescent="0.3">
      <c r="A161" s="152">
        <v>2040</v>
      </c>
      <c r="B161" s="178"/>
      <c r="C161" s="182"/>
      <c r="D161" s="183"/>
      <c r="E161" s="179" t="str">
        <f t="shared" si="40"/>
        <v/>
      </c>
      <c r="F161" s="183" t="str">
        <f t="shared" si="47"/>
        <v/>
      </c>
      <c r="G161" s="247" t="str">
        <f t="shared" si="34"/>
        <v/>
      </c>
      <c r="H161" s="246"/>
      <c r="I161" s="417"/>
      <c r="J161" s="178"/>
      <c r="K161" s="182"/>
      <c r="L161" s="183"/>
      <c r="M161" s="179" t="str">
        <f t="shared" si="41"/>
        <v/>
      </c>
      <c r="N161" s="183" t="str">
        <f t="shared" si="50"/>
        <v/>
      </c>
      <c r="O161" s="247" t="str">
        <f t="shared" si="35"/>
        <v/>
      </c>
      <c r="P161" s="246"/>
      <c r="Q161" s="417"/>
      <c r="R161" s="182"/>
      <c r="S161" s="178"/>
      <c r="T161" s="182"/>
      <c r="U161" s="178"/>
      <c r="V161" s="506"/>
      <c r="W161" s="259" t="str">
        <f>IF($W$135="Y",IFERROR(E161*($F$8/SUMIF($H$5:$H$16,"Y",$F$5:$F$16))*$F$21*'Emissions Factors'!$B37,""),"")</f>
        <v/>
      </c>
      <c r="X161" s="259" t="str">
        <f>IF($X$135="Y",IFERROR($E161*(SUM($F$7,$F$5,$F$6)/SUMIF($H$5:$H$16,"Y",$F$5:$F$16))*('Emissions Factors'!$T$143*$F$22)/10^6,""),"")</f>
        <v/>
      </c>
      <c r="Y161" s="259" t="str">
        <f t="shared" si="48"/>
        <v/>
      </c>
      <c r="Z161" s="180"/>
      <c r="AA161" s="509"/>
      <c r="AB161" s="180">
        <f t="shared" si="42"/>
        <v>0</v>
      </c>
      <c r="AC161" s="180">
        <f t="shared" si="43"/>
        <v>0</v>
      </c>
      <c r="AE161" s="182"/>
      <c r="AF161" s="178"/>
      <c r="AG161" s="182"/>
      <c r="AH161" s="178"/>
      <c r="AJ161" s="259" t="str">
        <f>IF($AJ$135="Y",IFERROR(M161*($F$8/SUMIF($H$5:$H$16,"Y",$F$5:$F$16))*$F$21*'Emissions Factors'!$B37,""),"")</f>
        <v/>
      </c>
      <c r="AK161" s="259" t="str">
        <f>IF($AK$135="Y",IFERROR($M161*(SUM($F$7,$F$5,$F$6)/SUMIF($H$5:$H$16,"Y",$F$5:$F$16))*('Emissions Factors'!$T$143*$F$22)/10^6,""),"")</f>
        <v/>
      </c>
      <c r="AL161" s="259" t="str">
        <f t="shared" si="49"/>
        <v/>
      </c>
      <c r="AM161" s="180"/>
      <c r="AO161" s="180">
        <f t="shared" si="44"/>
        <v>0</v>
      </c>
      <c r="AP161" s="180">
        <f t="shared" si="45"/>
        <v>0</v>
      </c>
      <c r="AS161" s="430"/>
      <c r="AT161" s="478">
        <v>2040</v>
      </c>
      <c r="AU161" s="479">
        <f t="shared" si="46"/>
        <v>0</v>
      </c>
      <c r="AV161" s="479">
        <f t="shared" si="46"/>
        <v>0</v>
      </c>
      <c r="AW161" s="430"/>
      <c r="AX161" s="479">
        <f t="shared" si="36"/>
        <v>0</v>
      </c>
      <c r="AY161" s="479">
        <f t="shared" si="36"/>
        <v>0</v>
      </c>
      <c r="AZ161" s="430"/>
      <c r="BA161" s="479">
        <f t="shared" si="37"/>
        <v>0</v>
      </c>
      <c r="BB161" s="479">
        <f t="shared" si="37"/>
        <v>0</v>
      </c>
      <c r="BC161" s="516"/>
      <c r="BE161" s="480" t="str">
        <f t="shared" si="38"/>
        <v/>
      </c>
      <c r="BF161" s="480" t="str">
        <f t="shared" si="39"/>
        <v/>
      </c>
    </row>
    <row r="162" spans="1:58" ht="15.6" x14ac:dyDescent="0.3">
      <c r="A162" s="152">
        <v>2041</v>
      </c>
      <c r="B162" s="178"/>
      <c r="C162" s="182"/>
      <c r="D162" s="183"/>
      <c r="E162" s="179" t="str">
        <f t="shared" si="40"/>
        <v/>
      </c>
      <c r="F162" s="183" t="str">
        <f t="shared" si="47"/>
        <v/>
      </c>
      <c r="G162" s="247" t="str">
        <f t="shared" si="34"/>
        <v/>
      </c>
      <c r="H162" s="246"/>
      <c r="I162" s="417"/>
      <c r="J162" s="178"/>
      <c r="K162" s="182"/>
      <c r="L162" s="183"/>
      <c r="M162" s="179" t="str">
        <f t="shared" si="41"/>
        <v/>
      </c>
      <c r="N162" s="183" t="str">
        <f t="shared" si="50"/>
        <v/>
      </c>
      <c r="O162" s="247" t="str">
        <f t="shared" si="35"/>
        <v/>
      </c>
      <c r="P162" s="246"/>
      <c r="Q162" s="417"/>
      <c r="R162" s="182"/>
      <c r="S162" s="178"/>
      <c r="T162" s="182"/>
      <c r="U162" s="178"/>
      <c r="V162" s="506"/>
      <c r="W162" s="259" t="str">
        <f>IF($W$135="Y",IFERROR(E162*($F$8/SUMIF($H$5:$H$16,"Y",$F$5:$F$16))*$F$21*'Emissions Factors'!$B38,""),"")</f>
        <v/>
      </c>
      <c r="X162" s="259" t="str">
        <f>IF($X$135="Y",IFERROR($E162*(SUM($F$7,$F$5,$F$6)/SUMIF($H$5:$H$16,"Y",$F$5:$F$16))*('Emissions Factors'!$T$143*$F$22)/10^6,""),"")</f>
        <v/>
      </c>
      <c r="Y162" s="259" t="str">
        <f t="shared" si="48"/>
        <v/>
      </c>
      <c r="Z162" s="180"/>
      <c r="AA162" s="509"/>
      <c r="AB162" s="180">
        <f t="shared" si="42"/>
        <v>0</v>
      </c>
      <c r="AC162" s="180">
        <f t="shared" si="43"/>
        <v>0</v>
      </c>
      <c r="AE162" s="182"/>
      <c r="AF162" s="178"/>
      <c r="AG162" s="182"/>
      <c r="AH162" s="178"/>
      <c r="AJ162" s="259" t="str">
        <f>IF($AJ$135="Y",IFERROR(M162*($F$8/SUMIF($H$5:$H$16,"Y",$F$5:$F$16))*$F$21*'Emissions Factors'!$B38,""),"")</f>
        <v/>
      </c>
      <c r="AK162" s="259" t="str">
        <f>IF($AK$135="Y",IFERROR($M162*(SUM($F$7,$F$5,$F$6)/SUMIF($H$5:$H$16,"Y",$F$5:$F$16))*('Emissions Factors'!$T$143*$F$22)/10^6,""),"")</f>
        <v/>
      </c>
      <c r="AL162" s="259" t="str">
        <f t="shared" si="49"/>
        <v/>
      </c>
      <c r="AM162" s="180"/>
      <c r="AO162" s="180">
        <f t="shared" si="44"/>
        <v>0</v>
      </c>
      <c r="AP162" s="180">
        <f t="shared" si="45"/>
        <v>0</v>
      </c>
      <c r="AS162" s="430"/>
      <c r="AT162" s="478">
        <v>2041</v>
      </c>
      <c r="AU162" s="479">
        <f t="shared" si="46"/>
        <v>0</v>
      </c>
      <c r="AV162" s="479">
        <f t="shared" si="46"/>
        <v>0</v>
      </c>
      <c r="AW162" s="430"/>
      <c r="AX162" s="479">
        <f t="shared" si="36"/>
        <v>0</v>
      </c>
      <c r="AY162" s="479">
        <f t="shared" si="36"/>
        <v>0</v>
      </c>
      <c r="AZ162" s="430"/>
      <c r="BA162" s="479">
        <f t="shared" si="37"/>
        <v>0</v>
      </c>
      <c r="BB162" s="479">
        <f t="shared" si="37"/>
        <v>0</v>
      </c>
      <c r="BC162" s="516"/>
      <c r="BE162" s="480" t="str">
        <f t="shared" si="38"/>
        <v/>
      </c>
      <c r="BF162" s="480" t="str">
        <f t="shared" si="39"/>
        <v/>
      </c>
    </row>
    <row r="163" spans="1:58" ht="15.6" x14ac:dyDescent="0.3">
      <c r="A163" s="152">
        <v>2042</v>
      </c>
      <c r="B163" s="178"/>
      <c r="C163" s="182"/>
      <c r="D163" s="183"/>
      <c r="E163" s="179" t="str">
        <f t="shared" si="40"/>
        <v/>
      </c>
      <c r="F163" s="183" t="str">
        <f t="shared" si="47"/>
        <v/>
      </c>
      <c r="G163" s="247" t="str">
        <f t="shared" si="34"/>
        <v/>
      </c>
      <c r="H163" s="246"/>
      <c r="I163" s="417"/>
      <c r="J163" s="178"/>
      <c r="K163" s="182"/>
      <c r="L163" s="183"/>
      <c r="M163" s="179" t="str">
        <f t="shared" si="41"/>
        <v/>
      </c>
      <c r="N163" s="183" t="str">
        <f t="shared" si="50"/>
        <v/>
      </c>
      <c r="O163" s="247" t="str">
        <f t="shared" si="35"/>
        <v/>
      </c>
      <c r="P163" s="246"/>
      <c r="Q163" s="417"/>
      <c r="R163" s="182"/>
      <c r="S163" s="178"/>
      <c r="T163" s="182"/>
      <c r="U163" s="178"/>
      <c r="V163" s="506"/>
      <c r="W163" s="259" t="str">
        <f>IF($W$135="Y",IFERROR(E163*($F$8/SUMIF($H$5:$H$16,"Y",$F$5:$F$16))*$F$21*'Emissions Factors'!$B39,""),"")</f>
        <v/>
      </c>
      <c r="X163" s="259" t="str">
        <f>IF($X$135="Y",IFERROR($E163*(SUM($F$7,$F$5,$F$6)/SUMIF($H$5:$H$16,"Y",$F$5:$F$16))*('Emissions Factors'!$T$143*$F$22)/10^6,""),"")</f>
        <v/>
      </c>
      <c r="Y163" s="259" t="str">
        <f t="shared" si="48"/>
        <v/>
      </c>
      <c r="Z163" s="180"/>
      <c r="AA163" s="509"/>
      <c r="AB163" s="180">
        <f t="shared" si="42"/>
        <v>0</v>
      </c>
      <c r="AC163" s="180">
        <f t="shared" si="43"/>
        <v>0</v>
      </c>
      <c r="AE163" s="182"/>
      <c r="AF163" s="178"/>
      <c r="AG163" s="182"/>
      <c r="AH163" s="178"/>
      <c r="AJ163" s="259" t="str">
        <f>IF($AJ$135="Y",IFERROR(M163*($F$8/SUMIF($H$5:$H$16,"Y",$F$5:$F$16))*$F$21*'Emissions Factors'!$B39,""),"")</f>
        <v/>
      </c>
      <c r="AK163" s="259" t="str">
        <f>IF($AK$135="Y",IFERROR($M163*(SUM($F$7,$F$5,$F$6)/SUMIF($H$5:$H$16,"Y",$F$5:$F$16))*('Emissions Factors'!$T$143*$F$22)/10^6,""),"")</f>
        <v/>
      </c>
      <c r="AL163" s="259" t="str">
        <f t="shared" si="49"/>
        <v/>
      </c>
      <c r="AM163" s="180"/>
      <c r="AO163" s="180">
        <f t="shared" si="44"/>
        <v>0</v>
      </c>
      <c r="AP163" s="180">
        <f t="shared" si="45"/>
        <v>0</v>
      </c>
      <c r="AS163" s="430"/>
      <c r="AT163" s="478">
        <v>2042</v>
      </c>
      <c r="AU163" s="479">
        <f t="shared" si="46"/>
        <v>0</v>
      </c>
      <c r="AV163" s="479">
        <f t="shared" si="46"/>
        <v>0</v>
      </c>
      <c r="AW163" s="430"/>
      <c r="AX163" s="479">
        <f t="shared" si="36"/>
        <v>0</v>
      </c>
      <c r="AY163" s="479">
        <f t="shared" si="36"/>
        <v>0</v>
      </c>
      <c r="AZ163" s="430"/>
      <c r="BA163" s="479">
        <f t="shared" si="37"/>
        <v>0</v>
      </c>
      <c r="BB163" s="479">
        <f t="shared" si="37"/>
        <v>0</v>
      </c>
      <c r="BC163" s="516"/>
      <c r="BE163" s="480" t="str">
        <f t="shared" si="38"/>
        <v/>
      </c>
      <c r="BF163" s="480" t="str">
        <f t="shared" si="39"/>
        <v/>
      </c>
    </row>
    <row r="164" spans="1:58" ht="15.6" x14ac:dyDescent="0.3">
      <c r="A164" s="152">
        <v>2043</v>
      </c>
      <c r="B164" s="178"/>
      <c r="C164" s="182"/>
      <c r="D164" s="183"/>
      <c r="E164" s="179" t="str">
        <f t="shared" si="40"/>
        <v/>
      </c>
      <c r="F164" s="183" t="str">
        <f t="shared" si="47"/>
        <v/>
      </c>
      <c r="G164" s="247" t="str">
        <f t="shared" si="34"/>
        <v/>
      </c>
      <c r="H164" s="246"/>
      <c r="I164" s="417"/>
      <c r="J164" s="178"/>
      <c r="K164" s="182"/>
      <c r="L164" s="183"/>
      <c r="M164" s="179" t="str">
        <f t="shared" si="41"/>
        <v/>
      </c>
      <c r="N164" s="183" t="str">
        <f t="shared" si="50"/>
        <v/>
      </c>
      <c r="O164" s="247" t="str">
        <f t="shared" si="35"/>
        <v/>
      </c>
      <c r="P164" s="246"/>
      <c r="Q164" s="417"/>
      <c r="R164" s="182"/>
      <c r="S164" s="178"/>
      <c r="T164" s="182"/>
      <c r="U164" s="178"/>
      <c r="V164" s="506"/>
      <c r="W164" s="259" t="str">
        <f>IF($W$135="Y",IFERROR(E164*($F$8/SUMIF($H$5:$H$16,"Y",$F$5:$F$16))*$F$21*'Emissions Factors'!$B40,""),"")</f>
        <v/>
      </c>
      <c r="X164" s="259" t="str">
        <f>IF($X$135="Y",IFERROR($E164*(SUM($F$7,$F$5,$F$6)/SUMIF($H$5:$H$16,"Y",$F$5:$F$16))*('Emissions Factors'!$T$143*$F$22)/10^6,""),"")</f>
        <v/>
      </c>
      <c r="Y164" s="259" t="str">
        <f t="shared" si="48"/>
        <v/>
      </c>
      <c r="Z164" s="180"/>
      <c r="AA164" s="509"/>
      <c r="AB164" s="180">
        <f t="shared" si="42"/>
        <v>0</v>
      </c>
      <c r="AC164" s="180">
        <f t="shared" si="43"/>
        <v>0</v>
      </c>
      <c r="AE164" s="182"/>
      <c r="AF164" s="178"/>
      <c r="AG164" s="182"/>
      <c r="AH164" s="178"/>
      <c r="AJ164" s="259" t="str">
        <f>IF($AJ$135="Y",IFERROR(M164*($F$8/SUMIF($H$5:$H$16,"Y",$F$5:$F$16))*$F$21*'Emissions Factors'!$B40,""),"")</f>
        <v/>
      </c>
      <c r="AK164" s="259" t="str">
        <f>IF($AK$135="Y",IFERROR($M164*(SUM($F$7,$F$5,$F$6)/SUMIF($H$5:$H$16,"Y",$F$5:$F$16))*('Emissions Factors'!$T$143*$F$22)/10^6,""),"")</f>
        <v/>
      </c>
      <c r="AL164" s="259" t="str">
        <f t="shared" si="49"/>
        <v/>
      </c>
      <c r="AM164" s="180"/>
      <c r="AO164" s="180">
        <f t="shared" si="44"/>
        <v>0</v>
      </c>
      <c r="AP164" s="180">
        <f t="shared" si="45"/>
        <v>0</v>
      </c>
      <c r="AS164" s="430"/>
      <c r="AT164" s="478">
        <v>2043</v>
      </c>
      <c r="AU164" s="479">
        <f t="shared" si="46"/>
        <v>0</v>
      </c>
      <c r="AV164" s="479">
        <f t="shared" si="46"/>
        <v>0</v>
      </c>
      <c r="AW164" s="430"/>
      <c r="AX164" s="479">
        <f t="shared" si="36"/>
        <v>0</v>
      </c>
      <c r="AY164" s="479">
        <f t="shared" si="36"/>
        <v>0</v>
      </c>
      <c r="AZ164" s="430"/>
      <c r="BA164" s="479">
        <f t="shared" si="37"/>
        <v>0</v>
      </c>
      <c r="BB164" s="479">
        <f t="shared" si="37"/>
        <v>0</v>
      </c>
      <c r="BC164" s="516"/>
      <c r="BE164" s="480" t="str">
        <f t="shared" si="38"/>
        <v/>
      </c>
      <c r="BF164" s="480" t="str">
        <f t="shared" si="39"/>
        <v/>
      </c>
    </row>
    <row r="165" spans="1:58" ht="15.6" x14ac:dyDescent="0.3">
      <c r="A165" s="152">
        <v>2044</v>
      </c>
      <c r="B165" s="178"/>
      <c r="C165" s="182"/>
      <c r="D165" s="183"/>
      <c r="E165" s="179" t="str">
        <f t="shared" si="40"/>
        <v/>
      </c>
      <c r="F165" s="183" t="str">
        <f t="shared" si="47"/>
        <v/>
      </c>
      <c r="G165" s="247" t="str">
        <f t="shared" si="34"/>
        <v/>
      </c>
      <c r="H165" s="246"/>
      <c r="I165" s="417"/>
      <c r="J165" s="178"/>
      <c r="K165" s="182"/>
      <c r="L165" s="183"/>
      <c r="M165" s="179" t="str">
        <f t="shared" si="41"/>
        <v/>
      </c>
      <c r="N165" s="183" t="str">
        <f t="shared" si="50"/>
        <v/>
      </c>
      <c r="O165" s="247" t="str">
        <f t="shared" si="35"/>
        <v/>
      </c>
      <c r="P165" s="246"/>
      <c r="Q165" s="417"/>
      <c r="R165" s="182"/>
      <c r="S165" s="178"/>
      <c r="T165" s="182"/>
      <c r="U165" s="178"/>
      <c r="V165" s="506"/>
      <c r="W165" s="259" t="str">
        <f>IF($W$135="Y",IFERROR(E165*($F$8/SUMIF($H$5:$H$16,"Y",$F$5:$F$16))*$F$21*'Emissions Factors'!$B41,""),"")</f>
        <v/>
      </c>
      <c r="X165" s="259" t="str">
        <f>IF($X$135="Y",IFERROR($E165*(SUM($F$7,$F$5,$F$6)/SUMIF($H$5:$H$16,"Y",$F$5:$F$16))*('Emissions Factors'!$T$143*$F$22)/10^6,""),"")</f>
        <v/>
      </c>
      <c r="Y165" s="259" t="str">
        <f t="shared" si="48"/>
        <v/>
      </c>
      <c r="Z165" s="180"/>
      <c r="AA165" s="509"/>
      <c r="AB165" s="180">
        <f t="shared" si="42"/>
        <v>0</v>
      </c>
      <c r="AC165" s="180">
        <f t="shared" si="43"/>
        <v>0</v>
      </c>
      <c r="AE165" s="182"/>
      <c r="AF165" s="178"/>
      <c r="AG165" s="182"/>
      <c r="AH165" s="178"/>
      <c r="AJ165" s="259" t="str">
        <f>IF($AJ$135="Y",IFERROR(M165*($F$8/SUMIF($H$5:$H$16,"Y",$F$5:$F$16))*$F$21*'Emissions Factors'!$B41,""),"")</f>
        <v/>
      </c>
      <c r="AK165" s="259" t="str">
        <f>IF($AK$135="Y",IFERROR($M165*(SUM($F$7,$F$5,$F$6)/SUMIF($H$5:$H$16,"Y",$F$5:$F$16))*('Emissions Factors'!$T$143*$F$22)/10^6,""),"")</f>
        <v/>
      </c>
      <c r="AL165" s="259" t="str">
        <f t="shared" si="49"/>
        <v/>
      </c>
      <c r="AM165" s="180"/>
      <c r="AO165" s="180">
        <f t="shared" si="44"/>
        <v>0</v>
      </c>
      <c r="AP165" s="180">
        <f t="shared" si="45"/>
        <v>0</v>
      </c>
      <c r="AS165" s="430"/>
      <c r="AT165" s="478">
        <v>2044</v>
      </c>
      <c r="AU165" s="479">
        <f t="shared" si="46"/>
        <v>0</v>
      </c>
      <c r="AV165" s="479">
        <f t="shared" si="46"/>
        <v>0</v>
      </c>
      <c r="AW165" s="430"/>
      <c r="AX165" s="479">
        <f t="shared" si="36"/>
        <v>0</v>
      </c>
      <c r="AY165" s="479">
        <f t="shared" si="36"/>
        <v>0</v>
      </c>
      <c r="AZ165" s="430"/>
      <c r="BA165" s="479">
        <f t="shared" si="37"/>
        <v>0</v>
      </c>
      <c r="BB165" s="479">
        <f t="shared" si="37"/>
        <v>0</v>
      </c>
      <c r="BC165" s="516"/>
      <c r="BE165" s="480" t="str">
        <f t="shared" si="38"/>
        <v/>
      </c>
      <c r="BF165" s="480" t="str">
        <f t="shared" si="39"/>
        <v/>
      </c>
    </row>
    <row r="166" spans="1:58" ht="15.6" x14ac:dyDescent="0.3">
      <c r="A166" s="152">
        <v>2045</v>
      </c>
      <c r="B166" s="178"/>
      <c r="C166" s="182"/>
      <c r="D166" s="183"/>
      <c r="E166" s="179" t="str">
        <f t="shared" si="40"/>
        <v/>
      </c>
      <c r="F166" s="183" t="str">
        <f t="shared" si="47"/>
        <v/>
      </c>
      <c r="G166" s="247" t="str">
        <f t="shared" si="34"/>
        <v/>
      </c>
      <c r="H166" s="246"/>
      <c r="I166" s="417"/>
      <c r="J166" s="178"/>
      <c r="K166" s="182"/>
      <c r="L166" s="183"/>
      <c r="M166" s="179" t="str">
        <f t="shared" si="41"/>
        <v/>
      </c>
      <c r="N166" s="183" t="str">
        <f t="shared" si="50"/>
        <v/>
      </c>
      <c r="O166" s="247" t="str">
        <f t="shared" si="35"/>
        <v/>
      </c>
      <c r="P166" s="246"/>
      <c r="Q166" s="417"/>
      <c r="R166" s="182"/>
      <c r="S166" s="178"/>
      <c r="T166" s="182"/>
      <c r="U166" s="178"/>
      <c r="V166" s="506"/>
      <c r="W166" s="259" t="str">
        <f>IF($W$135="Y",IFERROR(E166*($F$8/SUMIF($H$5:$H$16,"Y",$F$5:$F$16))*$F$21*'Emissions Factors'!$B42,""),"")</f>
        <v/>
      </c>
      <c r="X166" s="259" t="str">
        <f>IF($X$135="Y",IFERROR($E166*(SUM($F$7,$F$5,$F$6)/SUMIF($H$5:$H$16,"Y",$F$5:$F$16))*('Emissions Factors'!$T$143*$F$22)/10^6,""),"")</f>
        <v/>
      </c>
      <c r="Y166" s="259" t="str">
        <f t="shared" si="48"/>
        <v/>
      </c>
      <c r="Z166" s="180"/>
      <c r="AA166" s="509"/>
      <c r="AB166" s="180">
        <f t="shared" si="42"/>
        <v>0</v>
      </c>
      <c r="AC166" s="180">
        <f t="shared" si="43"/>
        <v>0</v>
      </c>
      <c r="AE166" s="182"/>
      <c r="AF166" s="178"/>
      <c r="AG166" s="182"/>
      <c r="AH166" s="178"/>
      <c r="AJ166" s="259" t="str">
        <f>IF($AJ$135="Y",IFERROR(M166*($F$8/SUMIF($H$5:$H$16,"Y",$F$5:$F$16))*$F$21*'Emissions Factors'!$B42,""),"")</f>
        <v/>
      </c>
      <c r="AK166" s="259" t="str">
        <f>IF($AK$135="Y",IFERROR($M166*(SUM($F$7,$F$5,$F$6)/SUMIF($H$5:$H$16,"Y",$F$5:$F$16))*('Emissions Factors'!$T$143*$F$22)/10^6,""),"")</f>
        <v/>
      </c>
      <c r="AL166" s="259" t="str">
        <f t="shared" si="49"/>
        <v/>
      </c>
      <c r="AM166" s="180"/>
      <c r="AO166" s="180">
        <f t="shared" si="44"/>
        <v>0</v>
      </c>
      <c r="AP166" s="180">
        <f t="shared" si="45"/>
        <v>0</v>
      </c>
      <c r="AS166" s="430"/>
      <c r="AT166" s="478">
        <v>2045</v>
      </c>
      <c r="AU166" s="479">
        <f t="shared" si="46"/>
        <v>0</v>
      </c>
      <c r="AV166" s="479">
        <f t="shared" si="46"/>
        <v>0</v>
      </c>
      <c r="AW166" s="430"/>
      <c r="AX166" s="479">
        <f t="shared" si="36"/>
        <v>0</v>
      </c>
      <c r="AY166" s="479">
        <f t="shared" si="36"/>
        <v>0</v>
      </c>
      <c r="AZ166" s="430"/>
      <c r="BA166" s="479">
        <f t="shared" si="37"/>
        <v>0</v>
      </c>
      <c r="BB166" s="479">
        <f t="shared" si="37"/>
        <v>0</v>
      </c>
      <c r="BC166" s="516"/>
      <c r="BE166" s="480" t="str">
        <f t="shared" si="38"/>
        <v/>
      </c>
      <c r="BF166" s="480" t="str">
        <f t="shared" si="39"/>
        <v/>
      </c>
    </row>
    <row r="167" spans="1:58" ht="15.6" x14ac:dyDescent="0.3">
      <c r="A167" s="152">
        <v>2046</v>
      </c>
      <c r="B167" s="178"/>
      <c r="C167" s="182"/>
      <c r="D167" s="183"/>
      <c r="E167" s="179" t="str">
        <f t="shared" si="40"/>
        <v/>
      </c>
      <c r="F167" s="183" t="str">
        <f t="shared" si="47"/>
        <v/>
      </c>
      <c r="G167" s="247" t="str">
        <f t="shared" si="34"/>
        <v/>
      </c>
      <c r="H167" s="246"/>
      <c r="I167" s="417"/>
      <c r="J167" s="178"/>
      <c r="K167" s="182"/>
      <c r="L167" s="183"/>
      <c r="M167" s="179" t="str">
        <f t="shared" si="41"/>
        <v/>
      </c>
      <c r="N167" s="183" t="str">
        <f t="shared" si="50"/>
        <v/>
      </c>
      <c r="O167" s="247" t="str">
        <f t="shared" si="35"/>
        <v/>
      </c>
      <c r="P167" s="246"/>
      <c r="Q167" s="417"/>
      <c r="R167" s="182"/>
      <c r="S167" s="178"/>
      <c r="T167" s="182"/>
      <c r="U167" s="178"/>
      <c r="V167" s="506"/>
      <c r="W167" s="259" t="str">
        <f>IF($W$135="Y",IFERROR(E167*($F$8/SUMIF($H$5:$H$16,"Y",$F$5:$F$16))*$F$21*'Emissions Factors'!$B43,""),"")</f>
        <v/>
      </c>
      <c r="X167" s="259" t="str">
        <f>IF($X$135="Y",IFERROR($E167*(SUM($F$7,$F$5,$F$6)/SUMIF($H$5:$H$16,"Y",$F$5:$F$16))*('Emissions Factors'!$T$143*$F$22)/10^6,""),"")</f>
        <v/>
      </c>
      <c r="Y167" s="259" t="str">
        <f t="shared" si="48"/>
        <v/>
      </c>
      <c r="Z167" s="180"/>
      <c r="AA167" s="509"/>
      <c r="AB167" s="180">
        <f t="shared" si="42"/>
        <v>0</v>
      </c>
      <c r="AC167" s="180">
        <f t="shared" si="43"/>
        <v>0</v>
      </c>
      <c r="AE167" s="182"/>
      <c r="AF167" s="178"/>
      <c r="AG167" s="182"/>
      <c r="AH167" s="178"/>
      <c r="AJ167" s="259" t="str">
        <f>IF($AJ$135="Y",IFERROR(M167*($F$8/SUMIF($H$5:$H$16,"Y",$F$5:$F$16))*$F$21*'Emissions Factors'!$B43,""),"")</f>
        <v/>
      </c>
      <c r="AK167" s="259" t="str">
        <f>IF($AK$135="Y",IFERROR($M167*(SUM($F$7,$F$5,$F$6)/SUMIF($H$5:$H$16,"Y",$F$5:$F$16))*('Emissions Factors'!$T$143*$F$22)/10^6,""),"")</f>
        <v/>
      </c>
      <c r="AL167" s="259" t="str">
        <f t="shared" si="49"/>
        <v/>
      </c>
      <c r="AM167" s="180"/>
      <c r="AO167" s="180">
        <f t="shared" si="44"/>
        <v>0</v>
      </c>
      <c r="AP167" s="180">
        <f t="shared" si="45"/>
        <v>0</v>
      </c>
      <c r="AS167" s="430"/>
      <c r="AT167" s="478">
        <v>2046</v>
      </c>
      <c r="AU167" s="479">
        <f t="shared" si="46"/>
        <v>0</v>
      </c>
      <c r="AV167" s="479">
        <f t="shared" si="46"/>
        <v>0</v>
      </c>
      <c r="AW167" s="430"/>
      <c r="AX167" s="479">
        <f t="shared" si="36"/>
        <v>0</v>
      </c>
      <c r="AY167" s="479">
        <f t="shared" si="36"/>
        <v>0</v>
      </c>
      <c r="AZ167" s="430"/>
      <c r="BA167" s="479">
        <f t="shared" si="37"/>
        <v>0</v>
      </c>
      <c r="BB167" s="479">
        <f t="shared" si="37"/>
        <v>0</v>
      </c>
      <c r="BC167" s="516"/>
      <c r="BE167" s="480" t="str">
        <f t="shared" si="38"/>
        <v/>
      </c>
      <c r="BF167" s="480" t="str">
        <f t="shared" si="39"/>
        <v/>
      </c>
    </row>
    <row r="168" spans="1:58" ht="15.6" x14ac:dyDescent="0.3">
      <c r="A168" s="152">
        <v>2047</v>
      </c>
      <c r="B168" s="178"/>
      <c r="C168" s="182"/>
      <c r="D168" s="183"/>
      <c r="E168" s="179" t="str">
        <f t="shared" si="40"/>
        <v/>
      </c>
      <c r="F168" s="183" t="str">
        <f t="shared" si="47"/>
        <v/>
      </c>
      <c r="G168" s="247" t="str">
        <f t="shared" si="34"/>
        <v/>
      </c>
      <c r="H168" s="246"/>
      <c r="I168" s="417"/>
      <c r="J168" s="178"/>
      <c r="K168" s="182"/>
      <c r="L168" s="183"/>
      <c r="M168" s="179" t="str">
        <f t="shared" si="41"/>
        <v/>
      </c>
      <c r="N168" s="183" t="str">
        <f t="shared" si="50"/>
        <v/>
      </c>
      <c r="O168" s="247" t="str">
        <f t="shared" si="35"/>
        <v/>
      </c>
      <c r="P168" s="246"/>
      <c r="Q168" s="417"/>
      <c r="R168" s="182"/>
      <c r="S168" s="178"/>
      <c r="T168" s="182"/>
      <c r="U168" s="178"/>
      <c r="V168" s="506"/>
      <c r="W168" s="259" t="str">
        <f>IF($W$135="Y",IFERROR(E168*($F$8/SUMIF($H$5:$H$16,"Y",$F$5:$F$16))*$F$21*'Emissions Factors'!$B44,""),"")</f>
        <v/>
      </c>
      <c r="X168" s="259" t="str">
        <f>IF($X$135="Y",IFERROR($E168*(SUM($F$7,$F$5,$F$6)/SUMIF($H$5:$H$16,"Y",$F$5:$F$16))*('Emissions Factors'!$T$143*$F$22)/10^6,""),"")</f>
        <v/>
      </c>
      <c r="Y168" s="259" t="str">
        <f t="shared" si="48"/>
        <v/>
      </c>
      <c r="Z168" s="180"/>
      <c r="AA168" s="509"/>
      <c r="AB168" s="180">
        <f t="shared" si="42"/>
        <v>0</v>
      </c>
      <c r="AC168" s="180">
        <f t="shared" si="43"/>
        <v>0</v>
      </c>
      <c r="AE168" s="182"/>
      <c r="AF168" s="178"/>
      <c r="AG168" s="182"/>
      <c r="AH168" s="178"/>
      <c r="AJ168" s="259" t="str">
        <f>IF($AJ$135="Y",IFERROR(M168*($F$8/SUMIF($H$5:$H$16,"Y",$F$5:$F$16))*$F$21*'Emissions Factors'!$B44,""),"")</f>
        <v/>
      </c>
      <c r="AK168" s="259" t="str">
        <f>IF($AK$135="Y",IFERROR($M168*(SUM($F$7,$F$5,$F$6)/SUMIF($H$5:$H$16,"Y",$F$5:$F$16))*('Emissions Factors'!$T$143*$F$22)/10^6,""),"")</f>
        <v/>
      </c>
      <c r="AL168" s="259" t="str">
        <f t="shared" si="49"/>
        <v/>
      </c>
      <c r="AM168" s="180"/>
      <c r="AO168" s="180">
        <f t="shared" si="44"/>
        <v>0</v>
      </c>
      <c r="AP168" s="180">
        <f t="shared" si="45"/>
        <v>0</v>
      </c>
      <c r="AS168" s="430"/>
      <c r="AT168" s="478">
        <v>2047</v>
      </c>
      <c r="AU168" s="479">
        <f t="shared" si="46"/>
        <v>0</v>
      </c>
      <c r="AV168" s="479">
        <f t="shared" si="46"/>
        <v>0</v>
      </c>
      <c r="AW168" s="430"/>
      <c r="AX168" s="479">
        <f t="shared" si="36"/>
        <v>0</v>
      </c>
      <c r="AY168" s="479">
        <f t="shared" si="36"/>
        <v>0</v>
      </c>
      <c r="AZ168" s="430"/>
      <c r="BA168" s="479">
        <f t="shared" si="37"/>
        <v>0</v>
      </c>
      <c r="BB168" s="479">
        <f t="shared" si="37"/>
        <v>0</v>
      </c>
      <c r="BC168" s="516"/>
      <c r="BE168" s="480" t="str">
        <f t="shared" si="38"/>
        <v/>
      </c>
      <c r="BF168" s="480" t="str">
        <f t="shared" si="39"/>
        <v/>
      </c>
    </row>
    <row r="169" spans="1:58" ht="15.6" x14ac:dyDescent="0.3">
      <c r="A169" s="152">
        <v>2048</v>
      </c>
      <c r="B169" s="178"/>
      <c r="C169" s="182"/>
      <c r="D169" s="183"/>
      <c r="E169" s="179" t="str">
        <f t="shared" si="40"/>
        <v/>
      </c>
      <c r="F169" s="183" t="str">
        <f t="shared" si="47"/>
        <v/>
      </c>
      <c r="G169" s="247" t="str">
        <f t="shared" si="34"/>
        <v/>
      </c>
      <c r="H169" s="246"/>
      <c r="I169" s="417"/>
      <c r="J169" s="178"/>
      <c r="K169" s="182"/>
      <c r="L169" s="183"/>
      <c r="M169" s="179" t="str">
        <f t="shared" si="41"/>
        <v/>
      </c>
      <c r="N169" s="183" t="str">
        <f t="shared" si="50"/>
        <v/>
      </c>
      <c r="O169" s="247" t="str">
        <f t="shared" si="35"/>
        <v/>
      </c>
      <c r="P169" s="246"/>
      <c r="Q169" s="417"/>
      <c r="R169" s="182"/>
      <c r="S169" s="178"/>
      <c r="T169" s="182"/>
      <c r="U169" s="178"/>
      <c r="V169" s="506"/>
      <c r="W169" s="259" t="str">
        <f>IF($W$135="Y",IFERROR(E169*($F$8/SUMIF($H$5:$H$16,"Y",$F$5:$F$16))*$F$21*'Emissions Factors'!$B45,""),"")</f>
        <v/>
      </c>
      <c r="X169" s="259" t="str">
        <f>IF($X$135="Y",IFERROR($E169*(SUM($F$7,$F$5,$F$6)/SUMIF($H$5:$H$16,"Y",$F$5:$F$16))*('Emissions Factors'!$T$143*$F$22)/10^6,""),"")</f>
        <v/>
      </c>
      <c r="Y169" s="259" t="str">
        <f t="shared" si="48"/>
        <v/>
      </c>
      <c r="Z169" s="180"/>
      <c r="AA169" s="509"/>
      <c r="AB169" s="180">
        <f t="shared" si="42"/>
        <v>0</v>
      </c>
      <c r="AC169" s="180">
        <f t="shared" si="43"/>
        <v>0</v>
      </c>
      <c r="AE169" s="182"/>
      <c r="AF169" s="178"/>
      <c r="AG169" s="182"/>
      <c r="AH169" s="178"/>
      <c r="AJ169" s="259" t="str">
        <f>IF($AJ$135="Y",IFERROR(M169*($F$8/SUMIF($H$5:$H$16,"Y",$F$5:$F$16))*$F$21*'Emissions Factors'!$B45,""),"")</f>
        <v/>
      </c>
      <c r="AK169" s="259" t="str">
        <f>IF($AK$135="Y",IFERROR($M169*(SUM($F$7,$F$5,$F$6)/SUMIF($H$5:$H$16,"Y",$F$5:$F$16))*('Emissions Factors'!$T$143*$F$22)/10^6,""),"")</f>
        <v/>
      </c>
      <c r="AL169" s="259" t="str">
        <f t="shared" si="49"/>
        <v/>
      </c>
      <c r="AM169" s="180"/>
      <c r="AO169" s="180">
        <f t="shared" si="44"/>
        <v>0</v>
      </c>
      <c r="AP169" s="180">
        <f t="shared" si="45"/>
        <v>0</v>
      </c>
      <c r="AS169" s="430"/>
      <c r="AT169" s="478">
        <v>2048</v>
      </c>
      <c r="AU169" s="479">
        <f t="shared" si="46"/>
        <v>0</v>
      </c>
      <c r="AV169" s="479">
        <f t="shared" si="46"/>
        <v>0</v>
      </c>
      <c r="AW169" s="430"/>
      <c r="AX169" s="479">
        <f t="shared" si="36"/>
        <v>0</v>
      </c>
      <c r="AY169" s="479">
        <f t="shared" si="36"/>
        <v>0</v>
      </c>
      <c r="AZ169" s="430"/>
      <c r="BA169" s="479">
        <f t="shared" si="37"/>
        <v>0</v>
      </c>
      <c r="BB169" s="479">
        <f t="shared" si="37"/>
        <v>0</v>
      </c>
      <c r="BC169" s="516"/>
      <c r="BE169" s="480" t="str">
        <f t="shared" si="38"/>
        <v/>
      </c>
      <c r="BF169" s="480" t="str">
        <f t="shared" si="39"/>
        <v/>
      </c>
    </row>
    <row r="170" spans="1:58" ht="15.6" x14ac:dyDescent="0.3">
      <c r="A170" s="152">
        <v>2049</v>
      </c>
      <c r="B170" s="178"/>
      <c r="C170" s="182"/>
      <c r="D170" s="183"/>
      <c r="E170" s="179" t="str">
        <f t="shared" si="40"/>
        <v/>
      </c>
      <c r="F170" s="183" t="str">
        <f t="shared" si="47"/>
        <v/>
      </c>
      <c r="G170" s="247" t="str">
        <f t="shared" si="34"/>
        <v/>
      </c>
      <c r="H170" s="246"/>
      <c r="I170" s="417"/>
      <c r="J170" s="178"/>
      <c r="K170" s="182"/>
      <c r="L170" s="183"/>
      <c r="M170" s="179" t="str">
        <f t="shared" si="41"/>
        <v/>
      </c>
      <c r="N170" s="183" t="str">
        <f t="shared" si="50"/>
        <v/>
      </c>
      <c r="O170" s="247" t="str">
        <f t="shared" si="35"/>
        <v/>
      </c>
      <c r="P170" s="246"/>
      <c r="Q170" s="417"/>
      <c r="R170" s="182"/>
      <c r="S170" s="178"/>
      <c r="T170" s="182"/>
      <c r="U170" s="178"/>
      <c r="V170" s="506"/>
      <c r="W170" s="259" t="str">
        <f>IF($W$135="Y",IFERROR(E170*($F$8/SUMIF($H$5:$H$16,"Y",$F$5:$F$16))*$F$21*'Emissions Factors'!$B46,""),"")</f>
        <v/>
      </c>
      <c r="X170" s="259" t="str">
        <f>IF($X$135="Y",IFERROR($E170*(SUM($F$7,$F$5,$F$6)/SUMIF($H$5:$H$16,"Y",$F$5:$F$16))*('Emissions Factors'!$T$143*$F$22)/10^6,""),"")</f>
        <v/>
      </c>
      <c r="Y170" s="259" t="str">
        <f t="shared" si="48"/>
        <v/>
      </c>
      <c r="Z170" s="180"/>
      <c r="AA170" s="509"/>
      <c r="AB170" s="180">
        <f t="shared" si="42"/>
        <v>0</v>
      </c>
      <c r="AC170" s="180">
        <f t="shared" si="43"/>
        <v>0</v>
      </c>
      <c r="AE170" s="182"/>
      <c r="AF170" s="178"/>
      <c r="AG170" s="182"/>
      <c r="AH170" s="178"/>
      <c r="AJ170" s="259" t="str">
        <f>IF($AJ$135="Y",IFERROR(M170*($F$8/SUMIF($H$5:$H$16,"Y",$F$5:$F$16))*$F$21*'Emissions Factors'!$B46,""),"")</f>
        <v/>
      </c>
      <c r="AK170" s="259" t="str">
        <f>IF($AK$135="Y",IFERROR($M170*(SUM($F$7,$F$5,$F$6)/SUMIF($H$5:$H$16,"Y",$F$5:$F$16))*('Emissions Factors'!$T$143*$F$22)/10^6,""),"")</f>
        <v/>
      </c>
      <c r="AL170" s="259" t="str">
        <f t="shared" si="49"/>
        <v/>
      </c>
      <c r="AM170" s="180"/>
      <c r="AO170" s="180">
        <f t="shared" si="44"/>
        <v>0</v>
      </c>
      <c r="AP170" s="180">
        <f t="shared" si="45"/>
        <v>0</v>
      </c>
      <c r="AS170" s="430"/>
      <c r="AT170" s="478">
        <v>2049</v>
      </c>
      <c r="AU170" s="479">
        <f t="shared" si="46"/>
        <v>0</v>
      </c>
      <c r="AV170" s="479">
        <f t="shared" si="46"/>
        <v>0</v>
      </c>
      <c r="AW170" s="430"/>
      <c r="AX170" s="479">
        <f t="shared" si="36"/>
        <v>0</v>
      </c>
      <c r="AY170" s="479">
        <f t="shared" si="36"/>
        <v>0</v>
      </c>
      <c r="AZ170" s="430"/>
      <c r="BA170" s="479">
        <f t="shared" si="37"/>
        <v>0</v>
      </c>
      <c r="BB170" s="479">
        <f t="shared" si="37"/>
        <v>0</v>
      </c>
      <c r="BC170" s="516"/>
      <c r="BE170" s="480" t="str">
        <f t="shared" si="38"/>
        <v/>
      </c>
      <c r="BF170" s="480" t="str">
        <f t="shared" si="39"/>
        <v/>
      </c>
    </row>
    <row r="171" spans="1:58" ht="15.6" x14ac:dyDescent="0.3">
      <c r="A171" s="152">
        <v>2050</v>
      </c>
      <c r="B171" s="178"/>
      <c r="C171" s="182"/>
      <c r="D171" s="183"/>
      <c r="E171" s="179" t="str">
        <f t="shared" si="40"/>
        <v/>
      </c>
      <c r="F171" s="183" t="str">
        <f t="shared" si="47"/>
        <v/>
      </c>
      <c r="G171" s="247" t="str">
        <f t="shared" si="34"/>
        <v/>
      </c>
      <c r="H171" s="246"/>
      <c r="I171" s="417"/>
      <c r="J171" s="178"/>
      <c r="K171" s="182"/>
      <c r="L171" s="183"/>
      <c r="M171" s="179" t="str">
        <f t="shared" si="41"/>
        <v/>
      </c>
      <c r="N171" s="183" t="str">
        <f t="shared" si="50"/>
        <v/>
      </c>
      <c r="O171" s="247" t="str">
        <f t="shared" si="35"/>
        <v/>
      </c>
      <c r="P171" s="246"/>
      <c r="Q171" s="417"/>
      <c r="R171" s="182"/>
      <c r="S171" s="178"/>
      <c r="T171" s="182"/>
      <c r="U171" s="178"/>
      <c r="V171" s="506"/>
      <c r="W171" s="259" t="str">
        <f>IF($W$135="Y",IFERROR(E171*($F$8/SUMIF($H$5:$H$16,"Y",$F$5:$F$16))*$F$21*'Emissions Factors'!$B47,""),"")</f>
        <v/>
      </c>
      <c r="X171" s="259" t="str">
        <f>IF($X$135="Y",IFERROR($E171*(SUM($F$7,$F$5,$F$6)/SUMIF($H$5:$H$16,"Y",$F$5:$F$16))*('Emissions Factors'!$T$143*$F$22)/10^6,""),"")</f>
        <v/>
      </c>
      <c r="Y171" s="259" t="str">
        <f t="shared" si="48"/>
        <v/>
      </c>
      <c r="Z171" s="180"/>
      <c r="AA171" s="509"/>
      <c r="AB171" s="180">
        <f t="shared" si="42"/>
        <v>0</v>
      </c>
      <c r="AC171" s="180">
        <f t="shared" si="43"/>
        <v>0</v>
      </c>
      <c r="AE171" s="182"/>
      <c r="AF171" s="178"/>
      <c r="AG171" s="182"/>
      <c r="AH171" s="178"/>
      <c r="AJ171" s="259" t="str">
        <f>IF($AJ$135="Y",IFERROR(M171*($F$8/SUMIF($H$5:$H$16,"Y",$F$5:$F$16))*$F$21*'Emissions Factors'!$B47,""),"")</f>
        <v/>
      </c>
      <c r="AK171" s="259" t="str">
        <f>IF($AK$135="Y",IFERROR($M171*(SUM($F$7,$F$5,$F$6)/SUMIF($H$5:$H$16,"Y",$F$5:$F$16))*('Emissions Factors'!$T$143*$F$22)/10^6,""),"")</f>
        <v/>
      </c>
      <c r="AL171" s="259" t="str">
        <f t="shared" si="49"/>
        <v/>
      </c>
      <c r="AM171" s="180"/>
      <c r="AO171" s="180">
        <f t="shared" si="44"/>
        <v>0</v>
      </c>
      <c r="AP171" s="180">
        <f t="shared" si="45"/>
        <v>0</v>
      </c>
      <c r="AS171" s="430"/>
      <c r="AT171" s="478">
        <v>2050</v>
      </c>
      <c r="AU171" s="479">
        <f t="shared" si="46"/>
        <v>0</v>
      </c>
      <c r="AV171" s="479">
        <f t="shared" si="46"/>
        <v>0</v>
      </c>
      <c r="AW171" s="430"/>
      <c r="AX171" s="479">
        <f t="shared" si="36"/>
        <v>0</v>
      </c>
      <c r="AY171" s="479">
        <f t="shared" si="36"/>
        <v>0</v>
      </c>
      <c r="AZ171" s="430"/>
      <c r="BA171" s="479">
        <f t="shared" si="37"/>
        <v>0</v>
      </c>
      <c r="BB171" s="479">
        <f t="shared" si="37"/>
        <v>0</v>
      </c>
      <c r="BC171" s="516"/>
      <c r="BE171" s="480" t="str">
        <f t="shared" si="38"/>
        <v/>
      </c>
      <c r="BF171" s="480" t="str">
        <f t="shared" si="39"/>
        <v/>
      </c>
    </row>
    <row r="172" spans="1:58" ht="15.6" x14ac:dyDescent="0.3">
      <c r="A172" s="152">
        <v>2051</v>
      </c>
      <c r="B172" s="178"/>
      <c r="C172" s="182"/>
      <c r="D172" s="183"/>
      <c r="E172" s="179" t="str">
        <f t="shared" si="40"/>
        <v/>
      </c>
      <c r="F172" s="183" t="str">
        <f t="shared" si="47"/>
        <v/>
      </c>
      <c r="G172" s="247" t="str">
        <f t="shared" si="34"/>
        <v/>
      </c>
      <c r="H172" s="246"/>
      <c r="I172" s="417"/>
      <c r="J172" s="178"/>
      <c r="K172" s="182"/>
      <c r="L172" s="183"/>
      <c r="M172" s="179" t="str">
        <f t="shared" si="41"/>
        <v/>
      </c>
      <c r="N172" s="183" t="str">
        <f t="shared" si="50"/>
        <v/>
      </c>
      <c r="O172" s="247" t="str">
        <f t="shared" si="35"/>
        <v/>
      </c>
      <c r="P172" s="246"/>
      <c r="Q172" s="417"/>
      <c r="R172" s="182"/>
      <c r="S172" s="178"/>
      <c r="T172" s="182"/>
      <c r="U172" s="178"/>
      <c r="V172" s="506"/>
      <c r="W172" s="259" t="str">
        <f>IF($W$135="Y",IFERROR(E172*($F$8/SUMIF($H$5:$H$16,"Y",$F$5:$F$16))*$F$21*'Emissions Factors'!$B48,""),"")</f>
        <v/>
      </c>
      <c r="X172" s="259" t="str">
        <f>IF($X$135="Y",IFERROR($E172*(SUM($F$7,$F$5,$F$6)/SUMIF($H$5:$H$16,"Y",$F$5:$F$16))*('Emissions Factors'!$T$143*$F$22)/10^6,""),"")</f>
        <v/>
      </c>
      <c r="Y172" s="259" t="str">
        <f t="shared" si="48"/>
        <v/>
      </c>
      <c r="Z172" s="180"/>
      <c r="AA172" s="509"/>
      <c r="AB172" s="180">
        <f t="shared" si="42"/>
        <v>0</v>
      </c>
      <c r="AC172" s="180">
        <f t="shared" si="43"/>
        <v>0</v>
      </c>
      <c r="AE172" s="182"/>
      <c r="AF172" s="178"/>
      <c r="AG172" s="182"/>
      <c r="AH172" s="178"/>
      <c r="AJ172" s="259" t="str">
        <f>IF($AJ$135="Y",IFERROR(M172*($F$8/SUMIF($H$5:$H$16,"Y",$F$5:$F$16))*$F$21*'Emissions Factors'!$B48,""),"")</f>
        <v/>
      </c>
      <c r="AK172" s="259" t="str">
        <f>IF($AK$135="Y",IFERROR($M172*(SUM($F$7,$F$5,$F$6)/SUMIF($H$5:$H$16,"Y",$F$5:$F$16))*('Emissions Factors'!$T$143*$F$22)/10^6,""),"")</f>
        <v/>
      </c>
      <c r="AL172" s="259" t="str">
        <f t="shared" si="49"/>
        <v/>
      </c>
      <c r="AM172" s="180"/>
      <c r="AO172" s="180">
        <f t="shared" si="44"/>
        <v>0</v>
      </c>
      <c r="AP172" s="180">
        <f t="shared" si="45"/>
        <v>0</v>
      </c>
      <c r="AT172" s="478">
        <v>2051</v>
      </c>
      <c r="AU172" s="479">
        <f t="shared" si="46"/>
        <v>0</v>
      </c>
      <c r="AV172" s="479">
        <f t="shared" si="46"/>
        <v>0</v>
      </c>
      <c r="AW172" s="430"/>
      <c r="AX172" s="479">
        <f t="shared" si="36"/>
        <v>0</v>
      </c>
      <c r="AY172" s="479">
        <f t="shared" si="36"/>
        <v>0</v>
      </c>
      <c r="AZ172" s="430"/>
      <c r="BA172" s="479">
        <f t="shared" si="37"/>
        <v>0</v>
      </c>
      <c r="BB172" s="479">
        <f t="shared" si="37"/>
        <v>0</v>
      </c>
      <c r="BC172" s="516"/>
      <c r="BE172" s="480" t="str">
        <f t="shared" si="38"/>
        <v/>
      </c>
      <c r="BF172" s="480" t="str">
        <f t="shared" si="39"/>
        <v/>
      </c>
    </row>
    <row r="173" spans="1:58" ht="15.6" x14ac:dyDescent="0.3">
      <c r="A173" s="152">
        <v>2052</v>
      </c>
      <c r="B173" s="178"/>
      <c r="C173" s="182"/>
      <c r="D173" s="183"/>
      <c r="E173" s="179" t="str">
        <f t="shared" si="40"/>
        <v/>
      </c>
      <c r="F173" s="183" t="str">
        <f t="shared" si="47"/>
        <v/>
      </c>
      <c r="G173" s="247" t="str">
        <f t="shared" si="34"/>
        <v/>
      </c>
      <c r="H173" s="246"/>
      <c r="I173" s="417"/>
      <c r="J173" s="178"/>
      <c r="K173" s="182"/>
      <c r="L173" s="183"/>
      <c r="M173" s="179" t="str">
        <f t="shared" si="41"/>
        <v/>
      </c>
      <c r="N173" s="183" t="str">
        <f t="shared" si="50"/>
        <v/>
      </c>
      <c r="O173" s="247" t="str">
        <f t="shared" si="35"/>
        <v/>
      </c>
      <c r="P173" s="246"/>
      <c r="Q173" s="417"/>
      <c r="R173" s="182"/>
      <c r="S173" s="178"/>
      <c r="T173" s="182"/>
      <c r="U173" s="178"/>
      <c r="V173" s="506"/>
      <c r="W173" s="259" t="str">
        <f>IF($W$135="Y",IFERROR(E173*($F$8/SUMIF($H$5:$H$16,"Y",$F$5:$F$16))*$F$21*'Emissions Factors'!$B49,""),"")</f>
        <v/>
      </c>
      <c r="X173" s="259" t="str">
        <f>IF($X$135="Y",IFERROR($E173*(SUM($F$7,$F$5,$F$6)/SUMIF($H$5:$H$16,"Y",$F$5:$F$16))*('Emissions Factors'!$T$143*$F$22)/10^6,""),"")</f>
        <v/>
      </c>
      <c r="Y173" s="259" t="str">
        <f t="shared" si="48"/>
        <v/>
      </c>
      <c r="Z173" s="180"/>
      <c r="AA173" s="509"/>
      <c r="AB173" s="180">
        <f t="shared" si="42"/>
        <v>0</v>
      </c>
      <c r="AC173" s="180">
        <f t="shared" si="43"/>
        <v>0</v>
      </c>
      <c r="AE173" s="182"/>
      <c r="AF173" s="178"/>
      <c r="AG173" s="182"/>
      <c r="AH173" s="178"/>
      <c r="AJ173" s="259" t="str">
        <f>IF($AJ$135="Y",IFERROR(M173*($F$8/SUMIF($H$5:$H$16,"Y",$F$5:$F$16))*$F$21*'Emissions Factors'!$B49,""),"")</f>
        <v/>
      </c>
      <c r="AK173" s="259" t="str">
        <f>IF($AK$135="Y",IFERROR($M173*(SUM($F$7,$F$5,$F$6)/SUMIF($H$5:$H$16,"Y",$F$5:$F$16))*('Emissions Factors'!$T$143*$F$22)/10^6,""),"")</f>
        <v/>
      </c>
      <c r="AL173" s="259" t="str">
        <f t="shared" si="49"/>
        <v/>
      </c>
      <c r="AM173" s="180"/>
      <c r="AO173" s="180">
        <f t="shared" si="44"/>
        <v>0</v>
      </c>
      <c r="AP173" s="180">
        <f t="shared" si="45"/>
        <v>0</v>
      </c>
      <c r="AT173" s="478">
        <v>2052</v>
      </c>
      <c r="AU173" s="479">
        <f t="shared" si="46"/>
        <v>0</v>
      </c>
      <c r="AV173" s="479">
        <f t="shared" si="46"/>
        <v>0</v>
      </c>
      <c r="AW173" s="430"/>
      <c r="AX173" s="479">
        <f t="shared" si="36"/>
        <v>0</v>
      </c>
      <c r="AY173" s="479">
        <f t="shared" si="36"/>
        <v>0</v>
      </c>
      <c r="AZ173" s="430"/>
      <c r="BA173" s="479">
        <f t="shared" si="37"/>
        <v>0</v>
      </c>
      <c r="BB173" s="479">
        <f t="shared" si="37"/>
        <v>0</v>
      </c>
      <c r="BC173" s="516"/>
      <c r="BE173" s="480" t="str">
        <f t="shared" si="38"/>
        <v/>
      </c>
      <c r="BF173" s="480" t="str">
        <f t="shared" si="39"/>
        <v/>
      </c>
    </row>
    <row r="174" spans="1:58" ht="15.6" x14ac:dyDescent="0.3">
      <c r="A174" s="152">
        <v>2053</v>
      </c>
      <c r="B174" s="178"/>
      <c r="C174" s="182"/>
      <c r="D174" s="183"/>
      <c r="E174" s="179" t="str">
        <f t="shared" si="40"/>
        <v/>
      </c>
      <c r="F174" s="183" t="str">
        <f t="shared" si="47"/>
        <v/>
      </c>
      <c r="G174" s="247" t="str">
        <f t="shared" si="34"/>
        <v/>
      </c>
      <c r="H174" s="246"/>
      <c r="I174" s="417"/>
      <c r="J174" s="178"/>
      <c r="K174" s="182"/>
      <c r="L174" s="183"/>
      <c r="M174" s="179" t="str">
        <f t="shared" si="41"/>
        <v/>
      </c>
      <c r="N174" s="183" t="str">
        <f t="shared" si="50"/>
        <v/>
      </c>
      <c r="O174" s="247" t="str">
        <f t="shared" si="35"/>
        <v/>
      </c>
      <c r="P174" s="246"/>
      <c r="Q174" s="417"/>
      <c r="R174" s="182"/>
      <c r="S174" s="178"/>
      <c r="T174" s="182"/>
      <c r="U174" s="178"/>
      <c r="V174" s="506"/>
      <c r="W174" s="259" t="str">
        <f>IF($W$135="Y",IFERROR(E174*($F$8/SUMIF($H$5:$H$16,"Y",$F$5:$F$16))*$F$21*'Emissions Factors'!$B50,""),"")</f>
        <v/>
      </c>
      <c r="X174" s="259" t="str">
        <f>IF($X$135="Y",IFERROR($E174*(SUM($F$7,$F$5,$F$6)/SUMIF($H$5:$H$16,"Y",$F$5:$F$16))*('Emissions Factors'!$T$143*$F$22)/10^6,""),"")</f>
        <v/>
      </c>
      <c r="Y174" s="259" t="str">
        <f t="shared" si="48"/>
        <v/>
      </c>
      <c r="Z174" s="180"/>
      <c r="AA174" s="509"/>
      <c r="AB174" s="180">
        <f t="shared" si="42"/>
        <v>0</v>
      </c>
      <c r="AC174" s="180">
        <f t="shared" si="43"/>
        <v>0</v>
      </c>
      <c r="AE174" s="182"/>
      <c r="AF174" s="178"/>
      <c r="AG174" s="182"/>
      <c r="AH174" s="178"/>
      <c r="AJ174" s="259" t="str">
        <f>IF($AJ$135="Y",IFERROR(M174*($F$8/SUMIF($H$5:$H$16,"Y",$F$5:$F$16))*$F$21*'Emissions Factors'!$B50,""),"")</f>
        <v/>
      </c>
      <c r="AK174" s="259" t="str">
        <f>IF($AK$135="Y",IFERROR($M174*(SUM($F$7,$F$5,$F$6)/SUMIF($H$5:$H$16,"Y",$F$5:$F$16))*('Emissions Factors'!$T$143*$F$22)/10^6,""),"")</f>
        <v/>
      </c>
      <c r="AL174" s="259" t="str">
        <f t="shared" si="49"/>
        <v/>
      </c>
      <c r="AM174" s="180"/>
      <c r="AO174" s="180">
        <f t="shared" si="44"/>
        <v>0</v>
      </c>
      <c r="AP174" s="180">
        <f t="shared" si="45"/>
        <v>0</v>
      </c>
      <c r="AT174" s="478">
        <v>2053</v>
      </c>
      <c r="AU174" s="479">
        <f t="shared" si="46"/>
        <v>0</v>
      </c>
      <c r="AV174" s="479">
        <f t="shared" si="46"/>
        <v>0</v>
      </c>
      <c r="AW174" s="430"/>
      <c r="AX174" s="479">
        <f t="shared" si="36"/>
        <v>0</v>
      </c>
      <c r="AY174" s="479">
        <f t="shared" si="36"/>
        <v>0</v>
      </c>
      <c r="AZ174" s="430"/>
      <c r="BA174" s="479">
        <f t="shared" si="37"/>
        <v>0</v>
      </c>
      <c r="BB174" s="479">
        <f t="shared" si="37"/>
        <v>0</v>
      </c>
      <c r="BC174" s="516"/>
      <c r="BE174" s="480" t="str">
        <f t="shared" si="38"/>
        <v/>
      </c>
      <c r="BF174" s="480" t="str">
        <f t="shared" si="39"/>
        <v/>
      </c>
    </row>
    <row r="175" spans="1:58" ht="15.6" x14ac:dyDescent="0.3">
      <c r="A175" s="152">
        <v>2054</v>
      </c>
      <c r="B175" s="178"/>
      <c r="C175" s="182"/>
      <c r="D175" s="183"/>
      <c r="E175" s="179" t="str">
        <f t="shared" si="40"/>
        <v/>
      </c>
      <c r="F175" s="183" t="str">
        <f t="shared" si="47"/>
        <v/>
      </c>
      <c r="G175" s="247" t="str">
        <f t="shared" si="34"/>
        <v/>
      </c>
      <c r="H175" s="246"/>
      <c r="I175" s="417"/>
      <c r="J175" s="178"/>
      <c r="K175" s="182"/>
      <c r="L175" s="183"/>
      <c r="M175" s="179" t="str">
        <f t="shared" si="41"/>
        <v/>
      </c>
      <c r="N175" s="183" t="str">
        <f t="shared" si="50"/>
        <v/>
      </c>
      <c r="O175" s="247" t="str">
        <f t="shared" si="35"/>
        <v/>
      </c>
      <c r="P175" s="246"/>
      <c r="Q175" s="417"/>
      <c r="R175" s="182"/>
      <c r="S175" s="178"/>
      <c r="T175" s="182"/>
      <c r="U175" s="178"/>
      <c r="V175" s="506"/>
      <c r="W175" s="259" t="str">
        <f>IF($W$135="Y",IFERROR(E175*($F$8/SUMIF($H$5:$H$16,"Y",$F$5:$F$16))*$F$21*'Emissions Factors'!$B51,""),"")</f>
        <v/>
      </c>
      <c r="X175" s="259" t="str">
        <f>IF($X$135="Y",IFERROR($E175*(SUM($F$7,$F$5,$F$6)/SUMIF($H$5:$H$16,"Y",$F$5:$F$16))*('Emissions Factors'!$T$143*$F$22)/10^6,""),"")</f>
        <v/>
      </c>
      <c r="Y175" s="259" t="str">
        <f t="shared" si="48"/>
        <v/>
      </c>
      <c r="Z175" s="180"/>
      <c r="AA175" s="509"/>
      <c r="AB175" s="180">
        <f t="shared" si="42"/>
        <v>0</v>
      </c>
      <c r="AC175" s="180">
        <f t="shared" si="43"/>
        <v>0</v>
      </c>
      <c r="AE175" s="182"/>
      <c r="AF175" s="178"/>
      <c r="AG175" s="182"/>
      <c r="AH175" s="178"/>
      <c r="AJ175" s="259" t="str">
        <f>IF($AJ$135="Y",IFERROR(M175*($F$8/SUMIF($H$5:$H$16,"Y",$F$5:$F$16))*$F$21*'Emissions Factors'!$B51,""),"")</f>
        <v/>
      </c>
      <c r="AK175" s="259" t="str">
        <f>IF($AK$135="Y",IFERROR($M175*(SUM($F$7,$F$5,$F$6)/SUMIF($H$5:$H$16,"Y",$F$5:$F$16))*('Emissions Factors'!$T$143*$F$22)/10^6,""),"")</f>
        <v/>
      </c>
      <c r="AL175" s="259" t="str">
        <f t="shared" si="49"/>
        <v/>
      </c>
      <c r="AM175" s="180"/>
      <c r="AO175" s="180">
        <f t="shared" si="44"/>
        <v>0</v>
      </c>
      <c r="AP175" s="180">
        <f t="shared" si="45"/>
        <v>0</v>
      </c>
      <c r="AT175" s="478">
        <v>2054</v>
      </c>
      <c r="AU175" s="479">
        <f t="shared" si="46"/>
        <v>0</v>
      </c>
      <c r="AV175" s="479">
        <f t="shared" si="46"/>
        <v>0</v>
      </c>
      <c r="AW175" s="430"/>
      <c r="AX175" s="479">
        <f t="shared" si="36"/>
        <v>0</v>
      </c>
      <c r="AY175" s="479">
        <f t="shared" si="36"/>
        <v>0</v>
      </c>
      <c r="AZ175" s="430"/>
      <c r="BA175" s="479">
        <f t="shared" si="37"/>
        <v>0</v>
      </c>
      <c r="BB175" s="479">
        <f t="shared" si="37"/>
        <v>0</v>
      </c>
      <c r="BC175" s="516"/>
      <c r="BE175" s="480" t="str">
        <f t="shared" si="38"/>
        <v/>
      </c>
      <c r="BF175" s="480" t="str">
        <f t="shared" si="39"/>
        <v/>
      </c>
    </row>
    <row r="176" spans="1:58" ht="15.6" x14ac:dyDescent="0.3">
      <c r="A176" s="152">
        <v>2055</v>
      </c>
      <c r="B176" s="178"/>
      <c r="C176" s="182"/>
      <c r="D176" s="183"/>
      <c r="E176" s="179" t="str">
        <f t="shared" si="40"/>
        <v/>
      </c>
      <c r="F176" s="183" t="str">
        <f t="shared" si="47"/>
        <v/>
      </c>
      <c r="G176" s="247" t="str">
        <f t="shared" si="34"/>
        <v/>
      </c>
      <c r="H176" s="246"/>
      <c r="I176" s="417"/>
      <c r="J176" s="178"/>
      <c r="K176" s="182"/>
      <c r="L176" s="183"/>
      <c r="M176" s="179" t="str">
        <f t="shared" si="41"/>
        <v/>
      </c>
      <c r="N176" s="183" t="str">
        <f t="shared" si="50"/>
        <v/>
      </c>
      <c r="O176" s="247" t="str">
        <f t="shared" si="35"/>
        <v/>
      </c>
      <c r="P176" s="246"/>
      <c r="Q176" s="417"/>
      <c r="R176" s="182"/>
      <c r="S176" s="178"/>
      <c r="T176" s="182"/>
      <c r="U176" s="178"/>
      <c r="V176" s="506"/>
      <c r="W176" s="259" t="str">
        <f>IF($W$135="Y",IFERROR(E176*($F$8/SUMIF($H$5:$H$16,"Y",$F$5:$F$16))*$F$21*'Emissions Factors'!$B52,""),"")</f>
        <v/>
      </c>
      <c r="X176" s="259" t="str">
        <f>IF($X$135="Y",IFERROR($E176*(SUM($F$7,$F$5,$F$6)/SUMIF($H$5:$H$16,"Y",$F$5:$F$16))*('Emissions Factors'!$T$143*$F$22)/10^6,""),"")</f>
        <v/>
      </c>
      <c r="Y176" s="259" t="str">
        <f t="shared" si="48"/>
        <v/>
      </c>
      <c r="Z176" s="180"/>
      <c r="AA176" s="509"/>
      <c r="AB176" s="180">
        <f t="shared" si="42"/>
        <v>0</v>
      </c>
      <c r="AC176" s="180">
        <f t="shared" si="43"/>
        <v>0</v>
      </c>
      <c r="AE176" s="182"/>
      <c r="AF176" s="178"/>
      <c r="AG176" s="182"/>
      <c r="AH176" s="178"/>
      <c r="AJ176" s="259" t="str">
        <f>IF($AJ$135="Y",IFERROR(M176*($F$8/SUMIF($H$5:$H$16,"Y",$F$5:$F$16))*$F$21*'Emissions Factors'!$B52,""),"")</f>
        <v/>
      </c>
      <c r="AK176" s="259" t="str">
        <f>IF($AK$135="Y",IFERROR($M176*(SUM($F$7,$F$5,$F$6)/SUMIF($H$5:$H$16,"Y",$F$5:$F$16))*('Emissions Factors'!$T$143*$F$22)/10^6,""),"")</f>
        <v/>
      </c>
      <c r="AL176" s="259" t="str">
        <f t="shared" si="49"/>
        <v/>
      </c>
      <c r="AM176" s="180"/>
      <c r="AO176" s="180">
        <f t="shared" si="44"/>
        <v>0</v>
      </c>
      <c r="AP176" s="180">
        <f t="shared" si="45"/>
        <v>0</v>
      </c>
      <c r="AT176" s="478">
        <v>2055</v>
      </c>
      <c r="AU176" s="479">
        <f t="shared" si="46"/>
        <v>0</v>
      </c>
      <c r="AV176" s="479">
        <f t="shared" si="46"/>
        <v>0</v>
      </c>
      <c r="AW176" s="430"/>
      <c r="AX176" s="479">
        <f t="shared" si="36"/>
        <v>0</v>
      </c>
      <c r="AY176" s="479">
        <f t="shared" si="36"/>
        <v>0</v>
      </c>
      <c r="AZ176" s="430"/>
      <c r="BA176" s="479">
        <f t="shared" si="37"/>
        <v>0</v>
      </c>
      <c r="BB176" s="479">
        <f t="shared" si="37"/>
        <v>0</v>
      </c>
      <c r="BC176" s="516"/>
      <c r="BE176" s="480" t="str">
        <f t="shared" si="38"/>
        <v/>
      </c>
      <c r="BF176" s="480" t="str">
        <f t="shared" si="39"/>
        <v/>
      </c>
    </row>
    <row r="177" spans="1:58" ht="15.6" x14ac:dyDescent="0.3">
      <c r="A177" s="152">
        <v>2056</v>
      </c>
      <c r="B177" s="178"/>
      <c r="C177" s="182"/>
      <c r="D177" s="183"/>
      <c r="E177" s="179" t="str">
        <f t="shared" si="40"/>
        <v/>
      </c>
      <c r="F177" s="183" t="str">
        <f t="shared" si="47"/>
        <v/>
      </c>
      <c r="G177" s="247" t="str">
        <f t="shared" si="34"/>
        <v/>
      </c>
      <c r="H177" s="246"/>
      <c r="I177" s="417"/>
      <c r="J177" s="178"/>
      <c r="K177" s="182"/>
      <c r="L177" s="183"/>
      <c r="M177" s="179" t="str">
        <f t="shared" si="41"/>
        <v/>
      </c>
      <c r="N177" s="183" t="str">
        <f t="shared" si="50"/>
        <v/>
      </c>
      <c r="O177" s="247" t="str">
        <f t="shared" si="35"/>
        <v/>
      </c>
      <c r="P177" s="246"/>
      <c r="Q177" s="417"/>
      <c r="R177" s="182"/>
      <c r="S177" s="178"/>
      <c r="T177" s="182"/>
      <c r="U177" s="178"/>
      <c r="V177" s="506"/>
      <c r="W177" s="259" t="str">
        <f>IF($W$135="Y",IFERROR(E177*($F$8/SUMIF($H$5:$H$16,"Y",$F$5:$F$16))*$F$21*'Emissions Factors'!$B53,""),"")</f>
        <v/>
      </c>
      <c r="X177" s="259" t="str">
        <f>IF($X$135="Y",IFERROR($E177*(SUM($F$7,$F$5,$F$6)/SUMIF($H$5:$H$16,"Y",$F$5:$F$16))*('Emissions Factors'!$T$143*$F$22)/10^6,""),"")</f>
        <v/>
      </c>
      <c r="Y177" s="259" t="str">
        <f t="shared" si="48"/>
        <v/>
      </c>
      <c r="Z177" s="180"/>
      <c r="AA177" s="509"/>
      <c r="AB177" s="180">
        <f t="shared" si="42"/>
        <v>0</v>
      </c>
      <c r="AC177" s="180">
        <f t="shared" si="43"/>
        <v>0</v>
      </c>
      <c r="AE177" s="182"/>
      <c r="AF177" s="178"/>
      <c r="AG177" s="182"/>
      <c r="AH177" s="178"/>
      <c r="AJ177" s="259" t="str">
        <f>IF($AJ$135="Y",IFERROR(M177*($F$8/SUMIF($H$5:$H$16,"Y",$F$5:$F$16))*$F$21*'Emissions Factors'!$B53,""),"")</f>
        <v/>
      </c>
      <c r="AK177" s="259" t="str">
        <f>IF($AK$135="Y",IFERROR($M177*(SUM($F$7,$F$5,$F$6)/SUMIF($H$5:$H$16,"Y",$F$5:$F$16))*('Emissions Factors'!$T$143*$F$22)/10^6,""),"")</f>
        <v/>
      </c>
      <c r="AL177" s="259" t="str">
        <f t="shared" si="49"/>
        <v/>
      </c>
      <c r="AM177" s="180"/>
      <c r="AO177" s="180">
        <f t="shared" si="44"/>
        <v>0</v>
      </c>
      <c r="AP177" s="180">
        <f t="shared" si="45"/>
        <v>0</v>
      </c>
      <c r="AT177" s="478">
        <v>2056</v>
      </c>
      <c r="AU177" s="479">
        <f t="shared" si="46"/>
        <v>0</v>
      </c>
      <c r="AV177" s="479">
        <f t="shared" si="46"/>
        <v>0</v>
      </c>
      <c r="AW177" s="430"/>
      <c r="AX177" s="479">
        <f t="shared" si="36"/>
        <v>0</v>
      </c>
      <c r="AY177" s="479">
        <f t="shared" si="36"/>
        <v>0</v>
      </c>
      <c r="AZ177" s="430"/>
      <c r="BA177" s="479">
        <f t="shared" si="37"/>
        <v>0</v>
      </c>
      <c r="BB177" s="479">
        <f t="shared" si="37"/>
        <v>0</v>
      </c>
      <c r="BC177" s="516"/>
      <c r="BE177" s="480" t="str">
        <f t="shared" si="38"/>
        <v/>
      </c>
      <c r="BF177" s="480" t="str">
        <f t="shared" si="39"/>
        <v/>
      </c>
    </row>
    <row r="178" spans="1:58" ht="15.6" x14ac:dyDescent="0.3">
      <c r="A178" s="152">
        <v>2057</v>
      </c>
      <c r="B178" s="178"/>
      <c r="C178" s="182"/>
      <c r="D178" s="183"/>
      <c r="E178" s="179" t="str">
        <f t="shared" si="40"/>
        <v/>
      </c>
      <c r="F178" s="183" t="str">
        <f t="shared" si="47"/>
        <v/>
      </c>
      <c r="G178" s="247" t="str">
        <f t="shared" si="34"/>
        <v/>
      </c>
      <c r="H178" s="246"/>
      <c r="I178" s="417"/>
      <c r="J178" s="178"/>
      <c r="K178" s="182"/>
      <c r="L178" s="183"/>
      <c r="M178" s="179" t="str">
        <f t="shared" si="41"/>
        <v/>
      </c>
      <c r="N178" s="183" t="str">
        <f t="shared" si="50"/>
        <v/>
      </c>
      <c r="O178" s="247" t="str">
        <f t="shared" si="35"/>
        <v/>
      </c>
      <c r="P178" s="246"/>
      <c r="Q178" s="417"/>
      <c r="R178" s="182"/>
      <c r="S178" s="178"/>
      <c r="T178" s="182"/>
      <c r="U178" s="178"/>
      <c r="V178" s="506"/>
      <c r="W178" s="259" t="str">
        <f>IF($W$135="Y",IFERROR(E178*($F$8/SUMIF($H$5:$H$16,"Y",$F$5:$F$16))*$F$21*'Emissions Factors'!$B54,""),"")</f>
        <v/>
      </c>
      <c r="X178" s="259" t="str">
        <f>IF($X$135="Y",IFERROR($E178*(SUM($F$7,$F$5,$F$6)/SUMIF($H$5:$H$16,"Y",$F$5:$F$16))*('Emissions Factors'!$T$143*$F$22)/10^6,""),"")</f>
        <v/>
      </c>
      <c r="Y178" s="259" t="str">
        <f t="shared" si="48"/>
        <v/>
      </c>
      <c r="Z178" s="180"/>
      <c r="AA178" s="509"/>
      <c r="AB178" s="180">
        <f t="shared" si="42"/>
        <v>0</v>
      </c>
      <c r="AC178" s="180">
        <f t="shared" si="43"/>
        <v>0</v>
      </c>
      <c r="AE178" s="182"/>
      <c r="AF178" s="178"/>
      <c r="AG178" s="182"/>
      <c r="AH178" s="178"/>
      <c r="AJ178" s="259" t="str">
        <f>IF($AJ$135="Y",IFERROR(M178*($F$8/SUMIF($H$5:$H$16,"Y",$F$5:$F$16))*$F$21*'Emissions Factors'!$B54,""),"")</f>
        <v/>
      </c>
      <c r="AK178" s="259" t="str">
        <f>IF($AK$135="Y",IFERROR($M178*(SUM($F$7,$F$5,$F$6)/SUMIF($H$5:$H$16,"Y",$F$5:$F$16))*('Emissions Factors'!$T$143*$F$22)/10^6,""),"")</f>
        <v/>
      </c>
      <c r="AL178" s="259" t="str">
        <f t="shared" si="49"/>
        <v/>
      </c>
      <c r="AM178" s="180"/>
      <c r="AO178" s="180">
        <f t="shared" si="44"/>
        <v>0</v>
      </c>
      <c r="AP178" s="180">
        <f t="shared" si="45"/>
        <v>0</v>
      </c>
      <c r="AT178" s="478">
        <v>2057</v>
      </c>
      <c r="AU178" s="479">
        <f t="shared" si="46"/>
        <v>0</v>
      </c>
      <c r="AV178" s="479">
        <f t="shared" si="46"/>
        <v>0</v>
      </c>
      <c r="AW178" s="430"/>
      <c r="AX178" s="479">
        <f t="shared" si="36"/>
        <v>0</v>
      </c>
      <c r="AY178" s="479">
        <f t="shared" si="36"/>
        <v>0</v>
      </c>
      <c r="AZ178" s="430"/>
      <c r="BA178" s="479">
        <f t="shared" si="37"/>
        <v>0</v>
      </c>
      <c r="BB178" s="479">
        <f t="shared" si="37"/>
        <v>0</v>
      </c>
      <c r="BC178" s="516"/>
      <c r="BE178" s="480" t="str">
        <f t="shared" si="38"/>
        <v/>
      </c>
      <c r="BF178" s="480" t="str">
        <f t="shared" si="39"/>
        <v/>
      </c>
    </row>
    <row r="179" spans="1:58" ht="15.6" x14ac:dyDescent="0.3">
      <c r="A179" s="152">
        <v>2058</v>
      </c>
      <c r="B179" s="178"/>
      <c r="C179" s="182"/>
      <c r="D179" s="183"/>
      <c r="E179" s="179" t="str">
        <f t="shared" si="40"/>
        <v/>
      </c>
      <c r="F179" s="183" t="str">
        <f t="shared" si="47"/>
        <v/>
      </c>
      <c r="G179" s="247" t="str">
        <f t="shared" si="34"/>
        <v/>
      </c>
      <c r="H179" s="246"/>
      <c r="I179" s="417"/>
      <c r="J179" s="178"/>
      <c r="K179" s="182"/>
      <c r="L179" s="183"/>
      <c r="M179" s="179" t="str">
        <f t="shared" si="41"/>
        <v/>
      </c>
      <c r="N179" s="183" t="str">
        <f t="shared" si="50"/>
        <v/>
      </c>
      <c r="O179" s="247" t="str">
        <f t="shared" si="35"/>
        <v/>
      </c>
      <c r="P179" s="246"/>
      <c r="Q179" s="417"/>
      <c r="R179" s="182"/>
      <c r="S179" s="178"/>
      <c r="T179" s="182"/>
      <c r="U179" s="178"/>
      <c r="V179" s="506"/>
      <c r="W179" s="259" t="str">
        <f>IF($W$135="Y",IFERROR(E179*($F$8/SUMIF($H$5:$H$16,"Y",$F$5:$F$16))*$F$21*'Emissions Factors'!$B55,""),"")</f>
        <v/>
      </c>
      <c r="X179" s="259" t="str">
        <f>IF($X$135="Y",IFERROR($E179*(SUM($F$7,$F$5,$F$6)/SUMIF($H$5:$H$16,"Y",$F$5:$F$16))*('Emissions Factors'!$T$143*$F$22)/10^6,""),"")</f>
        <v/>
      </c>
      <c r="Y179" s="259" t="str">
        <f t="shared" si="48"/>
        <v/>
      </c>
      <c r="Z179" s="180"/>
      <c r="AA179" s="509"/>
      <c r="AB179" s="180">
        <f t="shared" si="42"/>
        <v>0</v>
      </c>
      <c r="AC179" s="180">
        <f t="shared" si="43"/>
        <v>0</v>
      </c>
      <c r="AE179" s="182"/>
      <c r="AF179" s="178"/>
      <c r="AG179" s="182"/>
      <c r="AH179" s="178"/>
      <c r="AJ179" s="259" t="str">
        <f>IF($AJ$135="Y",IFERROR(M179*($F$8/SUMIF($H$5:$H$16,"Y",$F$5:$F$16))*$F$21*'Emissions Factors'!$B55,""),"")</f>
        <v/>
      </c>
      <c r="AK179" s="259" t="str">
        <f>IF($AK$135="Y",IFERROR($M179*(SUM($F$7,$F$5,$F$6)/SUMIF($H$5:$H$16,"Y",$F$5:$F$16))*('Emissions Factors'!$T$143*$F$22)/10^6,""),"")</f>
        <v/>
      </c>
      <c r="AL179" s="259" t="str">
        <f t="shared" si="49"/>
        <v/>
      </c>
      <c r="AM179" s="180"/>
      <c r="AO179" s="180">
        <f t="shared" si="44"/>
        <v>0</v>
      </c>
      <c r="AP179" s="180">
        <f t="shared" si="45"/>
        <v>0</v>
      </c>
      <c r="AT179" s="478">
        <v>2058</v>
      </c>
      <c r="AU179" s="479">
        <f t="shared" si="46"/>
        <v>0</v>
      </c>
      <c r="AV179" s="479">
        <f t="shared" si="46"/>
        <v>0</v>
      </c>
      <c r="AW179" s="430"/>
      <c r="AX179" s="479">
        <f t="shared" si="36"/>
        <v>0</v>
      </c>
      <c r="AY179" s="479">
        <f t="shared" si="36"/>
        <v>0</v>
      </c>
      <c r="AZ179" s="430"/>
      <c r="BA179" s="479">
        <f t="shared" si="37"/>
        <v>0</v>
      </c>
      <c r="BB179" s="479">
        <f t="shared" si="37"/>
        <v>0</v>
      </c>
      <c r="BC179" s="516"/>
      <c r="BE179" s="480" t="str">
        <f t="shared" si="38"/>
        <v/>
      </c>
      <c r="BF179" s="480" t="str">
        <f t="shared" si="39"/>
        <v/>
      </c>
    </row>
    <row r="180" spans="1:58" ht="15.6" x14ac:dyDescent="0.3">
      <c r="A180" s="152">
        <v>2059</v>
      </c>
      <c r="B180" s="178"/>
      <c r="C180" s="182"/>
      <c r="D180" s="183"/>
      <c r="E180" s="179" t="str">
        <f t="shared" si="40"/>
        <v/>
      </c>
      <c r="F180" s="183" t="str">
        <f t="shared" si="47"/>
        <v/>
      </c>
      <c r="G180" s="247" t="str">
        <f t="shared" si="34"/>
        <v/>
      </c>
      <c r="H180" s="246"/>
      <c r="I180" s="417"/>
      <c r="J180" s="178"/>
      <c r="K180" s="182"/>
      <c r="L180" s="183"/>
      <c r="M180" s="179" t="str">
        <f t="shared" si="41"/>
        <v/>
      </c>
      <c r="N180" s="183" t="str">
        <f t="shared" si="50"/>
        <v/>
      </c>
      <c r="O180" s="247" t="str">
        <f t="shared" si="35"/>
        <v/>
      </c>
      <c r="P180" s="246"/>
      <c r="Q180" s="417"/>
      <c r="R180" s="182"/>
      <c r="S180" s="178"/>
      <c r="T180" s="182"/>
      <c r="U180" s="178"/>
      <c r="V180" s="506"/>
      <c r="W180" s="259" t="str">
        <f>IF($W$135="Y",IFERROR(E180*($F$8/SUMIF($H$5:$H$16,"Y",$F$5:$F$16))*$F$21*'Emissions Factors'!$B56,""),"")</f>
        <v/>
      </c>
      <c r="X180" s="259" t="str">
        <f>IF($X$135="Y",IFERROR($E180*(SUM($F$7,$F$5,$F$6)/SUMIF($H$5:$H$16,"Y",$F$5:$F$16))*('Emissions Factors'!$T$143*$F$22)/10^6,""),"")</f>
        <v/>
      </c>
      <c r="Y180" s="259" t="str">
        <f t="shared" si="48"/>
        <v/>
      </c>
      <c r="Z180" s="180"/>
      <c r="AA180" s="509"/>
      <c r="AB180" s="180">
        <f t="shared" si="42"/>
        <v>0</v>
      </c>
      <c r="AC180" s="180">
        <f t="shared" si="43"/>
        <v>0</v>
      </c>
      <c r="AE180" s="182"/>
      <c r="AF180" s="178"/>
      <c r="AG180" s="182"/>
      <c r="AH180" s="178"/>
      <c r="AJ180" s="259" t="str">
        <f>IF($AJ$135="Y",IFERROR(M180*($F$8/SUMIF($H$5:$H$16,"Y",$F$5:$F$16))*$F$21*'Emissions Factors'!$B56,""),"")</f>
        <v/>
      </c>
      <c r="AK180" s="259" t="str">
        <f>IF($AK$135="Y",IFERROR($M180*(SUM($F$7,$F$5,$F$6)/SUMIF($H$5:$H$16,"Y",$F$5:$F$16))*('Emissions Factors'!$T$143*$F$22)/10^6,""),"")</f>
        <v/>
      </c>
      <c r="AL180" s="259" t="str">
        <f t="shared" si="49"/>
        <v/>
      </c>
      <c r="AM180" s="180"/>
      <c r="AO180" s="180">
        <f t="shared" si="44"/>
        <v>0</v>
      </c>
      <c r="AP180" s="180">
        <f t="shared" si="45"/>
        <v>0</v>
      </c>
      <c r="AT180" s="478">
        <v>2059</v>
      </c>
      <c r="AU180" s="479">
        <f t="shared" si="46"/>
        <v>0</v>
      </c>
      <c r="AV180" s="479">
        <f t="shared" si="46"/>
        <v>0</v>
      </c>
      <c r="AW180" s="430"/>
      <c r="AX180" s="479">
        <f t="shared" si="36"/>
        <v>0</v>
      </c>
      <c r="AY180" s="479">
        <f t="shared" si="36"/>
        <v>0</v>
      </c>
      <c r="AZ180" s="430"/>
      <c r="BA180" s="479">
        <f t="shared" si="37"/>
        <v>0</v>
      </c>
      <c r="BB180" s="479">
        <f t="shared" si="37"/>
        <v>0</v>
      </c>
      <c r="BC180" s="516"/>
      <c r="BE180" s="480" t="str">
        <f t="shared" si="38"/>
        <v/>
      </c>
      <c r="BF180" s="480" t="str">
        <f t="shared" si="39"/>
        <v/>
      </c>
    </row>
    <row r="181" spans="1:58" ht="15.6" x14ac:dyDescent="0.3">
      <c r="A181" s="152">
        <v>2060</v>
      </c>
      <c r="B181" s="178"/>
      <c r="C181" s="182"/>
      <c r="D181" s="183"/>
      <c r="E181" s="179" t="str">
        <f t="shared" si="40"/>
        <v/>
      </c>
      <c r="F181" s="183" t="str">
        <f t="shared" si="47"/>
        <v/>
      </c>
      <c r="G181" s="247" t="str">
        <f t="shared" si="34"/>
        <v/>
      </c>
      <c r="H181" s="246"/>
      <c r="I181" s="417"/>
      <c r="J181" s="178"/>
      <c r="K181" s="182"/>
      <c r="L181" s="183"/>
      <c r="M181" s="179" t="str">
        <f t="shared" si="41"/>
        <v/>
      </c>
      <c r="N181" s="183" t="str">
        <f t="shared" si="50"/>
        <v/>
      </c>
      <c r="O181" s="247" t="str">
        <f t="shared" si="35"/>
        <v/>
      </c>
      <c r="P181" s="246"/>
      <c r="Q181" s="417"/>
      <c r="R181" s="182"/>
      <c r="S181" s="178"/>
      <c r="T181" s="182"/>
      <c r="U181" s="178"/>
      <c r="V181" s="506"/>
      <c r="W181" s="259" t="str">
        <f>IF($W$135="Y",IFERROR(E181*($F$8/SUMIF($H$5:$H$16,"Y",$F$5:$F$16))*$F$21*'Emissions Factors'!$B57,""),"")</f>
        <v/>
      </c>
      <c r="X181" s="259" t="str">
        <f>IF($X$135="Y",IFERROR($E181*(SUM($F$7,$F$5,$F$6)/SUMIF($H$5:$H$16,"Y",$F$5:$F$16))*('Emissions Factors'!$T$143*$F$22)/10^6,""),"")</f>
        <v/>
      </c>
      <c r="Y181" s="259" t="str">
        <f t="shared" si="48"/>
        <v/>
      </c>
      <c r="Z181" s="180"/>
      <c r="AA181" s="509"/>
      <c r="AB181" s="180">
        <f t="shared" si="42"/>
        <v>0</v>
      </c>
      <c r="AC181" s="180">
        <f t="shared" si="43"/>
        <v>0</v>
      </c>
      <c r="AE181" s="182"/>
      <c r="AF181" s="178"/>
      <c r="AG181" s="182"/>
      <c r="AH181" s="178"/>
      <c r="AJ181" s="259" t="str">
        <f>IF($AJ$135="Y",IFERROR(M181*($F$8/SUMIF($H$5:$H$16,"Y",$F$5:$F$16))*$F$21*'Emissions Factors'!$B57,""),"")</f>
        <v/>
      </c>
      <c r="AK181" s="259" t="str">
        <f>IF($AK$135="Y",IFERROR($M181*(SUM($F$7,$F$5,$F$6)/SUMIF($H$5:$H$16,"Y",$F$5:$F$16))*('Emissions Factors'!$T$143*$F$22)/10^6,""),"")</f>
        <v/>
      </c>
      <c r="AL181" s="259" t="str">
        <f t="shared" si="49"/>
        <v/>
      </c>
      <c r="AM181" s="180"/>
      <c r="AO181" s="180">
        <f t="shared" si="44"/>
        <v>0</v>
      </c>
      <c r="AP181" s="180">
        <f t="shared" si="45"/>
        <v>0</v>
      </c>
      <c r="AT181" s="478">
        <v>2060</v>
      </c>
      <c r="AU181" s="479">
        <f t="shared" si="46"/>
        <v>0</v>
      </c>
      <c r="AV181" s="479">
        <f t="shared" si="46"/>
        <v>0</v>
      </c>
      <c r="AW181" s="430"/>
      <c r="AX181" s="479">
        <f t="shared" si="36"/>
        <v>0</v>
      </c>
      <c r="AY181" s="479">
        <f t="shared" si="36"/>
        <v>0</v>
      </c>
      <c r="AZ181" s="430"/>
      <c r="BA181" s="479">
        <f t="shared" si="37"/>
        <v>0</v>
      </c>
      <c r="BB181" s="479">
        <f t="shared" si="37"/>
        <v>0</v>
      </c>
      <c r="BC181" s="516"/>
      <c r="BE181" s="480" t="str">
        <f t="shared" si="38"/>
        <v/>
      </c>
      <c r="BF181" s="480" t="str">
        <f t="shared" si="39"/>
        <v/>
      </c>
    </row>
    <row r="182" spans="1:58" x14ac:dyDescent="0.25">
      <c r="BA182" s="516"/>
    </row>
    <row r="183" spans="1:58" x14ac:dyDescent="0.25">
      <c r="BA183" s="516"/>
    </row>
    <row r="184" spans="1:58" x14ac:dyDescent="0.25">
      <c r="BA184" s="516"/>
    </row>
    <row r="185" spans="1:58" x14ac:dyDescent="0.25">
      <c r="BA185" s="516"/>
    </row>
    <row r="186" spans="1:58" x14ac:dyDescent="0.25">
      <c r="BA186" s="516"/>
    </row>
    <row r="187" spans="1:58" x14ac:dyDescent="0.25">
      <c r="BA187" s="516"/>
    </row>
    <row r="188" spans="1:58" x14ac:dyDescent="0.25">
      <c r="BA188" s="516"/>
    </row>
    <row r="189" spans="1:58" ht="13.5" customHeight="1" thickBot="1" x14ac:dyDescent="0.3">
      <c r="BC189" s="516"/>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516"/>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Plastics_cluster</v>
      </c>
      <c r="Z191" s="607"/>
      <c r="AA191" s="608"/>
      <c r="AB191" s="445"/>
      <c r="AC191" s="606" t="str">
        <f ca="1">CONCATENATE("Table 14(b): EMISSIONS ALLOCATION TO Education in MDC, ",A1)</f>
        <v>Table 14(b): EMISSIONS ALLOCATION TO Education in MDC, Plastics_cluster</v>
      </c>
      <c r="AD191" s="608"/>
      <c r="AE191" s="446"/>
      <c r="AF191" s="606" t="str">
        <f ca="1">CONCATENATE("Table 14(c): EMISSIONS ALLOCATION TO Family Planning in MDC, ",$A$1)</f>
        <v>Table 14(c): EMISSIONS ALLOCATION TO Family Planning in MDC, Plastics_cluster</v>
      </c>
      <c r="AG191" s="608"/>
      <c r="AH191" s="516"/>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516"/>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516"/>
      <c r="AJ193" s="481" t="s">
        <v>227</v>
      </c>
      <c r="AK193" s="481" t="s">
        <v>228</v>
      </c>
    </row>
    <row r="194" spans="1:37" ht="15.6" x14ac:dyDescent="0.3">
      <c r="A194" s="152">
        <v>2014</v>
      </c>
      <c r="B194" s="178"/>
      <c r="C194" s="182"/>
      <c r="D194" s="183"/>
      <c r="E194" s="179">
        <f>IFERROR(IF($G$19="Y",$F$19,$AD80)*(SUMIF($H$5:$H$16,"Y",$F$5:$F$16)*(AL29-B29)),0)</f>
        <v>-5.232011167444425E-4</v>
      </c>
      <c r="F194" s="183" t="str">
        <f>IFERROR(E194-E193,"")</f>
        <v/>
      </c>
      <c r="G194" s="247">
        <f>E194/(AL29-B29)</f>
        <v>0.99464650876194516</v>
      </c>
      <c r="H194" s="245" t="s">
        <v>264</v>
      </c>
      <c r="I194" s="416"/>
      <c r="J194" s="416"/>
      <c r="K194" s="167" t="s">
        <v>213</v>
      </c>
      <c r="L194" s="167" t="s">
        <v>213</v>
      </c>
      <c r="M194" s="167" t="s">
        <v>211</v>
      </c>
      <c r="N194" s="167" t="s">
        <v>211</v>
      </c>
      <c r="O194" s="495"/>
      <c r="P194" s="167" t="s">
        <v>211</v>
      </c>
      <c r="Q194" s="167" t="s">
        <v>211</v>
      </c>
      <c r="R194" s="167" t="s">
        <v>213</v>
      </c>
      <c r="S194" s="167" t="s">
        <v>211</v>
      </c>
      <c r="T194" s="496"/>
      <c r="U194" s="496"/>
      <c r="V194" s="496"/>
      <c r="Y194" s="478">
        <v>2014</v>
      </c>
      <c r="Z194" s="479">
        <f>U194</f>
        <v>0</v>
      </c>
      <c r="AA194" s="479">
        <f>V194</f>
        <v>0</v>
      </c>
      <c r="AB194" s="430"/>
      <c r="AC194" s="512"/>
      <c r="AD194" s="479"/>
      <c r="AE194" s="430"/>
      <c r="AF194" s="479">
        <f>Z194-AC194</f>
        <v>0</v>
      </c>
      <c r="AG194" s="479">
        <f t="shared" ref="AG194:AG240" si="51">AA194-AD194</f>
        <v>0</v>
      </c>
      <c r="AH194" s="516"/>
      <c r="AJ194" s="480" t="str">
        <f t="shared" ref="AJ194:AJ240" si="52">IFERROR(AC194/Z194,"")</f>
        <v/>
      </c>
      <c r="AK194" s="480" t="str">
        <f t="shared" ref="AK194:AK240" si="53">IFERROR(AG194/(AD194+AG194),"")</f>
        <v/>
      </c>
    </row>
    <row r="195" spans="1:37" ht="15.6" x14ac:dyDescent="0.3">
      <c r="A195" s="152">
        <v>2015</v>
      </c>
      <c r="B195" s="178"/>
      <c r="C195" s="182"/>
      <c r="D195" s="183"/>
      <c r="E195" s="179">
        <f t="shared" ref="E195:E240" si="54">IFERROR(IF($G$19="Y",$F$19,$AD81)*(SUMIF($H$5:$H$16,"Y",$F$5:$F$16)*(AL30-B30)),0)</f>
        <v>-5.2630704594749142E-4</v>
      </c>
      <c r="F195" s="183">
        <f>IFERROR(E195-E194,"")</f>
        <v>-3.1059292030489148E-6</v>
      </c>
      <c r="G195" s="247">
        <f t="shared" ref="G195:G240" si="55">E195/(AL30-B30)</f>
        <v>0.99464650876194516</v>
      </c>
      <c r="H195" s="246"/>
      <c r="I195" s="417"/>
      <c r="J195" s="417"/>
      <c r="K195" s="439"/>
      <c r="L195" s="440"/>
      <c r="M195" s="439"/>
      <c r="N195" s="440"/>
      <c r="O195" s="495"/>
      <c r="P195" s="259" t="str">
        <f>IF(P$194="Y",IFERROR(E195*($F$8/SUMIF($H$5:$H$16,"Y",$F$5:$F$16))*$F$21*'Emissions Factors'!$B12,""),"")</f>
        <v/>
      </c>
      <c r="Q195" s="259" t="str">
        <f>IF($X$135="Y",IFERROR($E195*(SUM($F$7,$F$5,$F$6)/SUMIF($H$5:$H$16,"Y",$F$5:$F$16))*('Emissions Factors'!$T$143*$F$22)/10^6,""),"")</f>
        <v/>
      </c>
      <c r="R195" s="259">
        <f>IF($R$194="Y",IFERROR($E195*$F$23/10^6,""),"")</f>
        <v>-1.2890763289693614E-3</v>
      </c>
      <c r="S195" s="441"/>
      <c r="T195" s="496"/>
      <c r="U195" s="441">
        <f>SUM(P195:S195)</f>
        <v>-1.2890763289693614E-3</v>
      </c>
      <c r="V195" s="441">
        <f t="shared" ref="V195:V240" si="56">SUM(K195:N195)</f>
        <v>0</v>
      </c>
      <c r="Y195" s="478">
        <v>2015</v>
      </c>
      <c r="Z195" s="479">
        <f t="shared" ref="Z195:AA240" si="57">U195</f>
        <v>-1.2890763289693614E-3</v>
      </c>
      <c r="AA195" s="479">
        <f t="shared" si="57"/>
        <v>0</v>
      </c>
      <c r="AB195" s="430"/>
      <c r="AC195" s="479"/>
      <c r="AD195" s="479"/>
      <c r="AE195" s="430"/>
      <c r="AF195" s="479">
        <f t="shared" ref="AF195:AF240" si="58">Z195-AC195</f>
        <v>-1.2890763289693614E-3</v>
      </c>
      <c r="AG195" s="479">
        <f t="shared" si="51"/>
        <v>0</v>
      </c>
      <c r="AH195" s="516"/>
      <c r="AJ195" s="480">
        <f t="shared" si="52"/>
        <v>0</v>
      </c>
      <c r="AK195" s="480" t="str">
        <f t="shared" si="53"/>
        <v/>
      </c>
    </row>
    <row r="196" spans="1:37" ht="15.6" x14ac:dyDescent="0.3">
      <c r="A196" s="152">
        <v>2016</v>
      </c>
      <c r="B196" s="178"/>
      <c r="C196" s="182"/>
      <c r="D196" s="183"/>
      <c r="E196" s="179">
        <f t="shared" si="54"/>
        <v>-5.2559769578079403E-4</v>
      </c>
      <c r="F196" s="183">
        <f t="shared" ref="F196" si="59">IFERROR(E196-E195,"")</f>
        <v>7.0935016669739209E-7</v>
      </c>
      <c r="G196" s="247">
        <f t="shared" si="55"/>
        <v>0.99464650876194516</v>
      </c>
      <c r="H196" s="246"/>
      <c r="I196" s="417"/>
      <c r="J196" s="417"/>
      <c r="K196" s="439"/>
      <c r="L196" s="440"/>
      <c r="M196" s="439"/>
      <c r="N196" s="440"/>
      <c r="O196" s="495"/>
      <c r="P196" s="259" t="str">
        <f>IF(P$194="Y",IFERROR(E196*($F$8/SUMIF($H$5:$H$16,"Y",$F$5:$F$16))*$F$21*'Emissions Factors'!$B13,""),"")</f>
        <v/>
      </c>
      <c r="Q196" s="259" t="str">
        <f>IF($X$135="Y",IFERROR($E196*(SUM($F$7,$F$5,$F$6)/SUMIF($H$5:$H$16,"Y",$F$5:$F$16))*('Emissions Factors'!$T$143*$F$22)/10^6,""),"")</f>
        <v/>
      </c>
      <c r="R196" s="259">
        <f t="shared" ref="R196:R240" si="60">IF($R$194="Y",IFERROR($E196*$F$23/10^6,""),"")</f>
        <v>-1.2873389277396402E-3</v>
      </c>
      <c r="S196" s="441"/>
      <c r="T196" s="496"/>
      <c r="U196" s="441">
        <f t="shared" ref="U196:U240" si="61">SUM(P196:S196)</f>
        <v>-1.2873389277396402E-3</v>
      </c>
      <c r="V196" s="441">
        <f t="shared" si="56"/>
        <v>0</v>
      </c>
      <c r="Y196" s="478">
        <v>2016</v>
      </c>
      <c r="Z196" s="479">
        <f t="shared" si="57"/>
        <v>-1.2873389277396402E-3</v>
      </c>
      <c r="AA196" s="479">
        <f t="shared" si="57"/>
        <v>0</v>
      </c>
      <c r="AB196" s="430"/>
      <c r="AC196" s="479"/>
      <c r="AD196" s="479"/>
      <c r="AE196" s="430"/>
      <c r="AF196" s="479">
        <f t="shared" si="58"/>
        <v>-1.2873389277396402E-3</v>
      </c>
      <c r="AG196" s="479">
        <f t="shared" si="51"/>
        <v>0</v>
      </c>
      <c r="AH196" s="516"/>
      <c r="AJ196" s="480">
        <f t="shared" si="52"/>
        <v>0</v>
      </c>
      <c r="AK196" s="480" t="str">
        <f t="shared" si="53"/>
        <v/>
      </c>
    </row>
    <row r="197" spans="1:37" ht="15.6" x14ac:dyDescent="0.3">
      <c r="A197" s="152">
        <v>2017</v>
      </c>
      <c r="B197" s="178"/>
      <c r="C197" s="182"/>
      <c r="D197" s="183"/>
      <c r="E197" s="179">
        <f t="shared" si="54"/>
        <v>-5.234746381362614E-4</v>
      </c>
      <c r="F197" s="183">
        <f>IFERROR(E197-E196,"")</f>
        <v>2.1230576445326272E-6</v>
      </c>
      <c r="G197" s="247">
        <f t="shared" si="55"/>
        <v>0.99464650876194527</v>
      </c>
      <c r="H197" s="246"/>
      <c r="I197" s="417"/>
      <c r="J197" s="417"/>
      <c r="K197" s="439"/>
      <c r="L197" s="440"/>
      <c r="M197" s="439"/>
      <c r="N197" s="440"/>
      <c r="O197" s="495"/>
      <c r="P197" s="259" t="str">
        <f>IF(P$194="Y",IFERROR(E197*($F$8/SUMIF($H$5:$H$16,"Y",$F$5:$F$16))*$F$21*'Emissions Factors'!$B14,""),"")</f>
        <v/>
      </c>
      <c r="Q197" s="259" t="str">
        <f>IF($X$135="Y",IFERROR($E197*(SUM($F$7,$F$5,$F$6)/SUMIF($H$5:$H$16,"Y",$F$5:$F$16))*('Emissions Factors'!$T$143*$F$22)/10^6,""),"")</f>
        <v/>
      </c>
      <c r="R197" s="259">
        <f t="shared" si="60"/>
        <v>-1.2821389529802723E-3</v>
      </c>
      <c r="S197" s="441"/>
      <c r="T197" s="496"/>
      <c r="U197" s="441">
        <f t="shared" si="61"/>
        <v>-1.2821389529802723E-3</v>
      </c>
      <c r="V197" s="441">
        <f t="shared" si="56"/>
        <v>0</v>
      </c>
      <c r="Y197" s="478">
        <v>2017</v>
      </c>
      <c r="Z197" s="479">
        <f t="shared" si="57"/>
        <v>-1.2821389529802723E-3</v>
      </c>
      <c r="AA197" s="479">
        <f t="shared" si="57"/>
        <v>0</v>
      </c>
      <c r="AB197" s="430"/>
      <c r="AC197" s="479"/>
      <c r="AD197" s="479"/>
      <c r="AE197" s="430"/>
      <c r="AF197" s="479">
        <f t="shared" si="58"/>
        <v>-1.2821389529802723E-3</v>
      </c>
      <c r="AG197" s="479">
        <f t="shared" si="51"/>
        <v>0</v>
      </c>
      <c r="AH197" s="516"/>
      <c r="AJ197" s="480">
        <f t="shared" si="52"/>
        <v>0</v>
      </c>
      <c r="AK197" s="480" t="str">
        <f t="shared" si="53"/>
        <v/>
      </c>
    </row>
    <row r="198" spans="1:37" ht="15.6" x14ac:dyDescent="0.3">
      <c r="A198" s="152">
        <v>2018</v>
      </c>
      <c r="B198" s="178"/>
      <c r="C198" s="182"/>
      <c r="D198" s="183"/>
      <c r="E198" s="179">
        <f>IFERROR(IF($G$19="Y",$F$19,$AD84)*(SUMIF($H$5:$H$16,"Y",$F$5:$F$16)*(AL33-B33)),0)</f>
        <v>-5.1996739451342245E-4</v>
      </c>
      <c r="F198" s="183">
        <f t="shared" ref="F198:F240" si="62">IFERROR(E198-E197,"")</f>
        <v>3.507243622838949E-6</v>
      </c>
      <c r="G198" s="247">
        <f t="shared" si="55"/>
        <v>0.99464650876194527</v>
      </c>
      <c r="H198" s="246"/>
      <c r="I198" s="417"/>
      <c r="J198" s="417"/>
      <c r="K198" s="439"/>
      <c r="L198" s="440"/>
      <c r="M198" s="439"/>
      <c r="N198" s="440"/>
      <c r="O198" s="495"/>
      <c r="P198" s="259" t="str">
        <f>IF(P$194="Y",IFERROR(E198*($F$8/SUMIF($H$5:$H$16,"Y",$F$5:$F$16))*$F$21*'Emissions Factors'!$B15,""),"")</f>
        <v/>
      </c>
      <c r="Q198" s="259" t="str">
        <f>IF($X$135="Y",IFERROR($E198*(SUM($F$7,$F$5,$F$6)/SUMIF($H$5:$H$16,"Y",$F$5:$F$16))*('Emissions Factors'!$T$143*$F$22)/10^6,""),"")</f>
        <v/>
      </c>
      <c r="R198" s="259">
        <f t="shared" si="60"/>
        <v>-1.2735487112783181E-3</v>
      </c>
      <c r="S198" s="441"/>
      <c r="T198" s="496"/>
      <c r="U198" s="441">
        <f t="shared" si="61"/>
        <v>-1.2735487112783181E-3</v>
      </c>
      <c r="V198" s="441">
        <f t="shared" si="56"/>
        <v>0</v>
      </c>
      <c r="Y198" s="478">
        <v>2018</v>
      </c>
      <c r="Z198" s="479">
        <f t="shared" si="57"/>
        <v>-1.2735487112783181E-3</v>
      </c>
      <c r="AA198" s="479">
        <f t="shared" si="57"/>
        <v>0</v>
      </c>
      <c r="AB198" s="430"/>
      <c r="AC198" s="479"/>
      <c r="AD198" s="479"/>
      <c r="AE198" s="430"/>
      <c r="AF198" s="479">
        <f t="shared" si="58"/>
        <v>-1.2735487112783181E-3</v>
      </c>
      <c r="AG198" s="479">
        <f t="shared" si="51"/>
        <v>0</v>
      </c>
      <c r="AH198" s="516"/>
      <c r="AJ198" s="480">
        <f t="shared" si="52"/>
        <v>0</v>
      </c>
      <c r="AK198" s="480" t="str">
        <f t="shared" si="53"/>
        <v/>
      </c>
    </row>
    <row r="199" spans="1:37" ht="15.6" x14ac:dyDescent="0.3">
      <c r="A199" s="152">
        <v>2019</v>
      </c>
      <c r="B199" s="178"/>
      <c r="C199" s="182"/>
      <c r="D199" s="183"/>
      <c r="E199" s="179">
        <f t="shared" si="54"/>
        <v>-5.1773325391778321E-4</v>
      </c>
      <c r="F199" s="183">
        <f t="shared" si="62"/>
        <v>2.2341405956392358E-6</v>
      </c>
      <c r="G199" s="247">
        <f t="shared" si="55"/>
        <v>0.99464650876194527</v>
      </c>
      <c r="H199" s="246"/>
      <c r="I199" s="417"/>
      <c r="J199" s="417"/>
      <c r="K199" s="439"/>
      <c r="L199" s="440"/>
      <c r="M199" s="439"/>
      <c r="N199" s="440"/>
      <c r="O199" s="495"/>
      <c r="P199" s="259" t="str">
        <f>IF(P$194="Y",IFERROR(E199*($F$8/SUMIF($H$5:$H$16,"Y",$F$5:$F$16))*$F$21*'Emissions Factors'!$B16,""),"")</f>
        <v/>
      </c>
      <c r="Q199" s="259" t="str">
        <f>IF($X$135="Y",IFERROR($E199*(SUM($F$7,$F$5,$F$6)/SUMIF($H$5:$H$16,"Y",$F$5:$F$16))*('Emissions Factors'!$T$143*$F$22)/10^6,""),"")</f>
        <v/>
      </c>
      <c r="R199" s="259">
        <f t="shared" si="60"/>
        <v>-1.2680766626337035E-3</v>
      </c>
      <c r="S199" s="441"/>
      <c r="T199" s="496"/>
      <c r="U199" s="441">
        <f t="shared" si="61"/>
        <v>-1.2680766626337035E-3</v>
      </c>
      <c r="V199" s="441">
        <f t="shared" si="56"/>
        <v>0</v>
      </c>
      <c r="Y199" s="478">
        <v>2019</v>
      </c>
      <c r="Z199" s="479">
        <f t="shared" si="57"/>
        <v>-1.2680766626337035E-3</v>
      </c>
      <c r="AA199" s="479">
        <f t="shared" si="57"/>
        <v>0</v>
      </c>
      <c r="AB199" s="430"/>
      <c r="AC199" s="479"/>
      <c r="AD199" s="479"/>
      <c r="AE199" s="430"/>
      <c r="AF199" s="479">
        <f t="shared" si="58"/>
        <v>-1.2680766626337035E-3</v>
      </c>
      <c r="AG199" s="479">
        <f t="shared" si="51"/>
        <v>0</v>
      </c>
      <c r="AH199" s="516"/>
      <c r="AJ199" s="480">
        <f t="shared" si="52"/>
        <v>0</v>
      </c>
      <c r="AK199" s="480" t="str">
        <f t="shared" si="53"/>
        <v/>
      </c>
    </row>
    <row r="200" spans="1:37" ht="15.6" x14ac:dyDescent="0.3">
      <c r="A200" s="152">
        <v>2020</v>
      </c>
      <c r="B200" s="178"/>
      <c r="C200" s="182"/>
      <c r="D200" s="183"/>
      <c r="E200" s="179">
        <f t="shared" si="54"/>
        <v>-5.1688002732572453E-4</v>
      </c>
      <c r="F200" s="183">
        <f t="shared" si="62"/>
        <v>8.53226592058688E-7</v>
      </c>
      <c r="G200" s="247">
        <f t="shared" si="55"/>
        <v>0.99464650876194538</v>
      </c>
      <c r="H200" s="246"/>
      <c r="I200" s="417"/>
      <c r="J200" s="417"/>
      <c r="K200" s="439"/>
      <c r="L200" s="440"/>
      <c r="M200" s="439"/>
      <c r="N200" s="440"/>
      <c r="O200" s="495"/>
      <c r="P200" s="259" t="str">
        <f>IF(P$194="Y",IFERROR(E200*($F$8/SUMIF($H$5:$H$16,"Y",$F$5:$F$16))*$F$21*'Emissions Factors'!$B17,""),"")</f>
        <v/>
      </c>
      <c r="Q200" s="259" t="str">
        <f>IF($X$135="Y",IFERROR($E200*(SUM($F$7,$F$5,$F$6)/SUMIF($H$5:$H$16,"Y",$F$5:$F$16))*('Emissions Factors'!$T$143*$F$22)/10^6,""),"")</f>
        <v/>
      </c>
      <c r="R200" s="259">
        <f t="shared" si="60"/>
        <v>-1.2659868669307221E-3</v>
      </c>
      <c r="S200" s="441"/>
      <c r="T200" s="496"/>
      <c r="U200" s="441">
        <f t="shared" si="61"/>
        <v>-1.2659868669307221E-3</v>
      </c>
      <c r="V200" s="441">
        <f t="shared" si="56"/>
        <v>0</v>
      </c>
      <c r="X200" s="430"/>
      <c r="Y200" s="478">
        <v>2020</v>
      </c>
      <c r="Z200" s="479">
        <f t="shared" si="57"/>
        <v>-1.2659868669307221E-3</v>
      </c>
      <c r="AA200" s="479">
        <f t="shared" si="57"/>
        <v>0</v>
      </c>
      <c r="AB200" s="430"/>
      <c r="AC200" s="479"/>
      <c r="AD200" s="479"/>
      <c r="AE200" s="430"/>
      <c r="AF200" s="479">
        <f t="shared" si="58"/>
        <v>-1.2659868669307221E-3</v>
      </c>
      <c r="AG200" s="479">
        <f t="shared" si="51"/>
        <v>0</v>
      </c>
      <c r="AH200" s="516"/>
      <c r="AJ200" s="480">
        <f t="shared" si="52"/>
        <v>0</v>
      </c>
      <c r="AK200" s="480" t="str">
        <f t="shared" si="53"/>
        <v/>
      </c>
    </row>
    <row r="201" spans="1:37" ht="15.6" x14ac:dyDescent="0.3">
      <c r="A201" s="152">
        <v>2021</v>
      </c>
      <c r="B201" s="178"/>
      <c r="C201" s="182"/>
      <c r="D201" s="183"/>
      <c r="E201" s="179">
        <f t="shared" si="54"/>
        <v>0.46500013951973612</v>
      </c>
      <c r="F201" s="183">
        <f t="shared" si="62"/>
        <v>0.46551701954706187</v>
      </c>
      <c r="G201" s="247">
        <f t="shared" si="55"/>
        <v>0.99464650876194527</v>
      </c>
      <c r="H201" s="246"/>
      <c r="I201" s="417"/>
      <c r="J201" s="417"/>
      <c r="K201" s="439"/>
      <c r="L201" s="440"/>
      <c r="M201" s="439"/>
      <c r="N201" s="440"/>
      <c r="O201" s="495"/>
      <c r="P201" s="259" t="str">
        <f>IF(P$194="Y",IFERROR(E201*($F$8/SUMIF($H$5:$H$16,"Y",$F$5:$F$16))*$F$21*'Emissions Factors'!$B18,""),"")</f>
        <v/>
      </c>
      <c r="Q201" s="259" t="str">
        <f>IF($X$135="Y",IFERROR($E201*(SUM($F$7,$F$5,$F$6)/SUMIF($H$5:$H$16,"Y",$F$5:$F$16))*('Emissions Factors'!$T$143*$F$22)/10^6,""),"")</f>
        <v/>
      </c>
      <c r="R201" s="259">
        <f t="shared" si="60"/>
        <v>1.1389181988685466</v>
      </c>
      <c r="S201" s="441"/>
      <c r="T201" s="496"/>
      <c r="U201" s="441">
        <f t="shared" si="61"/>
        <v>1.1389181988685466</v>
      </c>
      <c r="V201" s="441">
        <f t="shared" si="56"/>
        <v>0</v>
      </c>
      <c r="X201" s="430"/>
      <c r="Y201" s="478">
        <v>2021</v>
      </c>
      <c r="Z201" s="479">
        <f t="shared" si="57"/>
        <v>1.1389181988685466</v>
      </c>
      <c r="AA201" s="479">
        <f t="shared" si="57"/>
        <v>0</v>
      </c>
      <c r="AB201" s="430"/>
      <c r="AC201" s="479"/>
      <c r="AD201" s="479"/>
      <c r="AE201" s="430"/>
      <c r="AF201" s="479">
        <f t="shared" si="58"/>
        <v>1.1389181988685466</v>
      </c>
      <c r="AG201" s="479">
        <f t="shared" si="51"/>
        <v>0</v>
      </c>
      <c r="AH201" s="516"/>
      <c r="AJ201" s="480">
        <f t="shared" si="52"/>
        <v>0</v>
      </c>
      <c r="AK201" s="480" t="str">
        <f t="shared" si="53"/>
        <v/>
      </c>
    </row>
    <row r="202" spans="1:37" ht="15.6" x14ac:dyDescent="0.3">
      <c r="A202" s="152">
        <v>2022</v>
      </c>
      <c r="B202" s="178"/>
      <c r="C202" s="182"/>
      <c r="D202" s="183"/>
      <c r="E202" s="179">
        <f t="shared" si="54"/>
        <v>1.0679504340097175</v>
      </c>
      <c r="F202" s="183">
        <f t="shared" si="62"/>
        <v>0.60295029448998139</v>
      </c>
      <c r="G202" s="247">
        <f t="shared" si="55"/>
        <v>0.99464650876194516</v>
      </c>
      <c r="H202" s="246"/>
      <c r="I202" s="417"/>
      <c r="J202" s="417"/>
      <c r="K202" s="182"/>
      <c r="L202" s="178"/>
      <c r="M202" s="182"/>
      <c r="N202" s="178"/>
      <c r="O202" s="495"/>
      <c r="P202" s="259" t="str">
        <f>IF(P$194="Y",IFERROR(E202*($F$8/SUMIF($H$5:$H$16,"Y",$F$5:$F$16))*$F$21*'Emissions Factors'!$B19,""),"")</f>
        <v/>
      </c>
      <c r="Q202" s="259" t="str">
        <f>IF($X$135="Y",IFERROR($E202*(SUM($F$7,$F$5,$F$6)/SUMIF($H$5:$H$16,"Y",$F$5:$F$16))*('Emissions Factors'!$T$143*$F$22)/10^6,""),"")</f>
        <v/>
      </c>
      <c r="R202" s="259">
        <f t="shared" si="60"/>
        <v>2.6157157415898067</v>
      </c>
      <c r="S202" s="180"/>
      <c r="T202" s="496"/>
      <c r="U202" s="180">
        <f t="shared" si="61"/>
        <v>2.6157157415898067</v>
      </c>
      <c r="V202" s="180">
        <f t="shared" si="56"/>
        <v>0</v>
      </c>
      <c r="X202" s="430"/>
      <c r="Y202" s="478">
        <v>2022</v>
      </c>
      <c r="Z202" s="479">
        <f t="shared" si="57"/>
        <v>2.6157157415898067</v>
      </c>
      <c r="AA202" s="479">
        <f t="shared" si="57"/>
        <v>0</v>
      </c>
      <c r="AB202" s="430"/>
      <c r="AC202" s="479"/>
      <c r="AD202" s="479"/>
      <c r="AE202" s="430"/>
      <c r="AF202" s="479">
        <f t="shared" si="58"/>
        <v>2.6157157415898067</v>
      </c>
      <c r="AG202" s="479">
        <f t="shared" si="51"/>
        <v>0</v>
      </c>
      <c r="AH202" s="516"/>
      <c r="AJ202" s="480">
        <f t="shared" si="52"/>
        <v>0</v>
      </c>
      <c r="AK202" s="480" t="str">
        <f t="shared" si="53"/>
        <v/>
      </c>
    </row>
    <row r="203" spans="1:37" ht="15.6" x14ac:dyDescent="0.3">
      <c r="A203" s="152">
        <v>2023</v>
      </c>
      <c r="B203" s="178"/>
      <c r="C203" s="182"/>
      <c r="D203" s="183"/>
      <c r="E203" s="179">
        <f t="shared" si="54"/>
        <v>1.7993264567092884</v>
      </c>
      <c r="F203" s="183">
        <f t="shared" si="62"/>
        <v>0.73137602269957092</v>
      </c>
      <c r="G203" s="247">
        <f t="shared" si="55"/>
        <v>0.99464650876194527</v>
      </c>
      <c r="H203" s="246"/>
      <c r="I203" s="417"/>
      <c r="J203" s="417"/>
      <c r="K203" s="182"/>
      <c r="L203" s="178"/>
      <c r="M203" s="182"/>
      <c r="N203" s="178"/>
      <c r="O203" s="495"/>
      <c r="P203" s="259" t="str">
        <f>IF(P$194="Y",IFERROR(E203*($F$8/SUMIF($H$5:$H$16,"Y",$F$5:$F$16))*$F$21*'Emissions Factors'!$B20,""),"")</f>
        <v/>
      </c>
      <c r="Q203" s="259" t="str">
        <f>IF($X$135="Y",IFERROR($E203*(SUM($F$7,$F$5,$F$6)/SUMIF($H$5:$H$16,"Y",$F$5:$F$16))*('Emissions Factors'!$T$143*$F$22)/10^6,""),"")</f>
        <v/>
      </c>
      <c r="R203" s="259">
        <f t="shared" si="60"/>
        <v>4.4070645857621038</v>
      </c>
      <c r="S203" s="180"/>
      <c r="T203" s="496"/>
      <c r="U203" s="180">
        <f t="shared" si="61"/>
        <v>4.4070645857621038</v>
      </c>
      <c r="V203" s="180">
        <f t="shared" si="56"/>
        <v>0</v>
      </c>
      <c r="X203" s="430"/>
      <c r="Y203" s="478">
        <v>2023</v>
      </c>
      <c r="Z203" s="479">
        <f t="shared" si="57"/>
        <v>4.4070645857621038</v>
      </c>
      <c r="AA203" s="479">
        <f t="shared" si="57"/>
        <v>0</v>
      </c>
      <c r="AB203" s="430"/>
      <c r="AC203" s="479"/>
      <c r="AD203" s="479"/>
      <c r="AE203" s="430"/>
      <c r="AF203" s="479">
        <f t="shared" si="58"/>
        <v>4.4070645857621038</v>
      </c>
      <c r="AG203" s="479">
        <f t="shared" si="51"/>
        <v>0</v>
      </c>
      <c r="AH203" s="516"/>
      <c r="AJ203" s="480">
        <f t="shared" si="52"/>
        <v>0</v>
      </c>
      <c r="AK203" s="480" t="str">
        <f t="shared" si="53"/>
        <v/>
      </c>
    </row>
    <row r="204" spans="1:37" ht="15.6" x14ac:dyDescent="0.3">
      <c r="A204" s="152">
        <v>2024</v>
      </c>
      <c r="B204" s="178"/>
      <c r="C204" s="182"/>
      <c r="D204" s="183"/>
      <c r="E204" s="179">
        <f t="shared" si="54"/>
        <v>2.6577608706581901</v>
      </c>
      <c r="F204" s="183">
        <f t="shared" si="62"/>
        <v>0.85843441394890174</v>
      </c>
      <c r="G204" s="247">
        <f t="shared" si="55"/>
        <v>0.99464650876194527</v>
      </c>
      <c r="H204" s="246"/>
      <c r="I204" s="417"/>
      <c r="J204" s="417"/>
      <c r="K204" s="182"/>
      <c r="L204" s="178"/>
      <c r="M204" s="182"/>
      <c r="N204" s="178"/>
      <c r="O204" s="495"/>
      <c r="P204" s="259" t="str">
        <f>IF(P$194="Y",IFERROR(E204*($F$8/SUMIF($H$5:$H$16,"Y",$F$5:$F$16))*$F$21*'Emissions Factors'!$B21,""),"")</f>
        <v/>
      </c>
      <c r="Q204" s="259" t="str">
        <f>IF($X$135="Y",IFERROR($E204*(SUM($F$7,$F$5,$F$6)/SUMIF($H$5:$H$16,"Y",$F$5:$F$16))*('Emissions Factors'!$T$143*$F$22)/10^6,""),"")</f>
        <v/>
      </c>
      <c r="R204" s="259">
        <f t="shared" si="60"/>
        <v>6.5096157325020574</v>
      </c>
      <c r="S204" s="180"/>
      <c r="T204" s="496"/>
      <c r="U204" s="180">
        <f t="shared" si="61"/>
        <v>6.5096157325020574</v>
      </c>
      <c r="V204" s="180">
        <f t="shared" si="56"/>
        <v>0</v>
      </c>
      <c r="X204" s="430"/>
      <c r="Y204" s="478">
        <v>2024</v>
      </c>
      <c r="Z204" s="479">
        <f t="shared" si="57"/>
        <v>6.5096157325020574</v>
      </c>
      <c r="AA204" s="479">
        <f t="shared" si="57"/>
        <v>0</v>
      </c>
      <c r="AB204" s="430"/>
      <c r="AC204" s="479"/>
      <c r="AD204" s="479"/>
      <c r="AE204" s="430"/>
      <c r="AF204" s="479">
        <f>Z204-AC204</f>
        <v>6.5096157325020574</v>
      </c>
      <c r="AG204" s="479">
        <f t="shared" si="51"/>
        <v>0</v>
      </c>
      <c r="AH204" s="516"/>
      <c r="AJ204" s="480">
        <f t="shared" si="52"/>
        <v>0</v>
      </c>
      <c r="AK204" s="480" t="str">
        <f t="shared" si="53"/>
        <v/>
      </c>
    </row>
    <row r="205" spans="1:37" ht="15.6" x14ac:dyDescent="0.3">
      <c r="A205" s="152">
        <v>2025</v>
      </c>
      <c r="B205" s="178"/>
      <c r="C205" s="182"/>
      <c r="D205" s="183"/>
      <c r="E205" s="179">
        <f t="shared" si="54"/>
        <v>3.6437414282078291</v>
      </c>
      <c r="F205" s="183">
        <f t="shared" si="62"/>
        <v>0.98598055754963898</v>
      </c>
      <c r="G205" s="247">
        <f t="shared" si="55"/>
        <v>0.99464650876194527</v>
      </c>
      <c r="H205" s="246"/>
      <c r="I205" s="417"/>
      <c r="J205" s="417"/>
      <c r="K205" s="182"/>
      <c r="L205" s="178"/>
      <c r="M205" s="182"/>
      <c r="N205" s="178"/>
      <c r="O205" s="495"/>
      <c r="P205" s="259" t="str">
        <f>IF(P$194="Y",IFERROR(E205*($F$8/SUMIF($H$5:$H$16,"Y",$F$5:$F$16))*$F$21*'Emissions Factors'!$B22,""),"")</f>
        <v/>
      </c>
      <c r="Q205" s="259" t="str">
        <f>IF($X$135="Y",IFERROR($E205*(SUM($F$7,$F$5,$F$6)/SUMIF($H$5:$H$16,"Y",$F$5:$F$16))*('Emissions Factors'!$T$143*$F$22)/10^6,""),"")</f>
        <v/>
      </c>
      <c r="R205" s="259">
        <f t="shared" si="60"/>
        <v>8.9245638266760778</v>
      </c>
      <c r="S205" s="180"/>
      <c r="T205" s="496"/>
      <c r="U205" s="180">
        <f t="shared" si="61"/>
        <v>8.9245638266760778</v>
      </c>
      <c r="V205" s="180">
        <f t="shared" si="56"/>
        <v>0</v>
      </c>
      <c r="X205" s="430"/>
      <c r="Y205" s="478">
        <v>2025</v>
      </c>
      <c r="Z205" s="479">
        <f t="shared" si="57"/>
        <v>8.9245638266760778</v>
      </c>
      <c r="AA205" s="479">
        <f t="shared" si="57"/>
        <v>0</v>
      </c>
      <c r="AB205" s="430"/>
      <c r="AC205" s="479"/>
      <c r="AD205" s="479"/>
      <c r="AE205" s="430"/>
      <c r="AF205" s="479">
        <f t="shared" si="58"/>
        <v>8.9245638266760778</v>
      </c>
      <c r="AG205" s="479">
        <f t="shared" si="51"/>
        <v>0</v>
      </c>
      <c r="AH205" s="516"/>
      <c r="AJ205" s="480">
        <f t="shared" si="52"/>
        <v>0</v>
      </c>
      <c r="AK205" s="480" t="str">
        <f t="shared" si="53"/>
        <v/>
      </c>
    </row>
    <row r="206" spans="1:37" ht="15.6" x14ac:dyDescent="0.3">
      <c r="A206" s="152">
        <v>2026</v>
      </c>
      <c r="B206" s="178"/>
      <c r="C206" s="182"/>
      <c r="D206" s="183"/>
      <c r="E206" s="179">
        <f t="shared" si="54"/>
        <v>4.7572497542580932</v>
      </c>
      <c r="F206" s="183">
        <f t="shared" si="62"/>
        <v>1.1135083260502641</v>
      </c>
      <c r="G206" s="247">
        <f t="shared" si="55"/>
        <v>0.99464650876194527</v>
      </c>
      <c r="H206" s="246"/>
      <c r="I206" s="417"/>
      <c r="J206" s="417"/>
      <c r="K206" s="182"/>
      <c r="L206" s="178"/>
      <c r="M206" s="182"/>
      <c r="N206" s="178"/>
      <c r="O206" s="495"/>
      <c r="P206" s="259" t="str">
        <f>IF(P$194="Y",IFERROR(E206*($F$8/SUMIF($H$5:$H$16,"Y",$F$5:$F$16))*$F$21*'Emissions Factors'!$B23,""),"")</f>
        <v/>
      </c>
      <c r="Q206" s="259" t="str">
        <f>IF($X$135="Y",IFERROR($E206*(SUM($F$7,$F$5,$F$6)/SUMIF($H$5:$H$16,"Y",$F$5:$F$16))*('Emissions Factors'!$T$143*$F$22)/10^6,""),"")</f>
        <v/>
      </c>
      <c r="R206" s="259">
        <f t="shared" si="60"/>
        <v>11.651863862413961</v>
      </c>
      <c r="S206" s="180"/>
      <c r="T206" s="496"/>
      <c r="U206" s="180">
        <f t="shared" si="61"/>
        <v>11.651863862413961</v>
      </c>
      <c r="V206" s="180">
        <f t="shared" si="56"/>
        <v>0</v>
      </c>
      <c r="X206" s="430"/>
      <c r="Y206" s="478">
        <v>2026</v>
      </c>
      <c r="Z206" s="479">
        <f t="shared" si="57"/>
        <v>11.651863862413961</v>
      </c>
      <c r="AA206" s="479">
        <f t="shared" si="57"/>
        <v>0</v>
      </c>
      <c r="AB206" s="430"/>
      <c r="AC206" s="479"/>
      <c r="AD206" s="479"/>
      <c r="AE206" s="430"/>
      <c r="AF206" s="479">
        <f t="shared" si="58"/>
        <v>11.651863862413961</v>
      </c>
      <c r="AG206" s="479">
        <f t="shared" si="51"/>
        <v>0</v>
      </c>
      <c r="AH206" s="516"/>
      <c r="AJ206" s="480">
        <f t="shared" si="52"/>
        <v>0</v>
      </c>
      <c r="AK206" s="480" t="str">
        <f t="shared" si="53"/>
        <v/>
      </c>
    </row>
    <row r="207" spans="1:37" ht="15.6" x14ac:dyDescent="0.3">
      <c r="A207" s="152">
        <v>2027</v>
      </c>
      <c r="B207" s="178"/>
      <c r="C207" s="182"/>
      <c r="D207" s="183"/>
      <c r="E207" s="179">
        <f>IFERROR(IF($G$19="Y",$F$19,$AD93)*(SUMIF($H$5:$H$16,"Y",$F$5:$F$16)*(AL42-B42)),0)</f>
        <v>5.9984562094092793</v>
      </c>
      <c r="F207" s="183">
        <f t="shared" si="62"/>
        <v>1.2412064551511861</v>
      </c>
      <c r="G207" s="247">
        <f t="shared" si="55"/>
        <v>0.99464650876194516</v>
      </c>
      <c r="H207" s="246"/>
      <c r="I207" s="417"/>
      <c r="J207" s="417"/>
      <c r="K207" s="182"/>
      <c r="L207" s="178"/>
      <c r="M207" s="182"/>
      <c r="N207" s="178"/>
      <c r="O207" s="495"/>
      <c r="P207" s="259" t="str">
        <f>IF(P$194="Y",IFERROR(E207*($F$8/SUMIF($H$5:$H$16,"Y",$F$5:$F$16))*$F$21*'Emissions Factors'!$B24,""),"")</f>
        <v/>
      </c>
      <c r="Q207" s="259" t="str">
        <f>IF($X$135="Y",IFERROR($E207*(SUM($F$7,$F$5,$F$6)/SUMIF($H$5:$H$16,"Y",$F$5:$F$16))*('Emissions Factors'!$T$143*$F$22)/10^6,""),"")</f>
        <v/>
      </c>
      <c r="R207" s="259">
        <f t="shared" si="60"/>
        <v>14.691933101500293</v>
      </c>
      <c r="S207" s="180"/>
      <c r="T207" s="496"/>
      <c r="U207" s="180">
        <f t="shared" si="61"/>
        <v>14.691933101500293</v>
      </c>
      <c r="V207" s="180">
        <f t="shared" si="56"/>
        <v>0</v>
      </c>
      <c r="X207" s="430"/>
      <c r="Y207" s="478">
        <v>2027</v>
      </c>
      <c r="Z207" s="479">
        <f t="shared" si="57"/>
        <v>14.691933101500293</v>
      </c>
      <c r="AA207" s="479">
        <f t="shared" si="57"/>
        <v>0</v>
      </c>
      <c r="AB207" s="430"/>
      <c r="AC207" s="479"/>
      <c r="AD207" s="479"/>
      <c r="AE207" s="430"/>
      <c r="AF207" s="479">
        <f t="shared" si="58"/>
        <v>14.691933101500293</v>
      </c>
      <c r="AG207" s="479">
        <f t="shared" si="51"/>
        <v>0</v>
      </c>
      <c r="AH207" s="516"/>
      <c r="AJ207" s="480">
        <f t="shared" si="52"/>
        <v>0</v>
      </c>
      <c r="AK207" s="480" t="str">
        <f t="shared" si="53"/>
        <v/>
      </c>
    </row>
    <row r="208" spans="1:37" ht="15.6" x14ac:dyDescent="0.3">
      <c r="A208" s="152">
        <v>2028</v>
      </c>
      <c r="B208" s="178"/>
      <c r="C208" s="182"/>
      <c r="D208" s="183"/>
      <c r="E208" s="179">
        <f>IFERROR(IF($G$19="Y",$F$19,$AD94)*(SUMIF($H$5:$H$16,"Y",$F$5:$F$16)*(AL43-B43)),0)</f>
        <v>7.3719833442397782</v>
      </c>
      <c r="F208" s="183">
        <f t="shared" si="62"/>
        <v>1.3735271348304989</v>
      </c>
      <c r="G208" s="247">
        <f t="shared" si="55"/>
        <v>0.99464650876194527</v>
      </c>
      <c r="H208" s="246"/>
      <c r="I208" s="417"/>
      <c r="J208" s="417"/>
      <c r="K208" s="182"/>
      <c r="L208" s="178"/>
      <c r="M208" s="182"/>
      <c r="N208" s="178"/>
      <c r="O208" s="495"/>
      <c r="P208" s="259" t="str">
        <f>IF(P$194="Y",IFERROR(E208*($F$8/SUMIF($H$5:$H$16,"Y",$F$5:$F$16))*$F$21*'Emissions Factors'!$B25,""),"")</f>
        <v/>
      </c>
      <c r="Q208" s="259" t="str">
        <f>IF($X$135="Y",IFERROR($E208*(SUM($F$7,$F$5,$F$6)/SUMIF($H$5:$H$16,"Y",$F$5:$F$16))*('Emissions Factors'!$T$143*$F$22)/10^6,""),"")</f>
        <v/>
      </c>
      <c r="R208" s="259">
        <f t="shared" si="60"/>
        <v>18.05609349103031</v>
      </c>
      <c r="S208" s="180"/>
      <c r="T208" s="496"/>
      <c r="U208" s="180">
        <f t="shared" si="61"/>
        <v>18.05609349103031</v>
      </c>
      <c r="V208" s="180">
        <f t="shared" si="56"/>
        <v>0</v>
      </c>
      <c r="X208" s="430"/>
      <c r="Y208" s="478">
        <v>2028</v>
      </c>
      <c r="Z208" s="479">
        <f t="shared" si="57"/>
        <v>18.05609349103031</v>
      </c>
      <c r="AA208" s="479">
        <f t="shared" si="57"/>
        <v>0</v>
      </c>
      <c r="AB208" s="430"/>
      <c r="AC208" s="479"/>
      <c r="AD208" s="479"/>
      <c r="AE208" s="430"/>
      <c r="AF208" s="479">
        <f t="shared" si="58"/>
        <v>18.05609349103031</v>
      </c>
      <c r="AG208" s="479">
        <f t="shared" si="51"/>
        <v>0</v>
      </c>
      <c r="AH208" s="516"/>
      <c r="AJ208" s="480">
        <f t="shared" si="52"/>
        <v>0</v>
      </c>
      <c r="AK208" s="480" t="str">
        <f t="shared" si="53"/>
        <v/>
      </c>
    </row>
    <row r="209" spans="1:37" ht="15.6" x14ac:dyDescent="0.3">
      <c r="A209" s="152">
        <v>2029</v>
      </c>
      <c r="B209" s="178"/>
      <c r="C209" s="182"/>
      <c r="D209" s="183"/>
      <c r="E209" s="179">
        <f t="shared" si="54"/>
        <v>8.8840139232689506</v>
      </c>
      <c r="F209" s="183">
        <f t="shared" si="62"/>
        <v>1.5120305790291724</v>
      </c>
      <c r="G209" s="247">
        <f t="shared" si="55"/>
        <v>0.99464650876194516</v>
      </c>
      <c r="H209" s="246"/>
      <c r="I209" s="417"/>
      <c r="J209" s="417"/>
      <c r="K209" s="182"/>
      <c r="L209" s="178"/>
      <c r="M209" s="182"/>
      <c r="N209" s="178"/>
      <c r="O209" s="495"/>
      <c r="P209" s="259" t="str">
        <f>IF(P$194="Y",IFERROR(E209*($F$8/SUMIF($H$5:$H$16,"Y",$F$5:$F$16))*$F$21*'Emissions Factors'!$B26,""),"")</f>
        <v/>
      </c>
      <c r="Q209" s="259" t="str">
        <f>IF($X$135="Y",IFERROR($E209*(SUM($F$7,$F$5,$F$6)/SUMIF($H$5:$H$16,"Y",$F$5:$F$16))*('Emissions Factors'!$T$143*$F$22)/10^6,""),"")</f>
        <v/>
      </c>
      <c r="R209" s="259">
        <f t="shared" si="60"/>
        <v>21.759488387816099</v>
      </c>
      <c r="S209" s="180"/>
      <c r="T209" s="496"/>
      <c r="U209" s="180">
        <f t="shared" si="61"/>
        <v>21.759488387816099</v>
      </c>
      <c r="V209" s="180">
        <f t="shared" si="56"/>
        <v>0</v>
      </c>
      <c r="X209" s="430"/>
      <c r="Y209" s="478">
        <v>2029</v>
      </c>
      <c r="Z209" s="479">
        <f t="shared" si="57"/>
        <v>21.759488387816099</v>
      </c>
      <c r="AA209" s="479">
        <f t="shared" si="57"/>
        <v>0</v>
      </c>
      <c r="AB209" s="430"/>
      <c r="AC209" s="479"/>
      <c r="AD209" s="479"/>
      <c r="AE209" s="430"/>
      <c r="AF209" s="479">
        <f t="shared" si="58"/>
        <v>21.759488387816099</v>
      </c>
      <c r="AG209" s="479">
        <f t="shared" si="51"/>
        <v>0</v>
      </c>
      <c r="AH209" s="516"/>
      <c r="AJ209" s="480">
        <f t="shared" si="52"/>
        <v>0</v>
      </c>
      <c r="AK209" s="480" t="str">
        <f t="shared" si="53"/>
        <v/>
      </c>
    </row>
    <row r="210" spans="1:37" ht="15.6" x14ac:dyDescent="0.3">
      <c r="A210" s="152">
        <v>2030</v>
      </c>
      <c r="B210" s="178"/>
      <c r="C210" s="182"/>
      <c r="D210" s="183"/>
      <c r="E210" s="179">
        <f t="shared" si="54"/>
        <v>10.541191113293083</v>
      </c>
      <c r="F210" s="183">
        <f t="shared" si="62"/>
        <v>1.6571771900241323</v>
      </c>
      <c r="G210" s="247">
        <f t="shared" si="55"/>
        <v>0.99464650876194527</v>
      </c>
      <c r="H210" s="246"/>
      <c r="I210" s="417"/>
      <c r="J210" s="417"/>
      <c r="K210" s="182"/>
      <c r="L210" s="178"/>
      <c r="M210" s="182"/>
      <c r="N210" s="178"/>
      <c r="O210" s="495"/>
      <c r="P210" s="259" t="str">
        <f>IF(P$194="Y",IFERROR(E210*($F$8/SUMIF($H$5:$H$16,"Y",$F$5:$F$16))*$F$21*'Emissions Factors'!$B27,""),"")</f>
        <v/>
      </c>
      <c r="Q210" s="259" t="str">
        <f>IF($X$135="Y",IFERROR($E210*(SUM($F$7,$F$5,$F$6)/SUMIF($H$5:$H$16,"Y",$F$5:$F$16))*('Emissions Factors'!$T$143*$F$22)/10^6,""),"")</f>
        <v/>
      </c>
      <c r="R210" s="259">
        <f t="shared" si="60"/>
        <v>25.81838880538945</v>
      </c>
      <c r="S210" s="180"/>
      <c r="T210" s="496"/>
      <c r="U210" s="180">
        <f t="shared" si="61"/>
        <v>25.81838880538945</v>
      </c>
      <c r="V210" s="180">
        <f t="shared" si="56"/>
        <v>0</v>
      </c>
      <c r="X210" s="430"/>
      <c r="Y210" s="478">
        <v>2030</v>
      </c>
      <c r="Z210" s="479">
        <f t="shared" si="57"/>
        <v>25.81838880538945</v>
      </c>
      <c r="AA210" s="479">
        <f t="shared" si="57"/>
        <v>0</v>
      </c>
      <c r="AB210" s="430"/>
      <c r="AC210" s="479"/>
      <c r="AD210" s="479"/>
      <c r="AE210" s="430"/>
      <c r="AF210" s="479">
        <f t="shared" si="58"/>
        <v>25.81838880538945</v>
      </c>
      <c r="AG210" s="479">
        <f t="shared" si="51"/>
        <v>0</v>
      </c>
      <c r="AH210" s="516"/>
      <c r="AJ210" s="480">
        <f t="shared" si="52"/>
        <v>0</v>
      </c>
      <c r="AK210" s="480" t="str">
        <f t="shared" si="53"/>
        <v/>
      </c>
    </row>
    <row r="211" spans="1:37" ht="15.6" x14ac:dyDescent="0.3">
      <c r="A211" s="152">
        <v>2031</v>
      </c>
      <c r="B211" s="178"/>
      <c r="C211" s="182"/>
      <c r="D211" s="183"/>
      <c r="E211" s="179">
        <f t="shared" si="54"/>
        <v>12.348087710304501</v>
      </c>
      <c r="F211" s="183">
        <f t="shared" si="62"/>
        <v>1.8068965970114181</v>
      </c>
      <c r="G211" s="247">
        <f t="shared" si="55"/>
        <v>0.99464650876194527</v>
      </c>
      <c r="H211" s="246"/>
      <c r="I211" s="417"/>
      <c r="J211" s="417"/>
      <c r="K211" s="182"/>
      <c r="L211" s="178"/>
      <c r="M211" s="182"/>
      <c r="N211" s="178"/>
      <c r="O211" s="495"/>
      <c r="P211" s="259" t="str">
        <f>IF(P$194="Y",IFERROR(E211*($F$8/SUMIF($H$5:$H$16,"Y",$F$5:$F$16))*$F$21*'Emissions Factors'!$B28,""),"")</f>
        <v/>
      </c>
      <c r="Q211" s="259" t="str">
        <f>IF($X$135="Y",IFERROR($E211*(SUM($F$7,$F$5,$F$6)/SUMIF($H$5:$H$16,"Y",$F$5:$F$16))*('Emissions Factors'!$T$143*$F$22)/10^6,""),"")</f>
        <v/>
      </c>
      <c r="R211" s="259">
        <f t="shared" si="60"/>
        <v>30.243994827648731</v>
      </c>
      <c r="S211" s="180"/>
      <c r="T211" s="496"/>
      <c r="U211" s="180">
        <f t="shared" si="61"/>
        <v>30.243994827648731</v>
      </c>
      <c r="V211" s="180">
        <f t="shared" si="56"/>
        <v>0</v>
      </c>
      <c r="X211" s="430"/>
      <c r="Y211" s="478">
        <v>2031</v>
      </c>
      <c r="Z211" s="479">
        <f t="shared" si="57"/>
        <v>30.243994827648731</v>
      </c>
      <c r="AA211" s="479">
        <f t="shared" si="57"/>
        <v>0</v>
      </c>
      <c r="AB211" s="430"/>
      <c r="AC211" s="479"/>
      <c r="AD211" s="479"/>
      <c r="AE211" s="430"/>
      <c r="AF211" s="479">
        <f t="shared" si="58"/>
        <v>30.243994827648731</v>
      </c>
      <c r="AG211" s="479">
        <f t="shared" si="51"/>
        <v>0</v>
      </c>
      <c r="AH211" s="516"/>
      <c r="AJ211" s="480">
        <f t="shared" si="52"/>
        <v>0</v>
      </c>
      <c r="AK211" s="480" t="str">
        <f t="shared" si="53"/>
        <v/>
      </c>
    </row>
    <row r="212" spans="1:37" ht="15.6" x14ac:dyDescent="0.3">
      <c r="A212" s="152">
        <v>2032</v>
      </c>
      <c r="B212" s="178"/>
      <c r="C212" s="182"/>
      <c r="D212" s="183"/>
      <c r="E212" s="179">
        <f t="shared" si="54"/>
        <v>14.30152303968271</v>
      </c>
      <c r="F212" s="183">
        <f t="shared" si="62"/>
        <v>1.953435329378209</v>
      </c>
      <c r="G212" s="247">
        <f t="shared" si="55"/>
        <v>0.99464650876194527</v>
      </c>
      <c r="H212" s="246"/>
      <c r="I212" s="417"/>
      <c r="J212" s="417"/>
      <c r="K212" s="182"/>
      <c r="L212" s="178"/>
      <c r="M212" s="182"/>
      <c r="N212" s="178"/>
      <c r="O212" s="495"/>
      <c r="P212" s="259" t="str">
        <f>IF(P$194="Y",IFERROR(E212*($F$8/SUMIF($H$5:$H$16,"Y",$F$5:$F$16))*$F$21*'Emissions Factors'!$B29,""),"")</f>
        <v/>
      </c>
      <c r="Q212" s="259" t="str">
        <f>IF($X$135="Y",IFERROR($E212*(SUM($F$7,$F$5,$F$6)/SUMIF($H$5:$H$16,"Y",$F$5:$F$16))*('Emissions Factors'!$T$143*$F$22)/10^6,""),"")</f>
        <v/>
      </c>
      <c r="R212" s="259">
        <f t="shared" si="60"/>
        <v>35.028516073684159</v>
      </c>
      <c r="S212" s="180"/>
      <c r="T212" s="496"/>
      <c r="U212" s="180">
        <f t="shared" si="61"/>
        <v>35.028516073684159</v>
      </c>
      <c r="V212" s="180">
        <f t="shared" si="56"/>
        <v>0</v>
      </c>
      <c r="X212" s="430"/>
      <c r="Y212" s="478">
        <v>2032</v>
      </c>
      <c r="Z212" s="479">
        <f t="shared" si="57"/>
        <v>35.028516073684159</v>
      </c>
      <c r="AA212" s="479">
        <f t="shared" si="57"/>
        <v>0</v>
      </c>
      <c r="AB212" s="430"/>
      <c r="AC212" s="479"/>
      <c r="AD212" s="479"/>
      <c r="AE212" s="430"/>
      <c r="AF212" s="479">
        <f t="shared" si="58"/>
        <v>35.028516073684159</v>
      </c>
      <c r="AG212" s="479">
        <f t="shared" si="51"/>
        <v>0</v>
      </c>
      <c r="AH212" s="516"/>
      <c r="AJ212" s="480">
        <f t="shared" si="52"/>
        <v>0</v>
      </c>
      <c r="AK212" s="480" t="str">
        <f t="shared" si="53"/>
        <v/>
      </c>
    </row>
    <row r="213" spans="1:37" ht="15.6" x14ac:dyDescent="0.3">
      <c r="A213" s="152">
        <v>2033</v>
      </c>
      <c r="B213" s="178"/>
      <c r="C213" s="182"/>
      <c r="D213" s="183"/>
      <c r="E213" s="179">
        <f t="shared" si="54"/>
        <v>16.385187049685793</v>
      </c>
      <c r="F213" s="183">
        <f t="shared" si="62"/>
        <v>2.0836640100030834</v>
      </c>
      <c r="G213" s="247">
        <f t="shared" si="55"/>
        <v>0.99464650876194527</v>
      </c>
      <c r="H213" s="246"/>
      <c r="I213" s="417"/>
      <c r="J213" s="417"/>
      <c r="K213" s="182"/>
      <c r="L213" s="178"/>
      <c r="M213" s="182"/>
      <c r="N213" s="178"/>
      <c r="O213" s="495"/>
      <c r="P213" s="259" t="str">
        <f>IF(P$194="Y",IFERROR(E213*($F$8/SUMIF($H$5:$H$16,"Y",$F$5:$F$16))*$F$21*'Emissions Factors'!$B30,""),"")</f>
        <v/>
      </c>
      <c r="Q213" s="259" t="str">
        <f>IF($X$135="Y",IFERROR($E213*(SUM($F$7,$F$5,$F$6)/SUMIF($H$5:$H$16,"Y",$F$5:$F$16))*('Emissions Factors'!$T$143*$F$22)/10^6,""),"")</f>
        <v/>
      </c>
      <c r="R213" s="259">
        <f t="shared" si="60"/>
        <v>40.132004566764927</v>
      </c>
      <c r="S213" s="180"/>
      <c r="T213" s="496"/>
      <c r="U213" s="180">
        <f t="shared" si="61"/>
        <v>40.132004566764927</v>
      </c>
      <c r="V213" s="180">
        <f t="shared" si="56"/>
        <v>0</v>
      </c>
      <c r="X213" s="430"/>
      <c r="Y213" s="478">
        <v>2033</v>
      </c>
      <c r="Z213" s="479">
        <f t="shared" si="57"/>
        <v>40.132004566764927</v>
      </c>
      <c r="AA213" s="479">
        <f t="shared" si="57"/>
        <v>0</v>
      </c>
      <c r="AB213" s="430"/>
      <c r="AC213" s="479"/>
      <c r="AD213" s="479"/>
      <c r="AE213" s="430"/>
      <c r="AF213" s="479">
        <f t="shared" si="58"/>
        <v>40.132004566764927</v>
      </c>
      <c r="AG213" s="479">
        <f t="shared" si="51"/>
        <v>0</v>
      </c>
      <c r="AH213" s="516"/>
      <c r="AJ213" s="480">
        <f t="shared" si="52"/>
        <v>0</v>
      </c>
      <c r="AK213" s="480" t="str">
        <f t="shared" si="53"/>
        <v/>
      </c>
    </row>
    <row r="214" spans="1:37" ht="15.6" x14ac:dyDescent="0.3">
      <c r="A214" s="152">
        <v>2034</v>
      </c>
      <c r="B214" s="178"/>
      <c r="C214" s="182"/>
      <c r="D214" s="183"/>
      <c r="E214" s="179">
        <f t="shared" si="54"/>
        <v>18.574748169288259</v>
      </c>
      <c r="F214" s="183">
        <f t="shared" si="62"/>
        <v>2.189561119602466</v>
      </c>
      <c r="G214" s="247">
        <f t="shared" si="55"/>
        <v>0.99464650876194527</v>
      </c>
      <c r="H214" s="246"/>
      <c r="I214" s="417"/>
      <c r="J214" s="417"/>
      <c r="K214" s="182"/>
      <c r="L214" s="178"/>
      <c r="M214" s="182"/>
      <c r="N214" s="178"/>
      <c r="O214" s="495"/>
      <c r="P214" s="259" t="str">
        <f>IF(P$194="Y",IFERROR(E214*($F$8/SUMIF($H$5:$H$16,"Y",$F$5:$F$16))*$F$21*'Emissions Factors'!$B31,""),"")</f>
        <v/>
      </c>
      <c r="Q214" s="259" t="str">
        <f>IF($X$135="Y",IFERROR($E214*(SUM($F$7,$F$5,$F$6)/SUMIF($H$5:$H$16,"Y",$F$5:$F$16))*('Emissions Factors'!$T$143*$F$22)/10^6,""),"")</f>
        <v/>
      </c>
      <c r="R214" s="259">
        <f t="shared" si="60"/>
        <v>45.494865337572065</v>
      </c>
      <c r="S214" s="180"/>
      <c r="T214" s="496"/>
      <c r="U214" s="180">
        <f t="shared" si="61"/>
        <v>45.494865337572065</v>
      </c>
      <c r="V214" s="180">
        <f t="shared" si="56"/>
        <v>0</v>
      </c>
      <c r="X214" s="430"/>
      <c r="Y214" s="478">
        <v>2034</v>
      </c>
      <c r="Z214" s="479">
        <f t="shared" si="57"/>
        <v>45.494865337572065</v>
      </c>
      <c r="AA214" s="479">
        <f t="shared" si="57"/>
        <v>0</v>
      </c>
      <c r="AB214" s="430"/>
      <c r="AC214" s="479"/>
      <c r="AD214" s="479"/>
      <c r="AE214" s="430"/>
      <c r="AF214" s="479">
        <f t="shared" si="58"/>
        <v>45.494865337572065</v>
      </c>
      <c r="AG214" s="479">
        <f t="shared" si="51"/>
        <v>0</v>
      </c>
      <c r="AH214" s="516"/>
      <c r="AJ214" s="480">
        <f t="shared" si="52"/>
        <v>0</v>
      </c>
      <c r="AK214" s="480" t="str">
        <f t="shared" si="53"/>
        <v/>
      </c>
    </row>
    <row r="215" spans="1:37" ht="15.6" x14ac:dyDescent="0.3">
      <c r="A215" s="152">
        <v>2035</v>
      </c>
      <c r="B215" s="178"/>
      <c r="C215" s="182"/>
      <c r="D215" s="183"/>
      <c r="E215" s="179">
        <f t="shared" si="54"/>
        <v>20.85187933313572</v>
      </c>
      <c r="F215" s="183">
        <f t="shared" si="62"/>
        <v>2.2771311638474607</v>
      </c>
      <c r="G215" s="247">
        <f t="shared" si="55"/>
        <v>0.99464650876194527</v>
      </c>
      <c r="H215" s="246"/>
      <c r="I215" s="417"/>
      <c r="J215" s="417"/>
      <c r="K215" s="182"/>
      <c r="L215" s="178"/>
      <c r="M215" s="182"/>
      <c r="N215" s="178"/>
      <c r="O215" s="495"/>
      <c r="P215" s="259" t="str">
        <f>IF(P$194="Y",IFERROR(E215*($F$8/SUMIF($H$5:$H$16,"Y",$F$5:$F$16))*$F$21*'Emissions Factors'!$B32,""),"")</f>
        <v/>
      </c>
      <c r="Q215" s="259" t="str">
        <f>IF($X$135="Y",IFERROR($E215*(SUM($F$7,$F$5,$F$6)/SUMIF($H$5:$H$16,"Y",$F$5:$F$16))*('Emissions Factors'!$T$143*$F$22)/10^6,""),"")</f>
        <v/>
      </c>
      <c r="R215" s="259">
        <f t="shared" si="60"/>
        <v>51.072210166748214</v>
      </c>
      <c r="S215" s="180"/>
      <c r="T215" s="496"/>
      <c r="U215" s="180">
        <f t="shared" si="61"/>
        <v>51.072210166748214</v>
      </c>
      <c r="V215" s="180">
        <f t="shared" si="56"/>
        <v>0</v>
      </c>
      <c r="X215" s="430"/>
      <c r="Y215" s="478">
        <v>2035</v>
      </c>
      <c r="Z215" s="479">
        <f t="shared" si="57"/>
        <v>51.072210166748214</v>
      </c>
      <c r="AA215" s="479">
        <f t="shared" si="57"/>
        <v>0</v>
      </c>
      <c r="AB215" s="430"/>
      <c r="AC215" s="479"/>
      <c r="AD215" s="479"/>
      <c r="AE215" s="430"/>
      <c r="AF215" s="479">
        <f t="shared" si="58"/>
        <v>51.072210166748214</v>
      </c>
      <c r="AG215" s="479">
        <f t="shared" si="51"/>
        <v>0</v>
      </c>
      <c r="AH215" s="516"/>
      <c r="AJ215" s="480">
        <f t="shared" si="52"/>
        <v>0</v>
      </c>
      <c r="AK215" s="480" t="str">
        <f t="shared" si="53"/>
        <v/>
      </c>
    </row>
    <row r="216" spans="1:37" ht="15.6" x14ac:dyDescent="0.3">
      <c r="A216" s="152">
        <v>2036</v>
      </c>
      <c r="B216" s="178"/>
      <c r="C216" s="182"/>
      <c r="D216" s="183"/>
      <c r="E216" s="179">
        <f t="shared" si="54"/>
        <v>23.209286950256342</v>
      </c>
      <c r="F216" s="183">
        <f t="shared" si="62"/>
        <v>2.3574076171206215</v>
      </c>
      <c r="G216" s="247">
        <f t="shared" si="55"/>
        <v>0.99464650876194516</v>
      </c>
      <c r="H216" s="246"/>
      <c r="I216" s="417"/>
      <c r="J216" s="417"/>
      <c r="K216" s="182"/>
      <c r="L216" s="178"/>
      <c r="M216" s="182"/>
      <c r="N216" s="178"/>
      <c r="O216" s="495"/>
      <c r="P216" s="259" t="str">
        <f>IF(P$194="Y",IFERROR(E216*($F$8/SUMIF($H$5:$H$16,"Y",$F$5:$F$16))*$F$21*'Emissions Factors'!$B33,""),"")</f>
        <v/>
      </c>
      <c r="Q216" s="259" t="str">
        <f>IF($X$135="Y",IFERROR($E216*(SUM($F$7,$F$5,$F$6)/SUMIF($H$5:$H$16,"Y",$F$5:$F$16))*('Emissions Factors'!$T$143*$F$22)/10^6,""),"")</f>
        <v/>
      </c>
      <c r="R216" s="259">
        <f t="shared" si="60"/>
        <v>56.846174966120181</v>
      </c>
      <c r="S216" s="180"/>
      <c r="T216" s="496"/>
      <c r="U216" s="180">
        <f t="shared" si="61"/>
        <v>56.846174966120181</v>
      </c>
      <c r="V216" s="180">
        <f t="shared" si="56"/>
        <v>0</v>
      </c>
      <c r="X216" s="430"/>
      <c r="Y216" s="478">
        <v>2036</v>
      </c>
      <c r="Z216" s="479">
        <f t="shared" si="57"/>
        <v>56.846174966120181</v>
      </c>
      <c r="AA216" s="479">
        <f t="shared" si="57"/>
        <v>0</v>
      </c>
      <c r="AB216" s="430"/>
      <c r="AC216" s="479"/>
      <c r="AD216" s="479"/>
      <c r="AE216" s="430"/>
      <c r="AF216" s="479">
        <f t="shared" si="58"/>
        <v>56.846174966120181</v>
      </c>
      <c r="AG216" s="479">
        <f t="shared" si="51"/>
        <v>0</v>
      </c>
      <c r="AH216" s="516"/>
      <c r="AJ216" s="480">
        <f t="shared" si="52"/>
        <v>0</v>
      </c>
      <c r="AK216" s="480" t="str">
        <f t="shared" si="53"/>
        <v/>
      </c>
    </row>
    <row r="217" spans="1:37" ht="15.6" x14ac:dyDescent="0.3">
      <c r="A217" s="152">
        <v>2037</v>
      </c>
      <c r="B217" s="178"/>
      <c r="C217" s="182"/>
      <c r="D217" s="183"/>
      <c r="E217" s="179">
        <f t="shared" si="54"/>
        <v>25.6530824097294</v>
      </c>
      <c r="F217" s="183">
        <f t="shared" si="62"/>
        <v>2.4437954594730584</v>
      </c>
      <c r="G217" s="247">
        <f t="shared" si="55"/>
        <v>0.99464650876194527</v>
      </c>
      <c r="H217" s="246"/>
      <c r="I217" s="417"/>
      <c r="J217" s="417"/>
      <c r="K217" s="182"/>
      <c r="L217" s="178"/>
      <c r="M217" s="182"/>
      <c r="N217" s="178"/>
      <c r="O217" s="495"/>
      <c r="P217" s="259" t="str">
        <f>IF(P$194="Y",IFERROR(E217*($F$8/SUMIF($H$5:$H$16,"Y",$F$5:$F$16))*$F$21*'Emissions Factors'!$B34,""),"")</f>
        <v/>
      </c>
      <c r="Q217" s="259" t="str">
        <f>IF($X$135="Y",IFERROR($E217*(SUM($F$7,$F$5,$F$6)/SUMIF($H$5:$H$16,"Y",$F$5:$F$16))*('Emissions Factors'!$T$143*$F$22)/10^6,""),"")</f>
        <v/>
      </c>
      <c r="R217" s="259">
        <f t="shared" si="60"/>
        <v>62.831728273654313</v>
      </c>
      <c r="S217" s="180"/>
      <c r="T217" s="496"/>
      <c r="U217" s="180">
        <f t="shared" si="61"/>
        <v>62.831728273654313</v>
      </c>
      <c r="V217" s="180">
        <f t="shared" si="56"/>
        <v>0</v>
      </c>
      <c r="X217" s="430"/>
      <c r="Y217" s="478">
        <v>2037</v>
      </c>
      <c r="Z217" s="479">
        <f t="shared" si="57"/>
        <v>62.831728273654313</v>
      </c>
      <c r="AA217" s="479">
        <f t="shared" si="57"/>
        <v>0</v>
      </c>
      <c r="AB217" s="430"/>
      <c r="AC217" s="479"/>
      <c r="AD217" s="479"/>
      <c r="AE217" s="430"/>
      <c r="AF217" s="479">
        <f t="shared" si="58"/>
        <v>62.831728273654313</v>
      </c>
      <c r="AG217" s="479">
        <f t="shared" si="51"/>
        <v>0</v>
      </c>
      <c r="AH217" s="516"/>
      <c r="AJ217" s="480">
        <f t="shared" si="52"/>
        <v>0</v>
      </c>
      <c r="AK217" s="480" t="str">
        <f t="shared" si="53"/>
        <v/>
      </c>
    </row>
    <row r="218" spans="1:37" ht="15.6" x14ac:dyDescent="0.3">
      <c r="A218" s="152">
        <v>2038</v>
      </c>
      <c r="B218" s="178"/>
      <c r="C218" s="182"/>
      <c r="D218" s="183"/>
      <c r="E218" s="179">
        <f t="shared" si="54"/>
        <v>28.195057201791073</v>
      </c>
      <c r="F218" s="183">
        <f t="shared" si="62"/>
        <v>2.5419747920616729</v>
      </c>
      <c r="G218" s="247">
        <f t="shared" si="55"/>
        <v>0.99464650876194527</v>
      </c>
      <c r="H218" s="246"/>
      <c r="I218" s="417"/>
      <c r="J218" s="417"/>
      <c r="K218" s="182"/>
      <c r="L218" s="178"/>
      <c r="M218" s="182"/>
      <c r="N218" s="178"/>
      <c r="O218" s="495"/>
      <c r="P218" s="259" t="str">
        <f>IF(P$194="Y",IFERROR(E218*($F$8/SUMIF($H$5:$H$16,"Y",$F$5:$F$16))*$F$21*'Emissions Factors'!$B35,""),"")</f>
        <v/>
      </c>
      <c r="Q218" s="259" t="str">
        <f>IF($X$135="Y",IFERROR($E218*(SUM($F$7,$F$5,$F$6)/SUMIF($H$5:$H$16,"Y",$F$5:$F$16))*('Emissions Factors'!$T$143*$F$22)/10^6,""),"")</f>
        <v/>
      </c>
      <c r="R218" s="259">
        <f t="shared" si="60"/>
        <v>69.057750817936252</v>
      </c>
      <c r="S218" s="180"/>
      <c r="T218" s="496"/>
      <c r="U218" s="180">
        <f t="shared" si="61"/>
        <v>69.057750817936252</v>
      </c>
      <c r="V218" s="180">
        <f t="shared" si="56"/>
        <v>0</v>
      </c>
      <c r="X218" s="430"/>
      <c r="Y218" s="478">
        <v>2038</v>
      </c>
      <c r="Z218" s="479">
        <f t="shared" si="57"/>
        <v>69.057750817936252</v>
      </c>
      <c r="AA218" s="479">
        <f t="shared" si="57"/>
        <v>0</v>
      </c>
      <c r="AB218" s="430"/>
      <c r="AC218" s="479"/>
      <c r="AD218" s="479"/>
      <c r="AE218" s="430"/>
      <c r="AF218" s="479">
        <f t="shared" si="58"/>
        <v>69.057750817936252</v>
      </c>
      <c r="AG218" s="479">
        <f t="shared" si="51"/>
        <v>0</v>
      </c>
      <c r="AH218" s="516"/>
      <c r="AJ218" s="480">
        <f t="shared" si="52"/>
        <v>0</v>
      </c>
      <c r="AK218" s="480" t="str">
        <f t="shared" si="53"/>
        <v/>
      </c>
    </row>
    <row r="219" spans="1:37" ht="15.6" x14ac:dyDescent="0.3">
      <c r="A219" s="152">
        <v>2039</v>
      </c>
      <c r="B219" s="178"/>
      <c r="C219" s="182"/>
      <c r="D219" s="183"/>
      <c r="E219" s="179">
        <f t="shared" si="54"/>
        <v>30.855070116764786</v>
      </c>
      <c r="F219" s="183">
        <f t="shared" si="62"/>
        <v>2.6600129149737128</v>
      </c>
      <c r="G219" s="247">
        <f t="shared" si="55"/>
        <v>0.99464650876194527</v>
      </c>
      <c r="H219" s="246"/>
      <c r="I219" s="417"/>
      <c r="J219" s="417"/>
      <c r="K219" s="182"/>
      <c r="L219" s="178"/>
      <c r="M219" s="182"/>
      <c r="N219" s="178"/>
      <c r="O219" s="495"/>
      <c r="P219" s="259" t="str">
        <f>IF(P$194="Y",IFERROR(E219*($F$8/SUMIF($H$5:$H$16,"Y",$F$5:$F$16))*$F$21*'Emissions Factors'!$B36,""),"")</f>
        <v/>
      </c>
      <c r="Q219" s="259" t="str">
        <f>IF($X$135="Y",IFERROR($E219*(SUM($F$7,$F$5,$F$6)/SUMIF($H$5:$H$16,"Y",$F$5:$F$16))*('Emissions Factors'!$T$143*$F$22)/10^6,""),"")</f>
        <v/>
      </c>
      <c r="R219" s="259">
        <f t="shared" si="60"/>
        <v>75.572882450408287</v>
      </c>
      <c r="S219" s="180"/>
      <c r="T219" s="496"/>
      <c r="U219" s="180">
        <f t="shared" si="61"/>
        <v>75.572882450408287</v>
      </c>
      <c r="V219" s="180">
        <f t="shared" si="56"/>
        <v>0</v>
      </c>
      <c r="X219" s="430"/>
      <c r="Y219" s="478">
        <v>2039</v>
      </c>
      <c r="Z219" s="479">
        <f t="shared" si="57"/>
        <v>75.572882450408287</v>
      </c>
      <c r="AA219" s="479">
        <f t="shared" si="57"/>
        <v>0</v>
      </c>
      <c r="AB219" s="430"/>
      <c r="AC219" s="479"/>
      <c r="AD219" s="479"/>
      <c r="AE219" s="430"/>
      <c r="AF219" s="479">
        <f t="shared" si="58"/>
        <v>75.572882450408287</v>
      </c>
      <c r="AG219" s="479">
        <f t="shared" si="51"/>
        <v>0</v>
      </c>
      <c r="AH219" s="516"/>
      <c r="AJ219" s="480">
        <f t="shared" si="52"/>
        <v>0</v>
      </c>
      <c r="AK219" s="480" t="str">
        <f t="shared" si="53"/>
        <v/>
      </c>
    </row>
    <row r="220" spans="1:37" ht="15.6" x14ac:dyDescent="0.3">
      <c r="A220" s="152">
        <v>2040</v>
      </c>
      <c r="B220" s="178"/>
      <c r="C220" s="182"/>
      <c r="D220" s="183"/>
      <c r="E220" s="179">
        <f t="shared" si="54"/>
        <v>33.651234090601115</v>
      </c>
      <c r="F220" s="183">
        <f t="shared" si="62"/>
        <v>2.7961639738363289</v>
      </c>
      <c r="G220" s="247">
        <f t="shared" si="55"/>
        <v>0.99464650876194538</v>
      </c>
      <c r="H220" s="246"/>
      <c r="I220" s="417"/>
      <c r="J220" s="417"/>
      <c r="K220" s="182"/>
      <c r="L220" s="178"/>
      <c r="M220" s="182"/>
      <c r="N220" s="178"/>
      <c r="O220" s="495"/>
      <c r="P220" s="259" t="str">
        <f>IF(P$194="Y",IFERROR(E220*($F$8/SUMIF($H$5:$H$16,"Y",$F$5:$F$16))*$F$21*'Emissions Factors'!$B37,""),"")</f>
        <v/>
      </c>
      <c r="Q220" s="259" t="str">
        <f>IF($X$135="Y",IFERROR($E220*(SUM($F$7,$F$5,$F$6)/SUMIF($H$5:$H$16,"Y",$F$5:$F$16))*('Emissions Factors'!$T$143*$F$22)/10^6,""),"")</f>
        <v/>
      </c>
      <c r="R220" s="259">
        <f t="shared" si="60"/>
        <v>82.421486926337963</v>
      </c>
      <c r="S220" s="180"/>
      <c r="T220" s="496"/>
      <c r="U220" s="180">
        <f t="shared" si="61"/>
        <v>82.421486926337963</v>
      </c>
      <c r="V220" s="180">
        <f t="shared" si="56"/>
        <v>0</v>
      </c>
      <c r="X220" s="430"/>
      <c r="Y220" s="478">
        <v>2040</v>
      </c>
      <c r="Z220" s="479">
        <f t="shared" si="57"/>
        <v>82.421486926337963</v>
      </c>
      <c r="AA220" s="479">
        <f t="shared" si="57"/>
        <v>0</v>
      </c>
      <c r="AB220" s="430"/>
      <c r="AC220" s="479"/>
      <c r="AD220" s="479"/>
      <c r="AE220" s="430"/>
      <c r="AF220" s="479">
        <f t="shared" si="58"/>
        <v>82.421486926337963</v>
      </c>
      <c r="AG220" s="479">
        <f t="shared" si="51"/>
        <v>0</v>
      </c>
      <c r="AH220" s="516"/>
      <c r="AJ220" s="480">
        <f t="shared" si="52"/>
        <v>0</v>
      </c>
      <c r="AK220" s="480" t="str">
        <f t="shared" si="53"/>
        <v/>
      </c>
    </row>
    <row r="221" spans="1:37" ht="15.6" x14ac:dyDescent="0.3">
      <c r="A221" s="152">
        <v>2041</v>
      </c>
      <c r="B221" s="178"/>
      <c r="C221" s="182"/>
      <c r="D221" s="183"/>
      <c r="E221" s="179">
        <f t="shared" si="54"/>
        <v>36.59098262106837</v>
      </c>
      <c r="F221" s="183">
        <f t="shared" si="62"/>
        <v>2.9397485304672557</v>
      </c>
      <c r="G221" s="247">
        <f t="shared" si="55"/>
        <v>0.99464650876194538</v>
      </c>
      <c r="H221" s="246"/>
      <c r="I221" s="417"/>
      <c r="J221" s="417"/>
      <c r="K221" s="182"/>
      <c r="L221" s="178"/>
      <c r="M221" s="182"/>
      <c r="N221" s="178"/>
      <c r="O221" s="495"/>
      <c r="P221" s="259" t="str">
        <f>IF(P$194="Y",IFERROR(E221*($F$8/SUMIF($H$5:$H$16,"Y",$F$5:$F$16))*$F$21*'Emissions Factors'!$B38,""),"")</f>
        <v/>
      </c>
      <c r="Q221" s="259" t="str">
        <f>IF($X$135="Y",IFERROR($E221*(SUM($F$7,$F$5,$F$6)/SUMIF($H$5:$H$16,"Y",$F$5:$F$16))*('Emissions Factors'!$T$143*$F$22)/10^6,""),"")</f>
        <v/>
      </c>
      <c r="R221" s="259">
        <f t="shared" si="60"/>
        <v>89.621771005616424</v>
      </c>
      <c r="S221" s="180"/>
      <c r="T221" s="496"/>
      <c r="U221" s="180">
        <f t="shared" si="61"/>
        <v>89.621771005616424</v>
      </c>
      <c r="V221" s="180">
        <f t="shared" si="56"/>
        <v>0</v>
      </c>
      <c r="X221" s="430"/>
      <c r="Y221" s="478">
        <v>2041</v>
      </c>
      <c r="Z221" s="479">
        <f t="shared" si="57"/>
        <v>89.621771005616424</v>
      </c>
      <c r="AA221" s="479">
        <f t="shared" si="57"/>
        <v>0</v>
      </c>
      <c r="AB221" s="430"/>
      <c r="AC221" s="479"/>
      <c r="AD221" s="479"/>
      <c r="AE221" s="430"/>
      <c r="AF221" s="479">
        <f t="shared" si="58"/>
        <v>89.621771005616424</v>
      </c>
      <c r="AG221" s="479">
        <f t="shared" si="51"/>
        <v>0</v>
      </c>
      <c r="AH221" s="516"/>
      <c r="AJ221" s="480">
        <f t="shared" si="52"/>
        <v>0</v>
      </c>
      <c r="AK221" s="480" t="str">
        <f t="shared" si="53"/>
        <v/>
      </c>
    </row>
    <row r="222" spans="1:37" ht="15.6" x14ac:dyDescent="0.3">
      <c r="A222" s="152">
        <v>2042</v>
      </c>
      <c r="B222" s="178"/>
      <c r="C222" s="182"/>
      <c r="D222" s="183"/>
      <c r="E222" s="179">
        <f t="shared" si="54"/>
        <v>39.678941111257274</v>
      </c>
      <c r="F222" s="183">
        <f t="shared" si="62"/>
        <v>3.0879584901889032</v>
      </c>
      <c r="G222" s="247">
        <f t="shared" si="55"/>
        <v>0.99464650876194538</v>
      </c>
      <c r="H222" s="246"/>
      <c r="I222" s="417"/>
      <c r="J222" s="417"/>
      <c r="K222" s="182"/>
      <c r="L222" s="178"/>
      <c r="M222" s="182"/>
      <c r="N222" s="178"/>
      <c r="O222" s="495"/>
      <c r="P222" s="259" t="str">
        <f>IF(P$194="Y",IFERROR(E222*($F$8/SUMIF($H$5:$H$16,"Y",$F$5:$F$16))*$F$21*'Emissions Factors'!$B39,""),"")</f>
        <v/>
      </c>
      <c r="Q222" s="259" t="str">
        <f>IF($X$135="Y",IFERROR($E222*(SUM($F$7,$F$5,$F$6)/SUMIF($H$5:$H$16,"Y",$F$5:$F$16))*('Emissions Factors'!$T$143*$F$22)/10^6,""),"")</f>
        <v/>
      </c>
      <c r="R222" s="259">
        <f t="shared" si="60"/>
        <v>97.185063621956616</v>
      </c>
      <c r="S222" s="180"/>
      <c r="T222" s="496"/>
      <c r="U222" s="180">
        <f t="shared" si="61"/>
        <v>97.185063621956616</v>
      </c>
      <c r="V222" s="180">
        <f t="shared" si="56"/>
        <v>0</v>
      </c>
      <c r="X222" s="430"/>
      <c r="Y222" s="478">
        <v>2042</v>
      </c>
      <c r="Z222" s="479">
        <f t="shared" si="57"/>
        <v>97.185063621956616</v>
      </c>
      <c r="AA222" s="479">
        <f t="shared" si="57"/>
        <v>0</v>
      </c>
      <c r="AB222" s="430"/>
      <c r="AC222" s="479"/>
      <c r="AD222" s="479"/>
      <c r="AE222" s="430"/>
      <c r="AF222" s="479">
        <f t="shared" si="58"/>
        <v>97.185063621956616</v>
      </c>
      <c r="AG222" s="479">
        <f t="shared" si="51"/>
        <v>0</v>
      </c>
      <c r="AH222" s="516"/>
      <c r="AJ222" s="480">
        <f t="shared" si="52"/>
        <v>0</v>
      </c>
      <c r="AK222" s="480" t="str">
        <f t="shared" si="53"/>
        <v/>
      </c>
    </row>
    <row r="223" spans="1:37" ht="15.6" x14ac:dyDescent="0.3">
      <c r="A223" s="152">
        <v>2043</v>
      </c>
      <c r="B223" s="178"/>
      <c r="C223" s="182"/>
      <c r="D223" s="183"/>
      <c r="E223" s="179">
        <f t="shared" si="54"/>
        <v>42.929392252815802</v>
      </c>
      <c r="F223" s="183">
        <f t="shared" si="62"/>
        <v>3.2504511415585284</v>
      </c>
      <c r="G223" s="247">
        <f t="shared" si="55"/>
        <v>0.99464650876194527</v>
      </c>
      <c r="H223" s="246"/>
      <c r="I223" s="417"/>
      <c r="J223" s="417"/>
      <c r="K223" s="182"/>
      <c r="L223" s="178"/>
      <c r="M223" s="182"/>
      <c r="N223" s="178"/>
      <c r="O223" s="495"/>
      <c r="P223" s="259" t="str">
        <f>IF(P$194="Y",IFERROR(E223*($F$8/SUMIF($H$5:$H$16,"Y",$F$5:$F$16))*$F$21*'Emissions Factors'!$B40,""),"")</f>
        <v/>
      </c>
      <c r="Q223" s="259" t="str">
        <f>IF($X$135="Y",IFERROR($E223*(SUM($F$7,$F$5,$F$6)/SUMIF($H$5:$H$16,"Y",$F$5:$F$16))*('Emissions Factors'!$T$143*$F$22)/10^6,""),"")</f>
        <v/>
      </c>
      <c r="R223" s="259">
        <f t="shared" si="60"/>
        <v>105.14634716797354</v>
      </c>
      <c r="S223" s="180"/>
      <c r="T223" s="496"/>
      <c r="U223" s="180">
        <f t="shared" si="61"/>
        <v>105.14634716797354</v>
      </c>
      <c r="V223" s="180">
        <f t="shared" si="56"/>
        <v>0</v>
      </c>
      <c r="X223" s="430"/>
      <c r="Y223" s="478">
        <v>2043</v>
      </c>
      <c r="Z223" s="479">
        <f t="shared" si="57"/>
        <v>105.14634716797354</v>
      </c>
      <c r="AA223" s="479">
        <f t="shared" si="57"/>
        <v>0</v>
      </c>
      <c r="AB223" s="430"/>
      <c r="AC223" s="479"/>
      <c r="AD223" s="479"/>
      <c r="AE223" s="430"/>
      <c r="AF223" s="479">
        <f t="shared" si="58"/>
        <v>105.14634716797354</v>
      </c>
      <c r="AG223" s="479">
        <f t="shared" si="51"/>
        <v>0</v>
      </c>
      <c r="AH223" s="516"/>
      <c r="AJ223" s="480">
        <f t="shared" si="52"/>
        <v>0</v>
      </c>
      <c r="AK223" s="480" t="str">
        <f t="shared" si="53"/>
        <v/>
      </c>
    </row>
    <row r="224" spans="1:37" ht="15.6" x14ac:dyDescent="0.3">
      <c r="A224" s="152">
        <v>2044</v>
      </c>
      <c r="B224" s="178"/>
      <c r="C224" s="182"/>
      <c r="D224" s="183"/>
      <c r="E224" s="179">
        <f t="shared" si="54"/>
        <v>46.358880427293457</v>
      </c>
      <c r="F224" s="183">
        <f t="shared" si="62"/>
        <v>3.4294881744776546</v>
      </c>
      <c r="G224" s="247">
        <f t="shared" si="55"/>
        <v>0.99464650876194527</v>
      </c>
      <c r="H224" s="246"/>
      <c r="I224" s="417"/>
      <c r="J224" s="417"/>
      <c r="K224" s="182"/>
      <c r="L224" s="178"/>
      <c r="M224" s="182"/>
      <c r="N224" s="178"/>
      <c r="O224" s="495"/>
      <c r="P224" s="259" t="str">
        <f>IF(P$194="Y",IFERROR(E224*($F$8/SUMIF($H$5:$H$16,"Y",$F$5:$F$16))*$F$21*'Emissions Factors'!$B41,""),"")</f>
        <v/>
      </c>
      <c r="Q224" s="259" t="str">
        <f>IF($X$135="Y",IFERROR($E224*(SUM($F$7,$F$5,$F$6)/SUMIF($H$5:$H$16,"Y",$F$5:$F$16))*('Emissions Factors'!$T$143*$F$22)/10^6,""),"")</f>
        <v/>
      </c>
      <c r="R224" s="259">
        <f t="shared" si="60"/>
        <v>113.54614356104815</v>
      </c>
      <c r="S224" s="180"/>
      <c r="T224" s="496"/>
      <c r="U224" s="180">
        <f t="shared" si="61"/>
        <v>113.54614356104815</v>
      </c>
      <c r="V224" s="180">
        <f t="shared" si="56"/>
        <v>0</v>
      </c>
      <c r="X224" s="430"/>
      <c r="Y224" s="478">
        <v>2044</v>
      </c>
      <c r="Z224" s="479">
        <f t="shared" si="57"/>
        <v>113.54614356104815</v>
      </c>
      <c r="AA224" s="479">
        <f t="shared" si="57"/>
        <v>0</v>
      </c>
      <c r="AB224" s="430"/>
      <c r="AC224" s="479"/>
      <c r="AD224" s="479"/>
      <c r="AE224" s="430"/>
      <c r="AF224" s="479">
        <f t="shared" si="58"/>
        <v>113.54614356104815</v>
      </c>
      <c r="AG224" s="479">
        <f t="shared" si="51"/>
        <v>0</v>
      </c>
      <c r="AH224" s="516"/>
      <c r="AJ224" s="480">
        <f t="shared" si="52"/>
        <v>0</v>
      </c>
      <c r="AK224" s="480" t="str">
        <f t="shared" si="53"/>
        <v/>
      </c>
    </row>
    <row r="225" spans="1:37" ht="15.6" x14ac:dyDescent="0.3">
      <c r="A225" s="152">
        <v>2045</v>
      </c>
      <c r="B225" s="178"/>
      <c r="C225" s="182"/>
      <c r="D225" s="183"/>
      <c r="E225" s="179">
        <f t="shared" si="54"/>
        <v>49.983392020659799</v>
      </c>
      <c r="F225" s="183">
        <f t="shared" si="62"/>
        <v>3.6245115933663428</v>
      </c>
      <c r="G225" s="247">
        <f t="shared" si="55"/>
        <v>0.99464650876194527</v>
      </c>
      <c r="H225" s="246"/>
      <c r="I225" s="417"/>
      <c r="J225" s="417"/>
      <c r="K225" s="182"/>
      <c r="L225" s="178"/>
      <c r="M225" s="182"/>
      <c r="N225" s="178"/>
      <c r="O225" s="495"/>
      <c r="P225" s="259" t="str">
        <f>IF(P$194="Y",IFERROR(E225*($F$8/SUMIF($H$5:$H$16,"Y",$F$5:$F$16))*$F$21*'Emissions Factors'!$B42,""),"")</f>
        <v/>
      </c>
      <c r="Q225" s="259" t="str">
        <f>IF($X$135="Y",IFERROR($E225*(SUM($F$7,$F$5,$F$6)/SUMIF($H$5:$H$16,"Y",$F$5:$F$16))*('Emissions Factors'!$T$143*$F$22)/10^6,""),"")</f>
        <v/>
      </c>
      <c r="R225" s="259">
        <f t="shared" si="60"/>
        <v>122.42360802795882</v>
      </c>
      <c r="S225" s="180"/>
      <c r="T225" s="496"/>
      <c r="U225" s="180">
        <f t="shared" si="61"/>
        <v>122.42360802795882</v>
      </c>
      <c r="V225" s="180">
        <f t="shared" si="56"/>
        <v>0</v>
      </c>
      <c r="X225" s="430"/>
      <c r="Y225" s="478">
        <v>2045</v>
      </c>
      <c r="Z225" s="479">
        <f t="shared" si="57"/>
        <v>122.42360802795882</v>
      </c>
      <c r="AA225" s="479">
        <f t="shared" si="57"/>
        <v>0</v>
      </c>
      <c r="AB225" s="430"/>
      <c r="AC225" s="479"/>
      <c r="AD225" s="479"/>
      <c r="AE225" s="430"/>
      <c r="AF225" s="479">
        <f t="shared" si="58"/>
        <v>122.42360802795882</v>
      </c>
      <c r="AG225" s="479">
        <f t="shared" si="51"/>
        <v>0</v>
      </c>
      <c r="AH225" s="516"/>
      <c r="AJ225" s="480">
        <f t="shared" si="52"/>
        <v>0</v>
      </c>
      <c r="AK225" s="480" t="str">
        <f t="shared" si="53"/>
        <v/>
      </c>
    </row>
    <row r="226" spans="1:37" ht="15.6" x14ac:dyDescent="0.3">
      <c r="A226" s="152">
        <v>2046</v>
      </c>
      <c r="B226" s="178"/>
      <c r="C226" s="182"/>
      <c r="D226" s="183"/>
      <c r="E226" s="179">
        <f t="shared" si="54"/>
        <v>53.815202363065517</v>
      </c>
      <c r="F226" s="183">
        <f t="shared" si="62"/>
        <v>3.8318103424057171</v>
      </c>
      <c r="G226" s="247">
        <f t="shared" si="55"/>
        <v>0.99464650876194538</v>
      </c>
      <c r="H226" s="246"/>
      <c r="I226" s="417"/>
      <c r="J226" s="417"/>
      <c r="K226" s="182"/>
      <c r="L226" s="178"/>
      <c r="M226" s="182"/>
      <c r="N226" s="178"/>
      <c r="O226" s="495"/>
      <c r="P226" s="259" t="str">
        <f>IF(P$194="Y",IFERROR(E226*($F$8/SUMIF($H$5:$H$16,"Y",$F$5:$F$16))*$F$21*'Emissions Factors'!$B43,""),"")</f>
        <v/>
      </c>
      <c r="Q226" s="259" t="str">
        <f>IF($X$135="Y",IFERROR($E226*(SUM($F$7,$F$5,$F$6)/SUMIF($H$5:$H$16,"Y",$F$5:$F$16))*('Emissions Factors'!$T$143*$F$22)/10^6,""),"")</f>
        <v/>
      </c>
      <c r="R226" s="259">
        <f t="shared" si="60"/>
        <v>131.80880635948182</v>
      </c>
      <c r="S226" s="180"/>
      <c r="T226" s="496"/>
      <c r="U226" s="180">
        <f t="shared" si="61"/>
        <v>131.80880635948182</v>
      </c>
      <c r="V226" s="180">
        <f t="shared" si="56"/>
        <v>0</v>
      </c>
      <c r="X226" s="430"/>
      <c r="Y226" s="478">
        <v>2046</v>
      </c>
      <c r="Z226" s="479">
        <f t="shared" si="57"/>
        <v>131.80880635948182</v>
      </c>
      <c r="AA226" s="479">
        <f t="shared" si="57"/>
        <v>0</v>
      </c>
      <c r="AB226" s="430"/>
      <c r="AC226" s="479"/>
      <c r="AD226" s="479"/>
      <c r="AE226" s="430"/>
      <c r="AF226" s="479">
        <f t="shared" si="58"/>
        <v>131.80880635948182</v>
      </c>
      <c r="AG226" s="479">
        <f t="shared" si="51"/>
        <v>0</v>
      </c>
      <c r="AH226" s="516"/>
      <c r="AJ226" s="480">
        <f t="shared" si="52"/>
        <v>0</v>
      </c>
      <c r="AK226" s="480" t="str">
        <f t="shared" si="53"/>
        <v/>
      </c>
    </row>
    <row r="227" spans="1:37" ht="15.6" x14ac:dyDescent="0.3">
      <c r="A227" s="152">
        <v>2047</v>
      </c>
      <c r="B227" s="178"/>
      <c r="C227" s="182"/>
      <c r="D227" s="183"/>
      <c r="E227" s="179">
        <f t="shared" si="54"/>
        <v>57.865991966093148</v>
      </c>
      <c r="F227" s="183">
        <f t="shared" si="62"/>
        <v>4.0507896030276314</v>
      </c>
      <c r="G227" s="247">
        <f t="shared" si="55"/>
        <v>0.99464650876194527</v>
      </c>
      <c r="H227" s="246"/>
      <c r="I227" s="417"/>
      <c r="J227" s="417"/>
      <c r="K227" s="182"/>
      <c r="L227" s="178"/>
      <c r="M227" s="182"/>
      <c r="N227" s="178"/>
      <c r="O227" s="495"/>
      <c r="P227" s="259" t="str">
        <f>IF(P$194="Y",IFERROR(E227*($F$8/SUMIF($H$5:$H$16,"Y",$F$5:$F$16))*$F$21*'Emissions Factors'!$B44,""),"")</f>
        <v/>
      </c>
      <c r="Q227" s="259" t="str">
        <f>IF($X$135="Y",IFERROR($E227*(SUM($F$7,$F$5,$F$6)/SUMIF($H$5:$H$16,"Y",$F$5:$F$16))*('Emissions Factors'!$T$143*$F$22)/10^6,""),"")</f>
        <v/>
      </c>
      <c r="R227" s="259">
        <f t="shared" si="60"/>
        <v>141.73034746577184</v>
      </c>
      <c r="S227" s="180"/>
      <c r="T227" s="496"/>
      <c r="U227" s="180">
        <f t="shared" si="61"/>
        <v>141.73034746577184</v>
      </c>
      <c r="V227" s="180">
        <f t="shared" si="56"/>
        <v>0</v>
      </c>
      <c r="X227" s="430"/>
      <c r="Y227" s="478">
        <v>2047</v>
      </c>
      <c r="Z227" s="479">
        <f t="shared" si="57"/>
        <v>141.73034746577184</v>
      </c>
      <c r="AA227" s="479">
        <f t="shared" si="57"/>
        <v>0</v>
      </c>
      <c r="AB227" s="430"/>
      <c r="AC227" s="479"/>
      <c r="AD227" s="479"/>
      <c r="AE227" s="430"/>
      <c r="AF227" s="479">
        <f t="shared" si="58"/>
        <v>141.73034746577184</v>
      </c>
      <c r="AG227" s="479">
        <f t="shared" si="51"/>
        <v>0</v>
      </c>
      <c r="AH227" s="516"/>
      <c r="AJ227" s="480">
        <f t="shared" si="52"/>
        <v>0</v>
      </c>
      <c r="AK227" s="480" t="str">
        <f t="shared" si="53"/>
        <v/>
      </c>
    </row>
    <row r="228" spans="1:37" ht="15.6" x14ac:dyDescent="0.3">
      <c r="A228" s="152">
        <v>2048</v>
      </c>
      <c r="B228" s="178"/>
      <c r="C228" s="182"/>
      <c r="D228" s="183"/>
      <c r="E228" s="179">
        <f t="shared" si="54"/>
        <v>62.150992984869852</v>
      </c>
      <c r="F228" s="183">
        <f t="shared" si="62"/>
        <v>4.285001018776704</v>
      </c>
      <c r="G228" s="247">
        <f t="shared" si="55"/>
        <v>0.99464650876194516</v>
      </c>
      <c r="H228" s="246"/>
      <c r="I228" s="417"/>
      <c r="J228" s="417"/>
      <c r="K228" s="182"/>
      <c r="L228" s="178"/>
      <c r="M228" s="182"/>
      <c r="N228" s="178"/>
      <c r="O228" s="495"/>
      <c r="P228" s="259" t="str">
        <f>IF(P$194="Y",IFERROR(E228*($F$8/SUMIF($H$5:$H$16,"Y",$F$5:$F$16))*$F$21*'Emissions Factors'!$B45,""),"")</f>
        <v/>
      </c>
      <c r="Q228" s="259" t="str">
        <f>IF($X$135="Y",IFERROR($E228*(SUM($F$7,$F$5,$F$6)/SUMIF($H$5:$H$16,"Y",$F$5:$F$16))*('Emissions Factors'!$T$143*$F$22)/10^6,""),"")</f>
        <v/>
      </c>
      <c r="R228" s="259">
        <f t="shared" si="60"/>
        <v>152.22553924677973</v>
      </c>
      <c r="S228" s="180"/>
      <c r="T228" s="496"/>
      <c r="U228" s="180">
        <f t="shared" si="61"/>
        <v>152.22553924677973</v>
      </c>
      <c r="V228" s="180">
        <f t="shared" si="56"/>
        <v>0</v>
      </c>
      <c r="X228" s="430"/>
      <c r="Y228" s="478">
        <v>2048</v>
      </c>
      <c r="Z228" s="479">
        <f t="shared" si="57"/>
        <v>152.22553924677973</v>
      </c>
      <c r="AA228" s="479">
        <f t="shared" si="57"/>
        <v>0</v>
      </c>
      <c r="AB228" s="430"/>
      <c r="AC228" s="479"/>
      <c r="AD228" s="479"/>
      <c r="AE228" s="430"/>
      <c r="AF228" s="479">
        <f t="shared" si="58"/>
        <v>152.22553924677973</v>
      </c>
      <c r="AG228" s="479">
        <f t="shared" si="51"/>
        <v>0</v>
      </c>
      <c r="AH228" s="516"/>
      <c r="AJ228" s="480">
        <f t="shared" si="52"/>
        <v>0</v>
      </c>
      <c r="AK228" s="480" t="str">
        <f t="shared" si="53"/>
        <v/>
      </c>
    </row>
    <row r="229" spans="1:37" ht="15.6" x14ac:dyDescent="0.3">
      <c r="A229" s="152">
        <v>2049</v>
      </c>
      <c r="B229" s="178"/>
      <c r="C229" s="182"/>
      <c r="D229" s="183"/>
      <c r="E229" s="179">
        <f t="shared" si="54"/>
        <v>66.686267791481981</v>
      </c>
      <c r="F229" s="183">
        <f t="shared" si="62"/>
        <v>4.5352748066121293</v>
      </c>
      <c r="G229" s="247">
        <f t="shared" si="55"/>
        <v>0.99464650876194516</v>
      </c>
      <c r="H229" s="246"/>
      <c r="I229" s="417"/>
      <c r="J229" s="417"/>
      <c r="K229" s="182"/>
      <c r="L229" s="178"/>
      <c r="M229" s="182"/>
      <c r="N229" s="178"/>
      <c r="O229" s="495"/>
      <c r="P229" s="259" t="str">
        <f>IF(P$194="Y",IFERROR(E229*($F$8/SUMIF($H$5:$H$16,"Y",$F$5:$F$16))*$F$21*'Emissions Factors'!$B46,""),"")</f>
        <v/>
      </c>
      <c r="Q229" s="259" t="str">
        <f>IF($X$135="Y",IFERROR($E229*(SUM($F$7,$F$5,$F$6)/SUMIF($H$5:$H$16,"Y",$F$5:$F$16))*('Emissions Factors'!$T$143*$F$22)/10^6,""),"")</f>
        <v/>
      </c>
      <c r="R229" s="259">
        <f t="shared" si="60"/>
        <v>163.33372304099416</v>
      </c>
      <c r="S229" s="180"/>
      <c r="T229" s="496"/>
      <c r="U229" s="180">
        <f t="shared" si="61"/>
        <v>163.33372304099416</v>
      </c>
      <c r="V229" s="180">
        <f t="shared" si="56"/>
        <v>0</v>
      </c>
      <c r="X229" s="430"/>
      <c r="Y229" s="478">
        <v>2049</v>
      </c>
      <c r="Z229" s="479">
        <f t="shared" si="57"/>
        <v>163.33372304099416</v>
      </c>
      <c r="AA229" s="479">
        <f t="shared" si="57"/>
        <v>0</v>
      </c>
      <c r="AB229" s="430"/>
      <c r="AC229" s="479"/>
      <c r="AD229" s="479"/>
      <c r="AE229" s="430"/>
      <c r="AF229" s="479">
        <f t="shared" si="58"/>
        <v>163.33372304099416</v>
      </c>
      <c r="AG229" s="479">
        <f t="shared" si="51"/>
        <v>0</v>
      </c>
      <c r="AH229" s="516"/>
      <c r="AJ229" s="480">
        <f t="shared" si="52"/>
        <v>0</v>
      </c>
      <c r="AK229" s="480" t="str">
        <f t="shared" si="53"/>
        <v/>
      </c>
    </row>
    <row r="230" spans="1:37" ht="15.6" x14ac:dyDescent="0.3">
      <c r="A230" s="152">
        <v>2050</v>
      </c>
      <c r="B230" s="178"/>
      <c r="C230" s="182"/>
      <c r="D230" s="183"/>
      <c r="E230" s="179">
        <f t="shared" si="54"/>
        <v>71.486794174854964</v>
      </c>
      <c r="F230" s="183">
        <f t="shared" si="62"/>
        <v>4.8005263833729828</v>
      </c>
      <c r="G230" s="247">
        <f t="shared" si="55"/>
        <v>0.99464650876194538</v>
      </c>
      <c r="H230" s="246"/>
      <c r="I230" s="417"/>
      <c r="J230" s="417"/>
      <c r="K230" s="182"/>
      <c r="L230" s="178"/>
      <c r="M230" s="182"/>
      <c r="N230" s="178"/>
      <c r="O230" s="495"/>
      <c r="P230" s="259" t="str">
        <f>IF(P$194="Y",IFERROR(E230*($F$8/SUMIF($H$5:$H$16,"Y",$F$5:$F$16))*$F$21*'Emissions Factors'!$B47,""),"")</f>
        <v/>
      </c>
      <c r="Q230" s="259" t="str">
        <f>IF($X$135="Y",IFERROR($E230*(SUM($F$7,$F$5,$F$6)/SUMIF($H$5:$H$16,"Y",$F$5:$F$16))*('Emissions Factors'!$T$143*$F$22)/10^6,""),"")</f>
        <v/>
      </c>
      <c r="R230" s="259">
        <f t="shared" si="60"/>
        <v>175.09158373286184</v>
      </c>
      <c r="S230" s="180"/>
      <c r="T230" s="496"/>
      <c r="U230" s="180">
        <f t="shared" si="61"/>
        <v>175.09158373286184</v>
      </c>
      <c r="V230" s="180">
        <f t="shared" si="56"/>
        <v>0</v>
      </c>
      <c r="X230" s="430"/>
      <c r="Y230" s="478">
        <v>2050</v>
      </c>
      <c r="Z230" s="479">
        <f t="shared" si="57"/>
        <v>175.09158373286184</v>
      </c>
      <c r="AA230" s="479">
        <f t="shared" si="57"/>
        <v>0</v>
      </c>
      <c r="AB230" s="430"/>
      <c r="AC230" s="479"/>
      <c r="AD230" s="479"/>
      <c r="AE230" s="430"/>
      <c r="AF230" s="479">
        <f t="shared" si="58"/>
        <v>175.09158373286184</v>
      </c>
      <c r="AG230" s="479">
        <f t="shared" si="51"/>
        <v>0</v>
      </c>
      <c r="AH230" s="516"/>
      <c r="AJ230" s="480">
        <f t="shared" si="52"/>
        <v>0</v>
      </c>
      <c r="AK230" s="480" t="str">
        <f t="shared" si="53"/>
        <v/>
      </c>
    </row>
    <row r="231" spans="1:37" ht="15.6" x14ac:dyDescent="0.3">
      <c r="A231" s="152">
        <v>2051</v>
      </c>
      <c r="B231" s="178"/>
      <c r="C231" s="182"/>
      <c r="D231" s="183"/>
      <c r="E231" s="179">
        <f t="shared" si="54"/>
        <v>76.565630969014535</v>
      </c>
      <c r="F231" s="183">
        <f t="shared" si="62"/>
        <v>5.0788367941595709</v>
      </c>
      <c r="G231" s="247">
        <f t="shared" si="55"/>
        <v>0.99464650876194527</v>
      </c>
      <c r="H231" s="246"/>
      <c r="I231" s="417"/>
      <c r="J231" s="417"/>
      <c r="K231" s="182"/>
      <c r="L231" s="178"/>
      <c r="M231" s="182"/>
      <c r="N231" s="178"/>
      <c r="O231" s="495"/>
      <c r="P231" s="259" t="str">
        <f>IF(P$194="Y",IFERROR(E231*($F$8/SUMIF($H$5:$H$16,"Y",$F$5:$F$16))*$F$21*'Emissions Factors'!$B48,""),"")</f>
        <v/>
      </c>
      <c r="Q231" s="259" t="str">
        <f>IF($X$135="Y",IFERROR($E231*(SUM($F$7,$F$5,$F$6)/SUMIF($H$5:$H$16,"Y",$F$5:$F$16))*('Emissions Factors'!$T$143*$F$22)/10^6,""),"")</f>
        <v/>
      </c>
      <c r="R231" s="259">
        <f t="shared" si="60"/>
        <v>187.53110613800732</v>
      </c>
      <c r="S231" s="180"/>
      <c r="T231" s="496"/>
      <c r="U231" s="180">
        <f t="shared" si="61"/>
        <v>187.53110613800732</v>
      </c>
      <c r="V231" s="180">
        <f t="shared" si="56"/>
        <v>0</v>
      </c>
      <c r="Y231" s="478">
        <v>2051</v>
      </c>
      <c r="Z231" s="479">
        <f t="shared" si="57"/>
        <v>187.53110613800732</v>
      </c>
      <c r="AA231" s="479">
        <f t="shared" si="57"/>
        <v>0</v>
      </c>
      <c r="AB231" s="430"/>
      <c r="AC231" s="479"/>
      <c r="AD231" s="479"/>
      <c r="AE231" s="430"/>
      <c r="AF231" s="479">
        <f t="shared" si="58"/>
        <v>187.53110613800732</v>
      </c>
      <c r="AG231" s="479">
        <f t="shared" si="51"/>
        <v>0</v>
      </c>
      <c r="AH231" s="516"/>
      <c r="AJ231" s="480">
        <f t="shared" si="52"/>
        <v>0</v>
      </c>
      <c r="AK231" s="480" t="str">
        <f t="shared" si="53"/>
        <v/>
      </c>
    </row>
    <row r="232" spans="1:37" ht="15.6" x14ac:dyDescent="0.3">
      <c r="A232" s="152">
        <v>2052</v>
      </c>
      <c r="B232" s="178"/>
      <c r="C232" s="182"/>
      <c r="D232" s="183"/>
      <c r="E232" s="179">
        <f t="shared" si="54"/>
        <v>81.933610010011975</v>
      </c>
      <c r="F232" s="183">
        <f t="shared" si="62"/>
        <v>5.3679790409974402</v>
      </c>
      <c r="G232" s="247">
        <f t="shared" si="55"/>
        <v>0.99464650876194527</v>
      </c>
      <c r="H232" s="246"/>
      <c r="I232" s="417"/>
      <c r="J232" s="417"/>
      <c r="K232" s="182"/>
      <c r="L232" s="178"/>
      <c r="M232" s="182"/>
      <c r="N232" s="178"/>
      <c r="O232" s="495"/>
      <c r="P232" s="259" t="str">
        <f>IF(P$194="Y",IFERROR(E232*($F$8/SUMIF($H$5:$H$16,"Y",$F$5:$F$16))*$F$21*'Emissions Factors'!$B49,""),"")</f>
        <v/>
      </c>
      <c r="Q232" s="259" t="str">
        <f>IF($X$135="Y",IFERROR($E232*(SUM($F$7,$F$5,$F$6)/SUMIF($H$5:$H$16,"Y",$F$5:$F$16))*('Emissions Factors'!$T$143*$F$22)/10^6,""),"")</f>
        <v/>
      </c>
      <c r="R232" s="259">
        <f t="shared" si="60"/>
        <v>200.67882051773049</v>
      </c>
      <c r="S232" s="180"/>
      <c r="T232" s="496"/>
      <c r="U232" s="180">
        <f t="shared" si="61"/>
        <v>200.67882051773049</v>
      </c>
      <c r="V232" s="180">
        <f t="shared" si="56"/>
        <v>0</v>
      </c>
      <c r="Y232" s="478">
        <v>2052</v>
      </c>
      <c r="Z232" s="479">
        <f t="shared" si="57"/>
        <v>200.67882051773049</v>
      </c>
      <c r="AA232" s="479">
        <f t="shared" si="57"/>
        <v>0</v>
      </c>
      <c r="AB232" s="430"/>
      <c r="AC232" s="479"/>
      <c r="AD232" s="479"/>
      <c r="AE232" s="430"/>
      <c r="AF232" s="479">
        <f t="shared" si="58"/>
        <v>200.67882051773049</v>
      </c>
      <c r="AG232" s="479">
        <f t="shared" si="51"/>
        <v>0</v>
      </c>
      <c r="AH232" s="516"/>
      <c r="AJ232" s="480">
        <f t="shared" si="52"/>
        <v>0</v>
      </c>
      <c r="AK232" s="480" t="str">
        <f t="shared" si="53"/>
        <v/>
      </c>
    </row>
    <row r="233" spans="1:37" ht="15.6" x14ac:dyDescent="0.3">
      <c r="A233" s="152">
        <v>2053</v>
      </c>
      <c r="B233" s="178"/>
      <c r="C233" s="182"/>
      <c r="D233" s="183"/>
      <c r="E233" s="179">
        <f t="shared" si="54"/>
        <v>87.600515892593819</v>
      </c>
      <c r="F233" s="183">
        <f t="shared" si="62"/>
        <v>5.6669058825818439</v>
      </c>
      <c r="G233" s="247">
        <f t="shared" si="55"/>
        <v>0.99464650876194527</v>
      </c>
      <c r="H233" s="246"/>
      <c r="I233" s="417"/>
      <c r="J233" s="417"/>
      <c r="K233" s="182"/>
      <c r="L233" s="178"/>
      <c r="M233" s="182"/>
      <c r="N233" s="178"/>
      <c r="O233" s="495"/>
      <c r="P233" s="259" t="str">
        <f>IF(P$194="Y",IFERROR(E233*($F$8/SUMIF($H$5:$H$16,"Y",$F$5:$F$16))*$F$21*'Emissions Factors'!$B50,""),"")</f>
        <v/>
      </c>
      <c r="Q233" s="259" t="str">
        <f>IF($X$135="Y",IFERROR($E233*(SUM($F$7,$F$5,$F$6)/SUMIF($H$5:$H$16,"Y",$F$5:$F$16))*('Emissions Factors'!$T$143*$F$22)/10^6,""),"")</f>
        <v/>
      </c>
      <c r="R233" s="259">
        <f t="shared" si="60"/>
        <v>214.55869214016414</v>
      </c>
      <c r="S233" s="180"/>
      <c r="T233" s="496"/>
      <c r="U233" s="180">
        <f t="shared" si="61"/>
        <v>214.55869214016414</v>
      </c>
      <c r="V233" s="180">
        <f t="shared" si="56"/>
        <v>0</v>
      </c>
      <c r="Y233" s="478">
        <v>2053</v>
      </c>
      <c r="Z233" s="479">
        <f t="shared" si="57"/>
        <v>214.55869214016414</v>
      </c>
      <c r="AA233" s="479">
        <f t="shared" si="57"/>
        <v>0</v>
      </c>
      <c r="AB233" s="430"/>
      <c r="AC233" s="479"/>
      <c r="AD233" s="479"/>
      <c r="AE233" s="430"/>
      <c r="AF233" s="479">
        <f t="shared" si="58"/>
        <v>214.55869214016414</v>
      </c>
      <c r="AG233" s="479">
        <f t="shared" si="51"/>
        <v>0</v>
      </c>
      <c r="AH233" s="516"/>
      <c r="AJ233" s="480">
        <f t="shared" si="52"/>
        <v>0</v>
      </c>
      <c r="AK233" s="480" t="str">
        <f t="shared" si="53"/>
        <v/>
      </c>
    </row>
    <row r="234" spans="1:37" ht="15.6" x14ac:dyDescent="0.3">
      <c r="A234" s="152">
        <v>2054</v>
      </c>
      <c r="B234" s="178"/>
      <c r="C234" s="182"/>
      <c r="D234" s="183"/>
      <c r="E234" s="179">
        <f t="shared" si="54"/>
        <v>93.574471512347003</v>
      </c>
      <c r="F234" s="183">
        <f t="shared" si="62"/>
        <v>5.973955619753184</v>
      </c>
      <c r="G234" s="247">
        <f t="shared" si="55"/>
        <v>0.99464650876194527</v>
      </c>
      <c r="H234" s="246"/>
      <c r="I234" s="417"/>
      <c r="J234" s="417"/>
      <c r="K234" s="182"/>
      <c r="L234" s="178"/>
      <c r="M234" s="182"/>
      <c r="N234" s="178"/>
      <c r="O234" s="495"/>
      <c r="P234" s="259" t="str">
        <f>IF(P$194="Y",IFERROR(E234*($F$8/SUMIF($H$5:$H$16,"Y",$F$5:$F$16))*$F$21*'Emissions Factors'!$B51,""),"")</f>
        <v/>
      </c>
      <c r="Q234" s="259" t="str">
        <f>IF($X$135="Y",IFERROR($E234*(SUM($F$7,$F$5,$F$6)/SUMIF($H$5:$H$16,"Y",$F$5:$F$16))*('Emissions Factors'!$T$143*$F$22)/10^6,""),"")</f>
        <v/>
      </c>
      <c r="R234" s="259">
        <f t="shared" si="60"/>
        <v>229.19061629742811</v>
      </c>
      <c r="S234" s="180"/>
      <c r="T234" s="496"/>
      <c r="U234" s="180">
        <f t="shared" si="61"/>
        <v>229.19061629742811</v>
      </c>
      <c r="V234" s="180">
        <f t="shared" si="56"/>
        <v>0</v>
      </c>
      <c r="Y234" s="478">
        <v>2054</v>
      </c>
      <c r="Z234" s="479">
        <f t="shared" si="57"/>
        <v>229.19061629742811</v>
      </c>
      <c r="AA234" s="479">
        <f t="shared" si="57"/>
        <v>0</v>
      </c>
      <c r="AB234" s="430"/>
      <c r="AC234" s="479"/>
      <c r="AD234" s="479"/>
      <c r="AE234" s="430"/>
      <c r="AF234" s="479">
        <f t="shared" si="58"/>
        <v>229.19061629742811</v>
      </c>
      <c r="AG234" s="479">
        <f t="shared" si="51"/>
        <v>0</v>
      </c>
      <c r="AH234" s="516"/>
      <c r="AJ234" s="480">
        <f t="shared" si="52"/>
        <v>0</v>
      </c>
      <c r="AK234" s="480" t="str">
        <f t="shared" si="53"/>
        <v/>
      </c>
    </row>
    <row r="235" spans="1:37" ht="15.6" x14ac:dyDescent="0.3">
      <c r="A235" s="152">
        <v>2055</v>
      </c>
      <c r="B235" s="178"/>
      <c r="C235" s="182"/>
      <c r="D235" s="183"/>
      <c r="E235" s="179">
        <f t="shared" si="54"/>
        <v>99.863186771932732</v>
      </c>
      <c r="F235" s="183">
        <f t="shared" si="62"/>
        <v>6.2887152595857287</v>
      </c>
      <c r="G235" s="247">
        <f t="shared" si="55"/>
        <v>0.99464650876194527</v>
      </c>
      <c r="H235" s="246"/>
      <c r="I235" s="417"/>
      <c r="J235" s="417"/>
      <c r="K235" s="182"/>
      <c r="L235" s="178"/>
      <c r="M235" s="182"/>
      <c r="N235" s="178"/>
      <c r="O235" s="495"/>
      <c r="P235" s="259" t="str">
        <f>IF(P$194="Y",IFERROR(E235*($F$8/SUMIF($H$5:$H$16,"Y",$F$5:$F$16))*$F$21*'Emissions Factors'!$B52,""),"")</f>
        <v/>
      </c>
      <c r="Q235" s="259" t="str">
        <f>IF($X$135="Y",IFERROR($E235*(SUM($F$7,$F$5,$F$6)/SUMIF($H$5:$H$16,"Y",$F$5:$F$16))*('Emissions Factors'!$T$143*$F$22)/10^6,""),"")</f>
        <v/>
      </c>
      <c r="R235" s="259">
        <f t="shared" si="60"/>
        <v>244.59347674396892</v>
      </c>
      <c r="S235" s="180"/>
      <c r="T235" s="496"/>
      <c r="U235" s="180">
        <f t="shared" si="61"/>
        <v>244.59347674396892</v>
      </c>
      <c r="V235" s="180">
        <f t="shared" si="56"/>
        <v>0</v>
      </c>
      <c r="Y235" s="478">
        <v>2055</v>
      </c>
      <c r="Z235" s="479">
        <f t="shared" si="57"/>
        <v>244.59347674396892</v>
      </c>
      <c r="AA235" s="479">
        <f t="shared" si="57"/>
        <v>0</v>
      </c>
      <c r="AB235" s="430"/>
      <c r="AC235" s="479"/>
      <c r="AD235" s="479"/>
      <c r="AE235" s="430"/>
      <c r="AF235" s="479">
        <f t="shared" si="58"/>
        <v>244.59347674396892</v>
      </c>
      <c r="AG235" s="479">
        <f t="shared" si="51"/>
        <v>0</v>
      </c>
      <c r="AH235" s="516"/>
      <c r="AJ235" s="480">
        <f t="shared" si="52"/>
        <v>0</v>
      </c>
      <c r="AK235" s="480" t="str">
        <f t="shared" si="53"/>
        <v/>
      </c>
    </row>
    <row r="236" spans="1:37" ht="15.6" x14ac:dyDescent="0.3">
      <c r="A236" s="152">
        <v>2056</v>
      </c>
      <c r="B236" s="178"/>
      <c r="C236" s="182"/>
      <c r="D236" s="183"/>
      <c r="E236" s="179">
        <f t="shared" si="54"/>
        <v>106.47656581742753</v>
      </c>
      <c r="F236" s="183">
        <f t="shared" si="62"/>
        <v>6.6133790454947956</v>
      </c>
      <c r="G236" s="247">
        <f t="shared" si="55"/>
        <v>0.99464650876194527</v>
      </c>
      <c r="H236" s="246"/>
      <c r="I236" s="417"/>
      <c r="J236" s="417"/>
      <c r="K236" s="182"/>
      <c r="L236" s="178"/>
      <c r="M236" s="182"/>
      <c r="N236" s="178"/>
      <c r="O236" s="495"/>
      <c r="P236" s="259" t="str">
        <f>IF(P$194="Y",IFERROR(E236*($F$8/SUMIF($H$5:$H$16,"Y",$F$5:$F$16))*$F$21*'Emissions Factors'!$B53,""),"")</f>
        <v/>
      </c>
      <c r="Q236" s="259" t="str">
        <f>IF($X$135="Y",IFERROR($E236*(SUM($F$7,$F$5,$F$6)/SUMIF($H$5:$H$16,"Y",$F$5:$F$16))*('Emissions Factors'!$T$143*$F$22)/10^6,""),"")</f>
        <v/>
      </c>
      <c r="R236" s="259">
        <f t="shared" si="60"/>
        <v>260.7915315632842</v>
      </c>
      <c r="S236" s="180"/>
      <c r="T236" s="496"/>
      <c r="U236" s="180">
        <f t="shared" si="61"/>
        <v>260.7915315632842</v>
      </c>
      <c r="V236" s="180">
        <f t="shared" si="56"/>
        <v>0</v>
      </c>
      <c r="Y236" s="478">
        <v>2056</v>
      </c>
      <c r="Z236" s="479">
        <f t="shared" si="57"/>
        <v>260.7915315632842</v>
      </c>
      <c r="AA236" s="479">
        <f t="shared" si="57"/>
        <v>0</v>
      </c>
      <c r="AB236" s="430"/>
      <c r="AC236" s="479"/>
      <c r="AD236" s="479"/>
      <c r="AE236" s="430"/>
      <c r="AF236" s="479">
        <f t="shared" si="58"/>
        <v>260.7915315632842</v>
      </c>
      <c r="AG236" s="479">
        <f t="shared" si="51"/>
        <v>0</v>
      </c>
      <c r="AH236" s="516"/>
      <c r="AJ236" s="480">
        <f t="shared" si="52"/>
        <v>0</v>
      </c>
      <c r="AK236" s="480" t="str">
        <f t="shared" si="53"/>
        <v/>
      </c>
    </row>
    <row r="237" spans="1:37" ht="15.6" x14ac:dyDescent="0.3">
      <c r="A237" s="152">
        <v>2057</v>
      </c>
      <c r="B237" s="178"/>
      <c r="C237" s="182"/>
      <c r="D237" s="183"/>
      <c r="E237" s="179">
        <f t="shared" si="54"/>
        <v>113.42278216865395</v>
      </c>
      <c r="F237" s="183">
        <f t="shared" si="62"/>
        <v>6.9462163512264254</v>
      </c>
      <c r="G237" s="247">
        <f t="shared" si="55"/>
        <v>0.99464650876194527</v>
      </c>
      <c r="H237" s="246"/>
      <c r="I237" s="417"/>
      <c r="J237" s="417"/>
      <c r="K237" s="182"/>
      <c r="L237" s="178"/>
      <c r="M237" s="182"/>
      <c r="N237" s="178"/>
      <c r="O237" s="495"/>
      <c r="P237" s="259" t="str">
        <f>IF(P$194="Y",IFERROR(E237*($F$8/SUMIF($H$5:$H$16,"Y",$F$5:$F$16))*$F$21*'Emissions Factors'!$B54,""),"")</f>
        <v/>
      </c>
      <c r="Q237" s="259" t="str">
        <f>IF($X$135="Y",IFERROR($E237*(SUM($F$7,$F$5,$F$6)/SUMIF($H$5:$H$16,"Y",$F$5:$F$16))*('Emissions Factors'!$T$143*$F$22)/10^6,""),"")</f>
        <v/>
      </c>
      <c r="R237" s="259">
        <f t="shared" si="60"/>
        <v>277.80480004071069</v>
      </c>
      <c r="S237" s="180"/>
      <c r="T237" s="496"/>
      <c r="U237" s="180">
        <f t="shared" si="61"/>
        <v>277.80480004071069</v>
      </c>
      <c r="V237" s="180">
        <f t="shared" si="56"/>
        <v>0</v>
      </c>
      <c r="Y237" s="478">
        <v>2057</v>
      </c>
      <c r="Z237" s="479">
        <f t="shared" si="57"/>
        <v>277.80480004071069</v>
      </c>
      <c r="AA237" s="479">
        <f t="shared" si="57"/>
        <v>0</v>
      </c>
      <c r="AB237" s="430"/>
      <c r="AC237" s="479"/>
      <c r="AD237" s="479"/>
      <c r="AE237" s="430"/>
      <c r="AF237" s="479">
        <f t="shared" si="58"/>
        <v>277.80480004071069</v>
      </c>
      <c r="AG237" s="479">
        <f t="shared" si="51"/>
        <v>0</v>
      </c>
      <c r="AH237" s="516"/>
      <c r="AJ237" s="480">
        <f t="shared" si="52"/>
        <v>0</v>
      </c>
      <c r="AK237" s="480" t="str">
        <f t="shared" si="53"/>
        <v/>
      </c>
    </row>
    <row r="238" spans="1:37" ht="15.6" x14ac:dyDescent="0.3">
      <c r="A238" s="152">
        <v>2058</v>
      </c>
      <c r="B238" s="178"/>
      <c r="C238" s="182"/>
      <c r="D238" s="183"/>
      <c r="E238" s="179">
        <f t="shared" si="54"/>
        <v>120.70454758820715</v>
      </c>
      <c r="F238" s="183">
        <f t="shared" si="62"/>
        <v>7.2817654195531958</v>
      </c>
      <c r="G238" s="247">
        <f t="shared" si="55"/>
        <v>0.99464650876194527</v>
      </c>
      <c r="H238" s="246"/>
      <c r="I238" s="417"/>
      <c r="J238" s="417"/>
      <c r="K238" s="182"/>
      <c r="L238" s="178"/>
      <c r="M238" s="182"/>
      <c r="N238" s="178"/>
      <c r="O238" s="495"/>
      <c r="P238" s="259" t="str">
        <f>IF(P$194="Y",IFERROR(E238*($F$8/SUMIF($H$5:$H$16,"Y",$F$5:$F$16))*$F$21*'Emissions Factors'!$B55,""),"")</f>
        <v/>
      </c>
      <c r="Q238" s="259" t="str">
        <f>IF($X$135="Y",IFERROR($E238*(SUM($F$7,$F$5,$F$6)/SUMIF($H$5:$H$16,"Y",$F$5:$F$16))*('Emissions Factors'!$T$143*$F$22)/10^6,""),"")</f>
        <v/>
      </c>
      <c r="R238" s="259">
        <f t="shared" si="60"/>
        <v>295.63992405763321</v>
      </c>
      <c r="S238" s="180"/>
      <c r="T238" s="496"/>
      <c r="U238" s="180">
        <f t="shared" si="61"/>
        <v>295.63992405763321</v>
      </c>
      <c r="V238" s="180">
        <f t="shared" si="56"/>
        <v>0</v>
      </c>
      <c r="Y238" s="478">
        <v>2058</v>
      </c>
      <c r="Z238" s="479">
        <f t="shared" si="57"/>
        <v>295.63992405763321</v>
      </c>
      <c r="AA238" s="479">
        <f t="shared" si="57"/>
        <v>0</v>
      </c>
      <c r="AB238" s="430"/>
      <c r="AC238" s="479"/>
      <c r="AD238" s="479"/>
      <c r="AE238" s="430"/>
      <c r="AF238" s="479">
        <f t="shared" si="58"/>
        <v>295.63992405763321</v>
      </c>
      <c r="AG238" s="479">
        <f t="shared" si="51"/>
        <v>0</v>
      </c>
      <c r="AH238" s="516"/>
      <c r="AJ238" s="480">
        <f t="shared" si="52"/>
        <v>0</v>
      </c>
      <c r="AK238" s="480" t="str">
        <f t="shared" si="53"/>
        <v/>
      </c>
    </row>
    <row r="239" spans="1:37" ht="15.6" x14ac:dyDescent="0.3">
      <c r="A239" s="152">
        <v>2059</v>
      </c>
      <c r="B239" s="178"/>
      <c r="C239" s="182"/>
      <c r="D239" s="183"/>
      <c r="E239" s="179">
        <f t="shared" si="54"/>
        <v>128.3217902395624</v>
      </c>
      <c r="F239" s="183">
        <f t="shared" si="62"/>
        <v>7.6172426513552551</v>
      </c>
      <c r="G239" s="247">
        <f t="shared" si="55"/>
        <v>0.99464650876194538</v>
      </c>
      <c r="H239" s="246"/>
      <c r="I239" s="417"/>
      <c r="J239" s="417"/>
      <c r="K239" s="182"/>
      <c r="L239" s="178"/>
      <c r="M239" s="182"/>
      <c r="N239" s="178"/>
      <c r="O239" s="495"/>
      <c r="P239" s="259" t="str">
        <f>IF(P$194="Y",IFERROR(E239*($F$8/SUMIF($H$5:$H$16,"Y",$F$5:$F$16))*$F$21*'Emissions Factors'!$B56,""),"")</f>
        <v/>
      </c>
      <c r="Q239" s="259" t="str">
        <f>IF($X$135="Y",IFERROR($E239*(SUM($F$7,$F$5,$F$6)/SUMIF($H$5:$H$16,"Y",$F$5:$F$16))*('Emissions Factors'!$T$143*$F$22)/10^6,""),"")</f>
        <v/>
      </c>
      <c r="R239" s="259">
        <f t="shared" si="60"/>
        <v>314.29672766587817</v>
      </c>
      <c r="S239" s="180"/>
      <c r="T239" s="496"/>
      <c r="U239" s="180">
        <f t="shared" si="61"/>
        <v>314.29672766587817</v>
      </c>
      <c r="V239" s="180">
        <f t="shared" si="56"/>
        <v>0</v>
      </c>
      <c r="Y239" s="478">
        <v>2059</v>
      </c>
      <c r="Z239" s="479">
        <f t="shared" si="57"/>
        <v>314.29672766587817</v>
      </c>
      <c r="AA239" s="479">
        <f t="shared" si="57"/>
        <v>0</v>
      </c>
      <c r="AB239" s="430"/>
      <c r="AC239" s="479"/>
      <c r="AD239" s="479"/>
      <c r="AE239" s="430"/>
      <c r="AF239" s="479">
        <f t="shared" si="58"/>
        <v>314.29672766587817</v>
      </c>
      <c r="AG239" s="479">
        <f t="shared" si="51"/>
        <v>0</v>
      </c>
      <c r="AH239" s="516"/>
      <c r="AJ239" s="480">
        <f t="shared" si="52"/>
        <v>0</v>
      </c>
      <c r="AK239" s="480" t="str">
        <f t="shared" si="53"/>
        <v/>
      </c>
    </row>
    <row r="240" spans="1:37" ht="15.6" x14ac:dyDescent="0.3">
      <c r="A240" s="152">
        <v>2060</v>
      </c>
      <c r="B240" s="178"/>
      <c r="C240" s="182"/>
      <c r="D240" s="183"/>
      <c r="E240" s="179">
        <f t="shared" si="54"/>
        <v>136.27521040488651</v>
      </c>
      <c r="F240" s="183">
        <f t="shared" si="62"/>
        <v>7.9534201653241041</v>
      </c>
      <c r="G240" s="247">
        <f t="shared" si="55"/>
        <v>0.99464650876194516</v>
      </c>
      <c r="H240" s="246"/>
      <c r="I240" s="417"/>
      <c r="J240" s="417"/>
      <c r="K240" s="182"/>
      <c r="L240" s="178"/>
      <c r="M240" s="182"/>
      <c r="N240" s="178"/>
      <c r="O240" s="495"/>
      <c r="P240" s="259" t="str">
        <f>IF(P$194="Y",IFERROR(E240*($F$8/SUMIF($H$5:$H$16,"Y",$F$5:$F$16))*$F$21*'Emissions Factors'!$B57,""),"")</f>
        <v/>
      </c>
      <c r="Q240" s="259" t="str">
        <f>IF($X$135="Y",IFERROR($E240*(SUM($F$7,$F$5,$F$6)/SUMIF($H$5:$H$16,"Y",$F$5:$F$16))*('Emissions Factors'!$T$143*$F$22)/10^6,""),"")</f>
        <v/>
      </c>
      <c r="R240" s="259">
        <f t="shared" si="60"/>
        <v>333.7769260565525</v>
      </c>
      <c r="S240" s="180"/>
      <c r="T240" s="496"/>
      <c r="U240" s="180">
        <f t="shared" si="61"/>
        <v>333.7769260565525</v>
      </c>
      <c r="V240" s="180">
        <f t="shared" si="56"/>
        <v>0</v>
      </c>
      <c r="Y240" s="478">
        <v>2060</v>
      </c>
      <c r="Z240" s="479">
        <f t="shared" si="57"/>
        <v>333.7769260565525</v>
      </c>
      <c r="AA240" s="479">
        <f t="shared" si="57"/>
        <v>0</v>
      </c>
      <c r="AB240" s="430"/>
      <c r="AC240" s="479"/>
      <c r="AD240" s="479"/>
      <c r="AE240" s="430"/>
      <c r="AF240" s="479">
        <f t="shared" si="58"/>
        <v>333.7769260565525</v>
      </c>
      <c r="AG240" s="479">
        <f t="shared" si="51"/>
        <v>0</v>
      </c>
      <c r="AH240" s="516"/>
      <c r="AJ240" s="480">
        <f t="shared" si="52"/>
        <v>0</v>
      </c>
      <c r="AK240" s="480" t="str">
        <f t="shared" si="53"/>
        <v/>
      </c>
    </row>
    <row r="241" spans="1:10" x14ac:dyDescent="0.25">
      <c r="A241" s="13"/>
      <c r="B241" s="13"/>
      <c r="C241" s="13"/>
      <c r="D241" s="13"/>
      <c r="E241" s="13"/>
      <c r="F241" s="13"/>
      <c r="G241" s="13"/>
      <c r="H241" s="13"/>
      <c r="I241" s="13"/>
      <c r="J241" s="13"/>
    </row>
    <row r="244" spans="1:10" ht="13.95" customHeight="1" x14ac:dyDescent="0.25"/>
    <row r="259" spans="12:19" x14ac:dyDescent="0.25">
      <c r="L259" s="170"/>
      <c r="M259" s="170"/>
      <c r="S259" s="170"/>
    </row>
    <row r="260" spans="12:19" x14ac:dyDescent="0.25">
      <c r="L260" s="170"/>
      <c r="M260" s="170"/>
      <c r="S260" s="170"/>
    </row>
    <row r="261" spans="12:19" x14ac:dyDescent="0.25">
      <c r="L261" s="170"/>
      <c r="M261" s="170"/>
      <c r="S261" s="170"/>
    </row>
    <row r="262" spans="12:19" x14ac:dyDescent="0.25">
      <c r="L262" s="170"/>
      <c r="M262" s="170"/>
      <c r="S262" s="170"/>
    </row>
    <row r="263" spans="12:19" x14ac:dyDescent="0.25">
      <c r="L263" s="170"/>
      <c r="M263" s="170"/>
      <c r="S263" s="170"/>
    </row>
    <row r="264" spans="12:19" x14ac:dyDescent="0.25">
      <c r="L264" s="170"/>
      <c r="M264" s="170"/>
      <c r="S264" s="170"/>
    </row>
    <row r="265" spans="12:19" x14ac:dyDescent="0.25">
      <c r="L265" s="170"/>
      <c r="M265" s="170"/>
      <c r="S265" s="170"/>
    </row>
    <row r="266" spans="12:19" x14ac:dyDescent="0.25">
      <c r="L266" s="170"/>
      <c r="M266" s="170"/>
      <c r="S266" s="170"/>
    </row>
    <row r="267" spans="12:19" x14ac:dyDescent="0.25">
      <c r="L267" s="170"/>
      <c r="M267" s="170"/>
      <c r="S267" s="170"/>
    </row>
    <row r="268" spans="12:19" x14ac:dyDescent="0.25">
      <c r="L268" s="170"/>
      <c r="M268" s="170"/>
      <c r="S268" s="170"/>
    </row>
    <row r="269" spans="12:19" x14ac:dyDescent="0.25">
      <c r="L269" s="170"/>
      <c r="M269" s="170"/>
      <c r="S269" s="170"/>
    </row>
    <row r="270" spans="12:19" x14ac:dyDescent="0.25">
      <c r="L270" s="170"/>
      <c r="M270" s="170"/>
      <c r="S270" s="170"/>
    </row>
    <row r="271" spans="12:19" x14ac:dyDescent="0.25">
      <c r="L271" s="170"/>
      <c r="M271" s="170"/>
      <c r="S271" s="170"/>
    </row>
    <row r="272" spans="12:19" x14ac:dyDescent="0.25">
      <c r="L272" s="170"/>
      <c r="M272" s="170"/>
      <c r="S272" s="170"/>
    </row>
    <row r="273" spans="12:19" x14ac:dyDescent="0.25">
      <c r="L273" s="170"/>
      <c r="M273" s="170"/>
      <c r="S273" s="170"/>
    </row>
    <row r="274" spans="12:19" x14ac:dyDescent="0.25">
      <c r="L274" s="170"/>
      <c r="M274" s="170"/>
      <c r="S274" s="170"/>
    </row>
    <row r="275" spans="12:19" x14ac:dyDescent="0.25">
      <c r="L275" s="170"/>
      <c r="M275" s="170"/>
      <c r="S275" s="170"/>
    </row>
    <row r="276" spans="12:19" x14ac:dyDescent="0.25">
      <c r="L276" s="170"/>
      <c r="M276" s="170"/>
      <c r="S276" s="170"/>
    </row>
    <row r="277" spans="12:19" x14ac:dyDescent="0.25">
      <c r="L277" s="170"/>
      <c r="M277" s="170"/>
      <c r="S277" s="170"/>
    </row>
    <row r="278" spans="12:19" x14ac:dyDescent="0.25">
      <c r="L278" s="170"/>
      <c r="M278" s="170"/>
      <c r="S278" s="170"/>
    </row>
    <row r="279" spans="12:19" x14ac:dyDescent="0.25">
      <c r="L279" s="170"/>
      <c r="M279" s="170"/>
      <c r="S279" s="170"/>
    </row>
    <row r="280" spans="12:19" x14ac:dyDescent="0.25">
      <c r="L280" s="170"/>
      <c r="M280" s="170"/>
      <c r="S280" s="170"/>
    </row>
    <row r="281" spans="12:19" x14ac:dyDescent="0.25">
      <c r="L281" s="170"/>
      <c r="M281" s="170"/>
      <c r="S281" s="170"/>
    </row>
    <row r="282" spans="12:19" ht="13.8" thickBot="1" x14ac:dyDescent="0.3">
      <c r="L282" s="209"/>
      <c r="M282" s="209"/>
      <c r="S282" s="209"/>
    </row>
    <row r="293" spans="1:13" x14ac:dyDescent="0.25">
      <c r="A293" s="13"/>
      <c r="B293" s="13"/>
      <c r="C293" s="13"/>
      <c r="D293" s="13"/>
      <c r="E293" s="13"/>
      <c r="F293" s="13"/>
      <c r="G293" s="13"/>
      <c r="H293" s="13"/>
      <c r="I293" s="13"/>
      <c r="J293" s="13"/>
      <c r="K293" s="13"/>
    </row>
    <row r="302" spans="1:13" ht="13.8" thickBot="1" x14ac:dyDescent="0.3"/>
    <row r="303" spans="1:13" x14ac:dyDescent="0.25">
      <c r="L303" s="202"/>
      <c r="M303" s="202"/>
    </row>
    <row r="304" spans="1:13" x14ac:dyDescent="0.25">
      <c r="L304" s="170"/>
      <c r="M304" s="170"/>
    </row>
    <row r="305" spans="12:29" x14ac:dyDescent="0.25">
      <c r="L305" s="170"/>
      <c r="M305" s="170"/>
    </row>
    <row r="306" spans="12:29" x14ac:dyDescent="0.25">
      <c r="L306" s="170"/>
      <c r="M306" s="170"/>
    </row>
    <row r="307" spans="12:29" x14ac:dyDescent="0.25">
      <c r="L307" s="170"/>
      <c r="M307" s="170"/>
    </row>
    <row r="308" spans="12:29" x14ac:dyDescent="0.25">
      <c r="L308" s="170"/>
      <c r="M308" s="170"/>
    </row>
    <row r="309" spans="12:29" x14ac:dyDescent="0.25">
      <c r="L309" s="170"/>
      <c r="M309" s="170"/>
    </row>
    <row r="310" spans="12:29" x14ac:dyDescent="0.25">
      <c r="L310" s="170"/>
      <c r="M310" s="170"/>
    </row>
    <row r="311" spans="12:29" x14ac:dyDescent="0.25">
      <c r="L311" s="170"/>
      <c r="M311" s="170"/>
    </row>
    <row r="312" spans="12:29" x14ac:dyDescent="0.25">
      <c r="L312" s="170"/>
      <c r="M312" s="170"/>
      <c r="AC312" s="251"/>
    </row>
    <row r="313" spans="12:29" x14ac:dyDescent="0.25">
      <c r="L313" s="170"/>
      <c r="M313" s="170"/>
      <c r="AC313" s="251"/>
    </row>
    <row r="314" spans="12:29" x14ac:dyDescent="0.25">
      <c r="L314" s="170"/>
      <c r="M314" s="170"/>
      <c r="AC314" s="251"/>
    </row>
    <row r="315" spans="12:29" x14ac:dyDescent="0.25">
      <c r="L315" s="170"/>
      <c r="M315" s="170"/>
      <c r="AC315" s="251"/>
    </row>
    <row r="316" spans="12:29" x14ac:dyDescent="0.25">
      <c r="L316" s="170"/>
      <c r="M316" s="170"/>
      <c r="AC316" s="251"/>
    </row>
    <row r="317" spans="12:29" x14ac:dyDescent="0.25">
      <c r="L317" s="170"/>
      <c r="M317" s="170"/>
      <c r="AC317" s="251"/>
    </row>
    <row r="318" spans="12:29" x14ac:dyDescent="0.25">
      <c r="L318" s="170"/>
      <c r="M318" s="170"/>
      <c r="AC318" s="251"/>
    </row>
    <row r="319" spans="12:29" x14ac:dyDescent="0.25">
      <c r="L319" s="170"/>
      <c r="M319" s="170"/>
      <c r="AC319" s="251"/>
    </row>
    <row r="320" spans="12:29" x14ac:dyDescent="0.25">
      <c r="L320" s="170"/>
      <c r="M320" s="170"/>
      <c r="AC320" s="251"/>
    </row>
    <row r="321" spans="12:29" x14ac:dyDescent="0.25">
      <c r="L321" s="170"/>
      <c r="M321" s="170"/>
      <c r="AC321" s="251"/>
    </row>
    <row r="322" spans="12:29" x14ac:dyDescent="0.25">
      <c r="L322" s="170"/>
      <c r="M322" s="170"/>
      <c r="AC322" s="251"/>
    </row>
    <row r="323" spans="12:29" x14ac:dyDescent="0.25">
      <c r="L323" s="170"/>
      <c r="M323" s="170"/>
      <c r="AC323" s="251"/>
    </row>
    <row r="324" spans="12:29" x14ac:dyDescent="0.25">
      <c r="L324" s="170"/>
      <c r="M324" s="170"/>
      <c r="AC324" s="251"/>
    </row>
    <row r="325" spans="12:29" x14ac:dyDescent="0.25">
      <c r="L325" s="170"/>
      <c r="M325" s="170"/>
      <c r="AC325" s="251"/>
    </row>
    <row r="326" spans="12:29" x14ac:dyDescent="0.25">
      <c r="L326" s="170"/>
      <c r="M326" s="170"/>
      <c r="AC326" s="251"/>
    </row>
    <row r="327" spans="12:29" x14ac:dyDescent="0.25">
      <c r="L327" s="170"/>
      <c r="M327" s="170"/>
      <c r="AC327" s="251"/>
    </row>
    <row r="328" spans="12:29" x14ac:dyDescent="0.25">
      <c r="L328" s="170"/>
      <c r="M328" s="170"/>
      <c r="AC328" s="251"/>
    </row>
    <row r="329" spans="12:29" x14ac:dyDescent="0.25">
      <c r="L329" s="170"/>
      <c r="M329" s="170"/>
      <c r="AC329" s="251"/>
    </row>
    <row r="330" spans="12:29" x14ac:dyDescent="0.25">
      <c r="L330" s="170"/>
      <c r="M330" s="170"/>
      <c r="AC330" s="251"/>
    </row>
    <row r="331" spans="12:29" x14ac:dyDescent="0.25">
      <c r="L331" s="170"/>
      <c r="M331" s="170"/>
      <c r="AC331" s="251"/>
    </row>
    <row r="332" spans="12:29" x14ac:dyDescent="0.25">
      <c r="L332" s="170"/>
      <c r="M332" s="170"/>
      <c r="AC332" s="251"/>
    </row>
    <row r="333" spans="12:29" ht="13.8" thickBot="1" x14ac:dyDescent="0.3">
      <c r="L333" s="209"/>
      <c r="M333" s="209"/>
      <c r="AC333" s="251"/>
    </row>
    <row r="334" spans="12:29" x14ac:dyDescent="0.25">
      <c r="AC334" s="251"/>
    </row>
    <row r="335" spans="12:29" x14ac:dyDescent="0.25">
      <c r="AC335" s="251"/>
    </row>
    <row r="336" spans="12:29" x14ac:dyDescent="0.25">
      <c r="AC336" s="251"/>
    </row>
    <row r="337" spans="29:29" x14ac:dyDescent="0.25">
      <c r="AC337" s="251"/>
    </row>
    <row r="338" spans="29:29" x14ac:dyDescent="0.25">
      <c r="AC338" s="251"/>
    </row>
    <row r="339" spans="29:29" x14ac:dyDescent="0.25">
      <c r="AC339" s="251"/>
    </row>
    <row r="340" spans="29:29" x14ac:dyDescent="0.25">
      <c r="AC340" s="251"/>
    </row>
    <row r="341" spans="29:29" x14ac:dyDescent="0.25">
      <c r="AC341" s="251"/>
    </row>
    <row r="342" spans="29:29" x14ac:dyDescent="0.25">
      <c r="AC342" s="251"/>
    </row>
    <row r="343" spans="29:29" x14ac:dyDescent="0.25">
      <c r="AC343" s="251"/>
    </row>
  </sheetData>
  <mergeCells count="66">
    <mergeCell ref="AC191:AD191"/>
    <mergeCell ref="AF191:AG191"/>
    <mergeCell ref="AJ191:AK191"/>
    <mergeCell ref="K192:N192"/>
    <mergeCell ref="P192:S192"/>
    <mergeCell ref="U192:V192"/>
    <mergeCell ref="Z192:AA192"/>
    <mergeCell ref="AC192:AD192"/>
    <mergeCell ref="AF192:AG192"/>
    <mergeCell ref="AJ192:AK192"/>
    <mergeCell ref="Y191:AA191"/>
    <mergeCell ref="B191:D191"/>
    <mergeCell ref="E191:H191"/>
    <mergeCell ref="K191:N191"/>
    <mergeCell ref="P191:S191"/>
    <mergeCell ref="U191:V191"/>
    <mergeCell ref="AU133:AV133"/>
    <mergeCell ref="AX133:AY133"/>
    <mergeCell ref="BA133:BB133"/>
    <mergeCell ref="BE133:BF133"/>
    <mergeCell ref="B190:H190"/>
    <mergeCell ref="K190:V190"/>
    <mergeCell ref="Y190:AG190"/>
    <mergeCell ref="R133:U133"/>
    <mergeCell ref="W133:Z133"/>
    <mergeCell ref="AB133:AC133"/>
    <mergeCell ref="AE133:AH133"/>
    <mergeCell ref="AJ133:AM133"/>
    <mergeCell ref="AO133:AP133"/>
    <mergeCell ref="BE132:BF132"/>
    <mergeCell ref="AE131:AP131"/>
    <mergeCell ref="AT131:BB131"/>
    <mergeCell ref="B132:D132"/>
    <mergeCell ref="E132:H132"/>
    <mergeCell ref="J132:L132"/>
    <mergeCell ref="M132:P132"/>
    <mergeCell ref="R132:U132"/>
    <mergeCell ref="W132:Z132"/>
    <mergeCell ref="AB132:AC132"/>
    <mergeCell ref="AE132:AH132"/>
    <mergeCell ref="AJ132:AM132"/>
    <mergeCell ref="AO132:AP132"/>
    <mergeCell ref="AT132:AV132"/>
    <mergeCell ref="AX132:AY132"/>
    <mergeCell ref="BA132:BB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dataValidations count="1">
    <dataValidation type="list" allowBlank="1" showInputMessage="1" showErrorMessage="1" sqref="C27:G27 G19 G5:H16 AE135:AH135 AJ135:AM135 R135:U135 W135:Z135 K194:N194 P194:S194 R4">
      <formula1>"Y,N"</formula1>
    </dataValidation>
  </dataValidations>
  <pageMargins left="0.7" right="0.7" top="0.75" bottom="0.75" header="0.3" footer="0.3"/>
  <pageSetup paperSize="0"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0000"/>
  </sheetPr>
  <dimension ref="A1:EX450"/>
  <sheetViews>
    <sheetView showGridLines="0" topLeftCell="A176" zoomScaleNormal="100" zoomScalePageLayoutView="80" workbookViewId="0">
      <selection activeCell="AQ129" sqref="AQ129"/>
    </sheetView>
  </sheetViews>
  <sheetFormatPr defaultColWidth="8.796875" defaultRowHeight="13.2" x14ac:dyDescent="0.25"/>
  <cols>
    <col min="1" max="1" width="25.296875" style="153" customWidth="1"/>
    <col min="2" max="2" width="39.19921875" style="153" customWidth="1"/>
    <col min="3" max="3" width="29.796875" style="153" customWidth="1"/>
    <col min="4" max="4" width="25.5" style="153" customWidth="1"/>
    <col min="5" max="5" width="26.19921875" style="153" customWidth="1"/>
    <col min="6" max="8" width="14.19921875" style="153" customWidth="1"/>
    <col min="9" max="9" width="18.296875" style="153" bestFit="1" customWidth="1"/>
    <col min="10" max="10" width="36" style="153" bestFit="1" customWidth="1"/>
    <col min="11" max="12" width="12.5" style="153" customWidth="1"/>
    <col min="13" max="13" width="15.5" style="153" customWidth="1"/>
    <col min="14" max="14" width="31" style="153" bestFit="1" customWidth="1"/>
    <col min="15" max="15" width="18.296875" style="153" bestFit="1" customWidth="1"/>
    <col min="16" max="16" width="43.69921875" style="153" bestFit="1" customWidth="1"/>
    <col min="17" max="17" width="19.796875" style="153" bestFit="1" customWidth="1"/>
    <col min="18" max="18" width="14.19921875" style="153" bestFit="1" customWidth="1"/>
    <col min="19" max="20" width="10.69921875" style="153" customWidth="1"/>
    <col min="21" max="21" width="19.69921875" style="153" customWidth="1"/>
    <col min="22" max="22" width="9.5" style="153" customWidth="1"/>
    <col min="23" max="23" width="20" style="153" customWidth="1"/>
    <col min="24" max="24" width="10.69921875" style="153" customWidth="1"/>
    <col min="25" max="25" width="10.69921875" style="153" bestFit="1" customWidth="1"/>
    <col min="26" max="26" width="22.19921875" style="153" bestFit="1" customWidth="1"/>
    <col min="27" max="27" width="12.296875" style="153" bestFit="1" customWidth="1"/>
    <col min="28" max="28" width="15.69921875" style="153" customWidth="1"/>
    <col min="29" max="29" width="9.296875" style="153" bestFit="1" customWidth="1"/>
    <col min="30" max="30" width="9.5" style="153" customWidth="1"/>
    <col min="31" max="31" width="9.69921875" style="153" customWidth="1"/>
    <col min="32" max="32" width="7.5" style="153" customWidth="1"/>
    <col min="33" max="33" width="10" style="153" bestFit="1" customWidth="1"/>
    <col min="34" max="35" width="6.5" style="153" bestFit="1" customWidth="1"/>
    <col min="36" max="36" width="9.19921875" style="153" bestFit="1" customWidth="1"/>
    <col min="37" max="37" width="10" style="153" bestFit="1" customWidth="1"/>
    <col min="38" max="38" width="15" style="153" bestFit="1" customWidth="1"/>
    <col min="39" max="39" width="8.796875" style="153" bestFit="1" customWidth="1"/>
    <col min="40" max="40" width="7" style="153" customWidth="1"/>
    <col min="41" max="41" width="15" style="153" bestFit="1" customWidth="1"/>
    <col min="42" max="42" width="21.5" style="153" customWidth="1"/>
    <col min="43" max="43" width="12.19921875" style="153" bestFit="1" customWidth="1"/>
    <col min="44" max="44" width="7.69921875" style="153" bestFit="1" customWidth="1"/>
    <col min="45" max="45" width="9.69921875" style="153" bestFit="1" customWidth="1"/>
    <col min="46" max="46" width="12.296875" style="153" bestFit="1" customWidth="1"/>
    <col min="47" max="47" width="7.69921875" style="153" bestFit="1" customWidth="1"/>
    <col min="48" max="48" width="9.69921875" style="153" bestFit="1" customWidth="1"/>
    <col min="49" max="49" width="12.296875" style="153" bestFit="1" customWidth="1"/>
    <col min="50" max="50" width="10.19921875" style="153" customWidth="1"/>
    <col min="51" max="51" width="9.69921875" style="153" bestFit="1" customWidth="1"/>
    <col min="52" max="52" width="12.296875" style="153" bestFit="1" customWidth="1"/>
    <col min="53" max="53" width="12.296875" style="153" customWidth="1"/>
    <col min="54" max="54" width="7.69921875" style="153" customWidth="1"/>
    <col min="55" max="55" width="8.796875" style="153"/>
    <col min="56" max="56" width="5" style="153" bestFit="1" customWidth="1"/>
    <col min="57" max="57" width="11.296875" style="153" bestFit="1" customWidth="1"/>
    <col min="58" max="58" width="5" style="153" bestFit="1" customWidth="1"/>
    <col min="59" max="60" width="7.19921875" style="153" bestFit="1" customWidth="1"/>
    <col min="61" max="61" width="6.19921875" style="153" bestFit="1" customWidth="1"/>
    <col min="62" max="63" width="7.19921875" style="153" bestFit="1" customWidth="1"/>
    <col min="64" max="64" width="6.19921875" style="153" bestFit="1" customWidth="1"/>
    <col min="65" max="66" width="7.19921875" style="153" bestFit="1" customWidth="1"/>
    <col min="67" max="68" width="6.19921875" style="153" bestFit="1" customWidth="1"/>
    <col min="69" max="16384" width="8.796875" style="153"/>
  </cols>
  <sheetData>
    <row r="1" spans="1:154" s="160" customFormat="1" ht="21" x14ac:dyDescent="0.4">
      <c r="A1" s="155" t="str">
        <f ca="1">MID(CELL("filename",A1),FIND("]",CELL("filename",A1))+1,256)</f>
        <v>Passenger-km_cluster</v>
      </c>
      <c r="B1" s="156"/>
      <c r="C1" s="157" t="s">
        <v>540</v>
      </c>
      <c r="D1" s="157" t="s">
        <v>541</v>
      </c>
      <c r="E1" s="157"/>
      <c r="F1" s="157"/>
      <c r="G1" s="157"/>
      <c r="H1" s="157"/>
      <c r="I1" s="619" t="s">
        <v>473</v>
      </c>
      <c r="J1" s="619"/>
      <c r="K1" s="619"/>
      <c r="L1" s="619"/>
      <c r="M1" s="619"/>
      <c r="N1" s="619"/>
      <c r="O1" s="619"/>
      <c r="P1" s="619"/>
      <c r="Q1" s="619"/>
      <c r="R1" s="619"/>
      <c r="S1" s="619"/>
      <c r="T1" s="619"/>
      <c r="U1" s="158"/>
      <c r="V1" s="158"/>
      <c r="W1" s="159"/>
      <c r="X1" s="159"/>
      <c r="Y1" s="159"/>
      <c r="EP1" s="161"/>
      <c r="ET1" s="162"/>
      <c r="EU1" s="162"/>
      <c r="EV1" s="162"/>
      <c r="EW1" s="162"/>
      <c r="EX1" s="162"/>
    </row>
    <row r="2" spans="1:154" ht="30" customHeight="1" thickBot="1" x14ac:dyDescent="0.3">
      <c r="I2" s="443" t="s">
        <v>212</v>
      </c>
      <c r="J2" s="234">
        <v>2020</v>
      </c>
      <c r="L2" s="616" t="s">
        <v>521</v>
      </c>
      <c r="M2" s="616"/>
      <c r="N2" s="616"/>
      <c r="O2" s="616"/>
    </row>
    <row r="3" spans="1:154" ht="30.75" customHeight="1" thickBot="1" x14ac:dyDescent="0.3">
      <c r="E3" s="614" t="s">
        <v>258</v>
      </c>
      <c r="F3" s="615"/>
      <c r="I3" s="443" t="s">
        <v>215</v>
      </c>
      <c r="J3" s="234">
        <v>2050</v>
      </c>
      <c r="N3" s="153" t="s">
        <v>301</v>
      </c>
      <c r="O3" s="153" t="s">
        <v>302</v>
      </c>
    </row>
    <row r="4" spans="1:154" ht="13.8" thickBot="1" x14ac:dyDescent="0.3">
      <c r="E4" s="442" t="s">
        <v>469</v>
      </c>
      <c r="F4" s="420">
        <v>2018</v>
      </c>
      <c r="G4" s="153" t="s">
        <v>260</v>
      </c>
      <c r="H4" s="153" t="s">
        <v>207</v>
      </c>
      <c r="L4" s="617" t="s">
        <v>368</v>
      </c>
      <c r="M4" s="153" t="s">
        <v>377</v>
      </c>
      <c r="N4" s="164">
        <f ca="1">SUM(OFFSET(AV136,J2-2015,0,J3-J2+1,1))/1000</f>
        <v>0</v>
      </c>
      <c r="O4" s="164">
        <f>SUM(AV136:AV181)/1000</f>
        <v>0</v>
      </c>
    </row>
    <row r="5" spans="1:154" ht="12.75" customHeight="1" x14ac:dyDescent="0.25">
      <c r="E5" s="498" t="s">
        <v>61</v>
      </c>
      <c r="F5" s="499">
        <v>1.4999999999999999E-2</v>
      </c>
      <c r="G5" s="167" t="s">
        <v>211</v>
      </c>
      <c r="H5" s="167" t="s">
        <v>213</v>
      </c>
      <c r="L5" s="617"/>
      <c r="M5" s="153" t="s">
        <v>375</v>
      </c>
      <c r="N5" s="164">
        <f ca="1">SUM(OFFSET(AU136,J2-2015,0,J3-J2+1,1))/1000</f>
        <v>7362443264.9370937</v>
      </c>
      <c r="O5" s="164">
        <f>SUM(AU136:AU181)/1000</f>
        <v>15653492643.795349</v>
      </c>
    </row>
    <row r="6" spans="1:154" ht="13.8" x14ac:dyDescent="0.25">
      <c r="E6" s="498" t="s">
        <v>167</v>
      </c>
      <c r="F6" s="499">
        <v>0.151</v>
      </c>
      <c r="G6" s="167" t="s">
        <v>211</v>
      </c>
      <c r="H6" s="167" t="s">
        <v>213</v>
      </c>
    </row>
    <row r="7" spans="1:154" ht="13.8" x14ac:dyDescent="0.25">
      <c r="A7" s="35" t="s">
        <v>491</v>
      </c>
      <c r="E7" s="498" t="s">
        <v>23</v>
      </c>
      <c r="F7" s="499">
        <v>0.25800000000000001</v>
      </c>
      <c r="G7" s="167" t="s">
        <v>211</v>
      </c>
      <c r="H7" s="167" t="s">
        <v>213</v>
      </c>
      <c r="I7" s="516"/>
      <c r="J7" s="516"/>
      <c r="K7" s="516"/>
      <c r="L7" s="618" t="s">
        <v>369</v>
      </c>
      <c r="M7" s="497" t="s">
        <v>377</v>
      </c>
      <c r="N7" s="164">
        <f ca="1">SUM(OFFSET(AA195,J2-2015,0,J3-J2+1,1))/1000</f>
        <v>0</v>
      </c>
      <c r="O7" s="164">
        <f>SUM(AA195:AA240)/1000</f>
        <v>0</v>
      </c>
      <c r="P7" s="165"/>
    </row>
    <row r="8" spans="1:154" ht="13.8" x14ac:dyDescent="0.25">
      <c r="A8" s="486" t="s">
        <v>368</v>
      </c>
      <c r="B8" s="487" t="s">
        <v>492</v>
      </c>
      <c r="C8" s="487"/>
      <c r="E8" s="498" t="s">
        <v>172</v>
      </c>
      <c r="F8" s="499">
        <v>0.13400000000000001</v>
      </c>
      <c r="G8" s="167" t="s">
        <v>211</v>
      </c>
      <c r="H8" s="167" t="s">
        <v>213</v>
      </c>
      <c r="L8" s="618"/>
      <c r="M8" s="153" t="s">
        <v>375</v>
      </c>
      <c r="N8" s="164">
        <f ca="1">SUM(OFFSET(Z195,J2-2015,0,J3-J2+1,1))/1000</f>
        <v>19647365887.606773</v>
      </c>
      <c r="O8" s="164">
        <f>SUM(Z195:Z240)/1000</f>
        <v>46640588652.506363</v>
      </c>
    </row>
    <row r="9" spans="1:154" ht="13.8" x14ac:dyDescent="0.25">
      <c r="A9" s="488" t="s">
        <v>369</v>
      </c>
      <c r="B9" s="489" t="s">
        <v>455</v>
      </c>
      <c r="C9" s="489"/>
      <c r="E9" s="498" t="s">
        <v>195</v>
      </c>
      <c r="F9" s="499">
        <v>0.316</v>
      </c>
      <c r="G9" s="167" t="s">
        <v>213</v>
      </c>
      <c r="H9" s="167" t="s">
        <v>211</v>
      </c>
    </row>
    <row r="10" spans="1:154" ht="52.8" x14ac:dyDescent="0.25">
      <c r="A10" s="527" t="s">
        <v>592</v>
      </c>
      <c r="B10" s="490" t="s">
        <v>509</v>
      </c>
      <c r="C10" s="493" t="s">
        <v>512</v>
      </c>
      <c r="E10" s="498" t="s">
        <v>176</v>
      </c>
      <c r="F10" s="499">
        <v>5.5E-2</v>
      </c>
      <c r="G10" s="167" t="s">
        <v>211</v>
      </c>
      <c r="H10" s="167" t="s">
        <v>213</v>
      </c>
    </row>
    <row r="11" spans="1:154" ht="52.8" x14ac:dyDescent="0.25">
      <c r="A11" s="527" t="s">
        <v>593</v>
      </c>
      <c r="B11" s="490" t="s">
        <v>507</v>
      </c>
      <c r="C11" s="493" t="s">
        <v>512</v>
      </c>
      <c r="E11" s="498"/>
      <c r="F11" s="499"/>
      <c r="G11" s="167"/>
      <c r="H11" s="167"/>
      <c r="L11" s="617" t="s">
        <v>522</v>
      </c>
      <c r="M11" s="497" t="s">
        <v>377</v>
      </c>
      <c r="N11" s="164">
        <f ca="1">N4+N7</f>
        <v>0</v>
      </c>
      <c r="O11" s="164">
        <f>O4+O7</f>
        <v>0</v>
      </c>
    </row>
    <row r="12" spans="1:154" ht="13.8" x14ac:dyDescent="0.25">
      <c r="A12" s="488" t="s">
        <v>493</v>
      </c>
      <c r="B12" s="489" t="s">
        <v>506</v>
      </c>
      <c r="C12" s="489"/>
      <c r="E12" s="498"/>
      <c r="F12" s="499"/>
      <c r="G12" s="167"/>
      <c r="H12" s="167"/>
      <c r="L12" s="617"/>
      <c r="M12" s="153" t="s">
        <v>375</v>
      </c>
      <c r="N12" s="164">
        <f ca="1">N5+N8</f>
        <v>27009809152.543869</v>
      </c>
      <c r="O12" s="164">
        <f>O5+O8</f>
        <v>62294081296.301712</v>
      </c>
      <c r="P12" s="163"/>
    </row>
    <row r="13" spans="1:154" ht="13.8" x14ac:dyDescent="0.25">
      <c r="A13" s="488" t="s">
        <v>494</v>
      </c>
      <c r="B13" s="489" t="s">
        <v>495</v>
      </c>
      <c r="C13" s="489"/>
      <c r="E13" s="498"/>
      <c r="F13" s="499"/>
      <c r="G13" s="167"/>
      <c r="H13" s="167"/>
      <c r="P13" s="166"/>
      <c r="R13" s="165"/>
    </row>
    <row r="14" spans="1:154" ht="13.8" x14ac:dyDescent="0.25">
      <c r="A14" s="488" t="s">
        <v>339</v>
      </c>
      <c r="B14" s="489" t="s">
        <v>496</v>
      </c>
      <c r="C14" s="489"/>
      <c r="E14" s="498"/>
      <c r="F14" s="499"/>
      <c r="G14" s="167"/>
      <c r="H14" s="167"/>
      <c r="L14" s="168"/>
      <c r="M14" s="168"/>
      <c r="N14" s="168"/>
      <c r="O14" s="168"/>
      <c r="P14" s="168"/>
      <c r="Q14" s="168"/>
    </row>
    <row r="15" spans="1:154" ht="13.8" x14ac:dyDescent="0.25">
      <c r="A15" s="488" t="s">
        <v>497</v>
      </c>
      <c r="B15" s="489" t="s">
        <v>498</v>
      </c>
      <c r="C15" s="489"/>
      <c r="E15" s="498"/>
      <c r="F15" s="499"/>
      <c r="G15" s="167"/>
      <c r="H15" s="167"/>
      <c r="L15" s="618"/>
      <c r="M15" s="618"/>
      <c r="N15" s="618"/>
      <c r="O15" s="618"/>
      <c r="P15" s="169"/>
      <c r="R15" s="165"/>
    </row>
    <row r="16" spans="1:154" ht="13.8" x14ac:dyDescent="0.25">
      <c r="A16" s="488" t="s">
        <v>499</v>
      </c>
      <c r="B16" s="489" t="s">
        <v>6</v>
      </c>
      <c r="C16" s="489"/>
      <c r="E16" s="498"/>
      <c r="F16" s="499"/>
      <c r="G16" s="167"/>
      <c r="H16" s="167"/>
      <c r="L16" s="618"/>
      <c r="M16" s="618"/>
      <c r="N16" s="618"/>
      <c r="O16" s="618"/>
      <c r="P16" s="163"/>
      <c r="R16" s="165"/>
    </row>
    <row r="17" spans="1:68" x14ac:dyDescent="0.25">
      <c r="A17" s="488" t="s">
        <v>500</v>
      </c>
      <c r="B17" s="489" t="s">
        <v>501</v>
      </c>
      <c r="C17" s="489"/>
    </row>
    <row r="18" spans="1:68" x14ac:dyDescent="0.25">
      <c r="A18" s="489" t="s">
        <v>510</v>
      </c>
      <c r="B18" s="489" t="s">
        <v>511</v>
      </c>
      <c r="C18" s="489"/>
      <c r="E18" s="142" t="s">
        <v>471</v>
      </c>
      <c r="G18" s="153" t="s">
        <v>217</v>
      </c>
    </row>
    <row r="19" spans="1:68" x14ac:dyDescent="0.25">
      <c r="E19" s="171" t="s">
        <v>216</v>
      </c>
      <c r="F19" s="233"/>
      <c r="G19" s="167" t="s">
        <v>211</v>
      </c>
    </row>
    <row r="20" spans="1:68" x14ac:dyDescent="0.25">
      <c r="E20" s="443" t="s">
        <v>472</v>
      </c>
      <c r="F20" s="444">
        <v>0.5</v>
      </c>
    </row>
    <row r="21" spans="1:68" ht="13.8" x14ac:dyDescent="0.25">
      <c r="E21" s="500" t="s">
        <v>326</v>
      </c>
      <c r="F21" s="501">
        <v>0.25807604271849455</v>
      </c>
    </row>
    <row r="22" spans="1:68" ht="13.8" x14ac:dyDescent="0.25">
      <c r="E22" s="500" t="s">
        <v>268</v>
      </c>
      <c r="F22" s="518">
        <v>4559.9356816308</v>
      </c>
    </row>
    <row r="23" spans="1:68" x14ac:dyDescent="0.25">
      <c r="D23" s="443"/>
      <c r="E23" s="443" t="s">
        <v>527</v>
      </c>
      <c r="F23" s="420"/>
    </row>
    <row r="24" spans="1:68" ht="13.8" thickBot="1" x14ac:dyDescent="0.3">
      <c r="E24" s="443" t="s">
        <v>528</v>
      </c>
      <c r="F24" s="420"/>
    </row>
    <row r="25" spans="1:68" ht="15" customHeight="1" thickBot="1" x14ac:dyDescent="0.3">
      <c r="A25" s="646" t="str">
        <f>CONCATENATE("Table 2: REF2, ",C1," TAM ",D1)</f>
        <v>Table 2: REF2, Passenger Travel Demand TAM (Passenger km)</v>
      </c>
      <c r="B25" s="647"/>
      <c r="C25" s="647"/>
      <c r="D25" s="647"/>
      <c r="E25" s="647"/>
      <c r="F25" s="699"/>
      <c r="G25" s="647"/>
      <c r="H25" s="647"/>
      <c r="I25" s="647"/>
      <c r="J25" s="647"/>
      <c r="K25" s="648"/>
      <c r="M25" s="638" t="str">
        <f>CONCATENATE("Table 3: REF1 ,",C1," TAM ",D1)</f>
        <v>Table 3: REF1 ,Passenger Travel Demand TAM (Passenger km)</v>
      </c>
      <c r="N25" s="639"/>
      <c r="O25" s="639"/>
      <c r="P25" s="639"/>
      <c r="Q25" s="639"/>
      <c r="R25" s="639"/>
      <c r="S25" s="639"/>
      <c r="T25" s="639"/>
      <c r="U25" s="639"/>
      <c r="V25" s="639"/>
      <c r="W25" s="640"/>
      <c r="Y25" s="627" t="str">
        <f>CONCATENATE("Table 3: REF1 ",$C$1," TAM ",$D$1)</f>
        <v>Table 3: REF1 Passenger Travel Demand TAM (Passenger km)</v>
      </c>
      <c r="Z25" s="627"/>
      <c r="AA25" s="627"/>
      <c r="AB25" s="627"/>
      <c r="AC25" s="627"/>
      <c r="AD25" s="627"/>
      <c r="AE25" s="627"/>
      <c r="AF25" s="627"/>
      <c r="AG25" s="627"/>
      <c r="AH25" s="627"/>
      <c r="AI25" s="627"/>
      <c r="AK25" s="628" t="str">
        <f>CONCATENATE("Table 3: REF1 ",$C$1," TAM ",$D$1)</f>
        <v>Table 3: REF1 Passenger Travel Demand TAM (Passenger km)</v>
      </c>
      <c r="AL25" s="629"/>
      <c r="AM25" s="629"/>
      <c r="AN25" s="629"/>
      <c r="AO25" s="629"/>
      <c r="AP25" s="629"/>
      <c r="AQ25" s="629"/>
      <c r="AR25" s="629"/>
      <c r="AS25" s="629"/>
      <c r="AT25" s="629"/>
      <c r="AU25" s="630"/>
    </row>
    <row r="26" spans="1:68" ht="15.6" x14ac:dyDescent="0.25">
      <c r="A26" s="649" t="str">
        <f ca="1">CONCATENATE("COPY TABLES BELOW FROM LATEST ",A1," SOLUTION MODELS")</f>
        <v>COPY TABLES BELOW FROM LATEST Passenger-km_cluster SOLUTION MODELS</v>
      </c>
      <c r="B26" s="649"/>
      <c r="C26" s="649"/>
      <c r="D26" s="649"/>
      <c r="E26" s="649"/>
      <c r="F26" s="649"/>
      <c r="G26" s="649"/>
      <c r="H26" s="649"/>
      <c r="I26" s="649"/>
      <c r="J26" s="649"/>
      <c r="K26" s="649"/>
      <c r="M26" s="631" t="s">
        <v>474</v>
      </c>
      <c r="N26" s="631"/>
      <c r="O26" s="631"/>
      <c r="P26" s="631"/>
      <c r="Q26" s="631"/>
      <c r="R26" s="631"/>
      <c r="S26" s="631"/>
      <c r="T26" s="631"/>
      <c r="U26" s="631"/>
      <c r="V26" s="631"/>
      <c r="W26" s="631"/>
      <c r="Y26" s="637" t="s">
        <v>476</v>
      </c>
      <c r="Z26" s="637"/>
      <c r="AA26" s="637"/>
      <c r="AB26" s="637"/>
      <c r="AC26" s="637"/>
      <c r="AD26" s="637"/>
      <c r="AE26" s="637"/>
      <c r="AF26" s="637"/>
      <c r="AG26" s="637"/>
      <c r="AH26" s="637"/>
      <c r="AI26" s="637"/>
      <c r="AK26" s="631" t="s">
        <v>477</v>
      </c>
      <c r="AL26" s="632"/>
      <c r="AM26" s="632"/>
      <c r="AN26" s="632"/>
      <c r="AO26" s="632"/>
      <c r="AP26" s="632"/>
      <c r="AQ26" s="632"/>
      <c r="AR26" s="632"/>
      <c r="AS26" s="632"/>
      <c r="AT26" s="632"/>
      <c r="AU26" s="633"/>
    </row>
    <row r="27" spans="1:68" ht="13.8" thickBot="1" x14ac:dyDescent="0.3">
      <c r="A27" s="435"/>
      <c r="B27" s="528" t="s">
        <v>604</v>
      </c>
      <c r="C27" s="460" t="s">
        <v>211</v>
      </c>
      <c r="D27" s="460" t="s">
        <v>211</v>
      </c>
      <c r="E27" s="460" t="s">
        <v>213</v>
      </c>
      <c r="F27" s="460" t="s">
        <v>213</v>
      </c>
      <c r="G27" s="460" t="s">
        <v>211</v>
      </c>
      <c r="H27" s="435"/>
      <c r="I27" s="435"/>
      <c r="J27" s="435"/>
      <c r="K27" s="435"/>
      <c r="M27" s="455"/>
      <c r="N27" s="461" t="str">
        <f>B27</f>
        <v>Regions included as LLDC:</v>
      </c>
      <c r="O27" s="462" t="str">
        <f>C27</f>
        <v>N</v>
      </c>
      <c r="P27" s="462" t="str">
        <f t="shared" ref="P27:S28" si="0">D27</f>
        <v>N</v>
      </c>
      <c r="Q27" s="462" t="str">
        <f t="shared" si="0"/>
        <v>Y</v>
      </c>
      <c r="R27" s="462" t="str">
        <f t="shared" si="0"/>
        <v>Y</v>
      </c>
      <c r="S27" s="462" t="str">
        <f t="shared" si="0"/>
        <v>N</v>
      </c>
      <c r="T27" s="435"/>
      <c r="U27" s="435"/>
      <c r="V27" s="435"/>
      <c r="W27" s="435"/>
      <c r="Y27" s="455"/>
      <c r="Z27" s="461" t="str">
        <f>B27</f>
        <v>Regions included as LLDC:</v>
      </c>
      <c r="AA27" s="462" t="str">
        <f>O27</f>
        <v>N</v>
      </c>
      <c r="AB27" s="462" t="str">
        <f t="shared" ref="AB27:AE28" si="1">P27</f>
        <v>N</v>
      </c>
      <c r="AC27" s="462" t="str">
        <f t="shared" si="1"/>
        <v>Y</v>
      </c>
      <c r="AD27" s="462" t="str">
        <f t="shared" si="1"/>
        <v>Y</v>
      </c>
      <c r="AE27" s="462" t="str">
        <f t="shared" si="1"/>
        <v>N</v>
      </c>
      <c r="AF27" s="435"/>
      <c r="AG27" s="435"/>
      <c r="AH27" s="435"/>
      <c r="AI27" s="435"/>
      <c r="AK27" s="435"/>
      <c r="AL27" s="435"/>
      <c r="AM27" s="435"/>
      <c r="AN27" s="435"/>
      <c r="AO27" s="435"/>
      <c r="AP27" s="435"/>
      <c r="AQ27" s="435"/>
      <c r="AR27" s="435"/>
      <c r="AS27" s="435"/>
      <c r="AT27" s="435"/>
      <c r="AU27" s="435"/>
      <c r="AW27" s="153" t="s">
        <v>478</v>
      </c>
    </row>
    <row r="28" spans="1:68" ht="132.6" thickBot="1" x14ac:dyDescent="0.3">
      <c r="A28" s="213"/>
      <c r="B28" s="474" t="s">
        <v>4</v>
      </c>
      <c r="C28" s="475" t="s">
        <v>355</v>
      </c>
      <c r="D28" s="475" t="s">
        <v>349</v>
      </c>
      <c r="E28" s="475" t="s">
        <v>441</v>
      </c>
      <c r="F28" s="475"/>
      <c r="G28" s="475"/>
      <c r="H28" s="475"/>
      <c r="I28" s="475"/>
      <c r="J28" s="475"/>
      <c r="K28" s="476"/>
      <c r="M28" s="189"/>
      <c r="N28" s="190" t="s">
        <v>4</v>
      </c>
      <c r="O28" s="191" t="str">
        <f>C28</f>
        <v>IEA (2017) ETP - Total Mobility RTS Scenario- OECD Region</v>
      </c>
      <c r="P28" s="191" t="str">
        <f t="shared" si="0"/>
        <v>IEA (2017) ETP - Total Mobility - RTS Scenario - Non OECD Region (less China, Mexico, Brazil, Russia)</v>
      </c>
      <c r="Q28" s="191" t="str">
        <f t="shared" si="0"/>
        <v>IEA (2017) ETP - Total Passenger Mobility - RTS (Only Brazil, Mexico,China, Russia)</v>
      </c>
      <c r="R28" s="191">
        <f t="shared" si="0"/>
        <v>0</v>
      </c>
      <c r="S28" s="191">
        <f t="shared" si="0"/>
        <v>0</v>
      </c>
      <c r="T28" s="191">
        <f t="shared" ref="T28:W28" si="2">H28</f>
        <v>0</v>
      </c>
      <c r="U28" s="191">
        <f t="shared" si="2"/>
        <v>0</v>
      </c>
      <c r="V28" s="191">
        <f t="shared" si="2"/>
        <v>0</v>
      </c>
      <c r="W28" s="191">
        <f t="shared" si="2"/>
        <v>0</v>
      </c>
      <c r="Y28" s="456"/>
      <c r="Z28" s="457" t="s">
        <v>4</v>
      </c>
      <c r="AA28" s="458" t="str">
        <f>O28</f>
        <v>IEA (2017) ETP - Total Mobility RTS Scenario- OECD Region</v>
      </c>
      <c r="AB28" s="458" t="str">
        <f t="shared" si="1"/>
        <v>IEA (2017) ETP - Total Mobility - RTS Scenario - Non OECD Region (less China, Mexico, Brazil, Russia)</v>
      </c>
      <c r="AC28" s="458" t="str">
        <f t="shared" si="1"/>
        <v>IEA (2017) ETP - Total Passenger Mobility - RTS (Only Brazil, Mexico,China, Russia)</v>
      </c>
      <c r="AD28" s="458">
        <f t="shared" si="1"/>
        <v>0</v>
      </c>
      <c r="AE28" s="458">
        <f t="shared" si="1"/>
        <v>0</v>
      </c>
      <c r="AF28" s="458">
        <f t="shared" ref="AF28:AI28" si="3">T28</f>
        <v>0</v>
      </c>
      <c r="AG28" s="458">
        <f t="shared" si="3"/>
        <v>0</v>
      </c>
      <c r="AH28" s="458">
        <f t="shared" si="3"/>
        <v>0</v>
      </c>
      <c r="AI28" s="458">
        <f t="shared" si="3"/>
        <v>0</v>
      </c>
      <c r="AK28" s="456"/>
      <c r="AL28" s="457" t="s">
        <v>4</v>
      </c>
      <c r="AM28" s="458" t="s">
        <v>5</v>
      </c>
      <c r="AN28" s="458" t="s">
        <v>6</v>
      </c>
      <c r="AO28" s="458" t="s">
        <v>7</v>
      </c>
      <c r="AP28" s="458" t="s">
        <v>8</v>
      </c>
      <c r="AQ28" s="458" t="s">
        <v>9</v>
      </c>
      <c r="AR28" s="458" t="s">
        <v>10</v>
      </c>
      <c r="AS28" s="458" t="s">
        <v>11</v>
      </c>
      <c r="AT28" s="458" t="s">
        <v>12</v>
      </c>
      <c r="AU28" s="458" t="s">
        <v>13</v>
      </c>
      <c r="AW28" s="153" t="s">
        <v>479</v>
      </c>
      <c r="AY28" s="153" t="s">
        <v>480</v>
      </c>
      <c r="BA28" s="153" t="s">
        <v>504</v>
      </c>
      <c r="BB28" s="153" t="s">
        <v>5</v>
      </c>
      <c r="BC28" s="153" t="s">
        <v>6</v>
      </c>
      <c r="BD28" s="153" t="s">
        <v>7</v>
      </c>
      <c r="BE28" s="153" t="s">
        <v>8</v>
      </c>
      <c r="BF28" s="153" t="s">
        <v>9</v>
      </c>
    </row>
    <row r="29" spans="1:68" ht="15.6" x14ac:dyDescent="0.3">
      <c r="A29" s="194">
        <v>2014</v>
      </c>
      <c r="B29" s="229">
        <v>53913616479387.047</v>
      </c>
      <c r="C29" s="229">
        <f>H335*10^9</f>
        <v>17944221871904.836</v>
      </c>
      <c r="D29" s="229">
        <f>H269*10^9</f>
        <v>18368056852998.395</v>
      </c>
      <c r="E29" s="229">
        <f>H404*10^9</f>
        <v>14469406876708.885</v>
      </c>
      <c r="F29" s="229"/>
      <c r="G29" s="229"/>
      <c r="H29" s="229"/>
      <c r="I29" s="229"/>
      <c r="J29" s="229"/>
      <c r="K29" s="229"/>
      <c r="M29" s="194">
        <v>2014</v>
      </c>
      <c r="N29" s="419">
        <f t="shared" ref="N29:N75" si="4">SUM(O29:S29)</f>
        <v>7346269393596.9023</v>
      </c>
      <c r="O29" s="418">
        <f>(C29/Population_Tables!P3)*Population_Tables!D62</f>
        <v>0</v>
      </c>
      <c r="P29" s="418">
        <f>(D29/Population_Tables!Q3)*Population_Tables!E62</f>
        <v>0</v>
      </c>
      <c r="Q29" s="418">
        <f>((E29-H29)/Population_Tables!R3)*Population_Tables!F62</f>
        <v>7346269393596.9023</v>
      </c>
      <c r="R29" s="418">
        <f>(F29/Population_Tables!S3)*Population_Tables!G62</f>
        <v>0</v>
      </c>
      <c r="S29" s="418">
        <f>(G29/Population_Tables!T3)*Population_Tables!H62</f>
        <v>0</v>
      </c>
      <c r="T29" s="418">
        <f>(H29/Population_Tables!U3)*Population_Tables!I62</f>
        <v>0</v>
      </c>
      <c r="U29" s="418">
        <f>(I29/Population_Tables!V3)*Population_Tables!J62</f>
        <v>0</v>
      </c>
      <c r="V29" s="418">
        <f>(J29/Population_Tables!W3)*Population_Tables!K62</f>
        <v>0</v>
      </c>
      <c r="W29" s="418">
        <f>(K29/Population_Tables!X3)*Population_Tables!L62</f>
        <v>0</v>
      </c>
      <c r="Y29" s="456">
        <v>2014</v>
      </c>
      <c r="Z29" s="459">
        <f>((B29/Population_Tables!O3)*Population_Tables!C3)-N29</f>
        <v>46567255897730.297</v>
      </c>
      <c r="AA29" s="459">
        <f>((C29/Population_Tables!P3)*Population_Tables!D3)-O29</f>
        <v>17944221871904.836</v>
      </c>
      <c r="AB29" s="459">
        <f>((D29/Population_Tables!Q3)*Population_Tables!E3)-P29</f>
        <v>18368056852998.395</v>
      </c>
      <c r="AC29" s="459">
        <f>((E29/Population_Tables!R3)*Population_Tables!F3)-Q29</f>
        <v>7123092363319.4648</v>
      </c>
      <c r="AD29" s="459">
        <f>((F29/Population_Tables!S3)*Population_Tables!G3)-R29</f>
        <v>0</v>
      </c>
      <c r="AE29" s="459">
        <f>((G29/Population_Tables!T3)*Population_Tables!H3)-S29</f>
        <v>0</v>
      </c>
      <c r="AF29" s="459">
        <f>(H29/Population_Tables!U3)*Population_Tables!I3</f>
        <v>0</v>
      </c>
      <c r="AG29" s="459">
        <f>(I29/Population_Tables!V3)*Population_Tables!J3</f>
        <v>0</v>
      </c>
      <c r="AH29" s="459">
        <f>(J29/Population_Tables!W3)*Population_Tables!K3</f>
        <v>0</v>
      </c>
      <c r="AI29" s="459">
        <f>(K29/Population_Tables!X3)*Population_Tables!L3</f>
        <v>0</v>
      </c>
      <c r="AK29" s="456">
        <v>2014</v>
      </c>
      <c r="AL29" s="459">
        <f>Z29+N29</f>
        <v>53913525291327.203</v>
      </c>
      <c r="AM29" s="459">
        <f t="shared" ref="AM29:AU44" si="5">AA29+O29</f>
        <v>17944221871904.836</v>
      </c>
      <c r="AN29" s="459">
        <f t="shared" si="5"/>
        <v>18368056852998.395</v>
      </c>
      <c r="AO29" s="459">
        <f t="shared" si="5"/>
        <v>14469361756916.367</v>
      </c>
      <c r="AP29" s="459">
        <f t="shared" si="5"/>
        <v>0</v>
      </c>
      <c r="AQ29" s="459">
        <f t="shared" si="5"/>
        <v>0</v>
      </c>
      <c r="AR29" s="459">
        <f t="shared" si="5"/>
        <v>0</v>
      </c>
      <c r="AS29" s="459">
        <f t="shared" si="5"/>
        <v>0</v>
      </c>
      <c r="AT29" s="459">
        <f t="shared" si="5"/>
        <v>0</v>
      </c>
      <c r="AU29" s="459">
        <f t="shared" si="5"/>
        <v>0</v>
      </c>
      <c r="AW29" s="216">
        <f>(B29/Population_Tables!O3)*Population_Tables!C3</f>
        <v>53913525291327.195</v>
      </c>
      <c r="AX29" s="153" t="b">
        <f>IF(AW29-AL29=0,"OK")</f>
        <v>0</v>
      </c>
      <c r="AY29" s="421">
        <f t="shared" ref="AY29:AY75" si="6">SUM(BB29:BF29)</f>
        <v>50781640481819.602</v>
      </c>
      <c r="AZ29" s="153" t="str">
        <f t="shared" ref="AZ29:AZ75" si="7">IF(AY29-(SUM(AM29:AQ29))=0,"OK")</f>
        <v>OK</v>
      </c>
      <c r="BB29" s="216">
        <f>(C29/Population_Tables!P3)*Population_Tables!D3</f>
        <v>17944221871904.836</v>
      </c>
      <c r="BC29" s="216">
        <f>(D29/Population_Tables!Q3)*Population_Tables!E3</f>
        <v>18368056852998.395</v>
      </c>
      <c r="BD29" s="216">
        <f>(E29/Population_Tables!R3)*Population_Tables!F3</f>
        <v>14469361756916.367</v>
      </c>
      <c r="BE29" s="216">
        <f>(F29/Population_Tables!S3)*Population_Tables!G3</f>
        <v>0</v>
      </c>
      <c r="BF29" s="216">
        <f>(G29/Population_Tables!T3)*Population_Tables!H3</f>
        <v>0</v>
      </c>
      <c r="BG29" s="216"/>
      <c r="BN29" s="216"/>
      <c r="BO29" s="216"/>
      <c r="BP29" s="216"/>
    </row>
    <row r="30" spans="1:68" ht="15.6" x14ac:dyDescent="0.3">
      <c r="A30" s="194">
        <v>2015</v>
      </c>
      <c r="B30" s="229">
        <v>55678286420657.695</v>
      </c>
      <c r="C30" s="229">
        <f t="shared" ref="C30:C75" si="8">H336*10^9</f>
        <v>18025401562858.074</v>
      </c>
      <c r="D30" s="229">
        <f t="shared" ref="D30:D75" si="9">H270*10^9</f>
        <v>18978853431504.145</v>
      </c>
      <c r="E30" s="229">
        <f t="shared" ref="E30:E75" si="10">H405*10^9</f>
        <v>15048168457035.797</v>
      </c>
      <c r="F30" s="229"/>
      <c r="G30" s="229"/>
      <c r="H30" s="229"/>
      <c r="I30" s="229"/>
      <c r="J30" s="229"/>
      <c r="K30" s="229"/>
      <c r="M30" s="194">
        <v>2015</v>
      </c>
      <c r="N30" s="419">
        <f t="shared" si="4"/>
        <v>7662273806848.4463</v>
      </c>
      <c r="O30" s="418">
        <f>(C30/Population_Tables!P4)*Population_Tables!D63</f>
        <v>0</v>
      </c>
      <c r="P30" s="418">
        <f>(D30/Population_Tables!Q4)*Population_Tables!E63</f>
        <v>0</v>
      </c>
      <c r="Q30" s="418">
        <f>((E30-H30)/Population_Tables!R4)*Population_Tables!F63</f>
        <v>7662273806848.4463</v>
      </c>
      <c r="R30" s="418">
        <f>(F30/Population_Tables!S4)*Population_Tables!G63</f>
        <v>0</v>
      </c>
      <c r="S30" s="418">
        <f>(G30/Population_Tables!T4)*Population_Tables!H63</f>
        <v>0</v>
      </c>
      <c r="T30" s="418">
        <f>(H30/Population_Tables!U4)*Population_Tables!I63</f>
        <v>0</v>
      </c>
      <c r="U30" s="418">
        <f>(I30/Population_Tables!V4)*Population_Tables!J63</f>
        <v>0</v>
      </c>
      <c r="V30" s="418">
        <f>(J30/Population_Tables!W4)*Population_Tables!K63</f>
        <v>0</v>
      </c>
      <c r="W30" s="418">
        <f>(K30/Population_Tables!X4)*Population_Tables!L63</f>
        <v>0</v>
      </c>
      <c r="Y30" s="456">
        <v>2015</v>
      </c>
      <c r="Z30" s="459">
        <f>((B30/Population_Tables!O4)*Population_Tables!C4)-N30</f>
        <v>48015920092939.352</v>
      </c>
      <c r="AA30" s="459">
        <f>((C30/Population_Tables!P4)*Population_Tables!D4)-O30</f>
        <v>18025401562858.074</v>
      </c>
      <c r="AB30" s="459">
        <f>((D30/Population_Tables!Q4)*Population_Tables!E4)-P30</f>
        <v>18978853431504.145</v>
      </c>
      <c r="AC30" s="459">
        <f>((E30/Population_Tables!R4)*Population_Tables!F4)-Q30</f>
        <v>7385848464948.8311</v>
      </c>
      <c r="AD30" s="459">
        <f>((F30/Population_Tables!S4)*Population_Tables!G4)-R30</f>
        <v>0</v>
      </c>
      <c r="AE30" s="459">
        <f>((G30/Population_Tables!T4)*Population_Tables!H4)-S30</f>
        <v>0</v>
      </c>
      <c r="AF30" s="459">
        <f>(H30/Population_Tables!U4)*Population_Tables!I4</f>
        <v>0</v>
      </c>
      <c r="AG30" s="459">
        <f>(I30/Population_Tables!V4)*Population_Tables!J4</f>
        <v>0</v>
      </c>
      <c r="AH30" s="459">
        <f>(J30/Population_Tables!W4)*Population_Tables!K4</f>
        <v>0</v>
      </c>
      <c r="AI30" s="459">
        <f>(K30/Population_Tables!X4)*Population_Tables!L4</f>
        <v>0</v>
      </c>
      <c r="AK30" s="456">
        <v>2015</v>
      </c>
      <c r="AL30" s="459">
        <f t="shared" ref="AL30:AU68" si="11">Z30+N30</f>
        <v>55678193899787.797</v>
      </c>
      <c r="AM30" s="459">
        <f t="shared" si="5"/>
        <v>18025401562858.074</v>
      </c>
      <c r="AN30" s="459">
        <f t="shared" si="5"/>
        <v>18978853431504.145</v>
      </c>
      <c r="AO30" s="459">
        <f t="shared" si="5"/>
        <v>15048122271797.277</v>
      </c>
      <c r="AP30" s="459">
        <f t="shared" si="5"/>
        <v>0</v>
      </c>
      <c r="AQ30" s="459">
        <f t="shared" si="5"/>
        <v>0</v>
      </c>
      <c r="AR30" s="459">
        <f t="shared" si="5"/>
        <v>0</v>
      </c>
      <c r="AS30" s="459">
        <f t="shared" si="5"/>
        <v>0</v>
      </c>
      <c r="AT30" s="459">
        <f t="shared" si="5"/>
        <v>0</v>
      </c>
      <c r="AU30" s="459">
        <f t="shared" si="5"/>
        <v>0</v>
      </c>
      <c r="AW30" s="216">
        <f>(B30/Population_Tables!O4)*Population_Tables!C4</f>
        <v>55678193899787.797</v>
      </c>
      <c r="AX30" s="153" t="str">
        <f t="shared" ref="AX30:AX75" si="12">IF(AW30-AL30=0,"OK")</f>
        <v>OK</v>
      </c>
      <c r="AY30" s="421">
        <f t="shared" si="6"/>
        <v>52052377266159.5</v>
      </c>
      <c r="AZ30" s="153" t="str">
        <f t="shared" si="7"/>
        <v>OK</v>
      </c>
      <c r="BB30" s="216">
        <f>(C30/Population_Tables!P4)*Population_Tables!D4</f>
        <v>18025401562858.074</v>
      </c>
      <c r="BC30" s="216">
        <f>(D30/Population_Tables!Q4)*Population_Tables!E4</f>
        <v>18978853431504.145</v>
      </c>
      <c r="BD30" s="216">
        <f>(E30/Population_Tables!R4)*Population_Tables!F4</f>
        <v>15048122271797.277</v>
      </c>
      <c r="BE30" s="216">
        <f>(F30/Population_Tables!S4)*Population_Tables!G4</f>
        <v>0</v>
      </c>
      <c r="BF30" s="216">
        <f>(G30/Population_Tables!T4)*Population_Tables!H4</f>
        <v>0</v>
      </c>
      <c r="BG30" s="216"/>
      <c r="BN30" s="216"/>
      <c r="BO30" s="216"/>
      <c r="BP30" s="216"/>
    </row>
    <row r="31" spans="1:68" ht="15.6" x14ac:dyDescent="0.3">
      <c r="A31" s="194">
        <v>2016</v>
      </c>
      <c r="B31" s="229">
        <v>57692988774069.531</v>
      </c>
      <c r="C31" s="229">
        <f t="shared" si="8"/>
        <v>18154129849832.75</v>
      </c>
      <c r="D31" s="229">
        <f t="shared" si="9"/>
        <v>19627894279113.238</v>
      </c>
      <c r="E31" s="229">
        <f t="shared" si="10"/>
        <v>15591454641211.641</v>
      </c>
      <c r="F31" s="229"/>
      <c r="G31" s="229"/>
      <c r="H31" s="229"/>
      <c r="I31" s="229"/>
      <c r="J31" s="229"/>
      <c r="K31" s="229"/>
      <c r="M31" s="194">
        <v>2016</v>
      </c>
      <c r="N31" s="419">
        <f t="shared" si="4"/>
        <v>7961173068223.9678</v>
      </c>
      <c r="O31" s="418">
        <f>(C31/Population_Tables!P5)*Population_Tables!D64</f>
        <v>0</v>
      </c>
      <c r="P31" s="418">
        <f>(D31/Population_Tables!Q5)*Population_Tables!E64</f>
        <v>0</v>
      </c>
      <c r="Q31" s="418">
        <f>((E31-H31)/Population_Tables!R5)*Population_Tables!F64</f>
        <v>7961173068223.9678</v>
      </c>
      <c r="R31" s="418">
        <f>(F31/Population_Tables!S5)*Population_Tables!G64</f>
        <v>0</v>
      </c>
      <c r="S31" s="418">
        <f>(G31/Population_Tables!T5)*Population_Tables!H64</f>
        <v>0</v>
      </c>
      <c r="T31" s="418">
        <f>(H31/Population_Tables!U5)*Population_Tables!I64</f>
        <v>0</v>
      </c>
      <c r="U31" s="418">
        <f>(I31/Population_Tables!V5)*Population_Tables!J64</f>
        <v>0</v>
      </c>
      <c r="V31" s="418">
        <f>(J31/Population_Tables!W5)*Population_Tables!K64</f>
        <v>0</v>
      </c>
      <c r="W31" s="418">
        <f>(K31/Population_Tables!X5)*Population_Tables!L64</f>
        <v>0</v>
      </c>
      <c r="Y31" s="456">
        <v>2016</v>
      </c>
      <c r="Z31" s="459">
        <f>((B31/Population_Tables!O5)*Population_Tables!C5)-N31</f>
        <v>49731722186756.82</v>
      </c>
      <c r="AA31" s="459">
        <f>((C31/Population_Tables!P5)*Population_Tables!D5)-O31</f>
        <v>18154129849832.75</v>
      </c>
      <c r="AB31" s="459">
        <f>((D31/Population_Tables!Q5)*Population_Tables!E5)-P31</f>
        <v>19627894279113.238</v>
      </c>
      <c r="AC31" s="459">
        <f>((E31/Population_Tables!R5)*Population_Tables!F5)-Q31</f>
        <v>7630234806209.7119</v>
      </c>
      <c r="AD31" s="459">
        <f>((F31/Population_Tables!S5)*Population_Tables!G5)-R31</f>
        <v>0</v>
      </c>
      <c r="AE31" s="459">
        <f>((G31/Population_Tables!T5)*Population_Tables!H5)-S31</f>
        <v>0</v>
      </c>
      <c r="AF31" s="459">
        <f>(H31/Population_Tables!U5)*Population_Tables!I5</f>
        <v>0</v>
      </c>
      <c r="AG31" s="459">
        <f>(I31/Population_Tables!V5)*Population_Tables!J5</f>
        <v>0</v>
      </c>
      <c r="AH31" s="459">
        <f>(J31/Population_Tables!W5)*Population_Tables!K5</f>
        <v>0</v>
      </c>
      <c r="AI31" s="459">
        <f>(K31/Population_Tables!X5)*Population_Tables!L5</f>
        <v>0</v>
      </c>
      <c r="AK31" s="456">
        <v>2016</v>
      </c>
      <c r="AL31" s="459">
        <f t="shared" si="11"/>
        <v>57692895254980.789</v>
      </c>
      <c r="AM31" s="459">
        <f t="shared" si="5"/>
        <v>18154129849832.75</v>
      </c>
      <c r="AN31" s="459">
        <f t="shared" si="5"/>
        <v>19627894279113.238</v>
      </c>
      <c r="AO31" s="459">
        <f t="shared" si="5"/>
        <v>15591407874433.68</v>
      </c>
      <c r="AP31" s="459">
        <f t="shared" si="5"/>
        <v>0</v>
      </c>
      <c r="AQ31" s="459">
        <f t="shared" si="5"/>
        <v>0</v>
      </c>
      <c r="AR31" s="459">
        <f t="shared" si="5"/>
        <v>0</v>
      </c>
      <c r="AS31" s="459">
        <f t="shared" si="5"/>
        <v>0</v>
      </c>
      <c r="AT31" s="459">
        <f t="shared" si="5"/>
        <v>0</v>
      </c>
      <c r="AU31" s="459">
        <f t="shared" si="5"/>
        <v>0</v>
      </c>
      <c r="AW31" s="216">
        <f>(B31/Population_Tables!O5)*Population_Tables!C5</f>
        <v>57692895254980.789</v>
      </c>
      <c r="AX31" s="153" t="str">
        <f t="shared" si="12"/>
        <v>OK</v>
      </c>
      <c r="AY31" s="421">
        <f t="shared" si="6"/>
        <v>53373432003379.664</v>
      </c>
      <c r="AZ31" s="153" t="str">
        <f t="shared" si="7"/>
        <v>OK</v>
      </c>
      <c r="BB31" s="216">
        <f>(C31/Population_Tables!P5)*Population_Tables!D5</f>
        <v>18154129849832.75</v>
      </c>
      <c r="BC31" s="216">
        <f>(D31/Population_Tables!Q5)*Population_Tables!E5</f>
        <v>19627894279113.238</v>
      </c>
      <c r="BD31" s="216">
        <f>(E31/Population_Tables!R5)*Population_Tables!F5</f>
        <v>15591407874433.68</v>
      </c>
      <c r="BE31" s="216">
        <f>(F31/Population_Tables!S5)*Population_Tables!G5</f>
        <v>0</v>
      </c>
      <c r="BF31" s="216">
        <f>(G31/Population_Tables!T5)*Population_Tables!H5</f>
        <v>0</v>
      </c>
      <c r="BG31" s="216"/>
      <c r="BN31" s="216"/>
      <c r="BO31" s="216"/>
      <c r="BP31" s="216"/>
    </row>
    <row r="32" spans="1:68" ht="15.6" x14ac:dyDescent="0.3">
      <c r="A32" s="194">
        <v>2017</v>
      </c>
      <c r="B32" s="229">
        <v>59601919354372.109</v>
      </c>
      <c r="C32" s="229">
        <f t="shared" si="8"/>
        <v>18287059411625.629</v>
      </c>
      <c r="D32" s="229">
        <f t="shared" si="9"/>
        <v>20323118928738.949</v>
      </c>
      <c r="E32" s="229">
        <f t="shared" si="10"/>
        <v>16105692283440.336</v>
      </c>
      <c r="F32" s="229"/>
      <c r="G32" s="229"/>
      <c r="H32" s="229"/>
      <c r="I32" s="229"/>
      <c r="J32" s="229"/>
      <c r="K32" s="229"/>
      <c r="M32" s="194">
        <v>2017</v>
      </c>
      <c r="N32" s="419">
        <f t="shared" si="4"/>
        <v>8246184306044.9961</v>
      </c>
      <c r="O32" s="418">
        <f>(C32/Population_Tables!P6)*Population_Tables!D65</f>
        <v>0</v>
      </c>
      <c r="P32" s="418">
        <f>(D32/Population_Tables!Q6)*Population_Tables!E65</f>
        <v>0</v>
      </c>
      <c r="Q32" s="418">
        <f>((E32-H32)/Population_Tables!R6)*Population_Tables!F65</f>
        <v>8246184306044.9961</v>
      </c>
      <c r="R32" s="418">
        <f>(F32/Population_Tables!S6)*Population_Tables!G65</f>
        <v>0</v>
      </c>
      <c r="S32" s="418">
        <f>(G32/Population_Tables!T6)*Population_Tables!H65</f>
        <v>0</v>
      </c>
      <c r="T32" s="418">
        <f>(H32/Population_Tables!U6)*Population_Tables!I65</f>
        <v>0</v>
      </c>
      <c r="U32" s="418">
        <f>(I32/Population_Tables!V6)*Population_Tables!J65</f>
        <v>0</v>
      </c>
      <c r="V32" s="418">
        <f>(J32/Population_Tables!W6)*Population_Tables!K65</f>
        <v>0</v>
      </c>
      <c r="W32" s="418">
        <f>(K32/Population_Tables!X6)*Population_Tables!L65</f>
        <v>0</v>
      </c>
      <c r="Y32" s="456">
        <v>2017</v>
      </c>
      <c r="Z32" s="459">
        <f>((B32/Population_Tables!O6)*Population_Tables!C6)-N32</f>
        <v>51355641119137.469</v>
      </c>
      <c r="AA32" s="459">
        <f>((C32/Population_Tables!P6)*Population_Tables!D6)-O32</f>
        <v>18287059411625.629</v>
      </c>
      <c r="AB32" s="459">
        <f>((D32/Population_Tables!Q6)*Population_Tables!E6)-P32</f>
        <v>20323118928738.949</v>
      </c>
      <c r="AC32" s="459">
        <f>((E32/Population_Tables!R6)*Population_Tables!F6)-Q32</f>
        <v>7859460920909.7344</v>
      </c>
      <c r="AD32" s="459">
        <f>((F32/Population_Tables!S6)*Population_Tables!G6)-R32</f>
        <v>0</v>
      </c>
      <c r="AE32" s="459">
        <f>((G32/Population_Tables!T6)*Population_Tables!H6)-S32</f>
        <v>0</v>
      </c>
      <c r="AF32" s="459">
        <f>(H32/Population_Tables!U6)*Population_Tables!I6</f>
        <v>0</v>
      </c>
      <c r="AG32" s="459">
        <f>(I32/Population_Tables!V6)*Population_Tables!J6</f>
        <v>0</v>
      </c>
      <c r="AH32" s="459">
        <f>(J32/Population_Tables!W6)*Population_Tables!K6</f>
        <v>0</v>
      </c>
      <c r="AI32" s="459">
        <f>(K32/Population_Tables!X6)*Population_Tables!L6</f>
        <v>0</v>
      </c>
      <c r="AK32" s="456">
        <v>2017</v>
      </c>
      <c r="AL32" s="459">
        <f t="shared" si="11"/>
        <v>59601825425182.469</v>
      </c>
      <c r="AM32" s="459">
        <f t="shared" si="5"/>
        <v>18287059411625.629</v>
      </c>
      <c r="AN32" s="459">
        <f t="shared" si="5"/>
        <v>20323118928738.949</v>
      </c>
      <c r="AO32" s="459">
        <f t="shared" si="5"/>
        <v>16105645226954.73</v>
      </c>
      <c r="AP32" s="459">
        <f t="shared" si="5"/>
        <v>0</v>
      </c>
      <c r="AQ32" s="459">
        <f t="shared" si="5"/>
        <v>0</v>
      </c>
      <c r="AR32" s="459">
        <f t="shared" si="5"/>
        <v>0</v>
      </c>
      <c r="AS32" s="459">
        <f t="shared" si="5"/>
        <v>0</v>
      </c>
      <c r="AT32" s="459">
        <f t="shared" si="5"/>
        <v>0</v>
      </c>
      <c r="AU32" s="459">
        <f t="shared" si="5"/>
        <v>0</v>
      </c>
      <c r="AW32" s="216">
        <f>(B32/Population_Tables!O6)*Population_Tables!C6</f>
        <v>59601825425182.469</v>
      </c>
      <c r="AX32" s="153" t="str">
        <f t="shared" si="12"/>
        <v>OK</v>
      </c>
      <c r="AY32" s="421">
        <f t="shared" si="6"/>
        <v>54715823567319.313</v>
      </c>
      <c r="AZ32" s="153" t="str">
        <f t="shared" si="7"/>
        <v>OK</v>
      </c>
      <c r="BB32" s="216">
        <f>(C32/Population_Tables!P6)*Population_Tables!D6</f>
        <v>18287059411625.629</v>
      </c>
      <c r="BC32" s="216">
        <f>(D32/Population_Tables!Q6)*Population_Tables!E6</f>
        <v>20323118928738.949</v>
      </c>
      <c r="BD32" s="216">
        <f>(E32/Population_Tables!R6)*Population_Tables!F6</f>
        <v>16105645226954.73</v>
      </c>
      <c r="BE32" s="216">
        <f>(F32/Population_Tables!S6)*Population_Tables!G6</f>
        <v>0</v>
      </c>
      <c r="BF32" s="216">
        <f>(G32/Population_Tables!T6)*Population_Tables!H6</f>
        <v>0</v>
      </c>
      <c r="BG32" s="216"/>
      <c r="BN32" s="216"/>
      <c r="BO32" s="216"/>
      <c r="BP32" s="216"/>
    </row>
    <row r="33" spans="1:68" ht="15.6" x14ac:dyDescent="0.3">
      <c r="A33" s="194">
        <v>2018</v>
      </c>
      <c r="B33" s="229">
        <v>61525567706681.898</v>
      </c>
      <c r="C33" s="229">
        <f t="shared" si="8"/>
        <v>18424023527444.137</v>
      </c>
      <c r="D33" s="229">
        <f t="shared" si="9"/>
        <v>21062266542630.672</v>
      </c>
      <c r="E33" s="229">
        <f t="shared" si="10"/>
        <v>16591686738231.93</v>
      </c>
      <c r="F33" s="229"/>
      <c r="G33" s="229"/>
      <c r="H33" s="229"/>
      <c r="I33" s="229"/>
      <c r="J33" s="229"/>
      <c r="K33" s="229"/>
      <c r="M33" s="194">
        <v>2018</v>
      </c>
      <c r="N33" s="419">
        <f t="shared" si="4"/>
        <v>8518024213238.9072</v>
      </c>
      <c r="O33" s="418">
        <f>(C33/Population_Tables!P7)*Population_Tables!D66</f>
        <v>0</v>
      </c>
      <c r="P33" s="418">
        <f>(D33/Population_Tables!Q7)*Population_Tables!E66</f>
        <v>0</v>
      </c>
      <c r="Q33" s="418">
        <f>((E33-H33)/Population_Tables!R7)*Population_Tables!F66</f>
        <v>8518024213238.9072</v>
      </c>
      <c r="R33" s="418">
        <f>(F33/Population_Tables!S7)*Population_Tables!G66</f>
        <v>0</v>
      </c>
      <c r="S33" s="418">
        <f>(G33/Population_Tables!T7)*Population_Tables!H66</f>
        <v>0</v>
      </c>
      <c r="T33" s="418">
        <f>(H33/Population_Tables!U7)*Population_Tables!I66</f>
        <v>0</v>
      </c>
      <c r="U33" s="418">
        <f>(I33/Population_Tables!V7)*Population_Tables!J66</f>
        <v>0</v>
      </c>
      <c r="V33" s="418">
        <f>(J33/Population_Tables!W7)*Population_Tables!K66</f>
        <v>0</v>
      </c>
      <c r="W33" s="418">
        <f>(K33/Population_Tables!X7)*Population_Tables!L66</f>
        <v>0</v>
      </c>
      <c r="Y33" s="456">
        <v>2018</v>
      </c>
      <c r="Z33" s="459">
        <f>((B33/Population_Tables!O7)*Population_Tables!C7)-N33</f>
        <v>53007449533547.117</v>
      </c>
      <c r="AA33" s="459">
        <f>((C33/Population_Tables!P7)*Population_Tables!D7)-O33</f>
        <v>18424023527444.137</v>
      </c>
      <c r="AB33" s="459">
        <f>((D33/Population_Tables!Q7)*Population_Tables!E7)-P33</f>
        <v>21062266542630.672</v>
      </c>
      <c r="AC33" s="459">
        <f>((E33/Population_Tables!R7)*Population_Tables!F7)-Q33</f>
        <v>8073615456738.5713</v>
      </c>
      <c r="AD33" s="459">
        <f>((F33/Population_Tables!S7)*Population_Tables!G7)-R33</f>
        <v>0</v>
      </c>
      <c r="AE33" s="459">
        <f>((G33/Population_Tables!T7)*Population_Tables!H7)-S33</f>
        <v>0</v>
      </c>
      <c r="AF33" s="459">
        <f>(H33/Population_Tables!U7)*Population_Tables!I7</f>
        <v>0</v>
      </c>
      <c r="AG33" s="459">
        <f>(I33/Population_Tables!V7)*Population_Tables!J7</f>
        <v>0</v>
      </c>
      <c r="AH33" s="459">
        <f>(J33/Population_Tables!W7)*Population_Tables!K7</f>
        <v>0</v>
      </c>
      <c r="AI33" s="459">
        <f>(K33/Population_Tables!X7)*Population_Tables!L7</f>
        <v>0</v>
      </c>
      <c r="AK33" s="456">
        <v>2018</v>
      </c>
      <c r="AL33" s="459">
        <f t="shared" si="11"/>
        <v>61525473746786.023</v>
      </c>
      <c r="AM33" s="459">
        <f t="shared" si="5"/>
        <v>18424023527444.137</v>
      </c>
      <c r="AN33" s="459">
        <f t="shared" si="5"/>
        <v>21062266542630.672</v>
      </c>
      <c r="AO33" s="459">
        <f t="shared" si="5"/>
        <v>16591639669977.479</v>
      </c>
      <c r="AP33" s="459">
        <f t="shared" si="5"/>
        <v>0</v>
      </c>
      <c r="AQ33" s="459">
        <f t="shared" si="5"/>
        <v>0</v>
      </c>
      <c r="AR33" s="459">
        <f t="shared" si="5"/>
        <v>0</v>
      </c>
      <c r="AS33" s="459">
        <f t="shared" si="5"/>
        <v>0</v>
      </c>
      <c r="AT33" s="459">
        <f t="shared" si="5"/>
        <v>0</v>
      </c>
      <c r="AU33" s="459">
        <f t="shared" si="5"/>
        <v>0</v>
      </c>
      <c r="AW33" s="216">
        <f>(B33/Population_Tables!O7)*Population_Tables!C7</f>
        <v>61525473746786.023</v>
      </c>
      <c r="AX33" s="153" t="str">
        <f t="shared" si="12"/>
        <v>OK</v>
      </c>
      <c r="AY33" s="421">
        <f t="shared" si="6"/>
        <v>56077929740052.289</v>
      </c>
      <c r="AZ33" s="153" t="str">
        <f t="shared" si="7"/>
        <v>OK</v>
      </c>
      <c r="BB33" s="216">
        <f>(C33/Population_Tables!P7)*Population_Tables!D7</f>
        <v>18424023527444.137</v>
      </c>
      <c r="BC33" s="216">
        <f>(D33/Population_Tables!Q7)*Population_Tables!E7</f>
        <v>21062266542630.672</v>
      </c>
      <c r="BD33" s="216">
        <f>(E33/Population_Tables!R7)*Population_Tables!F7</f>
        <v>16591639669977.479</v>
      </c>
      <c r="BE33" s="216">
        <f>(F33/Population_Tables!S7)*Population_Tables!G7</f>
        <v>0</v>
      </c>
      <c r="BF33" s="216">
        <f>(G33/Population_Tables!T7)*Population_Tables!H7</f>
        <v>0</v>
      </c>
      <c r="BG33" s="216"/>
      <c r="BN33" s="216"/>
      <c r="BO33" s="216"/>
      <c r="BP33" s="216"/>
    </row>
    <row r="34" spans="1:68" ht="16.2" thickBot="1" x14ac:dyDescent="0.35">
      <c r="A34" s="198">
        <v>2019</v>
      </c>
      <c r="B34" s="230">
        <v>63465145659021.469</v>
      </c>
      <c r="C34" s="229">
        <f t="shared" si="8"/>
        <v>18564855476495.68</v>
      </c>
      <c r="D34" s="229">
        <f t="shared" si="9"/>
        <v>21843076283037.773</v>
      </c>
      <c r="E34" s="229">
        <f t="shared" si="10"/>
        <v>17050243360096.473</v>
      </c>
      <c r="F34" s="230"/>
      <c r="G34" s="230"/>
      <c r="H34" s="230"/>
      <c r="I34" s="230"/>
      <c r="J34" s="230"/>
      <c r="K34" s="230"/>
      <c r="M34" s="198">
        <v>2019</v>
      </c>
      <c r="N34" s="419">
        <f t="shared" si="4"/>
        <v>8777585102699.2559</v>
      </c>
      <c r="O34" s="418">
        <f>(C34/Population_Tables!P8)*Population_Tables!D67</f>
        <v>0</v>
      </c>
      <c r="P34" s="418">
        <f>(D34/Population_Tables!Q8)*Population_Tables!E67</f>
        <v>0</v>
      </c>
      <c r="Q34" s="418">
        <f>((E34-H34)/Population_Tables!R8)*Population_Tables!F67</f>
        <v>8777585102699.2559</v>
      </c>
      <c r="R34" s="418">
        <f>(F34/Population_Tables!S8)*Population_Tables!G67</f>
        <v>0</v>
      </c>
      <c r="S34" s="418">
        <f>(G34/Population_Tables!T8)*Population_Tables!H67</f>
        <v>0</v>
      </c>
      <c r="T34" s="418">
        <f>(H34/Population_Tables!U8)*Population_Tables!I67</f>
        <v>0</v>
      </c>
      <c r="U34" s="418">
        <f>(I34/Population_Tables!V8)*Population_Tables!J67</f>
        <v>0</v>
      </c>
      <c r="V34" s="418">
        <f>(J34/Population_Tables!W8)*Population_Tables!K67</f>
        <v>0</v>
      </c>
      <c r="W34" s="418">
        <f>(K34/Population_Tables!X8)*Population_Tables!L67</f>
        <v>0</v>
      </c>
      <c r="Y34" s="456">
        <v>2019</v>
      </c>
      <c r="Z34" s="459">
        <f>((B34/Population_Tables!O8)*Population_Tables!C8)-N34</f>
        <v>54687466455124.055</v>
      </c>
      <c r="AA34" s="459">
        <f>((C34/Population_Tables!P8)*Population_Tables!D8)-O34</f>
        <v>18564855476495.68</v>
      </c>
      <c r="AB34" s="459">
        <f>((D34/Population_Tables!Q8)*Population_Tables!E8)-P34</f>
        <v>21843076283037.773</v>
      </c>
      <c r="AC34" s="459">
        <f>((E34/Population_Tables!R8)*Population_Tables!F8)-Q34</f>
        <v>8272611200255.5957</v>
      </c>
      <c r="AD34" s="459">
        <f>((F34/Population_Tables!S8)*Population_Tables!G8)-R34</f>
        <v>0</v>
      </c>
      <c r="AE34" s="459">
        <f>((G34/Population_Tables!T8)*Population_Tables!H8)-S34</f>
        <v>0</v>
      </c>
      <c r="AF34" s="459">
        <f>(H34/Population_Tables!U8)*Population_Tables!I8</f>
        <v>0</v>
      </c>
      <c r="AG34" s="459">
        <f>(I34/Population_Tables!V8)*Population_Tables!J8</f>
        <v>0</v>
      </c>
      <c r="AH34" s="459">
        <f>(J34/Population_Tables!W8)*Population_Tables!K8</f>
        <v>0</v>
      </c>
      <c r="AI34" s="459">
        <f>(K34/Population_Tables!X8)*Population_Tables!L8</f>
        <v>0</v>
      </c>
      <c r="AK34" s="456">
        <v>2019</v>
      </c>
      <c r="AL34" s="459">
        <f t="shared" si="11"/>
        <v>63465051557823.313</v>
      </c>
      <c r="AM34" s="459">
        <f t="shared" si="5"/>
        <v>18564855476495.68</v>
      </c>
      <c r="AN34" s="459">
        <f t="shared" si="5"/>
        <v>21843076283037.773</v>
      </c>
      <c r="AO34" s="459">
        <f t="shared" si="5"/>
        <v>17050196302954.852</v>
      </c>
      <c r="AP34" s="459">
        <f t="shared" si="5"/>
        <v>0</v>
      </c>
      <c r="AQ34" s="459">
        <f t="shared" si="5"/>
        <v>0</v>
      </c>
      <c r="AR34" s="459">
        <f t="shared" si="5"/>
        <v>0</v>
      </c>
      <c r="AS34" s="459">
        <f t="shared" si="5"/>
        <v>0</v>
      </c>
      <c r="AT34" s="459">
        <f t="shared" si="5"/>
        <v>0</v>
      </c>
      <c r="AU34" s="459">
        <f t="shared" si="5"/>
        <v>0</v>
      </c>
      <c r="AW34" s="216">
        <f>(B34/Population_Tables!O8)*Population_Tables!C8</f>
        <v>63465051557823.313</v>
      </c>
      <c r="AX34" s="153" t="str">
        <f t="shared" si="12"/>
        <v>OK</v>
      </c>
      <c r="AY34" s="421">
        <f t="shared" si="6"/>
        <v>57458128062488.305</v>
      </c>
      <c r="AZ34" s="153" t="str">
        <f t="shared" si="7"/>
        <v>OK</v>
      </c>
      <c r="BB34" s="216">
        <f>(C34/Population_Tables!P8)*Population_Tables!D8</f>
        <v>18564855476495.68</v>
      </c>
      <c r="BC34" s="216">
        <f>(D34/Population_Tables!Q8)*Population_Tables!E8</f>
        <v>21843076283037.773</v>
      </c>
      <c r="BD34" s="216">
        <f>(E34/Population_Tables!R8)*Population_Tables!F8</f>
        <v>17050196302954.852</v>
      </c>
      <c r="BE34" s="216">
        <f>(F34/Population_Tables!S8)*Population_Tables!G8</f>
        <v>0</v>
      </c>
      <c r="BF34" s="216">
        <f>(G34/Population_Tables!T8)*Population_Tables!H8</f>
        <v>0</v>
      </c>
      <c r="BG34" s="216"/>
      <c r="BN34" s="216"/>
      <c r="BO34" s="216"/>
      <c r="BP34" s="216"/>
    </row>
    <row r="35" spans="1:68" ht="15.6" x14ac:dyDescent="0.3">
      <c r="A35" s="201">
        <v>2020</v>
      </c>
      <c r="B35" s="228">
        <v>65761741004745.57</v>
      </c>
      <c r="C35" s="229">
        <f t="shared" si="8"/>
        <v>18709388537987.672</v>
      </c>
      <c r="D35" s="229">
        <f t="shared" si="9"/>
        <v>22663287312209.648</v>
      </c>
      <c r="E35" s="229">
        <f t="shared" si="10"/>
        <v>17482167503544.01</v>
      </c>
      <c r="F35" s="228"/>
      <c r="G35" s="228"/>
      <c r="H35" s="228"/>
      <c r="I35" s="228"/>
      <c r="J35" s="228"/>
      <c r="K35" s="228"/>
      <c r="M35" s="201">
        <v>2020</v>
      </c>
      <c r="N35" s="419">
        <f t="shared" si="4"/>
        <v>9025637458606.4395</v>
      </c>
      <c r="O35" s="418">
        <f>(C35/Population_Tables!P9)*Population_Tables!D68</f>
        <v>0</v>
      </c>
      <c r="P35" s="418">
        <f>(D35/Population_Tables!Q9)*Population_Tables!E68</f>
        <v>0</v>
      </c>
      <c r="Q35" s="418">
        <f>((E35-H35)/Population_Tables!R9)*Population_Tables!F68</f>
        <v>9025637458606.4395</v>
      </c>
      <c r="R35" s="418">
        <f>(F35/Population_Tables!S9)*Population_Tables!G68</f>
        <v>0</v>
      </c>
      <c r="S35" s="418">
        <f>(G35/Population_Tables!T9)*Population_Tables!H68</f>
        <v>0</v>
      </c>
      <c r="T35" s="418">
        <f>(H35/Population_Tables!U9)*Population_Tables!I68</f>
        <v>0</v>
      </c>
      <c r="U35" s="418">
        <f>(I35/Population_Tables!V9)*Population_Tables!J68</f>
        <v>0</v>
      </c>
      <c r="V35" s="418">
        <f>(J35/Population_Tables!W9)*Population_Tables!K68</f>
        <v>0</v>
      </c>
      <c r="W35" s="418">
        <f>(K35/Population_Tables!X9)*Population_Tables!L68</f>
        <v>0</v>
      </c>
      <c r="Y35" s="456">
        <v>2020</v>
      </c>
      <c r="Z35" s="459">
        <f>((B35/Population_Tables!O9)*Population_Tables!C9)-N35</f>
        <v>56736008667856.703</v>
      </c>
      <c r="AA35" s="459">
        <f>((C35/Population_Tables!P9)*Population_Tables!D9)-O35</f>
        <v>18709388537987.672</v>
      </c>
      <c r="AB35" s="459">
        <f>((D35/Population_Tables!Q9)*Population_Tables!E9)-P35</f>
        <v>22663287312209.648</v>
      </c>
      <c r="AC35" s="459">
        <f>((E35/Population_Tables!R9)*Population_Tables!F9)-Q35</f>
        <v>8456482992434.1406</v>
      </c>
      <c r="AD35" s="459">
        <f>((F35/Population_Tables!S9)*Population_Tables!G9)-R35</f>
        <v>0</v>
      </c>
      <c r="AE35" s="459">
        <f>((G35/Population_Tables!T9)*Population_Tables!H9)-S35</f>
        <v>0</v>
      </c>
      <c r="AF35" s="459">
        <f>(H35/Population_Tables!U9)*Population_Tables!I9</f>
        <v>0</v>
      </c>
      <c r="AG35" s="459">
        <f>(I35/Population_Tables!V9)*Population_Tables!J9</f>
        <v>0</v>
      </c>
      <c r="AH35" s="459">
        <f>(J35/Population_Tables!W9)*Population_Tables!K9</f>
        <v>0</v>
      </c>
      <c r="AI35" s="459">
        <f>(K35/Population_Tables!X9)*Population_Tables!L9</f>
        <v>0</v>
      </c>
      <c r="AK35" s="456">
        <v>2020</v>
      </c>
      <c r="AL35" s="459">
        <f t="shared" si="11"/>
        <v>65761646126463.141</v>
      </c>
      <c r="AM35" s="459">
        <f t="shared" si="5"/>
        <v>18709388537987.672</v>
      </c>
      <c r="AN35" s="459">
        <f t="shared" si="5"/>
        <v>22663287312209.648</v>
      </c>
      <c r="AO35" s="459">
        <f t="shared" si="5"/>
        <v>17482120451040.58</v>
      </c>
      <c r="AP35" s="459">
        <f t="shared" si="5"/>
        <v>0</v>
      </c>
      <c r="AQ35" s="459">
        <f t="shared" si="5"/>
        <v>0</v>
      </c>
      <c r="AR35" s="459">
        <f t="shared" si="5"/>
        <v>0</v>
      </c>
      <c r="AS35" s="459">
        <f t="shared" si="5"/>
        <v>0</v>
      </c>
      <c r="AT35" s="459">
        <f t="shared" si="5"/>
        <v>0</v>
      </c>
      <c r="AU35" s="459">
        <f t="shared" si="5"/>
        <v>0</v>
      </c>
      <c r="AW35" s="216">
        <f>(B35/Population_Tables!O9)*Population_Tables!C9</f>
        <v>65761646126463.141</v>
      </c>
      <c r="AX35" s="153" t="str">
        <f t="shared" si="12"/>
        <v>OK</v>
      </c>
      <c r="AY35" s="421">
        <f t="shared" si="6"/>
        <v>58854796301237.898</v>
      </c>
      <c r="AZ35" s="153" t="str">
        <f t="shared" si="7"/>
        <v>OK</v>
      </c>
      <c r="BB35" s="216">
        <f>(C35/Population_Tables!P9)*Population_Tables!D9</f>
        <v>18709388537987.672</v>
      </c>
      <c r="BC35" s="216">
        <f>(D35/Population_Tables!Q9)*Population_Tables!E9</f>
        <v>22663287312209.648</v>
      </c>
      <c r="BD35" s="216">
        <f>(E35/Population_Tables!R9)*Population_Tables!F9</f>
        <v>17482120451040.58</v>
      </c>
      <c r="BE35" s="216">
        <f>(F35/Population_Tables!S9)*Population_Tables!G9</f>
        <v>0</v>
      </c>
      <c r="BF35" s="216">
        <f>(G35/Population_Tables!T9)*Population_Tables!H9</f>
        <v>0</v>
      </c>
      <c r="BG35" s="216"/>
      <c r="BN35" s="216"/>
      <c r="BO35" s="216"/>
      <c r="BP35" s="216"/>
    </row>
    <row r="36" spans="1:68" ht="15.6" x14ac:dyDescent="0.3">
      <c r="A36" s="206">
        <v>2021</v>
      </c>
      <c r="B36" s="229">
        <v>67397533753010.219</v>
      </c>
      <c r="C36" s="229">
        <f t="shared" si="8"/>
        <v>18857455991127.539</v>
      </c>
      <c r="D36" s="229">
        <f t="shared" si="9"/>
        <v>23520638792395.688</v>
      </c>
      <c r="E36" s="229">
        <f t="shared" si="10"/>
        <v>17888264523084.59</v>
      </c>
      <c r="F36" s="229"/>
      <c r="G36" s="229"/>
      <c r="H36" s="229"/>
      <c r="I36" s="229"/>
      <c r="J36" s="229"/>
      <c r="K36" s="229"/>
      <c r="M36" s="206">
        <v>2021</v>
      </c>
      <c r="N36" s="419">
        <f t="shared" si="4"/>
        <v>9279019326902.1133</v>
      </c>
      <c r="O36" s="418">
        <f>(C36/Population_Tables!P10)*Population_Tables!D69</f>
        <v>0</v>
      </c>
      <c r="P36" s="418">
        <f>(D36/Population_Tables!Q10)*Population_Tables!E69</f>
        <v>0</v>
      </c>
      <c r="Q36" s="418">
        <f>((E36-H36)/Population_Tables!R10)*Population_Tables!F69</f>
        <v>9279019326902.1133</v>
      </c>
      <c r="R36" s="418">
        <f>(F36/Population_Tables!S10)*Population_Tables!G69</f>
        <v>0</v>
      </c>
      <c r="S36" s="418">
        <f>(G36/Population_Tables!T10)*Population_Tables!H69</f>
        <v>0</v>
      </c>
      <c r="T36" s="418">
        <f>(H36/Population_Tables!U10)*Population_Tables!I69</f>
        <v>0</v>
      </c>
      <c r="U36" s="418">
        <f>(I36/Population_Tables!V10)*Population_Tables!J69</f>
        <v>0</v>
      </c>
      <c r="V36" s="418">
        <f>(J36/Population_Tables!W10)*Population_Tables!K69</f>
        <v>0</v>
      </c>
      <c r="W36" s="418">
        <f>(K36/Population_Tables!X10)*Population_Tables!L69</f>
        <v>0</v>
      </c>
      <c r="Y36" s="456">
        <v>2021</v>
      </c>
      <c r="Z36" s="459">
        <f>((B36/Population_Tables!O10)*Population_Tables!C10)-N36</f>
        <v>58203743142893.391</v>
      </c>
      <c r="AA36" s="459">
        <f>((C36/Population_Tables!P10)*Population_Tables!D10)-O36</f>
        <v>18877015491428.137</v>
      </c>
      <c r="AB36" s="459">
        <f>((D36/Population_Tables!Q10)*Population_Tables!E10)-P36</f>
        <v>23548542813863.895</v>
      </c>
      <c r="AC36" s="459">
        <f>((E36/Population_Tables!R10)*Population_Tables!F10)-Q36</f>
        <v>8630603061372.1133</v>
      </c>
      <c r="AD36" s="459">
        <f>((F36/Population_Tables!S10)*Population_Tables!G10)-R36</f>
        <v>0</v>
      </c>
      <c r="AE36" s="459">
        <f>((G36/Population_Tables!T10)*Population_Tables!H10)-S36</f>
        <v>0</v>
      </c>
      <c r="AF36" s="459">
        <f>(H36/Population_Tables!U10)*Population_Tables!I10</f>
        <v>0</v>
      </c>
      <c r="AG36" s="459">
        <f>(I36/Population_Tables!V10)*Population_Tables!J10</f>
        <v>0</v>
      </c>
      <c r="AH36" s="459">
        <f>(J36/Population_Tables!W10)*Population_Tables!K10</f>
        <v>0</v>
      </c>
      <c r="AI36" s="459">
        <f>(K36/Population_Tables!X10)*Population_Tables!L10</f>
        <v>0</v>
      </c>
      <c r="AK36" s="456">
        <v>2021</v>
      </c>
      <c r="AL36" s="459">
        <f t="shared" si="11"/>
        <v>67482762469795.5</v>
      </c>
      <c r="AM36" s="459">
        <f t="shared" si="5"/>
        <v>18877015491428.137</v>
      </c>
      <c r="AN36" s="459">
        <f t="shared" si="5"/>
        <v>23548542813863.895</v>
      </c>
      <c r="AO36" s="459">
        <f t="shared" si="5"/>
        <v>17909622388274.227</v>
      </c>
      <c r="AP36" s="459">
        <f t="shared" si="5"/>
        <v>0</v>
      </c>
      <c r="AQ36" s="459">
        <f t="shared" si="5"/>
        <v>0</v>
      </c>
      <c r="AR36" s="459">
        <f t="shared" si="5"/>
        <v>0</v>
      </c>
      <c r="AS36" s="459">
        <f t="shared" si="5"/>
        <v>0</v>
      </c>
      <c r="AT36" s="459">
        <f t="shared" si="5"/>
        <v>0</v>
      </c>
      <c r="AU36" s="459">
        <f t="shared" si="5"/>
        <v>0</v>
      </c>
      <c r="AW36" s="216">
        <f>(B36/Population_Tables!O10)*Population_Tables!C10</f>
        <v>67482762469795.508</v>
      </c>
      <c r="AX36" s="153" t="b">
        <f t="shared" si="12"/>
        <v>0</v>
      </c>
      <c r="AY36" s="421">
        <f t="shared" si="6"/>
        <v>60335180693566.258</v>
      </c>
      <c r="AZ36" s="153" t="str">
        <f t="shared" si="7"/>
        <v>OK</v>
      </c>
      <c r="BB36" s="216">
        <f>(C36/Population_Tables!P10)*Population_Tables!D10</f>
        <v>18877015491428.137</v>
      </c>
      <c r="BC36" s="216">
        <f>(D36/Population_Tables!Q10)*Population_Tables!E10</f>
        <v>23548542813863.895</v>
      </c>
      <c r="BD36" s="216">
        <f>(E36/Population_Tables!R10)*Population_Tables!F10</f>
        <v>17909622388274.227</v>
      </c>
      <c r="BE36" s="216">
        <f>(F36/Population_Tables!S10)*Population_Tables!G10</f>
        <v>0</v>
      </c>
      <c r="BF36" s="216">
        <f>(G36/Population_Tables!T10)*Population_Tables!H10</f>
        <v>0</v>
      </c>
      <c r="BG36" s="216"/>
      <c r="BN36" s="216"/>
      <c r="BO36" s="216"/>
      <c r="BP36" s="216"/>
    </row>
    <row r="37" spans="1:68" ht="15.6" x14ac:dyDescent="0.3">
      <c r="A37" s="206">
        <v>2022</v>
      </c>
      <c r="B37" s="229">
        <v>69393618284338.953</v>
      </c>
      <c r="C37" s="229">
        <f t="shared" si="8"/>
        <v>19008891115122.68</v>
      </c>
      <c r="D37" s="229">
        <f t="shared" si="9"/>
        <v>24412869885845.258</v>
      </c>
      <c r="E37" s="229">
        <f t="shared" si="10"/>
        <v>18269339773228.262</v>
      </c>
      <c r="F37" s="229"/>
      <c r="G37" s="229"/>
      <c r="H37" s="229"/>
      <c r="I37" s="229"/>
      <c r="J37" s="229"/>
      <c r="K37" s="229"/>
      <c r="M37" s="206">
        <v>2022</v>
      </c>
      <c r="N37" s="419">
        <f t="shared" si="4"/>
        <v>9527217553701.916</v>
      </c>
      <c r="O37" s="418">
        <f>(C37/Population_Tables!P11)*Population_Tables!D70</f>
        <v>0</v>
      </c>
      <c r="P37" s="418">
        <f>(D37/Population_Tables!Q11)*Population_Tables!E70</f>
        <v>0</v>
      </c>
      <c r="Q37" s="418">
        <f>((E37-H37)/Population_Tables!R11)*Population_Tables!F70</f>
        <v>9527217553701.916</v>
      </c>
      <c r="R37" s="418">
        <f>(F37/Population_Tables!S11)*Population_Tables!G70</f>
        <v>0</v>
      </c>
      <c r="S37" s="418">
        <f>(G37/Population_Tables!T11)*Population_Tables!H70</f>
        <v>0</v>
      </c>
      <c r="T37" s="418">
        <f>(H37/Population_Tables!U11)*Population_Tables!I70</f>
        <v>0</v>
      </c>
      <c r="U37" s="418">
        <f>(I37/Population_Tables!V11)*Population_Tables!J70</f>
        <v>0</v>
      </c>
      <c r="V37" s="418">
        <f>(J37/Population_Tables!W11)*Population_Tables!K70</f>
        <v>0</v>
      </c>
      <c r="W37" s="418">
        <f>(K37/Population_Tables!X11)*Population_Tables!L70</f>
        <v>0</v>
      </c>
      <c r="Y37" s="456">
        <v>2022</v>
      </c>
      <c r="Z37" s="459">
        <f>((B37/Population_Tables!O11)*Population_Tables!C11)-N37</f>
        <v>60062694353105.383</v>
      </c>
      <c r="AA37" s="459">
        <f>((C37/Population_Tables!P11)*Population_Tables!D11)-O37</f>
        <v>19053771978529</v>
      </c>
      <c r="AB37" s="459">
        <f>((D37/Population_Tables!Q11)*Population_Tables!E11)-P37</f>
        <v>24475729618471.891</v>
      </c>
      <c r="AC37" s="459">
        <f>((E37/Population_Tables!R11)*Population_Tables!F11)-Q37</f>
        <v>8792781340670.7715</v>
      </c>
      <c r="AD37" s="459">
        <f>((F37/Population_Tables!S11)*Population_Tables!G11)-R37</f>
        <v>0</v>
      </c>
      <c r="AE37" s="459">
        <f>((G37/Population_Tables!T11)*Population_Tables!H11)-S37</f>
        <v>0</v>
      </c>
      <c r="AF37" s="459">
        <f>(H37/Population_Tables!U11)*Population_Tables!I11</f>
        <v>0</v>
      </c>
      <c r="AG37" s="459">
        <f>(I37/Population_Tables!V11)*Population_Tables!J11</f>
        <v>0</v>
      </c>
      <c r="AH37" s="459">
        <f>(J37/Population_Tables!W11)*Population_Tables!K11</f>
        <v>0</v>
      </c>
      <c r="AI37" s="459">
        <f>(K37/Population_Tables!X11)*Population_Tables!L11</f>
        <v>0</v>
      </c>
      <c r="AK37" s="456">
        <v>2022</v>
      </c>
      <c r="AL37" s="459">
        <f t="shared" si="11"/>
        <v>69589911906807.297</v>
      </c>
      <c r="AM37" s="459">
        <f t="shared" si="5"/>
        <v>19053771978529</v>
      </c>
      <c r="AN37" s="459">
        <f t="shared" si="5"/>
        <v>24475729618471.891</v>
      </c>
      <c r="AO37" s="459">
        <f t="shared" si="5"/>
        <v>18319998894372.688</v>
      </c>
      <c r="AP37" s="459">
        <f t="shared" si="5"/>
        <v>0</v>
      </c>
      <c r="AQ37" s="459">
        <f t="shared" si="5"/>
        <v>0</v>
      </c>
      <c r="AR37" s="459">
        <f t="shared" si="5"/>
        <v>0</v>
      </c>
      <c r="AS37" s="459">
        <f t="shared" si="5"/>
        <v>0</v>
      </c>
      <c r="AT37" s="459">
        <f t="shared" si="5"/>
        <v>0</v>
      </c>
      <c r="AU37" s="459">
        <f t="shared" si="5"/>
        <v>0</v>
      </c>
      <c r="AW37" s="216">
        <f>(B37/Population_Tables!O11)*Population_Tables!C11</f>
        <v>69589911906807.297</v>
      </c>
      <c r="AX37" s="153" t="str">
        <f t="shared" si="12"/>
        <v>OK</v>
      </c>
      <c r="AY37" s="421">
        <f t="shared" si="6"/>
        <v>61849500491373.578</v>
      </c>
      <c r="AZ37" s="153" t="str">
        <f t="shared" si="7"/>
        <v>OK</v>
      </c>
      <c r="BB37" s="216">
        <f>(C37/Population_Tables!P11)*Population_Tables!D11</f>
        <v>19053771978529</v>
      </c>
      <c r="BC37" s="216">
        <f>(D37/Population_Tables!Q11)*Population_Tables!E11</f>
        <v>24475729618471.891</v>
      </c>
      <c r="BD37" s="216">
        <f>(E37/Population_Tables!R11)*Population_Tables!F11</f>
        <v>18319998894372.688</v>
      </c>
      <c r="BE37" s="216">
        <f>(F37/Population_Tables!S11)*Population_Tables!G11</f>
        <v>0</v>
      </c>
      <c r="BF37" s="216">
        <f>(G37/Population_Tables!T11)*Population_Tables!H11</f>
        <v>0</v>
      </c>
      <c r="BG37" s="216"/>
      <c r="BN37" s="216"/>
      <c r="BO37" s="216"/>
      <c r="BP37" s="216"/>
    </row>
    <row r="38" spans="1:68" ht="15.6" x14ac:dyDescent="0.3">
      <c r="A38" s="206">
        <v>2023</v>
      </c>
      <c r="B38" s="229">
        <v>71411950891741.5</v>
      </c>
      <c r="C38" s="229">
        <f t="shared" si="8"/>
        <v>19163527189180.516</v>
      </c>
      <c r="D38" s="229">
        <f t="shared" si="9"/>
        <v>25337719754807.758</v>
      </c>
      <c r="E38" s="229">
        <f t="shared" si="10"/>
        <v>18626198608485.074</v>
      </c>
      <c r="F38" s="229"/>
      <c r="G38" s="229"/>
      <c r="H38" s="229"/>
      <c r="I38" s="229"/>
      <c r="J38" s="229"/>
      <c r="K38" s="229"/>
      <c r="M38" s="206">
        <v>2023</v>
      </c>
      <c r="N38" s="419">
        <f t="shared" si="4"/>
        <v>9769626332513.7363</v>
      </c>
      <c r="O38" s="418">
        <f>(C38/Population_Tables!P12)*Population_Tables!D71</f>
        <v>0</v>
      </c>
      <c r="P38" s="418">
        <f>(D38/Population_Tables!Q12)*Population_Tables!E71</f>
        <v>0</v>
      </c>
      <c r="Q38" s="418">
        <f>((E38-H38)/Population_Tables!R12)*Population_Tables!F71</f>
        <v>9769626332513.7363</v>
      </c>
      <c r="R38" s="418">
        <f>(F38/Population_Tables!S12)*Population_Tables!G71</f>
        <v>0</v>
      </c>
      <c r="S38" s="418">
        <f>(G38/Population_Tables!T12)*Population_Tables!H71</f>
        <v>0</v>
      </c>
      <c r="T38" s="418">
        <f>(H38/Population_Tables!U12)*Population_Tables!I71</f>
        <v>0</v>
      </c>
      <c r="U38" s="418">
        <f>(I38/Population_Tables!V12)*Population_Tables!J71</f>
        <v>0</v>
      </c>
      <c r="V38" s="418">
        <f>(J38/Population_Tables!W12)*Population_Tables!K71</f>
        <v>0</v>
      </c>
      <c r="W38" s="418">
        <f>(K38/Population_Tables!X12)*Population_Tables!L71</f>
        <v>0</v>
      </c>
      <c r="Y38" s="456">
        <v>2023</v>
      </c>
      <c r="Z38" s="459">
        <f>((B38/Population_Tables!O12)*Population_Tables!C12)-N38</f>
        <v>61973722188107.734</v>
      </c>
      <c r="AA38" s="459">
        <f>((C38/Population_Tables!P12)*Population_Tables!D12)-O38</f>
        <v>19238702483678.504</v>
      </c>
      <c r="AB38" s="459">
        <f>((D38/Population_Tables!Q12)*Population_Tables!E12)-P38</f>
        <v>25442701724053.828</v>
      </c>
      <c r="AC38" s="459">
        <f>((E38/Population_Tables!R12)*Population_Tables!F12)-Q38</f>
        <v>8943295734734.4277</v>
      </c>
      <c r="AD38" s="459">
        <f>((F38/Population_Tables!S12)*Population_Tables!G12)-R38</f>
        <v>0</v>
      </c>
      <c r="AE38" s="459">
        <f>((G38/Population_Tables!T12)*Population_Tables!H12)-S38</f>
        <v>0</v>
      </c>
      <c r="AF38" s="459">
        <f>(H38/Population_Tables!U12)*Population_Tables!I12</f>
        <v>0</v>
      </c>
      <c r="AG38" s="459">
        <f>(I38/Population_Tables!V12)*Population_Tables!J12</f>
        <v>0</v>
      </c>
      <c r="AH38" s="459">
        <f>(J38/Population_Tables!W12)*Population_Tables!K12</f>
        <v>0</v>
      </c>
      <c r="AI38" s="459">
        <f>(K38/Population_Tables!X12)*Population_Tables!L12</f>
        <v>0</v>
      </c>
      <c r="AK38" s="456">
        <v>2023</v>
      </c>
      <c r="AL38" s="459">
        <f t="shared" si="11"/>
        <v>71743348520621.469</v>
      </c>
      <c r="AM38" s="459">
        <f t="shared" si="5"/>
        <v>19238702483678.504</v>
      </c>
      <c r="AN38" s="459">
        <f t="shared" si="5"/>
        <v>25442701724053.828</v>
      </c>
      <c r="AO38" s="459">
        <f t="shared" si="5"/>
        <v>18712922067248.164</v>
      </c>
      <c r="AP38" s="459">
        <f t="shared" si="5"/>
        <v>0</v>
      </c>
      <c r="AQ38" s="459">
        <f t="shared" si="5"/>
        <v>0</v>
      </c>
      <c r="AR38" s="459">
        <f t="shared" si="5"/>
        <v>0</v>
      </c>
      <c r="AS38" s="459">
        <f t="shared" si="5"/>
        <v>0</v>
      </c>
      <c r="AT38" s="459">
        <f t="shared" si="5"/>
        <v>0</v>
      </c>
      <c r="AU38" s="459">
        <f t="shared" si="5"/>
        <v>0</v>
      </c>
      <c r="AW38" s="216">
        <f>(B38/Population_Tables!O12)*Population_Tables!C12</f>
        <v>71743348520621.469</v>
      </c>
      <c r="AX38" s="153" t="str">
        <f t="shared" si="12"/>
        <v>OK</v>
      </c>
      <c r="AY38" s="421">
        <f t="shared" si="6"/>
        <v>63394326274980.492</v>
      </c>
      <c r="AZ38" s="153" t="str">
        <f t="shared" si="7"/>
        <v>OK</v>
      </c>
      <c r="BB38" s="216">
        <f>(C38/Population_Tables!P12)*Population_Tables!D12</f>
        <v>19238702483678.504</v>
      </c>
      <c r="BC38" s="216">
        <f>(D38/Population_Tables!Q12)*Population_Tables!E12</f>
        <v>25442701724053.828</v>
      </c>
      <c r="BD38" s="216">
        <f>(E38/Population_Tables!R12)*Population_Tables!F12</f>
        <v>18712922067248.164</v>
      </c>
      <c r="BE38" s="216">
        <f>(F38/Population_Tables!S12)*Population_Tables!G12</f>
        <v>0</v>
      </c>
      <c r="BF38" s="216">
        <f>(G38/Population_Tables!T12)*Population_Tables!H12</f>
        <v>0</v>
      </c>
      <c r="BG38" s="216"/>
      <c r="BN38" s="216"/>
      <c r="BO38" s="216"/>
      <c r="BP38" s="216"/>
    </row>
    <row r="39" spans="1:68" ht="15.6" x14ac:dyDescent="0.3">
      <c r="A39" s="206">
        <v>2024</v>
      </c>
      <c r="B39" s="229">
        <v>73454365324215.75</v>
      </c>
      <c r="C39" s="229">
        <f t="shared" si="8"/>
        <v>19321197492508.465</v>
      </c>
      <c r="D39" s="229">
        <f t="shared" si="9"/>
        <v>26292927561532.559</v>
      </c>
      <c r="E39" s="229">
        <f t="shared" si="10"/>
        <v>18959646383365.07</v>
      </c>
      <c r="F39" s="229"/>
      <c r="G39" s="229"/>
      <c r="H39" s="229"/>
      <c r="I39" s="229"/>
      <c r="J39" s="229"/>
      <c r="K39" s="229"/>
      <c r="M39" s="206">
        <v>2024</v>
      </c>
      <c r="N39" s="419">
        <f t="shared" si="4"/>
        <v>10005781292067.148</v>
      </c>
      <c r="O39" s="418">
        <f>(C39/Population_Tables!P13)*Population_Tables!D72</f>
        <v>0</v>
      </c>
      <c r="P39" s="418">
        <f>(D39/Population_Tables!Q13)*Population_Tables!E72</f>
        <v>0</v>
      </c>
      <c r="Q39" s="418">
        <f>((E39-H39)/Population_Tables!R13)*Population_Tables!F72</f>
        <v>10005781292067.148</v>
      </c>
      <c r="R39" s="418">
        <f>(F39/Population_Tables!S13)*Population_Tables!G72</f>
        <v>0</v>
      </c>
      <c r="S39" s="418">
        <f>(G39/Population_Tables!T13)*Population_Tables!H72</f>
        <v>0</v>
      </c>
      <c r="T39" s="418">
        <f>(H39/Population_Tables!U13)*Population_Tables!I72</f>
        <v>0</v>
      </c>
      <c r="U39" s="418">
        <f>(I39/Population_Tables!V13)*Population_Tables!J72</f>
        <v>0</v>
      </c>
      <c r="V39" s="418">
        <f>(J39/Population_Tables!W13)*Population_Tables!K72</f>
        <v>0</v>
      </c>
      <c r="W39" s="418">
        <f>(K39/Population_Tables!X13)*Population_Tables!L72</f>
        <v>0</v>
      </c>
      <c r="Y39" s="456">
        <v>2024</v>
      </c>
      <c r="Z39" s="459">
        <f>((B39/Population_Tables!O13)*Population_Tables!C13)-N39</f>
        <v>63938751216344.07</v>
      </c>
      <c r="AA39" s="459">
        <f>((C39/Population_Tables!P13)*Population_Tables!D13)-O39</f>
        <v>19431006432775.359</v>
      </c>
      <c r="AB39" s="459">
        <f>((D39/Population_Tables!Q13)*Population_Tables!E13)-P39</f>
        <v>26447218774646.441</v>
      </c>
      <c r="AC39" s="459">
        <f>((E39/Population_Tables!R13)*Population_Tables!F13)-Q39</f>
        <v>9082480063780.3438</v>
      </c>
      <c r="AD39" s="459">
        <f>((F39/Population_Tables!S13)*Population_Tables!G13)-R39</f>
        <v>0</v>
      </c>
      <c r="AE39" s="459">
        <f>((G39/Population_Tables!T13)*Population_Tables!H13)-S39</f>
        <v>0</v>
      </c>
      <c r="AF39" s="459">
        <f>(H39/Population_Tables!U13)*Population_Tables!I13</f>
        <v>0</v>
      </c>
      <c r="AG39" s="459">
        <f>(I39/Population_Tables!V13)*Population_Tables!J13</f>
        <v>0</v>
      </c>
      <c r="AH39" s="459">
        <f>(J39/Population_Tables!W13)*Population_Tables!K13</f>
        <v>0</v>
      </c>
      <c r="AI39" s="459">
        <f>(K39/Population_Tables!X13)*Population_Tables!L13</f>
        <v>0</v>
      </c>
      <c r="AK39" s="456">
        <v>2024</v>
      </c>
      <c r="AL39" s="459">
        <f t="shared" si="11"/>
        <v>73944532508411.219</v>
      </c>
      <c r="AM39" s="459">
        <f t="shared" si="5"/>
        <v>19431006432775.359</v>
      </c>
      <c r="AN39" s="459">
        <f t="shared" si="5"/>
        <v>26447218774646.441</v>
      </c>
      <c r="AO39" s="459">
        <f t="shared" si="5"/>
        <v>19088261355847.492</v>
      </c>
      <c r="AP39" s="459">
        <f t="shared" si="5"/>
        <v>0</v>
      </c>
      <c r="AQ39" s="459">
        <f t="shared" si="5"/>
        <v>0</v>
      </c>
      <c r="AR39" s="459">
        <f t="shared" si="5"/>
        <v>0</v>
      </c>
      <c r="AS39" s="459">
        <f t="shared" si="5"/>
        <v>0</v>
      </c>
      <c r="AT39" s="459">
        <f t="shared" si="5"/>
        <v>0</v>
      </c>
      <c r="AU39" s="459">
        <f t="shared" si="5"/>
        <v>0</v>
      </c>
      <c r="AW39" s="216">
        <f>(B39/Population_Tables!O13)*Population_Tables!C13</f>
        <v>73944532508411.219</v>
      </c>
      <c r="AX39" s="153" t="str">
        <f t="shared" si="12"/>
        <v>OK</v>
      </c>
      <c r="AY39" s="421">
        <f t="shared" si="6"/>
        <v>64966486563269.289</v>
      </c>
      <c r="AZ39" s="153" t="str">
        <f t="shared" si="7"/>
        <v>OK</v>
      </c>
      <c r="BB39" s="216">
        <f>(C39/Population_Tables!P13)*Population_Tables!D13</f>
        <v>19431006432775.359</v>
      </c>
      <c r="BC39" s="216">
        <f>(D39/Population_Tables!Q13)*Population_Tables!E13</f>
        <v>26447218774646.441</v>
      </c>
      <c r="BD39" s="216">
        <f>(E39/Population_Tables!R13)*Population_Tables!F13</f>
        <v>19088261355847.492</v>
      </c>
      <c r="BE39" s="216">
        <f>(F39/Population_Tables!S13)*Population_Tables!G13</f>
        <v>0</v>
      </c>
      <c r="BF39" s="216">
        <f>(G39/Population_Tables!T13)*Population_Tables!H13</f>
        <v>0</v>
      </c>
      <c r="BG39" s="216"/>
      <c r="BN39" s="216"/>
      <c r="BO39" s="216"/>
      <c r="BP39" s="216"/>
    </row>
    <row r="40" spans="1:68" ht="15.6" x14ac:dyDescent="0.3">
      <c r="A40" s="206">
        <v>2025</v>
      </c>
      <c r="B40" s="229">
        <v>75554478390659.281</v>
      </c>
      <c r="C40" s="229">
        <f t="shared" si="8"/>
        <v>19306940551878.398</v>
      </c>
      <c r="D40" s="229">
        <f t="shared" si="9"/>
        <v>27263068278567.23</v>
      </c>
      <c r="E40" s="229">
        <f t="shared" si="10"/>
        <v>19245593086862.871</v>
      </c>
      <c r="F40" s="229"/>
      <c r="G40" s="229"/>
      <c r="H40" s="229"/>
      <c r="I40" s="229"/>
      <c r="J40" s="229"/>
      <c r="K40" s="229"/>
      <c r="M40" s="206">
        <v>2025</v>
      </c>
      <c r="N40" s="419">
        <f t="shared" si="4"/>
        <v>10222135439763.857</v>
      </c>
      <c r="O40" s="418">
        <f>(C40/Population_Tables!P14)*Population_Tables!D73</f>
        <v>0</v>
      </c>
      <c r="P40" s="418">
        <f>(D40/Population_Tables!Q14)*Population_Tables!E73</f>
        <v>0</v>
      </c>
      <c r="Q40" s="418">
        <f>((E40-H40)/Population_Tables!R14)*Population_Tables!F73</f>
        <v>10222135439763.857</v>
      </c>
      <c r="R40" s="418">
        <f>(F40/Population_Tables!S14)*Population_Tables!G73</f>
        <v>0</v>
      </c>
      <c r="S40" s="418">
        <f>(G40/Population_Tables!T14)*Population_Tables!H73</f>
        <v>0</v>
      </c>
      <c r="T40" s="418">
        <f>(H40/Population_Tables!U14)*Population_Tables!I73</f>
        <v>0</v>
      </c>
      <c r="U40" s="418">
        <f>(I40/Population_Tables!V14)*Population_Tables!J73</f>
        <v>0</v>
      </c>
      <c r="V40" s="418">
        <f>(J40/Population_Tables!W14)*Population_Tables!K73</f>
        <v>0</v>
      </c>
      <c r="W40" s="418">
        <f>(K40/Population_Tables!X14)*Population_Tables!L73</f>
        <v>0</v>
      </c>
      <c r="Y40" s="456">
        <v>2025</v>
      </c>
      <c r="Z40" s="459">
        <f>((B40/Population_Tables!O14)*Population_Tables!C14)-N40</f>
        <v>66005150917153.875</v>
      </c>
      <c r="AA40" s="459">
        <f>((C40/Population_Tables!P14)*Population_Tables!D14)-O40</f>
        <v>19453911576684.234</v>
      </c>
      <c r="AB40" s="459">
        <f>((D40/Population_Tables!Q14)*Population_Tables!E14)-P40</f>
        <v>27473892768962.086</v>
      </c>
      <c r="AC40" s="459">
        <f>((E40/Population_Tables!R14)*Population_Tables!F14)-Q40</f>
        <v>9198807010621.9473</v>
      </c>
      <c r="AD40" s="459">
        <f>((F40/Population_Tables!S14)*Population_Tables!G14)-R40</f>
        <v>0</v>
      </c>
      <c r="AE40" s="459">
        <f>((G40/Population_Tables!T14)*Population_Tables!H14)-S40</f>
        <v>0</v>
      </c>
      <c r="AF40" s="459">
        <f>(H40/Population_Tables!U14)*Population_Tables!I14</f>
        <v>0</v>
      </c>
      <c r="AG40" s="459">
        <f>(I40/Population_Tables!V14)*Population_Tables!J14</f>
        <v>0</v>
      </c>
      <c r="AH40" s="459">
        <f>(J40/Population_Tables!W14)*Population_Tables!K14</f>
        <v>0</v>
      </c>
      <c r="AI40" s="459">
        <f>(K40/Population_Tables!X14)*Population_Tables!L14</f>
        <v>0</v>
      </c>
      <c r="AK40" s="456">
        <v>2025</v>
      </c>
      <c r="AL40" s="459">
        <f t="shared" si="11"/>
        <v>76227286356917.734</v>
      </c>
      <c r="AM40" s="459">
        <f t="shared" si="5"/>
        <v>19453911576684.234</v>
      </c>
      <c r="AN40" s="459">
        <f t="shared" si="5"/>
        <v>27473892768962.086</v>
      </c>
      <c r="AO40" s="459">
        <f t="shared" si="5"/>
        <v>19420942450385.805</v>
      </c>
      <c r="AP40" s="459">
        <f t="shared" si="5"/>
        <v>0</v>
      </c>
      <c r="AQ40" s="459">
        <f t="shared" si="5"/>
        <v>0</v>
      </c>
      <c r="AR40" s="459">
        <f t="shared" si="5"/>
        <v>0</v>
      </c>
      <c r="AS40" s="459">
        <f t="shared" si="5"/>
        <v>0</v>
      </c>
      <c r="AT40" s="459">
        <f t="shared" si="5"/>
        <v>0</v>
      </c>
      <c r="AU40" s="459">
        <f t="shared" si="5"/>
        <v>0</v>
      </c>
      <c r="AW40" s="216">
        <f>(B40/Population_Tables!O14)*Population_Tables!C14</f>
        <v>76227286356917.734</v>
      </c>
      <c r="AX40" s="153" t="str">
        <f t="shared" si="12"/>
        <v>OK</v>
      </c>
      <c r="AY40" s="421">
        <f t="shared" si="6"/>
        <v>66348746796032.125</v>
      </c>
      <c r="AZ40" s="153" t="str">
        <f t="shared" si="7"/>
        <v>OK</v>
      </c>
      <c r="BB40" s="216">
        <f>(C40/Population_Tables!P14)*Population_Tables!D14</f>
        <v>19453911576684.234</v>
      </c>
      <c r="BC40" s="216">
        <f>(D40/Population_Tables!Q14)*Population_Tables!E14</f>
        <v>27473892768962.086</v>
      </c>
      <c r="BD40" s="216">
        <f>(E40/Population_Tables!R14)*Population_Tables!F14</f>
        <v>19420942450385.805</v>
      </c>
      <c r="BE40" s="216">
        <f>(F40/Population_Tables!S14)*Population_Tables!G14</f>
        <v>0</v>
      </c>
      <c r="BF40" s="216">
        <f>(G40/Population_Tables!T14)*Population_Tables!H14</f>
        <v>0</v>
      </c>
      <c r="BG40" s="216"/>
      <c r="BN40" s="216"/>
      <c r="BO40" s="216"/>
      <c r="BP40" s="216"/>
    </row>
    <row r="41" spans="1:68" ht="15.6" x14ac:dyDescent="0.3">
      <c r="A41" s="206">
        <v>2026</v>
      </c>
      <c r="B41" s="229">
        <v>77618593950524.156</v>
      </c>
      <c r="C41" s="229">
        <f t="shared" si="8"/>
        <v>19644973903804.34</v>
      </c>
      <c r="D41" s="229">
        <f t="shared" si="9"/>
        <v>28285373637266.633</v>
      </c>
      <c r="E41" s="229">
        <f t="shared" si="10"/>
        <v>19559530170034.813</v>
      </c>
      <c r="F41" s="229"/>
      <c r="G41" s="229"/>
      <c r="H41" s="229"/>
      <c r="I41" s="229"/>
      <c r="J41" s="229"/>
      <c r="K41" s="229"/>
      <c r="M41" s="206">
        <v>2026</v>
      </c>
      <c r="N41" s="419">
        <f t="shared" si="4"/>
        <v>10458187970501.498</v>
      </c>
      <c r="O41" s="418">
        <f>(C41/Population_Tables!P15)*Population_Tables!D74</f>
        <v>0</v>
      </c>
      <c r="P41" s="418">
        <f>(D41/Population_Tables!Q15)*Population_Tables!E74</f>
        <v>0</v>
      </c>
      <c r="Q41" s="418">
        <f>((E41-H41)/Population_Tables!R15)*Population_Tables!F74</f>
        <v>10458187970501.498</v>
      </c>
      <c r="R41" s="418">
        <f>(F41/Population_Tables!S15)*Population_Tables!G74</f>
        <v>0</v>
      </c>
      <c r="S41" s="418">
        <f>(G41/Population_Tables!T15)*Population_Tables!H74</f>
        <v>0</v>
      </c>
      <c r="T41" s="418">
        <f>(H41/Population_Tables!U15)*Population_Tables!I74</f>
        <v>0</v>
      </c>
      <c r="U41" s="418">
        <f>(I41/Population_Tables!V15)*Population_Tables!J74</f>
        <v>0</v>
      </c>
      <c r="V41" s="418">
        <f>(J41/Population_Tables!W15)*Population_Tables!K74</f>
        <v>0</v>
      </c>
      <c r="W41" s="418">
        <f>(K41/Population_Tables!X15)*Population_Tables!L74</f>
        <v>0</v>
      </c>
      <c r="Y41" s="456">
        <v>2026</v>
      </c>
      <c r="Z41" s="459">
        <f>((B41/Population_Tables!O15)*Population_Tables!C15)-N41</f>
        <v>68038675480423.688</v>
      </c>
      <c r="AA41" s="459">
        <f>((C41/Population_Tables!P15)*Population_Tables!D15)-O41</f>
        <v>19835315547102.723</v>
      </c>
      <c r="AB41" s="459">
        <f>((D41/Population_Tables!Q15)*Population_Tables!E15)-P41</f>
        <v>28560856810583.926</v>
      </c>
      <c r="AC41" s="459">
        <f>((E41/Population_Tables!R15)*Population_Tables!F15)-Q41</f>
        <v>9328375672404.0371</v>
      </c>
      <c r="AD41" s="459">
        <f>((F41/Population_Tables!S15)*Population_Tables!G15)-R41</f>
        <v>0</v>
      </c>
      <c r="AE41" s="459">
        <f>((G41/Population_Tables!T15)*Population_Tables!H15)-S41</f>
        <v>0</v>
      </c>
      <c r="AF41" s="459">
        <f>(H41/Population_Tables!U15)*Population_Tables!I15</f>
        <v>0</v>
      </c>
      <c r="AG41" s="459">
        <f>(I41/Population_Tables!V15)*Population_Tables!J15</f>
        <v>0</v>
      </c>
      <c r="AH41" s="459">
        <f>(J41/Population_Tables!W15)*Population_Tables!K15</f>
        <v>0</v>
      </c>
      <c r="AI41" s="459">
        <f>(K41/Population_Tables!X15)*Population_Tables!L15</f>
        <v>0</v>
      </c>
      <c r="AK41" s="456">
        <v>2026</v>
      </c>
      <c r="AL41" s="459">
        <f t="shared" si="11"/>
        <v>78496863450925.188</v>
      </c>
      <c r="AM41" s="459">
        <f t="shared" si="5"/>
        <v>19835315547102.723</v>
      </c>
      <c r="AN41" s="459">
        <f t="shared" si="5"/>
        <v>28560856810583.926</v>
      </c>
      <c r="AO41" s="459">
        <f t="shared" si="5"/>
        <v>19786563642905.535</v>
      </c>
      <c r="AP41" s="459">
        <f t="shared" si="5"/>
        <v>0</v>
      </c>
      <c r="AQ41" s="459">
        <f t="shared" si="5"/>
        <v>0</v>
      </c>
      <c r="AR41" s="459">
        <f t="shared" si="5"/>
        <v>0</v>
      </c>
      <c r="AS41" s="459">
        <f t="shared" si="5"/>
        <v>0</v>
      </c>
      <c r="AT41" s="459">
        <f t="shared" si="5"/>
        <v>0</v>
      </c>
      <c r="AU41" s="459">
        <f t="shared" si="5"/>
        <v>0</v>
      </c>
      <c r="AW41" s="216">
        <f>(B41/Population_Tables!O15)*Population_Tables!C15</f>
        <v>78496863450925.188</v>
      </c>
      <c r="AX41" s="153" t="str">
        <f t="shared" si="12"/>
        <v>OK</v>
      </c>
      <c r="AY41" s="421">
        <f t="shared" si="6"/>
        <v>68182736000592.188</v>
      </c>
      <c r="AZ41" s="153" t="str">
        <f t="shared" si="7"/>
        <v>OK</v>
      </c>
      <c r="BB41" s="216">
        <f>(C41/Population_Tables!P15)*Population_Tables!D15</f>
        <v>19835315547102.723</v>
      </c>
      <c r="BC41" s="216">
        <f>(D41/Population_Tables!Q15)*Population_Tables!E15</f>
        <v>28560856810583.926</v>
      </c>
      <c r="BD41" s="216">
        <f>(E41/Population_Tables!R15)*Population_Tables!F15</f>
        <v>19786563642905.535</v>
      </c>
      <c r="BE41" s="216">
        <f>(F41/Population_Tables!S15)*Population_Tables!G15</f>
        <v>0</v>
      </c>
      <c r="BF41" s="216">
        <f>(G41/Population_Tables!T15)*Population_Tables!H15</f>
        <v>0</v>
      </c>
      <c r="BG41" s="216"/>
      <c r="BN41" s="216"/>
      <c r="BO41" s="216"/>
      <c r="BP41" s="216"/>
    </row>
    <row r="42" spans="1:68" ht="15.6" x14ac:dyDescent="0.3">
      <c r="A42" s="206">
        <v>2027</v>
      </c>
      <c r="B42" s="229">
        <v>79743788218577.156</v>
      </c>
      <c r="C42" s="229">
        <f t="shared" si="8"/>
        <v>19810746570187.098</v>
      </c>
      <c r="D42" s="229">
        <f t="shared" si="9"/>
        <v>29318090230774.664</v>
      </c>
      <c r="E42" s="229">
        <f t="shared" si="10"/>
        <v>19827576890844.66</v>
      </c>
      <c r="F42" s="229"/>
      <c r="G42" s="229"/>
      <c r="H42" s="229"/>
      <c r="I42" s="229"/>
      <c r="J42" s="229"/>
      <c r="K42" s="229"/>
      <c r="M42" s="206">
        <v>2027</v>
      </c>
      <c r="N42" s="419">
        <f t="shared" si="4"/>
        <v>10674276838508.336</v>
      </c>
      <c r="O42" s="418">
        <f>(C42/Population_Tables!P16)*Population_Tables!D75</f>
        <v>0</v>
      </c>
      <c r="P42" s="418">
        <f>(D42/Population_Tables!Q16)*Population_Tables!E75</f>
        <v>0</v>
      </c>
      <c r="Q42" s="418">
        <f>((E42-H42)/Population_Tables!R16)*Population_Tables!F75</f>
        <v>10674276838508.336</v>
      </c>
      <c r="R42" s="418">
        <f>(F42/Population_Tables!S16)*Population_Tables!G75</f>
        <v>0</v>
      </c>
      <c r="S42" s="418">
        <f>(G42/Population_Tables!T16)*Population_Tables!H75</f>
        <v>0</v>
      </c>
      <c r="T42" s="418">
        <f>(H42/Population_Tables!U16)*Population_Tables!I75</f>
        <v>0</v>
      </c>
      <c r="U42" s="418">
        <f>(I42/Population_Tables!V16)*Population_Tables!J75</f>
        <v>0</v>
      </c>
      <c r="V42" s="418">
        <f>(J42/Population_Tables!W16)*Population_Tables!K75</f>
        <v>0</v>
      </c>
      <c r="W42" s="418">
        <f>(K42/Population_Tables!X16)*Population_Tables!L75</f>
        <v>0</v>
      </c>
      <c r="Y42" s="456">
        <v>2027</v>
      </c>
      <c r="Z42" s="459">
        <f>((B42/Population_Tables!O16)*Population_Tables!C16)-N42</f>
        <v>70176729704041.945</v>
      </c>
      <c r="AA42" s="459">
        <f>((C42/Population_Tables!P16)*Population_Tables!D16)-O42</f>
        <v>20046524214362.012</v>
      </c>
      <c r="AB42" s="459">
        <f>((D42/Population_Tables!Q16)*Population_Tables!E16)-P42</f>
        <v>29666773031677.625</v>
      </c>
      <c r="AC42" s="459">
        <f>((E42/Population_Tables!R16)*Population_Tables!F16)-Q42</f>
        <v>9435933430112.8711</v>
      </c>
      <c r="AD42" s="459">
        <f>((F42/Population_Tables!S16)*Population_Tables!G16)-R42</f>
        <v>0</v>
      </c>
      <c r="AE42" s="459">
        <f>((G42/Population_Tables!T16)*Population_Tables!H16)-S42</f>
        <v>0</v>
      </c>
      <c r="AF42" s="459">
        <f>(H42/Population_Tables!U16)*Population_Tables!I16</f>
        <v>0</v>
      </c>
      <c r="AG42" s="459">
        <f>(I42/Population_Tables!V16)*Population_Tables!J16</f>
        <v>0</v>
      </c>
      <c r="AH42" s="459">
        <f>(J42/Population_Tables!W16)*Population_Tables!K16</f>
        <v>0</v>
      </c>
      <c r="AI42" s="459">
        <f>(K42/Population_Tables!X16)*Population_Tables!L16</f>
        <v>0</v>
      </c>
      <c r="AK42" s="456">
        <v>2027</v>
      </c>
      <c r="AL42" s="459">
        <f t="shared" si="11"/>
        <v>80851006542550.281</v>
      </c>
      <c r="AM42" s="459">
        <f t="shared" si="5"/>
        <v>20046524214362.012</v>
      </c>
      <c r="AN42" s="459">
        <f t="shared" si="5"/>
        <v>29666773031677.625</v>
      </c>
      <c r="AO42" s="459">
        <f t="shared" si="5"/>
        <v>20110210268621.207</v>
      </c>
      <c r="AP42" s="459">
        <f t="shared" si="5"/>
        <v>0</v>
      </c>
      <c r="AQ42" s="459">
        <f t="shared" si="5"/>
        <v>0</v>
      </c>
      <c r="AR42" s="459">
        <f t="shared" si="5"/>
        <v>0</v>
      </c>
      <c r="AS42" s="459">
        <f t="shared" si="5"/>
        <v>0</v>
      </c>
      <c r="AT42" s="459">
        <f t="shared" si="5"/>
        <v>0</v>
      </c>
      <c r="AU42" s="459">
        <f t="shared" si="5"/>
        <v>0</v>
      </c>
      <c r="AW42" s="216">
        <f>(B42/Population_Tables!O16)*Population_Tables!C16</f>
        <v>80851006542550.281</v>
      </c>
      <c r="AX42" s="153" t="str">
        <f t="shared" si="12"/>
        <v>OK</v>
      </c>
      <c r="AY42" s="421">
        <f t="shared" si="6"/>
        <v>69823507514660.844</v>
      </c>
      <c r="AZ42" s="153" t="str">
        <f t="shared" si="7"/>
        <v>OK</v>
      </c>
      <c r="BB42" s="216">
        <f>(C42/Population_Tables!P16)*Population_Tables!D16</f>
        <v>20046524214362.012</v>
      </c>
      <c r="BC42" s="216">
        <f>(D42/Population_Tables!Q16)*Population_Tables!E16</f>
        <v>29666773031677.625</v>
      </c>
      <c r="BD42" s="216">
        <f>(E42/Population_Tables!R16)*Population_Tables!F16</f>
        <v>20110210268621.207</v>
      </c>
      <c r="BE42" s="216">
        <f>(F42/Population_Tables!S16)*Population_Tables!G16</f>
        <v>0</v>
      </c>
      <c r="BF42" s="216">
        <f>(G42/Population_Tables!T16)*Population_Tables!H16</f>
        <v>0</v>
      </c>
      <c r="BG42" s="216"/>
      <c r="BN42" s="216"/>
      <c r="BO42" s="216"/>
      <c r="BP42" s="216"/>
    </row>
    <row r="43" spans="1:68" ht="15.6" x14ac:dyDescent="0.3">
      <c r="A43" s="206">
        <v>2028</v>
      </c>
      <c r="B43" s="229">
        <v>81900020235283.281</v>
      </c>
      <c r="C43" s="229">
        <f t="shared" si="8"/>
        <v>19978886582669.625</v>
      </c>
      <c r="D43" s="229">
        <f t="shared" si="9"/>
        <v>30372121411042.543</v>
      </c>
      <c r="E43" s="229">
        <f t="shared" si="10"/>
        <v>20075433969317.879</v>
      </c>
      <c r="F43" s="229"/>
      <c r="G43" s="229"/>
      <c r="H43" s="229"/>
      <c r="I43" s="229"/>
      <c r="J43" s="229"/>
      <c r="K43" s="229"/>
      <c r="M43" s="206">
        <v>2028</v>
      </c>
      <c r="N43" s="419">
        <f t="shared" si="4"/>
        <v>10883819893462.822</v>
      </c>
      <c r="O43" s="418">
        <f>(C43/Population_Tables!P17)*Population_Tables!D76</f>
        <v>0</v>
      </c>
      <c r="P43" s="418">
        <f>(D43/Population_Tables!Q17)*Population_Tables!E76</f>
        <v>0</v>
      </c>
      <c r="Q43" s="418">
        <f>((E43-H43)/Population_Tables!R17)*Population_Tables!F76</f>
        <v>10883819893462.822</v>
      </c>
      <c r="R43" s="418">
        <f>(F43/Population_Tables!S17)*Population_Tables!G76</f>
        <v>0</v>
      </c>
      <c r="S43" s="418">
        <f>(G43/Population_Tables!T17)*Population_Tables!H76</f>
        <v>0</v>
      </c>
      <c r="T43" s="418">
        <f>(H43/Population_Tables!U17)*Population_Tables!I76</f>
        <v>0</v>
      </c>
      <c r="U43" s="418">
        <f>(I43/Population_Tables!V17)*Population_Tables!J76</f>
        <v>0</v>
      </c>
      <c r="V43" s="418">
        <f>(J43/Population_Tables!W17)*Population_Tables!K76</f>
        <v>0</v>
      </c>
      <c r="W43" s="418">
        <f>(K43/Population_Tables!X17)*Population_Tables!L76</f>
        <v>0</v>
      </c>
      <c r="Y43" s="456">
        <v>2028</v>
      </c>
      <c r="Z43" s="459">
        <f>((B43/Population_Tables!O17)*Population_Tables!C17)-N43</f>
        <v>72376206152867.875</v>
      </c>
      <c r="AA43" s="459">
        <f>((C43/Population_Tables!P17)*Population_Tables!D17)-O43</f>
        <v>20263494937855.832</v>
      </c>
      <c r="AB43" s="459">
        <f>((D43/Population_Tables!Q17)*Population_Tables!E17)-P43</f>
        <v>30803054784632.219</v>
      </c>
      <c r="AC43" s="459">
        <f>((E43/Population_Tables!R17)*Population_Tables!F17)-Q43</f>
        <v>9533884098794.3887</v>
      </c>
      <c r="AD43" s="459">
        <f>((F43/Population_Tables!S17)*Population_Tables!G17)-R43</f>
        <v>0</v>
      </c>
      <c r="AE43" s="459">
        <f>((G43/Population_Tables!T17)*Population_Tables!H17)-S43</f>
        <v>0</v>
      </c>
      <c r="AF43" s="459">
        <f>(H43/Population_Tables!U17)*Population_Tables!I17</f>
        <v>0</v>
      </c>
      <c r="AG43" s="459">
        <f>(I43/Population_Tables!V17)*Population_Tables!J17</f>
        <v>0</v>
      </c>
      <c r="AH43" s="459">
        <f>(J43/Population_Tables!W17)*Population_Tables!K17</f>
        <v>0</v>
      </c>
      <c r="AI43" s="459">
        <f>(K43/Population_Tables!X17)*Population_Tables!L17</f>
        <v>0</v>
      </c>
      <c r="AK43" s="456">
        <v>2028</v>
      </c>
      <c r="AL43" s="459">
        <f t="shared" si="11"/>
        <v>83260026046330.703</v>
      </c>
      <c r="AM43" s="459">
        <f t="shared" si="5"/>
        <v>20263494937855.832</v>
      </c>
      <c r="AN43" s="459">
        <f t="shared" si="5"/>
        <v>30803054784632.219</v>
      </c>
      <c r="AO43" s="459">
        <f t="shared" si="5"/>
        <v>20417703992257.211</v>
      </c>
      <c r="AP43" s="459">
        <f t="shared" si="5"/>
        <v>0</v>
      </c>
      <c r="AQ43" s="459">
        <f t="shared" si="5"/>
        <v>0</v>
      </c>
      <c r="AR43" s="459">
        <f t="shared" si="5"/>
        <v>0</v>
      </c>
      <c r="AS43" s="459">
        <f t="shared" si="5"/>
        <v>0</v>
      </c>
      <c r="AT43" s="459">
        <f t="shared" si="5"/>
        <v>0</v>
      </c>
      <c r="AU43" s="459">
        <f t="shared" si="5"/>
        <v>0</v>
      </c>
      <c r="AW43" s="216">
        <f>(B43/Population_Tables!O17)*Population_Tables!C17</f>
        <v>83260026046330.703</v>
      </c>
      <c r="AX43" s="153" t="str">
        <f t="shared" si="12"/>
        <v>OK</v>
      </c>
      <c r="AY43" s="421">
        <f t="shared" si="6"/>
        <v>71484253714745.25</v>
      </c>
      <c r="AZ43" s="153" t="str">
        <f t="shared" si="7"/>
        <v>OK</v>
      </c>
      <c r="BB43" s="216">
        <f>(C43/Population_Tables!P17)*Population_Tables!D17</f>
        <v>20263494937855.832</v>
      </c>
      <c r="BC43" s="216">
        <f>(D43/Population_Tables!Q17)*Population_Tables!E17</f>
        <v>30803054784632.219</v>
      </c>
      <c r="BD43" s="216">
        <f>(E43/Population_Tables!R17)*Population_Tables!F17</f>
        <v>20417703992257.211</v>
      </c>
      <c r="BE43" s="216">
        <f>(F43/Population_Tables!S17)*Population_Tables!G17</f>
        <v>0</v>
      </c>
      <c r="BF43" s="216">
        <f>(G43/Population_Tables!T17)*Population_Tables!H17</f>
        <v>0</v>
      </c>
      <c r="BG43" s="216"/>
      <c r="BN43" s="216"/>
      <c r="BO43" s="216"/>
      <c r="BP43" s="216"/>
    </row>
    <row r="44" spans="1:68" ht="15.6" x14ac:dyDescent="0.3">
      <c r="A44" s="206">
        <v>2029</v>
      </c>
      <c r="B44" s="229">
        <v>84089069653541.25</v>
      </c>
      <c r="C44" s="229">
        <f t="shared" si="8"/>
        <v>20149227220459.328</v>
      </c>
      <c r="D44" s="229">
        <f t="shared" si="9"/>
        <v>31445206340319.648</v>
      </c>
      <c r="E44" s="229">
        <f t="shared" si="10"/>
        <v>20303906759964.527</v>
      </c>
      <c r="F44" s="229"/>
      <c r="G44" s="229"/>
      <c r="H44" s="229"/>
      <c r="I44" s="229"/>
      <c r="J44" s="229"/>
      <c r="K44" s="229"/>
      <c r="M44" s="206">
        <v>2029</v>
      </c>
      <c r="N44" s="419">
        <f t="shared" si="4"/>
        <v>11087146850974.924</v>
      </c>
      <c r="O44" s="418">
        <f>(C44/Population_Tables!P18)*Population_Tables!D77</f>
        <v>0</v>
      </c>
      <c r="P44" s="418">
        <f>(D44/Population_Tables!Q18)*Population_Tables!E77</f>
        <v>0</v>
      </c>
      <c r="Q44" s="418">
        <f>((E44-H44)/Population_Tables!R18)*Population_Tables!F77</f>
        <v>11087146850974.924</v>
      </c>
      <c r="R44" s="418">
        <f>(F44/Population_Tables!S18)*Population_Tables!G77</f>
        <v>0</v>
      </c>
      <c r="S44" s="418">
        <f>(G44/Population_Tables!T18)*Population_Tables!H77</f>
        <v>0</v>
      </c>
      <c r="T44" s="418">
        <f>(H44/Population_Tables!U18)*Population_Tables!I77</f>
        <v>0</v>
      </c>
      <c r="U44" s="418">
        <f>(I44/Population_Tables!V18)*Population_Tables!J77</f>
        <v>0</v>
      </c>
      <c r="V44" s="418">
        <f>(J44/Population_Tables!W18)*Population_Tables!K77</f>
        <v>0</v>
      </c>
      <c r="W44" s="418">
        <f>(K44/Population_Tables!X18)*Population_Tables!L77</f>
        <v>0</v>
      </c>
      <c r="Y44" s="456">
        <v>2029</v>
      </c>
      <c r="Z44" s="459">
        <f>((B44/Population_Tables!O18)*Population_Tables!C18)-N44</f>
        <v>74639480066659.797</v>
      </c>
      <c r="AA44" s="459">
        <f>((C44/Population_Tables!P18)*Population_Tables!D18)-O44</f>
        <v>20486161018834.992</v>
      </c>
      <c r="AB44" s="459">
        <f>((D44/Population_Tables!Q18)*Population_Tables!E18)-P44</f>
        <v>31967746536644.613</v>
      </c>
      <c r="AC44" s="459">
        <f>((E44/Population_Tables!R18)*Population_Tables!F18)-Q44</f>
        <v>9622768215021.9082</v>
      </c>
      <c r="AD44" s="459">
        <f>((F44/Population_Tables!S18)*Population_Tables!G18)-R44</f>
        <v>0</v>
      </c>
      <c r="AE44" s="459">
        <f>((G44/Population_Tables!T18)*Population_Tables!H18)-S44</f>
        <v>0</v>
      </c>
      <c r="AF44" s="459">
        <f>(H44/Population_Tables!U18)*Population_Tables!I18</f>
        <v>0</v>
      </c>
      <c r="AG44" s="459">
        <f>(I44/Population_Tables!V18)*Population_Tables!J18</f>
        <v>0</v>
      </c>
      <c r="AH44" s="459">
        <f>(J44/Population_Tables!W18)*Population_Tables!K18</f>
        <v>0</v>
      </c>
      <c r="AI44" s="459">
        <f>(K44/Population_Tables!X18)*Population_Tables!L18</f>
        <v>0</v>
      </c>
      <c r="AK44" s="456">
        <v>2029</v>
      </c>
      <c r="AL44" s="459">
        <f t="shared" si="11"/>
        <v>85726626917634.719</v>
      </c>
      <c r="AM44" s="459">
        <f t="shared" si="5"/>
        <v>20486161018834.992</v>
      </c>
      <c r="AN44" s="459">
        <f t="shared" si="5"/>
        <v>31967746536644.613</v>
      </c>
      <c r="AO44" s="459">
        <f t="shared" si="5"/>
        <v>20709915065996.832</v>
      </c>
      <c r="AP44" s="459">
        <f t="shared" si="5"/>
        <v>0</v>
      </c>
      <c r="AQ44" s="459">
        <f t="shared" si="5"/>
        <v>0</v>
      </c>
      <c r="AR44" s="459">
        <f t="shared" si="5"/>
        <v>0</v>
      </c>
      <c r="AS44" s="459">
        <f t="shared" si="5"/>
        <v>0</v>
      </c>
      <c r="AT44" s="459">
        <f t="shared" si="5"/>
        <v>0</v>
      </c>
      <c r="AU44" s="459">
        <f t="shared" si="5"/>
        <v>0</v>
      </c>
      <c r="AW44" s="216">
        <f>(B44/Population_Tables!O18)*Population_Tables!C18</f>
        <v>85726626917634.719</v>
      </c>
      <c r="AX44" s="153" t="str">
        <f t="shared" si="12"/>
        <v>OK</v>
      </c>
      <c r="AY44" s="421">
        <f t="shared" si="6"/>
        <v>73163822621476.438</v>
      </c>
      <c r="AZ44" s="153" t="str">
        <f t="shared" si="7"/>
        <v>OK</v>
      </c>
      <c r="BB44" s="216">
        <f>(C44/Population_Tables!P18)*Population_Tables!D18</f>
        <v>20486161018834.992</v>
      </c>
      <c r="BC44" s="216">
        <f>(D44/Population_Tables!Q18)*Population_Tables!E18</f>
        <v>31967746536644.613</v>
      </c>
      <c r="BD44" s="216">
        <f>(E44/Population_Tables!R18)*Population_Tables!F18</f>
        <v>20709915065996.832</v>
      </c>
      <c r="BE44" s="216">
        <f>(F44/Population_Tables!S18)*Population_Tables!G18</f>
        <v>0</v>
      </c>
      <c r="BF44" s="216">
        <f>(G44/Population_Tables!T18)*Population_Tables!H18</f>
        <v>0</v>
      </c>
      <c r="BG44" s="216"/>
      <c r="BN44" s="216"/>
      <c r="BO44" s="216"/>
      <c r="BP44" s="216"/>
    </row>
    <row r="45" spans="1:68" ht="15.6" x14ac:dyDescent="0.3">
      <c r="A45" s="206">
        <v>2030</v>
      </c>
      <c r="B45" s="229">
        <v>86334505600936.672</v>
      </c>
      <c r="C45" s="229">
        <f t="shared" si="8"/>
        <v>20348813621570.133</v>
      </c>
      <c r="D45" s="229">
        <f t="shared" si="9"/>
        <v>32636176165275.066</v>
      </c>
      <c r="E45" s="229">
        <f t="shared" si="10"/>
        <v>20599511361523.77</v>
      </c>
      <c r="F45" s="229"/>
      <c r="G45" s="229"/>
      <c r="H45" s="229"/>
      <c r="I45" s="229"/>
      <c r="J45" s="229"/>
      <c r="K45" s="229"/>
      <c r="M45" s="206">
        <v>2030</v>
      </c>
      <c r="N45" s="419">
        <f t="shared" si="4"/>
        <v>11331725431645.73</v>
      </c>
      <c r="O45" s="418">
        <f>(C45/Population_Tables!P19)*Population_Tables!D78</f>
        <v>0</v>
      </c>
      <c r="P45" s="418">
        <f>(D45/Population_Tables!Q19)*Population_Tables!E78</f>
        <v>0</v>
      </c>
      <c r="Q45" s="418">
        <f>((E45-H45)/Population_Tables!R19)*Population_Tables!F78</f>
        <v>11331725431645.73</v>
      </c>
      <c r="R45" s="418">
        <f>(F45/Population_Tables!S19)*Population_Tables!G78</f>
        <v>0</v>
      </c>
      <c r="S45" s="418">
        <f>(G45/Population_Tables!T19)*Population_Tables!H78</f>
        <v>0</v>
      </c>
      <c r="T45" s="418">
        <f>(H45/Population_Tables!U19)*Population_Tables!I78</f>
        <v>0</v>
      </c>
      <c r="U45" s="418">
        <f>(I45/Population_Tables!V19)*Population_Tables!J78</f>
        <v>0</v>
      </c>
      <c r="V45" s="418">
        <f>(J45/Population_Tables!W19)*Population_Tables!K78</f>
        <v>0</v>
      </c>
      <c r="W45" s="418">
        <f>(K45/Population_Tables!X19)*Population_Tables!L78</f>
        <v>0</v>
      </c>
      <c r="Y45" s="456">
        <v>2030</v>
      </c>
      <c r="Z45" s="459">
        <f>((B45/Population_Tables!O19)*Population_Tables!C19)-N45</f>
        <v>76944160969428.891</v>
      </c>
      <c r="AA45" s="459">
        <f>((C45/Population_Tables!P19)*Population_Tables!D19)-O45</f>
        <v>20742181066930.602</v>
      </c>
      <c r="AB45" s="459">
        <f>((D45/Population_Tables!Q19)*Population_Tables!E19)-P45</f>
        <v>33261981756617.934</v>
      </c>
      <c r="AC45" s="459">
        <f>((E45/Population_Tables!R19)*Population_Tables!F19)-Q45</f>
        <v>9743654585925.4609</v>
      </c>
      <c r="AD45" s="459">
        <f>((F45/Population_Tables!S19)*Population_Tables!G19)-R45</f>
        <v>0</v>
      </c>
      <c r="AE45" s="459">
        <f>((G45/Population_Tables!T19)*Population_Tables!H19)-S45</f>
        <v>0</v>
      </c>
      <c r="AF45" s="459">
        <f>(H45/Population_Tables!U19)*Population_Tables!I19</f>
        <v>0</v>
      </c>
      <c r="AG45" s="459">
        <f>(I45/Population_Tables!V19)*Population_Tables!J19</f>
        <v>0</v>
      </c>
      <c r="AH45" s="459">
        <f>(J45/Population_Tables!W19)*Population_Tables!K19</f>
        <v>0</v>
      </c>
      <c r="AI45" s="459">
        <f>(K45/Population_Tables!X19)*Population_Tables!L19</f>
        <v>0</v>
      </c>
      <c r="AK45" s="456">
        <v>2030</v>
      </c>
      <c r="AL45" s="459">
        <f t="shared" si="11"/>
        <v>88275886401074.625</v>
      </c>
      <c r="AM45" s="459">
        <f t="shared" si="11"/>
        <v>20742181066930.602</v>
      </c>
      <c r="AN45" s="459">
        <f t="shared" si="11"/>
        <v>33261981756617.934</v>
      </c>
      <c r="AO45" s="459">
        <f t="shared" si="11"/>
        <v>21075380017571.191</v>
      </c>
      <c r="AP45" s="459">
        <f t="shared" si="11"/>
        <v>0</v>
      </c>
      <c r="AQ45" s="459">
        <f t="shared" si="11"/>
        <v>0</v>
      </c>
      <c r="AR45" s="459">
        <f t="shared" si="11"/>
        <v>0</v>
      </c>
      <c r="AS45" s="459">
        <f t="shared" si="11"/>
        <v>0</v>
      </c>
      <c r="AT45" s="459">
        <f t="shared" si="11"/>
        <v>0</v>
      </c>
      <c r="AU45" s="459">
        <f t="shared" si="11"/>
        <v>0</v>
      </c>
      <c r="AW45" s="216">
        <f>(B45/Population_Tables!O19)*Population_Tables!C19</f>
        <v>88275886401074.625</v>
      </c>
      <c r="AX45" s="153" t="str">
        <f t="shared" si="12"/>
        <v>OK</v>
      </c>
      <c r="AY45" s="421">
        <f t="shared" si="6"/>
        <v>75079542841119.719</v>
      </c>
      <c r="AZ45" s="153" t="str">
        <f t="shared" si="7"/>
        <v>OK</v>
      </c>
      <c r="BB45" s="216">
        <f>(C45/Population_Tables!P19)*Population_Tables!D19</f>
        <v>20742181066930.602</v>
      </c>
      <c r="BC45" s="216">
        <f>(D45/Population_Tables!Q19)*Population_Tables!E19</f>
        <v>33261981756617.934</v>
      </c>
      <c r="BD45" s="216">
        <f>(E45/Population_Tables!R19)*Population_Tables!F19</f>
        <v>21075380017571.191</v>
      </c>
      <c r="BE45" s="216">
        <f>(F45/Population_Tables!S19)*Population_Tables!G19</f>
        <v>0</v>
      </c>
      <c r="BF45" s="216">
        <f>(G45/Population_Tables!T19)*Population_Tables!H19</f>
        <v>0</v>
      </c>
      <c r="BG45" s="216"/>
      <c r="BN45" s="216"/>
      <c r="BO45" s="216"/>
      <c r="BP45" s="216"/>
    </row>
    <row r="46" spans="1:68" ht="15.6" x14ac:dyDescent="0.3">
      <c r="A46" s="206">
        <v>2031</v>
      </c>
      <c r="B46" s="229">
        <v>88572741338887.563</v>
      </c>
      <c r="C46" s="229">
        <f t="shared" si="8"/>
        <v>20495843488789.93</v>
      </c>
      <c r="D46" s="229">
        <f t="shared" si="9"/>
        <v>33639494094899.078</v>
      </c>
      <c r="E46" s="229">
        <f t="shared" si="10"/>
        <v>20705920895818.289</v>
      </c>
      <c r="F46" s="229"/>
      <c r="G46" s="229"/>
      <c r="H46" s="229"/>
      <c r="I46" s="229"/>
      <c r="J46" s="229"/>
      <c r="K46" s="229"/>
      <c r="M46" s="206">
        <v>2031</v>
      </c>
      <c r="N46" s="419">
        <f t="shared" si="4"/>
        <v>11476233468892.814</v>
      </c>
      <c r="O46" s="418">
        <f>(C46/Population_Tables!P20)*Population_Tables!D79</f>
        <v>0</v>
      </c>
      <c r="P46" s="418">
        <f>(D46/Population_Tables!Q20)*Population_Tables!E79</f>
        <v>0</v>
      </c>
      <c r="Q46" s="418">
        <f>((E46-H46)/Population_Tables!R20)*Population_Tables!F79</f>
        <v>11476233468892.814</v>
      </c>
      <c r="R46" s="418">
        <f>(F46/Population_Tables!S20)*Population_Tables!G79</f>
        <v>0</v>
      </c>
      <c r="S46" s="418">
        <f>(G46/Population_Tables!T20)*Population_Tables!H79</f>
        <v>0</v>
      </c>
      <c r="T46" s="418">
        <f>(H46/Population_Tables!U20)*Population_Tables!I79</f>
        <v>0</v>
      </c>
      <c r="U46" s="418">
        <f>(I46/Population_Tables!V20)*Population_Tables!J79</f>
        <v>0</v>
      </c>
      <c r="V46" s="418">
        <f>(J46/Population_Tables!W20)*Population_Tables!K79</f>
        <v>0</v>
      </c>
      <c r="W46" s="418">
        <f>(K46/Population_Tables!X20)*Population_Tables!L79</f>
        <v>0</v>
      </c>
      <c r="Y46" s="456">
        <v>2031</v>
      </c>
      <c r="Z46" s="459">
        <f>((B46/Population_Tables!O20)*Population_Tables!C20)-N46</f>
        <v>79367164724166.906</v>
      </c>
      <c r="AA46" s="459">
        <f>((C46/Population_Tables!P20)*Population_Tables!D20)-O46</f>
        <v>20948101984815.34</v>
      </c>
      <c r="AB46" s="459">
        <f>((D46/Population_Tables!Q20)*Population_Tables!E20)-P46</f>
        <v>34374852201270.125</v>
      </c>
      <c r="AC46" s="459">
        <f>((E46/Population_Tables!R20)*Population_Tables!F20)-Q46</f>
        <v>9775367479609.9785</v>
      </c>
      <c r="AD46" s="459">
        <f>((F46/Population_Tables!S20)*Population_Tables!G20)-R46</f>
        <v>0</v>
      </c>
      <c r="AE46" s="459">
        <f>((G46/Population_Tables!T20)*Population_Tables!H20)-S46</f>
        <v>0</v>
      </c>
      <c r="AF46" s="459">
        <f>(H46/Population_Tables!U20)*Population_Tables!I20</f>
        <v>0</v>
      </c>
      <c r="AG46" s="459">
        <f>(I46/Population_Tables!V20)*Population_Tables!J20</f>
        <v>0</v>
      </c>
      <c r="AH46" s="459">
        <f>(J46/Population_Tables!W20)*Population_Tables!K20</f>
        <v>0</v>
      </c>
      <c r="AI46" s="459">
        <f>(K46/Population_Tables!X20)*Population_Tables!L20</f>
        <v>0</v>
      </c>
      <c r="AK46" s="456">
        <v>2031</v>
      </c>
      <c r="AL46" s="459">
        <f t="shared" si="11"/>
        <v>90843398193059.719</v>
      </c>
      <c r="AM46" s="459">
        <f t="shared" si="11"/>
        <v>20948101984815.34</v>
      </c>
      <c r="AN46" s="459">
        <f t="shared" si="11"/>
        <v>34374852201270.125</v>
      </c>
      <c r="AO46" s="459">
        <f t="shared" si="11"/>
        <v>21251600948502.793</v>
      </c>
      <c r="AP46" s="459">
        <f t="shared" si="11"/>
        <v>0</v>
      </c>
      <c r="AQ46" s="459">
        <f t="shared" si="11"/>
        <v>0</v>
      </c>
      <c r="AR46" s="459">
        <f t="shared" si="11"/>
        <v>0</v>
      </c>
      <c r="AS46" s="459">
        <f t="shared" si="11"/>
        <v>0</v>
      </c>
      <c r="AT46" s="459">
        <f t="shared" si="11"/>
        <v>0</v>
      </c>
      <c r="AU46" s="459">
        <f t="shared" si="11"/>
        <v>0</v>
      </c>
      <c r="AW46" s="216">
        <f>(B46/Population_Tables!O20)*Population_Tables!C20</f>
        <v>90843398193059.719</v>
      </c>
      <c r="AX46" s="153" t="str">
        <f t="shared" si="12"/>
        <v>OK</v>
      </c>
      <c r="AY46" s="421">
        <f t="shared" si="6"/>
        <v>76574555134588.266</v>
      </c>
      <c r="AZ46" s="153" t="str">
        <f t="shared" si="7"/>
        <v>OK</v>
      </c>
      <c r="BB46" s="216">
        <f>(C46/Population_Tables!P20)*Population_Tables!D20</f>
        <v>20948101984815.34</v>
      </c>
      <c r="BC46" s="216">
        <f>(D46/Population_Tables!Q20)*Population_Tables!E20</f>
        <v>34374852201270.125</v>
      </c>
      <c r="BD46" s="216">
        <f>(E46/Population_Tables!R20)*Population_Tables!F20</f>
        <v>21251600948502.793</v>
      </c>
      <c r="BE46" s="216">
        <f>(F46/Population_Tables!S20)*Population_Tables!G20</f>
        <v>0</v>
      </c>
      <c r="BF46" s="216">
        <f>(G46/Population_Tables!T20)*Population_Tables!H20</f>
        <v>0</v>
      </c>
      <c r="BG46" s="216"/>
      <c r="BN46" s="216"/>
      <c r="BO46" s="216"/>
      <c r="BP46" s="216"/>
    </row>
    <row r="47" spans="1:68" ht="15.6" x14ac:dyDescent="0.3">
      <c r="A47" s="206">
        <v>2032</v>
      </c>
      <c r="B47" s="229">
        <v>90870909365440.188</v>
      </c>
      <c r="C47" s="229">
        <f t="shared" si="8"/>
        <v>20671785677745.656</v>
      </c>
      <c r="D47" s="229">
        <f t="shared" si="9"/>
        <v>34756175244700.172</v>
      </c>
      <c r="E47" s="229">
        <f t="shared" si="10"/>
        <v>20881072950045.504</v>
      </c>
      <c r="F47" s="229"/>
      <c r="G47" s="229"/>
      <c r="H47" s="229"/>
      <c r="I47" s="229"/>
      <c r="J47" s="229"/>
      <c r="K47" s="229"/>
      <c r="M47" s="206">
        <v>2032</v>
      </c>
      <c r="N47" s="419">
        <f t="shared" si="4"/>
        <v>11661937815308.184</v>
      </c>
      <c r="O47" s="418">
        <f>(C47/Population_Tables!P21)*Population_Tables!D80</f>
        <v>0</v>
      </c>
      <c r="P47" s="418">
        <f>(D47/Population_Tables!Q21)*Population_Tables!E80</f>
        <v>0</v>
      </c>
      <c r="Q47" s="418">
        <f>((E47-H47)/Population_Tables!R21)*Population_Tables!F80</f>
        <v>11661937815308.184</v>
      </c>
      <c r="R47" s="418">
        <f>(F47/Population_Tables!S21)*Population_Tables!G80</f>
        <v>0</v>
      </c>
      <c r="S47" s="418">
        <f>(G47/Population_Tables!T21)*Population_Tables!H80</f>
        <v>0</v>
      </c>
      <c r="T47" s="418">
        <f>(H47/Population_Tables!U21)*Population_Tables!I80</f>
        <v>0</v>
      </c>
      <c r="U47" s="418">
        <f>(I47/Population_Tables!V21)*Population_Tables!J80</f>
        <v>0</v>
      </c>
      <c r="V47" s="418">
        <f>(J47/Population_Tables!W21)*Population_Tables!K80</f>
        <v>0</v>
      </c>
      <c r="W47" s="418">
        <f>(K47/Population_Tables!X21)*Population_Tables!L80</f>
        <v>0</v>
      </c>
      <c r="Y47" s="456">
        <v>2032</v>
      </c>
      <c r="Z47" s="459">
        <f>((B47/Population_Tables!O21)*Population_Tables!C21)-N47</f>
        <v>81835072977877.641</v>
      </c>
      <c r="AA47" s="459">
        <f>((C47/Population_Tables!P21)*Population_Tables!D21)-O47</f>
        <v>21186604586561.813</v>
      </c>
      <c r="AB47" s="459">
        <f>((D47/Population_Tables!Q21)*Population_Tables!E21)-P47</f>
        <v>35613336525226.109</v>
      </c>
      <c r="AC47" s="459">
        <f>((E47/Population_Tables!R21)*Population_Tables!F21)-Q47</f>
        <v>9839887073832.9102</v>
      </c>
      <c r="AD47" s="459">
        <f>((F47/Population_Tables!S21)*Population_Tables!G21)-R47</f>
        <v>0</v>
      </c>
      <c r="AE47" s="459">
        <f>((G47/Population_Tables!T21)*Population_Tables!H21)-S47</f>
        <v>0</v>
      </c>
      <c r="AF47" s="459">
        <f>(H47/Population_Tables!U21)*Population_Tables!I21</f>
        <v>0</v>
      </c>
      <c r="AG47" s="459">
        <f>(I47/Population_Tables!V21)*Population_Tables!J21</f>
        <v>0</v>
      </c>
      <c r="AH47" s="459">
        <f>(J47/Population_Tables!W21)*Population_Tables!K21</f>
        <v>0</v>
      </c>
      <c r="AI47" s="459">
        <f>(K47/Population_Tables!X21)*Population_Tables!L21</f>
        <v>0</v>
      </c>
      <c r="AK47" s="456">
        <v>2032</v>
      </c>
      <c r="AL47" s="459">
        <f t="shared" si="11"/>
        <v>93497010793185.828</v>
      </c>
      <c r="AM47" s="459">
        <f t="shared" si="11"/>
        <v>21186604586561.813</v>
      </c>
      <c r="AN47" s="459">
        <f t="shared" si="11"/>
        <v>35613336525226.109</v>
      </c>
      <c r="AO47" s="459">
        <f t="shared" si="11"/>
        <v>21501824889141.094</v>
      </c>
      <c r="AP47" s="459">
        <f t="shared" si="11"/>
        <v>0</v>
      </c>
      <c r="AQ47" s="459">
        <f t="shared" si="11"/>
        <v>0</v>
      </c>
      <c r="AR47" s="459">
        <f t="shared" si="11"/>
        <v>0</v>
      </c>
      <c r="AS47" s="459">
        <f t="shared" si="11"/>
        <v>0</v>
      </c>
      <c r="AT47" s="459">
        <f t="shared" si="11"/>
        <v>0</v>
      </c>
      <c r="AU47" s="459">
        <f t="shared" si="11"/>
        <v>0</v>
      </c>
      <c r="AW47" s="216">
        <f>(B47/Population_Tables!O21)*Population_Tables!C21</f>
        <v>93497010793185.828</v>
      </c>
      <c r="AX47" s="153" t="str">
        <f t="shared" si="12"/>
        <v>OK</v>
      </c>
      <c r="AY47" s="421">
        <f t="shared" si="6"/>
        <v>78301766000929.016</v>
      </c>
      <c r="AZ47" s="153" t="str">
        <f t="shared" si="7"/>
        <v>OK</v>
      </c>
      <c r="BB47" s="216">
        <f>(C47/Population_Tables!P21)*Population_Tables!D21</f>
        <v>21186604586561.813</v>
      </c>
      <c r="BC47" s="216">
        <f>(D47/Population_Tables!Q21)*Population_Tables!E21</f>
        <v>35613336525226.109</v>
      </c>
      <c r="BD47" s="216">
        <f>(E47/Population_Tables!R21)*Population_Tables!F21</f>
        <v>21501824889141.094</v>
      </c>
      <c r="BE47" s="216">
        <f>(F47/Population_Tables!S21)*Population_Tables!G21</f>
        <v>0</v>
      </c>
      <c r="BF47" s="216">
        <f>(G47/Population_Tables!T21)*Population_Tables!H21</f>
        <v>0</v>
      </c>
      <c r="BG47" s="216"/>
      <c r="BN47" s="216"/>
      <c r="BO47" s="216"/>
      <c r="BP47" s="216"/>
    </row>
    <row r="48" spans="1:68" ht="15.6" x14ac:dyDescent="0.3">
      <c r="A48" s="206">
        <v>2033</v>
      </c>
      <c r="B48" s="229">
        <v>93209053280847.188</v>
      </c>
      <c r="C48" s="229">
        <f t="shared" si="8"/>
        <v>20849261608838.223</v>
      </c>
      <c r="D48" s="229">
        <f t="shared" si="9"/>
        <v>35882866792508.031</v>
      </c>
      <c r="E48" s="229">
        <f t="shared" si="10"/>
        <v>21040062134486.332</v>
      </c>
      <c r="F48" s="229"/>
      <c r="G48" s="229"/>
      <c r="H48" s="229"/>
      <c r="I48" s="229"/>
      <c r="J48" s="229"/>
      <c r="K48" s="229"/>
      <c r="M48" s="206">
        <v>2033</v>
      </c>
      <c r="N48" s="419">
        <f t="shared" si="4"/>
        <v>11841156697766.201</v>
      </c>
      <c r="O48" s="418">
        <f>(C48/Population_Tables!P22)*Population_Tables!D81</f>
        <v>0</v>
      </c>
      <c r="P48" s="418">
        <f>(D48/Population_Tables!Q22)*Population_Tables!E81</f>
        <v>0</v>
      </c>
      <c r="Q48" s="418">
        <f>((E48-H48)/Population_Tables!R22)*Population_Tables!F81</f>
        <v>11841156697766.201</v>
      </c>
      <c r="R48" s="418">
        <f>(F48/Population_Tables!S22)*Population_Tables!G81</f>
        <v>0</v>
      </c>
      <c r="S48" s="418">
        <f>(G48/Population_Tables!T22)*Population_Tables!H81</f>
        <v>0</v>
      </c>
      <c r="T48" s="418">
        <f>(H48/Population_Tables!U22)*Population_Tables!I81</f>
        <v>0</v>
      </c>
      <c r="U48" s="418">
        <f>(I48/Population_Tables!V22)*Population_Tables!J81</f>
        <v>0</v>
      </c>
      <c r="V48" s="418">
        <f>(J48/Population_Tables!W22)*Population_Tables!K81</f>
        <v>0</v>
      </c>
      <c r="W48" s="418">
        <f>(K48/Population_Tables!X22)*Population_Tables!L81</f>
        <v>0</v>
      </c>
      <c r="Y48" s="456">
        <v>2033</v>
      </c>
      <c r="Z48" s="459">
        <f>((B48/Population_Tables!O22)*Population_Tables!C22)-N48</f>
        <v>84371995765433.625</v>
      </c>
      <c r="AA48" s="459">
        <f>((C48/Population_Tables!P22)*Population_Tables!D22)-O48</f>
        <v>21429061033821.43</v>
      </c>
      <c r="AB48" s="459">
        <f>((D48/Population_Tables!Q22)*Population_Tables!E22)-P48</f>
        <v>36871482668468.5</v>
      </c>
      <c r="AC48" s="459">
        <f>((E48/Population_Tables!R22)*Population_Tables!F22)-Q48</f>
        <v>9896932562103.8574</v>
      </c>
      <c r="AD48" s="459">
        <f>((F48/Population_Tables!S22)*Population_Tables!G22)-R48</f>
        <v>0</v>
      </c>
      <c r="AE48" s="459">
        <f>((G48/Population_Tables!T22)*Population_Tables!H22)-S48</f>
        <v>0</v>
      </c>
      <c r="AF48" s="459">
        <f>(H48/Population_Tables!U22)*Population_Tables!I22</f>
        <v>0</v>
      </c>
      <c r="AG48" s="459">
        <f>(I48/Population_Tables!V22)*Population_Tables!J22</f>
        <v>0</v>
      </c>
      <c r="AH48" s="459">
        <f>(J48/Population_Tables!W22)*Population_Tables!K22</f>
        <v>0</v>
      </c>
      <c r="AI48" s="459">
        <f>(K48/Population_Tables!X22)*Population_Tables!L22</f>
        <v>0</v>
      </c>
      <c r="AK48" s="456">
        <v>2033</v>
      </c>
      <c r="AL48" s="459">
        <f t="shared" si="11"/>
        <v>96213152463199.828</v>
      </c>
      <c r="AM48" s="459">
        <f t="shared" si="11"/>
        <v>21429061033821.43</v>
      </c>
      <c r="AN48" s="459">
        <f t="shared" si="11"/>
        <v>36871482668468.5</v>
      </c>
      <c r="AO48" s="459">
        <f t="shared" si="11"/>
        <v>21738089259870.059</v>
      </c>
      <c r="AP48" s="459">
        <f t="shared" si="11"/>
        <v>0</v>
      </c>
      <c r="AQ48" s="459">
        <f t="shared" si="11"/>
        <v>0</v>
      </c>
      <c r="AR48" s="459">
        <f t="shared" si="11"/>
        <v>0</v>
      </c>
      <c r="AS48" s="459">
        <f t="shared" si="11"/>
        <v>0</v>
      </c>
      <c r="AT48" s="459">
        <f t="shared" si="11"/>
        <v>0</v>
      </c>
      <c r="AU48" s="459">
        <f t="shared" si="11"/>
        <v>0</v>
      </c>
      <c r="AW48" s="216">
        <f>(B48/Population_Tables!O22)*Population_Tables!C22</f>
        <v>96213152463199.828</v>
      </c>
      <c r="AX48" s="153" t="str">
        <f t="shared" si="12"/>
        <v>OK</v>
      </c>
      <c r="AY48" s="421">
        <f t="shared" si="6"/>
        <v>80038632962159.984</v>
      </c>
      <c r="AZ48" s="153" t="str">
        <f t="shared" si="7"/>
        <v>OK</v>
      </c>
      <c r="BB48" s="216">
        <f>(C48/Population_Tables!P22)*Population_Tables!D22</f>
        <v>21429061033821.43</v>
      </c>
      <c r="BC48" s="216">
        <f>(D48/Population_Tables!Q22)*Population_Tables!E22</f>
        <v>36871482668468.5</v>
      </c>
      <c r="BD48" s="216">
        <f>(E48/Population_Tables!R22)*Population_Tables!F22</f>
        <v>21738089259870.059</v>
      </c>
      <c r="BE48" s="216">
        <f>(F48/Population_Tables!S22)*Population_Tables!G22</f>
        <v>0</v>
      </c>
      <c r="BF48" s="216">
        <f>(G48/Population_Tables!T22)*Population_Tables!H22</f>
        <v>0</v>
      </c>
      <c r="BG48" s="216"/>
      <c r="BN48" s="216"/>
      <c r="BO48" s="216"/>
      <c r="BP48" s="216"/>
    </row>
    <row r="49" spans="1:68" ht="15.6" x14ac:dyDescent="0.3">
      <c r="A49" s="206">
        <v>2034</v>
      </c>
      <c r="B49" s="229">
        <v>95589025493656.359</v>
      </c>
      <c r="C49" s="229">
        <f t="shared" si="8"/>
        <v>21028104561275.043</v>
      </c>
      <c r="D49" s="229">
        <f t="shared" si="9"/>
        <v>37017307900572.039</v>
      </c>
      <c r="E49" s="229">
        <f t="shared" si="10"/>
        <v>21183693803650.824</v>
      </c>
      <c r="F49" s="229"/>
      <c r="G49" s="229"/>
      <c r="H49" s="229"/>
      <c r="I49" s="229"/>
      <c r="J49" s="229"/>
      <c r="K49" s="229"/>
      <c r="M49" s="206">
        <v>2034</v>
      </c>
      <c r="N49" s="419">
        <f t="shared" si="4"/>
        <v>12013151404229.305</v>
      </c>
      <c r="O49" s="418">
        <f>(C49/Population_Tables!P23)*Population_Tables!D82</f>
        <v>0</v>
      </c>
      <c r="P49" s="418">
        <f>(D49/Population_Tables!Q23)*Population_Tables!E82</f>
        <v>0</v>
      </c>
      <c r="Q49" s="418">
        <f>((E49-H49)/Population_Tables!R23)*Population_Tables!F82</f>
        <v>12013151404229.305</v>
      </c>
      <c r="R49" s="418">
        <f>(F49/Population_Tables!S23)*Population_Tables!G82</f>
        <v>0</v>
      </c>
      <c r="S49" s="418">
        <f>(G49/Population_Tables!T23)*Population_Tables!H82</f>
        <v>0</v>
      </c>
      <c r="T49" s="418">
        <f>(H49/Population_Tables!U23)*Population_Tables!I82</f>
        <v>0</v>
      </c>
      <c r="U49" s="418">
        <f>(I49/Population_Tables!V23)*Population_Tables!J82</f>
        <v>0</v>
      </c>
      <c r="V49" s="418">
        <f>(J49/Population_Tables!W23)*Population_Tables!K82</f>
        <v>0</v>
      </c>
      <c r="W49" s="418">
        <f>(K49/Population_Tables!X23)*Population_Tables!L82</f>
        <v>0</v>
      </c>
      <c r="Y49" s="456">
        <v>2034</v>
      </c>
      <c r="Z49" s="459">
        <f>((B49/Population_Tables!O23)*Population_Tables!C23)-N49</f>
        <v>86975986342211.938</v>
      </c>
      <c r="AA49" s="459">
        <f>((C49/Population_Tables!P23)*Population_Tables!D23)-O49</f>
        <v>21674351104399.203</v>
      </c>
      <c r="AB49" s="459">
        <f>((D49/Population_Tables!Q23)*Population_Tables!E23)-P49</f>
        <v>38145867350553.344</v>
      </c>
      <c r="AC49" s="459">
        <f>((E49/Population_Tables!R23)*Population_Tables!F23)-Q49</f>
        <v>9946700405247.7031</v>
      </c>
      <c r="AD49" s="459">
        <f>((F49/Population_Tables!S23)*Population_Tables!G23)-R49</f>
        <v>0</v>
      </c>
      <c r="AE49" s="459">
        <f>((G49/Population_Tables!T23)*Population_Tables!H23)-S49</f>
        <v>0</v>
      </c>
      <c r="AF49" s="459">
        <f>(H49/Population_Tables!U23)*Population_Tables!I23</f>
        <v>0</v>
      </c>
      <c r="AG49" s="459">
        <f>(I49/Population_Tables!V23)*Population_Tables!J23</f>
        <v>0</v>
      </c>
      <c r="AH49" s="459">
        <f>(J49/Population_Tables!W23)*Population_Tables!K23</f>
        <v>0</v>
      </c>
      <c r="AI49" s="459">
        <f>(K49/Population_Tables!X23)*Population_Tables!L23</f>
        <v>0</v>
      </c>
      <c r="AK49" s="456">
        <v>2034</v>
      </c>
      <c r="AL49" s="459">
        <f t="shared" si="11"/>
        <v>98989137746441.25</v>
      </c>
      <c r="AM49" s="459">
        <f t="shared" si="11"/>
        <v>21674351104399.203</v>
      </c>
      <c r="AN49" s="459">
        <f t="shared" si="11"/>
        <v>38145867350553.344</v>
      </c>
      <c r="AO49" s="459">
        <f t="shared" si="11"/>
        <v>21959851809477.008</v>
      </c>
      <c r="AP49" s="459">
        <f t="shared" si="11"/>
        <v>0</v>
      </c>
      <c r="AQ49" s="459">
        <f t="shared" si="11"/>
        <v>0</v>
      </c>
      <c r="AR49" s="459">
        <f t="shared" si="11"/>
        <v>0</v>
      </c>
      <c r="AS49" s="459">
        <f t="shared" si="11"/>
        <v>0</v>
      </c>
      <c r="AT49" s="459">
        <f t="shared" si="11"/>
        <v>0</v>
      </c>
      <c r="AU49" s="459">
        <f t="shared" si="11"/>
        <v>0</v>
      </c>
      <c r="AW49" s="216">
        <f>(B49/Population_Tables!O23)*Population_Tables!C23</f>
        <v>98989137746441.25</v>
      </c>
      <c r="AX49" s="153" t="str">
        <f t="shared" si="12"/>
        <v>OK</v>
      </c>
      <c r="AY49" s="421">
        <f t="shared" si="6"/>
        <v>81780070264429.563</v>
      </c>
      <c r="AZ49" s="153" t="str">
        <f t="shared" si="7"/>
        <v>OK</v>
      </c>
      <c r="BB49" s="216">
        <f>(C49/Population_Tables!P23)*Population_Tables!D23</f>
        <v>21674351104399.203</v>
      </c>
      <c r="BC49" s="216">
        <f>(D49/Population_Tables!Q23)*Population_Tables!E23</f>
        <v>38145867350553.344</v>
      </c>
      <c r="BD49" s="216">
        <f>(E49/Population_Tables!R23)*Population_Tables!F23</f>
        <v>21959851809477.008</v>
      </c>
      <c r="BE49" s="216">
        <f>(F49/Population_Tables!S23)*Population_Tables!G23</f>
        <v>0</v>
      </c>
      <c r="BF49" s="216">
        <f>(G49/Population_Tables!T23)*Population_Tables!H23</f>
        <v>0</v>
      </c>
      <c r="BG49" s="216"/>
      <c r="BN49" s="216"/>
      <c r="BO49" s="216"/>
      <c r="BP49" s="216"/>
    </row>
    <row r="50" spans="1:68" ht="15.6" x14ac:dyDescent="0.3">
      <c r="A50" s="206">
        <v>2035</v>
      </c>
      <c r="B50" s="229">
        <v>97869687583147.125</v>
      </c>
      <c r="C50" s="229">
        <f t="shared" si="8"/>
        <v>21350284944639.516</v>
      </c>
      <c r="D50" s="229">
        <f t="shared" si="9"/>
        <v>38137056156610.328</v>
      </c>
      <c r="E50" s="229">
        <f t="shared" si="10"/>
        <v>21336986419114.645</v>
      </c>
      <c r="F50" s="229"/>
      <c r="G50" s="229"/>
      <c r="H50" s="229"/>
      <c r="I50" s="229"/>
      <c r="J50" s="229"/>
      <c r="K50" s="229"/>
      <c r="M50" s="206">
        <v>2035</v>
      </c>
      <c r="N50" s="419">
        <f t="shared" si="4"/>
        <v>12191294022487.336</v>
      </c>
      <c r="O50" s="418">
        <f>(C50/Population_Tables!P24)*Population_Tables!D83</f>
        <v>0</v>
      </c>
      <c r="P50" s="418">
        <f>(D50/Population_Tables!Q24)*Population_Tables!E83</f>
        <v>0</v>
      </c>
      <c r="Q50" s="418">
        <f>((E50-H50)/Population_Tables!R24)*Population_Tables!F83</f>
        <v>12191294022487.336</v>
      </c>
      <c r="R50" s="418">
        <f>(F50/Population_Tables!S24)*Population_Tables!G83</f>
        <v>0</v>
      </c>
      <c r="S50" s="418">
        <f>(G50/Population_Tables!T24)*Population_Tables!H83</f>
        <v>0</v>
      </c>
      <c r="T50" s="418">
        <f>(H50/Population_Tables!U24)*Population_Tables!I83</f>
        <v>0</v>
      </c>
      <c r="U50" s="418">
        <f>(I50/Population_Tables!V24)*Population_Tables!J83</f>
        <v>0</v>
      </c>
      <c r="V50" s="418">
        <f>(J50/Population_Tables!W24)*Population_Tables!K83</f>
        <v>0</v>
      </c>
      <c r="W50" s="418">
        <f>(K50/Population_Tables!X24)*Population_Tables!L83</f>
        <v>0</v>
      </c>
      <c r="Y50" s="456">
        <v>2035</v>
      </c>
      <c r="Z50" s="459">
        <f>((B50/Population_Tables!O24)*Population_Tables!C24)-N50</f>
        <v>89483603477751.313</v>
      </c>
      <c r="AA50" s="459">
        <f>((C50/Population_Tables!P24)*Population_Tables!D24)-O50</f>
        <v>22068493485072.344</v>
      </c>
      <c r="AB50" s="459">
        <f>((D50/Population_Tables!Q24)*Population_Tables!E24)-P50</f>
        <v>39412405505644.336</v>
      </c>
      <c r="AC50" s="459">
        <f>((E50/Population_Tables!R24)*Population_Tables!F24)-Q50</f>
        <v>10000798288441.313</v>
      </c>
      <c r="AD50" s="459">
        <f>((F50/Population_Tables!S24)*Population_Tables!G24)-R50</f>
        <v>0</v>
      </c>
      <c r="AE50" s="459">
        <f>((G50/Population_Tables!T24)*Population_Tables!H24)-S50</f>
        <v>0</v>
      </c>
      <c r="AF50" s="459">
        <f>(H50/Population_Tables!U24)*Population_Tables!I24</f>
        <v>0</v>
      </c>
      <c r="AG50" s="459">
        <f>(I50/Population_Tables!V24)*Population_Tables!J24</f>
        <v>0</v>
      </c>
      <c r="AH50" s="459">
        <f>(J50/Population_Tables!W24)*Population_Tables!K24</f>
        <v>0</v>
      </c>
      <c r="AI50" s="459">
        <f>(K50/Population_Tables!X24)*Population_Tables!L24</f>
        <v>0</v>
      </c>
      <c r="AK50" s="456">
        <v>2035</v>
      </c>
      <c r="AL50" s="459">
        <f t="shared" si="11"/>
        <v>101674897500238.66</v>
      </c>
      <c r="AM50" s="459">
        <f t="shared" si="11"/>
        <v>22068493485072.344</v>
      </c>
      <c r="AN50" s="459">
        <f t="shared" si="11"/>
        <v>39412405505644.336</v>
      </c>
      <c r="AO50" s="459">
        <f t="shared" si="11"/>
        <v>22192092310928.648</v>
      </c>
      <c r="AP50" s="459">
        <f t="shared" si="11"/>
        <v>0</v>
      </c>
      <c r="AQ50" s="459">
        <f t="shared" si="11"/>
        <v>0</v>
      </c>
      <c r="AR50" s="459">
        <f t="shared" si="11"/>
        <v>0</v>
      </c>
      <c r="AS50" s="459">
        <f t="shared" si="11"/>
        <v>0</v>
      </c>
      <c r="AT50" s="459">
        <f t="shared" si="11"/>
        <v>0</v>
      </c>
      <c r="AU50" s="459">
        <f t="shared" si="11"/>
        <v>0</v>
      </c>
      <c r="AW50" s="216">
        <f>(B50/Population_Tables!O24)*Population_Tables!C24</f>
        <v>101674897500238.64</v>
      </c>
      <c r="AX50" s="153" t="b">
        <f t="shared" si="12"/>
        <v>0</v>
      </c>
      <c r="AY50" s="421">
        <f t="shared" si="6"/>
        <v>83672991301645.328</v>
      </c>
      <c r="AZ50" s="153" t="str">
        <f t="shared" si="7"/>
        <v>OK</v>
      </c>
      <c r="BB50" s="216">
        <f>(C50/Population_Tables!P24)*Population_Tables!D24</f>
        <v>22068493485072.344</v>
      </c>
      <c r="BC50" s="216">
        <f>(D50/Population_Tables!Q24)*Population_Tables!E24</f>
        <v>39412405505644.336</v>
      </c>
      <c r="BD50" s="216">
        <f>(E50/Population_Tables!R24)*Population_Tables!F24</f>
        <v>22192092310928.648</v>
      </c>
      <c r="BE50" s="216">
        <f>(F50/Population_Tables!S24)*Population_Tables!G24</f>
        <v>0</v>
      </c>
      <c r="BF50" s="216">
        <f>(G50/Population_Tables!T24)*Population_Tables!H24</f>
        <v>0</v>
      </c>
      <c r="BG50" s="216"/>
      <c r="BN50" s="216"/>
      <c r="BO50" s="216"/>
      <c r="BP50" s="216"/>
    </row>
    <row r="51" spans="1:68" ht="15.6" x14ac:dyDescent="0.3">
      <c r="A51" s="206">
        <v>2036</v>
      </c>
      <c r="B51" s="229">
        <v>100481795208586.7</v>
      </c>
      <c r="C51" s="229">
        <f t="shared" si="8"/>
        <v>21389224647011.086</v>
      </c>
      <c r="D51" s="229">
        <f t="shared" si="9"/>
        <v>39300395446466.023</v>
      </c>
      <c r="E51" s="229">
        <f t="shared" si="10"/>
        <v>21428106014191</v>
      </c>
      <c r="F51" s="229"/>
      <c r="G51" s="229"/>
      <c r="H51" s="229"/>
      <c r="I51" s="229"/>
      <c r="J51" s="229"/>
      <c r="K51" s="229"/>
      <c r="M51" s="206">
        <v>2036</v>
      </c>
      <c r="N51" s="419">
        <f t="shared" si="4"/>
        <v>12334055660530.109</v>
      </c>
      <c r="O51" s="418">
        <f>(C51/Population_Tables!P25)*Population_Tables!D84</f>
        <v>0</v>
      </c>
      <c r="P51" s="418">
        <f>(D51/Population_Tables!Q25)*Population_Tables!E84</f>
        <v>0</v>
      </c>
      <c r="Q51" s="418">
        <f>((E51-H51)/Population_Tables!R25)*Population_Tables!F84</f>
        <v>12334055660530.109</v>
      </c>
      <c r="R51" s="418">
        <f>(F51/Population_Tables!S25)*Population_Tables!G84</f>
        <v>0</v>
      </c>
      <c r="S51" s="418">
        <f>(G51/Population_Tables!T25)*Population_Tables!H84</f>
        <v>0</v>
      </c>
      <c r="T51" s="418">
        <f>(H51/Population_Tables!U25)*Population_Tables!I84</f>
        <v>0</v>
      </c>
      <c r="U51" s="418">
        <f>(I51/Population_Tables!V25)*Population_Tables!J84</f>
        <v>0</v>
      </c>
      <c r="V51" s="418">
        <f>(J51/Population_Tables!W25)*Population_Tables!K84</f>
        <v>0</v>
      </c>
      <c r="W51" s="418">
        <f>(K51/Population_Tables!X25)*Population_Tables!L84</f>
        <v>0</v>
      </c>
      <c r="Y51" s="456">
        <v>2036</v>
      </c>
      <c r="Z51" s="459">
        <f>((B51/Population_Tables!O25)*Population_Tables!C25)-N51</f>
        <v>92382513043884.5</v>
      </c>
      <c r="AA51" s="459">
        <f>((C51/Population_Tables!P25)*Population_Tables!D25)-O51</f>
        <v>22170190416961.945</v>
      </c>
      <c r="AB51" s="459">
        <f>((D51/Population_Tables!Q25)*Population_Tables!E25)-P51</f>
        <v>40730860615849.453</v>
      </c>
      <c r="AC51" s="459">
        <f>((E51/Population_Tables!R25)*Population_Tables!F25)-Q51</f>
        <v>10025529499166.25</v>
      </c>
      <c r="AD51" s="459">
        <f>((F51/Population_Tables!S25)*Population_Tables!G25)-R51</f>
        <v>0</v>
      </c>
      <c r="AE51" s="459">
        <f>((G51/Population_Tables!T25)*Population_Tables!H25)-S51</f>
        <v>0</v>
      </c>
      <c r="AF51" s="459">
        <f>(H51/Population_Tables!U25)*Population_Tables!I25</f>
        <v>0</v>
      </c>
      <c r="AG51" s="459">
        <f>(I51/Population_Tables!V25)*Population_Tables!J25</f>
        <v>0</v>
      </c>
      <c r="AH51" s="459">
        <f>(J51/Population_Tables!W25)*Population_Tables!K25</f>
        <v>0</v>
      </c>
      <c r="AI51" s="459">
        <f>(K51/Population_Tables!X25)*Population_Tables!L25</f>
        <v>0</v>
      </c>
      <c r="AK51" s="456">
        <v>2036</v>
      </c>
      <c r="AL51" s="459">
        <f t="shared" si="11"/>
        <v>104716568704414.61</v>
      </c>
      <c r="AM51" s="459">
        <f t="shared" si="11"/>
        <v>22170190416961.945</v>
      </c>
      <c r="AN51" s="459">
        <f t="shared" si="11"/>
        <v>40730860615849.453</v>
      </c>
      <c r="AO51" s="459">
        <f t="shared" si="11"/>
        <v>22359585159696.359</v>
      </c>
      <c r="AP51" s="459">
        <f t="shared" si="11"/>
        <v>0</v>
      </c>
      <c r="AQ51" s="459">
        <f t="shared" si="11"/>
        <v>0</v>
      </c>
      <c r="AR51" s="459">
        <f t="shared" si="11"/>
        <v>0</v>
      </c>
      <c r="AS51" s="459">
        <f t="shared" si="11"/>
        <v>0</v>
      </c>
      <c r="AT51" s="459">
        <f t="shared" si="11"/>
        <v>0</v>
      </c>
      <c r="AU51" s="459">
        <f t="shared" si="11"/>
        <v>0</v>
      </c>
      <c r="AW51" s="216">
        <f>(B51/Population_Tables!O25)*Population_Tables!C25</f>
        <v>104716568704414.61</v>
      </c>
      <c r="AX51" s="153" t="str">
        <f t="shared" si="12"/>
        <v>OK</v>
      </c>
      <c r="AY51" s="421">
        <f t="shared" si="6"/>
        <v>85260636192507.75</v>
      </c>
      <c r="AZ51" s="153" t="str">
        <f t="shared" si="7"/>
        <v>OK</v>
      </c>
      <c r="BB51" s="216">
        <f>(C51/Population_Tables!P25)*Population_Tables!D25</f>
        <v>22170190416961.945</v>
      </c>
      <c r="BC51" s="216">
        <f>(D51/Population_Tables!Q25)*Population_Tables!E25</f>
        <v>40730860615849.453</v>
      </c>
      <c r="BD51" s="216">
        <f>(E51/Population_Tables!R25)*Population_Tables!F25</f>
        <v>22359585159696.359</v>
      </c>
      <c r="BE51" s="216">
        <f>(F51/Population_Tables!S25)*Population_Tables!G25</f>
        <v>0</v>
      </c>
      <c r="BF51" s="216">
        <f>(G51/Population_Tables!T25)*Population_Tables!H25</f>
        <v>0</v>
      </c>
      <c r="BG51" s="216"/>
      <c r="BN51" s="216"/>
      <c r="BO51" s="216"/>
      <c r="BP51" s="216"/>
    </row>
    <row r="52" spans="1:68" ht="15.6" x14ac:dyDescent="0.3">
      <c r="A52" s="206">
        <v>2037</v>
      </c>
      <c r="B52" s="229">
        <v>102998193389602.44</v>
      </c>
      <c r="C52" s="229">
        <f t="shared" si="8"/>
        <v>21571168338725.137</v>
      </c>
      <c r="D52" s="229">
        <f t="shared" si="9"/>
        <v>40444520208794.773</v>
      </c>
      <c r="E52" s="229">
        <f t="shared" si="10"/>
        <v>21530497264586.773</v>
      </c>
      <c r="F52" s="229"/>
      <c r="G52" s="229"/>
      <c r="H52" s="229"/>
      <c r="I52" s="229"/>
      <c r="J52" s="229"/>
      <c r="K52" s="229"/>
      <c r="M52" s="206">
        <v>2037</v>
      </c>
      <c r="N52" s="419">
        <f t="shared" si="4"/>
        <v>12483372285677.445</v>
      </c>
      <c r="O52" s="418">
        <f>(C52/Population_Tables!P26)*Population_Tables!D85</f>
        <v>0</v>
      </c>
      <c r="P52" s="418">
        <f>(D52/Population_Tables!Q26)*Population_Tables!E85</f>
        <v>0</v>
      </c>
      <c r="Q52" s="418">
        <f>((E52-H52)/Population_Tables!R26)*Population_Tables!F85</f>
        <v>12483372285677.445</v>
      </c>
      <c r="R52" s="418">
        <f>(F52/Population_Tables!S26)*Population_Tables!G85</f>
        <v>0</v>
      </c>
      <c r="S52" s="418">
        <f>(G52/Population_Tables!T26)*Population_Tables!H85</f>
        <v>0</v>
      </c>
      <c r="T52" s="418">
        <f>(H52/Population_Tables!U26)*Population_Tables!I85</f>
        <v>0</v>
      </c>
      <c r="U52" s="418">
        <f>(I52/Population_Tables!V26)*Population_Tables!J85</f>
        <v>0</v>
      </c>
      <c r="V52" s="418">
        <f>(J52/Population_Tables!W26)*Population_Tables!K85</f>
        <v>0</v>
      </c>
      <c r="W52" s="418">
        <f>(K52/Population_Tables!X26)*Population_Tables!L85</f>
        <v>0</v>
      </c>
      <c r="Y52" s="456">
        <v>2037</v>
      </c>
      <c r="Z52" s="459">
        <f>((B52/Population_Tables!O26)*Population_Tables!C26)-N52</f>
        <v>95188140474388.875</v>
      </c>
      <c r="AA52" s="459">
        <f>((C52/Population_Tables!P26)*Population_Tables!D26)-O52</f>
        <v>22420072774466.391</v>
      </c>
      <c r="AB52" s="459">
        <f>((D52/Population_Tables!Q26)*Population_Tables!E26)-P52</f>
        <v>42036573858417.57</v>
      </c>
      <c r="AC52" s="459">
        <f>((E52/Population_Tables!R26)*Population_Tables!F26)-Q52</f>
        <v>10055405653080.711</v>
      </c>
      <c r="AD52" s="459">
        <f>((F52/Population_Tables!S26)*Population_Tables!G26)-R52</f>
        <v>0</v>
      </c>
      <c r="AE52" s="459">
        <f>((G52/Population_Tables!T26)*Population_Tables!H26)-S52</f>
        <v>0</v>
      </c>
      <c r="AF52" s="459">
        <f>(H52/Population_Tables!U26)*Population_Tables!I26</f>
        <v>0</v>
      </c>
      <c r="AG52" s="459">
        <f>(I52/Population_Tables!V26)*Population_Tables!J26</f>
        <v>0</v>
      </c>
      <c r="AH52" s="459">
        <f>(J52/Population_Tables!W26)*Population_Tables!K26</f>
        <v>0</v>
      </c>
      <c r="AI52" s="459">
        <f>(K52/Population_Tables!X26)*Population_Tables!L26</f>
        <v>0</v>
      </c>
      <c r="AK52" s="456">
        <v>2037</v>
      </c>
      <c r="AL52" s="459">
        <f t="shared" si="11"/>
        <v>107671512760066.31</v>
      </c>
      <c r="AM52" s="459">
        <f t="shared" si="11"/>
        <v>22420072774466.391</v>
      </c>
      <c r="AN52" s="459">
        <f t="shared" si="11"/>
        <v>42036573858417.57</v>
      </c>
      <c r="AO52" s="459">
        <f t="shared" si="11"/>
        <v>22538777938758.156</v>
      </c>
      <c r="AP52" s="459">
        <f t="shared" si="11"/>
        <v>0</v>
      </c>
      <c r="AQ52" s="459">
        <f t="shared" si="11"/>
        <v>0</v>
      </c>
      <c r="AR52" s="459">
        <f t="shared" si="11"/>
        <v>0</v>
      </c>
      <c r="AS52" s="459">
        <f t="shared" si="11"/>
        <v>0</v>
      </c>
      <c r="AT52" s="459">
        <f t="shared" si="11"/>
        <v>0</v>
      </c>
      <c r="AU52" s="459">
        <f t="shared" si="11"/>
        <v>0</v>
      </c>
      <c r="AW52" s="216">
        <f>(B52/Population_Tables!O26)*Population_Tables!C26</f>
        <v>107671512760066.31</v>
      </c>
      <c r="AX52" s="153" t="str">
        <f t="shared" si="12"/>
        <v>OK</v>
      </c>
      <c r="AY52" s="421">
        <f t="shared" si="6"/>
        <v>86995424571642.125</v>
      </c>
      <c r="AZ52" s="153" t="str">
        <f t="shared" si="7"/>
        <v>OK</v>
      </c>
      <c r="BB52" s="216">
        <f>(C52/Population_Tables!P26)*Population_Tables!D26</f>
        <v>22420072774466.391</v>
      </c>
      <c r="BC52" s="216">
        <f>(D52/Population_Tables!Q26)*Population_Tables!E26</f>
        <v>42036573858417.57</v>
      </c>
      <c r="BD52" s="216">
        <f>(E52/Population_Tables!R26)*Population_Tables!F26</f>
        <v>22538777938758.156</v>
      </c>
      <c r="BE52" s="216">
        <f>(F52/Population_Tables!S26)*Population_Tables!G26</f>
        <v>0</v>
      </c>
      <c r="BF52" s="216">
        <f>(G52/Population_Tables!T26)*Population_Tables!H26</f>
        <v>0</v>
      </c>
      <c r="BG52" s="216"/>
      <c r="BN52" s="216"/>
      <c r="BO52" s="216"/>
      <c r="BP52" s="216"/>
    </row>
    <row r="53" spans="1:68" ht="15.6" x14ac:dyDescent="0.3">
      <c r="A53" s="206">
        <v>2038</v>
      </c>
      <c r="B53" s="229">
        <v>105563726129405.5</v>
      </c>
      <c r="C53" s="229">
        <f t="shared" si="8"/>
        <v>21753812168613.098</v>
      </c>
      <c r="D53" s="229">
        <f t="shared" si="9"/>
        <v>41587351180377.211</v>
      </c>
      <c r="E53" s="229">
        <f t="shared" si="10"/>
        <v>21620752417746.406</v>
      </c>
      <c r="F53" s="229"/>
      <c r="G53" s="229"/>
      <c r="H53" s="229"/>
      <c r="I53" s="229"/>
      <c r="J53" s="229"/>
      <c r="K53" s="229"/>
      <c r="M53" s="206">
        <v>2038</v>
      </c>
      <c r="N53" s="419">
        <f t="shared" si="4"/>
        <v>12626003061836.693</v>
      </c>
      <c r="O53" s="418">
        <f>(C53/Population_Tables!P27)*Population_Tables!D86</f>
        <v>0</v>
      </c>
      <c r="P53" s="418">
        <f>(D53/Population_Tables!Q27)*Population_Tables!E86</f>
        <v>0</v>
      </c>
      <c r="Q53" s="418">
        <f>((E53-H53)/Population_Tables!R27)*Population_Tables!F86</f>
        <v>12626003061836.693</v>
      </c>
      <c r="R53" s="418">
        <f>(F53/Population_Tables!S27)*Population_Tables!G86</f>
        <v>0</v>
      </c>
      <c r="S53" s="418">
        <f>(G53/Population_Tables!T27)*Population_Tables!H86</f>
        <v>0</v>
      </c>
      <c r="T53" s="418">
        <f>(H53/Population_Tables!U27)*Population_Tables!I86</f>
        <v>0</v>
      </c>
      <c r="U53" s="418">
        <f>(I53/Population_Tables!V27)*Population_Tables!J86</f>
        <v>0</v>
      </c>
      <c r="V53" s="418">
        <f>(J53/Population_Tables!W27)*Population_Tables!K86</f>
        <v>0</v>
      </c>
      <c r="W53" s="418">
        <f>(K53/Population_Tables!X27)*Population_Tables!L86</f>
        <v>0</v>
      </c>
      <c r="Y53" s="456">
        <v>2038</v>
      </c>
      <c r="Z53" s="459">
        <f>((B53/Population_Tables!O27)*Population_Tables!C27)-N53</f>
        <v>98066392402530.703</v>
      </c>
      <c r="AA53" s="459">
        <f>((C53/Population_Tables!P27)*Population_Tables!D27)-O53</f>
        <v>22671265476799.297</v>
      </c>
      <c r="AB53" s="459">
        <f>((D53/Population_Tables!Q27)*Population_Tables!E27)-P53</f>
        <v>43348695754586.461</v>
      </c>
      <c r="AC53" s="459">
        <f>((E53/Population_Tables!R27)*Population_Tables!F27)-Q53</f>
        <v>10079591775039.322</v>
      </c>
      <c r="AD53" s="459">
        <f>((F53/Population_Tables!S27)*Population_Tables!G27)-R53</f>
        <v>0</v>
      </c>
      <c r="AE53" s="459">
        <f>((G53/Population_Tables!T27)*Population_Tables!H27)-S53</f>
        <v>0</v>
      </c>
      <c r="AF53" s="459">
        <f>(H53/Population_Tables!U27)*Population_Tables!I27</f>
        <v>0</v>
      </c>
      <c r="AG53" s="459">
        <f>(I53/Population_Tables!V27)*Population_Tables!J27</f>
        <v>0</v>
      </c>
      <c r="AH53" s="459">
        <f>(J53/Population_Tables!W27)*Population_Tables!K27</f>
        <v>0</v>
      </c>
      <c r="AI53" s="459">
        <f>(K53/Population_Tables!X27)*Population_Tables!L27</f>
        <v>0</v>
      </c>
      <c r="AK53" s="456">
        <v>2038</v>
      </c>
      <c r="AL53" s="459">
        <f t="shared" si="11"/>
        <v>110692395464367.39</v>
      </c>
      <c r="AM53" s="459">
        <f t="shared" si="11"/>
        <v>22671265476799.297</v>
      </c>
      <c r="AN53" s="459">
        <f t="shared" si="11"/>
        <v>43348695754586.461</v>
      </c>
      <c r="AO53" s="459">
        <f t="shared" si="11"/>
        <v>22705594836876.016</v>
      </c>
      <c r="AP53" s="459">
        <f t="shared" si="11"/>
        <v>0</v>
      </c>
      <c r="AQ53" s="459">
        <f t="shared" si="11"/>
        <v>0</v>
      </c>
      <c r="AR53" s="459">
        <f t="shared" si="11"/>
        <v>0</v>
      </c>
      <c r="AS53" s="459">
        <f t="shared" si="11"/>
        <v>0</v>
      </c>
      <c r="AT53" s="459">
        <f t="shared" si="11"/>
        <v>0</v>
      </c>
      <c r="AU53" s="459">
        <f t="shared" si="11"/>
        <v>0</v>
      </c>
      <c r="AW53" s="216">
        <f>(B53/Population_Tables!O27)*Population_Tables!C27</f>
        <v>110692395464367.39</v>
      </c>
      <c r="AX53" s="153" t="str">
        <f t="shared" si="12"/>
        <v>OK</v>
      </c>
      <c r="AY53" s="421">
        <f t="shared" si="6"/>
        <v>88725556068261.781</v>
      </c>
      <c r="AZ53" s="153" t="str">
        <f t="shared" si="7"/>
        <v>OK</v>
      </c>
      <c r="BB53" s="216">
        <f>(C53/Population_Tables!P27)*Population_Tables!D27</f>
        <v>22671265476799.297</v>
      </c>
      <c r="BC53" s="216">
        <f>(D53/Population_Tables!Q27)*Population_Tables!E27</f>
        <v>43348695754586.461</v>
      </c>
      <c r="BD53" s="216">
        <f>(E53/Population_Tables!R27)*Population_Tables!F27</f>
        <v>22705594836876.016</v>
      </c>
      <c r="BE53" s="216">
        <f>(F53/Population_Tables!S27)*Population_Tables!G27</f>
        <v>0</v>
      </c>
      <c r="BF53" s="216">
        <f>(G53/Population_Tables!T27)*Population_Tables!H27</f>
        <v>0</v>
      </c>
      <c r="BG53" s="216"/>
      <c r="BN53" s="216"/>
      <c r="BO53" s="216"/>
      <c r="BP53" s="216"/>
    </row>
    <row r="54" spans="1:68" ht="15.6" x14ac:dyDescent="0.3">
      <c r="A54" s="206">
        <v>2039</v>
      </c>
      <c r="B54" s="229">
        <v>108180270189690.78</v>
      </c>
      <c r="C54" s="229">
        <f t="shared" si="8"/>
        <v>21936989415882.379</v>
      </c>
      <c r="D54" s="229">
        <f t="shared" si="9"/>
        <v>42726627523462.711</v>
      </c>
      <c r="E54" s="229">
        <f t="shared" si="10"/>
        <v>21699676828179.941</v>
      </c>
      <c r="F54" s="229"/>
      <c r="G54" s="229"/>
      <c r="H54" s="229"/>
      <c r="I54" s="229"/>
      <c r="J54" s="229"/>
      <c r="K54" s="229"/>
      <c r="M54" s="206">
        <v>2039</v>
      </c>
      <c r="N54" s="419">
        <f t="shared" si="4"/>
        <v>12762780124901.393</v>
      </c>
      <c r="O54" s="418">
        <f>(C54/Population_Tables!P28)*Population_Tables!D87</f>
        <v>0</v>
      </c>
      <c r="P54" s="418">
        <f>(D54/Population_Tables!Q28)*Population_Tables!E87</f>
        <v>0</v>
      </c>
      <c r="Q54" s="418">
        <f>((E54-H54)/Population_Tables!R28)*Population_Tables!F87</f>
        <v>12762780124901.393</v>
      </c>
      <c r="R54" s="418">
        <f>(F54/Population_Tables!S28)*Population_Tables!G87</f>
        <v>0</v>
      </c>
      <c r="S54" s="418">
        <f>(G54/Population_Tables!T28)*Population_Tables!H87</f>
        <v>0</v>
      </c>
      <c r="T54" s="418">
        <f>(H54/Population_Tables!U28)*Population_Tables!I87</f>
        <v>0</v>
      </c>
      <c r="U54" s="418">
        <f>(I54/Population_Tables!V28)*Population_Tables!J87</f>
        <v>0</v>
      </c>
      <c r="V54" s="418">
        <f>(J54/Population_Tables!W28)*Population_Tables!K87</f>
        <v>0</v>
      </c>
      <c r="W54" s="418">
        <f>(K54/Population_Tables!X28)*Population_Tables!L87</f>
        <v>0</v>
      </c>
      <c r="Y54" s="456">
        <v>2039</v>
      </c>
      <c r="Z54" s="459">
        <f>((B54/Population_Tables!O28)*Population_Tables!C28)-N54</f>
        <v>101022068618457.08</v>
      </c>
      <c r="AA54" s="459">
        <f>((C54/Population_Tables!P28)*Population_Tables!D28)-O54</f>
        <v>22924040552797.176</v>
      </c>
      <c r="AB54" s="459">
        <f>((D54/Population_Tables!Q28)*Population_Tables!E28)-P54</f>
        <v>44666051474625.516</v>
      </c>
      <c r="AC54" s="459">
        <f>((E54/Population_Tables!R28)*Population_Tables!F28)-Q54</f>
        <v>10098657654643.975</v>
      </c>
      <c r="AD54" s="459">
        <f>((F54/Population_Tables!S28)*Population_Tables!G28)-R54</f>
        <v>0</v>
      </c>
      <c r="AE54" s="459">
        <f>((G54/Population_Tables!T28)*Population_Tables!H28)-S54</f>
        <v>0</v>
      </c>
      <c r="AF54" s="459">
        <f>(H54/Population_Tables!U28)*Population_Tables!I28</f>
        <v>0</v>
      </c>
      <c r="AG54" s="459">
        <f>(I54/Population_Tables!V28)*Population_Tables!J28</f>
        <v>0</v>
      </c>
      <c r="AH54" s="459">
        <f>(J54/Population_Tables!W28)*Population_Tables!K28</f>
        <v>0</v>
      </c>
      <c r="AI54" s="459">
        <f>(K54/Population_Tables!X28)*Population_Tables!L28</f>
        <v>0</v>
      </c>
      <c r="AK54" s="456">
        <v>2039</v>
      </c>
      <c r="AL54" s="459">
        <f t="shared" si="11"/>
        <v>113784848743358.47</v>
      </c>
      <c r="AM54" s="459">
        <f t="shared" si="11"/>
        <v>22924040552797.176</v>
      </c>
      <c r="AN54" s="459">
        <f t="shared" si="11"/>
        <v>44666051474625.516</v>
      </c>
      <c r="AO54" s="459">
        <f t="shared" si="11"/>
        <v>22861437779545.367</v>
      </c>
      <c r="AP54" s="459">
        <f t="shared" si="11"/>
        <v>0</v>
      </c>
      <c r="AQ54" s="459">
        <f t="shared" si="11"/>
        <v>0</v>
      </c>
      <c r="AR54" s="459">
        <f t="shared" si="11"/>
        <v>0</v>
      </c>
      <c r="AS54" s="459">
        <f t="shared" si="11"/>
        <v>0</v>
      </c>
      <c r="AT54" s="459">
        <f t="shared" si="11"/>
        <v>0</v>
      </c>
      <c r="AU54" s="459">
        <f t="shared" si="11"/>
        <v>0</v>
      </c>
      <c r="AW54" s="216">
        <f>(B54/Population_Tables!O28)*Population_Tables!C28</f>
        <v>113784848743358.47</v>
      </c>
      <c r="AX54" s="153" t="str">
        <f t="shared" si="12"/>
        <v>OK</v>
      </c>
      <c r="AY54" s="421">
        <f t="shared" si="6"/>
        <v>90451529806968.063</v>
      </c>
      <c r="AZ54" s="153" t="str">
        <f t="shared" si="7"/>
        <v>OK</v>
      </c>
      <c r="BB54" s="216">
        <f>(C54/Population_Tables!P28)*Population_Tables!D28</f>
        <v>22924040552797.176</v>
      </c>
      <c r="BC54" s="216">
        <f>(D54/Population_Tables!Q28)*Population_Tables!E28</f>
        <v>44666051474625.516</v>
      </c>
      <c r="BD54" s="216">
        <f>(E54/Population_Tables!R28)*Population_Tables!F28</f>
        <v>22861437779545.367</v>
      </c>
      <c r="BE54" s="216">
        <f>(F54/Population_Tables!S28)*Population_Tables!G28</f>
        <v>0</v>
      </c>
      <c r="BF54" s="216">
        <f>(G54/Population_Tables!T28)*Population_Tables!H28</f>
        <v>0</v>
      </c>
      <c r="BG54" s="216"/>
      <c r="BN54" s="216"/>
      <c r="BO54" s="216"/>
      <c r="BP54" s="216"/>
    </row>
    <row r="55" spans="1:68" ht="15.6" x14ac:dyDescent="0.3">
      <c r="A55" s="206">
        <v>2040</v>
      </c>
      <c r="B55" s="229">
        <v>110730691963199.72</v>
      </c>
      <c r="C55" s="229">
        <f t="shared" si="8"/>
        <v>22196535946223.188</v>
      </c>
      <c r="D55" s="229">
        <f t="shared" si="9"/>
        <v>43754240410899.055</v>
      </c>
      <c r="E55" s="229">
        <f t="shared" si="10"/>
        <v>21616946288050.941</v>
      </c>
      <c r="F55" s="229"/>
      <c r="G55" s="229"/>
      <c r="H55" s="229"/>
      <c r="I55" s="229"/>
      <c r="J55" s="229"/>
      <c r="K55" s="229"/>
      <c r="M55" s="206">
        <v>2040</v>
      </c>
      <c r="N55" s="419">
        <f t="shared" si="4"/>
        <v>12804960261977.07</v>
      </c>
      <c r="O55" s="418">
        <f>(C55/Population_Tables!P29)*Population_Tables!D88</f>
        <v>0</v>
      </c>
      <c r="P55" s="418">
        <f>(D55/Population_Tables!Q29)*Population_Tables!E88</f>
        <v>0</v>
      </c>
      <c r="Q55" s="418">
        <f>((E55-H55)/Population_Tables!R29)*Population_Tables!F88</f>
        <v>12804960261977.07</v>
      </c>
      <c r="R55" s="418">
        <f>(F55/Population_Tables!S29)*Population_Tables!G88</f>
        <v>0</v>
      </c>
      <c r="S55" s="418">
        <f>(G55/Population_Tables!T29)*Population_Tables!H88</f>
        <v>0</v>
      </c>
      <c r="T55" s="418">
        <f>(H55/Population_Tables!U29)*Population_Tables!I88</f>
        <v>0</v>
      </c>
      <c r="U55" s="418">
        <f>(I55/Population_Tables!V29)*Population_Tables!J88</f>
        <v>0</v>
      </c>
      <c r="V55" s="418">
        <f>(J55/Population_Tables!W29)*Population_Tables!K88</f>
        <v>0</v>
      </c>
      <c r="W55" s="418">
        <f>(K55/Population_Tables!X29)*Population_Tables!L88</f>
        <v>0</v>
      </c>
      <c r="Y55" s="456">
        <v>2040</v>
      </c>
      <c r="Z55" s="459">
        <f>((B55/Population_Tables!O29)*Population_Tables!C29)-N55</f>
        <v>104023683281722.09</v>
      </c>
      <c r="AA55" s="459">
        <f>((C55/Population_Tables!P29)*Population_Tables!D29)-O55</f>
        <v>23258222903659.207</v>
      </c>
      <c r="AB55" s="459">
        <f>((D55/Population_Tables!Q29)*Population_Tables!E29)-P55</f>
        <v>45876336332099.07</v>
      </c>
      <c r="AC55" s="459">
        <f>((E55/Population_Tables!R29)*Population_Tables!F29)-Q55</f>
        <v>10042919868028.313</v>
      </c>
      <c r="AD55" s="459">
        <f>((F55/Population_Tables!S29)*Population_Tables!G29)-R55</f>
        <v>0</v>
      </c>
      <c r="AE55" s="459">
        <f>((G55/Population_Tables!T29)*Population_Tables!H29)-S55</f>
        <v>0</v>
      </c>
      <c r="AF55" s="459">
        <f>(H55/Population_Tables!U29)*Population_Tables!I29</f>
        <v>0</v>
      </c>
      <c r="AG55" s="459">
        <f>(I55/Population_Tables!V29)*Population_Tables!J29</f>
        <v>0</v>
      </c>
      <c r="AH55" s="459">
        <f>(J55/Population_Tables!W29)*Population_Tables!K29</f>
        <v>0</v>
      </c>
      <c r="AI55" s="459">
        <f>(K55/Population_Tables!X29)*Population_Tables!L29</f>
        <v>0</v>
      </c>
      <c r="AK55" s="456">
        <v>2040</v>
      </c>
      <c r="AL55" s="459">
        <f t="shared" si="11"/>
        <v>116828643543699.16</v>
      </c>
      <c r="AM55" s="459">
        <f t="shared" si="11"/>
        <v>23258222903659.207</v>
      </c>
      <c r="AN55" s="459">
        <f t="shared" si="11"/>
        <v>45876336332099.07</v>
      </c>
      <c r="AO55" s="459">
        <f t="shared" si="11"/>
        <v>22847880130005.383</v>
      </c>
      <c r="AP55" s="459">
        <f t="shared" si="11"/>
        <v>0</v>
      </c>
      <c r="AQ55" s="459">
        <f t="shared" si="11"/>
        <v>0</v>
      </c>
      <c r="AR55" s="459">
        <f t="shared" si="11"/>
        <v>0</v>
      </c>
      <c r="AS55" s="459">
        <f t="shared" si="11"/>
        <v>0</v>
      </c>
      <c r="AT55" s="459">
        <f t="shared" si="11"/>
        <v>0</v>
      </c>
      <c r="AU55" s="459">
        <f t="shared" si="11"/>
        <v>0</v>
      </c>
      <c r="AW55" s="216">
        <f>(B55/Population_Tables!O29)*Population_Tables!C29</f>
        <v>116828643543699.17</v>
      </c>
      <c r="AX55" s="153" t="b">
        <f t="shared" si="12"/>
        <v>0</v>
      </c>
      <c r="AY55" s="421">
        <f t="shared" si="6"/>
        <v>91982439365763.656</v>
      </c>
      <c r="AZ55" s="153" t="str">
        <f t="shared" si="7"/>
        <v>OK</v>
      </c>
      <c r="BB55" s="216">
        <f>(C55/Population_Tables!P29)*Population_Tables!D29</f>
        <v>23258222903659.207</v>
      </c>
      <c r="BC55" s="216">
        <f>(D55/Population_Tables!Q29)*Population_Tables!E29</f>
        <v>45876336332099.07</v>
      </c>
      <c r="BD55" s="216">
        <f>(E55/Population_Tables!R29)*Population_Tables!F29</f>
        <v>22847880130005.383</v>
      </c>
      <c r="BE55" s="216">
        <f>(F55/Population_Tables!S29)*Population_Tables!G29</f>
        <v>0</v>
      </c>
      <c r="BF55" s="216">
        <f>(G55/Population_Tables!T29)*Population_Tables!H29</f>
        <v>0</v>
      </c>
      <c r="BG55" s="216"/>
      <c r="BN55" s="216"/>
      <c r="BO55" s="216"/>
      <c r="BP55" s="216"/>
    </row>
    <row r="56" spans="1:68" ht="15.6" x14ac:dyDescent="0.3">
      <c r="A56" s="206">
        <v>2041</v>
      </c>
      <c r="B56" s="229">
        <v>113573784469756.03</v>
      </c>
      <c r="C56" s="229">
        <f t="shared" si="8"/>
        <v>22304277279394.57</v>
      </c>
      <c r="D56" s="229">
        <f t="shared" si="9"/>
        <v>44985472973140.461</v>
      </c>
      <c r="E56" s="229">
        <f t="shared" si="10"/>
        <v>21826754838908.914</v>
      </c>
      <c r="F56" s="229"/>
      <c r="G56" s="229"/>
      <c r="H56" s="229"/>
      <c r="I56" s="229"/>
      <c r="J56" s="229"/>
      <c r="K56" s="229"/>
      <c r="M56" s="206">
        <v>2041</v>
      </c>
      <c r="N56" s="419">
        <f t="shared" si="4"/>
        <v>13021562554851.617</v>
      </c>
      <c r="O56" s="418">
        <f>(C56/Population_Tables!P30)*Population_Tables!D89</f>
        <v>0</v>
      </c>
      <c r="P56" s="418">
        <f>(D56/Population_Tables!Q30)*Population_Tables!E89</f>
        <v>0</v>
      </c>
      <c r="Q56" s="418">
        <f>((E56-H56)/Population_Tables!R30)*Population_Tables!F89</f>
        <v>13021562554851.617</v>
      </c>
      <c r="R56" s="418">
        <f>(F56/Population_Tables!S30)*Population_Tables!G89</f>
        <v>0</v>
      </c>
      <c r="S56" s="418">
        <f>(G56/Population_Tables!T30)*Population_Tables!H89</f>
        <v>0</v>
      </c>
      <c r="T56" s="418">
        <f>(H56/Population_Tables!U30)*Population_Tables!I89</f>
        <v>0</v>
      </c>
      <c r="U56" s="418">
        <f>(I56/Population_Tables!V30)*Population_Tables!J89</f>
        <v>0</v>
      </c>
      <c r="V56" s="418">
        <f>(J56/Population_Tables!W30)*Population_Tables!K89</f>
        <v>0</v>
      </c>
      <c r="W56" s="418">
        <f>(K56/Population_Tables!X30)*Population_Tables!L89</f>
        <v>0</v>
      </c>
      <c r="Y56" s="456">
        <v>2041</v>
      </c>
      <c r="Z56" s="459">
        <f>((B56/Population_Tables!O30)*Population_Tables!C30)-N56</f>
        <v>107182214074424.72</v>
      </c>
      <c r="AA56" s="459">
        <f>((C56/Population_Tables!P30)*Population_Tables!D30)-O56</f>
        <v>23434809048521.316</v>
      </c>
      <c r="AB56" s="459">
        <f>((D56/Population_Tables!Q30)*Population_Tables!E30)-P56</f>
        <v>47310490673590.711</v>
      </c>
      <c r="AC56" s="459">
        <f>((E56/Population_Tables!R30)*Population_Tables!F30)-Q56</f>
        <v>10123451131617.848</v>
      </c>
      <c r="AD56" s="459">
        <f>((F56/Population_Tables!S30)*Population_Tables!G30)-R56</f>
        <v>0</v>
      </c>
      <c r="AE56" s="459">
        <f>((G56/Population_Tables!T30)*Population_Tables!H30)-S56</f>
        <v>0</v>
      </c>
      <c r="AF56" s="459">
        <f>(H56/Population_Tables!U30)*Population_Tables!I30</f>
        <v>0</v>
      </c>
      <c r="AG56" s="459">
        <f>(I56/Population_Tables!V30)*Population_Tables!J30</f>
        <v>0</v>
      </c>
      <c r="AH56" s="459">
        <f>(J56/Population_Tables!W30)*Population_Tables!K30</f>
        <v>0</v>
      </c>
      <c r="AI56" s="459">
        <f>(K56/Population_Tables!X30)*Population_Tables!L30</f>
        <v>0</v>
      </c>
      <c r="AK56" s="456">
        <v>2041</v>
      </c>
      <c r="AL56" s="459">
        <f t="shared" si="11"/>
        <v>120203776629276.34</v>
      </c>
      <c r="AM56" s="459">
        <f t="shared" si="11"/>
        <v>23434809048521.316</v>
      </c>
      <c r="AN56" s="459">
        <f t="shared" si="11"/>
        <v>47310490673590.711</v>
      </c>
      <c r="AO56" s="459">
        <f t="shared" si="11"/>
        <v>23145013686469.465</v>
      </c>
      <c r="AP56" s="459">
        <f t="shared" si="11"/>
        <v>0</v>
      </c>
      <c r="AQ56" s="459">
        <f t="shared" si="11"/>
        <v>0</v>
      </c>
      <c r="AR56" s="459">
        <f t="shared" si="11"/>
        <v>0</v>
      </c>
      <c r="AS56" s="459">
        <f t="shared" si="11"/>
        <v>0</v>
      </c>
      <c r="AT56" s="459">
        <f t="shared" si="11"/>
        <v>0</v>
      </c>
      <c r="AU56" s="459">
        <f t="shared" si="11"/>
        <v>0</v>
      </c>
      <c r="AW56" s="216">
        <f>(B56/Population_Tables!O30)*Population_Tables!C30</f>
        <v>120203776629276.33</v>
      </c>
      <c r="AX56" s="153" t="b">
        <f t="shared" si="12"/>
        <v>0</v>
      </c>
      <c r="AY56" s="421">
        <f t="shared" si="6"/>
        <v>93890313408581.5</v>
      </c>
      <c r="AZ56" s="153" t="str">
        <f t="shared" si="7"/>
        <v>OK</v>
      </c>
      <c r="BB56" s="216">
        <f>(C56/Population_Tables!P30)*Population_Tables!D30</f>
        <v>23434809048521.316</v>
      </c>
      <c r="BC56" s="216">
        <f>(D56/Population_Tables!Q30)*Population_Tables!E30</f>
        <v>47310490673590.711</v>
      </c>
      <c r="BD56" s="216">
        <f>(E56/Population_Tables!R30)*Population_Tables!F30</f>
        <v>23145013686469.465</v>
      </c>
      <c r="BE56" s="216">
        <f>(F56/Population_Tables!S30)*Population_Tables!G30</f>
        <v>0</v>
      </c>
      <c r="BF56" s="216">
        <f>(G56/Population_Tables!T30)*Population_Tables!H30</f>
        <v>0</v>
      </c>
      <c r="BG56" s="216"/>
      <c r="BN56" s="216"/>
      <c r="BO56" s="216"/>
      <c r="BP56" s="216"/>
    </row>
    <row r="57" spans="1:68" ht="15.6" x14ac:dyDescent="0.3">
      <c r="A57" s="206">
        <v>2042</v>
      </c>
      <c r="B57" s="229">
        <v>116354356409893.25</v>
      </c>
      <c r="C57" s="229">
        <f t="shared" si="8"/>
        <v>22488054454052.305</v>
      </c>
      <c r="D57" s="229">
        <f t="shared" si="9"/>
        <v>46100520404231.469</v>
      </c>
      <c r="E57" s="229">
        <f t="shared" si="10"/>
        <v>21876519148224.449</v>
      </c>
      <c r="F57" s="229"/>
      <c r="G57" s="229"/>
      <c r="H57" s="229"/>
      <c r="I57" s="229"/>
      <c r="J57" s="229"/>
      <c r="K57" s="229"/>
      <c r="M57" s="206">
        <v>2042</v>
      </c>
      <c r="N57" s="419">
        <f t="shared" si="4"/>
        <v>13144449670380.543</v>
      </c>
      <c r="O57" s="418">
        <f>(C57/Population_Tables!P31)*Population_Tables!D90</f>
        <v>0</v>
      </c>
      <c r="P57" s="418">
        <f>(D57/Population_Tables!Q31)*Population_Tables!E90</f>
        <v>0</v>
      </c>
      <c r="Q57" s="418">
        <f>((E57-H57)/Population_Tables!R31)*Population_Tables!F90</f>
        <v>13144449670380.543</v>
      </c>
      <c r="R57" s="418">
        <f>(F57/Population_Tables!S31)*Population_Tables!G90</f>
        <v>0</v>
      </c>
      <c r="S57" s="418">
        <f>(G57/Population_Tables!T31)*Population_Tables!H90</f>
        <v>0</v>
      </c>
      <c r="T57" s="418">
        <f>(H57/Population_Tables!U31)*Population_Tables!I90</f>
        <v>0</v>
      </c>
      <c r="U57" s="418">
        <f>(I57/Population_Tables!V31)*Population_Tables!J90</f>
        <v>0</v>
      </c>
      <c r="V57" s="418">
        <f>(J57/Population_Tables!W31)*Population_Tables!K90</f>
        <v>0</v>
      </c>
      <c r="W57" s="418">
        <f>(K57/Population_Tables!X31)*Population_Tables!L90</f>
        <v>0</v>
      </c>
      <c r="Y57" s="456">
        <v>2042</v>
      </c>
      <c r="Z57" s="459">
        <f>((B57/Population_Tables!O31)*Population_Tables!C31)-N57</f>
        <v>110392019935951.72</v>
      </c>
      <c r="AA57" s="459">
        <f>((C57/Population_Tables!P31)*Population_Tables!D31)-O57</f>
        <v>23692484879161.902</v>
      </c>
      <c r="AB57" s="459">
        <f>((D57/Population_Tables!Q31)*Population_Tables!E31)-P57</f>
        <v>48633250559084.109</v>
      </c>
      <c r="AC57" s="459">
        <f>((E57/Population_Tables!R31)*Population_Tables!F31)-Q57</f>
        <v>10129994629526.621</v>
      </c>
      <c r="AD57" s="459">
        <f>((F57/Population_Tables!S31)*Population_Tables!G31)-R57</f>
        <v>0</v>
      </c>
      <c r="AE57" s="459">
        <f>((G57/Population_Tables!T31)*Population_Tables!H31)-S57</f>
        <v>0</v>
      </c>
      <c r="AF57" s="459">
        <f>(H57/Population_Tables!U31)*Population_Tables!I31</f>
        <v>0</v>
      </c>
      <c r="AG57" s="459">
        <f>(I57/Population_Tables!V31)*Population_Tables!J31</f>
        <v>0</v>
      </c>
      <c r="AH57" s="459">
        <f>(J57/Population_Tables!W31)*Population_Tables!K31</f>
        <v>0</v>
      </c>
      <c r="AI57" s="459">
        <f>(K57/Population_Tables!X31)*Population_Tables!L31</f>
        <v>0</v>
      </c>
      <c r="AK57" s="456">
        <v>2042</v>
      </c>
      <c r="AL57" s="459">
        <f t="shared" si="11"/>
        <v>123536469606332.27</v>
      </c>
      <c r="AM57" s="459">
        <f t="shared" si="11"/>
        <v>23692484879161.902</v>
      </c>
      <c r="AN57" s="459">
        <f t="shared" si="11"/>
        <v>48633250559084.109</v>
      </c>
      <c r="AO57" s="459">
        <f t="shared" si="11"/>
        <v>23274444299907.164</v>
      </c>
      <c r="AP57" s="459">
        <f t="shared" si="11"/>
        <v>0</v>
      </c>
      <c r="AQ57" s="459">
        <f t="shared" si="11"/>
        <v>0</v>
      </c>
      <c r="AR57" s="459">
        <f t="shared" si="11"/>
        <v>0</v>
      </c>
      <c r="AS57" s="459">
        <f t="shared" si="11"/>
        <v>0</v>
      </c>
      <c r="AT57" s="459">
        <f t="shared" si="11"/>
        <v>0</v>
      </c>
      <c r="AU57" s="459">
        <f t="shared" si="11"/>
        <v>0</v>
      </c>
      <c r="AW57" s="216">
        <f>(B57/Population_Tables!O31)*Population_Tables!C31</f>
        <v>123536469606332.27</v>
      </c>
      <c r="AX57" s="153" t="str">
        <f t="shared" si="12"/>
        <v>OK</v>
      </c>
      <c r="AY57" s="421">
        <f t="shared" si="6"/>
        <v>95600179738153.188</v>
      </c>
      <c r="AZ57" s="153" t="str">
        <f t="shared" si="7"/>
        <v>OK</v>
      </c>
      <c r="BB57" s="216">
        <f>(C57/Population_Tables!P31)*Population_Tables!D31</f>
        <v>23692484879161.902</v>
      </c>
      <c r="BC57" s="216">
        <f>(D57/Population_Tables!Q31)*Population_Tables!E31</f>
        <v>48633250559084.109</v>
      </c>
      <c r="BD57" s="216">
        <f>(E57/Population_Tables!R31)*Population_Tables!F31</f>
        <v>23274444299907.164</v>
      </c>
      <c r="BE57" s="216">
        <f>(F57/Population_Tables!S31)*Population_Tables!G31</f>
        <v>0</v>
      </c>
      <c r="BF57" s="216">
        <f>(G57/Population_Tables!T31)*Population_Tables!H31</f>
        <v>0</v>
      </c>
      <c r="BG57" s="216"/>
      <c r="BN57" s="216"/>
      <c r="BO57" s="216"/>
      <c r="BP57" s="216"/>
    </row>
    <row r="58" spans="1:68" ht="15.6" x14ac:dyDescent="0.3">
      <c r="A58" s="206">
        <v>2043</v>
      </c>
      <c r="B58" s="229">
        <v>119193105301878.38</v>
      </c>
      <c r="C58" s="229">
        <f t="shared" si="8"/>
        <v>22671698162921.012</v>
      </c>
      <c r="D58" s="229">
        <f t="shared" si="9"/>
        <v>47202969855823.086</v>
      </c>
      <c r="E58" s="229">
        <f t="shared" si="10"/>
        <v>21918174132854.082</v>
      </c>
      <c r="F58" s="229"/>
      <c r="G58" s="229"/>
      <c r="H58" s="229"/>
      <c r="I58" s="229"/>
      <c r="J58" s="229"/>
      <c r="K58" s="229"/>
      <c r="M58" s="206">
        <v>2043</v>
      </c>
      <c r="N58" s="419">
        <f t="shared" si="4"/>
        <v>13263923546356.441</v>
      </c>
      <c r="O58" s="418">
        <f>(C58/Population_Tables!P32)*Population_Tables!D91</f>
        <v>0</v>
      </c>
      <c r="P58" s="418">
        <f>(D58/Population_Tables!Q32)*Population_Tables!E91</f>
        <v>0</v>
      </c>
      <c r="Q58" s="418">
        <f>((E58-H58)/Population_Tables!R32)*Population_Tables!F91</f>
        <v>13263923546356.441</v>
      </c>
      <c r="R58" s="418">
        <f>(F58/Population_Tables!S32)*Population_Tables!G91</f>
        <v>0</v>
      </c>
      <c r="S58" s="418">
        <f>(G58/Population_Tables!T32)*Population_Tables!H91</f>
        <v>0</v>
      </c>
      <c r="T58" s="418">
        <f>(H58/Population_Tables!U32)*Population_Tables!I91</f>
        <v>0</v>
      </c>
      <c r="U58" s="418">
        <f>(I58/Population_Tables!V32)*Population_Tables!J91</f>
        <v>0</v>
      </c>
      <c r="V58" s="418">
        <f>(J58/Population_Tables!W32)*Population_Tables!K91</f>
        <v>0</v>
      </c>
      <c r="W58" s="418">
        <f>(K58/Population_Tables!X32)*Population_Tables!L91</f>
        <v>0</v>
      </c>
      <c r="Y58" s="456">
        <v>2043</v>
      </c>
      <c r="Z58" s="459">
        <f>((B58/Population_Tables!O32)*Population_Tables!C32)-N58</f>
        <v>113692902573345.22</v>
      </c>
      <c r="AA58" s="459">
        <f>((C58/Population_Tables!P32)*Population_Tables!D32)-O58</f>
        <v>23951571452095.852</v>
      </c>
      <c r="AB58" s="459">
        <f>((D58/Population_Tables!Q32)*Population_Tables!E32)-P58</f>
        <v>49953692354849.375</v>
      </c>
      <c r="AC58" s="459">
        <f>((E58/Population_Tables!R32)*Population_Tables!F32)-Q58</f>
        <v>10133175144005.41</v>
      </c>
      <c r="AD58" s="459">
        <f>((F58/Population_Tables!S32)*Population_Tables!G32)-R58</f>
        <v>0</v>
      </c>
      <c r="AE58" s="459">
        <f>((G58/Population_Tables!T32)*Population_Tables!H32)-S58</f>
        <v>0</v>
      </c>
      <c r="AF58" s="459">
        <f>(H58/Population_Tables!U32)*Population_Tables!I32</f>
        <v>0</v>
      </c>
      <c r="AG58" s="459">
        <f>(I58/Population_Tables!V32)*Population_Tables!J32</f>
        <v>0</v>
      </c>
      <c r="AH58" s="459">
        <f>(J58/Population_Tables!W32)*Population_Tables!K32</f>
        <v>0</v>
      </c>
      <c r="AI58" s="459">
        <f>(K58/Population_Tables!X32)*Population_Tables!L32</f>
        <v>0</v>
      </c>
      <c r="AK58" s="456">
        <v>2043</v>
      </c>
      <c r="AL58" s="459">
        <f t="shared" si="11"/>
        <v>126956826119701.66</v>
      </c>
      <c r="AM58" s="459">
        <f t="shared" si="11"/>
        <v>23951571452095.852</v>
      </c>
      <c r="AN58" s="459">
        <f t="shared" si="11"/>
        <v>49953692354849.375</v>
      </c>
      <c r="AO58" s="459">
        <f t="shared" si="11"/>
        <v>23397098690361.852</v>
      </c>
      <c r="AP58" s="459">
        <f t="shared" si="11"/>
        <v>0</v>
      </c>
      <c r="AQ58" s="459">
        <f t="shared" si="11"/>
        <v>0</v>
      </c>
      <c r="AR58" s="459">
        <f t="shared" si="11"/>
        <v>0</v>
      </c>
      <c r="AS58" s="459">
        <f t="shared" si="11"/>
        <v>0</v>
      </c>
      <c r="AT58" s="459">
        <f t="shared" si="11"/>
        <v>0</v>
      </c>
      <c r="AU58" s="459">
        <f t="shared" si="11"/>
        <v>0</v>
      </c>
      <c r="AW58" s="216">
        <f>(B58/Population_Tables!O32)*Population_Tables!C32</f>
        <v>126956826119701.66</v>
      </c>
      <c r="AX58" s="153" t="str">
        <f t="shared" si="12"/>
        <v>OK</v>
      </c>
      <c r="AY58" s="421">
        <f t="shared" si="6"/>
        <v>97302362497307.063</v>
      </c>
      <c r="AZ58" s="153" t="str">
        <f t="shared" si="7"/>
        <v>OK</v>
      </c>
      <c r="BB58" s="216">
        <f>(C58/Population_Tables!P32)*Population_Tables!D32</f>
        <v>23951571452095.852</v>
      </c>
      <c r="BC58" s="216">
        <f>(D58/Population_Tables!Q32)*Population_Tables!E32</f>
        <v>49953692354849.375</v>
      </c>
      <c r="BD58" s="216">
        <f>(E58/Population_Tables!R32)*Population_Tables!F32</f>
        <v>23397098690361.852</v>
      </c>
      <c r="BE58" s="216">
        <f>(F58/Population_Tables!S32)*Population_Tables!G32</f>
        <v>0</v>
      </c>
      <c r="BF58" s="216">
        <f>(G58/Population_Tables!T32)*Population_Tables!H32</f>
        <v>0</v>
      </c>
      <c r="BG58" s="216"/>
      <c r="BN58" s="216"/>
      <c r="BO58" s="216"/>
      <c r="BP58" s="216"/>
    </row>
    <row r="59" spans="1:68" ht="15.6" x14ac:dyDescent="0.3">
      <c r="A59" s="206">
        <v>2044</v>
      </c>
      <c r="B59" s="229">
        <v>122091689897161.66</v>
      </c>
      <c r="C59" s="229">
        <f t="shared" si="8"/>
        <v>22855041685208.117</v>
      </c>
      <c r="D59" s="229">
        <f t="shared" si="9"/>
        <v>48290560490164.688</v>
      </c>
      <c r="E59" s="229">
        <f t="shared" si="10"/>
        <v>21952525147307.852</v>
      </c>
      <c r="F59" s="229"/>
      <c r="G59" s="229"/>
      <c r="H59" s="229"/>
      <c r="I59" s="229"/>
      <c r="J59" s="229"/>
      <c r="K59" s="229"/>
      <c r="M59" s="206">
        <v>2044</v>
      </c>
      <c r="N59" s="419">
        <f t="shared" si="4"/>
        <v>13380857202615.439</v>
      </c>
      <c r="O59" s="418">
        <f>(C59/Population_Tables!P33)*Population_Tables!D92</f>
        <v>0</v>
      </c>
      <c r="P59" s="418">
        <f>(D59/Population_Tables!Q33)*Population_Tables!E92</f>
        <v>0</v>
      </c>
      <c r="Q59" s="418">
        <f>((E59-H59)/Population_Tables!R33)*Population_Tables!F92</f>
        <v>13380857202615.439</v>
      </c>
      <c r="R59" s="418">
        <f>(F59/Population_Tables!S33)*Population_Tables!G92</f>
        <v>0</v>
      </c>
      <c r="S59" s="418">
        <f>(G59/Population_Tables!T33)*Population_Tables!H92</f>
        <v>0</v>
      </c>
      <c r="T59" s="418">
        <f>(H59/Population_Tables!U33)*Population_Tables!I92</f>
        <v>0</v>
      </c>
      <c r="U59" s="418">
        <f>(I59/Population_Tables!V33)*Population_Tables!J92</f>
        <v>0</v>
      </c>
      <c r="V59" s="418">
        <f>(J59/Population_Tables!W33)*Population_Tables!K92</f>
        <v>0</v>
      </c>
      <c r="W59" s="418">
        <f>(K59/Population_Tables!X33)*Population_Tables!L92</f>
        <v>0</v>
      </c>
      <c r="Y59" s="456">
        <v>2044</v>
      </c>
      <c r="Z59" s="459">
        <f>((B59/Population_Tables!O33)*Population_Tables!C33)-N59</f>
        <v>117088942125084.34</v>
      </c>
      <c r="AA59" s="459">
        <f>((C59/Population_Tables!P33)*Population_Tables!D33)-O59</f>
        <v>24212032466771.645</v>
      </c>
      <c r="AB59" s="459">
        <f>((D59/Population_Tables!Q33)*Population_Tables!E33)-P59</f>
        <v>51269905099025.172</v>
      </c>
      <c r="AC59" s="459">
        <f>((E59/Population_Tables!R33)*Population_Tables!F33)-Q59</f>
        <v>10133394359089.385</v>
      </c>
      <c r="AD59" s="459">
        <f>((F59/Population_Tables!S33)*Population_Tables!G33)-R59</f>
        <v>0</v>
      </c>
      <c r="AE59" s="459">
        <f>((G59/Population_Tables!T33)*Population_Tables!H33)-S59</f>
        <v>0</v>
      </c>
      <c r="AF59" s="459">
        <f>(H59/Population_Tables!U33)*Population_Tables!I33</f>
        <v>0</v>
      </c>
      <c r="AG59" s="459">
        <f>(I59/Population_Tables!V33)*Population_Tables!J33</f>
        <v>0</v>
      </c>
      <c r="AH59" s="459">
        <f>(J59/Population_Tables!W33)*Population_Tables!K33</f>
        <v>0</v>
      </c>
      <c r="AI59" s="459">
        <f>(K59/Population_Tables!X33)*Population_Tables!L33</f>
        <v>0</v>
      </c>
      <c r="AK59" s="456">
        <v>2044</v>
      </c>
      <c r="AL59" s="459">
        <f t="shared" si="11"/>
        <v>130469799327699.78</v>
      </c>
      <c r="AM59" s="459">
        <f t="shared" si="11"/>
        <v>24212032466771.645</v>
      </c>
      <c r="AN59" s="459">
        <f t="shared" si="11"/>
        <v>51269905099025.172</v>
      </c>
      <c r="AO59" s="459">
        <f t="shared" si="11"/>
        <v>23514251561704.824</v>
      </c>
      <c r="AP59" s="459">
        <f t="shared" si="11"/>
        <v>0</v>
      </c>
      <c r="AQ59" s="459">
        <f t="shared" si="11"/>
        <v>0</v>
      </c>
      <c r="AR59" s="459">
        <f t="shared" si="11"/>
        <v>0</v>
      </c>
      <c r="AS59" s="459">
        <f t="shared" si="11"/>
        <v>0</v>
      </c>
      <c r="AT59" s="459">
        <f t="shared" si="11"/>
        <v>0</v>
      </c>
      <c r="AU59" s="459">
        <f t="shared" si="11"/>
        <v>0</v>
      </c>
      <c r="AW59" s="216">
        <f>(B59/Population_Tables!O33)*Population_Tables!C33</f>
        <v>130469799327699.78</v>
      </c>
      <c r="AX59" s="153" t="str">
        <f t="shared" si="12"/>
        <v>OK</v>
      </c>
      <c r="AY59" s="421">
        <f t="shared" si="6"/>
        <v>98996189127501.641</v>
      </c>
      <c r="AZ59" s="153" t="str">
        <f t="shared" si="7"/>
        <v>OK</v>
      </c>
      <c r="BB59" s="216">
        <f>(C59/Population_Tables!P33)*Population_Tables!D33</f>
        <v>24212032466771.645</v>
      </c>
      <c r="BC59" s="216">
        <f>(D59/Population_Tables!Q33)*Population_Tables!E33</f>
        <v>51269905099025.172</v>
      </c>
      <c r="BD59" s="216">
        <f>(E59/Population_Tables!R33)*Population_Tables!F33</f>
        <v>23514251561704.824</v>
      </c>
      <c r="BE59" s="216">
        <f>(F59/Population_Tables!S33)*Population_Tables!G33</f>
        <v>0</v>
      </c>
      <c r="BF59" s="216">
        <f>(G59/Population_Tables!T33)*Population_Tables!H33</f>
        <v>0</v>
      </c>
      <c r="BG59" s="216"/>
      <c r="BN59" s="216"/>
      <c r="BO59" s="216"/>
      <c r="BP59" s="216"/>
    </row>
    <row r="60" spans="1:68" ht="15.6" x14ac:dyDescent="0.3">
      <c r="A60" s="206">
        <v>2045</v>
      </c>
      <c r="B60" s="229">
        <v>125206990652904.91</v>
      </c>
      <c r="C60" s="229">
        <f t="shared" si="8"/>
        <v>22977062415569.961</v>
      </c>
      <c r="D60" s="229">
        <f t="shared" si="9"/>
        <v>49348565279054.758</v>
      </c>
      <c r="E60" s="229">
        <f t="shared" si="10"/>
        <v>22008790757570.328</v>
      </c>
      <c r="F60" s="229"/>
      <c r="G60" s="229"/>
      <c r="H60" s="229"/>
      <c r="I60" s="229"/>
      <c r="J60" s="229"/>
      <c r="K60" s="229"/>
      <c r="M60" s="206">
        <v>2045</v>
      </c>
      <c r="N60" s="419">
        <f t="shared" si="4"/>
        <v>13513511543835.572</v>
      </c>
      <c r="O60" s="418">
        <f>(C60/Population_Tables!P34)*Population_Tables!D93</f>
        <v>0</v>
      </c>
      <c r="P60" s="418">
        <f>(D60/Population_Tables!Q34)*Population_Tables!E93</f>
        <v>0</v>
      </c>
      <c r="Q60" s="418">
        <f>((E60-H60)/Population_Tables!R34)*Population_Tables!F93</f>
        <v>13513511543835.572</v>
      </c>
      <c r="R60" s="418">
        <f>(F60/Population_Tables!S34)*Population_Tables!G93</f>
        <v>0</v>
      </c>
      <c r="S60" s="418">
        <f>(G60/Population_Tables!T34)*Population_Tables!H93</f>
        <v>0</v>
      </c>
      <c r="T60" s="418">
        <f>(H60/Population_Tables!U34)*Population_Tables!I93</f>
        <v>0</v>
      </c>
      <c r="U60" s="418">
        <f>(I60/Population_Tables!V34)*Population_Tables!J93</f>
        <v>0</v>
      </c>
      <c r="V60" s="418">
        <f>(J60/Population_Tables!W34)*Population_Tables!K93</f>
        <v>0</v>
      </c>
      <c r="W60" s="418">
        <f>(K60/Population_Tables!X34)*Population_Tables!L93</f>
        <v>0</v>
      </c>
      <c r="Y60" s="456">
        <v>2045</v>
      </c>
      <c r="Z60" s="459">
        <f>((B60/Population_Tables!O34)*Population_Tables!C34)-N60</f>
        <v>120733197163685.97</v>
      </c>
      <c r="AA60" s="459">
        <f>((C60/Population_Tables!P34)*Population_Tables!D34)-O60</f>
        <v>24409211002894.484</v>
      </c>
      <c r="AB60" s="459">
        <f>((D60/Population_Tables!Q34)*Population_Tables!E34)-P60</f>
        <v>52566695760536.82</v>
      </c>
      <c r="AC60" s="459">
        <f>((E60/Population_Tables!R34)*Population_Tables!F34)-Q60</f>
        <v>10144147975364.959</v>
      </c>
      <c r="AD60" s="459">
        <f>((F60/Population_Tables!S34)*Population_Tables!G34)-R60</f>
        <v>0</v>
      </c>
      <c r="AE60" s="459">
        <f>((G60/Population_Tables!T34)*Population_Tables!H34)-S60</f>
        <v>0</v>
      </c>
      <c r="AF60" s="459">
        <f>(H60/Population_Tables!U34)*Population_Tables!I34</f>
        <v>0</v>
      </c>
      <c r="AG60" s="459">
        <f>(I60/Population_Tables!V34)*Population_Tables!J34</f>
        <v>0</v>
      </c>
      <c r="AH60" s="459">
        <f>(J60/Population_Tables!W34)*Population_Tables!K34</f>
        <v>0</v>
      </c>
      <c r="AI60" s="459">
        <f>(K60/Population_Tables!X34)*Population_Tables!L34</f>
        <v>0</v>
      </c>
      <c r="AK60" s="456">
        <v>2045</v>
      </c>
      <c r="AL60" s="459">
        <f t="shared" si="11"/>
        <v>134246708707521.55</v>
      </c>
      <c r="AM60" s="459">
        <f t="shared" si="11"/>
        <v>24409211002894.484</v>
      </c>
      <c r="AN60" s="459">
        <f t="shared" si="11"/>
        <v>52566695760536.82</v>
      </c>
      <c r="AO60" s="459">
        <f t="shared" si="11"/>
        <v>23657659519200.531</v>
      </c>
      <c r="AP60" s="459">
        <f t="shared" si="11"/>
        <v>0</v>
      </c>
      <c r="AQ60" s="459">
        <f t="shared" si="11"/>
        <v>0</v>
      </c>
      <c r="AR60" s="459">
        <f t="shared" si="11"/>
        <v>0</v>
      </c>
      <c r="AS60" s="459">
        <f t="shared" si="11"/>
        <v>0</v>
      </c>
      <c r="AT60" s="459">
        <f t="shared" si="11"/>
        <v>0</v>
      </c>
      <c r="AU60" s="459">
        <f t="shared" si="11"/>
        <v>0</v>
      </c>
      <c r="AW60" s="216">
        <f>(B60/Population_Tables!O34)*Population_Tables!C34</f>
        <v>134246708707521.55</v>
      </c>
      <c r="AX60" s="153" t="str">
        <f t="shared" si="12"/>
        <v>OK</v>
      </c>
      <c r="AY60" s="421">
        <f t="shared" si="6"/>
        <v>100633566282631.84</v>
      </c>
      <c r="AZ60" s="153" t="str">
        <f t="shared" si="7"/>
        <v>OK</v>
      </c>
      <c r="BB60" s="216">
        <f>(C60/Population_Tables!P34)*Population_Tables!D34</f>
        <v>24409211002894.484</v>
      </c>
      <c r="BC60" s="216">
        <f>(D60/Population_Tables!Q34)*Population_Tables!E34</f>
        <v>52566695760536.82</v>
      </c>
      <c r="BD60" s="216">
        <f>(E60/Population_Tables!R34)*Population_Tables!F34</f>
        <v>23657659519200.531</v>
      </c>
      <c r="BE60" s="216">
        <f>(F60/Population_Tables!S34)*Population_Tables!G34</f>
        <v>0</v>
      </c>
      <c r="BF60" s="216">
        <f>(G60/Population_Tables!T34)*Population_Tables!H34</f>
        <v>0</v>
      </c>
      <c r="BG60" s="216"/>
      <c r="BN60" s="216"/>
      <c r="BO60" s="216"/>
      <c r="BP60" s="216"/>
    </row>
    <row r="61" spans="1:68" ht="15.6" x14ac:dyDescent="0.3">
      <c r="A61" s="206">
        <v>2046</v>
      </c>
      <c r="B61" s="229">
        <v>128075077740024.94</v>
      </c>
      <c r="C61" s="229">
        <f t="shared" si="8"/>
        <v>23220161286867.164</v>
      </c>
      <c r="D61" s="229">
        <f t="shared" si="9"/>
        <v>50412121956095.391</v>
      </c>
      <c r="E61" s="229">
        <f t="shared" si="10"/>
        <v>22002536683728.02</v>
      </c>
      <c r="F61" s="229"/>
      <c r="G61" s="229"/>
      <c r="H61" s="229"/>
      <c r="I61" s="229"/>
      <c r="J61" s="229"/>
      <c r="K61" s="229"/>
      <c r="M61" s="206">
        <v>2046</v>
      </c>
      <c r="N61" s="419">
        <f t="shared" si="4"/>
        <v>13610160249881.43</v>
      </c>
      <c r="O61" s="418">
        <f>(C61/Population_Tables!P35)*Population_Tables!D94</f>
        <v>0</v>
      </c>
      <c r="P61" s="418">
        <f>(D61/Population_Tables!Q35)*Population_Tables!E94</f>
        <v>0</v>
      </c>
      <c r="Q61" s="418">
        <f>((E61-H61)/Population_Tables!R35)*Population_Tables!F94</f>
        <v>13610160249881.43</v>
      </c>
      <c r="R61" s="418">
        <f>(F61/Population_Tables!S35)*Population_Tables!G94</f>
        <v>0</v>
      </c>
      <c r="S61" s="418">
        <f>(G61/Population_Tables!T35)*Population_Tables!H94</f>
        <v>0</v>
      </c>
      <c r="T61" s="418">
        <f>(H61/Population_Tables!U35)*Population_Tables!I94</f>
        <v>0</v>
      </c>
      <c r="U61" s="418">
        <f>(I61/Population_Tables!V35)*Population_Tables!J94</f>
        <v>0</v>
      </c>
      <c r="V61" s="418">
        <f>(J61/Population_Tables!W35)*Population_Tables!K94</f>
        <v>0</v>
      </c>
      <c r="W61" s="418">
        <f>(K61/Population_Tables!X35)*Population_Tables!L94</f>
        <v>0</v>
      </c>
      <c r="Y61" s="456">
        <v>2046</v>
      </c>
      <c r="Z61" s="459">
        <f>((B61/Population_Tables!O35)*Population_Tables!C35)-N61</f>
        <v>124182456395041.5</v>
      </c>
      <c r="AA61" s="459">
        <f>((C61/Population_Tables!P35)*Population_Tables!D35)-O61</f>
        <v>24737012860114.578</v>
      </c>
      <c r="AB61" s="459">
        <f>((D61/Population_Tables!Q35)*Population_Tables!E35)-P61</f>
        <v>53881902156528.586</v>
      </c>
      <c r="AC61" s="459">
        <f>((E61/Population_Tables!R35)*Population_Tables!F35)-Q61</f>
        <v>10126565615611.953</v>
      </c>
      <c r="AD61" s="459">
        <f>((F61/Population_Tables!S35)*Population_Tables!G35)-R61</f>
        <v>0</v>
      </c>
      <c r="AE61" s="459">
        <f>((G61/Population_Tables!T35)*Population_Tables!H35)-S61</f>
        <v>0</v>
      </c>
      <c r="AF61" s="459">
        <f>(H61/Population_Tables!U35)*Population_Tables!I35</f>
        <v>0</v>
      </c>
      <c r="AG61" s="459">
        <f>(I61/Population_Tables!V35)*Population_Tables!J35</f>
        <v>0</v>
      </c>
      <c r="AH61" s="459">
        <f>(J61/Population_Tables!W35)*Population_Tables!K35</f>
        <v>0</v>
      </c>
      <c r="AI61" s="459">
        <f>(K61/Population_Tables!X35)*Population_Tables!L35</f>
        <v>0</v>
      </c>
      <c r="AK61" s="456">
        <v>2046</v>
      </c>
      <c r="AL61" s="459">
        <f t="shared" si="11"/>
        <v>137792616644922.94</v>
      </c>
      <c r="AM61" s="459">
        <f t="shared" si="11"/>
        <v>24737012860114.578</v>
      </c>
      <c r="AN61" s="459">
        <f t="shared" si="11"/>
        <v>53881902156528.586</v>
      </c>
      <c r="AO61" s="459">
        <f t="shared" si="11"/>
        <v>23736725865493.383</v>
      </c>
      <c r="AP61" s="459">
        <f t="shared" si="11"/>
        <v>0</v>
      </c>
      <c r="AQ61" s="459">
        <f t="shared" si="11"/>
        <v>0</v>
      </c>
      <c r="AR61" s="459">
        <f t="shared" si="11"/>
        <v>0</v>
      </c>
      <c r="AS61" s="459">
        <f t="shared" si="11"/>
        <v>0</v>
      </c>
      <c r="AT61" s="459">
        <f t="shared" si="11"/>
        <v>0</v>
      </c>
      <c r="AU61" s="459">
        <f t="shared" si="11"/>
        <v>0</v>
      </c>
      <c r="AW61" s="216">
        <f>(B61/Population_Tables!O35)*Population_Tables!C35</f>
        <v>137792616644922.92</v>
      </c>
      <c r="AX61" s="153" t="b">
        <f t="shared" si="12"/>
        <v>0</v>
      </c>
      <c r="AY61" s="421">
        <f t="shared" si="6"/>
        <v>102355640882136.53</v>
      </c>
      <c r="AZ61" s="153" t="str">
        <f t="shared" si="7"/>
        <v>OK</v>
      </c>
      <c r="BB61" s="216">
        <f>(C61/Population_Tables!P35)*Population_Tables!D35</f>
        <v>24737012860114.578</v>
      </c>
      <c r="BC61" s="216">
        <f>(D61/Population_Tables!Q35)*Population_Tables!E35</f>
        <v>53881902156528.586</v>
      </c>
      <c r="BD61" s="216">
        <f>(E61/Population_Tables!R35)*Population_Tables!F35</f>
        <v>23736725865493.383</v>
      </c>
      <c r="BE61" s="216">
        <f>(F61/Population_Tables!S35)*Population_Tables!G35</f>
        <v>0</v>
      </c>
      <c r="BF61" s="216">
        <f>(G61/Population_Tables!T35)*Population_Tables!H35</f>
        <v>0</v>
      </c>
      <c r="BG61" s="216"/>
      <c r="BN61" s="216"/>
      <c r="BO61" s="216"/>
      <c r="BP61" s="216"/>
    </row>
    <row r="62" spans="1:68" ht="15.6" x14ac:dyDescent="0.3">
      <c r="A62" s="206">
        <v>2047</v>
      </c>
      <c r="B62" s="229">
        <v>131163332525058.88</v>
      </c>
      <c r="C62" s="229">
        <f t="shared" si="8"/>
        <v>23401603924653.934</v>
      </c>
      <c r="D62" s="229">
        <f t="shared" si="9"/>
        <v>51441571112183.266</v>
      </c>
      <c r="E62" s="229">
        <f t="shared" si="10"/>
        <v>22019807914714.508</v>
      </c>
      <c r="F62" s="229"/>
      <c r="G62" s="229"/>
      <c r="H62" s="229"/>
      <c r="I62" s="229"/>
      <c r="J62" s="229"/>
      <c r="K62" s="229"/>
      <c r="M62" s="206">
        <v>2047</v>
      </c>
      <c r="N62" s="419">
        <f t="shared" si="4"/>
        <v>13723717198799.018</v>
      </c>
      <c r="O62" s="418">
        <f>(C62/Population_Tables!P36)*Population_Tables!D95</f>
        <v>0</v>
      </c>
      <c r="P62" s="418">
        <f>(D62/Population_Tables!Q36)*Population_Tables!E95</f>
        <v>0</v>
      </c>
      <c r="Q62" s="418">
        <f>((E62-H62)/Population_Tables!R36)*Population_Tables!F95</f>
        <v>13723717198799.018</v>
      </c>
      <c r="R62" s="418">
        <f>(F62/Population_Tables!S36)*Population_Tables!G95</f>
        <v>0</v>
      </c>
      <c r="S62" s="418">
        <f>(G62/Population_Tables!T36)*Population_Tables!H95</f>
        <v>0</v>
      </c>
      <c r="T62" s="418">
        <f>(H62/Population_Tables!U36)*Population_Tables!I95</f>
        <v>0</v>
      </c>
      <c r="U62" s="418">
        <f>(I62/Population_Tables!V36)*Population_Tables!J95</f>
        <v>0</v>
      </c>
      <c r="V62" s="418">
        <f>(J62/Population_Tables!W36)*Population_Tables!K95</f>
        <v>0</v>
      </c>
      <c r="W62" s="418">
        <f>(K62/Population_Tables!X36)*Population_Tables!L95</f>
        <v>0</v>
      </c>
      <c r="Y62" s="456">
        <v>2047</v>
      </c>
      <c r="Z62" s="459">
        <f>((B62/Population_Tables!O36)*Population_Tables!C36)-N62</f>
        <v>127887362561816.08</v>
      </c>
      <c r="AA62" s="459">
        <f>((C62/Population_Tables!P36)*Population_Tables!D36)-O62</f>
        <v>25001516609285.742</v>
      </c>
      <c r="AB62" s="459">
        <f>((D62/Population_Tables!Q36)*Population_Tables!E36)-P62</f>
        <v>55173659444339.992</v>
      </c>
      <c r="AC62" s="459">
        <f>((E62/Population_Tables!R36)*Population_Tables!F36)-Q62</f>
        <v>10120348497092.768</v>
      </c>
      <c r="AD62" s="459">
        <f>((F62/Population_Tables!S36)*Population_Tables!G36)-R62</f>
        <v>0</v>
      </c>
      <c r="AE62" s="459">
        <f>((G62/Population_Tables!T36)*Population_Tables!H36)-S62</f>
        <v>0</v>
      </c>
      <c r="AF62" s="459">
        <f>(H62/Population_Tables!U36)*Population_Tables!I36</f>
        <v>0</v>
      </c>
      <c r="AG62" s="459">
        <f>(I62/Population_Tables!V36)*Population_Tables!J36</f>
        <v>0</v>
      </c>
      <c r="AH62" s="459">
        <f>(J62/Population_Tables!W36)*Population_Tables!K36</f>
        <v>0</v>
      </c>
      <c r="AI62" s="459">
        <f>(K62/Population_Tables!X36)*Population_Tables!L36</f>
        <v>0</v>
      </c>
      <c r="AK62" s="456">
        <v>2047</v>
      </c>
      <c r="AL62" s="459">
        <f t="shared" si="11"/>
        <v>141611079760615.09</v>
      </c>
      <c r="AM62" s="459">
        <f t="shared" si="11"/>
        <v>25001516609285.742</v>
      </c>
      <c r="AN62" s="459">
        <f t="shared" si="11"/>
        <v>55173659444339.992</v>
      </c>
      <c r="AO62" s="459">
        <f t="shared" si="11"/>
        <v>23844065695891.785</v>
      </c>
      <c r="AP62" s="459">
        <f t="shared" si="11"/>
        <v>0</v>
      </c>
      <c r="AQ62" s="459">
        <f t="shared" si="11"/>
        <v>0</v>
      </c>
      <c r="AR62" s="459">
        <f t="shared" si="11"/>
        <v>0</v>
      </c>
      <c r="AS62" s="459">
        <f t="shared" si="11"/>
        <v>0</v>
      </c>
      <c r="AT62" s="459">
        <f t="shared" si="11"/>
        <v>0</v>
      </c>
      <c r="AU62" s="459">
        <f t="shared" si="11"/>
        <v>0</v>
      </c>
      <c r="AW62" s="216">
        <f>(B62/Population_Tables!O36)*Population_Tables!C36</f>
        <v>141611079760615.09</v>
      </c>
      <c r="AX62" s="153" t="str">
        <f t="shared" si="12"/>
        <v>OK</v>
      </c>
      <c r="AY62" s="421">
        <f t="shared" si="6"/>
        <v>104019241749517.52</v>
      </c>
      <c r="AZ62" s="153" t="str">
        <f t="shared" si="7"/>
        <v>OK</v>
      </c>
      <c r="BB62" s="216">
        <f>(C62/Population_Tables!P36)*Population_Tables!D36</f>
        <v>25001516609285.742</v>
      </c>
      <c r="BC62" s="216">
        <f>(D62/Population_Tables!Q36)*Population_Tables!E36</f>
        <v>55173659444339.992</v>
      </c>
      <c r="BD62" s="216">
        <f>(E62/Population_Tables!R36)*Population_Tables!F36</f>
        <v>23844065695891.785</v>
      </c>
      <c r="BE62" s="216">
        <f>(F62/Population_Tables!S36)*Population_Tables!G36</f>
        <v>0</v>
      </c>
      <c r="BF62" s="216">
        <f>(G62/Population_Tables!T36)*Population_Tables!H36</f>
        <v>0</v>
      </c>
      <c r="BG62" s="216"/>
      <c r="BN62" s="216"/>
      <c r="BO62" s="216"/>
      <c r="BP62" s="216"/>
    </row>
    <row r="63" spans="1:68" ht="15.6" x14ac:dyDescent="0.3">
      <c r="A63" s="206">
        <v>2048</v>
      </c>
      <c r="B63" s="229">
        <v>134318227588364.42</v>
      </c>
      <c r="C63" s="229">
        <f t="shared" si="8"/>
        <v>23582079492688.75</v>
      </c>
      <c r="D63" s="229">
        <f t="shared" si="9"/>
        <v>52447118100018.656</v>
      </c>
      <c r="E63" s="229">
        <f t="shared" si="10"/>
        <v>22032996593565.332</v>
      </c>
      <c r="F63" s="229"/>
      <c r="G63" s="229"/>
      <c r="H63" s="229"/>
      <c r="I63" s="229"/>
      <c r="J63" s="229"/>
      <c r="K63" s="229"/>
      <c r="M63" s="206">
        <v>2048</v>
      </c>
      <c r="N63" s="419">
        <f t="shared" si="4"/>
        <v>13837478562536.76</v>
      </c>
      <c r="O63" s="418">
        <f>(C63/Population_Tables!P37)*Population_Tables!D96</f>
        <v>0</v>
      </c>
      <c r="P63" s="418">
        <f>(D63/Population_Tables!Q37)*Population_Tables!E96</f>
        <v>0</v>
      </c>
      <c r="Q63" s="418">
        <f>((E63-H63)/Population_Tables!R37)*Population_Tables!F96</f>
        <v>13837478562536.76</v>
      </c>
      <c r="R63" s="418">
        <f>(F63/Population_Tables!S37)*Population_Tables!G96</f>
        <v>0</v>
      </c>
      <c r="S63" s="418">
        <f>(G63/Population_Tables!T37)*Population_Tables!H96</f>
        <v>0</v>
      </c>
      <c r="T63" s="418">
        <f>(H63/Population_Tables!U37)*Population_Tables!I96</f>
        <v>0</v>
      </c>
      <c r="U63" s="418">
        <f>(I63/Population_Tables!V37)*Population_Tables!J96</f>
        <v>0</v>
      </c>
      <c r="V63" s="418">
        <f>(J63/Population_Tables!W37)*Population_Tables!K96</f>
        <v>0</v>
      </c>
      <c r="W63" s="418">
        <f>(K63/Population_Tables!X37)*Population_Tables!L96</f>
        <v>0</v>
      </c>
      <c r="Y63" s="456">
        <v>2048</v>
      </c>
      <c r="Z63" s="459">
        <f>((B63/Population_Tables!O37)*Population_Tables!C37)-N63</f>
        <v>131703135784924.55</v>
      </c>
      <c r="AA63" s="459">
        <f>((C63/Population_Tables!P37)*Population_Tables!D37)-O63</f>
        <v>25267530682526.66</v>
      </c>
      <c r="AB63" s="459">
        <f>((D63/Population_Tables!Q37)*Population_Tables!E37)-P63</f>
        <v>56453211688255.242</v>
      </c>
      <c r="AC63" s="459">
        <f>((E63/Population_Tables!R37)*Population_Tables!F37)-Q63</f>
        <v>10112788588872.693</v>
      </c>
      <c r="AD63" s="459">
        <f>((F63/Population_Tables!S37)*Population_Tables!G37)-R63</f>
        <v>0</v>
      </c>
      <c r="AE63" s="459">
        <f>((G63/Population_Tables!T37)*Population_Tables!H37)-S63</f>
        <v>0</v>
      </c>
      <c r="AF63" s="459">
        <f>(H63/Population_Tables!U37)*Population_Tables!I37</f>
        <v>0</v>
      </c>
      <c r="AG63" s="459">
        <f>(I63/Population_Tables!V37)*Population_Tables!J37</f>
        <v>0</v>
      </c>
      <c r="AH63" s="459">
        <f>(J63/Population_Tables!W37)*Population_Tables!K37</f>
        <v>0</v>
      </c>
      <c r="AI63" s="459">
        <f>(K63/Population_Tables!X37)*Population_Tables!L37</f>
        <v>0</v>
      </c>
      <c r="AK63" s="456">
        <v>2048</v>
      </c>
      <c r="AL63" s="459">
        <f t="shared" si="11"/>
        <v>145540614347461.31</v>
      </c>
      <c r="AM63" s="459">
        <f t="shared" si="11"/>
        <v>25267530682526.66</v>
      </c>
      <c r="AN63" s="459">
        <f t="shared" si="11"/>
        <v>56453211688255.242</v>
      </c>
      <c r="AO63" s="459">
        <f t="shared" si="11"/>
        <v>23950267151409.453</v>
      </c>
      <c r="AP63" s="459">
        <f t="shared" si="11"/>
        <v>0</v>
      </c>
      <c r="AQ63" s="459">
        <f t="shared" si="11"/>
        <v>0</v>
      </c>
      <c r="AR63" s="459">
        <f t="shared" si="11"/>
        <v>0</v>
      </c>
      <c r="AS63" s="459">
        <f t="shared" si="11"/>
        <v>0</v>
      </c>
      <c r="AT63" s="459">
        <f t="shared" si="11"/>
        <v>0</v>
      </c>
      <c r="AU63" s="459">
        <f t="shared" si="11"/>
        <v>0</v>
      </c>
      <c r="AW63" s="216">
        <f>(B63/Population_Tables!O37)*Population_Tables!C37</f>
        <v>145540614347461.31</v>
      </c>
      <c r="AX63" s="153" t="str">
        <f t="shared" si="12"/>
        <v>OK</v>
      </c>
      <c r="AY63" s="421">
        <f t="shared" si="6"/>
        <v>105671009522191.36</v>
      </c>
      <c r="AZ63" s="153" t="str">
        <f t="shared" si="7"/>
        <v>OK</v>
      </c>
      <c r="BB63" s="216">
        <f>(C63/Population_Tables!P37)*Population_Tables!D37</f>
        <v>25267530682526.66</v>
      </c>
      <c r="BC63" s="216">
        <f>(D63/Population_Tables!Q37)*Population_Tables!E37</f>
        <v>56453211688255.242</v>
      </c>
      <c r="BD63" s="216">
        <f>(E63/Population_Tables!R37)*Population_Tables!F37</f>
        <v>23950267151409.453</v>
      </c>
      <c r="BE63" s="216">
        <f>(F63/Population_Tables!S37)*Population_Tables!G37</f>
        <v>0</v>
      </c>
      <c r="BF63" s="216">
        <f>(G63/Population_Tables!T37)*Population_Tables!H37</f>
        <v>0</v>
      </c>
      <c r="BG63" s="216"/>
      <c r="BN63" s="216"/>
      <c r="BO63" s="216"/>
      <c r="BP63" s="216"/>
    </row>
    <row r="64" spans="1:68" ht="15.6" x14ac:dyDescent="0.3">
      <c r="A64" s="206">
        <v>2049</v>
      </c>
      <c r="B64" s="229">
        <v>137541436267469.72</v>
      </c>
      <c r="C64" s="229">
        <f t="shared" si="8"/>
        <v>23761421270179.031</v>
      </c>
      <c r="D64" s="229">
        <f t="shared" si="9"/>
        <v>53426502081850.961</v>
      </c>
      <c r="E64" s="229">
        <f t="shared" si="10"/>
        <v>22042908074790.543</v>
      </c>
      <c r="F64" s="229"/>
      <c r="G64" s="229"/>
      <c r="H64" s="229"/>
      <c r="I64" s="229"/>
      <c r="J64" s="229"/>
      <c r="K64" s="229"/>
      <c r="M64" s="206">
        <v>2049</v>
      </c>
      <c r="N64" s="419">
        <f t="shared" si="4"/>
        <v>13952209782435.277</v>
      </c>
      <c r="O64" s="418">
        <f>(C64/Population_Tables!P38)*Population_Tables!D97</f>
        <v>0</v>
      </c>
      <c r="P64" s="418">
        <f>(D64/Population_Tables!Q38)*Population_Tables!E97</f>
        <v>0</v>
      </c>
      <c r="Q64" s="418">
        <f>((E64-H64)/Population_Tables!R38)*Population_Tables!F97</f>
        <v>13952209782435.277</v>
      </c>
      <c r="R64" s="418">
        <f>(F64/Population_Tables!S38)*Population_Tables!G97</f>
        <v>0</v>
      </c>
      <c r="S64" s="418">
        <f>(G64/Population_Tables!T38)*Population_Tables!H97</f>
        <v>0</v>
      </c>
      <c r="T64" s="418">
        <f>(H64/Population_Tables!U38)*Population_Tables!I97</f>
        <v>0</v>
      </c>
      <c r="U64" s="418">
        <f>(I64/Population_Tables!V38)*Population_Tables!J97</f>
        <v>0</v>
      </c>
      <c r="V64" s="418">
        <f>(J64/Population_Tables!W38)*Population_Tables!K97</f>
        <v>0</v>
      </c>
      <c r="W64" s="418">
        <f>(K64/Population_Tables!X38)*Population_Tables!L97</f>
        <v>0</v>
      </c>
      <c r="Y64" s="456">
        <v>2049</v>
      </c>
      <c r="Z64" s="459">
        <f>((B64/Population_Tables!O38)*Population_Tables!C38)-N64</f>
        <v>135634143303205.63</v>
      </c>
      <c r="AA64" s="459">
        <f>((C64/Population_Tables!P38)*Population_Tables!D38)-O64</f>
        <v>25535286477554.773</v>
      </c>
      <c r="AB64" s="459">
        <f>((D64/Population_Tables!Q38)*Population_Tables!E38)-P64</f>
        <v>57718530265956.328</v>
      </c>
      <c r="AC64" s="459">
        <f>((E64/Population_Tables!R38)*Population_Tables!F38)-Q64</f>
        <v>10104265699569.203</v>
      </c>
      <c r="AD64" s="459">
        <f>((F64/Population_Tables!S38)*Population_Tables!G38)-R64</f>
        <v>0</v>
      </c>
      <c r="AE64" s="459">
        <f>((G64/Population_Tables!T38)*Population_Tables!H38)-S64</f>
        <v>0</v>
      </c>
      <c r="AF64" s="459">
        <f>(H64/Population_Tables!U38)*Population_Tables!I38</f>
        <v>0</v>
      </c>
      <c r="AG64" s="459">
        <f>(I64/Population_Tables!V38)*Population_Tables!J38</f>
        <v>0</v>
      </c>
      <c r="AH64" s="459">
        <f>(J64/Population_Tables!W38)*Population_Tables!K38</f>
        <v>0</v>
      </c>
      <c r="AI64" s="459">
        <f>(K64/Population_Tables!X38)*Population_Tables!L38</f>
        <v>0</v>
      </c>
      <c r="AK64" s="456">
        <v>2049</v>
      </c>
      <c r="AL64" s="459">
        <f t="shared" si="11"/>
        <v>149586353085640.91</v>
      </c>
      <c r="AM64" s="459">
        <f t="shared" si="11"/>
        <v>25535286477554.773</v>
      </c>
      <c r="AN64" s="459">
        <f t="shared" si="11"/>
        <v>57718530265956.328</v>
      </c>
      <c r="AO64" s="459">
        <f t="shared" si="11"/>
        <v>24056475482004.48</v>
      </c>
      <c r="AP64" s="459">
        <f t="shared" si="11"/>
        <v>0</v>
      </c>
      <c r="AQ64" s="459">
        <f t="shared" si="11"/>
        <v>0</v>
      </c>
      <c r="AR64" s="459">
        <f t="shared" si="11"/>
        <v>0</v>
      </c>
      <c r="AS64" s="459">
        <f t="shared" si="11"/>
        <v>0</v>
      </c>
      <c r="AT64" s="459">
        <f t="shared" si="11"/>
        <v>0</v>
      </c>
      <c r="AU64" s="459">
        <f t="shared" si="11"/>
        <v>0</v>
      </c>
      <c r="AW64" s="216">
        <f>(B64/Population_Tables!O38)*Population_Tables!C38</f>
        <v>149586353085640.91</v>
      </c>
      <c r="AX64" s="153" t="str">
        <f t="shared" si="12"/>
        <v>OK</v>
      </c>
      <c r="AY64" s="421">
        <f t="shared" si="6"/>
        <v>107310292225515.58</v>
      </c>
      <c r="AZ64" s="153" t="str">
        <f t="shared" si="7"/>
        <v>OK</v>
      </c>
      <c r="BB64" s="216">
        <f>(C64/Population_Tables!P38)*Population_Tables!D38</f>
        <v>25535286477554.773</v>
      </c>
      <c r="BC64" s="216">
        <f>(D64/Population_Tables!Q38)*Population_Tables!E38</f>
        <v>57718530265956.328</v>
      </c>
      <c r="BD64" s="216">
        <f>(E64/Population_Tables!R38)*Population_Tables!F38</f>
        <v>24056475482004.48</v>
      </c>
      <c r="BE64" s="216">
        <f>(F64/Population_Tables!S38)*Population_Tables!G38</f>
        <v>0</v>
      </c>
      <c r="BF64" s="216">
        <f>(G64/Population_Tables!T38)*Population_Tables!H38</f>
        <v>0</v>
      </c>
      <c r="BG64" s="216"/>
      <c r="BN64" s="216"/>
      <c r="BO64" s="216"/>
      <c r="BP64" s="216"/>
    </row>
    <row r="65" spans="1:68" ht="16.2" thickBot="1" x14ac:dyDescent="0.35">
      <c r="A65" s="208">
        <v>2050</v>
      </c>
      <c r="B65" s="231">
        <v>140806778503514.09</v>
      </c>
      <c r="C65" s="229">
        <f t="shared" si="8"/>
        <v>23878383038888.477</v>
      </c>
      <c r="D65" s="229">
        <f t="shared" si="9"/>
        <v>54396590671889.055</v>
      </c>
      <c r="E65" s="229">
        <f t="shared" si="10"/>
        <v>22078938862739.5</v>
      </c>
      <c r="F65" s="231"/>
      <c r="G65" s="231"/>
      <c r="H65" s="231"/>
      <c r="I65" s="231"/>
      <c r="J65" s="231"/>
      <c r="K65" s="231"/>
      <c r="M65" s="208">
        <v>2050</v>
      </c>
      <c r="N65" s="419">
        <f t="shared" si="4"/>
        <v>14086855735493.883</v>
      </c>
      <c r="O65" s="418">
        <f>(C65/Population_Tables!P39)*Population_Tables!D98</f>
        <v>0</v>
      </c>
      <c r="P65" s="418">
        <f>(D65/Population_Tables!Q39)*Population_Tables!E98</f>
        <v>0</v>
      </c>
      <c r="Q65" s="418">
        <f>((E65-H65)/Population_Tables!R39)*Population_Tables!F98</f>
        <v>14086855735493.883</v>
      </c>
      <c r="R65" s="418">
        <f>(F65/Population_Tables!S39)*Population_Tables!G98</f>
        <v>0</v>
      </c>
      <c r="S65" s="418">
        <f>(G65/Population_Tables!T39)*Population_Tables!H98</f>
        <v>0</v>
      </c>
      <c r="T65" s="418">
        <f>(H65/Population_Tables!U39)*Population_Tables!I98</f>
        <v>0</v>
      </c>
      <c r="U65" s="418">
        <f>(I65/Population_Tables!V39)*Population_Tables!J98</f>
        <v>0</v>
      </c>
      <c r="V65" s="418">
        <f>(J65/Population_Tables!W39)*Population_Tables!K98</f>
        <v>0</v>
      </c>
      <c r="W65" s="418">
        <f>(K65/Population_Tables!X39)*Population_Tables!L98</f>
        <v>0</v>
      </c>
      <c r="Y65" s="456">
        <v>2050</v>
      </c>
      <c r="Z65" s="459">
        <f>((B65/Population_Tables!O39)*Population_Tables!C39)-N65</f>
        <v>139636035199092.31</v>
      </c>
      <c r="AA65" s="459">
        <f>((C65/Population_Tables!P39)*Population_Tables!D39)-O65</f>
        <v>25739123739581.504</v>
      </c>
      <c r="AB65" s="459">
        <f>((D65/Population_Tables!Q39)*Population_Tables!E39)-P65</f>
        <v>58988255544307.68</v>
      </c>
      <c r="AC65" s="459">
        <f>((E65/Population_Tables!R39)*Population_Tables!F39)-Q65</f>
        <v>10108256474406.301</v>
      </c>
      <c r="AD65" s="459">
        <f>((F65/Population_Tables!S39)*Population_Tables!G39)-R65</f>
        <v>0</v>
      </c>
      <c r="AE65" s="459">
        <f>((G65/Population_Tables!T39)*Population_Tables!H39)-S65</f>
        <v>0</v>
      </c>
      <c r="AF65" s="459">
        <f>(H65/Population_Tables!U39)*Population_Tables!I39</f>
        <v>0</v>
      </c>
      <c r="AG65" s="459">
        <f>(I65/Population_Tables!V39)*Population_Tables!J39</f>
        <v>0</v>
      </c>
      <c r="AH65" s="459">
        <f>(J65/Population_Tables!W39)*Population_Tables!K39</f>
        <v>0</v>
      </c>
      <c r="AI65" s="459">
        <f>(K65/Population_Tables!X39)*Population_Tables!L39</f>
        <v>0</v>
      </c>
      <c r="AK65" s="456">
        <v>2050</v>
      </c>
      <c r="AL65" s="459">
        <f t="shared" si="11"/>
        <v>153722890934586.19</v>
      </c>
      <c r="AM65" s="459">
        <f t="shared" si="11"/>
        <v>25739123739581.504</v>
      </c>
      <c r="AN65" s="459">
        <f t="shared" si="11"/>
        <v>58988255544307.68</v>
      </c>
      <c r="AO65" s="459">
        <f t="shared" si="11"/>
        <v>24195112209900.184</v>
      </c>
      <c r="AP65" s="459">
        <f t="shared" si="11"/>
        <v>0</v>
      </c>
      <c r="AQ65" s="459">
        <f t="shared" si="11"/>
        <v>0</v>
      </c>
      <c r="AR65" s="459">
        <f t="shared" si="11"/>
        <v>0</v>
      </c>
      <c r="AS65" s="459">
        <f t="shared" si="11"/>
        <v>0</v>
      </c>
      <c r="AT65" s="459">
        <f t="shared" si="11"/>
        <v>0</v>
      </c>
      <c r="AU65" s="459">
        <f t="shared" si="11"/>
        <v>0</v>
      </c>
      <c r="AW65" s="216">
        <f>(B65/Population_Tables!O39)*Population_Tables!C39</f>
        <v>153722890934586.19</v>
      </c>
      <c r="AX65" s="153" t="str">
        <f t="shared" si="12"/>
        <v>OK</v>
      </c>
      <c r="AY65" s="421">
        <f t="shared" si="6"/>
        <v>108922491493789.38</v>
      </c>
      <c r="AZ65" s="153" t="str">
        <f t="shared" si="7"/>
        <v>OK</v>
      </c>
      <c r="BB65" s="216">
        <f>(C65/Population_Tables!P39)*Population_Tables!D39</f>
        <v>25739123739581.504</v>
      </c>
      <c r="BC65" s="216">
        <f>(D65/Population_Tables!Q39)*Population_Tables!E39</f>
        <v>58988255544307.68</v>
      </c>
      <c r="BD65" s="216">
        <f>(E65/Population_Tables!R39)*Population_Tables!F39</f>
        <v>24195112209900.184</v>
      </c>
      <c r="BE65" s="216">
        <f>(F65/Population_Tables!S39)*Population_Tables!G39</f>
        <v>0</v>
      </c>
      <c r="BF65" s="216">
        <f>(G65/Population_Tables!T39)*Population_Tables!H39</f>
        <v>0</v>
      </c>
      <c r="BG65" s="216"/>
      <c r="BN65" s="216"/>
      <c r="BO65" s="216"/>
      <c r="BP65" s="216"/>
    </row>
    <row r="66" spans="1:68" ht="15.6" x14ac:dyDescent="0.3">
      <c r="A66" s="213">
        <v>2051</v>
      </c>
      <c r="B66" s="227">
        <v>144199493669304.19</v>
      </c>
      <c r="C66" s="229">
        <f t="shared" si="8"/>
        <v>24116036570355.641</v>
      </c>
      <c r="D66" s="229">
        <f t="shared" si="9"/>
        <v>55297737676503.828</v>
      </c>
      <c r="E66" s="229">
        <f t="shared" si="10"/>
        <v>22056120862404.289</v>
      </c>
      <c r="F66" s="227"/>
      <c r="G66" s="227"/>
      <c r="H66" s="227"/>
      <c r="I66" s="227"/>
      <c r="J66" s="227"/>
      <c r="K66" s="227"/>
      <c r="M66" s="213">
        <v>2051</v>
      </c>
      <c r="N66" s="419">
        <f t="shared" si="4"/>
        <v>14187319156747.889</v>
      </c>
      <c r="O66" s="418">
        <f>(C66/Population_Tables!P40)*Population_Tables!D99</f>
        <v>0</v>
      </c>
      <c r="P66" s="418">
        <f>(D66/Population_Tables!Q40)*Population_Tables!E99</f>
        <v>0</v>
      </c>
      <c r="Q66" s="418">
        <f>((E66-H66)/Population_Tables!R40)*Population_Tables!F99</f>
        <v>14187319156747.889</v>
      </c>
      <c r="R66" s="418">
        <f>(F66/Population_Tables!S40)*Population_Tables!G99</f>
        <v>0</v>
      </c>
      <c r="S66" s="418">
        <f>(G66/Population_Tables!T40)*Population_Tables!H99</f>
        <v>0</v>
      </c>
      <c r="T66" s="418">
        <f>(H66/Population_Tables!U40)*Population_Tables!I99</f>
        <v>0</v>
      </c>
      <c r="U66" s="418">
        <f>(I66/Population_Tables!V40)*Population_Tables!J99</f>
        <v>0</v>
      </c>
      <c r="V66" s="418">
        <f>(J66/Population_Tables!W40)*Population_Tables!K99</f>
        <v>0</v>
      </c>
      <c r="W66" s="418">
        <f>(K66/Population_Tables!X40)*Population_Tables!L99</f>
        <v>0</v>
      </c>
      <c r="Y66" s="456">
        <v>2051</v>
      </c>
      <c r="Z66" s="459">
        <f>((B66/Population_Tables!O40)*Population_Tables!C40)-N66</f>
        <v>143858868909607.84</v>
      </c>
      <c r="AA66" s="459">
        <f>((C66/Population_Tables!P40)*Population_Tables!D40)-O66</f>
        <v>26076586700308.379</v>
      </c>
      <c r="AB66" s="459">
        <f>((D66/Population_Tables!Q40)*Population_Tables!E40)-P66</f>
        <v>60197990452801.141</v>
      </c>
      <c r="AC66" s="459">
        <f>((E66/Population_Tables!R40)*Population_Tables!F40)-Q66</f>
        <v>10085885843936.471</v>
      </c>
      <c r="AD66" s="459">
        <f>((F66/Population_Tables!S40)*Population_Tables!G40)-R66</f>
        <v>0</v>
      </c>
      <c r="AE66" s="459">
        <f>((G66/Population_Tables!T40)*Population_Tables!H40)-S66</f>
        <v>0</v>
      </c>
      <c r="AF66" s="459">
        <f>(H66/Population_Tables!U40)*Population_Tables!I40</f>
        <v>0</v>
      </c>
      <c r="AG66" s="459">
        <f>(I66/Population_Tables!V40)*Population_Tables!J40</f>
        <v>0</v>
      </c>
      <c r="AH66" s="459">
        <f>(J66/Population_Tables!W40)*Population_Tables!K40</f>
        <v>0</v>
      </c>
      <c r="AI66" s="459">
        <f>(K66/Population_Tables!X40)*Population_Tables!L40</f>
        <v>0</v>
      </c>
      <c r="AK66" s="456">
        <v>2051</v>
      </c>
      <c r="AL66" s="459">
        <f t="shared" si="11"/>
        <v>158046188066355.72</v>
      </c>
      <c r="AM66" s="459">
        <f t="shared" si="11"/>
        <v>26076586700308.379</v>
      </c>
      <c r="AN66" s="459">
        <f t="shared" si="11"/>
        <v>60197990452801.141</v>
      </c>
      <c r="AO66" s="459">
        <f t="shared" si="11"/>
        <v>24273205000684.359</v>
      </c>
      <c r="AP66" s="459">
        <f t="shared" si="11"/>
        <v>0</v>
      </c>
      <c r="AQ66" s="459">
        <f t="shared" si="11"/>
        <v>0</v>
      </c>
      <c r="AR66" s="459">
        <f t="shared" si="11"/>
        <v>0</v>
      </c>
      <c r="AS66" s="459">
        <f t="shared" si="11"/>
        <v>0</v>
      </c>
      <c r="AT66" s="459">
        <f t="shared" si="11"/>
        <v>0</v>
      </c>
      <c r="AU66" s="459">
        <f t="shared" si="11"/>
        <v>0</v>
      </c>
      <c r="AW66" s="216">
        <f>(B66/Population_Tables!O40)*Population_Tables!C40</f>
        <v>158046188066355.72</v>
      </c>
      <c r="AX66" s="153" t="str">
        <f t="shared" si="12"/>
        <v>OK</v>
      </c>
      <c r="AY66" s="421">
        <f t="shared" si="6"/>
        <v>110547782153793.88</v>
      </c>
      <c r="AZ66" s="153" t="str">
        <f t="shared" si="7"/>
        <v>OK</v>
      </c>
      <c r="BB66" s="216">
        <f>(C66/Population_Tables!P40)*Population_Tables!D40</f>
        <v>26076586700308.379</v>
      </c>
      <c r="BC66" s="216">
        <f>(D66/Population_Tables!Q40)*Population_Tables!E40</f>
        <v>60197990452801.141</v>
      </c>
      <c r="BD66" s="216">
        <f>(E66/Population_Tables!R40)*Population_Tables!F40</f>
        <v>24273205000684.359</v>
      </c>
      <c r="BE66" s="216">
        <f>(F66/Population_Tables!S40)*Population_Tables!G40</f>
        <v>0</v>
      </c>
      <c r="BF66" s="216">
        <f>(G66/Population_Tables!T40)*Population_Tables!H40</f>
        <v>0</v>
      </c>
      <c r="BG66" s="216"/>
      <c r="BN66" s="216"/>
      <c r="BO66" s="216"/>
      <c r="BP66" s="216"/>
    </row>
    <row r="67" spans="1:68" ht="15.6" x14ac:dyDescent="0.3">
      <c r="A67" s="194">
        <v>2052</v>
      </c>
      <c r="B67" s="229">
        <v>147637717711652.97</v>
      </c>
      <c r="C67" s="229">
        <f t="shared" si="8"/>
        <v>24290976651456.801</v>
      </c>
      <c r="D67" s="229">
        <f t="shared" si="9"/>
        <v>56185067613823.148</v>
      </c>
      <c r="E67" s="229">
        <f t="shared" si="10"/>
        <v>22061032877812.926</v>
      </c>
      <c r="F67" s="229"/>
      <c r="G67" s="229"/>
      <c r="H67" s="229"/>
      <c r="I67" s="229"/>
      <c r="J67" s="229"/>
      <c r="K67" s="229"/>
      <c r="M67" s="194">
        <v>2052</v>
      </c>
      <c r="N67" s="419">
        <f t="shared" si="4"/>
        <v>14308847503963.842</v>
      </c>
      <c r="O67" s="418">
        <f>(C67/Population_Tables!P41)*Population_Tables!D100</f>
        <v>0</v>
      </c>
      <c r="P67" s="418">
        <f>(D67/Population_Tables!Q41)*Population_Tables!E100</f>
        <v>0</v>
      </c>
      <c r="Q67" s="418">
        <f>((E67-H67)/Population_Tables!R41)*Population_Tables!F100</f>
        <v>14308847503963.842</v>
      </c>
      <c r="R67" s="418">
        <f>(F67/Population_Tables!S41)*Population_Tables!G100</f>
        <v>0</v>
      </c>
      <c r="S67" s="418">
        <f>(G67/Population_Tables!T41)*Population_Tables!H100</f>
        <v>0</v>
      </c>
      <c r="T67" s="418">
        <f>(H67/Population_Tables!U41)*Population_Tables!I100</f>
        <v>0</v>
      </c>
      <c r="U67" s="418">
        <f>(I67/Population_Tables!V41)*Population_Tables!J100</f>
        <v>0</v>
      </c>
      <c r="V67" s="418">
        <f>(J67/Population_Tables!W41)*Population_Tables!K100</f>
        <v>0</v>
      </c>
      <c r="W67" s="418">
        <f>(K67/Population_Tables!X41)*Population_Tables!L100</f>
        <v>0</v>
      </c>
      <c r="Y67" s="456">
        <v>2052</v>
      </c>
      <c r="Z67" s="459">
        <f>((B67/Population_Tables!O41)*Population_Tables!C41)-N67</f>
        <v>148160599503277.28</v>
      </c>
      <c r="AA67" s="459">
        <f>((C67/Population_Tables!P41)*Population_Tables!D41)-O67</f>
        <v>26350135449450.445</v>
      </c>
      <c r="AB67" s="459">
        <f>((D67/Population_Tables!Q41)*Population_Tables!E41)-P67</f>
        <v>61407687141325.086</v>
      </c>
      <c r="AC67" s="459">
        <f>((E67/Population_Tables!R41)*Population_Tables!F41)-Q67</f>
        <v>10076833811134.334</v>
      </c>
      <c r="AD67" s="459">
        <f>((F67/Population_Tables!S41)*Population_Tables!G41)-R67</f>
        <v>0</v>
      </c>
      <c r="AE67" s="459">
        <f>((G67/Population_Tables!T41)*Population_Tables!H41)-S67</f>
        <v>0</v>
      </c>
      <c r="AF67" s="459">
        <f>(H67/Population_Tables!U41)*Population_Tables!I41</f>
        <v>0</v>
      </c>
      <c r="AG67" s="459">
        <f>(I67/Population_Tables!V41)*Population_Tables!J41</f>
        <v>0</v>
      </c>
      <c r="AH67" s="459">
        <f>(J67/Population_Tables!W41)*Population_Tables!K41</f>
        <v>0</v>
      </c>
      <c r="AI67" s="459">
        <f>(K67/Population_Tables!X41)*Population_Tables!L41</f>
        <v>0</v>
      </c>
      <c r="AK67" s="456">
        <v>2052</v>
      </c>
      <c r="AL67" s="459">
        <f t="shared" si="11"/>
        <v>162469447007241.13</v>
      </c>
      <c r="AM67" s="459">
        <f t="shared" si="11"/>
        <v>26350135449450.445</v>
      </c>
      <c r="AN67" s="459">
        <f t="shared" si="11"/>
        <v>61407687141325.086</v>
      </c>
      <c r="AO67" s="459">
        <f t="shared" si="11"/>
        <v>24385681315098.176</v>
      </c>
      <c r="AP67" s="459">
        <f t="shared" si="11"/>
        <v>0</v>
      </c>
      <c r="AQ67" s="459">
        <f t="shared" si="11"/>
        <v>0</v>
      </c>
      <c r="AR67" s="459">
        <f t="shared" si="11"/>
        <v>0</v>
      </c>
      <c r="AS67" s="459">
        <f t="shared" si="11"/>
        <v>0</v>
      </c>
      <c r="AT67" s="459">
        <f t="shared" si="11"/>
        <v>0</v>
      </c>
      <c r="AU67" s="459">
        <f t="shared" si="11"/>
        <v>0</v>
      </c>
      <c r="AW67" s="216">
        <f>(B67/Population_Tables!O41)*Population_Tables!C41</f>
        <v>162469447007241.13</v>
      </c>
      <c r="AX67" s="153" t="str">
        <f t="shared" si="12"/>
        <v>OK</v>
      </c>
      <c r="AY67" s="421">
        <f t="shared" si="6"/>
        <v>112143503905873.7</v>
      </c>
      <c r="AZ67" s="153" t="str">
        <f t="shared" si="7"/>
        <v>OK</v>
      </c>
      <c r="BB67" s="216">
        <f>(C67/Population_Tables!P41)*Population_Tables!D41</f>
        <v>26350135449450.445</v>
      </c>
      <c r="BC67" s="216">
        <f>(D67/Population_Tables!Q41)*Population_Tables!E41</f>
        <v>61407687141325.086</v>
      </c>
      <c r="BD67" s="216">
        <f>(E67/Population_Tables!R41)*Population_Tables!F41</f>
        <v>24385681315098.176</v>
      </c>
      <c r="BE67" s="216">
        <f>(F67/Population_Tables!S41)*Population_Tables!G41</f>
        <v>0</v>
      </c>
      <c r="BF67" s="216">
        <f>(G67/Population_Tables!T41)*Population_Tables!H41</f>
        <v>0</v>
      </c>
      <c r="BG67" s="216"/>
      <c r="BN67" s="216"/>
      <c r="BO67" s="216"/>
      <c r="BP67" s="216"/>
    </row>
    <row r="68" spans="1:68" ht="15.6" x14ac:dyDescent="0.3">
      <c r="A68" s="194">
        <v>2053</v>
      </c>
      <c r="B68" s="229">
        <v>151150718528937.34</v>
      </c>
      <c r="C68" s="229">
        <f t="shared" si="8"/>
        <v>24464116058843.078</v>
      </c>
      <c r="D68" s="229">
        <f t="shared" si="9"/>
        <v>57037191194136.922</v>
      </c>
      <c r="E68" s="229">
        <f t="shared" si="10"/>
        <v>22065889113636.141</v>
      </c>
      <c r="F68" s="229"/>
      <c r="G68" s="229"/>
      <c r="H68" s="229"/>
      <c r="I68" s="229"/>
      <c r="J68" s="229"/>
      <c r="K68" s="229"/>
      <c r="M68" s="194">
        <v>2053</v>
      </c>
      <c r="N68" s="419">
        <f t="shared" si="4"/>
        <v>14433655829158.082</v>
      </c>
      <c r="O68" s="418">
        <f>(C68/Population_Tables!P42)*Population_Tables!D101</f>
        <v>0</v>
      </c>
      <c r="P68" s="418">
        <f>(D68/Population_Tables!Q42)*Population_Tables!E101</f>
        <v>0</v>
      </c>
      <c r="Q68" s="418">
        <f>((E68-H68)/Population_Tables!R42)*Population_Tables!F101</f>
        <v>14433655829158.082</v>
      </c>
      <c r="R68" s="418">
        <f>(F68/Population_Tables!S42)*Population_Tables!G101</f>
        <v>0</v>
      </c>
      <c r="S68" s="418">
        <f>(G68/Population_Tables!T42)*Population_Tables!H101</f>
        <v>0</v>
      </c>
      <c r="T68" s="418">
        <f>(H68/Population_Tables!U42)*Population_Tables!I101</f>
        <v>0</v>
      </c>
      <c r="U68" s="418">
        <f>(I68/Population_Tables!V42)*Population_Tables!J101</f>
        <v>0</v>
      </c>
      <c r="V68" s="418">
        <f>(J68/Population_Tables!W42)*Population_Tables!K101</f>
        <v>0</v>
      </c>
      <c r="W68" s="418">
        <f>(K68/Population_Tables!X42)*Population_Tables!L101</f>
        <v>0</v>
      </c>
      <c r="Y68" s="456">
        <v>2053</v>
      </c>
      <c r="Z68" s="459">
        <f>((B68/Population_Tables!O42)*Population_Tables!C42)-N68</f>
        <v>152593427542545.41</v>
      </c>
      <c r="AA68" s="459">
        <f>((C68/Population_Tables!P42)*Population_Tables!D42)-O68</f>
        <v>26625703914684.309</v>
      </c>
      <c r="AB68" s="459">
        <f>((D68/Population_Tables!Q42)*Population_Tables!E42)-P68</f>
        <v>62594281146418.266</v>
      </c>
      <c r="AC68" s="459">
        <f>((E68/Population_Tables!R42)*Population_Tables!F42)-Q68</f>
        <v>10068436763402.156</v>
      </c>
      <c r="AD68" s="459">
        <f>((F68/Population_Tables!S42)*Population_Tables!G42)-R68</f>
        <v>0</v>
      </c>
      <c r="AE68" s="459">
        <f>((G68/Population_Tables!T42)*Population_Tables!H42)-S68</f>
        <v>0</v>
      </c>
      <c r="AF68" s="459">
        <f>(H68/Population_Tables!U42)*Population_Tables!I42</f>
        <v>0</v>
      </c>
      <c r="AG68" s="459">
        <f>(I68/Population_Tables!V42)*Population_Tables!J42</f>
        <v>0</v>
      </c>
      <c r="AH68" s="459">
        <f>(J68/Population_Tables!W42)*Population_Tables!K42</f>
        <v>0</v>
      </c>
      <c r="AI68" s="459">
        <f>(K68/Population_Tables!X42)*Population_Tables!L42</f>
        <v>0</v>
      </c>
      <c r="AK68" s="456">
        <v>2053</v>
      </c>
      <c r="AL68" s="459">
        <f t="shared" si="11"/>
        <v>167027083371703.5</v>
      </c>
      <c r="AM68" s="459">
        <f t="shared" si="11"/>
        <v>26625703914684.309</v>
      </c>
      <c r="AN68" s="459">
        <f t="shared" si="11"/>
        <v>62594281146418.266</v>
      </c>
      <c r="AO68" s="459">
        <f t="shared" si="11"/>
        <v>24502092592560.238</v>
      </c>
      <c r="AP68" s="459">
        <f t="shared" si="11"/>
        <v>0</v>
      </c>
      <c r="AQ68" s="459">
        <f t="shared" si="11"/>
        <v>0</v>
      </c>
      <c r="AR68" s="459">
        <f t="shared" si="11"/>
        <v>0</v>
      </c>
      <c r="AS68" s="459">
        <f t="shared" si="11"/>
        <v>0</v>
      </c>
      <c r="AT68" s="459">
        <f t="shared" si="11"/>
        <v>0</v>
      </c>
      <c r="AU68" s="459">
        <f t="shared" si="11"/>
        <v>0</v>
      </c>
      <c r="AW68" s="216">
        <f>(B68/Population_Tables!O42)*Population_Tables!C42</f>
        <v>167027083371703.5</v>
      </c>
      <c r="AX68" s="153" t="str">
        <f t="shared" si="12"/>
        <v>OK</v>
      </c>
      <c r="AY68" s="421">
        <f t="shared" si="6"/>
        <v>113722077653662.81</v>
      </c>
      <c r="AZ68" s="153" t="str">
        <f t="shared" si="7"/>
        <v>OK</v>
      </c>
      <c r="BB68" s="216">
        <f>(C68/Population_Tables!P42)*Population_Tables!D42</f>
        <v>26625703914684.309</v>
      </c>
      <c r="BC68" s="216">
        <f>(D68/Population_Tables!Q42)*Population_Tables!E42</f>
        <v>62594281146418.266</v>
      </c>
      <c r="BD68" s="216">
        <f>(E68/Population_Tables!R42)*Population_Tables!F42</f>
        <v>24502092592560.238</v>
      </c>
      <c r="BE68" s="216">
        <f>(F68/Population_Tables!S42)*Population_Tables!G42</f>
        <v>0</v>
      </c>
      <c r="BF68" s="216">
        <f>(G68/Population_Tables!T42)*Population_Tables!H42</f>
        <v>0</v>
      </c>
      <c r="BG68" s="216"/>
      <c r="BN68" s="216"/>
      <c r="BO68" s="216"/>
      <c r="BP68" s="216"/>
    </row>
    <row r="69" spans="1:68" ht="15.6" x14ac:dyDescent="0.3">
      <c r="A69" s="194">
        <v>2054</v>
      </c>
      <c r="B69" s="229">
        <v>154739815282127.72</v>
      </c>
      <c r="C69" s="229">
        <f t="shared" si="8"/>
        <v>24635288071721.891</v>
      </c>
      <c r="D69" s="229">
        <f t="shared" si="9"/>
        <v>57851847579694.523</v>
      </c>
      <c r="E69" s="229">
        <f t="shared" si="10"/>
        <v>22071494924383.977</v>
      </c>
      <c r="F69" s="229"/>
      <c r="G69" s="229"/>
      <c r="H69" s="229"/>
      <c r="I69" s="229"/>
      <c r="J69" s="229"/>
      <c r="K69" s="229"/>
      <c r="M69" s="194">
        <v>2054</v>
      </c>
      <c r="N69" s="419">
        <f t="shared" si="4"/>
        <v>14562139849162.279</v>
      </c>
      <c r="O69" s="418">
        <f>(C69/Population_Tables!P43)*Population_Tables!D102</f>
        <v>0</v>
      </c>
      <c r="P69" s="418">
        <f>(D69/Population_Tables!Q43)*Population_Tables!E102</f>
        <v>0</v>
      </c>
      <c r="Q69" s="418">
        <f>((E69-H69)/Population_Tables!R43)*Population_Tables!F102</f>
        <v>14562139849162.279</v>
      </c>
      <c r="R69" s="418">
        <f>(F69/Population_Tables!S43)*Population_Tables!G102</f>
        <v>0</v>
      </c>
      <c r="S69" s="418">
        <f>(G69/Population_Tables!T43)*Population_Tables!H102</f>
        <v>0</v>
      </c>
      <c r="T69" s="418">
        <f>(H69/Population_Tables!U43)*Population_Tables!I102</f>
        <v>0</v>
      </c>
      <c r="U69" s="418">
        <f>(I69/Population_Tables!V43)*Population_Tables!J102</f>
        <v>0</v>
      </c>
      <c r="V69" s="418">
        <f>(J69/Population_Tables!W43)*Population_Tables!K102</f>
        <v>0</v>
      </c>
      <c r="W69" s="418">
        <f>(K69/Population_Tables!X43)*Population_Tables!L102</f>
        <v>0</v>
      </c>
      <c r="Y69" s="456">
        <v>2054</v>
      </c>
      <c r="Z69" s="459">
        <f>((B69/Population_Tables!O43)*Population_Tables!C43)-N69</f>
        <v>157160635677927.16</v>
      </c>
      <c r="AA69" s="459">
        <f>((C69/Population_Tables!P43)*Population_Tables!D43)-O69</f>
        <v>26903383325055.57</v>
      </c>
      <c r="AB69" s="459">
        <f>((D69/Population_Tables!Q43)*Population_Tables!E43)-P69</f>
        <v>63755378573942.141</v>
      </c>
      <c r="AC69" s="459">
        <f>((E69/Population_Tables!R43)*Population_Tables!F43)-Q69</f>
        <v>10061130875163.541</v>
      </c>
      <c r="AD69" s="459">
        <f>((F69/Population_Tables!S43)*Population_Tables!G43)-R69</f>
        <v>0</v>
      </c>
      <c r="AE69" s="459">
        <f>((G69/Population_Tables!T43)*Population_Tables!H43)-S69</f>
        <v>0</v>
      </c>
      <c r="AF69" s="459">
        <f>(H69/Population_Tables!U43)*Population_Tables!I43</f>
        <v>0</v>
      </c>
      <c r="AG69" s="459">
        <f>(I69/Population_Tables!V43)*Population_Tables!J43</f>
        <v>0</v>
      </c>
      <c r="AH69" s="459">
        <f>(J69/Population_Tables!W43)*Population_Tables!K43</f>
        <v>0</v>
      </c>
      <c r="AI69" s="459">
        <f>(K69/Population_Tables!X43)*Population_Tables!L43</f>
        <v>0</v>
      </c>
      <c r="AK69" s="456">
        <v>2054</v>
      </c>
      <c r="AL69" s="459">
        <f t="shared" ref="AL69:AU75" si="13">Z69+N69</f>
        <v>171722775527089.44</v>
      </c>
      <c r="AM69" s="459">
        <f t="shared" si="13"/>
        <v>26903383325055.57</v>
      </c>
      <c r="AN69" s="459">
        <f t="shared" si="13"/>
        <v>63755378573942.141</v>
      </c>
      <c r="AO69" s="459">
        <f t="shared" si="13"/>
        <v>24623270724325.82</v>
      </c>
      <c r="AP69" s="459">
        <f t="shared" si="13"/>
        <v>0</v>
      </c>
      <c r="AQ69" s="459">
        <f t="shared" si="13"/>
        <v>0</v>
      </c>
      <c r="AR69" s="459">
        <f t="shared" si="13"/>
        <v>0</v>
      </c>
      <c r="AS69" s="459">
        <f t="shared" si="13"/>
        <v>0</v>
      </c>
      <c r="AT69" s="459">
        <f t="shared" si="13"/>
        <v>0</v>
      </c>
      <c r="AU69" s="459">
        <f t="shared" si="13"/>
        <v>0</v>
      </c>
      <c r="AW69" s="216">
        <f>(B69/Population_Tables!O43)*Population_Tables!C43</f>
        <v>171722775527089.44</v>
      </c>
      <c r="AX69" s="153" t="str">
        <f t="shared" si="12"/>
        <v>OK</v>
      </c>
      <c r="AY69" s="421">
        <f t="shared" si="6"/>
        <v>115282032623323.53</v>
      </c>
      <c r="AZ69" s="153" t="str">
        <f t="shared" si="7"/>
        <v>OK</v>
      </c>
      <c r="BB69" s="216">
        <f>(C69/Population_Tables!P43)*Population_Tables!D43</f>
        <v>26903383325055.57</v>
      </c>
      <c r="BC69" s="216">
        <f>(D69/Population_Tables!Q43)*Population_Tables!E43</f>
        <v>63755378573942.141</v>
      </c>
      <c r="BD69" s="216">
        <f>(E69/Population_Tables!R43)*Population_Tables!F43</f>
        <v>24623270724325.82</v>
      </c>
      <c r="BE69" s="216">
        <f>(F69/Population_Tables!S43)*Population_Tables!G43</f>
        <v>0</v>
      </c>
      <c r="BF69" s="216">
        <f>(G69/Population_Tables!T43)*Population_Tables!H43</f>
        <v>0</v>
      </c>
      <c r="BG69" s="216"/>
      <c r="BN69" s="216"/>
      <c r="BO69" s="216"/>
      <c r="BP69" s="216"/>
    </row>
    <row r="70" spans="1:68" ht="15.6" x14ac:dyDescent="0.3">
      <c r="A70" s="194">
        <v>2055</v>
      </c>
      <c r="B70" s="229">
        <v>158406402986427.63</v>
      </c>
      <c r="C70" s="229">
        <f t="shared" si="8"/>
        <v>24757387210462.137</v>
      </c>
      <c r="D70" s="229">
        <f t="shared" si="9"/>
        <v>58729658261944.055</v>
      </c>
      <c r="E70" s="229">
        <f t="shared" si="10"/>
        <v>22131407334939.055</v>
      </c>
      <c r="F70" s="229"/>
      <c r="G70" s="229"/>
      <c r="H70" s="229"/>
      <c r="I70" s="229"/>
      <c r="J70" s="229"/>
      <c r="K70" s="229"/>
      <c r="M70" s="194">
        <v>2055</v>
      </c>
      <c r="N70" s="419">
        <f t="shared" si="4"/>
        <v>14729828930484.785</v>
      </c>
      <c r="O70" s="418">
        <f>(C70/Population_Tables!P44)*Population_Tables!D103</f>
        <v>0</v>
      </c>
      <c r="P70" s="418">
        <f>(D70/Population_Tables!Q44)*Population_Tables!E103</f>
        <v>0</v>
      </c>
      <c r="Q70" s="418">
        <f>((E70-H70)/Population_Tables!R44)*Population_Tables!F103</f>
        <v>14729828930484.785</v>
      </c>
      <c r="R70" s="418">
        <f>(F70/Population_Tables!S44)*Population_Tables!G103</f>
        <v>0</v>
      </c>
      <c r="S70" s="418">
        <f>(G70/Population_Tables!T44)*Population_Tables!H103</f>
        <v>0</v>
      </c>
      <c r="T70" s="418">
        <f>(H70/Population_Tables!U44)*Population_Tables!I103</f>
        <v>0</v>
      </c>
      <c r="U70" s="418">
        <f>(I70/Population_Tables!V44)*Population_Tables!J103</f>
        <v>0</v>
      </c>
      <c r="V70" s="418">
        <f>(J70/Population_Tables!W44)*Population_Tables!K103</f>
        <v>0</v>
      </c>
      <c r="W70" s="418">
        <f>(K70/Population_Tables!X44)*Population_Tables!L103</f>
        <v>0</v>
      </c>
      <c r="Y70" s="456">
        <v>2055</v>
      </c>
      <c r="Z70" s="459">
        <f>((B70/Population_Tables!O44)*Population_Tables!C44)-N70</f>
        <v>161830460499955.41</v>
      </c>
      <c r="AA70" s="459">
        <f>((C70/Population_Tables!P44)*Population_Tables!D44)-O70</f>
        <v>27131777052377.27</v>
      </c>
      <c r="AB70" s="459">
        <f>((D70/Population_Tables!Q44)*Population_Tables!E44)-P70</f>
        <v>65002369929261.805</v>
      </c>
      <c r="AC70" s="459">
        <f>((E70/Population_Tables!R44)*Population_Tables!F44)-Q70</f>
        <v>10079368601380.516</v>
      </c>
      <c r="AD70" s="459">
        <f>((F70/Population_Tables!S44)*Population_Tables!G44)-R70</f>
        <v>0</v>
      </c>
      <c r="AE70" s="459">
        <f>((G70/Population_Tables!T44)*Population_Tables!H44)-S70</f>
        <v>0</v>
      </c>
      <c r="AF70" s="459">
        <f>(H70/Population_Tables!U44)*Population_Tables!I44</f>
        <v>0</v>
      </c>
      <c r="AG70" s="459">
        <f>(I70/Population_Tables!V44)*Population_Tables!J44</f>
        <v>0</v>
      </c>
      <c r="AH70" s="459">
        <f>(J70/Population_Tables!W44)*Population_Tables!K44</f>
        <v>0</v>
      </c>
      <c r="AI70" s="459">
        <f>(K70/Population_Tables!X44)*Population_Tables!L44</f>
        <v>0</v>
      </c>
      <c r="AK70" s="456">
        <v>2055</v>
      </c>
      <c r="AL70" s="459">
        <f t="shared" si="13"/>
        <v>176560289430440.19</v>
      </c>
      <c r="AM70" s="459">
        <f t="shared" si="13"/>
        <v>27131777052377.27</v>
      </c>
      <c r="AN70" s="459">
        <f t="shared" si="13"/>
        <v>65002369929261.805</v>
      </c>
      <c r="AO70" s="459">
        <f t="shared" si="13"/>
        <v>24809197531865.301</v>
      </c>
      <c r="AP70" s="459">
        <f t="shared" si="13"/>
        <v>0</v>
      </c>
      <c r="AQ70" s="459">
        <f t="shared" si="13"/>
        <v>0</v>
      </c>
      <c r="AR70" s="459">
        <f t="shared" si="13"/>
        <v>0</v>
      </c>
      <c r="AS70" s="459">
        <f t="shared" si="13"/>
        <v>0</v>
      </c>
      <c r="AT70" s="459">
        <f t="shared" si="13"/>
        <v>0</v>
      </c>
      <c r="AU70" s="459">
        <f t="shared" si="13"/>
        <v>0</v>
      </c>
      <c r="AW70" s="216">
        <f>(B70/Population_Tables!O44)*Population_Tables!C44</f>
        <v>176560289430440.19</v>
      </c>
      <c r="AX70" s="153" t="str">
        <f t="shared" si="12"/>
        <v>OK</v>
      </c>
      <c r="AY70" s="421">
        <f t="shared" si="6"/>
        <v>116943344513504.38</v>
      </c>
      <c r="AZ70" s="153" t="str">
        <f t="shared" si="7"/>
        <v>OK</v>
      </c>
      <c r="BB70" s="216">
        <f>(C70/Population_Tables!P44)*Population_Tables!D44</f>
        <v>27131777052377.27</v>
      </c>
      <c r="BC70" s="216">
        <f>(D70/Population_Tables!Q44)*Population_Tables!E44</f>
        <v>65002369929261.805</v>
      </c>
      <c r="BD70" s="216">
        <f>(E70/Population_Tables!R44)*Population_Tables!F44</f>
        <v>24809197531865.301</v>
      </c>
      <c r="BE70" s="216">
        <f>(F70/Population_Tables!S44)*Population_Tables!G44</f>
        <v>0</v>
      </c>
      <c r="BF70" s="216">
        <f>(G70/Population_Tables!T44)*Population_Tables!H44</f>
        <v>0</v>
      </c>
      <c r="BG70" s="216"/>
      <c r="BN70" s="216"/>
      <c r="BO70" s="216"/>
      <c r="BP70" s="216"/>
    </row>
    <row r="71" spans="1:68" ht="15.6" x14ac:dyDescent="0.3">
      <c r="A71" s="194">
        <v>2056</v>
      </c>
      <c r="B71" s="229">
        <v>162152054492947.19</v>
      </c>
      <c r="C71" s="229">
        <f t="shared" si="8"/>
        <v>24971063030786.777</v>
      </c>
      <c r="D71" s="229">
        <f t="shared" si="9"/>
        <v>59359715415538.734</v>
      </c>
      <c r="E71" s="229">
        <f t="shared" si="10"/>
        <v>22088176688693.699</v>
      </c>
      <c r="F71" s="229"/>
      <c r="G71" s="229"/>
      <c r="H71" s="229"/>
      <c r="I71" s="229"/>
      <c r="J71" s="229"/>
      <c r="K71" s="229"/>
      <c r="M71" s="194">
        <v>2056</v>
      </c>
      <c r="N71" s="419">
        <f t="shared" si="4"/>
        <v>14831961477423.258</v>
      </c>
      <c r="O71" s="418">
        <f>(C71/Population_Tables!P45)*Population_Tables!D104</f>
        <v>0</v>
      </c>
      <c r="P71" s="418">
        <f>(D71/Population_Tables!Q45)*Population_Tables!E104</f>
        <v>0</v>
      </c>
      <c r="Q71" s="418">
        <f>((E71-H71)/Population_Tables!R45)*Population_Tables!F104</f>
        <v>14831961477423.258</v>
      </c>
      <c r="R71" s="418">
        <f>(F71/Population_Tables!S45)*Population_Tables!G104</f>
        <v>0</v>
      </c>
      <c r="S71" s="418">
        <f>(G71/Population_Tables!T45)*Population_Tables!H104</f>
        <v>0</v>
      </c>
      <c r="T71" s="418">
        <f>(H71/Population_Tables!U45)*Population_Tables!I104</f>
        <v>0</v>
      </c>
      <c r="U71" s="418">
        <f>(I71/Population_Tables!V45)*Population_Tables!J104</f>
        <v>0</v>
      </c>
      <c r="V71" s="418">
        <f>(J71/Population_Tables!W45)*Population_Tables!K104</f>
        <v>0</v>
      </c>
      <c r="W71" s="418">
        <f>(K71/Population_Tables!X45)*Population_Tables!L104</f>
        <v>0</v>
      </c>
      <c r="Y71" s="456">
        <v>2056</v>
      </c>
      <c r="Z71" s="459">
        <f>((B71/Population_Tables!O45)*Population_Tables!C45)-N71</f>
        <v>166712109967730.63</v>
      </c>
      <c r="AA71" s="459">
        <f>((C71/Population_Tables!P45)*Population_Tables!D45)-O71</f>
        <v>27465184045779.941</v>
      </c>
      <c r="AB71" s="459">
        <f>((D71/Population_Tables!Q45)*Population_Tables!E45)-P71</f>
        <v>65991096576816.781</v>
      </c>
      <c r="AC71" s="459">
        <f>((E71/Population_Tables!R45)*Population_Tables!F45)-Q71</f>
        <v>10051478446866.18</v>
      </c>
      <c r="AD71" s="459">
        <f>((F71/Population_Tables!S45)*Population_Tables!G45)-R71</f>
        <v>0</v>
      </c>
      <c r="AE71" s="459">
        <f>((G71/Population_Tables!T45)*Population_Tables!H45)-S71</f>
        <v>0</v>
      </c>
      <c r="AF71" s="459">
        <f>(H71/Population_Tables!U45)*Population_Tables!I45</f>
        <v>0</v>
      </c>
      <c r="AG71" s="459">
        <f>(I71/Population_Tables!V45)*Population_Tables!J45</f>
        <v>0</v>
      </c>
      <c r="AH71" s="459">
        <f>(J71/Population_Tables!W45)*Population_Tables!K45</f>
        <v>0</v>
      </c>
      <c r="AI71" s="459">
        <f>(K71/Population_Tables!X45)*Population_Tables!L45</f>
        <v>0</v>
      </c>
      <c r="AK71" s="456">
        <v>2056</v>
      </c>
      <c r="AL71" s="459">
        <f t="shared" si="13"/>
        <v>181544071445153.88</v>
      </c>
      <c r="AM71" s="459">
        <f t="shared" si="13"/>
        <v>27465184045779.941</v>
      </c>
      <c r="AN71" s="459">
        <f t="shared" si="13"/>
        <v>65991096576816.781</v>
      </c>
      <c r="AO71" s="459">
        <f t="shared" si="13"/>
        <v>24883439924289.438</v>
      </c>
      <c r="AP71" s="459">
        <f t="shared" si="13"/>
        <v>0</v>
      </c>
      <c r="AQ71" s="459">
        <f t="shared" si="13"/>
        <v>0</v>
      </c>
      <c r="AR71" s="459">
        <f t="shared" si="13"/>
        <v>0</v>
      </c>
      <c r="AS71" s="459">
        <f t="shared" si="13"/>
        <v>0</v>
      </c>
      <c r="AT71" s="459">
        <f t="shared" si="13"/>
        <v>0</v>
      </c>
      <c r="AU71" s="459">
        <f t="shared" si="13"/>
        <v>0</v>
      </c>
      <c r="AW71" s="216">
        <f>(B71/Population_Tables!O45)*Population_Tables!C45</f>
        <v>181544071445153.88</v>
      </c>
      <c r="AX71" s="153" t="str">
        <f t="shared" si="12"/>
        <v>OK</v>
      </c>
      <c r="AY71" s="421">
        <f t="shared" si="6"/>
        <v>118339720546886.16</v>
      </c>
      <c r="AZ71" s="153" t="str">
        <f t="shared" si="7"/>
        <v>OK</v>
      </c>
      <c r="BB71" s="216">
        <f>(C71/Population_Tables!P45)*Population_Tables!D45</f>
        <v>27465184045779.941</v>
      </c>
      <c r="BC71" s="216">
        <f>(D71/Population_Tables!Q45)*Population_Tables!E45</f>
        <v>65991096576816.781</v>
      </c>
      <c r="BD71" s="216">
        <f>(E71/Population_Tables!R45)*Population_Tables!F45</f>
        <v>24883439924289.438</v>
      </c>
      <c r="BE71" s="216">
        <f>(F71/Population_Tables!S45)*Population_Tables!G45</f>
        <v>0</v>
      </c>
      <c r="BF71" s="216">
        <f>(G71/Population_Tables!T45)*Population_Tables!H45</f>
        <v>0</v>
      </c>
      <c r="BG71" s="216"/>
      <c r="BN71" s="216"/>
      <c r="BO71" s="216"/>
      <c r="BP71" s="216"/>
    </row>
    <row r="72" spans="1:68" ht="15.6" x14ac:dyDescent="0.3">
      <c r="A72" s="194">
        <v>2057</v>
      </c>
      <c r="B72" s="229">
        <v>165978509925135.31</v>
      </c>
      <c r="C72" s="229">
        <f t="shared" si="8"/>
        <v>25135332535387.68</v>
      </c>
      <c r="D72" s="229">
        <f t="shared" si="9"/>
        <v>60048405190324.125</v>
      </c>
      <c r="E72" s="229">
        <f t="shared" si="10"/>
        <v>22100863351275.684</v>
      </c>
      <c r="F72" s="229"/>
      <c r="G72" s="229"/>
      <c r="H72" s="229"/>
      <c r="I72" s="229"/>
      <c r="J72" s="229"/>
      <c r="K72" s="229"/>
      <c r="M72" s="194">
        <v>2057</v>
      </c>
      <c r="N72" s="419">
        <f t="shared" si="4"/>
        <v>14974412583334.623</v>
      </c>
      <c r="O72" s="418">
        <f>(C72/Population_Tables!P46)*Population_Tables!D105</f>
        <v>0</v>
      </c>
      <c r="P72" s="418">
        <f>(D72/Population_Tables!Q46)*Population_Tables!E105</f>
        <v>0</v>
      </c>
      <c r="Q72" s="418">
        <f>((E72-H72)/Population_Tables!R46)*Population_Tables!F105</f>
        <v>14974412583334.623</v>
      </c>
      <c r="R72" s="418">
        <f>(F72/Population_Tables!S46)*Population_Tables!G105</f>
        <v>0</v>
      </c>
      <c r="S72" s="418">
        <f>(G72/Population_Tables!T46)*Population_Tables!H105</f>
        <v>0</v>
      </c>
      <c r="T72" s="418">
        <f>(H72/Population_Tables!U46)*Population_Tables!I105</f>
        <v>0</v>
      </c>
      <c r="U72" s="418">
        <f>(I72/Population_Tables!V46)*Population_Tables!J105</f>
        <v>0</v>
      </c>
      <c r="V72" s="418">
        <f>(J72/Population_Tables!W46)*Population_Tables!K105</f>
        <v>0</v>
      </c>
      <c r="W72" s="418">
        <f>(K72/Population_Tables!X46)*Population_Tables!L105</f>
        <v>0</v>
      </c>
      <c r="Y72" s="456">
        <v>2057</v>
      </c>
      <c r="Z72" s="459">
        <f>((B72/Population_Tables!O46)*Population_Tables!C46)-N72</f>
        <v>171704118806466.28</v>
      </c>
      <c r="AA72" s="459">
        <f>((C72/Population_Tables!P46)*Population_Tables!D46)-O72</f>
        <v>27749164647937.746</v>
      </c>
      <c r="AB72" s="459">
        <f>((D72/Population_Tables!Q46)*Population_Tables!E46)-P72</f>
        <v>67060522694663.719</v>
      </c>
      <c r="AC72" s="459">
        <f>((E72/Population_Tables!R46)*Population_Tables!F46)-Q72</f>
        <v>10049928722246.076</v>
      </c>
      <c r="AD72" s="459">
        <f>((F72/Population_Tables!S46)*Population_Tables!G46)-R72</f>
        <v>0</v>
      </c>
      <c r="AE72" s="459">
        <f>((G72/Population_Tables!T46)*Population_Tables!H46)-S72</f>
        <v>0</v>
      </c>
      <c r="AF72" s="459">
        <f>(H72/Population_Tables!U46)*Population_Tables!I46</f>
        <v>0</v>
      </c>
      <c r="AG72" s="459">
        <f>(I72/Population_Tables!V46)*Population_Tables!J46</f>
        <v>0</v>
      </c>
      <c r="AH72" s="459">
        <f>(J72/Population_Tables!W46)*Population_Tables!K46</f>
        <v>0</v>
      </c>
      <c r="AI72" s="459">
        <f>(K72/Population_Tables!X46)*Population_Tables!L46</f>
        <v>0</v>
      </c>
      <c r="AK72" s="456">
        <v>2057</v>
      </c>
      <c r="AL72" s="459">
        <f t="shared" si="13"/>
        <v>186678531389800.91</v>
      </c>
      <c r="AM72" s="459">
        <f t="shared" si="13"/>
        <v>27749164647937.746</v>
      </c>
      <c r="AN72" s="459">
        <f t="shared" si="13"/>
        <v>67060522694663.719</v>
      </c>
      <c r="AO72" s="459">
        <f t="shared" si="13"/>
        <v>25024341305580.699</v>
      </c>
      <c r="AP72" s="459">
        <f t="shared" si="13"/>
        <v>0</v>
      </c>
      <c r="AQ72" s="459">
        <f t="shared" si="13"/>
        <v>0</v>
      </c>
      <c r="AR72" s="459">
        <f t="shared" si="13"/>
        <v>0</v>
      </c>
      <c r="AS72" s="459">
        <f t="shared" si="13"/>
        <v>0</v>
      </c>
      <c r="AT72" s="459">
        <f t="shared" si="13"/>
        <v>0</v>
      </c>
      <c r="AU72" s="459">
        <f t="shared" si="13"/>
        <v>0</v>
      </c>
      <c r="AW72" s="216">
        <f>(B72/Population_Tables!O46)*Population_Tables!C46</f>
        <v>186678531389800.91</v>
      </c>
      <c r="AX72" s="153" t="str">
        <f t="shared" si="12"/>
        <v>OK</v>
      </c>
      <c r="AY72" s="421">
        <f t="shared" si="6"/>
        <v>119834028648182.17</v>
      </c>
      <c r="AZ72" s="153" t="str">
        <f t="shared" si="7"/>
        <v>OK</v>
      </c>
      <c r="BB72" s="216">
        <f>(C72/Population_Tables!P46)*Population_Tables!D46</f>
        <v>27749164647937.746</v>
      </c>
      <c r="BC72" s="216">
        <f>(D72/Population_Tables!Q46)*Population_Tables!E46</f>
        <v>67060522694663.719</v>
      </c>
      <c r="BD72" s="216">
        <f>(E72/Population_Tables!R46)*Population_Tables!F46</f>
        <v>25024341305580.699</v>
      </c>
      <c r="BE72" s="216">
        <f>(F72/Population_Tables!S46)*Population_Tables!G46</f>
        <v>0</v>
      </c>
      <c r="BF72" s="216">
        <f>(G72/Population_Tables!T46)*Population_Tables!H46</f>
        <v>0</v>
      </c>
      <c r="BG72" s="216"/>
      <c r="BN72" s="216"/>
      <c r="BO72" s="216"/>
      <c r="BP72" s="216"/>
    </row>
    <row r="73" spans="1:68" ht="15.6" x14ac:dyDescent="0.3">
      <c r="A73" s="194">
        <v>2058</v>
      </c>
      <c r="B73" s="229">
        <v>169887539791599.91</v>
      </c>
      <c r="C73" s="229">
        <f t="shared" si="8"/>
        <v>25296967762310.77</v>
      </c>
      <c r="D73" s="229">
        <f t="shared" si="9"/>
        <v>60690584419350.875</v>
      </c>
      <c r="E73" s="229">
        <f t="shared" si="10"/>
        <v>22117521006822.48</v>
      </c>
      <c r="F73" s="229"/>
      <c r="G73" s="229"/>
      <c r="H73" s="229"/>
      <c r="I73" s="229"/>
      <c r="J73" s="229"/>
      <c r="K73" s="229"/>
      <c r="M73" s="194">
        <v>2058</v>
      </c>
      <c r="N73" s="419">
        <f t="shared" si="4"/>
        <v>15122443310928.576</v>
      </c>
      <c r="O73" s="418">
        <f>(C73/Population_Tables!P47)*Population_Tables!D106</f>
        <v>0</v>
      </c>
      <c r="P73" s="418">
        <f>(D73/Population_Tables!Q47)*Population_Tables!E106</f>
        <v>0</v>
      </c>
      <c r="Q73" s="418">
        <f>((E73-H73)/Population_Tables!R47)*Population_Tables!F106</f>
        <v>15122443310928.576</v>
      </c>
      <c r="R73" s="418">
        <f>(F73/Population_Tables!S47)*Population_Tables!G106</f>
        <v>0</v>
      </c>
      <c r="S73" s="418">
        <f>(G73/Population_Tables!T47)*Population_Tables!H106</f>
        <v>0</v>
      </c>
      <c r="T73" s="418">
        <f>(H73/Population_Tables!U47)*Population_Tables!I106</f>
        <v>0</v>
      </c>
      <c r="U73" s="418">
        <f>(I73/Population_Tables!V47)*Population_Tables!J106</f>
        <v>0</v>
      </c>
      <c r="V73" s="418">
        <f>(J73/Population_Tables!W47)*Population_Tables!K106</f>
        <v>0</v>
      </c>
      <c r="W73" s="418">
        <f>(K73/Population_Tables!X47)*Population_Tables!L106</f>
        <v>0</v>
      </c>
      <c r="Y73" s="456">
        <v>2058</v>
      </c>
      <c r="Z73" s="459">
        <f>((B73/Population_Tables!O47)*Population_Tables!C47)-N73</f>
        <v>176844766467877.53</v>
      </c>
      <c r="AA73" s="459">
        <f>((C73/Population_Tables!P47)*Population_Tables!D47)-O73</f>
        <v>28034933347450.859</v>
      </c>
      <c r="AB73" s="459">
        <f>((D73/Population_Tables!Q47)*Population_Tables!E47)-P73</f>
        <v>68093814106845.531</v>
      </c>
      <c r="AC73" s="459">
        <f>((E73/Population_Tables!R47)*Population_Tables!F47)-Q73</f>
        <v>10051102353558.025</v>
      </c>
      <c r="AD73" s="459">
        <f>((F73/Population_Tables!S47)*Population_Tables!G47)-R73</f>
        <v>0</v>
      </c>
      <c r="AE73" s="459">
        <f>((G73/Population_Tables!T47)*Population_Tables!H47)-S73</f>
        <v>0</v>
      </c>
      <c r="AF73" s="459">
        <f>(H73/Population_Tables!U47)*Population_Tables!I47</f>
        <v>0</v>
      </c>
      <c r="AG73" s="459">
        <f>(I73/Population_Tables!V47)*Population_Tables!J47</f>
        <v>0</v>
      </c>
      <c r="AH73" s="459">
        <f>(J73/Population_Tables!W47)*Population_Tables!K47</f>
        <v>0</v>
      </c>
      <c r="AI73" s="459">
        <f>(K73/Population_Tables!X47)*Population_Tables!L47</f>
        <v>0</v>
      </c>
      <c r="AK73" s="456">
        <v>2058</v>
      </c>
      <c r="AL73" s="459">
        <f t="shared" si="13"/>
        <v>191967209778806.09</v>
      </c>
      <c r="AM73" s="459">
        <f t="shared" si="13"/>
        <v>28034933347450.859</v>
      </c>
      <c r="AN73" s="459">
        <f t="shared" si="13"/>
        <v>68093814106845.531</v>
      </c>
      <c r="AO73" s="459">
        <f t="shared" si="13"/>
        <v>25173545664486.602</v>
      </c>
      <c r="AP73" s="459">
        <f t="shared" si="13"/>
        <v>0</v>
      </c>
      <c r="AQ73" s="459">
        <f t="shared" si="13"/>
        <v>0</v>
      </c>
      <c r="AR73" s="459">
        <f t="shared" si="13"/>
        <v>0</v>
      </c>
      <c r="AS73" s="459">
        <f t="shared" si="13"/>
        <v>0</v>
      </c>
      <c r="AT73" s="459">
        <f t="shared" si="13"/>
        <v>0</v>
      </c>
      <c r="AU73" s="459">
        <f t="shared" si="13"/>
        <v>0</v>
      </c>
      <c r="AW73" s="216">
        <f>(B73/Population_Tables!O47)*Population_Tables!C47</f>
        <v>191967209778806.09</v>
      </c>
      <c r="AX73" s="153" t="str">
        <f t="shared" si="12"/>
        <v>OK</v>
      </c>
      <c r="AY73" s="421">
        <f t="shared" si="6"/>
        <v>121302293118783</v>
      </c>
      <c r="AZ73" s="153" t="str">
        <f t="shared" si="7"/>
        <v>OK</v>
      </c>
      <c r="BB73" s="216">
        <f>(C73/Population_Tables!P47)*Population_Tables!D47</f>
        <v>28034933347450.859</v>
      </c>
      <c r="BC73" s="216">
        <f>(D73/Population_Tables!Q47)*Population_Tables!E47</f>
        <v>68093814106845.531</v>
      </c>
      <c r="BD73" s="216">
        <f>(E73/Population_Tables!R47)*Population_Tables!F47</f>
        <v>25173545664486.602</v>
      </c>
      <c r="BE73" s="216">
        <f>(F73/Population_Tables!S47)*Population_Tables!G47</f>
        <v>0</v>
      </c>
      <c r="BF73" s="216">
        <f>(G73/Population_Tables!T47)*Population_Tables!H47</f>
        <v>0</v>
      </c>
      <c r="BG73" s="216"/>
      <c r="BN73" s="216"/>
      <c r="BO73" s="216"/>
      <c r="BP73" s="216"/>
    </row>
    <row r="74" spans="1:68" ht="15.6" x14ac:dyDescent="0.3">
      <c r="A74" s="194">
        <v>2059</v>
      </c>
      <c r="B74" s="229">
        <v>173881012323680.53</v>
      </c>
      <c r="C74" s="229">
        <f t="shared" si="8"/>
        <v>25455801990763.465</v>
      </c>
      <c r="D74" s="229">
        <f t="shared" si="9"/>
        <v>61283992264868.375</v>
      </c>
      <c r="E74" s="229">
        <f t="shared" si="10"/>
        <v>22138955009844.145</v>
      </c>
      <c r="F74" s="229"/>
      <c r="G74" s="229"/>
      <c r="H74" s="229"/>
      <c r="I74" s="229"/>
      <c r="J74" s="229"/>
      <c r="K74" s="229"/>
      <c r="M74" s="194">
        <v>2059</v>
      </c>
      <c r="N74" s="419">
        <f t="shared" si="4"/>
        <v>15276372771433.73</v>
      </c>
      <c r="O74" s="418">
        <f>(C74/Population_Tables!P48)*Population_Tables!D107</f>
        <v>0</v>
      </c>
      <c r="P74" s="418">
        <f>(D74/Population_Tables!Q48)*Population_Tables!E107</f>
        <v>0</v>
      </c>
      <c r="Q74" s="418">
        <f>((E74-H74)/Population_Tables!R48)*Population_Tables!F107</f>
        <v>15276372771433.73</v>
      </c>
      <c r="R74" s="418">
        <f>(F74/Population_Tables!S48)*Population_Tables!G107</f>
        <v>0</v>
      </c>
      <c r="S74" s="418">
        <f>(G74/Population_Tables!T48)*Population_Tables!H107</f>
        <v>0</v>
      </c>
      <c r="T74" s="418">
        <f>(H74/Population_Tables!U48)*Population_Tables!I107</f>
        <v>0</v>
      </c>
      <c r="U74" s="418">
        <f>(I74/Population_Tables!V48)*Population_Tables!J107</f>
        <v>0</v>
      </c>
      <c r="V74" s="418">
        <f>(J74/Population_Tables!W48)*Population_Tables!K107</f>
        <v>0</v>
      </c>
      <c r="W74" s="418">
        <f>(K74/Population_Tables!X48)*Population_Tables!L107</f>
        <v>0</v>
      </c>
      <c r="Y74" s="456">
        <v>2059</v>
      </c>
      <c r="Z74" s="459">
        <f>((B74/Population_Tables!O48)*Population_Tables!C48)-N74</f>
        <v>182136964017483.22</v>
      </c>
      <c r="AA74" s="459">
        <f>((C74/Population_Tables!P48)*Population_Tables!D48)-O74</f>
        <v>28322182367129.297</v>
      </c>
      <c r="AB74" s="459">
        <f>((D74/Population_Tables!Q48)*Population_Tables!E48)-P74</f>
        <v>69087846515431.852</v>
      </c>
      <c r="AC74" s="459">
        <f>((E74/Population_Tables!R48)*Population_Tables!F48)-Q74</f>
        <v>10055406989407.156</v>
      </c>
      <c r="AD74" s="459">
        <f>((F74/Population_Tables!S48)*Population_Tables!G48)-R74</f>
        <v>0</v>
      </c>
      <c r="AE74" s="459">
        <f>((G74/Population_Tables!T48)*Population_Tables!H48)-S74</f>
        <v>0</v>
      </c>
      <c r="AF74" s="459">
        <f>(H74/Population_Tables!U48)*Population_Tables!I48</f>
        <v>0</v>
      </c>
      <c r="AG74" s="459">
        <f>(I74/Population_Tables!V48)*Population_Tables!J48</f>
        <v>0</v>
      </c>
      <c r="AH74" s="459">
        <f>(J74/Population_Tables!W48)*Population_Tables!K48</f>
        <v>0</v>
      </c>
      <c r="AI74" s="459">
        <f>(K74/Population_Tables!X48)*Population_Tables!L48</f>
        <v>0</v>
      </c>
      <c r="AK74" s="456">
        <v>2059</v>
      </c>
      <c r="AL74" s="459">
        <f t="shared" si="13"/>
        <v>197413336788916.94</v>
      </c>
      <c r="AM74" s="459">
        <f t="shared" si="13"/>
        <v>28322182367129.297</v>
      </c>
      <c r="AN74" s="459">
        <f t="shared" si="13"/>
        <v>69087846515431.852</v>
      </c>
      <c r="AO74" s="459">
        <f t="shared" si="13"/>
        <v>25331779760840.887</v>
      </c>
      <c r="AP74" s="459">
        <f t="shared" si="13"/>
        <v>0</v>
      </c>
      <c r="AQ74" s="459">
        <f t="shared" si="13"/>
        <v>0</v>
      </c>
      <c r="AR74" s="459">
        <f t="shared" si="13"/>
        <v>0</v>
      </c>
      <c r="AS74" s="459">
        <f t="shared" si="13"/>
        <v>0</v>
      </c>
      <c r="AT74" s="459">
        <f t="shared" si="13"/>
        <v>0</v>
      </c>
      <c r="AU74" s="459">
        <f t="shared" si="13"/>
        <v>0</v>
      </c>
      <c r="AW74" s="216">
        <f>(B74/Population_Tables!O48)*Population_Tables!C48</f>
        <v>197413336788916.94</v>
      </c>
      <c r="AX74" s="153" t="str">
        <f t="shared" si="12"/>
        <v>OK</v>
      </c>
      <c r="AY74" s="421">
        <f t="shared" si="6"/>
        <v>122741808643402.05</v>
      </c>
      <c r="AZ74" s="153" t="str">
        <f t="shared" si="7"/>
        <v>OK</v>
      </c>
      <c r="BB74" s="216">
        <f>(C74/Population_Tables!P48)*Population_Tables!D48</f>
        <v>28322182367129.297</v>
      </c>
      <c r="BC74" s="216">
        <f>(D74/Population_Tables!Q48)*Population_Tables!E48</f>
        <v>69087846515431.852</v>
      </c>
      <c r="BD74" s="216">
        <f>(E74/Population_Tables!R48)*Population_Tables!F48</f>
        <v>25331779760840.887</v>
      </c>
      <c r="BE74" s="216">
        <f>(F74/Population_Tables!S48)*Population_Tables!G48</f>
        <v>0</v>
      </c>
      <c r="BF74" s="216">
        <f>(G74/Population_Tables!T48)*Population_Tables!H48</f>
        <v>0</v>
      </c>
      <c r="BG74" s="216"/>
      <c r="BN74" s="216"/>
      <c r="BO74" s="216"/>
      <c r="BP74" s="216"/>
    </row>
    <row r="75" spans="1:68" ht="15.6" x14ac:dyDescent="0.3">
      <c r="A75" s="194">
        <v>2060</v>
      </c>
      <c r="B75" s="229">
        <v>177960814973400.88</v>
      </c>
      <c r="C75" s="229">
        <f t="shared" si="8"/>
        <v>25666805217146.117</v>
      </c>
      <c r="D75" s="229">
        <f t="shared" si="9"/>
        <v>61765125438297.531</v>
      </c>
      <c r="E75" s="229">
        <f t="shared" si="10"/>
        <v>22127937259425.352</v>
      </c>
      <c r="F75" s="229"/>
      <c r="G75" s="229"/>
      <c r="H75" s="229"/>
      <c r="I75" s="229"/>
      <c r="J75" s="229"/>
      <c r="K75" s="229"/>
      <c r="M75" s="194">
        <v>2060</v>
      </c>
      <c r="N75" s="419">
        <f t="shared" si="4"/>
        <v>15410108338430.215</v>
      </c>
      <c r="O75" s="418">
        <f>(C75/Population_Tables!P49)*Population_Tables!D108</f>
        <v>0</v>
      </c>
      <c r="P75" s="418">
        <f>(D75/Population_Tables!Q49)*Population_Tables!E108</f>
        <v>0</v>
      </c>
      <c r="Q75" s="418">
        <f>((E75-H75)/Population_Tables!R49)*Population_Tables!F108</f>
        <v>15410108338430.215</v>
      </c>
      <c r="R75" s="418">
        <f>(F75/Population_Tables!S49)*Population_Tables!G108</f>
        <v>0</v>
      </c>
      <c r="S75" s="418">
        <f>(G75/Population_Tables!T49)*Population_Tables!H108</f>
        <v>0</v>
      </c>
      <c r="T75" s="418">
        <f>(H75/Population_Tables!U49)*Population_Tables!I108</f>
        <v>0</v>
      </c>
      <c r="U75" s="418">
        <f>(I75/Population_Tables!V49)*Population_Tables!J108</f>
        <v>0</v>
      </c>
      <c r="V75" s="418">
        <f>(J75/Population_Tables!W49)*Population_Tables!K108</f>
        <v>0</v>
      </c>
      <c r="W75" s="418">
        <f>(K75/Population_Tables!X49)*Population_Tables!L108</f>
        <v>0</v>
      </c>
      <c r="Y75" s="456">
        <v>2060</v>
      </c>
      <c r="Z75" s="459">
        <f>((B75/Population_Tables!O49)*Population_Tables!C49)-N75</f>
        <v>187610284814545.09</v>
      </c>
      <c r="AA75" s="459">
        <f>((C75/Population_Tables!P49)*Population_Tables!D49)-O75</f>
        <v>28672189345748.031</v>
      </c>
      <c r="AB75" s="459">
        <f>((D75/Population_Tables!Q49)*Population_Tables!E49)-P75</f>
        <v>69970035624483.164</v>
      </c>
      <c r="AC75" s="459">
        <f>((E75/Population_Tables!R49)*Population_Tables!F49)-Q75</f>
        <v>10045980439914.496</v>
      </c>
      <c r="AD75" s="459">
        <f>((F75/Population_Tables!S49)*Population_Tables!G49)-R75</f>
        <v>0</v>
      </c>
      <c r="AE75" s="459">
        <f>((G75/Population_Tables!T49)*Population_Tables!H49)-S75</f>
        <v>0</v>
      </c>
      <c r="AF75" s="459">
        <f>(H75/Population_Tables!U49)*Population_Tables!I49</f>
        <v>0</v>
      </c>
      <c r="AG75" s="459">
        <f>(I75/Population_Tables!V49)*Population_Tables!J49</f>
        <v>0</v>
      </c>
      <c r="AH75" s="459">
        <f>(J75/Population_Tables!W49)*Population_Tables!K49</f>
        <v>0</v>
      </c>
      <c r="AI75" s="459">
        <f>(K75/Population_Tables!X49)*Population_Tables!L49</f>
        <v>0</v>
      </c>
      <c r="AK75" s="456">
        <v>2060</v>
      </c>
      <c r="AL75" s="459">
        <f t="shared" si="13"/>
        <v>203020393152975.31</v>
      </c>
      <c r="AM75" s="459">
        <f t="shared" si="13"/>
        <v>28672189345748.031</v>
      </c>
      <c r="AN75" s="459">
        <f t="shared" si="13"/>
        <v>69970035624483.164</v>
      </c>
      <c r="AO75" s="459">
        <f t="shared" si="13"/>
        <v>25456088778344.711</v>
      </c>
      <c r="AP75" s="459">
        <f t="shared" si="13"/>
        <v>0</v>
      </c>
      <c r="AQ75" s="459">
        <f t="shared" si="13"/>
        <v>0</v>
      </c>
      <c r="AR75" s="459">
        <f t="shared" si="13"/>
        <v>0</v>
      </c>
      <c r="AS75" s="459">
        <f t="shared" si="13"/>
        <v>0</v>
      </c>
      <c r="AT75" s="459">
        <f t="shared" si="13"/>
        <v>0</v>
      </c>
      <c r="AU75" s="459">
        <f t="shared" si="13"/>
        <v>0</v>
      </c>
      <c r="AW75" s="216">
        <f>(B75/Population_Tables!O49)*Population_Tables!C49</f>
        <v>203020393152975.31</v>
      </c>
      <c r="AX75" s="153" t="str">
        <f t="shared" si="12"/>
        <v>OK</v>
      </c>
      <c r="AY75" s="421">
        <f t="shared" si="6"/>
        <v>124098313748575.91</v>
      </c>
      <c r="AZ75" s="153" t="str">
        <f t="shared" si="7"/>
        <v>OK</v>
      </c>
      <c r="BB75" s="216">
        <f>(C75/Population_Tables!P49)*Population_Tables!D49</f>
        <v>28672189345748.031</v>
      </c>
      <c r="BC75" s="216">
        <f>(D75/Population_Tables!Q49)*Population_Tables!E49</f>
        <v>69970035624483.164</v>
      </c>
      <c r="BD75" s="216">
        <f>(E75/Population_Tables!R49)*Population_Tables!F49</f>
        <v>25456088778344.711</v>
      </c>
      <c r="BE75" s="216">
        <f>(F75/Population_Tables!S49)*Population_Tables!G49</f>
        <v>0</v>
      </c>
      <c r="BF75" s="216">
        <f>(G75/Population_Tables!T49)*Population_Tables!H49</f>
        <v>0</v>
      </c>
      <c r="BG75" s="216"/>
      <c r="BN75" s="216"/>
      <c r="BO75" s="216"/>
      <c r="BP75" s="216"/>
    </row>
    <row r="76" spans="1:68" s="165" customFormat="1" ht="15.6" x14ac:dyDescent="0.3">
      <c r="A76" s="465"/>
      <c r="B76" s="466"/>
      <c r="C76" s="466"/>
      <c r="D76" s="466"/>
      <c r="E76" s="466"/>
      <c r="F76" s="466"/>
      <c r="G76" s="466"/>
      <c r="H76" s="466"/>
      <c r="I76" s="466"/>
      <c r="J76" s="466"/>
      <c r="K76" s="466"/>
      <c r="M76" s="465"/>
      <c r="N76" s="467"/>
      <c r="O76" s="468"/>
      <c r="P76" s="468"/>
      <c r="Q76" s="468"/>
      <c r="R76" s="468"/>
      <c r="S76" s="468"/>
      <c r="T76" s="468"/>
      <c r="U76" s="468"/>
      <c r="V76" s="468"/>
      <c r="W76" s="468"/>
      <c r="Y76" s="465"/>
      <c r="Z76" s="469"/>
      <c r="AA76" s="469"/>
      <c r="AB76" s="469"/>
      <c r="AC76" s="469"/>
      <c r="AD76" s="469"/>
      <c r="AE76" s="469"/>
      <c r="AF76" s="469"/>
      <c r="AG76" s="469"/>
      <c r="AH76" s="469"/>
      <c r="AI76" s="469"/>
      <c r="AK76" s="465"/>
      <c r="AL76" s="469"/>
      <c r="AM76" s="469"/>
      <c r="AN76" s="469"/>
      <c r="AO76" s="469"/>
      <c r="AP76" s="469"/>
      <c r="AQ76" s="469"/>
      <c r="AR76" s="469"/>
      <c r="AS76" s="469"/>
      <c r="AT76" s="469"/>
      <c r="AU76" s="469"/>
      <c r="AW76" s="470"/>
      <c r="AY76" s="471"/>
      <c r="BB76" s="470"/>
      <c r="BC76" s="470"/>
      <c r="BD76" s="470"/>
      <c r="BE76" s="470"/>
      <c r="BF76" s="470"/>
      <c r="BG76" s="470"/>
      <c r="BN76" s="470"/>
      <c r="BO76" s="470"/>
      <c r="BP76" s="470"/>
    </row>
    <row r="77" spans="1:68" ht="13.8" thickBot="1" x14ac:dyDescent="0.3"/>
    <row r="78" spans="1:68" ht="15.75" customHeight="1" thickBot="1" x14ac:dyDescent="0.3">
      <c r="A78" s="643" t="str">
        <f>CONCATENATE("Table 4: Total REF2 ",C1," by Economic Development Status ",D1)</f>
        <v>Table 4: Total REF2 Passenger Travel Demand by Economic Development Status (Passenger km)</v>
      </c>
      <c r="B78" s="644"/>
      <c r="C78" s="644"/>
      <c r="D78" s="644"/>
      <c r="E78" s="644"/>
      <c r="F78" s="645"/>
      <c r="H78" s="650" t="str">
        <f>CONCATENATE("Table 5: Total REF1 ",C1," by Economic Development Status ",D1)</f>
        <v>Table 5: Total REF1 Passenger Travel Demand by Economic Development Status (Passenger km)</v>
      </c>
      <c r="I78" s="651"/>
      <c r="J78" s="651"/>
      <c r="K78" s="651"/>
      <c r="L78" s="651"/>
      <c r="M78" s="651"/>
      <c r="N78" s="651"/>
      <c r="O78" s="651"/>
      <c r="P78" s="651"/>
      <c r="Q78" s="651"/>
      <c r="R78" s="651"/>
      <c r="S78" s="651"/>
      <c r="T78" s="652"/>
      <c r="W78" s="653" t="str">
        <f>CONCATENATE("Table 6: Change in ",C1," by MDC vs. LLDC Regions, REF1-REF2 ",D1)</f>
        <v>Table 6: Change in Passenger Travel Demand by MDC vs. LLDC Regions, REF1-REF2 (Passenger km)</v>
      </c>
      <c r="X78" s="654"/>
      <c r="Y78" s="654"/>
      <c r="Z78" s="654"/>
      <c r="AA78" s="654"/>
      <c r="AB78" s="654"/>
      <c r="AC78" s="654"/>
      <c r="AD78" s="655"/>
    </row>
    <row r="79" spans="1:68" ht="105" customHeight="1" x14ac:dyDescent="0.25">
      <c r="A79" s="213"/>
      <c r="B79" s="529" t="s">
        <v>368</v>
      </c>
      <c r="C79" s="463" t="s">
        <v>10</v>
      </c>
      <c r="D79" s="463" t="s">
        <v>514</v>
      </c>
      <c r="E79" s="463" t="str">
        <f>Q79</f>
        <v>Total Passenger Travel Demand in Countries with Higher Educational Attainment (TWh)</v>
      </c>
      <c r="F79" s="463" t="str">
        <f>R79</f>
        <v xml:space="preserve"> --&gt; % LLDC</v>
      </c>
      <c r="H79" s="472"/>
      <c r="I79" s="473" t="s">
        <v>488</v>
      </c>
      <c r="J79" s="473" t="s">
        <v>490</v>
      </c>
      <c r="K79" s="473" t="s">
        <v>10</v>
      </c>
      <c r="L79" s="473" t="s">
        <v>489</v>
      </c>
      <c r="M79" s="473" t="s">
        <v>475</v>
      </c>
      <c r="O79" s="473" t="s">
        <v>630</v>
      </c>
      <c r="P79" s="473" t="s">
        <v>502</v>
      </c>
      <c r="Q79" s="473" t="s">
        <v>629</v>
      </c>
      <c r="R79" s="473" t="s">
        <v>502</v>
      </c>
      <c r="S79" s="473" t="s">
        <v>628</v>
      </c>
      <c r="T79" s="473" t="s">
        <v>502</v>
      </c>
      <c r="W79" s="477" t="s">
        <v>368</v>
      </c>
      <c r="X79" s="477" t="s">
        <v>10</v>
      </c>
      <c r="Y79" s="477" t="s">
        <v>503</v>
      </c>
      <c r="Z79" s="477" t="s">
        <v>461</v>
      </c>
      <c r="AA79" s="477" t="s">
        <v>484</v>
      </c>
      <c r="AB79" s="477" t="s">
        <v>485</v>
      </c>
      <c r="AC79" s="477" t="s">
        <v>516</v>
      </c>
      <c r="AD79" s="477" t="s">
        <v>517</v>
      </c>
      <c r="AF79" s="413" t="s">
        <v>486</v>
      </c>
      <c r="AG79" s="413" t="s">
        <v>487</v>
      </c>
    </row>
    <row r="80" spans="1:68" x14ac:dyDescent="0.25">
      <c r="A80" s="194">
        <v>2014</v>
      </c>
      <c r="B80" s="195">
        <f>SUMIF($C$27:$G$27,"Y",C29:G29)-H29</f>
        <v>14469406876708.885</v>
      </c>
      <c r="C80" s="195">
        <f t="shared" ref="C80:C126" si="14">H29</f>
        <v>0</v>
      </c>
      <c r="D80" s="195">
        <f t="shared" ref="D80:D126" si="15">SUMIF($AA$27:$AE$27,"N",C29:G29)-(IF($AC$27="N",H29))</f>
        <v>36312278724903.234</v>
      </c>
      <c r="E80" s="195">
        <f t="shared" ref="E80:E126" si="16">B80+D80+C80</f>
        <v>50781685601612.117</v>
      </c>
      <c r="F80" s="196">
        <f t="shared" ref="F80:F126" si="17">B80/E80</f>
        <v>0.28493356818091792</v>
      </c>
      <c r="H80" s="194">
        <v>2014</v>
      </c>
      <c r="I80" s="195">
        <f t="shared" ref="I80:I126" si="18">SUMIF($O$27:$S$27,"Y",O29:S29)-T29</f>
        <v>7346269393596.9023</v>
      </c>
      <c r="J80" s="195">
        <f t="shared" ref="J80:J126" si="19">SUMIF($O$27:$S$27,"N",O29:S29)-(IF($Q$27="N",T29))</f>
        <v>0</v>
      </c>
      <c r="K80" s="195">
        <f t="shared" ref="K80:K126" si="20">AF29</f>
        <v>0</v>
      </c>
      <c r="L80" s="195">
        <f t="shared" ref="L80:L126" si="21">SUMIF($AA$27:$AE$27,"Y",AA29:AE29)-AF29</f>
        <v>7123092363319.4648</v>
      </c>
      <c r="M80" s="195">
        <f t="shared" ref="M80:M126" si="22">SUMIF($AA$27:$AE$27,"N",AA29:AE29)-(IF($AC$27="N",AF29))</f>
        <v>36312278724903.234</v>
      </c>
      <c r="O80" s="195">
        <f t="shared" ref="O80:O126" si="23">I80+J80</f>
        <v>7346269393596.9023</v>
      </c>
      <c r="P80" s="196">
        <f t="shared" ref="P80:P126" si="24">I80/O80</f>
        <v>1</v>
      </c>
      <c r="Q80" s="195">
        <f t="shared" ref="Q80:Q126" si="25">L80+M80+K80</f>
        <v>43435371088222.703</v>
      </c>
      <c r="R80" s="196">
        <f t="shared" ref="R80:R126" si="26">L80/Q80</f>
        <v>0.16399289760530808</v>
      </c>
      <c r="S80" s="464">
        <f t="shared" ref="S80:S126" si="27">Q80+O80</f>
        <v>50781640481819.609</v>
      </c>
      <c r="T80" s="196">
        <f>O80/S80</f>
        <v>0.14466388489806564</v>
      </c>
      <c r="W80" s="197">
        <v>0</v>
      </c>
      <c r="X80" s="195">
        <f t="shared" ref="X80:X126" si="28">K80-C80</f>
        <v>0</v>
      </c>
      <c r="Y80" s="197">
        <v>0</v>
      </c>
      <c r="Z80" s="195">
        <f>(Q80+O80)-E80</f>
        <v>-45119792.5078125</v>
      </c>
      <c r="AA80" s="196">
        <v>0</v>
      </c>
      <c r="AB80" s="196">
        <f t="shared" ref="AB80:AB126" si="29">(W80/Z80)*(I80/(L80+I80))</f>
        <v>0</v>
      </c>
      <c r="AC80" s="196">
        <f>W80/Z80</f>
        <v>0</v>
      </c>
      <c r="AD80" s="247">
        <f>(X80+Y80)/Z80</f>
        <v>0</v>
      </c>
      <c r="AF80" s="251">
        <f t="shared" ref="AF80:AF126" si="30">I80/(I80+L80)</f>
        <v>0.50771205510052153</v>
      </c>
      <c r="AG80" s="251">
        <f t="shared" ref="AG80:AG126" si="31">L80/(L80+I80)</f>
        <v>0.49228794489947841</v>
      </c>
    </row>
    <row r="81" spans="1:33" x14ac:dyDescent="0.25">
      <c r="A81" s="194">
        <v>2015</v>
      </c>
      <c r="B81" s="195">
        <f t="shared" ref="B81:B126" si="32">SUMIF($AA$27:$AE$27,"Y",C30:G30)-H30</f>
        <v>15048168457035.797</v>
      </c>
      <c r="C81" s="195">
        <f t="shared" si="14"/>
        <v>0</v>
      </c>
      <c r="D81" s="195">
        <f t="shared" si="15"/>
        <v>37004254994362.219</v>
      </c>
      <c r="E81" s="195">
        <f t="shared" si="16"/>
        <v>52052423451398.016</v>
      </c>
      <c r="F81" s="196">
        <f t="shared" si="17"/>
        <v>0.28909640434102851</v>
      </c>
      <c r="H81" s="194">
        <v>2015</v>
      </c>
      <c r="I81" s="195">
        <f t="shared" si="18"/>
        <v>7662273806848.4463</v>
      </c>
      <c r="J81" s="195">
        <f t="shared" si="19"/>
        <v>0</v>
      </c>
      <c r="K81" s="195">
        <f t="shared" si="20"/>
        <v>0</v>
      </c>
      <c r="L81" s="195">
        <f t="shared" si="21"/>
        <v>7385848464948.8311</v>
      </c>
      <c r="M81" s="195">
        <f t="shared" si="22"/>
        <v>37004254994362.219</v>
      </c>
      <c r="O81" s="195">
        <f t="shared" si="23"/>
        <v>7662273806848.4463</v>
      </c>
      <c r="P81" s="196">
        <f t="shared" si="24"/>
        <v>1</v>
      </c>
      <c r="Q81" s="195">
        <f t="shared" si="25"/>
        <v>44390103459311.047</v>
      </c>
      <c r="R81" s="196">
        <f t="shared" si="26"/>
        <v>0.16638502479992784</v>
      </c>
      <c r="S81" s="464">
        <f t="shared" si="27"/>
        <v>52052377266159.492</v>
      </c>
      <c r="T81" s="196">
        <f t="shared" ref="T81:T126" si="33">O81/S81</f>
        <v>0.14720314823795522</v>
      </c>
      <c r="W81" s="197">
        <v>0</v>
      </c>
      <c r="X81" s="195">
        <f t="shared" si="28"/>
        <v>0</v>
      </c>
      <c r="Y81" s="197">
        <v>0</v>
      </c>
      <c r="Z81" s="195">
        <f>W81+X81+Y81</f>
        <v>0</v>
      </c>
      <c r="AA81" s="196">
        <v>0</v>
      </c>
      <c r="AB81" s="196" t="e">
        <f t="shared" si="29"/>
        <v>#DIV/0!</v>
      </c>
      <c r="AC81" s="196" t="e">
        <f>W81/Z81</f>
        <v>#DIV/0!</v>
      </c>
      <c r="AD81" s="247" t="e">
        <f t="shared" ref="AD81:AD126" si="34">(X81+Y81)/Z81</f>
        <v>#DIV/0!</v>
      </c>
      <c r="AF81" s="251">
        <f t="shared" si="30"/>
        <v>0.50918471211579941</v>
      </c>
      <c r="AG81" s="251">
        <f t="shared" si="31"/>
        <v>0.49081528788420059</v>
      </c>
    </row>
    <row r="82" spans="1:33" x14ac:dyDescent="0.25">
      <c r="A82" s="194">
        <v>2016</v>
      </c>
      <c r="B82" s="195">
        <f t="shared" si="32"/>
        <v>15591454641211.641</v>
      </c>
      <c r="C82" s="195">
        <f t="shared" si="14"/>
        <v>0</v>
      </c>
      <c r="D82" s="195">
        <f t="shared" si="15"/>
        <v>37782024128945.984</v>
      </c>
      <c r="E82" s="195">
        <f t="shared" si="16"/>
        <v>53373478770157.625</v>
      </c>
      <c r="F82" s="196">
        <f t="shared" si="17"/>
        <v>0.29211988801316791</v>
      </c>
      <c r="H82" s="194">
        <v>2016</v>
      </c>
      <c r="I82" s="195">
        <f t="shared" si="18"/>
        <v>7961173068223.9678</v>
      </c>
      <c r="J82" s="195">
        <f t="shared" si="19"/>
        <v>0</v>
      </c>
      <c r="K82" s="195">
        <f t="shared" si="20"/>
        <v>0</v>
      </c>
      <c r="L82" s="195">
        <f t="shared" si="21"/>
        <v>7630234806209.7119</v>
      </c>
      <c r="M82" s="195">
        <f t="shared" si="22"/>
        <v>37782024128945.984</v>
      </c>
      <c r="O82" s="195">
        <f t="shared" si="23"/>
        <v>7961173068223.9678</v>
      </c>
      <c r="P82" s="196">
        <f t="shared" si="24"/>
        <v>1</v>
      </c>
      <c r="Q82" s="195">
        <f t="shared" si="25"/>
        <v>45412258935155.695</v>
      </c>
      <c r="R82" s="196">
        <f t="shared" si="26"/>
        <v>0.16802147669211848</v>
      </c>
      <c r="S82" s="464">
        <f t="shared" si="27"/>
        <v>53373432003379.664</v>
      </c>
      <c r="T82" s="196">
        <f t="shared" si="33"/>
        <v>0.14915984918713598</v>
      </c>
      <c r="W82" s="195">
        <f t="shared" ref="W82:W126" si="35">(L82+I82)-B82</f>
        <v>-46766777.9609375</v>
      </c>
      <c r="X82" s="195">
        <f t="shared" si="28"/>
        <v>0</v>
      </c>
      <c r="Y82" s="195">
        <f t="shared" ref="Y82:Y126" si="36">(M82+J82)-D82</f>
        <v>0</v>
      </c>
      <c r="Z82" s="195">
        <f>W82+X82+Y82</f>
        <v>-46766777.9609375</v>
      </c>
      <c r="AA82" s="196">
        <f>(W82/Z82)*(L82/(L82+I82))</f>
        <v>0.48938715911098324</v>
      </c>
      <c r="AB82" s="196">
        <f t="shared" si="29"/>
        <v>0.51061284088901682</v>
      </c>
      <c r="AC82" s="196">
        <f t="shared" ref="AC82:AC126" si="37">W82/Z82</f>
        <v>1</v>
      </c>
      <c r="AD82" s="247">
        <f t="shared" si="34"/>
        <v>0</v>
      </c>
      <c r="AF82" s="251">
        <f t="shared" si="30"/>
        <v>0.51061284088901682</v>
      </c>
      <c r="AG82" s="251">
        <f t="shared" si="31"/>
        <v>0.48938715911098324</v>
      </c>
    </row>
    <row r="83" spans="1:33" x14ac:dyDescent="0.25">
      <c r="A83" s="194">
        <v>2017</v>
      </c>
      <c r="B83" s="195">
        <f t="shared" si="32"/>
        <v>16105692283440.336</v>
      </c>
      <c r="C83" s="195">
        <f t="shared" si="14"/>
        <v>0</v>
      </c>
      <c r="D83" s="195">
        <f t="shared" si="15"/>
        <v>38610178340364.578</v>
      </c>
      <c r="E83" s="195">
        <f t="shared" si="16"/>
        <v>54715870623804.914</v>
      </c>
      <c r="F83" s="196">
        <f t="shared" si="17"/>
        <v>0.29435138470470262</v>
      </c>
      <c r="H83" s="194">
        <v>2017</v>
      </c>
      <c r="I83" s="195">
        <f t="shared" si="18"/>
        <v>8246184306044.9961</v>
      </c>
      <c r="J83" s="195">
        <f t="shared" si="19"/>
        <v>0</v>
      </c>
      <c r="K83" s="195">
        <f t="shared" si="20"/>
        <v>0</v>
      </c>
      <c r="L83" s="195">
        <f t="shared" si="21"/>
        <v>7859460920909.7344</v>
      </c>
      <c r="M83" s="195">
        <f t="shared" si="22"/>
        <v>38610178340364.578</v>
      </c>
      <c r="O83" s="195">
        <f t="shared" si="23"/>
        <v>8246184306044.9961</v>
      </c>
      <c r="P83" s="196">
        <f t="shared" si="24"/>
        <v>1</v>
      </c>
      <c r="Q83" s="195">
        <f t="shared" si="25"/>
        <v>46469639261274.313</v>
      </c>
      <c r="R83" s="196">
        <f t="shared" si="26"/>
        <v>0.16913109388949898</v>
      </c>
      <c r="S83" s="464">
        <f t="shared" si="27"/>
        <v>54715823567319.313</v>
      </c>
      <c r="T83" s="196">
        <f t="shared" si="33"/>
        <v>0.1507093153025349</v>
      </c>
      <c r="W83" s="195">
        <f t="shared" si="35"/>
        <v>-47056485.60546875</v>
      </c>
      <c r="X83" s="195">
        <f t="shared" si="28"/>
        <v>0</v>
      </c>
      <c r="Y83" s="195">
        <f t="shared" si="36"/>
        <v>0</v>
      </c>
      <c r="Z83" s="195">
        <f t="shared" ref="Z83:Z126" si="38">W83+X83+Y83</f>
        <v>-47056485.60546875</v>
      </c>
      <c r="AA83" s="196">
        <f t="shared" ref="AA83:AA126" si="39">(W83*(L83/(L83+I83)))/Z83</f>
        <v>0.48799416665132939</v>
      </c>
      <c r="AB83" s="196">
        <f t="shared" si="29"/>
        <v>0.51200583334867067</v>
      </c>
      <c r="AC83" s="196">
        <f t="shared" si="37"/>
        <v>1</v>
      </c>
      <c r="AD83" s="247">
        <f>(X83+Y83)/Z83</f>
        <v>0</v>
      </c>
      <c r="AF83" s="251">
        <f t="shared" si="30"/>
        <v>0.51200583334867067</v>
      </c>
      <c r="AG83" s="251">
        <f t="shared" si="31"/>
        <v>0.48799416665132939</v>
      </c>
    </row>
    <row r="84" spans="1:33" x14ac:dyDescent="0.25">
      <c r="A84" s="194">
        <v>2018</v>
      </c>
      <c r="B84" s="195">
        <f t="shared" si="32"/>
        <v>16591686738231.93</v>
      </c>
      <c r="C84" s="195">
        <f t="shared" si="14"/>
        <v>0</v>
      </c>
      <c r="D84" s="195">
        <f t="shared" si="15"/>
        <v>39486290070074.813</v>
      </c>
      <c r="E84" s="195">
        <f t="shared" si="16"/>
        <v>56077976808306.742</v>
      </c>
      <c r="F84" s="196">
        <f t="shared" si="17"/>
        <v>0.29586814080236629</v>
      </c>
      <c r="H84" s="194">
        <v>2018</v>
      </c>
      <c r="I84" s="195">
        <f t="shared" si="18"/>
        <v>8518024213238.9072</v>
      </c>
      <c r="J84" s="195">
        <f t="shared" si="19"/>
        <v>0</v>
      </c>
      <c r="K84" s="195">
        <f t="shared" si="20"/>
        <v>0</v>
      </c>
      <c r="L84" s="195">
        <f t="shared" si="21"/>
        <v>8073615456738.5713</v>
      </c>
      <c r="M84" s="195">
        <f t="shared" si="22"/>
        <v>39486290070074.813</v>
      </c>
      <c r="O84" s="195">
        <f t="shared" si="23"/>
        <v>8518024213238.9072</v>
      </c>
      <c r="P84" s="196">
        <f t="shared" si="24"/>
        <v>1</v>
      </c>
      <c r="Q84" s="195">
        <f t="shared" si="25"/>
        <v>47559905526813.383</v>
      </c>
      <c r="R84" s="196">
        <f t="shared" si="26"/>
        <v>0.16975675976031573</v>
      </c>
      <c r="S84" s="464">
        <f t="shared" si="27"/>
        <v>56077929740052.289</v>
      </c>
      <c r="T84" s="196">
        <f t="shared" si="33"/>
        <v>0.15189619611002003</v>
      </c>
      <c r="W84" s="195">
        <f t="shared" si="35"/>
        <v>-47068254.451171875</v>
      </c>
      <c r="X84" s="195">
        <f t="shared" si="28"/>
        <v>0</v>
      </c>
      <c r="Y84" s="195">
        <f t="shared" si="36"/>
        <v>0</v>
      </c>
      <c r="Z84" s="195">
        <f t="shared" si="38"/>
        <v>-47068254.451171875</v>
      </c>
      <c r="AA84" s="196">
        <f t="shared" si="39"/>
        <v>0.48660744913281567</v>
      </c>
      <c r="AB84" s="196">
        <f t="shared" si="29"/>
        <v>0.51339255086718438</v>
      </c>
      <c r="AC84" s="196">
        <f>W84/Z84</f>
        <v>1</v>
      </c>
      <c r="AD84" s="247">
        <f t="shared" si="34"/>
        <v>0</v>
      </c>
      <c r="AF84" s="251">
        <f t="shared" si="30"/>
        <v>0.51339255086718438</v>
      </c>
      <c r="AG84" s="251">
        <f t="shared" si="31"/>
        <v>0.48660744913281562</v>
      </c>
    </row>
    <row r="85" spans="1:33" ht="13.8" thickBot="1" x14ac:dyDescent="0.3">
      <c r="A85" s="198">
        <v>2019</v>
      </c>
      <c r="B85" s="195">
        <f t="shared" si="32"/>
        <v>17050243360096.473</v>
      </c>
      <c r="C85" s="195">
        <f t="shared" si="14"/>
        <v>0</v>
      </c>
      <c r="D85" s="195">
        <f t="shared" si="15"/>
        <v>40407931759533.453</v>
      </c>
      <c r="E85" s="195">
        <f t="shared" si="16"/>
        <v>57458175119629.922</v>
      </c>
      <c r="F85" s="199">
        <f t="shared" si="17"/>
        <v>0.29674181828081508</v>
      </c>
      <c r="H85" s="198">
        <v>2019</v>
      </c>
      <c r="I85" s="195">
        <f t="shared" si="18"/>
        <v>8777585102699.2559</v>
      </c>
      <c r="J85" s="195">
        <f t="shared" si="19"/>
        <v>0</v>
      </c>
      <c r="K85" s="195">
        <f t="shared" si="20"/>
        <v>0</v>
      </c>
      <c r="L85" s="195">
        <f t="shared" si="21"/>
        <v>8272611200255.5957</v>
      </c>
      <c r="M85" s="195">
        <f t="shared" si="22"/>
        <v>40407931759533.453</v>
      </c>
      <c r="O85" s="195">
        <f t="shared" si="23"/>
        <v>8777585102699.2559</v>
      </c>
      <c r="P85" s="199">
        <f t="shared" si="24"/>
        <v>1</v>
      </c>
      <c r="Q85" s="195">
        <f t="shared" si="25"/>
        <v>48680542959789.047</v>
      </c>
      <c r="R85" s="199">
        <f t="shared" si="26"/>
        <v>0.16993670771274907</v>
      </c>
      <c r="S85" s="464">
        <f t="shared" si="27"/>
        <v>57458128062488.305</v>
      </c>
      <c r="T85" s="196">
        <f t="shared" si="33"/>
        <v>0.15276489852146308</v>
      </c>
      <c r="W85" s="195">
        <f t="shared" si="35"/>
        <v>-47057141.62109375</v>
      </c>
      <c r="X85" s="195">
        <f t="shared" si="28"/>
        <v>0</v>
      </c>
      <c r="Y85" s="195">
        <f t="shared" si="36"/>
        <v>0</v>
      </c>
      <c r="Z85" s="195">
        <f t="shared" si="38"/>
        <v>-47057141.62109375</v>
      </c>
      <c r="AA85" s="196">
        <f t="shared" si="39"/>
        <v>0.48519155165515171</v>
      </c>
      <c r="AB85" s="196">
        <f t="shared" si="29"/>
        <v>0.51480844834484829</v>
      </c>
      <c r="AC85" s="196">
        <f t="shared" si="37"/>
        <v>1</v>
      </c>
      <c r="AD85" s="247">
        <f t="shared" si="34"/>
        <v>0</v>
      </c>
      <c r="AF85" s="251">
        <f t="shared" si="30"/>
        <v>0.51480844834484829</v>
      </c>
      <c r="AG85" s="251">
        <f t="shared" si="31"/>
        <v>0.48519155165515171</v>
      </c>
    </row>
    <row r="86" spans="1:33" x14ac:dyDescent="0.25">
      <c r="A86" s="201">
        <v>2020</v>
      </c>
      <c r="B86" s="195">
        <f t="shared" si="32"/>
        <v>17482167503544.01</v>
      </c>
      <c r="C86" s="195">
        <f t="shared" si="14"/>
        <v>0</v>
      </c>
      <c r="D86" s="195">
        <f t="shared" si="15"/>
        <v>41372675850197.32</v>
      </c>
      <c r="E86" s="195">
        <f t="shared" si="16"/>
        <v>58854843353741.328</v>
      </c>
      <c r="F86" s="220">
        <f t="shared" si="17"/>
        <v>0.29703872285359995</v>
      </c>
      <c r="H86" s="201">
        <v>2020</v>
      </c>
      <c r="I86" s="195">
        <f t="shared" si="18"/>
        <v>9025637458606.4395</v>
      </c>
      <c r="J86" s="195">
        <f t="shared" si="19"/>
        <v>0</v>
      </c>
      <c r="K86" s="195">
        <f t="shared" si="20"/>
        <v>0</v>
      </c>
      <c r="L86" s="195">
        <f t="shared" si="21"/>
        <v>8456482992434.1406</v>
      </c>
      <c r="M86" s="195">
        <f t="shared" si="22"/>
        <v>41372675850197.32</v>
      </c>
      <c r="O86" s="195">
        <f t="shared" si="23"/>
        <v>9025637458606.4395</v>
      </c>
      <c r="P86" s="203">
        <f t="shared" si="24"/>
        <v>1</v>
      </c>
      <c r="Q86" s="195">
        <f t="shared" si="25"/>
        <v>49829158842631.461</v>
      </c>
      <c r="R86" s="203">
        <f t="shared" si="26"/>
        <v>0.16970952728985614</v>
      </c>
      <c r="S86" s="464">
        <f t="shared" si="27"/>
        <v>58854796301237.898</v>
      </c>
      <c r="T86" s="196">
        <f t="shared" si="33"/>
        <v>0.15335432328081308</v>
      </c>
      <c r="W86" s="195">
        <f t="shared" si="35"/>
        <v>-47052503.4296875</v>
      </c>
      <c r="X86" s="195">
        <f t="shared" si="28"/>
        <v>0</v>
      </c>
      <c r="Y86" s="195">
        <f t="shared" si="36"/>
        <v>0</v>
      </c>
      <c r="Z86" s="195">
        <f t="shared" si="38"/>
        <v>-47052503.4296875</v>
      </c>
      <c r="AA86" s="196">
        <f t="shared" si="39"/>
        <v>0.4837218125865726</v>
      </c>
      <c r="AB86" s="196">
        <f t="shared" si="29"/>
        <v>0.51627818741342735</v>
      </c>
      <c r="AC86" s="196">
        <f t="shared" si="37"/>
        <v>1</v>
      </c>
      <c r="AD86" s="247">
        <f t="shared" si="34"/>
        <v>0</v>
      </c>
      <c r="AF86" s="251">
        <f t="shared" si="30"/>
        <v>0.51627818741342735</v>
      </c>
      <c r="AG86" s="251">
        <f t="shared" si="31"/>
        <v>0.48372181258657265</v>
      </c>
    </row>
    <row r="87" spans="1:33" x14ac:dyDescent="0.25">
      <c r="A87" s="206">
        <v>2021</v>
      </c>
      <c r="B87" s="195">
        <f t="shared" si="32"/>
        <v>17888264523084.59</v>
      </c>
      <c r="C87" s="195">
        <f t="shared" si="14"/>
        <v>0</v>
      </c>
      <c r="D87" s="195">
        <f t="shared" si="15"/>
        <v>42378094783523.227</v>
      </c>
      <c r="E87" s="195">
        <f t="shared" si="16"/>
        <v>60266359306607.813</v>
      </c>
      <c r="F87" s="221">
        <f t="shared" si="17"/>
        <v>0.29682006228511731</v>
      </c>
      <c r="H87" s="206">
        <v>2021</v>
      </c>
      <c r="I87" s="195">
        <f t="shared" si="18"/>
        <v>9279019326902.1133</v>
      </c>
      <c r="J87" s="195">
        <f t="shared" si="19"/>
        <v>0</v>
      </c>
      <c r="K87" s="195">
        <f t="shared" si="20"/>
        <v>0</v>
      </c>
      <c r="L87" s="195">
        <f t="shared" si="21"/>
        <v>8630603061372.1133</v>
      </c>
      <c r="M87" s="195">
        <f t="shared" si="22"/>
        <v>42425558305292.031</v>
      </c>
      <c r="O87" s="195">
        <f t="shared" si="23"/>
        <v>9279019326902.1133</v>
      </c>
      <c r="P87" s="196">
        <f t="shared" si="24"/>
        <v>1</v>
      </c>
      <c r="Q87" s="195">
        <f t="shared" si="25"/>
        <v>51056161366664.141</v>
      </c>
      <c r="R87" s="196">
        <f t="shared" si="26"/>
        <v>0.1690413621069298</v>
      </c>
      <c r="S87" s="464">
        <f t="shared" si="27"/>
        <v>60335180693566.25</v>
      </c>
      <c r="T87" s="196">
        <f t="shared" si="33"/>
        <v>0.15379119147796913</v>
      </c>
      <c r="W87" s="195">
        <f t="shared" si="35"/>
        <v>21357865189.636719</v>
      </c>
      <c r="X87" s="195">
        <f t="shared" si="28"/>
        <v>0</v>
      </c>
      <c r="Y87" s="195">
        <f t="shared" si="36"/>
        <v>47463521768.804688</v>
      </c>
      <c r="Z87" s="195">
        <f t="shared" si="38"/>
        <v>68821386958.441406</v>
      </c>
      <c r="AA87" s="196">
        <f t="shared" si="39"/>
        <v>0.14955093549975274</v>
      </c>
      <c r="AB87" s="196">
        <f t="shared" si="29"/>
        <v>0.16078668095273049</v>
      </c>
      <c r="AC87" s="196">
        <f t="shared" si="37"/>
        <v>0.3103376164524832</v>
      </c>
      <c r="AD87" s="247">
        <f t="shared" si="34"/>
        <v>0.68966238354751674</v>
      </c>
      <c r="AF87" s="251">
        <f t="shared" si="30"/>
        <v>0.51810245496729546</v>
      </c>
      <c r="AG87" s="251">
        <f t="shared" si="31"/>
        <v>0.4818975450327046</v>
      </c>
    </row>
    <row r="88" spans="1:33" x14ac:dyDescent="0.25">
      <c r="A88" s="206">
        <v>2022</v>
      </c>
      <c r="B88" s="195">
        <f t="shared" si="32"/>
        <v>18269339773228.262</v>
      </c>
      <c r="C88" s="195">
        <f t="shared" si="14"/>
        <v>0</v>
      </c>
      <c r="D88" s="195">
        <f t="shared" si="15"/>
        <v>43421761000967.938</v>
      </c>
      <c r="E88" s="195">
        <f t="shared" si="16"/>
        <v>61691100774196.203</v>
      </c>
      <c r="F88" s="221">
        <f t="shared" si="17"/>
        <v>0.29614222382087652</v>
      </c>
      <c r="H88" s="206">
        <v>2022</v>
      </c>
      <c r="I88" s="195">
        <f t="shared" si="18"/>
        <v>9527217553701.916</v>
      </c>
      <c r="J88" s="195">
        <f t="shared" si="19"/>
        <v>0</v>
      </c>
      <c r="K88" s="195">
        <f t="shared" si="20"/>
        <v>0</v>
      </c>
      <c r="L88" s="195">
        <f t="shared" si="21"/>
        <v>8792781340670.7715</v>
      </c>
      <c r="M88" s="195">
        <f t="shared" si="22"/>
        <v>43529501597000.891</v>
      </c>
      <c r="O88" s="195">
        <f t="shared" si="23"/>
        <v>9527217553701.916</v>
      </c>
      <c r="P88" s="196">
        <f t="shared" si="24"/>
        <v>1</v>
      </c>
      <c r="Q88" s="195">
        <f t="shared" si="25"/>
        <v>52322282937671.664</v>
      </c>
      <c r="R88" s="196">
        <f t="shared" si="26"/>
        <v>0.16805041460337414</v>
      </c>
      <c r="S88" s="464">
        <f t="shared" si="27"/>
        <v>61849500491373.578</v>
      </c>
      <c r="T88" s="196">
        <f t="shared" si="33"/>
        <v>0.15403871458963067</v>
      </c>
      <c r="W88" s="195">
        <f t="shared" si="35"/>
        <v>50659121144.425781</v>
      </c>
      <c r="X88" s="195">
        <f t="shared" si="28"/>
        <v>0</v>
      </c>
      <c r="Y88" s="195">
        <f t="shared" si="36"/>
        <v>107740596032.95313</v>
      </c>
      <c r="Z88" s="195">
        <f t="shared" si="38"/>
        <v>158399717177.37891</v>
      </c>
      <c r="AA88" s="196">
        <f t="shared" si="39"/>
        <v>0.15349848007197786</v>
      </c>
      <c r="AB88" s="196">
        <f t="shared" si="29"/>
        <v>0.16631977495493466</v>
      </c>
      <c r="AC88" s="196">
        <f t="shared" si="37"/>
        <v>0.31981825502691252</v>
      </c>
      <c r="AD88" s="247">
        <f t="shared" si="34"/>
        <v>0.68018174497308748</v>
      </c>
      <c r="AF88" s="251">
        <f t="shared" si="30"/>
        <v>0.52004465767890251</v>
      </c>
      <c r="AG88" s="251">
        <f t="shared" si="31"/>
        <v>0.47995534232109754</v>
      </c>
    </row>
    <row r="89" spans="1:33" x14ac:dyDescent="0.25">
      <c r="A89" s="206">
        <v>2023</v>
      </c>
      <c r="B89" s="195">
        <f t="shared" si="32"/>
        <v>18626198608485.074</v>
      </c>
      <c r="C89" s="195">
        <f t="shared" si="14"/>
        <v>0</v>
      </c>
      <c r="D89" s="195">
        <f t="shared" si="15"/>
        <v>44501246943988.273</v>
      </c>
      <c r="E89" s="195">
        <f t="shared" si="16"/>
        <v>63127445552473.344</v>
      </c>
      <c r="F89" s="221">
        <f t="shared" si="17"/>
        <v>0.29505706187655645</v>
      </c>
      <c r="H89" s="206">
        <v>2023</v>
      </c>
      <c r="I89" s="195">
        <f t="shared" si="18"/>
        <v>9769626332513.7363</v>
      </c>
      <c r="J89" s="195">
        <f t="shared" si="19"/>
        <v>0</v>
      </c>
      <c r="K89" s="195">
        <f t="shared" si="20"/>
        <v>0</v>
      </c>
      <c r="L89" s="195">
        <f t="shared" si="21"/>
        <v>8943295734734.4277</v>
      </c>
      <c r="M89" s="195">
        <f t="shared" si="22"/>
        <v>44681404207732.328</v>
      </c>
      <c r="O89" s="195">
        <f t="shared" si="23"/>
        <v>9769626332513.7363</v>
      </c>
      <c r="P89" s="196">
        <f t="shared" si="24"/>
        <v>1</v>
      </c>
      <c r="Q89" s="195">
        <f t="shared" si="25"/>
        <v>53624699942466.758</v>
      </c>
      <c r="R89" s="196">
        <f t="shared" si="26"/>
        <v>0.16677567882579433</v>
      </c>
      <c r="S89" s="464">
        <f t="shared" si="27"/>
        <v>63394326274980.492</v>
      </c>
      <c r="T89" s="196">
        <f t="shared" si="33"/>
        <v>0.15410884390721041</v>
      </c>
      <c r="W89" s="195">
        <f t="shared" si="35"/>
        <v>86723458763.089844</v>
      </c>
      <c r="X89" s="195">
        <f t="shared" si="28"/>
        <v>0</v>
      </c>
      <c r="Y89" s="195">
        <f t="shared" si="36"/>
        <v>180157263744.05469</v>
      </c>
      <c r="Z89" s="195">
        <f t="shared" si="38"/>
        <v>266880722507.14453</v>
      </c>
      <c r="AA89" s="196">
        <f t="shared" si="39"/>
        <v>0.15530139932055612</v>
      </c>
      <c r="AB89" s="196">
        <f t="shared" si="29"/>
        <v>0.16965072891256575</v>
      </c>
      <c r="AC89" s="196">
        <f t="shared" si="37"/>
        <v>0.32495212823312186</v>
      </c>
      <c r="AD89" s="247">
        <f t="shared" si="34"/>
        <v>0.67504787176687808</v>
      </c>
      <c r="AF89" s="251">
        <f t="shared" si="30"/>
        <v>0.52207914388810428</v>
      </c>
      <c r="AG89" s="251">
        <f t="shared" si="31"/>
        <v>0.47792085611189572</v>
      </c>
    </row>
    <row r="90" spans="1:33" x14ac:dyDescent="0.25">
      <c r="A90" s="206">
        <v>2024</v>
      </c>
      <c r="B90" s="195">
        <f t="shared" si="32"/>
        <v>18959646383365.07</v>
      </c>
      <c r="C90" s="195">
        <f t="shared" si="14"/>
        <v>0</v>
      </c>
      <c r="D90" s="195">
        <f t="shared" si="15"/>
        <v>45614125054041.023</v>
      </c>
      <c r="E90" s="195">
        <f t="shared" si="16"/>
        <v>64573771437406.094</v>
      </c>
      <c r="F90" s="221">
        <f t="shared" si="17"/>
        <v>0.29361218899446512</v>
      </c>
      <c r="H90" s="206">
        <v>2024</v>
      </c>
      <c r="I90" s="195">
        <f t="shared" si="18"/>
        <v>10005781292067.148</v>
      </c>
      <c r="J90" s="195">
        <f t="shared" si="19"/>
        <v>0</v>
      </c>
      <c r="K90" s="195">
        <f t="shared" si="20"/>
        <v>0</v>
      </c>
      <c r="L90" s="195">
        <f t="shared" si="21"/>
        <v>9082480063780.3438</v>
      </c>
      <c r="M90" s="195">
        <f t="shared" si="22"/>
        <v>45878225207421.797</v>
      </c>
      <c r="O90" s="195">
        <f t="shared" si="23"/>
        <v>10005781292067.148</v>
      </c>
      <c r="P90" s="196">
        <f t="shared" si="24"/>
        <v>1</v>
      </c>
      <c r="Q90" s="195">
        <f t="shared" si="25"/>
        <v>54960705271202.141</v>
      </c>
      <c r="R90" s="196">
        <f t="shared" si="26"/>
        <v>0.16525406686400923</v>
      </c>
      <c r="S90" s="464">
        <f t="shared" si="27"/>
        <v>64966486563269.289</v>
      </c>
      <c r="T90" s="196">
        <f t="shared" si="33"/>
        <v>0.1540145053453485</v>
      </c>
      <c r="W90" s="195">
        <f t="shared" si="35"/>
        <v>128614972482.42188</v>
      </c>
      <c r="X90" s="195">
        <f t="shared" si="28"/>
        <v>0</v>
      </c>
      <c r="Y90" s="195">
        <f t="shared" si="36"/>
        <v>264100153380.77344</v>
      </c>
      <c r="Z90" s="195">
        <f t="shared" si="38"/>
        <v>392715125863.19531</v>
      </c>
      <c r="AA90" s="196">
        <f t="shared" si="39"/>
        <v>0.15583032655034609</v>
      </c>
      <c r="AB90" s="196">
        <f t="shared" si="29"/>
        <v>0.17167163100660746</v>
      </c>
      <c r="AC90" s="196">
        <f t="shared" si="37"/>
        <v>0.3275019575569536</v>
      </c>
      <c r="AD90" s="247">
        <f t="shared" si="34"/>
        <v>0.67249804244304645</v>
      </c>
      <c r="AF90" s="251">
        <f t="shared" si="30"/>
        <v>0.52418505308247887</v>
      </c>
      <c r="AG90" s="251">
        <f t="shared" si="31"/>
        <v>0.47581494691752108</v>
      </c>
    </row>
    <row r="91" spans="1:33" x14ac:dyDescent="0.25">
      <c r="A91" s="206">
        <v>2025</v>
      </c>
      <c r="B91" s="195">
        <f t="shared" si="32"/>
        <v>19245593086862.871</v>
      </c>
      <c r="C91" s="195">
        <f t="shared" si="14"/>
        <v>0</v>
      </c>
      <c r="D91" s="195">
        <f t="shared" si="15"/>
        <v>46570008830445.625</v>
      </c>
      <c r="E91" s="195">
        <f t="shared" si="16"/>
        <v>65815601917308.5</v>
      </c>
      <c r="F91" s="221">
        <f t="shared" si="17"/>
        <v>0.29241688180628145</v>
      </c>
      <c r="H91" s="206">
        <v>2025</v>
      </c>
      <c r="I91" s="195">
        <f t="shared" si="18"/>
        <v>10222135439763.857</v>
      </c>
      <c r="J91" s="195">
        <f t="shared" si="19"/>
        <v>0</v>
      </c>
      <c r="K91" s="195">
        <f t="shared" si="20"/>
        <v>0</v>
      </c>
      <c r="L91" s="195">
        <f t="shared" si="21"/>
        <v>9198807010621.9473</v>
      </c>
      <c r="M91" s="195">
        <f t="shared" si="22"/>
        <v>46927804345646.32</v>
      </c>
      <c r="O91" s="195">
        <f t="shared" si="23"/>
        <v>10222135439763.857</v>
      </c>
      <c r="P91" s="196">
        <f t="shared" si="24"/>
        <v>1</v>
      </c>
      <c r="Q91" s="195">
        <f t="shared" si="25"/>
        <v>56126611356268.266</v>
      </c>
      <c r="R91" s="196">
        <f t="shared" si="26"/>
        <v>0.16389386047612542</v>
      </c>
      <c r="S91" s="464">
        <f t="shared" si="27"/>
        <v>66348746796032.125</v>
      </c>
      <c r="T91" s="196">
        <f t="shared" si="33"/>
        <v>0.15406674479004892</v>
      </c>
      <c r="W91" s="195">
        <f t="shared" si="35"/>
        <v>175349363522.93359</v>
      </c>
      <c r="X91" s="195">
        <f t="shared" si="28"/>
        <v>0</v>
      </c>
      <c r="Y91" s="195">
        <f t="shared" si="36"/>
        <v>357795515200.69531</v>
      </c>
      <c r="Z91" s="195">
        <f t="shared" si="38"/>
        <v>533144878723.62891</v>
      </c>
      <c r="AA91" s="196">
        <f t="shared" si="39"/>
        <v>0.15578303414280198</v>
      </c>
      <c r="AB91" s="196">
        <f t="shared" si="29"/>
        <v>0.17311323874783757</v>
      </c>
      <c r="AC91" s="196">
        <f t="shared" si="37"/>
        <v>0.32889627289063955</v>
      </c>
      <c r="AD91" s="247">
        <f t="shared" si="34"/>
        <v>0.67110372710936039</v>
      </c>
      <c r="AF91" s="251">
        <f t="shared" si="30"/>
        <v>0.52634600333521875</v>
      </c>
      <c r="AG91" s="251">
        <f t="shared" si="31"/>
        <v>0.47365399666478131</v>
      </c>
    </row>
    <row r="92" spans="1:33" x14ac:dyDescent="0.25">
      <c r="A92" s="206">
        <v>2026</v>
      </c>
      <c r="B92" s="195">
        <f t="shared" si="32"/>
        <v>19559530170034.813</v>
      </c>
      <c r="C92" s="195">
        <f t="shared" si="14"/>
        <v>0</v>
      </c>
      <c r="D92" s="195">
        <f t="shared" si="15"/>
        <v>47930347541070.969</v>
      </c>
      <c r="E92" s="195">
        <f t="shared" si="16"/>
        <v>67489877711105.781</v>
      </c>
      <c r="F92" s="221">
        <f t="shared" si="17"/>
        <v>0.28981427783527008</v>
      </c>
      <c r="H92" s="206">
        <v>2026</v>
      </c>
      <c r="I92" s="195">
        <f t="shared" si="18"/>
        <v>10458187970501.498</v>
      </c>
      <c r="J92" s="195">
        <f t="shared" si="19"/>
        <v>0</v>
      </c>
      <c r="K92" s="195">
        <f t="shared" si="20"/>
        <v>0</v>
      </c>
      <c r="L92" s="195">
        <f t="shared" si="21"/>
        <v>9328375672404.0371</v>
      </c>
      <c r="M92" s="195">
        <f t="shared" si="22"/>
        <v>48396172357686.648</v>
      </c>
      <c r="O92" s="195">
        <f t="shared" si="23"/>
        <v>10458187970501.498</v>
      </c>
      <c r="P92" s="196">
        <f t="shared" si="24"/>
        <v>1</v>
      </c>
      <c r="Q92" s="195">
        <f t="shared" si="25"/>
        <v>57724548030090.688</v>
      </c>
      <c r="R92" s="196">
        <f t="shared" si="26"/>
        <v>0.16160153679404013</v>
      </c>
      <c r="S92" s="464">
        <f t="shared" si="27"/>
        <v>68182736000592.188</v>
      </c>
      <c r="T92" s="196">
        <f t="shared" si="33"/>
        <v>0.15338469213688735</v>
      </c>
      <c r="W92" s="195">
        <f t="shared" si="35"/>
        <v>227033472870.72266</v>
      </c>
      <c r="X92" s="195">
        <f t="shared" si="28"/>
        <v>0</v>
      </c>
      <c r="Y92" s="195">
        <f t="shared" si="36"/>
        <v>465824816615.67969</v>
      </c>
      <c r="Z92" s="195">
        <f t="shared" si="38"/>
        <v>692858289486.40234</v>
      </c>
      <c r="AA92" s="196">
        <f t="shared" si="39"/>
        <v>0.154483153621434</v>
      </c>
      <c r="AB92" s="196">
        <f t="shared" si="29"/>
        <v>0.17319348143624369</v>
      </c>
      <c r="AC92" s="196">
        <f t="shared" si="37"/>
        <v>0.32767663505767769</v>
      </c>
      <c r="AD92" s="247">
        <f t="shared" si="34"/>
        <v>0.67232336494232237</v>
      </c>
      <c r="AF92" s="251">
        <f t="shared" si="30"/>
        <v>0.52854998772115125</v>
      </c>
      <c r="AG92" s="251">
        <f t="shared" si="31"/>
        <v>0.47145001227884875</v>
      </c>
    </row>
    <row r="93" spans="1:33" x14ac:dyDescent="0.25">
      <c r="A93" s="206">
        <v>2027</v>
      </c>
      <c r="B93" s="195">
        <f t="shared" si="32"/>
        <v>19827576890844.66</v>
      </c>
      <c r="C93" s="195">
        <f t="shared" si="14"/>
        <v>0</v>
      </c>
      <c r="D93" s="195">
        <f t="shared" si="15"/>
        <v>49128836800961.766</v>
      </c>
      <c r="E93" s="195">
        <f t="shared" si="16"/>
        <v>68956413691806.422</v>
      </c>
      <c r="F93" s="221">
        <f t="shared" si="17"/>
        <v>0.28753782033186892</v>
      </c>
      <c r="H93" s="206">
        <v>2027</v>
      </c>
      <c r="I93" s="195">
        <f t="shared" si="18"/>
        <v>10674276838508.336</v>
      </c>
      <c r="J93" s="195">
        <f t="shared" si="19"/>
        <v>0</v>
      </c>
      <c r="K93" s="195">
        <f t="shared" si="20"/>
        <v>0</v>
      </c>
      <c r="L93" s="195">
        <f t="shared" si="21"/>
        <v>9435933430112.8711</v>
      </c>
      <c r="M93" s="195">
        <f t="shared" si="22"/>
        <v>49713297246039.641</v>
      </c>
      <c r="O93" s="195">
        <f t="shared" si="23"/>
        <v>10674276838508.336</v>
      </c>
      <c r="P93" s="196">
        <f t="shared" si="24"/>
        <v>1</v>
      </c>
      <c r="Q93" s="195">
        <f t="shared" si="25"/>
        <v>59149230676152.516</v>
      </c>
      <c r="R93" s="196">
        <f t="shared" si="26"/>
        <v>0.15952757664381936</v>
      </c>
      <c r="S93" s="464">
        <f t="shared" si="27"/>
        <v>69823507514660.852</v>
      </c>
      <c r="T93" s="196">
        <f t="shared" si="33"/>
        <v>0.15287511639639495</v>
      </c>
      <c r="W93" s="195">
        <f t="shared" si="35"/>
        <v>282633377776.54688</v>
      </c>
      <c r="X93" s="195">
        <f t="shared" si="28"/>
        <v>0</v>
      </c>
      <c r="Y93" s="195">
        <f t="shared" si="36"/>
        <v>584460445077.875</v>
      </c>
      <c r="Z93" s="195">
        <f t="shared" si="38"/>
        <v>867093822854.42188</v>
      </c>
      <c r="AA93" s="196">
        <f t="shared" si="39"/>
        <v>0.15294159437626509</v>
      </c>
      <c r="AB93" s="196">
        <f t="shared" si="29"/>
        <v>0.17301318736365601</v>
      </c>
      <c r="AC93" s="196">
        <f t="shared" si="37"/>
        <v>0.3259547817399211</v>
      </c>
      <c r="AD93" s="247">
        <f t="shared" si="34"/>
        <v>0.6740452182600789</v>
      </c>
      <c r="AF93" s="251">
        <f t="shared" si="30"/>
        <v>0.53078892243925724</v>
      </c>
      <c r="AG93" s="251">
        <f t="shared" si="31"/>
        <v>0.46921107756074276</v>
      </c>
    </row>
    <row r="94" spans="1:33" x14ac:dyDescent="0.25">
      <c r="A94" s="206">
        <v>2028</v>
      </c>
      <c r="B94" s="195">
        <f t="shared" si="32"/>
        <v>20075433969317.879</v>
      </c>
      <c r="C94" s="195">
        <f t="shared" si="14"/>
        <v>0</v>
      </c>
      <c r="D94" s="195">
        <f t="shared" si="15"/>
        <v>50351007993712.172</v>
      </c>
      <c r="E94" s="195">
        <f t="shared" si="16"/>
        <v>70426441963030.047</v>
      </c>
      <c r="F94" s="221">
        <f t="shared" si="17"/>
        <v>0.2850553486694154</v>
      </c>
      <c r="H94" s="206">
        <v>2028</v>
      </c>
      <c r="I94" s="195">
        <f t="shared" si="18"/>
        <v>10883819893462.822</v>
      </c>
      <c r="J94" s="195">
        <f t="shared" si="19"/>
        <v>0</v>
      </c>
      <c r="K94" s="195">
        <f t="shared" si="20"/>
        <v>0</v>
      </c>
      <c r="L94" s="195">
        <f t="shared" si="21"/>
        <v>9533884098794.3887</v>
      </c>
      <c r="M94" s="195">
        <f t="shared" si="22"/>
        <v>51066549722488.047</v>
      </c>
      <c r="O94" s="195">
        <f t="shared" si="23"/>
        <v>10883819893462.822</v>
      </c>
      <c r="P94" s="196">
        <f t="shared" si="24"/>
        <v>1</v>
      </c>
      <c r="Q94" s="195">
        <f t="shared" si="25"/>
        <v>60600433821282.438</v>
      </c>
      <c r="R94" s="196">
        <f t="shared" si="26"/>
        <v>0.15732369386844483</v>
      </c>
      <c r="S94" s="464">
        <f t="shared" si="27"/>
        <v>71484253714745.266</v>
      </c>
      <c r="T94" s="196">
        <f t="shared" si="33"/>
        <v>0.1522547879830182</v>
      </c>
      <c r="W94" s="195">
        <f t="shared" si="35"/>
        <v>342270022939.33203</v>
      </c>
      <c r="X94" s="195">
        <f t="shared" si="28"/>
        <v>0</v>
      </c>
      <c r="Y94" s="195">
        <f t="shared" si="36"/>
        <v>715541728775.875</v>
      </c>
      <c r="Z94" s="195">
        <f t="shared" si="38"/>
        <v>1057811751715.207</v>
      </c>
      <c r="AA94" s="196">
        <f t="shared" si="39"/>
        <v>0.15108572787219676</v>
      </c>
      <c r="AB94" s="196">
        <f t="shared" si="29"/>
        <v>0.17247848134021976</v>
      </c>
      <c r="AC94" s="196">
        <f t="shared" si="37"/>
        <v>0.32356420921241652</v>
      </c>
      <c r="AD94" s="247">
        <f t="shared" si="34"/>
        <v>0.67643579078758354</v>
      </c>
      <c r="AF94" s="251">
        <f t="shared" si="30"/>
        <v>0.53305797251200127</v>
      </c>
      <c r="AG94" s="251">
        <f t="shared" si="31"/>
        <v>0.46694202748799879</v>
      </c>
    </row>
    <row r="95" spans="1:33" x14ac:dyDescent="0.25">
      <c r="A95" s="206">
        <v>2029</v>
      </c>
      <c r="B95" s="195">
        <f t="shared" si="32"/>
        <v>20303906759964.527</v>
      </c>
      <c r="C95" s="195">
        <f t="shared" si="14"/>
        <v>0</v>
      </c>
      <c r="D95" s="195">
        <f t="shared" si="15"/>
        <v>51594433560778.977</v>
      </c>
      <c r="E95" s="195">
        <f t="shared" si="16"/>
        <v>71898340320743.5</v>
      </c>
      <c r="F95" s="221">
        <f t="shared" si="17"/>
        <v>0.28239743322846378</v>
      </c>
      <c r="H95" s="206">
        <v>2029</v>
      </c>
      <c r="I95" s="195">
        <f t="shared" si="18"/>
        <v>11087146850974.924</v>
      </c>
      <c r="J95" s="195">
        <f t="shared" si="19"/>
        <v>0</v>
      </c>
      <c r="K95" s="195">
        <f t="shared" si="20"/>
        <v>0</v>
      </c>
      <c r="L95" s="195">
        <f t="shared" si="21"/>
        <v>9622768215021.9082</v>
      </c>
      <c r="M95" s="195">
        <f t="shared" si="22"/>
        <v>52453907555479.609</v>
      </c>
      <c r="O95" s="195">
        <f t="shared" si="23"/>
        <v>11087146850974.924</v>
      </c>
      <c r="P95" s="196">
        <f t="shared" si="24"/>
        <v>1</v>
      </c>
      <c r="Q95" s="195">
        <f t="shared" si="25"/>
        <v>62076675770501.516</v>
      </c>
      <c r="R95" s="196">
        <f t="shared" si="26"/>
        <v>0.15501423192500577</v>
      </c>
      <c r="S95" s="464">
        <f t="shared" si="27"/>
        <v>73163822621476.438</v>
      </c>
      <c r="T95" s="196">
        <f t="shared" si="33"/>
        <v>0.15153864920830987</v>
      </c>
      <c r="W95" s="195">
        <f t="shared" si="35"/>
        <v>406008306032.30469</v>
      </c>
      <c r="X95" s="195">
        <f t="shared" si="28"/>
        <v>0</v>
      </c>
      <c r="Y95" s="195">
        <f t="shared" si="36"/>
        <v>859473994700.63281</v>
      </c>
      <c r="Z95" s="195">
        <f t="shared" si="38"/>
        <v>1265482300732.9375</v>
      </c>
      <c r="AA95" s="196">
        <f t="shared" si="39"/>
        <v>0.14907353503342405</v>
      </c>
      <c r="AB95" s="196">
        <f t="shared" si="29"/>
        <v>0.17175932513155359</v>
      </c>
      <c r="AC95" s="196">
        <f t="shared" si="37"/>
        <v>0.32083286016497764</v>
      </c>
      <c r="AD95" s="247">
        <f t="shared" si="34"/>
        <v>0.67916713983502242</v>
      </c>
      <c r="AF95" s="251">
        <f t="shared" si="30"/>
        <v>0.53535453021623802</v>
      </c>
      <c r="AG95" s="251">
        <f t="shared" si="31"/>
        <v>0.46464546978376198</v>
      </c>
    </row>
    <row r="96" spans="1:33" x14ac:dyDescent="0.25">
      <c r="A96" s="206">
        <v>2030</v>
      </c>
      <c r="B96" s="195">
        <f t="shared" si="32"/>
        <v>20599511361523.77</v>
      </c>
      <c r="C96" s="195">
        <f t="shared" si="14"/>
        <v>0</v>
      </c>
      <c r="D96" s="195">
        <f t="shared" si="15"/>
        <v>52984989786845.203</v>
      </c>
      <c r="E96" s="195">
        <f t="shared" si="16"/>
        <v>73584501148368.969</v>
      </c>
      <c r="F96" s="221">
        <f t="shared" si="17"/>
        <v>0.27994361638721754</v>
      </c>
      <c r="H96" s="206">
        <v>2030</v>
      </c>
      <c r="I96" s="195">
        <f t="shared" si="18"/>
        <v>11331725431645.73</v>
      </c>
      <c r="J96" s="195">
        <f t="shared" si="19"/>
        <v>0</v>
      </c>
      <c r="K96" s="195">
        <f t="shared" si="20"/>
        <v>0</v>
      </c>
      <c r="L96" s="195">
        <f t="shared" si="21"/>
        <v>9743654585925.4609</v>
      </c>
      <c r="M96" s="195">
        <f t="shared" si="22"/>
        <v>54004162823548.531</v>
      </c>
      <c r="O96" s="195">
        <f t="shared" si="23"/>
        <v>11331725431645.73</v>
      </c>
      <c r="P96" s="196">
        <f t="shared" si="24"/>
        <v>1</v>
      </c>
      <c r="Q96" s="195">
        <f t="shared" si="25"/>
        <v>63747817409473.992</v>
      </c>
      <c r="R96" s="196">
        <f t="shared" si="26"/>
        <v>0.15284687353825216</v>
      </c>
      <c r="S96" s="464">
        <f t="shared" si="27"/>
        <v>75079542841119.719</v>
      </c>
      <c r="T96" s="196">
        <f t="shared" si="33"/>
        <v>0.15092960083182003</v>
      </c>
      <c r="W96" s="195">
        <f t="shared" si="35"/>
        <v>475868656047.42188</v>
      </c>
      <c r="X96" s="195">
        <f t="shared" si="28"/>
        <v>0</v>
      </c>
      <c r="Y96" s="195">
        <f t="shared" si="36"/>
        <v>1019173036703.3281</v>
      </c>
      <c r="Z96" s="195">
        <f t="shared" si="38"/>
        <v>1495041692750.75</v>
      </c>
      <c r="AA96" s="196">
        <f t="shared" si="39"/>
        <v>0.14715677498011093</v>
      </c>
      <c r="AB96" s="196">
        <f t="shared" si="29"/>
        <v>0.17114114162973551</v>
      </c>
      <c r="AC96" s="196">
        <f t="shared" si="37"/>
        <v>0.31829791660984641</v>
      </c>
      <c r="AD96" s="247">
        <f t="shared" si="34"/>
        <v>0.68170208339015359</v>
      </c>
      <c r="AF96" s="251">
        <f t="shared" si="30"/>
        <v>0.53767597178310067</v>
      </c>
      <c r="AG96" s="251">
        <f t="shared" si="31"/>
        <v>0.46232402821689939</v>
      </c>
    </row>
    <row r="97" spans="1:33" x14ac:dyDescent="0.25">
      <c r="A97" s="206">
        <v>2031</v>
      </c>
      <c r="B97" s="195">
        <f t="shared" si="32"/>
        <v>20705920895818.289</v>
      </c>
      <c r="C97" s="195">
        <f t="shared" si="14"/>
        <v>0</v>
      </c>
      <c r="D97" s="195">
        <f t="shared" si="15"/>
        <v>54135337583689.008</v>
      </c>
      <c r="E97" s="195">
        <f t="shared" si="16"/>
        <v>74841258479507.297</v>
      </c>
      <c r="F97" s="221">
        <f t="shared" si="17"/>
        <v>0.27666452056639179</v>
      </c>
      <c r="H97" s="206">
        <v>2031</v>
      </c>
      <c r="I97" s="195">
        <f t="shared" si="18"/>
        <v>11476233468892.814</v>
      </c>
      <c r="J97" s="195">
        <f t="shared" si="19"/>
        <v>0</v>
      </c>
      <c r="K97" s="195">
        <f t="shared" si="20"/>
        <v>0</v>
      </c>
      <c r="L97" s="195">
        <f t="shared" si="21"/>
        <v>9775367479609.9785</v>
      </c>
      <c r="M97" s="195">
        <f t="shared" si="22"/>
        <v>55322954186085.469</v>
      </c>
      <c r="O97" s="195">
        <f t="shared" si="23"/>
        <v>11476233468892.814</v>
      </c>
      <c r="P97" s="196">
        <f t="shared" si="24"/>
        <v>1</v>
      </c>
      <c r="Q97" s="195">
        <f t="shared" si="25"/>
        <v>65098321665695.445</v>
      </c>
      <c r="R97" s="196">
        <f t="shared" si="26"/>
        <v>0.15016312601437246</v>
      </c>
      <c r="S97" s="464">
        <f t="shared" si="27"/>
        <v>76574555134588.266</v>
      </c>
      <c r="T97" s="196">
        <f t="shared" si="33"/>
        <v>0.14987006387072133</v>
      </c>
      <c r="W97" s="195">
        <f t="shared" si="35"/>
        <v>545680052684.50391</v>
      </c>
      <c r="X97" s="195">
        <f t="shared" si="28"/>
        <v>0</v>
      </c>
      <c r="Y97" s="195">
        <f t="shared" si="36"/>
        <v>1187616602396.4609</v>
      </c>
      <c r="Z97" s="195">
        <f t="shared" si="38"/>
        <v>1733296655080.9648</v>
      </c>
      <c r="AA97" s="196">
        <f t="shared" si="39"/>
        <v>0.14481268959417481</v>
      </c>
      <c r="AB97" s="196">
        <f t="shared" si="29"/>
        <v>0.17000938721818387</v>
      </c>
      <c r="AC97" s="196">
        <f t="shared" si="37"/>
        <v>0.31482207681235869</v>
      </c>
      <c r="AD97" s="247">
        <f t="shared" si="34"/>
        <v>0.68517792318764126</v>
      </c>
      <c r="AF97" s="251">
        <f t="shared" si="30"/>
        <v>0.54001736136031353</v>
      </c>
      <c r="AG97" s="251">
        <f t="shared" si="31"/>
        <v>0.45998263863968647</v>
      </c>
    </row>
    <row r="98" spans="1:33" x14ac:dyDescent="0.25">
      <c r="A98" s="206">
        <v>2032</v>
      </c>
      <c r="B98" s="195">
        <f t="shared" si="32"/>
        <v>20881072950045.504</v>
      </c>
      <c r="C98" s="195">
        <f t="shared" si="14"/>
        <v>0</v>
      </c>
      <c r="D98" s="195">
        <f t="shared" si="15"/>
        <v>55427960922445.828</v>
      </c>
      <c r="E98" s="195">
        <f t="shared" si="16"/>
        <v>76309033872491.328</v>
      </c>
      <c r="F98" s="221">
        <f t="shared" si="17"/>
        <v>0.27363828226336556</v>
      </c>
      <c r="H98" s="206">
        <v>2032</v>
      </c>
      <c r="I98" s="195">
        <f t="shared" si="18"/>
        <v>11661937815308.184</v>
      </c>
      <c r="J98" s="195">
        <f t="shared" si="19"/>
        <v>0</v>
      </c>
      <c r="K98" s="195">
        <f t="shared" si="20"/>
        <v>0</v>
      </c>
      <c r="L98" s="195">
        <f t="shared" si="21"/>
        <v>9839887073832.9102</v>
      </c>
      <c r="M98" s="195">
        <f t="shared" si="22"/>
        <v>56799941111787.922</v>
      </c>
      <c r="O98" s="195">
        <f t="shared" si="23"/>
        <v>11661937815308.184</v>
      </c>
      <c r="P98" s="196">
        <f t="shared" si="24"/>
        <v>1</v>
      </c>
      <c r="Q98" s="195">
        <f t="shared" si="25"/>
        <v>66639828185620.828</v>
      </c>
      <c r="R98" s="196">
        <f t="shared" si="26"/>
        <v>0.14765774975326401</v>
      </c>
      <c r="S98" s="464">
        <f t="shared" si="27"/>
        <v>78301766000929.016</v>
      </c>
      <c r="T98" s="196">
        <f t="shared" si="33"/>
        <v>0.14893582113039214</v>
      </c>
      <c r="W98" s="195">
        <f t="shared" si="35"/>
        <v>620751939095.58984</v>
      </c>
      <c r="X98" s="195">
        <f t="shared" si="28"/>
        <v>0</v>
      </c>
      <c r="Y98" s="195">
        <f t="shared" si="36"/>
        <v>1371980189342.0938</v>
      </c>
      <c r="Z98" s="195">
        <f t="shared" si="38"/>
        <v>1992732128437.6836</v>
      </c>
      <c r="AA98" s="196">
        <f t="shared" si="39"/>
        <v>0.1425554927697891</v>
      </c>
      <c r="AB98" s="196">
        <f t="shared" si="29"/>
        <v>0.16895247673450342</v>
      </c>
      <c r="AC98" s="196">
        <f t="shared" si="37"/>
        <v>0.31150796950429249</v>
      </c>
      <c r="AD98" s="247">
        <f t="shared" si="34"/>
        <v>0.68849203049570751</v>
      </c>
      <c r="AF98" s="251">
        <f t="shared" si="30"/>
        <v>0.54236967678021253</v>
      </c>
      <c r="AG98" s="251">
        <f t="shared" si="31"/>
        <v>0.45763032321978747</v>
      </c>
    </row>
    <row r="99" spans="1:33" x14ac:dyDescent="0.25">
      <c r="A99" s="206">
        <v>2033</v>
      </c>
      <c r="B99" s="195">
        <f t="shared" si="32"/>
        <v>21040062134486.332</v>
      </c>
      <c r="C99" s="195">
        <f t="shared" si="14"/>
        <v>0</v>
      </c>
      <c r="D99" s="195">
        <f t="shared" si="15"/>
        <v>56732128401346.25</v>
      </c>
      <c r="E99" s="195">
        <f t="shared" si="16"/>
        <v>77772190535832.578</v>
      </c>
      <c r="F99" s="221">
        <f t="shared" si="17"/>
        <v>0.2705345186952447</v>
      </c>
      <c r="H99" s="206">
        <v>2033</v>
      </c>
      <c r="I99" s="195">
        <f t="shared" si="18"/>
        <v>11841156697766.201</v>
      </c>
      <c r="J99" s="195">
        <f t="shared" si="19"/>
        <v>0</v>
      </c>
      <c r="K99" s="195">
        <f t="shared" si="20"/>
        <v>0</v>
      </c>
      <c r="L99" s="195">
        <f t="shared" si="21"/>
        <v>9896932562103.8574</v>
      </c>
      <c r="M99" s="195">
        <f t="shared" si="22"/>
        <v>58300543702289.93</v>
      </c>
      <c r="O99" s="195">
        <f t="shared" si="23"/>
        <v>11841156697766.201</v>
      </c>
      <c r="P99" s="196">
        <f t="shared" si="24"/>
        <v>1</v>
      </c>
      <c r="Q99" s="195">
        <f t="shared" si="25"/>
        <v>68197476264393.789</v>
      </c>
      <c r="R99" s="196">
        <f t="shared" si="26"/>
        <v>0.14512168344374776</v>
      </c>
      <c r="S99" s="464">
        <f t="shared" si="27"/>
        <v>80038632962159.984</v>
      </c>
      <c r="T99" s="196">
        <f t="shared" si="33"/>
        <v>0.1479430152606975</v>
      </c>
      <c r="W99" s="195">
        <f t="shared" si="35"/>
        <v>698027125383.72656</v>
      </c>
      <c r="X99" s="195">
        <f t="shared" si="28"/>
        <v>0</v>
      </c>
      <c r="Y99" s="195">
        <f t="shared" si="36"/>
        <v>1568415300943.6797</v>
      </c>
      <c r="Z99" s="195">
        <f t="shared" si="38"/>
        <v>2266442426327.4063</v>
      </c>
      <c r="AA99" s="196">
        <f t="shared" si="39"/>
        <v>0.14021899551922498</v>
      </c>
      <c r="AB99" s="196">
        <f t="shared" si="29"/>
        <v>0.16776461671610773</v>
      </c>
      <c r="AC99" s="196">
        <f t="shared" si="37"/>
        <v>0.30798361223533272</v>
      </c>
      <c r="AD99" s="247">
        <f t="shared" si="34"/>
        <v>0.69201638776466723</v>
      </c>
      <c r="AF99" s="251">
        <f t="shared" si="30"/>
        <v>0.54471929690829612</v>
      </c>
      <c r="AG99" s="251">
        <f t="shared" si="31"/>
        <v>0.45528070309170388</v>
      </c>
    </row>
    <row r="100" spans="1:33" x14ac:dyDescent="0.25">
      <c r="A100" s="206">
        <v>2034</v>
      </c>
      <c r="B100" s="195">
        <f t="shared" si="32"/>
        <v>21183693803650.824</v>
      </c>
      <c r="C100" s="195">
        <f t="shared" si="14"/>
        <v>0</v>
      </c>
      <c r="D100" s="195">
        <f t="shared" si="15"/>
        <v>58045412461847.078</v>
      </c>
      <c r="E100" s="195">
        <f t="shared" si="16"/>
        <v>79229106265497.906</v>
      </c>
      <c r="F100" s="221">
        <f t="shared" si="17"/>
        <v>0.26737262102470211</v>
      </c>
      <c r="H100" s="206">
        <v>2034</v>
      </c>
      <c r="I100" s="195">
        <f t="shared" si="18"/>
        <v>12013151404229.305</v>
      </c>
      <c r="J100" s="195">
        <f t="shared" si="19"/>
        <v>0</v>
      </c>
      <c r="K100" s="195">
        <f t="shared" si="20"/>
        <v>0</v>
      </c>
      <c r="L100" s="195">
        <f t="shared" si="21"/>
        <v>9946700405247.7031</v>
      </c>
      <c r="M100" s="195">
        <f t="shared" si="22"/>
        <v>59820218454952.547</v>
      </c>
      <c r="O100" s="195">
        <f t="shared" si="23"/>
        <v>12013151404229.305</v>
      </c>
      <c r="P100" s="196">
        <f t="shared" si="24"/>
        <v>1</v>
      </c>
      <c r="Q100" s="195">
        <f t="shared" si="25"/>
        <v>69766918860200.25</v>
      </c>
      <c r="R100" s="196">
        <f t="shared" si="26"/>
        <v>0.1425704412313093</v>
      </c>
      <c r="S100" s="464">
        <f t="shared" si="27"/>
        <v>81780070264429.563</v>
      </c>
      <c r="T100" s="196">
        <f t="shared" si="33"/>
        <v>0.14689583128732592</v>
      </c>
      <c r="W100" s="195">
        <f t="shared" si="35"/>
        <v>776158005826.18359</v>
      </c>
      <c r="X100" s="195">
        <f t="shared" si="28"/>
        <v>0</v>
      </c>
      <c r="Y100" s="195">
        <f t="shared" si="36"/>
        <v>1774805993105.4688</v>
      </c>
      <c r="Z100" s="195">
        <f t="shared" si="38"/>
        <v>2550963998931.6523</v>
      </c>
      <c r="AA100" s="196">
        <f t="shared" si="39"/>
        <v>0.1378146682536604</v>
      </c>
      <c r="AB100" s="196">
        <f t="shared" si="29"/>
        <v>0.16644599796947709</v>
      </c>
      <c r="AC100" s="196">
        <f t="shared" si="37"/>
        <v>0.30426066622313752</v>
      </c>
      <c r="AD100" s="247">
        <f t="shared" si="34"/>
        <v>0.69573933377686248</v>
      </c>
      <c r="AF100" s="251">
        <f t="shared" si="30"/>
        <v>0.54705065901423344</v>
      </c>
      <c r="AG100" s="251">
        <f t="shared" si="31"/>
        <v>0.4529493409857665</v>
      </c>
    </row>
    <row r="101" spans="1:33" x14ac:dyDescent="0.25">
      <c r="A101" s="206">
        <v>2035</v>
      </c>
      <c r="B101" s="195">
        <f t="shared" si="32"/>
        <v>21336986419114.645</v>
      </c>
      <c r="C101" s="195">
        <f t="shared" si="14"/>
        <v>0</v>
      </c>
      <c r="D101" s="195">
        <f t="shared" si="15"/>
        <v>59487341101249.844</v>
      </c>
      <c r="E101" s="195">
        <f t="shared" si="16"/>
        <v>80824327520364.484</v>
      </c>
      <c r="F101" s="221">
        <f t="shared" si="17"/>
        <v>0.26399213050969811</v>
      </c>
      <c r="H101" s="206">
        <v>2035</v>
      </c>
      <c r="I101" s="195">
        <f t="shared" si="18"/>
        <v>12191294022487.336</v>
      </c>
      <c r="J101" s="195">
        <f t="shared" si="19"/>
        <v>0</v>
      </c>
      <c r="K101" s="195">
        <f t="shared" si="20"/>
        <v>0</v>
      </c>
      <c r="L101" s="195">
        <f t="shared" si="21"/>
        <v>10000798288441.313</v>
      </c>
      <c r="M101" s="195">
        <f t="shared" si="22"/>
        <v>61480898990716.68</v>
      </c>
      <c r="O101" s="195">
        <f t="shared" si="23"/>
        <v>12191294022487.336</v>
      </c>
      <c r="P101" s="196">
        <f t="shared" si="24"/>
        <v>1</v>
      </c>
      <c r="Q101" s="195">
        <f t="shared" si="25"/>
        <v>71481697279158</v>
      </c>
      <c r="R101" s="196">
        <f t="shared" si="26"/>
        <v>0.1399071184527855</v>
      </c>
      <c r="S101" s="464">
        <f t="shared" si="27"/>
        <v>83672991301645.344</v>
      </c>
      <c r="T101" s="196">
        <f t="shared" si="33"/>
        <v>0.14570166349780789</v>
      </c>
      <c r="W101" s="195">
        <f t="shared" si="35"/>
        <v>855105891814.00391</v>
      </c>
      <c r="X101" s="195">
        <f t="shared" si="28"/>
        <v>0</v>
      </c>
      <c r="Y101" s="195">
        <f t="shared" si="36"/>
        <v>1993557889466.8359</v>
      </c>
      <c r="Z101" s="195">
        <f t="shared" si="38"/>
        <v>2848663781280.8398</v>
      </c>
      <c r="AA101" s="196">
        <f t="shared" si="39"/>
        <v>0.13527424619434511</v>
      </c>
      <c r="AB101" s="196">
        <f t="shared" si="29"/>
        <v>0.16490364683504008</v>
      </c>
      <c r="AC101" s="196">
        <f t="shared" si="37"/>
        <v>0.30017789302938519</v>
      </c>
      <c r="AD101" s="247">
        <f t="shared" si="34"/>
        <v>0.69982210697061475</v>
      </c>
      <c r="AF101" s="251">
        <f t="shared" si="30"/>
        <v>0.5493530691778733</v>
      </c>
      <c r="AG101" s="251">
        <f t="shared" si="31"/>
        <v>0.4506469308221267</v>
      </c>
    </row>
    <row r="102" spans="1:33" x14ac:dyDescent="0.25">
      <c r="A102" s="206">
        <v>2036</v>
      </c>
      <c r="B102" s="195">
        <f t="shared" si="32"/>
        <v>21428106014191</v>
      </c>
      <c r="C102" s="195">
        <f t="shared" si="14"/>
        <v>0</v>
      </c>
      <c r="D102" s="195">
        <f t="shared" si="15"/>
        <v>60689620093477.109</v>
      </c>
      <c r="E102" s="195">
        <f t="shared" si="16"/>
        <v>82117726107668.109</v>
      </c>
      <c r="F102" s="221">
        <f t="shared" si="17"/>
        <v>0.26094373322144454</v>
      </c>
      <c r="H102" s="206">
        <v>2036</v>
      </c>
      <c r="I102" s="195">
        <f t="shared" si="18"/>
        <v>12334055660530.109</v>
      </c>
      <c r="J102" s="195">
        <f t="shared" si="19"/>
        <v>0</v>
      </c>
      <c r="K102" s="195">
        <f t="shared" si="20"/>
        <v>0</v>
      </c>
      <c r="L102" s="195">
        <f t="shared" si="21"/>
        <v>10025529499166.25</v>
      </c>
      <c r="M102" s="195">
        <f t="shared" si="22"/>
        <v>62901051032811.398</v>
      </c>
      <c r="O102" s="195">
        <f t="shared" si="23"/>
        <v>12334055660530.109</v>
      </c>
      <c r="P102" s="196">
        <f t="shared" si="24"/>
        <v>1</v>
      </c>
      <c r="Q102" s="195">
        <f t="shared" si="25"/>
        <v>72926580531977.656</v>
      </c>
      <c r="R102" s="196">
        <f t="shared" si="26"/>
        <v>0.13747428476740584</v>
      </c>
      <c r="S102" s="464">
        <f t="shared" si="27"/>
        <v>85260636192507.766</v>
      </c>
      <c r="T102" s="196">
        <f t="shared" si="33"/>
        <v>0.14466295598218815</v>
      </c>
      <c r="W102" s="195">
        <f t="shared" si="35"/>
        <v>931479145505.35938</v>
      </c>
      <c r="X102" s="195">
        <f t="shared" si="28"/>
        <v>0</v>
      </c>
      <c r="Y102" s="195">
        <f t="shared" si="36"/>
        <v>2211430939334.2891</v>
      </c>
      <c r="Z102" s="195">
        <f t="shared" si="38"/>
        <v>3142910084839.6484</v>
      </c>
      <c r="AA102" s="196">
        <f t="shared" si="39"/>
        <v>0.13288769150462021</v>
      </c>
      <c r="AB102" s="196">
        <f t="shared" si="29"/>
        <v>0.1634870441260631</v>
      </c>
      <c r="AC102" s="196">
        <f t="shared" si="37"/>
        <v>0.29637473563068334</v>
      </c>
      <c r="AD102" s="247">
        <f t="shared" si="34"/>
        <v>0.70362526436931661</v>
      </c>
      <c r="AF102" s="251">
        <f t="shared" si="30"/>
        <v>0.55162274131822953</v>
      </c>
      <c r="AG102" s="251">
        <f t="shared" si="31"/>
        <v>0.44837725868177042</v>
      </c>
    </row>
    <row r="103" spans="1:33" x14ac:dyDescent="0.25">
      <c r="A103" s="206">
        <v>2037</v>
      </c>
      <c r="B103" s="195">
        <f t="shared" si="32"/>
        <v>21530497264586.773</v>
      </c>
      <c r="C103" s="195">
        <f t="shared" si="14"/>
        <v>0</v>
      </c>
      <c r="D103" s="195">
        <f t="shared" si="15"/>
        <v>62015688547519.906</v>
      </c>
      <c r="E103" s="195">
        <f t="shared" si="16"/>
        <v>83546185812106.688</v>
      </c>
      <c r="F103" s="221">
        <f t="shared" si="17"/>
        <v>0.2577077224447844</v>
      </c>
      <c r="H103" s="206">
        <v>2037</v>
      </c>
      <c r="I103" s="195">
        <f t="shared" si="18"/>
        <v>12483372285677.445</v>
      </c>
      <c r="J103" s="195">
        <f t="shared" si="19"/>
        <v>0</v>
      </c>
      <c r="K103" s="195">
        <f t="shared" si="20"/>
        <v>0</v>
      </c>
      <c r="L103" s="195">
        <f t="shared" si="21"/>
        <v>10055405653080.711</v>
      </c>
      <c r="M103" s="195">
        <f t="shared" si="22"/>
        <v>64456646632883.961</v>
      </c>
      <c r="O103" s="195">
        <f t="shared" si="23"/>
        <v>12483372285677.445</v>
      </c>
      <c r="P103" s="196">
        <f t="shared" si="24"/>
        <v>1</v>
      </c>
      <c r="Q103" s="195">
        <f t="shared" si="25"/>
        <v>74512052285964.672</v>
      </c>
      <c r="R103" s="196">
        <f t="shared" si="26"/>
        <v>0.1349500563276631</v>
      </c>
      <c r="S103" s="464">
        <f t="shared" si="27"/>
        <v>86995424571642.125</v>
      </c>
      <c r="T103" s="196">
        <f t="shared" si="33"/>
        <v>0.14349458430882406</v>
      </c>
      <c r="W103" s="195">
        <f t="shared" si="35"/>
        <v>1008280674171.3828</v>
      </c>
      <c r="X103" s="195">
        <f t="shared" si="28"/>
        <v>0</v>
      </c>
      <c r="Y103" s="195">
        <f t="shared" si="36"/>
        <v>2440958085364.0547</v>
      </c>
      <c r="Z103" s="195">
        <f t="shared" si="38"/>
        <v>3449238759535.4375</v>
      </c>
      <c r="AA103" s="196">
        <f t="shared" si="39"/>
        <v>0.13041496110595915</v>
      </c>
      <c r="AB103" s="196">
        <f t="shared" si="29"/>
        <v>0.16190480695416307</v>
      </c>
      <c r="AC103" s="196">
        <f t="shared" si="37"/>
        <v>0.29231976806012222</v>
      </c>
      <c r="AD103" s="247">
        <f t="shared" si="34"/>
        <v>0.70768023193987772</v>
      </c>
      <c r="AF103" s="251">
        <f t="shared" si="30"/>
        <v>0.55386198486878813</v>
      </c>
      <c r="AG103" s="251">
        <f t="shared" si="31"/>
        <v>0.44613801513121187</v>
      </c>
    </row>
    <row r="104" spans="1:33" x14ac:dyDescent="0.25">
      <c r="A104" s="206">
        <v>2038</v>
      </c>
      <c r="B104" s="195">
        <f t="shared" si="32"/>
        <v>21620752417746.406</v>
      </c>
      <c r="C104" s="195">
        <f t="shared" si="14"/>
        <v>0</v>
      </c>
      <c r="D104" s="195">
        <f t="shared" si="15"/>
        <v>63341163348990.313</v>
      </c>
      <c r="E104" s="195">
        <f t="shared" si="16"/>
        <v>84961915766736.719</v>
      </c>
      <c r="F104" s="221">
        <f t="shared" si="17"/>
        <v>0.25447581098696348</v>
      </c>
      <c r="H104" s="206">
        <v>2038</v>
      </c>
      <c r="I104" s="195">
        <f t="shared" si="18"/>
        <v>12626003061836.693</v>
      </c>
      <c r="J104" s="195">
        <f t="shared" si="19"/>
        <v>0</v>
      </c>
      <c r="K104" s="195">
        <f t="shared" si="20"/>
        <v>0</v>
      </c>
      <c r="L104" s="195">
        <f t="shared" si="21"/>
        <v>10079591775039.322</v>
      </c>
      <c r="M104" s="195">
        <f t="shared" si="22"/>
        <v>66019961231385.758</v>
      </c>
      <c r="O104" s="195">
        <f t="shared" si="23"/>
        <v>12626003061836.693</v>
      </c>
      <c r="P104" s="196">
        <f t="shared" si="24"/>
        <v>1</v>
      </c>
      <c r="Q104" s="195">
        <f t="shared" si="25"/>
        <v>76099553006425.078</v>
      </c>
      <c r="R104" s="196">
        <f t="shared" si="26"/>
        <v>0.13245270670891199</v>
      </c>
      <c r="S104" s="464">
        <f t="shared" si="27"/>
        <v>88725556068261.766</v>
      </c>
      <c r="T104" s="196">
        <f t="shared" si="33"/>
        <v>0.14230401725657002</v>
      </c>
      <c r="W104" s="195">
        <f t="shared" si="35"/>
        <v>1084842419129.6094</v>
      </c>
      <c r="X104" s="195">
        <f t="shared" si="28"/>
        <v>0</v>
      </c>
      <c r="Y104" s="195">
        <f t="shared" si="36"/>
        <v>2678797882395.4453</v>
      </c>
      <c r="Z104" s="195">
        <f t="shared" si="38"/>
        <v>3763640301525.0547</v>
      </c>
      <c r="AA104" s="196">
        <f t="shared" si="39"/>
        <v>0.12795834303113413</v>
      </c>
      <c r="AB104" s="196">
        <f t="shared" si="29"/>
        <v>0.16028451022187817</v>
      </c>
      <c r="AC104" s="196">
        <f t="shared" si="37"/>
        <v>0.2882428532530123</v>
      </c>
      <c r="AD104" s="247">
        <f t="shared" si="34"/>
        <v>0.71175714674698765</v>
      </c>
      <c r="AF104" s="251">
        <f t="shared" si="30"/>
        <v>0.55607453372377103</v>
      </c>
      <c r="AG104" s="251">
        <f t="shared" si="31"/>
        <v>0.44392546627622897</v>
      </c>
    </row>
    <row r="105" spans="1:33" x14ac:dyDescent="0.25">
      <c r="A105" s="206">
        <v>2039</v>
      </c>
      <c r="B105" s="195">
        <f t="shared" si="32"/>
        <v>21699676828179.941</v>
      </c>
      <c r="C105" s="195">
        <f t="shared" si="14"/>
        <v>0</v>
      </c>
      <c r="D105" s="195">
        <f t="shared" si="15"/>
        <v>64663616939345.094</v>
      </c>
      <c r="E105" s="195">
        <f t="shared" si="16"/>
        <v>86363293767525.031</v>
      </c>
      <c r="F105" s="221">
        <f t="shared" si="17"/>
        <v>0.25126041263076065</v>
      </c>
      <c r="H105" s="206">
        <v>2039</v>
      </c>
      <c r="I105" s="195">
        <f t="shared" si="18"/>
        <v>12762780124901.393</v>
      </c>
      <c r="J105" s="195">
        <f t="shared" si="19"/>
        <v>0</v>
      </c>
      <c r="K105" s="195">
        <f t="shared" si="20"/>
        <v>0</v>
      </c>
      <c r="L105" s="195">
        <f t="shared" si="21"/>
        <v>10098657654643.975</v>
      </c>
      <c r="M105" s="195">
        <f t="shared" si="22"/>
        <v>67590092027422.688</v>
      </c>
      <c r="O105" s="195">
        <f t="shared" si="23"/>
        <v>12762780124901.393</v>
      </c>
      <c r="P105" s="196">
        <f t="shared" si="24"/>
        <v>1</v>
      </c>
      <c r="Q105" s="195">
        <f t="shared" si="25"/>
        <v>77688749682066.656</v>
      </c>
      <c r="R105" s="196">
        <f t="shared" si="26"/>
        <v>0.12998867527115199</v>
      </c>
      <c r="S105" s="464">
        <f t="shared" si="27"/>
        <v>90451529806968.047</v>
      </c>
      <c r="T105" s="196">
        <f t="shared" si="33"/>
        <v>0.14110076581499892</v>
      </c>
      <c r="W105" s="195">
        <f t="shared" si="35"/>
        <v>1161760951365.4258</v>
      </c>
      <c r="X105" s="195">
        <f t="shared" si="28"/>
        <v>0</v>
      </c>
      <c r="Y105" s="195">
        <f t="shared" si="36"/>
        <v>2926475088077.5938</v>
      </c>
      <c r="Z105" s="195">
        <f t="shared" si="38"/>
        <v>4088236039443.0195</v>
      </c>
      <c r="AA105" s="196">
        <f t="shared" si="39"/>
        <v>0.12552809045579391</v>
      </c>
      <c r="AB105" s="196">
        <f t="shared" si="29"/>
        <v>0.15864360123637755</v>
      </c>
      <c r="AC105" s="196">
        <f t="shared" si="37"/>
        <v>0.28417169169217144</v>
      </c>
      <c r="AD105" s="247">
        <f t="shared" si="34"/>
        <v>0.71582830830782851</v>
      </c>
      <c r="AF105" s="251">
        <f t="shared" si="30"/>
        <v>0.55826673055185239</v>
      </c>
      <c r="AG105" s="251">
        <f t="shared" si="31"/>
        <v>0.44173326944814761</v>
      </c>
    </row>
    <row r="106" spans="1:33" x14ac:dyDescent="0.25">
      <c r="A106" s="206">
        <v>2040</v>
      </c>
      <c r="B106" s="195">
        <f t="shared" si="32"/>
        <v>21616946288050.941</v>
      </c>
      <c r="C106" s="195">
        <f t="shared" si="14"/>
        <v>0</v>
      </c>
      <c r="D106" s="195">
        <f t="shared" si="15"/>
        <v>65950776357122.242</v>
      </c>
      <c r="E106" s="195">
        <f t="shared" si="16"/>
        <v>87567722645173.188</v>
      </c>
      <c r="F106" s="221">
        <f t="shared" si="17"/>
        <v>0.24685975191616435</v>
      </c>
      <c r="H106" s="206">
        <v>2040</v>
      </c>
      <c r="I106" s="195">
        <f t="shared" si="18"/>
        <v>12804960261977.07</v>
      </c>
      <c r="J106" s="195">
        <f t="shared" si="19"/>
        <v>0</v>
      </c>
      <c r="K106" s="195">
        <f t="shared" si="20"/>
        <v>0</v>
      </c>
      <c r="L106" s="195">
        <f t="shared" si="21"/>
        <v>10042919868028.313</v>
      </c>
      <c r="M106" s="195">
        <f t="shared" si="22"/>
        <v>69134559235758.281</v>
      </c>
      <c r="O106" s="195">
        <f t="shared" si="23"/>
        <v>12804960261977.07</v>
      </c>
      <c r="P106" s="196">
        <f t="shared" si="24"/>
        <v>1</v>
      </c>
      <c r="Q106" s="195">
        <f t="shared" si="25"/>
        <v>79177479103786.594</v>
      </c>
      <c r="R106" s="196">
        <f t="shared" si="26"/>
        <v>0.12684061151863596</v>
      </c>
      <c r="S106" s="464">
        <f t="shared" si="27"/>
        <v>91982439365763.656</v>
      </c>
      <c r="T106" s="196">
        <f t="shared" si="33"/>
        <v>0.1392109227616673</v>
      </c>
      <c r="W106" s="195">
        <f t="shared" si="35"/>
        <v>1230933841954.4414</v>
      </c>
      <c r="X106" s="195">
        <f t="shared" si="28"/>
        <v>0</v>
      </c>
      <c r="Y106" s="195">
        <f t="shared" si="36"/>
        <v>3183782878636.0391</v>
      </c>
      <c r="Z106" s="195">
        <f t="shared" si="38"/>
        <v>4414716720590.4805</v>
      </c>
      <c r="AA106" s="196">
        <f t="shared" si="39"/>
        <v>0.12255921097607904</v>
      </c>
      <c r="AB106" s="196">
        <f t="shared" si="29"/>
        <v>0.15626589148481015</v>
      </c>
      <c r="AC106" s="196">
        <f t="shared" si="37"/>
        <v>0.27882510246088921</v>
      </c>
      <c r="AD106" s="247">
        <f t="shared" si="34"/>
        <v>0.72117489753911079</v>
      </c>
      <c r="AF106" s="251">
        <f t="shared" si="30"/>
        <v>0.56044412825681489</v>
      </c>
      <c r="AG106" s="251">
        <f t="shared" si="31"/>
        <v>0.43955587174318506</v>
      </c>
    </row>
    <row r="107" spans="1:33" x14ac:dyDescent="0.25">
      <c r="A107" s="206">
        <v>2041</v>
      </c>
      <c r="B107" s="195">
        <f t="shared" si="32"/>
        <v>21826754838908.914</v>
      </c>
      <c r="C107" s="195">
        <f t="shared" si="14"/>
        <v>0</v>
      </c>
      <c r="D107" s="195">
        <f t="shared" si="15"/>
        <v>67289750252535.031</v>
      </c>
      <c r="E107" s="195">
        <f t="shared" si="16"/>
        <v>89116505091443.938</v>
      </c>
      <c r="F107" s="221">
        <f t="shared" si="17"/>
        <v>0.24492381985258641</v>
      </c>
      <c r="H107" s="206">
        <v>2041</v>
      </c>
      <c r="I107" s="195">
        <f t="shared" si="18"/>
        <v>13021562554851.617</v>
      </c>
      <c r="J107" s="195">
        <f t="shared" si="19"/>
        <v>0</v>
      </c>
      <c r="K107" s="195">
        <f t="shared" si="20"/>
        <v>0</v>
      </c>
      <c r="L107" s="195">
        <f t="shared" si="21"/>
        <v>10123451131617.848</v>
      </c>
      <c r="M107" s="195">
        <f t="shared" si="22"/>
        <v>70745299722112.031</v>
      </c>
      <c r="O107" s="195">
        <f t="shared" si="23"/>
        <v>13021562554851.617</v>
      </c>
      <c r="P107" s="196">
        <f t="shared" si="24"/>
        <v>1</v>
      </c>
      <c r="Q107" s="195">
        <f t="shared" si="25"/>
        <v>80868750853729.875</v>
      </c>
      <c r="R107" s="196">
        <f t="shared" si="26"/>
        <v>0.12518372084080395</v>
      </c>
      <c r="S107" s="464">
        <f t="shared" si="27"/>
        <v>93890313408581.5</v>
      </c>
      <c r="T107" s="196">
        <f t="shared" si="33"/>
        <v>0.13868909456277795</v>
      </c>
      <c r="W107" s="195">
        <f t="shared" si="35"/>
        <v>1318258847560.5508</v>
      </c>
      <c r="X107" s="195">
        <f t="shared" si="28"/>
        <v>0</v>
      </c>
      <c r="Y107" s="195">
        <f t="shared" si="36"/>
        <v>3455549469577</v>
      </c>
      <c r="Z107" s="195">
        <f t="shared" si="38"/>
        <v>4773808317137.5508</v>
      </c>
      <c r="AA107" s="196">
        <f t="shared" si="39"/>
        <v>0.12078329325972205</v>
      </c>
      <c r="AB107" s="196">
        <f t="shared" si="29"/>
        <v>0.15536077453372446</v>
      </c>
      <c r="AC107" s="196">
        <f t="shared" si="37"/>
        <v>0.27614406779344652</v>
      </c>
      <c r="AD107" s="247">
        <f t="shared" si="34"/>
        <v>0.72385593220655342</v>
      </c>
      <c r="AF107" s="251">
        <f t="shared" si="30"/>
        <v>0.56260768436978714</v>
      </c>
      <c r="AG107" s="251">
        <f t="shared" si="31"/>
        <v>0.4373923156302128</v>
      </c>
    </row>
    <row r="108" spans="1:33" x14ac:dyDescent="0.25">
      <c r="A108" s="206">
        <v>2042</v>
      </c>
      <c r="B108" s="195">
        <f t="shared" si="32"/>
        <v>21876519148224.449</v>
      </c>
      <c r="C108" s="195">
        <f t="shared" si="14"/>
        <v>0</v>
      </c>
      <c r="D108" s="195">
        <f t="shared" si="15"/>
        <v>68588574858283.773</v>
      </c>
      <c r="E108" s="195">
        <f t="shared" si="16"/>
        <v>90465094006508.219</v>
      </c>
      <c r="F108" s="221">
        <f t="shared" si="17"/>
        <v>0.24182276477434062</v>
      </c>
      <c r="H108" s="206">
        <v>2042</v>
      </c>
      <c r="I108" s="195">
        <f t="shared" si="18"/>
        <v>13144449670380.543</v>
      </c>
      <c r="J108" s="195">
        <f t="shared" si="19"/>
        <v>0</v>
      </c>
      <c r="K108" s="195">
        <f t="shared" si="20"/>
        <v>0</v>
      </c>
      <c r="L108" s="195">
        <f t="shared" si="21"/>
        <v>10129994629526.621</v>
      </c>
      <c r="M108" s="195">
        <f t="shared" si="22"/>
        <v>72325735438246.016</v>
      </c>
      <c r="O108" s="195">
        <f t="shared" si="23"/>
        <v>13144449670380.543</v>
      </c>
      <c r="P108" s="196">
        <f t="shared" si="24"/>
        <v>1</v>
      </c>
      <c r="Q108" s="195">
        <f t="shared" si="25"/>
        <v>82455730067772.641</v>
      </c>
      <c r="R108" s="196">
        <f t="shared" si="26"/>
        <v>0.12285373765050045</v>
      </c>
      <c r="S108" s="464">
        <f t="shared" si="27"/>
        <v>95600179738153.188</v>
      </c>
      <c r="T108" s="196">
        <f t="shared" si="33"/>
        <v>0.13749398491072826</v>
      </c>
      <c r="W108" s="195">
        <f t="shared" si="35"/>
        <v>1397925151682.7148</v>
      </c>
      <c r="X108" s="195">
        <f t="shared" si="28"/>
        <v>0</v>
      </c>
      <c r="Y108" s="195">
        <f t="shared" si="36"/>
        <v>3737160579962.2422</v>
      </c>
      <c r="Z108" s="195">
        <f t="shared" si="38"/>
        <v>5135085731644.957</v>
      </c>
      <c r="AA108" s="196">
        <f t="shared" si="39"/>
        <v>0.11848574803970539</v>
      </c>
      <c r="AB108" s="196">
        <f t="shared" si="29"/>
        <v>0.15374440053756247</v>
      </c>
      <c r="AC108" s="196">
        <f t="shared" si="37"/>
        <v>0.27223014857726785</v>
      </c>
      <c r="AD108" s="247">
        <f t="shared" si="34"/>
        <v>0.72776985142273209</v>
      </c>
      <c r="AF108" s="251">
        <f t="shared" si="30"/>
        <v>0.56475890470274182</v>
      </c>
      <c r="AG108" s="251">
        <f t="shared" si="31"/>
        <v>0.43524109529725818</v>
      </c>
    </row>
    <row r="109" spans="1:33" x14ac:dyDescent="0.25">
      <c r="A109" s="206">
        <v>2043</v>
      </c>
      <c r="B109" s="195">
        <f t="shared" si="32"/>
        <v>21918174132854.082</v>
      </c>
      <c r="C109" s="195">
        <f t="shared" si="14"/>
        <v>0</v>
      </c>
      <c r="D109" s="195">
        <f t="shared" si="15"/>
        <v>69874668018744.094</v>
      </c>
      <c r="E109" s="195">
        <f t="shared" si="16"/>
        <v>91792842151598.172</v>
      </c>
      <c r="F109" s="221">
        <f t="shared" si="17"/>
        <v>0.23877868490721391</v>
      </c>
      <c r="H109" s="206">
        <v>2043</v>
      </c>
      <c r="I109" s="195">
        <f t="shared" si="18"/>
        <v>13263923546356.441</v>
      </c>
      <c r="J109" s="195">
        <f t="shared" si="19"/>
        <v>0</v>
      </c>
      <c r="K109" s="195">
        <f t="shared" si="20"/>
        <v>0</v>
      </c>
      <c r="L109" s="195">
        <f t="shared" si="21"/>
        <v>10133175144005.41</v>
      </c>
      <c r="M109" s="195">
        <f t="shared" si="22"/>
        <v>73905263806945.219</v>
      </c>
      <c r="O109" s="195">
        <f t="shared" si="23"/>
        <v>13263923546356.441</v>
      </c>
      <c r="P109" s="196">
        <f t="shared" si="24"/>
        <v>1</v>
      </c>
      <c r="Q109" s="195">
        <f t="shared" si="25"/>
        <v>84038438950950.625</v>
      </c>
      <c r="R109" s="196">
        <f t="shared" si="26"/>
        <v>0.12057786020894175</v>
      </c>
      <c r="S109" s="464">
        <f t="shared" si="27"/>
        <v>97302362497307.063</v>
      </c>
      <c r="T109" s="196">
        <f t="shared" si="33"/>
        <v>0.13631656216696211</v>
      </c>
      <c r="W109" s="195">
        <f t="shared" si="35"/>
        <v>1478924557507.7695</v>
      </c>
      <c r="X109" s="195">
        <f t="shared" si="28"/>
        <v>0</v>
      </c>
      <c r="Y109" s="195">
        <f t="shared" si="36"/>
        <v>4030595788201.125</v>
      </c>
      <c r="Z109" s="195">
        <f t="shared" si="38"/>
        <v>5509520345708.8945</v>
      </c>
      <c r="AA109" s="196">
        <f t="shared" si="39"/>
        <v>0.11625610581816871</v>
      </c>
      <c r="AB109" s="196">
        <f t="shared" si="29"/>
        <v>0.15217462221419695</v>
      </c>
      <c r="AC109" s="196">
        <f t="shared" si="37"/>
        <v>0.26843072803236567</v>
      </c>
      <c r="AD109" s="247">
        <f t="shared" si="34"/>
        <v>0.73156927196763433</v>
      </c>
      <c r="AF109" s="251">
        <f t="shared" si="30"/>
        <v>0.56690462872733671</v>
      </c>
      <c r="AG109" s="251">
        <f t="shared" si="31"/>
        <v>0.43309537127266329</v>
      </c>
    </row>
    <row r="110" spans="1:33" x14ac:dyDescent="0.25">
      <c r="A110" s="206">
        <v>2044</v>
      </c>
      <c r="B110" s="195">
        <f t="shared" si="32"/>
        <v>21952525147307.852</v>
      </c>
      <c r="C110" s="195">
        <f t="shared" si="14"/>
        <v>0</v>
      </c>
      <c r="D110" s="195">
        <f t="shared" si="15"/>
        <v>71145602175372.813</v>
      </c>
      <c r="E110" s="195">
        <f t="shared" si="16"/>
        <v>93098127322680.656</v>
      </c>
      <c r="F110" s="221">
        <f t="shared" si="17"/>
        <v>0.23579985740443304</v>
      </c>
      <c r="H110" s="206">
        <v>2044</v>
      </c>
      <c r="I110" s="195">
        <f t="shared" si="18"/>
        <v>13380857202615.439</v>
      </c>
      <c r="J110" s="195">
        <f t="shared" si="19"/>
        <v>0</v>
      </c>
      <c r="K110" s="195">
        <f t="shared" si="20"/>
        <v>0</v>
      </c>
      <c r="L110" s="195">
        <f t="shared" si="21"/>
        <v>10133394359089.385</v>
      </c>
      <c r="M110" s="195">
        <f t="shared" si="22"/>
        <v>75481937565796.813</v>
      </c>
      <c r="O110" s="195">
        <f t="shared" si="23"/>
        <v>13380857202615.439</v>
      </c>
      <c r="P110" s="196">
        <f t="shared" si="24"/>
        <v>1</v>
      </c>
      <c r="Q110" s="195">
        <f t="shared" si="25"/>
        <v>85615331924886.203</v>
      </c>
      <c r="R110" s="196">
        <f t="shared" si="26"/>
        <v>0.11835957568884767</v>
      </c>
      <c r="S110" s="464">
        <f t="shared" si="27"/>
        <v>98996189127501.641</v>
      </c>
      <c r="T110" s="196">
        <f t="shared" si="33"/>
        <v>0.13516537677406584</v>
      </c>
      <c r="W110" s="195">
        <f t="shared" si="35"/>
        <v>1561726414396.9727</v>
      </c>
      <c r="X110" s="195">
        <f t="shared" si="28"/>
        <v>0</v>
      </c>
      <c r="Y110" s="195">
        <f t="shared" si="36"/>
        <v>4336335390424</v>
      </c>
      <c r="Z110" s="195">
        <f t="shared" si="38"/>
        <v>5898061804820.9727</v>
      </c>
      <c r="AA110" s="196">
        <f t="shared" si="39"/>
        <v>0.11410887427966875</v>
      </c>
      <c r="AB110" s="196">
        <f t="shared" si="29"/>
        <v>0.15067750234331692</v>
      </c>
      <c r="AC110" s="196">
        <f t="shared" si="37"/>
        <v>0.26478637662298565</v>
      </c>
      <c r="AD110" s="247">
        <f t="shared" si="34"/>
        <v>0.73521362337701435</v>
      </c>
      <c r="AF110" s="251">
        <f t="shared" si="30"/>
        <v>0.56905307691814555</v>
      </c>
      <c r="AG110" s="251">
        <f t="shared" si="31"/>
        <v>0.43094692308185445</v>
      </c>
    </row>
    <row r="111" spans="1:33" x14ac:dyDescent="0.25">
      <c r="A111" s="206">
        <v>2045</v>
      </c>
      <c r="B111" s="195">
        <f t="shared" si="32"/>
        <v>22008790757570.328</v>
      </c>
      <c r="C111" s="195">
        <f t="shared" si="14"/>
        <v>0</v>
      </c>
      <c r="D111" s="195">
        <f t="shared" si="15"/>
        <v>72325627694624.719</v>
      </c>
      <c r="E111" s="195">
        <f t="shared" si="16"/>
        <v>94334418452195.047</v>
      </c>
      <c r="F111" s="221">
        <f t="shared" si="17"/>
        <v>0.23330605222020331</v>
      </c>
      <c r="H111" s="206">
        <v>2045</v>
      </c>
      <c r="I111" s="195">
        <f t="shared" si="18"/>
        <v>13513511543835.572</v>
      </c>
      <c r="J111" s="195">
        <f t="shared" si="19"/>
        <v>0</v>
      </c>
      <c r="K111" s="195">
        <f t="shared" si="20"/>
        <v>0</v>
      </c>
      <c r="L111" s="195">
        <f t="shared" si="21"/>
        <v>10144147975364.959</v>
      </c>
      <c r="M111" s="195">
        <f t="shared" si="22"/>
        <v>76975906763431.313</v>
      </c>
      <c r="O111" s="195">
        <f t="shared" si="23"/>
        <v>13513511543835.572</v>
      </c>
      <c r="P111" s="196">
        <f t="shared" si="24"/>
        <v>1</v>
      </c>
      <c r="Q111" s="195">
        <f t="shared" si="25"/>
        <v>87120054738796.266</v>
      </c>
      <c r="R111" s="196">
        <f t="shared" si="26"/>
        <v>0.11643872361856508</v>
      </c>
      <c r="S111" s="464">
        <f t="shared" si="27"/>
        <v>100633566282631.84</v>
      </c>
      <c r="T111" s="196">
        <f t="shared" si="33"/>
        <v>0.13428433516787572</v>
      </c>
      <c r="W111" s="195">
        <f t="shared" si="35"/>
        <v>1648868761630.2031</v>
      </c>
      <c r="X111" s="195">
        <f t="shared" si="28"/>
        <v>0</v>
      </c>
      <c r="Y111" s="195">
        <f t="shared" si="36"/>
        <v>4650279068806.5938</v>
      </c>
      <c r="Z111" s="195">
        <f t="shared" si="38"/>
        <v>6299147830436.7969</v>
      </c>
      <c r="AA111" s="196">
        <f t="shared" si="39"/>
        <v>0.11224011117914356</v>
      </c>
      <c r="AB111" s="196">
        <f t="shared" si="29"/>
        <v>0.14952049613079266</v>
      </c>
      <c r="AC111" s="196">
        <f t="shared" si="37"/>
        <v>0.26176060730993622</v>
      </c>
      <c r="AD111" s="247">
        <f t="shared" si="34"/>
        <v>0.73823939269006378</v>
      </c>
      <c r="AF111" s="251">
        <f t="shared" si="30"/>
        <v>0.57121083904635706</v>
      </c>
      <c r="AG111" s="251">
        <f t="shared" si="31"/>
        <v>0.42878916095364289</v>
      </c>
    </row>
    <row r="112" spans="1:33" x14ac:dyDescent="0.25">
      <c r="A112" s="206">
        <v>2046</v>
      </c>
      <c r="B112" s="195">
        <f t="shared" si="32"/>
        <v>22002536683728.02</v>
      </c>
      <c r="C112" s="195">
        <f t="shared" si="14"/>
        <v>0</v>
      </c>
      <c r="D112" s="195">
        <f t="shared" si="15"/>
        <v>73632283242962.563</v>
      </c>
      <c r="E112" s="195">
        <f t="shared" si="16"/>
        <v>95634819926690.578</v>
      </c>
      <c r="F112" s="221">
        <f t="shared" si="17"/>
        <v>0.23006826070874803</v>
      </c>
      <c r="H112" s="206">
        <v>2046</v>
      </c>
      <c r="I112" s="195">
        <f t="shared" si="18"/>
        <v>13610160249881.43</v>
      </c>
      <c r="J112" s="195">
        <f t="shared" si="19"/>
        <v>0</v>
      </c>
      <c r="K112" s="195">
        <f t="shared" si="20"/>
        <v>0</v>
      </c>
      <c r="L112" s="195">
        <f t="shared" si="21"/>
        <v>10126565615611.953</v>
      </c>
      <c r="M112" s="195">
        <f t="shared" si="22"/>
        <v>78618915016643.156</v>
      </c>
      <c r="O112" s="195">
        <f t="shared" si="23"/>
        <v>13610160249881.43</v>
      </c>
      <c r="P112" s="196">
        <f t="shared" si="24"/>
        <v>1</v>
      </c>
      <c r="Q112" s="195">
        <f t="shared" si="25"/>
        <v>88745480632255.109</v>
      </c>
      <c r="R112" s="196">
        <f t="shared" si="26"/>
        <v>0.11410795843874655</v>
      </c>
      <c r="S112" s="464">
        <f t="shared" si="27"/>
        <v>102355640882136.53</v>
      </c>
      <c r="T112" s="196">
        <f t="shared" si="33"/>
        <v>0.13296932277092238</v>
      </c>
      <c r="W112" s="195">
        <f t="shared" si="35"/>
        <v>1734189181765.3633</v>
      </c>
      <c r="X112" s="195">
        <f t="shared" si="28"/>
        <v>0</v>
      </c>
      <c r="Y112" s="195">
        <f t="shared" si="36"/>
        <v>4986631773680.5938</v>
      </c>
      <c r="Z112" s="195">
        <f t="shared" si="38"/>
        <v>6720820955445.957</v>
      </c>
      <c r="AA112" s="196">
        <f t="shared" si="39"/>
        <v>0.11008179783487491</v>
      </c>
      <c r="AB112" s="196">
        <f t="shared" si="29"/>
        <v>0.14795054572281655</v>
      </c>
      <c r="AC112" s="196">
        <f t="shared" si="37"/>
        <v>0.25803234355769145</v>
      </c>
      <c r="AD112" s="247">
        <f t="shared" si="34"/>
        <v>0.74196765644230855</v>
      </c>
      <c r="AF112" s="251">
        <f t="shared" si="30"/>
        <v>0.57337984720406743</v>
      </c>
      <c r="AG112" s="251">
        <f t="shared" si="31"/>
        <v>0.42662015279593263</v>
      </c>
    </row>
    <row r="113" spans="1:53" x14ac:dyDescent="0.25">
      <c r="A113" s="206">
        <v>2047</v>
      </c>
      <c r="B113" s="195">
        <f t="shared" si="32"/>
        <v>22019807914714.508</v>
      </c>
      <c r="C113" s="195">
        <f t="shared" si="14"/>
        <v>0</v>
      </c>
      <c r="D113" s="195">
        <f t="shared" si="15"/>
        <v>74843175036837.203</v>
      </c>
      <c r="E113" s="195">
        <f t="shared" si="16"/>
        <v>96862982951551.719</v>
      </c>
      <c r="F113" s="221">
        <f t="shared" si="17"/>
        <v>0.22732944251498252</v>
      </c>
      <c r="H113" s="206">
        <v>2047</v>
      </c>
      <c r="I113" s="195">
        <f t="shared" si="18"/>
        <v>13723717198799.018</v>
      </c>
      <c r="J113" s="195">
        <f t="shared" si="19"/>
        <v>0</v>
      </c>
      <c r="K113" s="195">
        <f t="shared" si="20"/>
        <v>0</v>
      </c>
      <c r="L113" s="195">
        <f t="shared" si="21"/>
        <v>10120348497092.768</v>
      </c>
      <c r="M113" s="195">
        <f t="shared" si="22"/>
        <v>80175176053625.734</v>
      </c>
      <c r="O113" s="195">
        <f t="shared" si="23"/>
        <v>13723717198799.018</v>
      </c>
      <c r="P113" s="196">
        <f t="shared" si="24"/>
        <v>1</v>
      </c>
      <c r="Q113" s="195">
        <f t="shared" si="25"/>
        <v>90295524550718.5</v>
      </c>
      <c r="R113" s="196">
        <f t="shared" si="26"/>
        <v>0.11208028911120864</v>
      </c>
      <c r="S113" s="464">
        <f t="shared" si="27"/>
        <v>104019241749517.52</v>
      </c>
      <c r="T113" s="196">
        <f t="shared" si="33"/>
        <v>0.13193440913409343</v>
      </c>
      <c r="W113" s="195">
        <f t="shared" si="35"/>
        <v>1824257781177.2773</v>
      </c>
      <c r="X113" s="195">
        <f t="shared" si="28"/>
        <v>0</v>
      </c>
      <c r="Y113" s="195">
        <f t="shared" si="36"/>
        <v>5332001016788.5313</v>
      </c>
      <c r="Z113" s="195">
        <f t="shared" si="38"/>
        <v>7156258797965.8086</v>
      </c>
      <c r="AA113" s="196">
        <f t="shared" si="39"/>
        <v>0.10819702698815375</v>
      </c>
      <c r="AB113" s="196">
        <f t="shared" si="29"/>
        <v>0.14672077750709855</v>
      </c>
      <c r="AC113" s="196">
        <f t="shared" si="37"/>
        <v>0.25491780449525231</v>
      </c>
      <c r="AD113" s="247">
        <f t="shared" si="34"/>
        <v>0.74508219550474764</v>
      </c>
      <c r="AF113" s="251">
        <f t="shared" si="30"/>
        <v>0.57556112174122831</v>
      </c>
      <c r="AG113" s="251">
        <f t="shared" si="31"/>
        <v>0.42443887825877169</v>
      </c>
    </row>
    <row r="114" spans="1:53" x14ac:dyDescent="0.25">
      <c r="A114" s="206">
        <v>2048</v>
      </c>
      <c r="B114" s="195">
        <f t="shared" si="32"/>
        <v>22032996593565.332</v>
      </c>
      <c r="C114" s="195">
        <f t="shared" si="14"/>
        <v>0</v>
      </c>
      <c r="D114" s="195">
        <f t="shared" si="15"/>
        <v>76029197592707.406</v>
      </c>
      <c r="E114" s="195">
        <f t="shared" si="16"/>
        <v>98062194186272.734</v>
      </c>
      <c r="F114" s="221">
        <f t="shared" si="17"/>
        <v>0.22468390368374633</v>
      </c>
      <c r="H114" s="206">
        <v>2048</v>
      </c>
      <c r="I114" s="195">
        <f t="shared" si="18"/>
        <v>13837478562536.76</v>
      </c>
      <c r="J114" s="195">
        <f t="shared" si="19"/>
        <v>0</v>
      </c>
      <c r="K114" s="195">
        <f t="shared" si="20"/>
        <v>0</v>
      </c>
      <c r="L114" s="195">
        <f t="shared" si="21"/>
        <v>10112788588872.693</v>
      </c>
      <c r="M114" s="195">
        <f t="shared" si="22"/>
        <v>81720742370781.906</v>
      </c>
      <c r="O114" s="195">
        <f t="shared" si="23"/>
        <v>13837478562536.76</v>
      </c>
      <c r="P114" s="196">
        <f t="shared" si="24"/>
        <v>1</v>
      </c>
      <c r="Q114" s="195">
        <f t="shared" si="25"/>
        <v>91833530959654.594</v>
      </c>
      <c r="R114" s="196">
        <f t="shared" si="26"/>
        <v>0.11012087287937959</v>
      </c>
      <c r="S114" s="464">
        <f t="shared" si="27"/>
        <v>105671009522191.36</v>
      </c>
      <c r="T114" s="196">
        <f t="shared" si="33"/>
        <v>0.13094867386149869</v>
      </c>
      <c r="W114" s="195">
        <f t="shared" si="35"/>
        <v>1917270557844.1211</v>
      </c>
      <c r="X114" s="195">
        <f t="shared" si="28"/>
        <v>0</v>
      </c>
      <c r="Y114" s="195">
        <f t="shared" si="36"/>
        <v>5691544778074.5</v>
      </c>
      <c r="Z114" s="195">
        <f t="shared" si="38"/>
        <v>7608815335918.6211</v>
      </c>
      <c r="AA114" s="196">
        <f t="shared" si="39"/>
        <v>0.10639639799387796</v>
      </c>
      <c r="AB114" s="196">
        <f t="shared" si="29"/>
        <v>0.14558376885198318</v>
      </c>
      <c r="AC114" s="196">
        <f t="shared" si="37"/>
        <v>0.25198016684586116</v>
      </c>
      <c r="AD114" s="247">
        <f t="shared" si="34"/>
        <v>0.74801983315413889</v>
      </c>
      <c r="AF114" s="251">
        <f t="shared" si="30"/>
        <v>0.57775883980995324</v>
      </c>
      <c r="AG114" s="251">
        <f t="shared" si="31"/>
        <v>0.42224116019004676</v>
      </c>
    </row>
    <row r="115" spans="1:53" x14ac:dyDescent="0.25">
      <c r="A115" s="206">
        <v>2049</v>
      </c>
      <c r="B115" s="195">
        <f t="shared" si="32"/>
        <v>22042908074790.543</v>
      </c>
      <c r="C115" s="195">
        <f t="shared" si="14"/>
        <v>0</v>
      </c>
      <c r="D115" s="195">
        <f t="shared" si="15"/>
        <v>77187923352030</v>
      </c>
      <c r="E115" s="195">
        <f t="shared" si="16"/>
        <v>99230831426820.547</v>
      </c>
      <c r="F115" s="221">
        <f t="shared" si="17"/>
        <v>0.22213769407995396</v>
      </c>
      <c r="H115" s="206">
        <v>2049</v>
      </c>
      <c r="I115" s="195">
        <f t="shared" si="18"/>
        <v>13952209782435.277</v>
      </c>
      <c r="J115" s="195">
        <f t="shared" si="19"/>
        <v>0</v>
      </c>
      <c r="K115" s="195">
        <f t="shared" si="20"/>
        <v>0</v>
      </c>
      <c r="L115" s="195">
        <f t="shared" si="21"/>
        <v>10104265699569.203</v>
      </c>
      <c r="M115" s="195">
        <f t="shared" si="22"/>
        <v>83253816743511.094</v>
      </c>
      <c r="O115" s="195">
        <f t="shared" si="23"/>
        <v>13952209782435.277</v>
      </c>
      <c r="P115" s="196">
        <f t="shared" si="24"/>
        <v>1</v>
      </c>
      <c r="Q115" s="195">
        <f t="shared" si="25"/>
        <v>93358082443080.297</v>
      </c>
      <c r="R115" s="196">
        <f t="shared" si="26"/>
        <v>0.10823129005171776</v>
      </c>
      <c r="S115" s="464">
        <f t="shared" si="27"/>
        <v>107310292225515.58</v>
      </c>
      <c r="T115" s="196">
        <f t="shared" si="33"/>
        <v>0.13001744281074473</v>
      </c>
      <c r="W115" s="195">
        <f t="shared" si="35"/>
        <v>2013567407213.9375</v>
      </c>
      <c r="X115" s="195">
        <f t="shared" si="28"/>
        <v>0</v>
      </c>
      <c r="Y115" s="195">
        <f t="shared" si="36"/>
        <v>6065893391481.0938</v>
      </c>
      <c r="Z115" s="195">
        <f t="shared" si="38"/>
        <v>8079460798695.0313</v>
      </c>
      <c r="AA115" s="196">
        <f t="shared" si="39"/>
        <v>0.10467827408026568</v>
      </c>
      <c r="AB115" s="196">
        <f t="shared" si="29"/>
        <v>0.14454224414282696</v>
      </c>
      <c r="AC115" s="196">
        <f t="shared" si="37"/>
        <v>0.24922051822309263</v>
      </c>
      <c r="AD115" s="247">
        <f t="shared" si="34"/>
        <v>0.75077948177690734</v>
      </c>
      <c r="AF115" s="251">
        <f t="shared" si="30"/>
        <v>0.57997730352778698</v>
      </c>
      <c r="AG115" s="251">
        <f t="shared" si="31"/>
        <v>0.42002269647221308</v>
      </c>
    </row>
    <row r="116" spans="1:53" ht="13.8" thickBot="1" x14ac:dyDescent="0.3">
      <c r="A116" s="208">
        <v>2050</v>
      </c>
      <c r="B116" s="195">
        <f t="shared" si="32"/>
        <v>22078938862739.5</v>
      </c>
      <c r="C116" s="195">
        <f t="shared" si="14"/>
        <v>0</v>
      </c>
      <c r="D116" s="195">
        <f t="shared" si="15"/>
        <v>78274973710777.531</v>
      </c>
      <c r="E116" s="195">
        <f t="shared" si="16"/>
        <v>100353912573517.03</v>
      </c>
      <c r="F116" s="222">
        <f t="shared" si="17"/>
        <v>0.22001074294502432</v>
      </c>
      <c r="H116" s="208">
        <v>2050</v>
      </c>
      <c r="I116" s="195">
        <f t="shared" si="18"/>
        <v>14086855735493.883</v>
      </c>
      <c r="J116" s="195">
        <f t="shared" si="19"/>
        <v>0</v>
      </c>
      <c r="K116" s="195">
        <f t="shared" si="20"/>
        <v>0</v>
      </c>
      <c r="L116" s="195">
        <f t="shared" si="21"/>
        <v>10108256474406.301</v>
      </c>
      <c r="M116" s="195">
        <f t="shared" si="22"/>
        <v>84727379283889.188</v>
      </c>
      <c r="O116" s="195">
        <f t="shared" si="23"/>
        <v>14086855735493.883</v>
      </c>
      <c r="P116" s="210">
        <f t="shared" si="24"/>
        <v>1</v>
      </c>
      <c r="Q116" s="195">
        <f t="shared" si="25"/>
        <v>94835635758295.484</v>
      </c>
      <c r="R116" s="210">
        <f t="shared" si="26"/>
        <v>0.106587111412095</v>
      </c>
      <c r="S116" s="464">
        <f t="shared" si="27"/>
        <v>108922491493789.38</v>
      </c>
      <c r="T116" s="196">
        <f t="shared" si="33"/>
        <v>0.12932917290362475</v>
      </c>
      <c r="W116" s="195">
        <f t="shared" si="35"/>
        <v>2116173347160.6836</v>
      </c>
      <c r="X116" s="195">
        <f t="shared" si="28"/>
        <v>0</v>
      </c>
      <c r="Y116" s="195">
        <f t="shared" si="36"/>
        <v>6452405573111.6563</v>
      </c>
      <c r="Z116" s="195">
        <f t="shared" si="38"/>
        <v>8568578920272.3398</v>
      </c>
      <c r="AA116" s="196">
        <f t="shared" si="39"/>
        <v>0.10317893745400278</v>
      </c>
      <c r="AB116" s="196">
        <f t="shared" si="29"/>
        <v>0.14379006018854026</v>
      </c>
      <c r="AC116" s="196">
        <f t="shared" si="37"/>
        <v>0.24696899764254304</v>
      </c>
      <c r="AD116" s="247">
        <f t="shared" si="34"/>
        <v>0.7530310023574569</v>
      </c>
      <c r="AF116" s="251">
        <f t="shared" si="30"/>
        <v>0.58221907025212338</v>
      </c>
      <c r="AG116" s="251">
        <f t="shared" si="31"/>
        <v>0.41778092974787662</v>
      </c>
    </row>
    <row r="117" spans="1:53" x14ac:dyDescent="0.25">
      <c r="A117" s="213">
        <v>2051</v>
      </c>
      <c r="B117" s="195">
        <f t="shared" si="32"/>
        <v>22056120862404.289</v>
      </c>
      <c r="C117" s="195">
        <f t="shared" si="14"/>
        <v>0</v>
      </c>
      <c r="D117" s="195">
        <f t="shared" si="15"/>
        <v>79413774246859.469</v>
      </c>
      <c r="E117" s="195">
        <f t="shared" si="16"/>
        <v>101469895109263.75</v>
      </c>
      <c r="F117" s="214">
        <f t="shared" si="17"/>
        <v>0.21736615415492494</v>
      </c>
      <c r="H117" s="213">
        <v>2051</v>
      </c>
      <c r="I117" s="195">
        <f t="shared" si="18"/>
        <v>14187319156747.889</v>
      </c>
      <c r="J117" s="195">
        <f t="shared" si="19"/>
        <v>0</v>
      </c>
      <c r="K117" s="195">
        <f t="shared" si="20"/>
        <v>0</v>
      </c>
      <c r="L117" s="195">
        <f t="shared" si="21"/>
        <v>10085885843936.471</v>
      </c>
      <c r="M117" s="195">
        <f t="shared" si="22"/>
        <v>86274577153109.516</v>
      </c>
      <c r="O117" s="195">
        <f t="shared" si="23"/>
        <v>14187319156747.889</v>
      </c>
      <c r="P117" s="214">
        <f t="shared" si="24"/>
        <v>1</v>
      </c>
      <c r="Q117" s="195">
        <f t="shared" si="25"/>
        <v>96360462997045.984</v>
      </c>
      <c r="R117" s="214">
        <f t="shared" si="26"/>
        <v>0.10466829994627218</v>
      </c>
      <c r="S117" s="464">
        <f t="shared" si="27"/>
        <v>110547782153793.88</v>
      </c>
      <c r="T117" s="196">
        <f t="shared" si="33"/>
        <v>0.12833653358156491</v>
      </c>
      <c r="W117" s="195">
        <f t="shared" si="35"/>
        <v>2217084138280.0703</v>
      </c>
      <c r="X117" s="195">
        <f t="shared" si="28"/>
        <v>0</v>
      </c>
      <c r="Y117" s="195">
        <f t="shared" si="36"/>
        <v>6860802906250.0469</v>
      </c>
      <c r="Z117" s="195">
        <f t="shared" si="38"/>
        <v>9077887044530.1172</v>
      </c>
      <c r="AA117" s="196">
        <f t="shared" si="39"/>
        <v>0.1014809034426515</v>
      </c>
      <c r="AB117" s="196">
        <f t="shared" si="29"/>
        <v>0.14274819165453576</v>
      </c>
      <c r="AC117" s="196">
        <f t="shared" si="37"/>
        <v>0.24422909509718727</v>
      </c>
      <c r="AD117" s="247">
        <f t="shared" si="34"/>
        <v>0.75577090490281273</v>
      </c>
      <c r="AF117" s="251">
        <f t="shared" si="30"/>
        <v>0.58448479120692509</v>
      </c>
      <c r="AG117" s="251">
        <f t="shared" si="31"/>
        <v>0.41551520879307485</v>
      </c>
    </row>
    <row r="118" spans="1:53" x14ac:dyDescent="0.25">
      <c r="A118" s="194">
        <v>2052</v>
      </c>
      <c r="B118" s="195">
        <f t="shared" si="32"/>
        <v>22061032877812.926</v>
      </c>
      <c r="C118" s="195">
        <f t="shared" si="14"/>
        <v>0</v>
      </c>
      <c r="D118" s="195">
        <f t="shared" si="15"/>
        <v>80476044265279.953</v>
      </c>
      <c r="E118" s="195">
        <f t="shared" si="16"/>
        <v>102537077143092.88</v>
      </c>
      <c r="F118" s="196">
        <f t="shared" si="17"/>
        <v>0.21515176258658361</v>
      </c>
      <c r="H118" s="194">
        <v>2052</v>
      </c>
      <c r="I118" s="195">
        <f t="shared" si="18"/>
        <v>14308847503963.842</v>
      </c>
      <c r="J118" s="195">
        <f t="shared" si="19"/>
        <v>0</v>
      </c>
      <c r="K118" s="195">
        <f t="shared" si="20"/>
        <v>0</v>
      </c>
      <c r="L118" s="195">
        <f t="shared" si="21"/>
        <v>10076833811134.334</v>
      </c>
      <c r="M118" s="195">
        <f t="shared" si="22"/>
        <v>87757822590775.531</v>
      </c>
      <c r="O118" s="195">
        <f t="shared" si="23"/>
        <v>14308847503963.842</v>
      </c>
      <c r="P118" s="196">
        <f t="shared" si="24"/>
        <v>1</v>
      </c>
      <c r="Q118" s="195">
        <f t="shared" si="25"/>
        <v>97834656401909.859</v>
      </c>
      <c r="R118" s="196">
        <f t="shared" si="26"/>
        <v>0.102998611961575</v>
      </c>
      <c r="S118" s="464">
        <f t="shared" si="27"/>
        <v>112143503905873.7</v>
      </c>
      <c r="T118" s="196">
        <f t="shared" si="33"/>
        <v>0.12759408263160565</v>
      </c>
      <c r="W118" s="195">
        <f t="shared" si="35"/>
        <v>2324648437285.25</v>
      </c>
      <c r="X118" s="195">
        <f t="shared" si="28"/>
        <v>0</v>
      </c>
      <c r="Y118" s="195">
        <f t="shared" si="36"/>
        <v>7281778325495.5781</v>
      </c>
      <c r="Z118" s="195">
        <f t="shared" si="38"/>
        <v>9606426762780.8281</v>
      </c>
      <c r="AA118" s="196">
        <f t="shared" si="39"/>
        <v>9.9996456107826731E-2</v>
      </c>
      <c r="AB118" s="196">
        <f t="shared" si="29"/>
        <v>0.14199242224305766</v>
      </c>
      <c r="AC118" s="196">
        <f t="shared" si="37"/>
        <v>0.2419888783508844</v>
      </c>
      <c r="AD118" s="247">
        <f t="shared" si="34"/>
        <v>0.75801112164911566</v>
      </c>
      <c r="AF118" s="251">
        <f t="shared" si="30"/>
        <v>0.58677251289692889</v>
      </c>
      <c r="AG118" s="251">
        <f t="shared" si="31"/>
        <v>0.41322748710307111</v>
      </c>
    </row>
    <row r="119" spans="1:53" x14ac:dyDescent="0.25">
      <c r="A119" s="194">
        <v>2053</v>
      </c>
      <c r="B119" s="195">
        <f t="shared" si="32"/>
        <v>22065889113636.141</v>
      </c>
      <c r="C119" s="195">
        <f t="shared" si="14"/>
        <v>0</v>
      </c>
      <c r="D119" s="195">
        <f t="shared" si="15"/>
        <v>81501307252980</v>
      </c>
      <c r="E119" s="195">
        <f t="shared" si="16"/>
        <v>103567196366616.14</v>
      </c>
      <c r="F119" s="196">
        <f t="shared" si="17"/>
        <v>0.21305867000131387</v>
      </c>
      <c r="H119" s="194">
        <v>2053</v>
      </c>
      <c r="I119" s="195">
        <f t="shared" si="18"/>
        <v>14433655829158.082</v>
      </c>
      <c r="J119" s="195">
        <f t="shared" si="19"/>
        <v>0</v>
      </c>
      <c r="K119" s="195">
        <f t="shared" si="20"/>
        <v>0</v>
      </c>
      <c r="L119" s="195">
        <f t="shared" si="21"/>
        <v>10068436763402.156</v>
      </c>
      <c r="M119" s="195">
        <f t="shared" si="22"/>
        <v>89219985061102.578</v>
      </c>
      <c r="O119" s="195">
        <f t="shared" si="23"/>
        <v>14433655829158.082</v>
      </c>
      <c r="P119" s="196">
        <f t="shared" si="24"/>
        <v>1</v>
      </c>
      <c r="Q119" s="195">
        <f t="shared" si="25"/>
        <v>99288421824504.734</v>
      </c>
      <c r="R119" s="196">
        <f t="shared" si="26"/>
        <v>0.10140595024461584</v>
      </c>
      <c r="S119" s="464">
        <f t="shared" si="27"/>
        <v>113722077653662.81</v>
      </c>
      <c r="T119" s="196">
        <f t="shared" si="33"/>
        <v>0.12692043732365979</v>
      </c>
      <c r="W119" s="195">
        <f t="shared" si="35"/>
        <v>2436203478924.0977</v>
      </c>
      <c r="X119" s="195">
        <f t="shared" si="28"/>
        <v>0</v>
      </c>
      <c r="Y119" s="195">
        <f t="shared" si="36"/>
        <v>7718677808122.5781</v>
      </c>
      <c r="Z119" s="195">
        <f t="shared" si="38"/>
        <v>10154881287046.676</v>
      </c>
      <c r="AA119" s="196">
        <f t="shared" si="39"/>
        <v>9.8581989460054448E-2</v>
      </c>
      <c r="AB119" s="196">
        <f t="shared" si="29"/>
        <v>0.14132268397336722</v>
      </c>
      <c r="AC119" s="196">
        <f t="shared" si="37"/>
        <v>0.23990467343342167</v>
      </c>
      <c r="AD119" s="247">
        <f t="shared" si="34"/>
        <v>0.7600953265665783</v>
      </c>
      <c r="AF119" s="251">
        <f t="shared" si="30"/>
        <v>0.58907849501559251</v>
      </c>
      <c r="AG119" s="251">
        <f t="shared" si="31"/>
        <v>0.41092150498440749</v>
      </c>
    </row>
    <row r="120" spans="1:53" x14ac:dyDescent="0.25">
      <c r="A120" s="194">
        <v>2054</v>
      </c>
      <c r="B120" s="195">
        <f t="shared" si="32"/>
        <v>22071494924383.977</v>
      </c>
      <c r="C120" s="195">
        <f t="shared" si="14"/>
        <v>0</v>
      </c>
      <c r="D120" s="195">
        <f t="shared" si="15"/>
        <v>82487135651416.406</v>
      </c>
      <c r="E120" s="195">
        <f t="shared" si="16"/>
        <v>104558630575800.38</v>
      </c>
      <c r="F120" s="196">
        <f t="shared" si="17"/>
        <v>0.21109204283603467</v>
      </c>
      <c r="H120" s="194">
        <v>2054</v>
      </c>
      <c r="I120" s="195">
        <f t="shared" si="18"/>
        <v>14562139849162.279</v>
      </c>
      <c r="J120" s="195">
        <f t="shared" si="19"/>
        <v>0</v>
      </c>
      <c r="K120" s="195">
        <f t="shared" si="20"/>
        <v>0</v>
      </c>
      <c r="L120" s="195">
        <f t="shared" si="21"/>
        <v>10061130875163.541</v>
      </c>
      <c r="M120" s="195">
        <f t="shared" si="22"/>
        <v>90658761898997.719</v>
      </c>
      <c r="O120" s="195">
        <f t="shared" si="23"/>
        <v>14562139849162.279</v>
      </c>
      <c r="P120" s="196">
        <f t="shared" si="24"/>
        <v>1</v>
      </c>
      <c r="Q120" s="195">
        <f t="shared" si="25"/>
        <v>100719892774161.27</v>
      </c>
      <c r="R120" s="196">
        <f t="shared" si="26"/>
        <v>9.9892192078908065E-2</v>
      </c>
      <c r="S120" s="464">
        <f t="shared" si="27"/>
        <v>115282032623323.55</v>
      </c>
      <c r="T120" s="196">
        <f t="shared" si="33"/>
        <v>0.12631751468802699</v>
      </c>
      <c r="W120" s="195">
        <f t="shared" si="35"/>
        <v>2551775799941.8438</v>
      </c>
      <c r="X120" s="195">
        <f t="shared" si="28"/>
        <v>0</v>
      </c>
      <c r="Y120" s="195">
        <f t="shared" si="36"/>
        <v>8171626247581.3125</v>
      </c>
      <c r="Z120" s="195">
        <f t="shared" si="38"/>
        <v>10723402047523.156</v>
      </c>
      <c r="AA120" s="196">
        <f t="shared" si="39"/>
        <v>9.7232395077938391E-2</v>
      </c>
      <c r="AB120" s="196">
        <f t="shared" si="29"/>
        <v>0.14073087335432577</v>
      </c>
      <c r="AC120" s="196">
        <f t="shared" si="37"/>
        <v>0.23796326843226415</v>
      </c>
      <c r="AD120" s="247">
        <f t="shared" si="34"/>
        <v>0.76203673156773588</v>
      </c>
      <c r="AF120" s="251">
        <f t="shared" si="30"/>
        <v>0.59139746348871725</v>
      </c>
      <c r="AG120" s="251">
        <f t="shared" si="31"/>
        <v>0.40860253651128275</v>
      </c>
    </row>
    <row r="121" spans="1:53" x14ac:dyDescent="0.25">
      <c r="A121" s="194">
        <v>2055</v>
      </c>
      <c r="B121" s="195">
        <f t="shared" si="32"/>
        <v>22131407334939.055</v>
      </c>
      <c r="C121" s="195">
        <f t="shared" si="14"/>
        <v>0</v>
      </c>
      <c r="D121" s="195">
        <f t="shared" si="15"/>
        <v>83487045472406.188</v>
      </c>
      <c r="E121" s="195">
        <f t="shared" si="16"/>
        <v>105618452807345.25</v>
      </c>
      <c r="F121" s="196">
        <f t="shared" si="17"/>
        <v>0.20954110523951855</v>
      </c>
      <c r="H121" s="194">
        <v>2055</v>
      </c>
      <c r="I121" s="195">
        <f t="shared" si="18"/>
        <v>14729828930484.785</v>
      </c>
      <c r="J121" s="195">
        <f t="shared" si="19"/>
        <v>0</v>
      </c>
      <c r="K121" s="195">
        <f t="shared" si="20"/>
        <v>0</v>
      </c>
      <c r="L121" s="195">
        <f t="shared" si="21"/>
        <v>10079368601380.516</v>
      </c>
      <c r="M121" s="195">
        <f t="shared" si="22"/>
        <v>92134146981639.078</v>
      </c>
      <c r="O121" s="195">
        <f t="shared" si="23"/>
        <v>14729828930484.785</v>
      </c>
      <c r="P121" s="196">
        <f t="shared" si="24"/>
        <v>1</v>
      </c>
      <c r="Q121" s="195">
        <f t="shared" si="25"/>
        <v>102213515583019.59</v>
      </c>
      <c r="R121" s="196">
        <f t="shared" si="26"/>
        <v>9.8610917977807716E-2</v>
      </c>
      <c r="S121" s="464">
        <f t="shared" si="27"/>
        <v>116943344513504.38</v>
      </c>
      <c r="T121" s="196">
        <f t="shared" si="33"/>
        <v>0.12595696652735816</v>
      </c>
      <c r="W121" s="195">
        <f t="shared" si="35"/>
        <v>2677790196926.2461</v>
      </c>
      <c r="X121" s="195">
        <f t="shared" si="28"/>
        <v>0</v>
      </c>
      <c r="Y121" s="195">
        <f t="shared" si="36"/>
        <v>8647101509232.8906</v>
      </c>
      <c r="Z121" s="195">
        <f t="shared" si="38"/>
        <v>11324891706159.137</v>
      </c>
      <c r="AA121" s="196">
        <f t="shared" si="39"/>
        <v>9.606453837456265E-2</v>
      </c>
      <c r="AB121" s="196">
        <f t="shared" si="29"/>
        <v>0.1403871881765979</v>
      </c>
      <c r="AC121" s="196">
        <f t="shared" si="37"/>
        <v>0.23645172655116053</v>
      </c>
      <c r="AD121" s="247">
        <f t="shared" si="34"/>
        <v>0.76354827344883947</v>
      </c>
      <c r="AF121" s="251">
        <f t="shared" si="30"/>
        <v>0.59372452138226461</v>
      </c>
      <c r="AG121" s="251">
        <f t="shared" si="31"/>
        <v>0.40627547861773544</v>
      </c>
    </row>
    <row r="122" spans="1:53" x14ac:dyDescent="0.25">
      <c r="A122" s="194">
        <v>2056</v>
      </c>
      <c r="B122" s="195">
        <f t="shared" si="32"/>
        <v>22088176688693.699</v>
      </c>
      <c r="C122" s="195">
        <f t="shared" si="14"/>
        <v>0</v>
      </c>
      <c r="D122" s="195">
        <f t="shared" si="15"/>
        <v>84330778446325.516</v>
      </c>
      <c r="E122" s="195">
        <f t="shared" si="16"/>
        <v>106418955135019.22</v>
      </c>
      <c r="F122" s="196">
        <f t="shared" si="17"/>
        <v>0.2075586690422706</v>
      </c>
      <c r="H122" s="194">
        <v>2056</v>
      </c>
      <c r="I122" s="195">
        <f t="shared" si="18"/>
        <v>14831961477423.258</v>
      </c>
      <c r="J122" s="195">
        <f t="shared" si="19"/>
        <v>0</v>
      </c>
      <c r="K122" s="195">
        <f t="shared" si="20"/>
        <v>0</v>
      </c>
      <c r="L122" s="195">
        <f t="shared" si="21"/>
        <v>10051478446866.18</v>
      </c>
      <c r="M122" s="195">
        <f t="shared" si="22"/>
        <v>93456280622596.719</v>
      </c>
      <c r="O122" s="195">
        <f t="shared" si="23"/>
        <v>14831961477423.258</v>
      </c>
      <c r="P122" s="196">
        <f t="shared" si="24"/>
        <v>1</v>
      </c>
      <c r="Q122" s="195">
        <f t="shared" si="25"/>
        <v>103507759069462.91</v>
      </c>
      <c r="R122" s="196">
        <f t="shared" si="26"/>
        <v>9.7108453870793823E-2</v>
      </c>
      <c r="S122" s="464">
        <f t="shared" si="27"/>
        <v>118339720546886.16</v>
      </c>
      <c r="T122" s="196">
        <f t="shared" si="33"/>
        <v>0.12533375445606904</v>
      </c>
      <c r="W122" s="195">
        <f t="shared" si="35"/>
        <v>2795263235595.7383</v>
      </c>
      <c r="X122" s="195">
        <f t="shared" si="28"/>
        <v>0</v>
      </c>
      <c r="Y122" s="195">
        <f t="shared" si="36"/>
        <v>9125502176271.2031</v>
      </c>
      <c r="Z122" s="195">
        <f t="shared" si="38"/>
        <v>11920765411866.941</v>
      </c>
      <c r="AA122" s="196">
        <f t="shared" si="39"/>
        <v>9.4719216936056713E-2</v>
      </c>
      <c r="AB122" s="196">
        <f t="shared" si="29"/>
        <v>0.13976767539160337</v>
      </c>
      <c r="AC122" s="196">
        <f t="shared" si="37"/>
        <v>0.2344868923276601</v>
      </c>
      <c r="AD122" s="247">
        <f t="shared" si="34"/>
        <v>0.76551310767233993</v>
      </c>
      <c r="AF122" s="251">
        <f t="shared" si="30"/>
        <v>0.59605751948087193</v>
      </c>
      <c r="AG122" s="251">
        <f t="shared" si="31"/>
        <v>0.40394248051912807</v>
      </c>
    </row>
    <row r="123" spans="1:53" x14ac:dyDescent="0.25">
      <c r="A123" s="194">
        <v>2057</v>
      </c>
      <c r="B123" s="195">
        <f t="shared" si="32"/>
        <v>22100863351275.684</v>
      </c>
      <c r="C123" s="195">
        <f t="shared" si="14"/>
        <v>0</v>
      </c>
      <c r="D123" s="195">
        <f t="shared" si="15"/>
        <v>85183737725711.813</v>
      </c>
      <c r="E123" s="195">
        <f t="shared" si="16"/>
        <v>107284601076987.5</v>
      </c>
      <c r="F123" s="196">
        <f t="shared" si="17"/>
        <v>0.20600219537020126</v>
      </c>
      <c r="H123" s="194">
        <v>2057</v>
      </c>
      <c r="I123" s="195">
        <f t="shared" si="18"/>
        <v>14974412583334.623</v>
      </c>
      <c r="J123" s="195">
        <f t="shared" si="19"/>
        <v>0</v>
      </c>
      <c r="K123" s="195">
        <f t="shared" si="20"/>
        <v>0</v>
      </c>
      <c r="L123" s="195">
        <f t="shared" si="21"/>
        <v>10049928722246.076</v>
      </c>
      <c r="M123" s="195">
        <f t="shared" si="22"/>
        <v>94809687342601.469</v>
      </c>
      <c r="O123" s="195">
        <f t="shared" si="23"/>
        <v>14974412583334.623</v>
      </c>
      <c r="P123" s="196">
        <f t="shared" si="24"/>
        <v>1</v>
      </c>
      <c r="Q123" s="195">
        <f t="shared" si="25"/>
        <v>104859616064847.55</v>
      </c>
      <c r="R123" s="196">
        <f t="shared" si="26"/>
        <v>9.5841746321395777E-2</v>
      </c>
      <c r="S123" s="464">
        <f t="shared" si="27"/>
        <v>119834028648182.17</v>
      </c>
      <c r="T123" s="196">
        <f t="shared" si="33"/>
        <v>0.12495960247900569</v>
      </c>
      <c r="W123" s="195">
        <f t="shared" si="35"/>
        <v>2923477954305.0156</v>
      </c>
      <c r="X123" s="195">
        <f t="shared" si="28"/>
        <v>0</v>
      </c>
      <c r="Y123" s="195">
        <f t="shared" si="36"/>
        <v>9625949616889.6563</v>
      </c>
      <c r="Z123" s="195">
        <f t="shared" si="38"/>
        <v>12549427571194.672</v>
      </c>
      <c r="AA123" s="196">
        <f t="shared" si="39"/>
        <v>9.3556988455030979E-2</v>
      </c>
      <c r="AB123" s="196">
        <f t="shared" si="29"/>
        <v>0.13940008769204532</v>
      </c>
      <c r="AC123" s="196">
        <f t="shared" si="37"/>
        <v>0.23295707614707628</v>
      </c>
      <c r="AD123" s="247">
        <f t="shared" si="34"/>
        <v>0.76704292385292372</v>
      </c>
      <c r="AF123" s="251">
        <f t="shared" si="30"/>
        <v>0.59839387580584058</v>
      </c>
      <c r="AG123" s="251">
        <f t="shared" si="31"/>
        <v>0.40160612419415942</v>
      </c>
    </row>
    <row r="124" spans="1:53" x14ac:dyDescent="0.25">
      <c r="A124" s="194">
        <v>2058</v>
      </c>
      <c r="B124" s="195">
        <f t="shared" si="32"/>
        <v>22117521006822.48</v>
      </c>
      <c r="C124" s="195">
        <f t="shared" si="14"/>
        <v>0</v>
      </c>
      <c r="D124" s="195">
        <f t="shared" si="15"/>
        <v>85987552181661.641</v>
      </c>
      <c r="E124" s="195">
        <f t="shared" si="16"/>
        <v>108105073188484.13</v>
      </c>
      <c r="F124" s="196">
        <f t="shared" si="17"/>
        <v>0.20459281284847736</v>
      </c>
      <c r="H124" s="194">
        <v>2058</v>
      </c>
      <c r="I124" s="195">
        <f t="shared" si="18"/>
        <v>15122443310928.576</v>
      </c>
      <c r="J124" s="195">
        <f t="shared" si="19"/>
        <v>0</v>
      </c>
      <c r="K124" s="195">
        <f t="shared" si="20"/>
        <v>0</v>
      </c>
      <c r="L124" s="195">
        <f t="shared" si="21"/>
        <v>10051102353558.025</v>
      </c>
      <c r="M124" s="195">
        <f t="shared" si="22"/>
        <v>96128747454296.391</v>
      </c>
      <c r="O124" s="195">
        <f t="shared" si="23"/>
        <v>15122443310928.576</v>
      </c>
      <c r="P124" s="196">
        <f t="shared" si="24"/>
        <v>1</v>
      </c>
      <c r="Q124" s="195">
        <f t="shared" si="25"/>
        <v>106179849807854.42</v>
      </c>
      <c r="R124" s="196">
        <f t="shared" si="26"/>
        <v>9.466110916286602E-2</v>
      </c>
      <c r="S124" s="464">
        <f t="shared" si="27"/>
        <v>121302293118783</v>
      </c>
      <c r="T124" s="196">
        <f t="shared" si="33"/>
        <v>0.12466741495249564</v>
      </c>
      <c r="W124" s="195">
        <f t="shared" si="35"/>
        <v>3056024657664.1211</v>
      </c>
      <c r="X124" s="195">
        <f t="shared" si="28"/>
        <v>0</v>
      </c>
      <c r="Y124" s="195">
        <f t="shared" si="36"/>
        <v>10141195272634.75</v>
      </c>
      <c r="Z124" s="195">
        <f t="shared" si="38"/>
        <v>13197219930298.871</v>
      </c>
      <c r="AA124" s="196">
        <f t="shared" si="39"/>
        <v>9.2457831999664328E-2</v>
      </c>
      <c r="AB124" s="196">
        <f t="shared" si="29"/>
        <v>0.13910795790188449</v>
      </c>
      <c r="AC124" s="196">
        <f t="shared" si="37"/>
        <v>0.23156578990154883</v>
      </c>
      <c r="AD124" s="247">
        <f t="shared" si="34"/>
        <v>0.76843421009845114</v>
      </c>
      <c r="AF124" s="251">
        <f t="shared" si="30"/>
        <v>0.60072758571560514</v>
      </c>
      <c r="AG124" s="251">
        <f t="shared" si="31"/>
        <v>0.39927241428439481</v>
      </c>
    </row>
    <row r="125" spans="1:53" x14ac:dyDescent="0.25">
      <c r="A125" s="194">
        <v>2059</v>
      </c>
      <c r="B125" s="195">
        <f t="shared" si="32"/>
        <v>22138955009844.145</v>
      </c>
      <c r="C125" s="195">
        <f t="shared" si="14"/>
        <v>0</v>
      </c>
      <c r="D125" s="195">
        <f t="shared" si="15"/>
        <v>86739794255631.844</v>
      </c>
      <c r="E125" s="195">
        <f t="shared" si="16"/>
        <v>108878749265475.98</v>
      </c>
      <c r="F125" s="196">
        <f t="shared" si="17"/>
        <v>0.20333586819465896</v>
      </c>
      <c r="H125" s="194">
        <v>2059</v>
      </c>
      <c r="I125" s="195">
        <f t="shared" si="18"/>
        <v>15276372771433.73</v>
      </c>
      <c r="J125" s="195">
        <f t="shared" si="19"/>
        <v>0</v>
      </c>
      <c r="K125" s="195">
        <f t="shared" si="20"/>
        <v>0</v>
      </c>
      <c r="L125" s="195">
        <f t="shared" si="21"/>
        <v>10055406989407.156</v>
      </c>
      <c r="M125" s="195">
        <f t="shared" si="22"/>
        <v>97410028882561.156</v>
      </c>
      <c r="O125" s="195">
        <f t="shared" si="23"/>
        <v>15276372771433.73</v>
      </c>
      <c r="P125" s="196">
        <f t="shared" si="24"/>
        <v>1</v>
      </c>
      <c r="Q125" s="195">
        <f t="shared" si="25"/>
        <v>107465435871968.31</v>
      </c>
      <c r="R125" s="196">
        <f t="shared" si="26"/>
        <v>9.3568754528543685E-2</v>
      </c>
      <c r="S125" s="464">
        <f t="shared" si="27"/>
        <v>122741808643402.05</v>
      </c>
      <c r="T125" s="196">
        <f t="shared" si="33"/>
        <v>0.12445940743643187</v>
      </c>
      <c r="W125" s="195">
        <f t="shared" si="35"/>
        <v>3192824750996.7422</v>
      </c>
      <c r="X125" s="195">
        <f t="shared" si="28"/>
        <v>0</v>
      </c>
      <c r="Y125" s="195">
        <f t="shared" si="36"/>
        <v>10670234626929.313</v>
      </c>
      <c r="Z125" s="195">
        <f t="shared" si="38"/>
        <v>13863059377926.055</v>
      </c>
      <c r="AA125" s="196">
        <f t="shared" si="39"/>
        <v>9.1421837871911202E-2</v>
      </c>
      <c r="AB125" s="196">
        <f t="shared" si="29"/>
        <v>0.1388898605747268</v>
      </c>
      <c r="AC125" s="196">
        <f t="shared" si="37"/>
        <v>0.23031169844663799</v>
      </c>
      <c r="AD125" s="247">
        <f t="shared" si="34"/>
        <v>0.76968830155336199</v>
      </c>
      <c r="AF125" s="251">
        <f t="shared" si="30"/>
        <v>0.60305169694585381</v>
      </c>
      <c r="AG125" s="251">
        <f t="shared" si="31"/>
        <v>0.39694830305414625</v>
      </c>
    </row>
    <row r="126" spans="1:53" x14ac:dyDescent="0.25">
      <c r="A126" s="194">
        <v>2060</v>
      </c>
      <c r="B126" s="195">
        <f t="shared" si="32"/>
        <v>22127937259425.352</v>
      </c>
      <c r="C126" s="195">
        <f t="shared" si="14"/>
        <v>0</v>
      </c>
      <c r="D126" s="195">
        <f t="shared" si="15"/>
        <v>87431930655443.656</v>
      </c>
      <c r="E126" s="195">
        <f t="shared" si="16"/>
        <v>109559867914869</v>
      </c>
      <c r="F126" s="196">
        <f t="shared" si="17"/>
        <v>0.20197119328967575</v>
      </c>
      <c r="H126" s="194">
        <v>2060</v>
      </c>
      <c r="I126" s="195">
        <f t="shared" si="18"/>
        <v>15410108338430.215</v>
      </c>
      <c r="J126" s="195">
        <f t="shared" si="19"/>
        <v>0</v>
      </c>
      <c r="K126" s="195">
        <f t="shared" si="20"/>
        <v>0</v>
      </c>
      <c r="L126" s="195">
        <f t="shared" si="21"/>
        <v>10045980439914.496</v>
      </c>
      <c r="M126" s="195">
        <f t="shared" si="22"/>
        <v>98642224970231.188</v>
      </c>
      <c r="O126" s="195">
        <f t="shared" si="23"/>
        <v>15410108338430.215</v>
      </c>
      <c r="P126" s="196">
        <f t="shared" si="24"/>
        <v>1</v>
      </c>
      <c r="Q126" s="195">
        <f t="shared" si="25"/>
        <v>108688205410145.69</v>
      </c>
      <c r="R126" s="196">
        <f t="shared" si="26"/>
        <v>9.2429352403096507E-2</v>
      </c>
      <c r="S126" s="464">
        <f t="shared" si="27"/>
        <v>124098313748575.91</v>
      </c>
      <c r="T126" s="196">
        <f t="shared" si="33"/>
        <v>0.1241766134683442</v>
      </c>
      <c r="W126" s="195">
        <f t="shared" si="35"/>
        <v>3328151518919.3594</v>
      </c>
      <c r="X126" s="195">
        <f t="shared" si="28"/>
        <v>0</v>
      </c>
      <c r="Y126" s="195">
        <f t="shared" si="36"/>
        <v>11210294314787.531</v>
      </c>
      <c r="Z126" s="195">
        <f t="shared" si="38"/>
        <v>14538445833706.891</v>
      </c>
      <c r="AA126" s="196">
        <f t="shared" si="39"/>
        <v>9.0341179937224833E-2</v>
      </c>
      <c r="AB126" s="196">
        <f t="shared" si="29"/>
        <v>0.13857954219410185</v>
      </c>
      <c r="AC126" s="196">
        <f t="shared" si="37"/>
        <v>0.22892072213132669</v>
      </c>
      <c r="AD126" s="247">
        <f t="shared" si="34"/>
        <v>0.77107927786867325</v>
      </c>
      <c r="AF126" s="251">
        <f t="shared" si="30"/>
        <v>0.60536040994402363</v>
      </c>
      <c r="AG126" s="251">
        <f t="shared" si="31"/>
        <v>0.39463959005597632</v>
      </c>
      <c r="BA126" s="516"/>
    </row>
    <row r="127" spans="1:53" x14ac:dyDescent="0.25">
      <c r="BA127" s="516"/>
    </row>
    <row r="128" spans="1:53" x14ac:dyDescent="0.25">
      <c r="BA128" s="516"/>
    </row>
    <row r="129" spans="1:58" ht="92.25" customHeight="1" x14ac:dyDescent="0.25">
      <c r="BA129" s="516"/>
    </row>
    <row r="130" spans="1:58" ht="13.5" customHeight="1" thickBot="1" x14ac:dyDescent="0.3">
      <c r="BA130" s="516"/>
    </row>
    <row r="131" spans="1:58" s="485" customFormat="1" ht="44.25" customHeight="1" thickBot="1" x14ac:dyDescent="0.35">
      <c r="A131" s="491"/>
      <c r="B131" s="660" t="s">
        <v>595</v>
      </c>
      <c r="C131" s="660"/>
      <c r="D131" s="660"/>
      <c r="E131" s="660"/>
      <c r="F131" s="660"/>
      <c r="G131" s="660"/>
      <c r="H131" s="660"/>
      <c r="I131" s="492"/>
      <c r="J131" s="620" t="s">
        <v>596</v>
      </c>
      <c r="K131" s="621"/>
      <c r="L131" s="621"/>
      <c r="M131" s="621"/>
      <c r="N131" s="621"/>
      <c r="O131" s="621"/>
      <c r="P131" s="622"/>
      <c r="Q131" s="492"/>
      <c r="R131" s="620" t="s">
        <v>603</v>
      </c>
      <c r="S131" s="621"/>
      <c r="T131" s="621"/>
      <c r="U131" s="621"/>
      <c r="V131" s="621"/>
      <c r="W131" s="621"/>
      <c r="X131" s="621"/>
      <c r="Y131" s="621"/>
      <c r="Z131" s="621"/>
      <c r="AA131" s="621"/>
      <c r="AB131" s="621"/>
      <c r="AC131" s="622"/>
      <c r="AD131" s="491"/>
      <c r="AE131" s="620" t="s">
        <v>598</v>
      </c>
      <c r="AF131" s="621"/>
      <c r="AG131" s="621"/>
      <c r="AH131" s="621"/>
      <c r="AI131" s="621"/>
      <c r="AJ131" s="621"/>
      <c r="AK131" s="621"/>
      <c r="AL131" s="621"/>
      <c r="AM131" s="621"/>
      <c r="AN131" s="621"/>
      <c r="AO131" s="621"/>
      <c r="AP131" s="622"/>
      <c r="AQ131" s="491"/>
      <c r="AR131" s="491"/>
      <c r="AS131" s="491"/>
      <c r="AT131" s="634" t="s">
        <v>505</v>
      </c>
      <c r="AU131" s="635"/>
      <c r="AV131" s="635"/>
      <c r="AW131" s="635"/>
      <c r="AX131" s="635"/>
      <c r="AY131" s="635"/>
      <c r="AZ131" s="635"/>
      <c r="BA131" s="635"/>
      <c r="BB131" s="636"/>
      <c r="BC131" s="516"/>
      <c r="BD131" s="491"/>
      <c r="BE131" s="491"/>
      <c r="BF131" s="491"/>
    </row>
    <row r="132" spans="1:58" s="413" customFormat="1" ht="67.5" customHeight="1" x14ac:dyDescent="0.25">
      <c r="A132" s="446"/>
      <c r="B132" s="661" t="s">
        <v>376</v>
      </c>
      <c r="C132" s="661"/>
      <c r="D132" s="661"/>
      <c r="E132" s="662" t="s">
        <v>375</v>
      </c>
      <c r="F132" s="662"/>
      <c r="G132" s="662"/>
      <c r="H132" s="662"/>
      <c r="I132" s="447"/>
      <c r="J132" s="624" t="s">
        <v>376</v>
      </c>
      <c r="K132" s="624"/>
      <c r="L132" s="624"/>
      <c r="M132" s="626" t="s">
        <v>375</v>
      </c>
      <c r="N132" s="626"/>
      <c r="O132" s="626"/>
      <c r="P132" s="626"/>
      <c r="Q132" s="447"/>
      <c r="R132" s="675" t="s">
        <v>377</v>
      </c>
      <c r="S132" s="676"/>
      <c r="T132" s="676"/>
      <c r="U132" s="677"/>
      <c r="V132" s="503"/>
      <c r="W132" s="678" t="s">
        <v>375</v>
      </c>
      <c r="X132" s="679"/>
      <c r="Y132" s="679"/>
      <c r="Z132" s="680"/>
      <c r="AA132" s="507"/>
      <c r="AB132" s="683" t="s">
        <v>470</v>
      </c>
      <c r="AC132" s="684"/>
      <c r="AD132" s="445"/>
      <c r="AE132" s="685" t="s">
        <v>376</v>
      </c>
      <c r="AF132" s="686"/>
      <c r="AG132" s="686"/>
      <c r="AH132" s="687"/>
      <c r="AI132" s="485"/>
      <c r="AJ132" s="688" t="s">
        <v>375</v>
      </c>
      <c r="AK132" s="689"/>
      <c r="AL132" s="689"/>
      <c r="AM132" s="690"/>
      <c r="AN132" s="485"/>
      <c r="AO132" s="691" t="s">
        <v>526</v>
      </c>
      <c r="AP132" s="692"/>
      <c r="AQ132" s="445"/>
      <c r="AR132" s="445"/>
      <c r="AS132" s="446"/>
      <c r="AT132" s="606" t="str">
        <f ca="1">CONCATENATE("Table 11(a): EMISSIONS ALLOCATION TO HEALTH &amp; EDUCATION in LLDC, ",A1)</f>
        <v>Table 11(a): EMISSIONS ALLOCATION TO HEALTH &amp; EDUCATION in LLDC, Passenger-km_cluster</v>
      </c>
      <c r="AU132" s="607"/>
      <c r="AV132" s="608"/>
      <c r="AW132" s="445"/>
      <c r="AX132" s="606" t="str">
        <f ca="1">CONCATENATE("Table 11(b): EMISSIONS ALLOCATION TO Education in LLDC, ",A1)</f>
        <v>Table 11(b): EMISSIONS ALLOCATION TO Education in LLDC, Passenger-km_cluster</v>
      </c>
      <c r="AY132" s="608"/>
      <c r="AZ132" s="446"/>
      <c r="BA132" s="606" t="str">
        <f ca="1">CONCATENATE("Table 11(c): EMISSIONS ALLOCATION TO Family Planning in LLDC, ",A1)</f>
        <v>Table 11(c): EMISSIONS ALLOCATION TO Family Planning in LLDC, Passenger-km_cluster</v>
      </c>
      <c r="BB132" s="608"/>
      <c r="BC132" s="516"/>
      <c r="BD132" s="446"/>
      <c r="BE132" s="612" t="s">
        <v>463</v>
      </c>
      <c r="BF132" s="613"/>
    </row>
    <row r="133" spans="1:58" ht="24.75" customHeight="1" x14ac:dyDescent="0.25">
      <c r="B133" s="453" t="s">
        <v>219</v>
      </c>
      <c r="C133" s="453" t="s">
        <v>220</v>
      </c>
      <c r="D133" s="453" t="s">
        <v>221</v>
      </c>
      <c r="E133" s="454" t="s">
        <v>222</v>
      </c>
      <c r="F133" s="454" t="s">
        <v>220</v>
      </c>
      <c r="G133" s="454" t="s">
        <v>248</v>
      </c>
      <c r="H133" s="454" t="s">
        <v>221</v>
      </c>
      <c r="I133" s="414"/>
      <c r="J133" s="514" t="s">
        <v>219</v>
      </c>
      <c r="K133" s="514" t="s">
        <v>220</v>
      </c>
      <c r="L133" s="514" t="s">
        <v>221</v>
      </c>
      <c r="M133" s="515" t="s">
        <v>222</v>
      </c>
      <c r="N133" s="515" t="s">
        <v>220</v>
      </c>
      <c r="O133" s="515" t="s">
        <v>248</v>
      </c>
      <c r="P133" s="515" t="s">
        <v>221</v>
      </c>
      <c r="Q133" s="414"/>
      <c r="R133" s="625" t="s">
        <v>223</v>
      </c>
      <c r="S133" s="625"/>
      <c r="T133" s="625"/>
      <c r="U133" s="625"/>
      <c r="V133" s="504"/>
      <c r="W133" s="623" t="s">
        <v>223</v>
      </c>
      <c r="X133" s="623"/>
      <c r="Y133" s="623"/>
      <c r="Z133" s="623"/>
      <c r="AA133" s="508"/>
      <c r="AB133" s="681" t="s">
        <v>218</v>
      </c>
      <c r="AC133" s="682"/>
      <c r="AE133" s="672" t="s">
        <v>223</v>
      </c>
      <c r="AF133" s="673"/>
      <c r="AG133" s="673"/>
      <c r="AH133" s="674"/>
      <c r="AI133" s="413"/>
      <c r="AJ133" s="609" t="s">
        <v>223</v>
      </c>
      <c r="AK133" s="609"/>
      <c r="AL133" s="609"/>
      <c r="AM133" s="609"/>
      <c r="AN133" s="413"/>
      <c r="AO133" s="681" t="s">
        <v>218</v>
      </c>
      <c r="AP133" s="682"/>
      <c r="AT133" s="435"/>
      <c r="AU133" s="603"/>
      <c r="AV133" s="603"/>
      <c r="AX133" s="603"/>
      <c r="AY133" s="603"/>
      <c r="BA133" s="603"/>
      <c r="BB133" s="603"/>
      <c r="BC133" s="516"/>
      <c r="BE133" s="602" t="s">
        <v>218</v>
      </c>
      <c r="BF133" s="602"/>
    </row>
    <row r="134" spans="1:58" ht="38.25" customHeight="1" x14ac:dyDescent="0.25">
      <c r="B134" s="453" t="s">
        <v>500</v>
      </c>
      <c r="C134" s="453" t="s">
        <v>500</v>
      </c>
      <c r="D134" s="453" t="s">
        <v>513</v>
      </c>
      <c r="E134" s="454" t="s">
        <v>500</v>
      </c>
      <c r="F134" s="454" t="s">
        <v>500</v>
      </c>
      <c r="G134" s="454" t="s">
        <v>249</v>
      </c>
      <c r="H134" s="454" t="s">
        <v>513</v>
      </c>
      <c r="I134" s="415"/>
      <c r="J134" s="514" t="s">
        <v>500</v>
      </c>
      <c r="K134" s="514" t="s">
        <v>500</v>
      </c>
      <c r="L134" s="514" t="s">
        <v>513</v>
      </c>
      <c r="M134" s="515" t="s">
        <v>500</v>
      </c>
      <c r="N134" s="515" t="s">
        <v>500</v>
      </c>
      <c r="O134" s="515" t="s">
        <v>249</v>
      </c>
      <c r="P134" s="515" t="s">
        <v>513</v>
      </c>
      <c r="Q134" s="415"/>
      <c r="R134" s="436" t="s">
        <v>224</v>
      </c>
      <c r="S134" s="436" t="s">
        <v>36</v>
      </c>
      <c r="T134" s="436" t="s">
        <v>225</v>
      </c>
      <c r="U134" s="436" t="s">
        <v>226</v>
      </c>
      <c r="V134" s="505"/>
      <c r="W134" s="437" t="s">
        <v>224</v>
      </c>
      <c r="X134" s="437" t="s">
        <v>36</v>
      </c>
      <c r="Y134" s="437" t="s">
        <v>225</v>
      </c>
      <c r="Z134" s="437" t="s">
        <v>226</v>
      </c>
      <c r="AA134" s="505"/>
      <c r="AB134" s="438" t="s">
        <v>227</v>
      </c>
      <c r="AC134" s="438" t="s">
        <v>228</v>
      </c>
      <c r="AE134" s="448" t="s">
        <v>224</v>
      </c>
      <c r="AF134" s="448" t="s">
        <v>36</v>
      </c>
      <c r="AG134" s="448" t="s">
        <v>225</v>
      </c>
      <c r="AH134" s="448" t="s">
        <v>226</v>
      </c>
      <c r="AJ134" s="449" t="s">
        <v>224</v>
      </c>
      <c r="AK134" s="449" t="s">
        <v>36</v>
      </c>
      <c r="AL134" s="449" t="s">
        <v>225</v>
      </c>
      <c r="AM134" s="449" t="s">
        <v>226</v>
      </c>
      <c r="AO134" s="450" t="s">
        <v>227</v>
      </c>
      <c r="AP134" s="450" t="s">
        <v>228</v>
      </c>
      <c r="AT134" s="435"/>
      <c r="AU134" s="434" t="s">
        <v>227</v>
      </c>
      <c r="AV134" s="434" t="s">
        <v>228</v>
      </c>
      <c r="AX134" s="434" t="s">
        <v>227</v>
      </c>
      <c r="AY134" s="434" t="s">
        <v>228</v>
      </c>
      <c r="BA134" s="434" t="s">
        <v>227</v>
      </c>
      <c r="BB134" s="434" t="s">
        <v>228</v>
      </c>
      <c r="BC134" s="516"/>
      <c r="BE134" s="481" t="s">
        <v>227</v>
      </c>
      <c r="BF134" s="481" t="s">
        <v>228</v>
      </c>
    </row>
    <row r="135" spans="1:58" ht="15.6" x14ac:dyDescent="0.3">
      <c r="A135" s="152">
        <v>2014</v>
      </c>
      <c r="B135" s="178"/>
      <c r="C135" s="182"/>
      <c r="D135" s="183"/>
      <c r="E135" s="179">
        <f>IFERROR(IF($G$19="Y",$F$19,$AA80)*(SUMIF($H$5:$H$16,"Y",$F$5:$F$16)*(Z29-B29)),0)</f>
        <v>0</v>
      </c>
      <c r="F135" s="183" t="str">
        <f>IFERROR(E135-E134,"")</f>
        <v/>
      </c>
      <c r="G135" s="247">
        <f t="shared" ref="G135:G181" si="40">IFERROR(E135/((Z29+N29)-B29),"")</f>
        <v>0</v>
      </c>
      <c r="H135" s="245" t="s">
        <v>264</v>
      </c>
      <c r="I135" s="416"/>
      <c r="J135" s="178"/>
      <c r="K135" s="182"/>
      <c r="L135" s="183"/>
      <c r="M135" s="179">
        <f t="shared" ref="M135:M181" si="41">IFERROR(IF($G$19="Y",$F$19,$AB80)*(SUMIF($H$5:$H$16,"Y",$F$5:$F$16)*((Z29+N29)-B29)),0)</f>
        <v>0</v>
      </c>
      <c r="N135" s="183" t="str">
        <f>IFERROR(M135-M134,"")</f>
        <v/>
      </c>
      <c r="O135" s="247">
        <f t="shared" ref="O135:O181" si="42">IFERROR(M135/((Z29+N29)-B29),"")</f>
        <v>0</v>
      </c>
      <c r="P135" s="245" t="s">
        <v>264</v>
      </c>
      <c r="Q135" s="416"/>
      <c r="R135" s="167"/>
      <c r="S135" s="167"/>
      <c r="T135" s="167"/>
      <c r="U135" s="167"/>
      <c r="V135" s="506"/>
      <c r="W135" s="167" t="s">
        <v>213</v>
      </c>
      <c r="X135" s="167" t="s">
        <v>213</v>
      </c>
      <c r="Y135" s="167" t="s">
        <v>211</v>
      </c>
      <c r="Z135" s="167" t="s">
        <v>211</v>
      </c>
      <c r="AA135" s="509"/>
      <c r="AB135" s="496"/>
      <c r="AC135" s="496"/>
      <c r="AE135" s="167" t="s">
        <v>211</v>
      </c>
      <c r="AF135" s="167" t="s">
        <v>211</v>
      </c>
      <c r="AG135" s="167" t="s">
        <v>211</v>
      </c>
      <c r="AH135" s="167" t="s">
        <v>211</v>
      </c>
      <c r="AI135" s="165"/>
      <c r="AJ135" s="167" t="s">
        <v>213</v>
      </c>
      <c r="AK135" s="167" t="s">
        <v>213</v>
      </c>
      <c r="AL135" s="167" t="s">
        <v>211</v>
      </c>
      <c r="AM135" s="167" t="s">
        <v>211</v>
      </c>
      <c r="AN135" s="165"/>
      <c r="AO135" s="257"/>
      <c r="AP135" s="257"/>
      <c r="AT135" s="478">
        <v>2014</v>
      </c>
      <c r="AU135" s="479">
        <f>IFERROR(AB135+AO135,"")</f>
        <v>0</v>
      </c>
      <c r="AV135" s="479">
        <f>IFERROR(AC135+AP135,"")</f>
        <v>0</v>
      </c>
      <c r="AW135" s="430"/>
      <c r="AX135" s="479">
        <f t="shared" ref="AX135:AY181" si="43">IFERROR(AO135*$F$20,"")</f>
        <v>0</v>
      </c>
      <c r="AY135" s="479">
        <f t="shared" si="43"/>
        <v>0</v>
      </c>
      <c r="AZ135" s="430"/>
      <c r="BA135" s="479">
        <f t="shared" ref="BA135:BB181" si="44">AU135-AX135</f>
        <v>0</v>
      </c>
      <c r="BB135" s="479">
        <f t="shared" si="44"/>
        <v>0</v>
      </c>
      <c r="BC135" s="516"/>
      <c r="BE135" s="480" t="str">
        <f t="shared" ref="BE135:BE181" si="45">IFERROR(AX135/AU135,"")</f>
        <v/>
      </c>
      <c r="BF135" s="480" t="str">
        <f t="shared" ref="BF135:BF181" si="46">IFERROR(BB135/(AY135+BB135),"")</f>
        <v/>
      </c>
    </row>
    <row r="136" spans="1:58" ht="15.6" x14ac:dyDescent="0.3">
      <c r="A136" s="152">
        <v>2015</v>
      </c>
      <c r="B136" s="178"/>
      <c r="C136" s="182"/>
      <c r="D136" s="183"/>
      <c r="E136" s="179">
        <f>IFERROR(IF($G$19="Y",$F$19,$AA81)*(SUMIF($H$5:$H$16,"Y",$F$5:$F$16)*(Z30-B30)),0)</f>
        <v>0</v>
      </c>
      <c r="F136" s="183">
        <f>IFERROR(E136-E135,"")</f>
        <v>0</v>
      </c>
      <c r="G136" s="247">
        <f t="shared" si="40"/>
        <v>0</v>
      </c>
      <c r="H136" s="246"/>
      <c r="I136" s="417"/>
      <c r="J136" s="178"/>
      <c r="K136" s="182"/>
      <c r="L136" s="183"/>
      <c r="M136" s="179">
        <f t="shared" si="41"/>
        <v>0</v>
      </c>
      <c r="N136" s="183">
        <f>IFERROR(M136-M135,"")</f>
        <v>0</v>
      </c>
      <c r="O136" s="247">
        <f t="shared" si="42"/>
        <v>0</v>
      </c>
      <c r="P136" s="246"/>
      <c r="Q136" s="417"/>
      <c r="R136" s="439"/>
      <c r="S136" s="440"/>
      <c r="T136" s="439"/>
      <c r="U136" s="440"/>
      <c r="V136" s="506"/>
      <c r="W136" s="259">
        <f>IF(W135="Y",IFERROR(E136*($F$8/SUMIF($H$5:$H$16,"Y",$F$5:$F$16))*$F$21*'Emissions Factors'!$B12,""),"")</f>
        <v>0</v>
      </c>
      <c r="X136" s="259">
        <f>IF($X$135="Y",IFERROR($E136*(SUM($F$7,$F$5,$F$6)/SUMIF($H$5:$H$16,"Y",$F$5:$F$16))*('Emissions Factors'!$T$143*$F$22)/10^6,""),"")</f>
        <v>0</v>
      </c>
      <c r="Y136" s="441"/>
      <c r="Z136" s="441"/>
      <c r="AA136" s="509"/>
      <c r="AB136" s="441">
        <f t="shared" ref="AB136:AB181" si="47">SUM(W136:Z136)</f>
        <v>0</v>
      </c>
      <c r="AC136" s="441">
        <f t="shared" ref="AC136:AC181" si="48">SUM(R136:U136)</f>
        <v>0</v>
      </c>
      <c r="AE136" s="182"/>
      <c r="AF136" s="178"/>
      <c r="AG136" s="182"/>
      <c r="AH136" s="178"/>
      <c r="AJ136" s="259">
        <f>IF($AJ$135="Y",IFERROR(M136*($F$8/SUMIF($H$5:$H$16,"Y",$F$5:$F$16))*$F$21*'Emissions Factors'!$B12,""),"")</f>
        <v>0</v>
      </c>
      <c r="AK136" s="259">
        <f>IF($AK$135="Y",IFERROR($M136*(SUM($F$7,$F$5,$F$6)/SUMIF($H$5:$H$16,"Y",$F$5:$F$16))*('Emissions Factors'!$T$143*$F$22)/10^6,""),"")</f>
        <v>0</v>
      </c>
      <c r="AL136" s="180"/>
      <c r="AM136" s="180"/>
      <c r="AO136" s="180">
        <f t="shared" ref="AO136:AO181" si="49">SUM(AJ136:AM136)</f>
        <v>0</v>
      </c>
      <c r="AP136" s="180">
        <f t="shared" ref="AP136:AP181" si="50">SUM(AE136:AH136)</f>
        <v>0</v>
      </c>
      <c r="AT136" s="478">
        <v>2015</v>
      </c>
      <c r="AU136" s="479">
        <f t="shared" ref="AU136:AV181" si="51">IFERROR(AB136+AO136,"")</f>
        <v>0</v>
      </c>
      <c r="AV136" s="479">
        <f t="shared" si="51"/>
        <v>0</v>
      </c>
      <c r="AW136" s="430"/>
      <c r="AX136" s="479">
        <f t="shared" si="43"/>
        <v>0</v>
      </c>
      <c r="AY136" s="479">
        <f t="shared" si="43"/>
        <v>0</v>
      </c>
      <c r="AZ136" s="430"/>
      <c r="BA136" s="479">
        <f t="shared" si="44"/>
        <v>0</v>
      </c>
      <c r="BB136" s="479">
        <f t="shared" si="44"/>
        <v>0</v>
      </c>
      <c r="BC136" s="516"/>
      <c r="BE136" s="480" t="str">
        <f t="shared" si="45"/>
        <v/>
      </c>
      <c r="BF136" s="480" t="str">
        <f t="shared" si="46"/>
        <v/>
      </c>
    </row>
    <row r="137" spans="1:58" ht="15.6" x14ac:dyDescent="0.3">
      <c r="A137" s="152">
        <v>2016</v>
      </c>
      <c r="B137" s="178"/>
      <c r="C137" s="182"/>
      <c r="D137" s="183"/>
      <c r="E137" s="179">
        <f t="shared" ref="E137:E181" si="52">IFERROR(IF($G$19="Y",$F$19,$AA82)*(SUMIF($H$5:$H$16,"Y",$F$5:$F$16)*((Z31+N31)-B31)),0)</f>
        <v>-28055196.232420683</v>
      </c>
      <c r="F137" s="183">
        <f t="shared" ref="F137:F181" si="53">IFERROR(E137-E136,"")</f>
        <v>-28055196.232420683</v>
      </c>
      <c r="G137" s="247">
        <f t="shared" si="40"/>
        <v>0.29999432853503277</v>
      </c>
      <c r="H137" s="246"/>
      <c r="I137" s="417"/>
      <c r="J137" s="178"/>
      <c r="K137" s="182"/>
      <c r="L137" s="183"/>
      <c r="M137" s="179">
        <f t="shared" si="41"/>
        <v>-29272005.166540269</v>
      </c>
      <c r="N137" s="183">
        <f>IFERROR(M137-M136,"")</f>
        <v>-29272005.166540269</v>
      </c>
      <c r="O137" s="247">
        <f t="shared" si="42"/>
        <v>0.31300567146496738</v>
      </c>
      <c r="P137" s="246"/>
      <c r="Q137" s="417"/>
      <c r="R137" s="439"/>
      <c r="S137" s="440"/>
      <c r="T137" s="439"/>
      <c r="U137" s="440"/>
      <c r="V137" s="506"/>
      <c r="W137" s="259">
        <f>IF($W$135="Y",IFERROR(E137*($F$8/SUMIF($H$5:$H$16,"Y",$F$5:$F$16))*$F$21*'Emissions Factors'!$B13,""),"")</f>
        <v>-970295.13002950477</v>
      </c>
      <c r="X137" s="259">
        <f>IF($X$135="Y",IFERROR($E137*(SUM($F$7,$F$5,$F$6)/SUMIF($H$5:$H$16,"Y",$F$5:$F$16))*('Emissions Factors'!$T$143*$F$22)/10^6,""),"")</f>
        <v>-7701526.5086926129</v>
      </c>
      <c r="Y137" s="441"/>
      <c r="Z137" s="441"/>
      <c r="AA137" s="509"/>
      <c r="AB137" s="441">
        <f t="shared" si="47"/>
        <v>-8671821.638722118</v>
      </c>
      <c r="AC137" s="441">
        <f t="shared" si="48"/>
        <v>0</v>
      </c>
      <c r="AE137" s="182"/>
      <c r="AF137" s="178"/>
      <c r="AG137" s="182"/>
      <c r="AH137" s="178"/>
      <c r="AJ137" s="259">
        <f>IF($AJ$135="Y",IFERROR(M137*($F$8/SUMIF($H$5:$H$16,"Y",$F$5:$F$16))*$F$21*'Emissions Factors'!$B13,""),"")</f>
        <v>-1012378.734548665</v>
      </c>
      <c r="AK137" s="259">
        <f>IF($AK$135="Y",IFERROR($M137*(SUM($F$7,$F$5,$F$6)/SUMIF($H$5:$H$16,"Y",$F$5:$F$16))*('Emissions Factors'!$T$143*$F$22)/10^6,""),"")</f>
        <v>-8035556.8317921357</v>
      </c>
      <c r="AL137" s="180"/>
      <c r="AM137" s="180"/>
      <c r="AO137" s="180">
        <f t="shared" si="49"/>
        <v>-9047935.5663408004</v>
      </c>
      <c r="AP137" s="180">
        <f t="shared" si="50"/>
        <v>0</v>
      </c>
      <c r="AT137" s="478">
        <v>2016</v>
      </c>
      <c r="AU137" s="479">
        <f t="shared" si="51"/>
        <v>-17719757.205062918</v>
      </c>
      <c r="AV137" s="479">
        <f t="shared" si="51"/>
        <v>0</v>
      </c>
      <c r="AW137" s="430"/>
      <c r="AX137" s="479">
        <f t="shared" si="43"/>
        <v>-4523967.7831704002</v>
      </c>
      <c r="AY137" s="479">
        <f t="shared" si="43"/>
        <v>0</v>
      </c>
      <c r="AZ137" s="430"/>
      <c r="BA137" s="479">
        <f t="shared" si="44"/>
        <v>-13195789.421892518</v>
      </c>
      <c r="BB137" s="479">
        <f t="shared" si="44"/>
        <v>0</v>
      </c>
      <c r="BC137" s="516"/>
      <c r="BE137" s="480">
        <f t="shared" si="45"/>
        <v>0.25530642044450841</v>
      </c>
      <c r="BF137" s="480" t="str">
        <f t="shared" si="46"/>
        <v/>
      </c>
    </row>
    <row r="138" spans="1:58" ht="15.6" x14ac:dyDescent="0.3">
      <c r="A138" s="152">
        <v>2017</v>
      </c>
      <c r="B138" s="178"/>
      <c r="C138" s="182"/>
      <c r="D138" s="183"/>
      <c r="E138" s="179">
        <f t="shared" si="52"/>
        <v>-28098017.62984474</v>
      </c>
      <c r="F138" s="183">
        <f>IFERROR(E138-E137,"")</f>
        <v>-42821.397424057126</v>
      </c>
      <c r="G138" s="247">
        <f t="shared" si="40"/>
        <v>0.29914042415726494</v>
      </c>
      <c r="H138" s="246"/>
      <c r="I138" s="417"/>
      <c r="J138" s="178"/>
      <c r="K138" s="182"/>
      <c r="L138" s="183"/>
      <c r="M138" s="179">
        <f t="shared" si="41"/>
        <v>-29480575.619858395</v>
      </c>
      <c r="N138" s="183">
        <f>IFERROR(M138-M137,"")</f>
        <v>-208570.4533181265</v>
      </c>
      <c r="O138" s="247">
        <f t="shared" si="42"/>
        <v>0.31385957584273516</v>
      </c>
      <c r="P138" s="246"/>
      <c r="Q138" s="417"/>
      <c r="R138" s="439"/>
      <c r="S138" s="440"/>
      <c r="T138" s="439"/>
      <c r="U138" s="440"/>
      <c r="V138" s="506"/>
      <c r="W138" s="259">
        <f>IF($W$135="Y",IFERROR(E138*($F$8/SUMIF($H$5:$H$16,"Y",$F$5:$F$16))*$F$21*'Emissions Factors'!$B14,""),"")</f>
        <v>-959895.98137940676</v>
      </c>
      <c r="X138" s="259">
        <f>IF($X$135="Y",IFERROR($E138*(SUM($F$7,$F$5,$F$6)/SUMIF($H$5:$H$16,"Y",$F$5:$F$16))*('Emissions Factors'!$T$143*$F$22)/10^6,""),"")</f>
        <v>-7713281.5548761617</v>
      </c>
      <c r="Y138" s="441"/>
      <c r="Z138" s="441"/>
      <c r="AA138" s="509"/>
      <c r="AB138" s="441">
        <f t="shared" si="47"/>
        <v>-8673177.5362555683</v>
      </c>
      <c r="AC138" s="441">
        <f t="shared" si="48"/>
        <v>0</v>
      </c>
      <c r="AE138" s="182"/>
      <c r="AF138" s="178"/>
      <c r="AG138" s="182"/>
      <c r="AH138" s="178"/>
      <c r="AJ138" s="259">
        <f>IF($AJ$135="Y",IFERROR(M138*($F$8/SUMIF($H$5:$H$16,"Y",$F$5:$F$16))*$F$21*'Emissions Factors'!$B14,""),"")</f>
        <v>-1007127.4934426809</v>
      </c>
      <c r="AK138" s="259">
        <f>IF($AK$135="Y",IFERROR($M138*(SUM($F$7,$F$5,$F$6)/SUMIF($H$5:$H$16,"Y",$F$5:$F$16))*('Emissions Factors'!$T$143*$F$22)/10^6,""),"")</f>
        <v>-8092812.2101488672</v>
      </c>
      <c r="AL138" s="180"/>
      <c r="AM138" s="180"/>
      <c r="AO138" s="180">
        <f t="shared" si="49"/>
        <v>-9099939.7035915479</v>
      </c>
      <c r="AP138" s="180">
        <f t="shared" si="50"/>
        <v>0</v>
      </c>
      <c r="AT138" s="478">
        <v>2017</v>
      </c>
      <c r="AU138" s="479">
        <f t="shared" si="51"/>
        <v>-17773117.239847116</v>
      </c>
      <c r="AV138" s="479">
        <f t="shared" si="51"/>
        <v>0</v>
      </c>
      <c r="AW138" s="430"/>
      <c r="AX138" s="479">
        <f t="shared" si="43"/>
        <v>-4549969.851795774</v>
      </c>
      <c r="AY138" s="479">
        <f t="shared" si="43"/>
        <v>0</v>
      </c>
      <c r="AZ138" s="430"/>
      <c r="BA138" s="479">
        <f t="shared" si="44"/>
        <v>-13223147.388051342</v>
      </c>
      <c r="BB138" s="479">
        <f t="shared" si="44"/>
        <v>0</v>
      </c>
      <c r="BC138" s="516"/>
      <c r="BE138" s="480">
        <f t="shared" si="45"/>
        <v>0.25600291667433533</v>
      </c>
      <c r="BF138" s="480" t="str">
        <f t="shared" si="46"/>
        <v/>
      </c>
    </row>
    <row r="139" spans="1:58" ht="15.6" x14ac:dyDescent="0.3">
      <c r="A139" s="152">
        <v>2018</v>
      </c>
      <c r="B139" s="178"/>
      <c r="C139" s="182"/>
      <c r="D139" s="183"/>
      <c r="E139" s="179">
        <f t="shared" si="52"/>
        <v>-28027331.759793978</v>
      </c>
      <c r="F139" s="183">
        <f t="shared" si="53"/>
        <v>70685.870050761849</v>
      </c>
      <c r="G139" s="247">
        <f t="shared" si="40"/>
        <v>0.29829036631841604</v>
      </c>
      <c r="H139" s="246"/>
      <c r="I139" s="417"/>
      <c r="J139" s="178"/>
      <c r="K139" s="182"/>
      <c r="L139" s="183"/>
      <c r="M139" s="179">
        <f t="shared" si="41"/>
        <v>-29570084.411581032</v>
      </c>
      <c r="N139" s="183">
        <f t="shared" ref="N139:N181" si="54">IFERROR(M139-M138,"")</f>
        <v>-89508.79172263667</v>
      </c>
      <c r="O139" s="247">
        <f t="shared" si="42"/>
        <v>0.31470963368158406</v>
      </c>
      <c r="P139" s="246"/>
      <c r="Q139" s="417"/>
      <c r="R139" s="439"/>
      <c r="S139" s="440"/>
      <c r="T139" s="439"/>
      <c r="U139" s="440"/>
      <c r="V139" s="506"/>
      <c r="W139" s="259">
        <f>IF($W$135="Y",IFERROR(E139*($F$8/SUMIF($H$5:$H$16,"Y",$F$5:$F$16))*$F$21*'Emissions Factors'!$B15,""),"")</f>
        <v>-948412.86547946662</v>
      </c>
      <c r="X139" s="259">
        <f>IF($X$135="Y",IFERROR($E139*(SUM($F$7,$F$5,$F$6)/SUMIF($H$5:$H$16,"Y",$F$5:$F$16))*('Emissions Factors'!$T$143*$F$22)/10^6,""),"")</f>
        <v>-7693877.3383639697</v>
      </c>
      <c r="Y139" s="441"/>
      <c r="Z139" s="441"/>
      <c r="AA139" s="509"/>
      <c r="AB139" s="441">
        <f t="shared" si="47"/>
        <v>-8642290.2038434371</v>
      </c>
      <c r="AC139" s="441">
        <f t="shared" si="48"/>
        <v>0</v>
      </c>
      <c r="AE139" s="182"/>
      <c r="AF139" s="178"/>
      <c r="AG139" s="182"/>
      <c r="AH139" s="178"/>
      <c r="AJ139" s="259">
        <f>IF($AJ$135="Y",IFERROR(M139*($F$8/SUMIF($H$5:$H$16,"Y",$F$5:$F$16))*$F$21*'Emissions Factors'!$B15,""),"")</f>
        <v>-1000617.851517644</v>
      </c>
      <c r="AK139" s="259">
        <f>IF($AK$135="Y",IFERROR($M139*(SUM($F$7,$F$5,$F$6)/SUMIF($H$5:$H$16,"Y",$F$5:$F$16))*('Emissions Factors'!$T$143*$F$22)/10^6,""),"")</f>
        <v>-8117383.5703525888</v>
      </c>
      <c r="AL139" s="180"/>
      <c r="AM139" s="180"/>
      <c r="AO139" s="180">
        <f t="shared" si="49"/>
        <v>-9118001.4218702335</v>
      </c>
      <c r="AP139" s="180">
        <f t="shared" si="50"/>
        <v>0</v>
      </c>
      <c r="AT139" s="478">
        <v>2018</v>
      </c>
      <c r="AU139" s="479">
        <f t="shared" si="51"/>
        <v>-17760291.625713669</v>
      </c>
      <c r="AV139" s="479">
        <f t="shared" si="51"/>
        <v>0</v>
      </c>
      <c r="AW139" s="430"/>
      <c r="AX139" s="479">
        <f t="shared" si="43"/>
        <v>-4559000.7109351167</v>
      </c>
      <c r="AY139" s="479">
        <f t="shared" si="43"/>
        <v>0</v>
      </c>
      <c r="AZ139" s="430"/>
      <c r="BA139" s="479">
        <f t="shared" si="44"/>
        <v>-13201290.914778553</v>
      </c>
      <c r="BB139" s="479">
        <f t="shared" si="44"/>
        <v>0</v>
      </c>
      <c r="BC139" s="516"/>
      <c r="BE139" s="480">
        <f t="shared" si="45"/>
        <v>0.25669627543359219</v>
      </c>
      <c r="BF139" s="480" t="str">
        <f t="shared" si="46"/>
        <v/>
      </c>
    </row>
    <row r="140" spans="1:58" ht="15.6" x14ac:dyDescent="0.3">
      <c r="A140" s="152">
        <v>2019</v>
      </c>
      <c r="B140" s="178"/>
      <c r="C140" s="182"/>
      <c r="D140" s="183"/>
      <c r="E140" s="179">
        <f t="shared" si="52"/>
        <v>-27987806.190122426</v>
      </c>
      <c r="F140" s="183">
        <f t="shared" si="53"/>
        <v>39525.569671552628</v>
      </c>
      <c r="G140" s="247">
        <f t="shared" si="40"/>
        <v>0.29742242116460804</v>
      </c>
      <c r="H140" s="246"/>
      <c r="I140" s="417"/>
      <c r="J140" s="178"/>
      <c r="K140" s="182"/>
      <c r="L140" s="183"/>
      <c r="M140" s="179">
        <f t="shared" si="41"/>
        <v>-29696228.279658832</v>
      </c>
      <c r="N140" s="183">
        <f t="shared" si="54"/>
        <v>-126143.86807779968</v>
      </c>
      <c r="O140" s="247">
        <f t="shared" si="42"/>
        <v>0.31557757883539206</v>
      </c>
      <c r="P140" s="246"/>
      <c r="Q140" s="417"/>
      <c r="R140" s="439"/>
      <c r="S140" s="440"/>
      <c r="T140" s="439"/>
      <c r="U140" s="440"/>
      <c r="V140" s="506"/>
      <c r="W140" s="259">
        <f>IF($W$135="Y",IFERROR(E140*($F$8/SUMIF($H$5:$H$16,"Y",$F$5:$F$16))*$F$21*'Emissions Factors'!$B16,""),"")</f>
        <v>-942130.72433603031</v>
      </c>
      <c r="X140" s="259">
        <f>IF($X$135="Y",IFERROR($E140*(SUM($F$7,$F$5,$F$6)/SUMIF($H$5:$H$16,"Y",$F$5:$F$16))*('Emissions Factors'!$T$143*$F$22)/10^6,""),"")</f>
        <v>-7683027.0409689769</v>
      </c>
      <c r="Y140" s="441"/>
      <c r="Z140" s="441"/>
      <c r="AA140" s="509"/>
      <c r="AB140" s="441">
        <f t="shared" si="47"/>
        <v>-8625157.7653050069</v>
      </c>
      <c r="AC140" s="441">
        <f t="shared" si="48"/>
        <v>0</v>
      </c>
      <c r="AE140" s="182"/>
      <c r="AF140" s="178"/>
      <c r="AG140" s="182"/>
      <c r="AH140" s="178"/>
      <c r="AJ140" s="259">
        <f>IF($AJ$135="Y",IFERROR(M140*($F$8/SUMIF($H$5:$H$16,"Y",$F$5:$F$16))*$F$21*'Emissions Factors'!$B16,""),"")</f>
        <v>-999639.94566451968</v>
      </c>
      <c r="AK140" s="259">
        <f>IF($AK$135="Y",IFERROR($M140*(SUM($F$7,$F$5,$F$6)/SUMIF($H$5:$H$16,"Y",$F$5:$F$16))*('Emissions Factors'!$T$143*$F$22)/10^6,""),"")</f>
        <v>-8152011.7488854313</v>
      </c>
      <c r="AL140" s="180"/>
      <c r="AM140" s="180"/>
      <c r="AO140" s="180">
        <f t="shared" si="49"/>
        <v>-9151651.6945499517</v>
      </c>
      <c r="AP140" s="180">
        <f t="shared" si="50"/>
        <v>0</v>
      </c>
      <c r="AT140" s="478">
        <v>2019</v>
      </c>
      <c r="AU140" s="479">
        <f t="shared" si="51"/>
        <v>-17776809.45985496</v>
      </c>
      <c r="AV140" s="479">
        <f t="shared" si="51"/>
        <v>0</v>
      </c>
      <c r="AW140" s="430"/>
      <c r="AX140" s="479">
        <f t="shared" si="43"/>
        <v>-4575825.8472749759</v>
      </c>
      <c r="AY140" s="479">
        <f t="shared" si="43"/>
        <v>0</v>
      </c>
      <c r="AZ140" s="430"/>
      <c r="BA140" s="479">
        <f t="shared" si="44"/>
        <v>-13200983.612579985</v>
      </c>
      <c r="BB140" s="479">
        <f t="shared" si="44"/>
        <v>0</v>
      </c>
      <c r="BC140" s="516"/>
      <c r="BE140" s="480">
        <f t="shared" si="45"/>
        <v>0.25740422417242409</v>
      </c>
      <c r="BF140" s="480" t="str">
        <f t="shared" si="46"/>
        <v/>
      </c>
    </row>
    <row r="141" spans="1:58" ht="15.6" x14ac:dyDescent="0.3">
      <c r="A141" s="152">
        <v>2020</v>
      </c>
      <c r="B141" s="178"/>
      <c r="C141" s="182"/>
      <c r="D141" s="183"/>
      <c r="E141" s="179">
        <f t="shared" si="52"/>
        <v>-28133447.882969387</v>
      </c>
      <c r="F141" s="183">
        <f t="shared" si="53"/>
        <v>-145641.69284696132</v>
      </c>
      <c r="G141" s="247">
        <f t="shared" si="40"/>
        <v>0.29652147111556909</v>
      </c>
      <c r="H141" s="246"/>
      <c r="I141" s="417"/>
      <c r="J141" s="178"/>
      <c r="K141" s="182"/>
      <c r="L141" s="183"/>
      <c r="M141" s="179">
        <f t="shared" si="41"/>
        <v>-30026939.24642906</v>
      </c>
      <c r="N141" s="183">
        <f t="shared" si="54"/>
        <v>-330710.966770228</v>
      </c>
      <c r="O141" s="247">
        <f t="shared" si="42"/>
        <v>0.31647852888443101</v>
      </c>
      <c r="P141" s="246"/>
      <c r="Q141" s="417"/>
      <c r="R141" s="439"/>
      <c r="S141" s="440"/>
      <c r="T141" s="439"/>
      <c r="U141" s="440"/>
      <c r="V141" s="506"/>
      <c r="W141" s="259">
        <f>IF($W$135="Y",IFERROR(E141*($F$8/SUMIF($H$5:$H$16,"Y",$F$5:$F$16))*$F$21*'Emissions Factors'!$B17,""),"")</f>
        <v>-941104.35564057867</v>
      </c>
      <c r="X141" s="259">
        <f>IF($X$135="Y",IFERROR($E141*(SUM($F$7,$F$5,$F$6)/SUMIF($H$5:$H$16,"Y",$F$5:$F$16))*('Emissions Factors'!$T$143*$F$22)/10^6,""),"")</f>
        <v>-7723007.6331180902</v>
      </c>
      <c r="Y141" s="441"/>
      <c r="Z141" s="441"/>
      <c r="AA141" s="509"/>
      <c r="AB141" s="441">
        <f t="shared" si="47"/>
        <v>-8664111.9887586683</v>
      </c>
      <c r="AC141" s="441">
        <f t="shared" si="48"/>
        <v>0</v>
      </c>
      <c r="AE141" s="182"/>
      <c r="AF141" s="178"/>
      <c r="AG141" s="182"/>
      <c r="AH141" s="178"/>
      <c r="AJ141" s="259">
        <f>IF($AJ$135="Y",IFERROR(M141*($F$8/SUMIF($H$5:$H$16,"Y",$F$5:$F$16))*$F$21*'Emissions Factors'!$B17,""),"")</f>
        <v>-1004444.3691694016</v>
      </c>
      <c r="AK141" s="259">
        <f>IF($AK$135="Y",IFERROR($M141*(SUM($F$7,$F$5,$F$6)/SUMIF($H$5:$H$16,"Y",$F$5:$F$16))*('Emissions Factors'!$T$143*$F$22)/10^6,""),"")</f>
        <v>-8242796.3313989909</v>
      </c>
      <c r="AL141" s="180"/>
      <c r="AM141" s="180"/>
      <c r="AO141" s="180">
        <f t="shared" si="49"/>
        <v>-9247240.7005683929</v>
      </c>
      <c r="AP141" s="180">
        <f t="shared" si="50"/>
        <v>0</v>
      </c>
      <c r="AS141" s="430"/>
      <c r="AT141" s="478">
        <v>2020</v>
      </c>
      <c r="AU141" s="479">
        <f t="shared" si="51"/>
        <v>-17911352.689327061</v>
      </c>
      <c r="AV141" s="479">
        <f t="shared" si="51"/>
        <v>0</v>
      </c>
      <c r="AW141" s="430"/>
      <c r="AX141" s="479">
        <f t="shared" si="43"/>
        <v>-4623620.3502841964</v>
      </c>
      <c r="AY141" s="479">
        <f t="shared" si="43"/>
        <v>0</v>
      </c>
      <c r="AZ141" s="430"/>
      <c r="BA141" s="479">
        <f t="shared" si="44"/>
        <v>-13287732.339042865</v>
      </c>
      <c r="BB141" s="479">
        <f t="shared" si="44"/>
        <v>0</v>
      </c>
      <c r="BC141" s="516"/>
      <c r="BE141" s="480">
        <f t="shared" si="45"/>
        <v>0.25813909370671367</v>
      </c>
      <c r="BF141" s="480" t="str">
        <f t="shared" si="46"/>
        <v/>
      </c>
    </row>
    <row r="142" spans="1:58" ht="15.6" x14ac:dyDescent="0.3">
      <c r="A142" s="152">
        <v>2021</v>
      </c>
      <c r="B142" s="178"/>
      <c r="C142" s="182"/>
      <c r="D142" s="183"/>
      <c r="E142" s="179">
        <f>IFERROR(IF($G$19="Y",$F$19,$AA87)*(SUMIF($H$5:$H$16,"Y",$F$5:$F$16)*((Z36+N36)-B36)),0)</f>
        <v>7813319042.2562456</v>
      </c>
      <c r="F142" s="183">
        <f t="shared" si="53"/>
        <v>7841452490.1392155</v>
      </c>
      <c r="G142" s="247">
        <f t="shared" si="40"/>
        <v>9.1674723461348445E-2</v>
      </c>
      <c r="H142" s="246"/>
      <c r="I142" s="417"/>
      <c r="J142" s="178"/>
      <c r="K142" s="182"/>
      <c r="L142" s="183"/>
      <c r="M142" s="179">
        <f t="shared" si="41"/>
        <v>8400332848.6783409</v>
      </c>
      <c r="N142" s="183">
        <f t="shared" si="54"/>
        <v>8430359787.9247704</v>
      </c>
      <c r="O142" s="247">
        <f t="shared" si="42"/>
        <v>9.8562235424023814E-2</v>
      </c>
      <c r="P142" s="246"/>
      <c r="Q142" s="417"/>
      <c r="R142" s="439"/>
      <c r="S142" s="440"/>
      <c r="T142" s="439"/>
      <c r="U142" s="440"/>
      <c r="V142" s="506"/>
      <c r="W142" s="259">
        <f>IF($W$135="Y",IFERROR(E142*($F$8/SUMIF($H$5:$H$16,"Y",$F$5:$F$16))*$F$21*'Emissions Factors'!$B18,""),"")</f>
        <v>259796585.22093481</v>
      </c>
      <c r="X142" s="259">
        <f>IF($X$135="Y",IFERROR($E142*(SUM($F$7,$F$5,$F$6)/SUMIF($H$5:$H$16,"Y",$F$5:$F$16))*('Emissions Factors'!$T$143*$F$22)/10^6,""),"")</f>
        <v>2144860553.6849325</v>
      </c>
      <c r="Y142" s="441"/>
      <c r="Z142" s="441"/>
      <c r="AA142" s="509"/>
      <c r="AB142" s="441">
        <f t="shared" si="47"/>
        <v>2404657138.9058671</v>
      </c>
      <c r="AC142" s="441">
        <f t="shared" si="48"/>
        <v>0</v>
      </c>
      <c r="AE142" s="182"/>
      <c r="AF142" s="178"/>
      <c r="AG142" s="182"/>
      <c r="AH142" s="178"/>
      <c r="AJ142" s="259">
        <f>IF($AJ$135="Y",IFERROR(M142*($F$8/SUMIF($H$5:$H$16,"Y",$F$5:$F$16))*$F$21*'Emissions Factors'!$B18,""),"")</f>
        <v>279315074.29852462</v>
      </c>
      <c r="AK142" s="259">
        <f>IF($AK$135="Y",IFERROR($M142*(SUM($F$7,$F$5,$F$6)/SUMIF($H$5:$H$16,"Y",$F$5:$F$16))*('Emissions Factors'!$T$143*$F$22)/10^6,""),"")</f>
        <v>2306003692.8622642</v>
      </c>
      <c r="AL142" s="180"/>
      <c r="AM142" s="180"/>
      <c r="AO142" s="180">
        <f t="shared" si="49"/>
        <v>2585318767.1607885</v>
      </c>
      <c r="AP142" s="180">
        <f t="shared" si="50"/>
        <v>0</v>
      </c>
      <c r="AS142" s="430"/>
      <c r="AT142" s="478">
        <v>2021</v>
      </c>
      <c r="AU142" s="479">
        <f t="shared" si="51"/>
        <v>4989975906.0666561</v>
      </c>
      <c r="AV142" s="479">
        <f t="shared" si="51"/>
        <v>0</v>
      </c>
      <c r="AW142" s="430"/>
      <c r="AX142" s="479">
        <f t="shared" si="43"/>
        <v>1292659383.5803943</v>
      </c>
      <c r="AY142" s="479">
        <f t="shared" si="43"/>
        <v>0</v>
      </c>
      <c r="AZ142" s="430"/>
      <c r="BA142" s="479">
        <f t="shared" si="44"/>
        <v>3697316522.4862618</v>
      </c>
      <c r="BB142" s="479">
        <f t="shared" si="44"/>
        <v>0</v>
      </c>
      <c r="BC142" s="516"/>
      <c r="BE142" s="480">
        <f t="shared" si="45"/>
        <v>0.25905122748364767</v>
      </c>
      <c r="BF142" s="480" t="str">
        <f t="shared" si="46"/>
        <v/>
      </c>
    </row>
    <row r="143" spans="1:58" ht="15.6" x14ac:dyDescent="0.3">
      <c r="A143" s="152">
        <v>2022</v>
      </c>
      <c r="B143" s="178"/>
      <c r="C143" s="182"/>
      <c r="D143" s="183"/>
      <c r="E143" s="179">
        <f t="shared" si="52"/>
        <v>18470163663.085323</v>
      </c>
      <c r="F143" s="183">
        <f t="shared" si="53"/>
        <v>10656844620.829079</v>
      </c>
      <c r="G143" s="247">
        <f t="shared" si="40"/>
        <v>9.4094568284122451E-2</v>
      </c>
      <c r="H143" s="246"/>
      <c r="I143" s="417"/>
      <c r="J143" s="178"/>
      <c r="K143" s="182"/>
      <c r="L143" s="183"/>
      <c r="M143" s="179">
        <f t="shared" si="41"/>
        <v>20012924312.896618</v>
      </c>
      <c r="N143" s="183">
        <f t="shared" si="54"/>
        <v>11612591464.218277</v>
      </c>
      <c r="O143" s="247">
        <f t="shared" si="42"/>
        <v>0.10195402204737497</v>
      </c>
      <c r="P143" s="246"/>
      <c r="Q143" s="417"/>
      <c r="R143" s="182"/>
      <c r="S143" s="178"/>
      <c r="T143" s="182"/>
      <c r="U143" s="178"/>
      <c r="V143" s="506"/>
      <c r="W143" s="259">
        <f>IF($W$135="Y",IFERROR(E143*($F$8/SUMIF($H$5:$H$16,"Y",$F$5:$F$16))*$F$21*'Emissions Factors'!$B19,""),"")</f>
        <v>610490345.0190165</v>
      </c>
      <c r="X143" s="259">
        <f>IF($X$135="Y",IFERROR($E143*(SUM($F$7,$F$5,$F$6)/SUMIF($H$5:$H$16,"Y",$F$5:$F$16))*('Emissions Factors'!$T$143*$F$22)/10^6,""),"")</f>
        <v>5070306901.1778946</v>
      </c>
      <c r="Y143" s="180"/>
      <c r="Z143" s="180"/>
      <c r="AA143" s="509"/>
      <c r="AB143" s="180">
        <f t="shared" si="47"/>
        <v>5680797246.1969109</v>
      </c>
      <c r="AC143" s="180">
        <f t="shared" si="48"/>
        <v>0</v>
      </c>
      <c r="AE143" s="182"/>
      <c r="AF143" s="178"/>
      <c r="AG143" s="182"/>
      <c r="AH143" s="178"/>
      <c r="AJ143" s="259">
        <f>IF($AJ$135="Y",IFERROR(M143*($F$8/SUMIF($H$5:$H$16,"Y",$F$5:$F$16))*$F$21*'Emissions Factors'!$B19,""),"")</f>
        <v>661482880.79537416</v>
      </c>
      <c r="AK143" s="259">
        <f>IF($AK$135="Y",IFERROR($M143*(SUM($F$7,$F$5,$F$6)/SUMIF($H$5:$H$16,"Y",$F$5:$F$16))*('Emissions Factors'!$T$143*$F$22)/10^6,""),"")</f>
        <v>5493815328.7311163</v>
      </c>
      <c r="AL143" s="180"/>
      <c r="AM143" s="180"/>
      <c r="AO143" s="180">
        <f t="shared" si="49"/>
        <v>6155298209.5264902</v>
      </c>
      <c r="AP143" s="180">
        <f t="shared" si="50"/>
        <v>0</v>
      </c>
      <c r="AS143" s="430"/>
      <c r="AT143" s="478">
        <v>2022</v>
      </c>
      <c r="AU143" s="479">
        <f t="shared" si="51"/>
        <v>11836095455.7234</v>
      </c>
      <c r="AV143" s="479">
        <f t="shared" si="51"/>
        <v>0</v>
      </c>
      <c r="AW143" s="430"/>
      <c r="AX143" s="479">
        <f t="shared" si="43"/>
        <v>3077649104.7632451</v>
      </c>
      <c r="AY143" s="479">
        <f t="shared" si="43"/>
        <v>0</v>
      </c>
      <c r="AZ143" s="430"/>
      <c r="BA143" s="479">
        <f t="shared" si="44"/>
        <v>8758446350.9601555</v>
      </c>
      <c r="BB143" s="479">
        <f t="shared" si="44"/>
        <v>0</v>
      </c>
      <c r="BC143" s="516"/>
      <c r="BE143" s="480">
        <f t="shared" si="45"/>
        <v>0.26002232883945131</v>
      </c>
      <c r="BF143" s="480" t="str">
        <f t="shared" si="46"/>
        <v/>
      </c>
    </row>
    <row r="144" spans="1:58" ht="15.6" x14ac:dyDescent="0.3">
      <c r="A144" s="152">
        <v>2023</v>
      </c>
      <c r="B144" s="178"/>
      <c r="C144" s="182"/>
      <c r="D144" s="183"/>
      <c r="E144" s="179">
        <f t="shared" si="52"/>
        <v>31548973999.399551</v>
      </c>
      <c r="F144" s="183">
        <f t="shared" si="53"/>
        <v>13078810336.314228</v>
      </c>
      <c r="G144" s="247">
        <f t="shared" si="40"/>
        <v>9.5199757783500913E-2</v>
      </c>
      <c r="H144" s="246"/>
      <c r="I144" s="417"/>
      <c r="J144" s="178"/>
      <c r="K144" s="182"/>
      <c r="L144" s="183"/>
      <c r="M144" s="179">
        <f t="shared" si="41"/>
        <v>34463993620.521568</v>
      </c>
      <c r="N144" s="183">
        <f t="shared" si="54"/>
        <v>14451069307.62495</v>
      </c>
      <c r="O144" s="247">
        <f t="shared" si="42"/>
        <v>0.10399589682340282</v>
      </c>
      <c r="P144" s="246"/>
      <c r="Q144" s="417"/>
      <c r="R144" s="182"/>
      <c r="S144" s="178"/>
      <c r="T144" s="182"/>
      <c r="U144" s="178"/>
      <c r="V144" s="506"/>
      <c r="W144" s="259">
        <f>IF($W$135="Y",IFERROR(E144*($F$8/SUMIF($H$5:$H$16,"Y",$F$5:$F$16))*$F$21*'Emissions Factors'!$B20,""),"")</f>
        <v>1036694493.562809</v>
      </c>
      <c r="X144" s="259">
        <f>IF($X$135="Y",IFERROR($E144*(SUM($F$7,$F$5,$F$6)/SUMIF($H$5:$H$16,"Y",$F$5:$F$16))*('Emissions Factors'!$T$143*$F$22)/10^6,""),"")</f>
        <v>8660615223.1309872</v>
      </c>
      <c r="Y144" s="180"/>
      <c r="Z144" s="180"/>
      <c r="AA144" s="509"/>
      <c r="AB144" s="180">
        <f t="shared" si="47"/>
        <v>9697309716.6937962</v>
      </c>
      <c r="AC144" s="180">
        <f t="shared" si="48"/>
        <v>0</v>
      </c>
      <c r="AE144" s="182"/>
      <c r="AF144" s="178"/>
      <c r="AG144" s="182"/>
      <c r="AH144" s="178"/>
      <c r="AJ144" s="259">
        <f>IF($AJ$135="Y",IFERROR(M144*($F$8/SUMIF($H$5:$H$16,"Y",$F$5:$F$16))*$F$21*'Emissions Factors'!$B20,""),"")</f>
        <v>1132481595.5428057</v>
      </c>
      <c r="AK144" s="259">
        <f>IF($AK$135="Y",IFERROR($M144*(SUM($F$7,$F$5,$F$6)/SUMIF($H$5:$H$16,"Y",$F$5:$F$16))*('Emissions Factors'!$T$143*$F$22)/10^6,""),"")</f>
        <v>9460827087.6085854</v>
      </c>
      <c r="AL144" s="180"/>
      <c r="AM144" s="180"/>
      <c r="AO144" s="180">
        <f t="shared" si="49"/>
        <v>10593308683.15139</v>
      </c>
      <c r="AP144" s="180">
        <f t="shared" si="50"/>
        <v>0</v>
      </c>
      <c r="AS144" s="430"/>
      <c r="AT144" s="478">
        <v>2023</v>
      </c>
      <c r="AU144" s="479">
        <f t="shared" si="51"/>
        <v>20290618399.845184</v>
      </c>
      <c r="AV144" s="479">
        <f t="shared" si="51"/>
        <v>0</v>
      </c>
      <c r="AW144" s="430"/>
      <c r="AX144" s="479">
        <f t="shared" si="43"/>
        <v>5296654341.575695</v>
      </c>
      <c r="AY144" s="479">
        <f t="shared" si="43"/>
        <v>0</v>
      </c>
      <c r="AZ144" s="430"/>
      <c r="BA144" s="479">
        <f t="shared" si="44"/>
        <v>14993964058.269489</v>
      </c>
      <c r="BB144" s="479">
        <f t="shared" si="44"/>
        <v>0</v>
      </c>
      <c r="BC144" s="516"/>
      <c r="BE144" s="480">
        <f t="shared" si="45"/>
        <v>0.26103957194405214</v>
      </c>
      <c r="BF144" s="480" t="str">
        <f t="shared" si="46"/>
        <v/>
      </c>
    </row>
    <row r="145" spans="1:58" ht="15.6" x14ac:dyDescent="0.3">
      <c r="A145" s="152">
        <v>2024</v>
      </c>
      <c r="B145" s="178"/>
      <c r="C145" s="182"/>
      <c r="D145" s="183"/>
      <c r="E145" s="179">
        <f t="shared" si="52"/>
        <v>46822725287.372894</v>
      </c>
      <c r="F145" s="183">
        <f t="shared" si="53"/>
        <v>15273751287.973343</v>
      </c>
      <c r="G145" s="247">
        <f t="shared" si="40"/>
        <v>9.5523990175362172E-2</v>
      </c>
      <c r="H145" s="246"/>
      <c r="I145" s="417"/>
      <c r="J145" s="178"/>
      <c r="K145" s="182"/>
      <c r="L145" s="183"/>
      <c r="M145" s="179">
        <f t="shared" si="41"/>
        <v>51582601385.749168</v>
      </c>
      <c r="N145" s="183">
        <f t="shared" si="54"/>
        <v>17118607765.2276</v>
      </c>
      <c r="O145" s="247">
        <f t="shared" si="42"/>
        <v>0.10523470980705038</v>
      </c>
      <c r="P145" s="246"/>
      <c r="Q145" s="417"/>
      <c r="R145" s="182"/>
      <c r="S145" s="178"/>
      <c r="T145" s="182"/>
      <c r="U145" s="178"/>
      <c r="V145" s="506"/>
      <c r="W145" s="259">
        <f>IF($W$135="Y",IFERROR(E145*($F$8/SUMIF($H$5:$H$16,"Y",$F$5:$F$16))*$F$21*'Emissions Factors'!$B21,""),"")</f>
        <v>1529755935.0988686</v>
      </c>
      <c r="X145" s="259">
        <f>IF($X$135="Y",IFERROR($E145*(SUM($F$7,$F$5,$F$6)/SUMIF($H$5:$H$16,"Y",$F$5:$F$16))*('Emissions Factors'!$T$143*$F$22)/10^6,""),"")</f>
        <v>12853464186.189375</v>
      </c>
      <c r="Y145" s="180"/>
      <c r="Z145" s="180"/>
      <c r="AA145" s="509"/>
      <c r="AB145" s="180">
        <f t="shared" si="47"/>
        <v>14383220121.288244</v>
      </c>
      <c r="AC145" s="180">
        <f t="shared" si="48"/>
        <v>0</v>
      </c>
      <c r="AE145" s="182"/>
      <c r="AF145" s="178"/>
      <c r="AG145" s="182"/>
      <c r="AH145" s="178"/>
      <c r="AJ145" s="259">
        <f>IF($AJ$135="Y",IFERROR(M145*($F$8/SUMIF($H$5:$H$16,"Y",$F$5:$F$16))*$F$21*'Emissions Factors'!$B21,""),"")</f>
        <v>1685266932.5287855</v>
      </c>
      <c r="AK145" s="259">
        <f>IF($AK$135="Y",IFERROR($M145*(SUM($F$7,$F$5,$F$6)/SUMIF($H$5:$H$16,"Y",$F$5:$F$16))*('Emissions Factors'!$T$143*$F$22)/10^6,""),"")</f>
        <v>14160113822.358192</v>
      </c>
      <c r="AL145" s="180"/>
      <c r="AM145" s="180"/>
      <c r="AO145" s="180">
        <f t="shared" si="49"/>
        <v>15845380754.886978</v>
      </c>
      <c r="AP145" s="180">
        <f t="shared" si="50"/>
        <v>0</v>
      </c>
      <c r="AS145" s="430"/>
      <c r="AT145" s="478">
        <v>2024</v>
      </c>
      <c r="AU145" s="479">
        <f t="shared" si="51"/>
        <v>30228600876.175224</v>
      </c>
      <c r="AV145" s="479">
        <f t="shared" si="51"/>
        <v>0</v>
      </c>
      <c r="AW145" s="430"/>
      <c r="AX145" s="479">
        <f t="shared" si="43"/>
        <v>7922690377.4434891</v>
      </c>
      <c r="AY145" s="479">
        <f t="shared" si="43"/>
        <v>0</v>
      </c>
      <c r="AZ145" s="430"/>
      <c r="BA145" s="479">
        <f t="shared" si="44"/>
        <v>22305910498.731735</v>
      </c>
      <c r="BB145" s="479">
        <f t="shared" si="44"/>
        <v>0</v>
      </c>
      <c r="BC145" s="516"/>
      <c r="BE145" s="480">
        <f t="shared" si="45"/>
        <v>0.26209252654123943</v>
      </c>
      <c r="BF145" s="480" t="str">
        <f t="shared" si="46"/>
        <v/>
      </c>
    </row>
    <row r="146" spans="1:58" ht="15.6" x14ac:dyDescent="0.3">
      <c r="A146" s="152">
        <v>2025</v>
      </c>
      <c r="B146" s="178"/>
      <c r="C146" s="182"/>
      <c r="D146" s="183"/>
      <c r="E146" s="179">
        <f t="shared" si="52"/>
        <v>64249796690.443336</v>
      </c>
      <c r="F146" s="183">
        <f t="shared" si="53"/>
        <v>17427071403.070442</v>
      </c>
      <c r="G146" s="247">
        <f t="shared" si="40"/>
        <v>9.5494999929537625E-2</v>
      </c>
      <c r="H146" s="246"/>
      <c r="I146" s="417"/>
      <c r="J146" s="178"/>
      <c r="K146" s="182"/>
      <c r="L146" s="183"/>
      <c r="M146" s="179">
        <f t="shared" si="41"/>
        <v>71397315215.834503</v>
      </c>
      <c r="N146" s="183">
        <f t="shared" si="54"/>
        <v>19814713830.085335</v>
      </c>
      <c r="O146" s="247">
        <f t="shared" si="42"/>
        <v>0.10611841535242444</v>
      </c>
      <c r="P146" s="246"/>
      <c r="Q146" s="417"/>
      <c r="R146" s="182"/>
      <c r="S146" s="178"/>
      <c r="T146" s="182"/>
      <c r="U146" s="178"/>
      <c r="V146" s="506"/>
      <c r="W146" s="259">
        <f>IF($W$135="Y",IFERROR(E146*($F$8/SUMIF($H$5:$H$16,"Y",$F$5:$F$16))*$F$21*'Emissions Factors'!$B22,""),"")</f>
        <v>2088442377.6160772</v>
      </c>
      <c r="X146" s="259">
        <f>IF($X$135="Y",IFERROR($E146*(SUM($F$7,$F$5,$F$6)/SUMIF($H$5:$H$16,"Y",$F$5:$F$16))*('Emissions Factors'!$T$143*$F$22)/10^6,""),"")</f>
        <v>17637428314.179562</v>
      </c>
      <c r="Y146" s="180"/>
      <c r="Z146" s="180"/>
      <c r="AA146" s="509"/>
      <c r="AB146" s="180">
        <f t="shared" si="47"/>
        <v>19725870691.795639</v>
      </c>
      <c r="AC146" s="180">
        <f t="shared" si="48"/>
        <v>0</v>
      </c>
      <c r="AE146" s="182"/>
      <c r="AF146" s="178"/>
      <c r="AG146" s="182"/>
      <c r="AH146" s="178"/>
      <c r="AJ146" s="259">
        <f>IF($AJ$135="Y",IFERROR(M146*($F$8/SUMIF($H$5:$H$16,"Y",$F$5:$F$16))*$F$21*'Emissions Factors'!$B22,""),"")</f>
        <v>2320772771.6738558</v>
      </c>
      <c r="AK146" s="259">
        <f>IF($AK$135="Y",IFERROR($M146*(SUM($F$7,$F$5,$F$6)/SUMIF($H$5:$H$16,"Y",$F$5:$F$16))*('Emissions Factors'!$T$143*$F$22)/10^6,""),"")</f>
        <v>19599517723.166096</v>
      </c>
      <c r="AL146" s="180"/>
      <c r="AM146" s="180"/>
      <c r="AO146" s="180">
        <f t="shared" si="49"/>
        <v>21920290494.839951</v>
      </c>
      <c r="AP146" s="180">
        <f t="shared" si="50"/>
        <v>0</v>
      </c>
      <c r="AS146" s="430"/>
      <c r="AT146" s="478">
        <v>2025</v>
      </c>
      <c r="AU146" s="479">
        <f t="shared" si="51"/>
        <v>41646161186.63559</v>
      </c>
      <c r="AV146" s="479">
        <f t="shared" si="51"/>
        <v>0</v>
      </c>
      <c r="AW146" s="430"/>
      <c r="AX146" s="479">
        <f t="shared" si="43"/>
        <v>10960145247.419975</v>
      </c>
      <c r="AY146" s="479">
        <f t="shared" si="43"/>
        <v>0</v>
      </c>
      <c r="AZ146" s="430"/>
      <c r="BA146" s="479">
        <f t="shared" si="44"/>
        <v>30686015939.215614</v>
      </c>
      <c r="BB146" s="479">
        <f t="shared" si="44"/>
        <v>0</v>
      </c>
      <c r="BC146" s="516"/>
      <c r="BE146" s="480">
        <f t="shared" si="45"/>
        <v>0.26317300166760932</v>
      </c>
      <c r="BF146" s="480" t="str">
        <f t="shared" si="46"/>
        <v/>
      </c>
    </row>
    <row r="147" spans="1:58" ht="15.6" x14ac:dyDescent="0.3">
      <c r="A147" s="152">
        <v>2026</v>
      </c>
      <c r="B147" s="178"/>
      <c r="C147" s="182"/>
      <c r="D147" s="183"/>
      <c r="E147" s="179">
        <f t="shared" si="52"/>
        <v>83170517238.852707</v>
      </c>
      <c r="F147" s="183">
        <f t="shared" si="53"/>
        <v>18920720548.40937</v>
      </c>
      <c r="G147" s="247">
        <f t="shared" si="40"/>
        <v>9.4698173169939046E-2</v>
      </c>
      <c r="H147" s="246"/>
      <c r="I147" s="417"/>
      <c r="J147" s="178"/>
      <c r="K147" s="182"/>
      <c r="L147" s="183"/>
      <c r="M147" s="179">
        <f t="shared" si="41"/>
        <v>93243768629.613449</v>
      </c>
      <c r="N147" s="183">
        <f t="shared" si="54"/>
        <v>21846453413.778946</v>
      </c>
      <c r="O147" s="247">
        <f t="shared" si="42"/>
        <v>0.1061676041204174</v>
      </c>
      <c r="P147" s="246"/>
      <c r="Q147" s="417"/>
      <c r="R147" s="182"/>
      <c r="S147" s="178"/>
      <c r="T147" s="182"/>
      <c r="U147" s="178"/>
      <c r="V147" s="506"/>
      <c r="W147" s="259">
        <f>IF($W$135="Y",IFERROR(E147*($F$8/SUMIF($H$5:$H$16,"Y",$F$5:$F$16))*$F$21*'Emissions Factors'!$B23,""),"")</f>
        <v>2686850218.1257296</v>
      </c>
      <c r="X147" s="259">
        <f>IF($X$135="Y",IFERROR($E147*(SUM($F$7,$F$5,$F$6)/SUMIF($H$5:$H$16,"Y",$F$5:$F$16))*('Emissions Factors'!$T$143*$F$22)/10^6,""),"")</f>
        <v>22831419105.045856</v>
      </c>
      <c r="Y147" s="180"/>
      <c r="Z147" s="180"/>
      <c r="AA147" s="509"/>
      <c r="AB147" s="180">
        <f t="shared" si="47"/>
        <v>25518269323.171585</v>
      </c>
      <c r="AC147" s="180">
        <f t="shared" si="48"/>
        <v>0</v>
      </c>
      <c r="AE147" s="182"/>
      <c r="AF147" s="178"/>
      <c r="AG147" s="182"/>
      <c r="AH147" s="178"/>
      <c r="AJ147" s="259">
        <f>IF($AJ$135="Y",IFERROR(M147*($F$8/SUMIF($H$5:$H$16,"Y",$F$5:$F$16))*$F$21*'Emissions Factors'!$B23,""),"")</f>
        <v>3012269833.0930557</v>
      </c>
      <c r="AK147" s="259">
        <f>IF($AK$135="Y",IFERROR($M147*(SUM($F$7,$F$5,$F$6)/SUMIF($H$5:$H$16,"Y",$F$5:$F$16))*('Emissions Factors'!$T$143*$F$22)/10^6,""),"")</f>
        <v>25596661307.309177</v>
      </c>
      <c r="AL147" s="180"/>
      <c r="AM147" s="180"/>
      <c r="AO147" s="180">
        <f t="shared" si="49"/>
        <v>28608931140.402233</v>
      </c>
      <c r="AP147" s="180">
        <f t="shared" si="50"/>
        <v>0</v>
      </c>
      <c r="AS147" s="430"/>
      <c r="AT147" s="478">
        <v>2026</v>
      </c>
      <c r="AU147" s="479">
        <f t="shared" si="51"/>
        <v>54127200463.573822</v>
      </c>
      <c r="AV147" s="479">
        <f t="shared" si="51"/>
        <v>0</v>
      </c>
      <c r="AW147" s="430"/>
      <c r="AX147" s="479">
        <f t="shared" si="43"/>
        <v>14304465570.201117</v>
      </c>
      <c r="AY147" s="479">
        <f t="shared" si="43"/>
        <v>0</v>
      </c>
      <c r="AZ147" s="430"/>
      <c r="BA147" s="479">
        <f t="shared" si="44"/>
        <v>39822734893.372704</v>
      </c>
      <c r="BB147" s="479">
        <f t="shared" si="44"/>
        <v>0</v>
      </c>
      <c r="BC147" s="516"/>
      <c r="BE147" s="480">
        <f t="shared" si="45"/>
        <v>0.26427499386057562</v>
      </c>
      <c r="BF147" s="480" t="str">
        <f t="shared" si="46"/>
        <v/>
      </c>
    </row>
    <row r="148" spans="1:58" ht="15.6" x14ac:dyDescent="0.3">
      <c r="A148" s="152">
        <v>2027</v>
      </c>
      <c r="B148" s="178"/>
      <c r="C148" s="182"/>
      <c r="D148" s="183"/>
      <c r="E148" s="179">
        <f t="shared" si="52"/>
        <v>103805258039.92332</v>
      </c>
      <c r="F148" s="183">
        <f t="shared" si="53"/>
        <v>20634740801.070618</v>
      </c>
      <c r="G148" s="247">
        <f t="shared" si="40"/>
        <v>9.3753197352650516E-2</v>
      </c>
      <c r="H148" s="246"/>
      <c r="I148" s="417"/>
      <c r="J148" s="178"/>
      <c r="K148" s="182"/>
      <c r="L148" s="183"/>
      <c r="M148" s="179">
        <f t="shared" si="41"/>
        <v>117428346630.21576</v>
      </c>
      <c r="N148" s="183">
        <f t="shared" si="54"/>
        <v>24184578000.60231</v>
      </c>
      <c r="O148" s="247">
        <f t="shared" si="42"/>
        <v>0.10605708385392115</v>
      </c>
      <c r="P148" s="246"/>
      <c r="Q148" s="417"/>
      <c r="R148" s="182"/>
      <c r="S148" s="178"/>
      <c r="T148" s="182"/>
      <c r="U148" s="182"/>
      <c r="V148" s="506"/>
      <c r="W148" s="259">
        <f>IF($W$135="Y",IFERROR(E148*($F$8/SUMIF($H$5:$H$16,"Y",$F$5:$F$16))*$F$21*'Emissions Factors'!$B24,""),"")</f>
        <v>3334981217.650979</v>
      </c>
      <c r="X148" s="259">
        <f>IF($X$135="Y",IFERROR($E148*(SUM($F$7,$F$5,$F$6)/SUMIF($H$5:$H$16,"Y",$F$5:$F$16))*('Emissions Factors'!$T$143*$F$22)/10^6,""),"")</f>
        <v>28495931374.46278</v>
      </c>
      <c r="Y148" s="180"/>
      <c r="Z148" s="180"/>
      <c r="AA148" s="509"/>
      <c r="AB148" s="180">
        <f t="shared" si="47"/>
        <v>31830912592.113758</v>
      </c>
      <c r="AC148" s="180">
        <f>SUM(R148:U148)</f>
        <v>0</v>
      </c>
      <c r="AE148" s="182"/>
      <c r="AF148" s="178"/>
      <c r="AG148" s="182"/>
      <c r="AH148" s="178"/>
      <c r="AJ148" s="259">
        <f>IF($AJ$135="Y",IFERROR(M148*($F$8/SUMIF($H$5:$H$16,"Y",$F$5:$F$16))*$F$21*'Emissions Factors'!$B24,""),"")</f>
        <v>3772654081.5587716</v>
      </c>
      <c r="AK148" s="259">
        <f>IF($AK$135="Y",IFERROR($M148*(SUM($F$7,$F$5,$F$6)/SUMIF($H$5:$H$16,"Y",$F$5:$F$16))*('Emissions Factors'!$T$143*$F$22)/10^6,""),"")</f>
        <v>32235651355.004593</v>
      </c>
      <c r="AL148" s="180"/>
      <c r="AM148" s="180"/>
      <c r="AO148" s="180">
        <f t="shared" si="49"/>
        <v>36008305436.563362</v>
      </c>
      <c r="AP148" s="180">
        <f t="shared" si="50"/>
        <v>0</v>
      </c>
      <c r="AS148" s="430"/>
      <c r="AT148" s="478">
        <v>2027</v>
      </c>
      <c r="AU148" s="479">
        <f t="shared" si="51"/>
        <v>67839218028.677124</v>
      </c>
      <c r="AV148" s="479">
        <f t="shared" si="51"/>
        <v>0</v>
      </c>
      <c r="AW148" s="430"/>
      <c r="AX148" s="479">
        <f t="shared" si="43"/>
        <v>18004152718.281681</v>
      </c>
      <c r="AY148" s="479">
        <f t="shared" si="43"/>
        <v>0</v>
      </c>
      <c r="AZ148" s="430"/>
      <c r="BA148" s="479">
        <f t="shared" si="44"/>
        <v>49835065310.395447</v>
      </c>
      <c r="BB148" s="479">
        <f t="shared" si="44"/>
        <v>0</v>
      </c>
      <c r="BC148" s="516"/>
      <c r="BE148" s="480">
        <f t="shared" si="45"/>
        <v>0.26539446121962862</v>
      </c>
      <c r="BF148" s="480" t="str">
        <f t="shared" si="46"/>
        <v/>
      </c>
    </row>
    <row r="149" spans="1:58" ht="15.6" x14ac:dyDescent="0.3">
      <c r="A149" s="152">
        <v>2028</v>
      </c>
      <c r="B149" s="178"/>
      <c r="C149" s="182"/>
      <c r="D149" s="183"/>
      <c r="E149" s="179">
        <f t="shared" si="52"/>
        <v>125957687805.85295</v>
      </c>
      <c r="F149" s="183">
        <f t="shared" si="53"/>
        <v>22152429765.929626</v>
      </c>
      <c r="G149" s="247">
        <f t="shared" si="40"/>
        <v>9.2615551185656619E-2</v>
      </c>
      <c r="H149" s="246"/>
      <c r="I149" s="417"/>
      <c r="J149" s="178"/>
      <c r="K149" s="182"/>
      <c r="L149" s="183"/>
      <c r="M149" s="179">
        <f t="shared" si="41"/>
        <v>143792474721.74326</v>
      </c>
      <c r="N149" s="183">
        <f t="shared" si="54"/>
        <v>26364128091.527496</v>
      </c>
      <c r="O149" s="247">
        <f t="shared" si="42"/>
        <v>0.10572930906155471</v>
      </c>
      <c r="P149" s="246"/>
      <c r="Q149" s="417"/>
      <c r="R149" s="182"/>
      <c r="S149" s="178"/>
      <c r="T149" s="182"/>
      <c r="U149" s="178"/>
      <c r="V149" s="506"/>
      <c r="W149" s="259">
        <f>IF($W$135="Y",IFERROR(E149*($F$8/SUMIF($H$5:$H$16,"Y",$F$5:$F$16))*$F$21*'Emissions Factors'!$B25,""),"")</f>
        <v>4024608813.0109701</v>
      </c>
      <c r="X149" s="259">
        <f>IF($X$135="Y",IFERROR($E149*(SUM($F$7,$F$5,$F$6)/SUMIF($H$5:$H$16,"Y",$F$5:$F$16))*('Emissions Factors'!$T$143*$F$22)/10^6,""),"")</f>
        <v>34577069558.664948</v>
      </c>
      <c r="Y149" s="180"/>
      <c r="Z149" s="180"/>
      <c r="AA149" s="509"/>
      <c r="AB149" s="180">
        <f t="shared" si="47"/>
        <v>38601678371.675919</v>
      </c>
      <c r="AC149" s="180">
        <f t="shared" si="48"/>
        <v>0</v>
      </c>
      <c r="AE149" s="182"/>
      <c r="AF149" s="178"/>
      <c r="AG149" s="182"/>
      <c r="AH149" s="178"/>
      <c r="AJ149" s="259">
        <f>IF($AJ$135="Y",IFERROR(M149*($F$8/SUMIF($H$5:$H$16,"Y",$F$5:$F$16))*$F$21*'Emissions Factors'!$B25,""),"")</f>
        <v>4594467166.6392241</v>
      </c>
      <c r="AK149" s="259">
        <f>IF($AK$135="Y",IFERROR($M149*(SUM($F$7,$F$5,$F$6)/SUMIF($H$5:$H$16,"Y",$F$5:$F$16))*('Emissions Factors'!$T$143*$F$22)/10^6,""),"")</f>
        <v>39472957046.733391</v>
      </c>
      <c r="AL149" s="180"/>
      <c r="AM149" s="180"/>
      <c r="AO149" s="180">
        <f t="shared" si="49"/>
        <v>44067424213.372612</v>
      </c>
      <c r="AP149" s="180">
        <f t="shared" si="50"/>
        <v>0</v>
      </c>
      <c r="AS149" s="430"/>
      <c r="AT149" s="478">
        <v>2028</v>
      </c>
      <c r="AU149" s="479">
        <f t="shared" si="51"/>
        <v>82669102585.048523</v>
      </c>
      <c r="AV149" s="479">
        <f t="shared" si="51"/>
        <v>0</v>
      </c>
      <c r="AW149" s="430"/>
      <c r="AX149" s="479">
        <f t="shared" si="43"/>
        <v>22033712106.686306</v>
      </c>
      <c r="AY149" s="479">
        <f t="shared" si="43"/>
        <v>0</v>
      </c>
      <c r="AZ149" s="430"/>
      <c r="BA149" s="479">
        <f t="shared" si="44"/>
        <v>60635390478.362213</v>
      </c>
      <c r="BB149" s="479">
        <f t="shared" si="44"/>
        <v>0</v>
      </c>
      <c r="BC149" s="516"/>
      <c r="BE149" s="480">
        <f t="shared" si="45"/>
        <v>0.26652898625600063</v>
      </c>
      <c r="BF149" s="480" t="str">
        <f t="shared" si="46"/>
        <v/>
      </c>
    </row>
    <row r="150" spans="1:58" ht="15.6" x14ac:dyDescent="0.3">
      <c r="A150" s="152">
        <v>2029</v>
      </c>
      <c r="B150" s="178"/>
      <c r="C150" s="182"/>
      <c r="D150" s="183"/>
      <c r="E150" s="179">
        <f t="shared" si="52"/>
        <v>149643383959.16046</v>
      </c>
      <c r="F150" s="183">
        <f t="shared" si="53"/>
        <v>23685696153.30751</v>
      </c>
      <c r="G150" s="247">
        <f t="shared" si="40"/>
        <v>9.138207697548896E-2</v>
      </c>
      <c r="H150" s="246"/>
      <c r="I150" s="417"/>
      <c r="J150" s="178"/>
      <c r="K150" s="182"/>
      <c r="L150" s="183"/>
      <c r="M150" s="179">
        <f t="shared" si="41"/>
        <v>172415892824.06509</v>
      </c>
      <c r="N150" s="183">
        <f t="shared" si="54"/>
        <v>28623418102.321838</v>
      </c>
      <c r="O150" s="247">
        <f t="shared" si="42"/>
        <v>0.10528846630564237</v>
      </c>
      <c r="P150" s="246"/>
      <c r="Q150" s="417"/>
      <c r="R150" s="182"/>
      <c r="S150" s="178"/>
      <c r="T150" s="182"/>
      <c r="U150" s="178"/>
      <c r="V150" s="506"/>
      <c r="W150" s="259">
        <f>IF($W$135="Y",IFERROR(E150*($F$8/SUMIF($H$5:$H$16,"Y",$F$5:$F$16))*$F$21*'Emissions Factors'!$B26,""),"")</f>
        <v>4755569444.7796803</v>
      </c>
      <c r="X150" s="259">
        <f>IF($X$135="Y",IFERROR($E150*(SUM($F$7,$F$5,$F$6)/SUMIF($H$5:$H$16,"Y",$F$5:$F$16))*('Emissions Factors'!$T$143*$F$22)/10^6,""),"")</f>
        <v>41079109868.428879</v>
      </c>
      <c r="Y150" s="180"/>
      <c r="Z150" s="180"/>
      <c r="AA150" s="509"/>
      <c r="AB150" s="180">
        <f t="shared" si="47"/>
        <v>45834679313.208557</v>
      </c>
      <c r="AC150" s="180">
        <f t="shared" si="48"/>
        <v>0</v>
      </c>
      <c r="AE150" s="182"/>
      <c r="AF150" s="178"/>
      <c r="AG150" s="182"/>
      <c r="AH150" s="178"/>
      <c r="AJ150" s="259">
        <f>IF($AJ$135="Y",IFERROR(M150*($F$8/SUMIF($H$5:$H$16,"Y",$F$5:$F$16))*$F$21*'Emissions Factors'!$B26,""),"")</f>
        <v>5479264969.9254503</v>
      </c>
      <c r="AK150" s="259">
        <f>IF($AK$135="Y",IFERROR($M150*(SUM($F$7,$F$5,$F$6)/SUMIF($H$5:$H$16,"Y",$F$5:$F$16))*('Emissions Factors'!$T$143*$F$22)/10^6,""),"")</f>
        <v>47330468056.750061</v>
      </c>
      <c r="AL150" s="180"/>
      <c r="AM150" s="180"/>
      <c r="AO150" s="180">
        <f t="shared" si="49"/>
        <v>52809733026.675514</v>
      </c>
      <c r="AP150" s="180">
        <f t="shared" si="50"/>
        <v>0</v>
      </c>
      <c r="AS150" s="430"/>
      <c r="AT150" s="478">
        <v>2029</v>
      </c>
      <c r="AU150" s="479">
        <f t="shared" si="51"/>
        <v>98644412339.884064</v>
      </c>
      <c r="AV150" s="479">
        <f t="shared" si="51"/>
        <v>0</v>
      </c>
      <c r="AW150" s="430"/>
      <c r="AX150" s="479">
        <f t="shared" si="43"/>
        <v>26404866513.337757</v>
      </c>
      <c r="AY150" s="479">
        <f t="shared" si="43"/>
        <v>0</v>
      </c>
      <c r="AZ150" s="430"/>
      <c r="BA150" s="479">
        <f t="shared" si="44"/>
        <v>72239545826.54631</v>
      </c>
      <c r="BB150" s="479">
        <f t="shared" si="44"/>
        <v>0</v>
      </c>
      <c r="BC150" s="516"/>
      <c r="BE150" s="480">
        <f t="shared" si="45"/>
        <v>0.26767726510811907</v>
      </c>
      <c r="BF150" s="480" t="str">
        <f t="shared" si="46"/>
        <v/>
      </c>
    </row>
    <row r="151" spans="1:58" ht="15.6" x14ac:dyDescent="0.3">
      <c r="A151" s="152">
        <v>2030</v>
      </c>
      <c r="B151" s="178"/>
      <c r="C151" s="182"/>
      <c r="D151" s="183"/>
      <c r="E151" s="179">
        <f t="shared" si="52"/>
        <v>175126337922.20102</v>
      </c>
      <c r="F151" s="183">
        <f t="shared" si="53"/>
        <v>25482953963.040558</v>
      </c>
      <c r="G151" s="247">
        <f t="shared" si="40"/>
        <v>9.0207103062808006E-2</v>
      </c>
      <c r="H151" s="246"/>
      <c r="I151" s="417"/>
      <c r="J151" s="178"/>
      <c r="K151" s="182"/>
      <c r="L151" s="183"/>
      <c r="M151" s="179">
        <f t="shared" si="41"/>
        <v>203669327528.35281</v>
      </c>
      <c r="N151" s="183">
        <f t="shared" si="54"/>
        <v>31253434704.28772</v>
      </c>
      <c r="O151" s="247">
        <f t="shared" si="42"/>
        <v>0.10490951981902789</v>
      </c>
      <c r="P151" s="246"/>
      <c r="Q151" s="417"/>
      <c r="R151" s="182"/>
      <c r="S151" s="178"/>
      <c r="T151" s="182"/>
      <c r="U151" s="178"/>
      <c r="V151" s="506"/>
      <c r="W151" s="259">
        <f>IF($W$135="Y",IFERROR(E151*($F$8/SUMIF($H$5:$H$16,"Y",$F$5:$F$16))*$F$21*'Emissions Factors'!$B27,""),"")</f>
        <v>5536828299.9765425</v>
      </c>
      <c r="X151" s="259">
        <f>IF($X$135="Y",IFERROR($E151*(SUM($F$7,$F$5,$F$6)/SUMIF($H$5:$H$16,"Y",$F$5:$F$16))*('Emissions Factors'!$T$143*$F$22)/10^6,""),"")</f>
        <v>48074521479.179054</v>
      </c>
      <c r="Y151" s="180"/>
      <c r="Z151" s="180"/>
      <c r="AA151" s="509"/>
      <c r="AB151" s="180">
        <f t="shared" si="47"/>
        <v>53611349779.155594</v>
      </c>
      <c r="AC151" s="180">
        <f t="shared" si="48"/>
        <v>0</v>
      </c>
      <c r="AE151" s="182"/>
      <c r="AF151" s="178"/>
      <c r="AG151" s="182"/>
      <c r="AH151" s="178"/>
      <c r="AJ151" s="259">
        <f>IF($AJ$135="Y",IFERROR(M151*($F$8/SUMIF($H$5:$H$16,"Y",$F$5:$F$16))*$F$21*'Emissions Factors'!$B27,""),"")</f>
        <v>6439249000.8963842</v>
      </c>
      <c r="AK151" s="259">
        <f>IF($AK$135="Y",IFERROR($M151*(SUM($F$7,$F$5,$F$6)/SUMIF($H$5:$H$16,"Y",$F$5:$F$16))*('Emissions Factors'!$T$143*$F$22)/10^6,""),"")</f>
        <v>55909953791.539284</v>
      </c>
      <c r="AL151" s="180"/>
      <c r="AM151" s="180"/>
      <c r="AO151" s="180">
        <f t="shared" si="49"/>
        <v>62349202792.435669</v>
      </c>
      <c r="AP151" s="180">
        <f t="shared" si="50"/>
        <v>0</v>
      </c>
      <c r="AS151" s="430"/>
      <c r="AT151" s="478">
        <v>2030</v>
      </c>
      <c r="AU151" s="479">
        <f t="shared" si="51"/>
        <v>115960552571.59126</v>
      </c>
      <c r="AV151" s="479">
        <f t="shared" si="51"/>
        <v>0</v>
      </c>
      <c r="AW151" s="430"/>
      <c r="AX151" s="479">
        <f t="shared" si="43"/>
        <v>31174601396.217834</v>
      </c>
      <c r="AY151" s="479">
        <f t="shared" si="43"/>
        <v>0</v>
      </c>
      <c r="AZ151" s="430"/>
      <c r="BA151" s="479">
        <f t="shared" si="44"/>
        <v>84785951175.373428</v>
      </c>
      <c r="BB151" s="479">
        <f t="shared" si="44"/>
        <v>0</v>
      </c>
      <c r="BC151" s="516"/>
      <c r="BE151" s="480">
        <f t="shared" si="45"/>
        <v>0.26883798589155034</v>
      </c>
      <c r="BF151" s="480" t="str">
        <f t="shared" si="46"/>
        <v/>
      </c>
    </row>
    <row r="152" spans="1:58" ht="15.6" x14ac:dyDescent="0.3">
      <c r="A152" s="152">
        <v>2031</v>
      </c>
      <c r="B152" s="178"/>
      <c r="C152" s="182"/>
      <c r="D152" s="183"/>
      <c r="E152" s="179">
        <f t="shared" si="52"/>
        <v>201566614759.44632</v>
      </c>
      <c r="F152" s="183">
        <f t="shared" si="53"/>
        <v>26440276837.2453</v>
      </c>
      <c r="G152" s="247">
        <f t="shared" si="40"/>
        <v>8.8770178721229179E-2</v>
      </c>
      <c r="H152" s="246"/>
      <c r="I152" s="417"/>
      <c r="J152" s="178"/>
      <c r="K152" s="182"/>
      <c r="L152" s="183"/>
      <c r="M152" s="179">
        <f t="shared" si="41"/>
        <v>236638216961.03397</v>
      </c>
      <c r="N152" s="183">
        <f t="shared" si="54"/>
        <v>32968889432.681152</v>
      </c>
      <c r="O152" s="247">
        <f t="shared" si="42"/>
        <v>0.10421575436474673</v>
      </c>
      <c r="P152" s="246"/>
      <c r="Q152" s="417"/>
      <c r="R152" s="182"/>
      <c r="S152" s="178"/>
      <c r="T152" s="182"/>
      <c r="U152" s="178"/>
      <c r="V152" s="506"/>
      <c r="W152" s="259">
        <f>IF($W$135="Y",IFERROR(E152*($F$8/SUMIF($H$5:$H$16,"Y",$F$5:$F$16))*$F$21*'Emissions Factors'!$B28,""),"")</f>
        <v>6337294636.5331545</v>
      </c>
      <c r="X152" s="259">
        <f>IF($X$135="Y",IFERROR($E152*(SUM($F$7,$F$5,$F$6)/SUMIF($H$5:$H$16,"Y",$F$5:$F$16))*('Emissions Factors'!$T$143*$F$22)/10^6,""),"")</f>
        <v>55332731019.838051</v>
      </c>
      <c r="Y152" s="180"/>
      <c r="Z152" s="180"/>
      <c r="AA152" s="509"/>
      <c r="AB152" s="180">
        <f t="shared" si="47"/>
        <v>61670025656.371208</v>
      </c>
      <c r="AC152" s="180">
        <f t="shared" si="48"/>
        <v>0</v>
      </c>
      <c r="AE152" s="182"/>
      <c r="AF152" s="178"/>
      <c r="AG152" s="182"/>
      <c r="AH152" s="178"/>
      <c r="AJ152" s="259">
        <f>IF($AJ$135="Y",IFERROR(M152*($F$8/SUMIF($H$5:$H$16,"Y",$F$5:$F$16))*$F$21*'Emissions Factors'!$B28,""),"")</f>
        <v>7439952816.2718678</v>
      </c>
      <c r="AK152" s="259">
        <f>IF($AK$135="Y",IFERROR($M152*(SUM($F$7,$F$5,$F$6)/SUMIF($H$5:$H$16,"Y",$F$5:$F$16))*('Emissions Factors'!$T$143*$F$22)/10^6,""),"")</f>
        <v>64960354787.648857</v>
      </c>
      <c r="AL152" s="180"/>
      <c r="AM152" s="180"/>
      <c r="AO152" s="180">
        <f t="shared" si="49"/>
        <v>72400307603.920731</v>
      </c>
      <c r="AP152" s="180">
        <f t="shared" si="50"/>
        <v>0</v>
      </c>
      <c r="AS152" s="430"/>
      <c r="AT152" s="478">
        <v>2031</v>
      </c>
      <c r="AU152" s="479">
        <f t="shared" si="51"/>
        <v>134070333260.29193</v>
      </c>
      <c r="AV152" s="479">
        <f t="shared" si="51"/>
        <v>0</v>
      </c>
      <c r="AW152" s="430"/>
      <c r="AX152" s="479">
        <f t="shared" si="43"/>
        <v>36200153801.960365</v>
      </c>
      <c r="AY152" s="479">
        <f t="shared" si="43"/>
        <v>0</v>
      </c>
      <c r="AZ152" s="430"/>
      <c r="BA152" s="479">
        <f t="shared" si="44"/>
        <v>97870179458.331573</v>
      </c>
      <c r="BB152" s="479">
        <f t="shared" si="44"/>
        <v>0</v>
      </c>
      <c r="BC152" s="516"/>
      <c r="BE152" s="480">
        <f t="shared" si="45"/>
        <v>0.27000868068015677</v>
      </c>
      <c r="BF152" s="480" t="str">
        <f t="shared" si="46"/>
        <v/>
      </c>
    </row>
    <row r="153" spans="1:58" ht="15.6" x14ac:dyDescent="0.3">
      <c r="A153" s="152">
        <v>2032</v>
      </c>
      <c r="B153" s="178"/>
      <c r="C153" s="182"/>
      <c r="D153" s="183"/>
      <c r="E153" s="179">
        <f t="shared" si="52"/>
        <v>229485857237.68036</v>
      </c>
      <c r="F153" s="183">
        <f t="shared" si="53"/>
        <v>27919242478.234039</v>
      </c>
      <c r="G153" s="247">
        <f t="shared" si="40"/>
        <v>8.7386517067880726E-2</v>
      </c>
      <c r="H153" s="246"/>
      <c r="I153" s="417"/>
      <c r="J153" s="178"/>
      <c r="K153" s="182"/>
      <c r="L153" s="183"/>
      <c r="M153" s="179">
        <f t="shared" si="41"/>
        <v>271979726649.0423</v>
      </c>
      <c r="N153" s="183">
        <f t="shared" si="54"/>
        <v>35341509688.008331</v>
      </c>
      <c r="O153" s="247">
        <f t="shared" si="42"/>
        <v>0.10356786823825061</v>
      </c>
      <c r="P153" s="246"/>
      <c r="Q153" s="417"/>
      <c r="R153" s="182"/>
      <c r="S153" s="178"/>
      <c r="T153" s="182"/>
      <c r="U153" s="178"/>
      <c r="V153" s="506"/>
      <c r="W153" s="259">
        <f>IF($W$135="Y",IFERROR(E153*($F$8/SUMIF($H$5:$H$16,"Y",$F$5:$F$16))*$F$21*'Emissions Factors'!$B29,""),"")</f>
        <v>7176758978.4206285</v>
      </c>
      <c r="X153" s="259">
        <f>IF($X$135="Y",IFERROR($E153*(SUM($F$7,$F$5,$F$6)/SUMIF($H$5:$H$16,"Y",$F$5:$F$16))*('Emissions Factors'!$T$143*$F$22)/10^6,""),"")</f>
        <v>62996936405.087067</v>
      </c>
      <c r="Y153" s="180"/>
      <c r="Z153" s="180"/>
      <c r="AA153" s="509"/>
      <c r="AB153" s="180">
        <f t="shared" si="47"/>
        <v>70173695383.50769</v>
      </c>
      <c r="AC153" s="180">
        <f t="shared" si="48"/>
        <v>0</v>
      </c>
      <c r="AE153" s="182"/>
      <c r="AF153" s="178"/>
      <c r="AG153" s="182"/>
      <c r="AH153" s="178"/>
      <c r="AJ153" s="259">
        <f>IF($AJ$135="Y",IFERROR(M153*($F$8/SUMIF($H$5:$H$16,"Y",$F$5:$F$16))*$F$21*'Emissions Factors'!$B29,""),"")</f>
        <v>8505678601.166563</v>
      </c>
      <c r="AK153" s="259">
        <f>IF($AK$135="Y",IFERROR($M153*(SUM($F$7,$F$5,$F$6)/SUMIF($H$5:$H$16,"Y",$F$5:$F$16))*('Emissions Factors'!$T$143*$F$22)/10^6,""),"")</f>
        <v>74662071769.577393</v>
      </c>
      <c r="AL153" s="180"/>
      <c r="AM153" s="180"/>
      <c r="AO153" s="180">
        <f t="shared" si="49"/>
        <v>83167750370.743958</v>
      </c>
      <c r="AP153" s="180">
        <f t="shared" si="50"/>
        <v>0</v>
      </c>
      <c r="AS153" s="430"/>
      <c r="AT153" s="478">
        <v>2032</v>
      </c>
      <c r="AU153" s="479">
        <f t="shared" si="51"/>
        <v>153341445754.25165</v>
      </c>
      <c r="AV153" s="479">
        <f t="shared" si="51"/>
        <v>0</v>
      </c>
      <c r="AW153" s="430"/>
      <c r="AX153" s="479">
        <f t="shared" si="43"/>
        <v>41583875185.371979</v>
      </c>
      <c r="AY153" s="479">
        <f t="shared" si="43"/>
        <v>0</v>
      </c>
      <c r="AZ153" s="430"/>
      <c r="BA153" s="479">
        <f t="shared" si="44"/>
        <v>111757570568.87967</v>
      </c>
      <c r="BB153" s="479">
        <f t="shared" si="44"/>
        <v>0</v>
      </c>
      <c r="BC153" s="516"/>
      <c r="BE153" s="480">
        <f t="shared" si="45"/>
        <v>0.27118483839010626</v>
      </c>
      <c r="BF153" s="480" t="str">
        <f t="shared" si="46"/>
        <v/>
      </c>
    </row>
    <row r="154" spans="1:58" ht="15.6" x14ac:dyDescent="0.3">
      <c r="A154" s="152">
        <v>2033</v>
      </c>
      <c r="B154" s="178"/>
      <c r="C154" s="182"/>
      <c r="D154" s="183"/>
      <c r="E154" s="179">
        <f t="shared" si="52"/>
        <v>258215074881.03241</v>
      </c>
      <c r="F154" s="183">
        <f t="shared" si="53"/>
        <v>28729217643.352051</v>
      </c>
      <c r="G154" s="247">
        <f t="shared" si="40"/>
        <v>8.5954244253284934E-2</v>
      </c>
      <c r="H154" s="246"/>
      <c r="I154" s="417"/>
      <c r="J154" s="178"/>
      <c r="K154" s="182"/>
      <c r="L154" s="183"/>
      <c r="M154" s="179">
        <f t="shared" si="41"/>
        <v>308940688865.49738</v>
      </c>
      <c r="N154" s="183">
        <f t="shared" si="54"/>
        <v>36960962216.455078</v>
      </c>
      <c r="O154" s="247">
        <f t="shared" si="42"/>
        <v>0.10283971004697405</v>
      </c>
      <c r="P154" s="246"/>
      <c r="Q154" s="417"/>
      <c r="R154" s="182"/>
      <c r="S154" s="178"/>
      <c r="T154" s="182"/>
      <c r="U154" s="178"/>
      <c r="V154" s="506"/>
      <c r="W154" s="259">
        <f>IF($W$135="Y",IFERROR(E154*($F$8/SUMIF($H$5:$H$16,"Y",$F$5:$F$16))*$F$21*'Emissions Factors'!$B30,""),"")</f>
        <v>8032448028.6661978</v>
      </c>
      <c r="X154" s="259">
        <f>IF($X$135="Y",IFERROR($E154*(SUM($F$7,$F$5,$F$6)/SUMIF($H$5:$H$16,"Y",$F$5:$F$16))*('Emissions Factors'!$T$143*$F$22)/10^6,""),"")</f>
        <v>70883490803.82579</v>
      </c>
      <c r="Y154" s="180"/>
      <c r="Z154" s="180"/>
      <c r="AA154" s="509"/>
      <c r="AB154" s="180">
        <f t="shared" si="47"/>
        <v>78915938832.491989</v>
      </c>
      <c r="AC154" s="180">
        <f t="shared" si="48"/>
        <v>0</v>
      </c>
      <c r="AE154" s="182"/>
      <c r="AF154" s="178"/>
      <c r="AG154" s="182"/>
      <c r="AH154" s="178"/>
      <c r="AJ154" s="259">
        <f>IF($AJ$135="Y",IFERROR(M154*($F$8/SUMIF($H$5:$H$16,"Y",$F$5:$F$16))*$F$21*'Emissions Factors'!$B30,""),"")</f>
        <v>9610399502.8011723</v>
      </c>
      <c r="AK154" s="259">
        <f>IF($AK$135="Y",IFERROR($M154*(SUM($F$7,$F$5,$F$6)/SUMIF($H$5:$H$16,"Y",$F$5:$F$16))*('Emissions Factors'!$T$143*$F$22)/10^6,""),"")</f>
        <v>84808350125.237778</v>
      </c>
      <c r="AL154" s="180"/>
      <c r="AM154" s="180"/>
      <c r="AO154" s="180">
        <f t="shared" si="49"/>
        <v>94418749628.038956</v>
      </c>
      <c r="AP154" s="180">
        <f t="shared" si="50"/>
        <v>0</v>
      </c>
      <c r="AS154" s="430"/>
      <c r="AT154" s="478">
        <v>2033</v>
      </c>
      <c r="AU154" s="479">
        <f t="shared" si="51"/>
        <v>173334688460.53094</v>
      </c>
      <c r="AV154" s="479">
        <f t="shared" si="51"/>
        <v>0</v>
      </c>
      <c r="AW154" s="430"/>
      <c r="AX154" s="479">
        <f t="shared" si="43"/>
        <v>47209374814.019478</v>
      </c>
      <c r="AY154" s="479">
        <f t="shared" si="43"/>
        <v>0</v>
      </c>
      <c r="AZ154" s="430"/>
      <c r="BA154" s="479">
        <f t="shared" si="44"/>
        <v>126125313646.51147</v>
      </c>
      <c r="BB154" s="479">
        <f t="shared" si="44"/>
        <v>0</v>
      </c>
      <c r="BC154" s="516"/>
      <c r="BE154" s="480">
        <f t="shared" si="45"/>
        <v>0.27235964845414801</v>
      </c>
      <c r="BF154" s="480" t="str">
        <f t="shared" si="46"/>
        <v/>
      </c>
    </row>
    <row r="155" spans="1:58" ht="15.6" x14ac:dyDescent="0.3">
      <c r="A155" s="152">
        <v>2034</v>
      </c>
      <c r="B155" s="178"/>
      <c r="C155" s="182"/>
      <c r="D155" s="183"/>
      <c r="E155" s="179">
        <f t="shared" si="52"/>
        <v>287242814733.50922</v>
      </c>
      <c r="F155" s="183">
        <f t="shared" si="53"/>
        <v>29027739852.476807</v>
      </c>
      <c r="G155" s="247">
        <f t="shared" si="40"/>
        <v>8.4480391639493835E-2</v>
      </c>
      <c r="H155" s="246"/>
      <c r="I155" s="417"/>
      <c r="J155" s="178"/>
      <c r="K155" s="182"/>
      <c r="L155" s="183"/>
      <c r="M155" s="179">
        <f t="shared" si="41"/>
        <v>346918202276.41626</v>
      </c>
      <c r="N155" s="183">
        <f t="shared" si="54"/>
        <v>37977513410.918884</v>
      </c>
      <c r="O155" s="247">
        <f t="shared" si="42"/>
        <v>0.10203139675528947</v>
      </c>
      <c r="P155" s="246"/>
      <c r="Q155" s="417"/>
      <c r="R155" s="182"/>
      <c r="S155" s="178"/>
      <c r="T155" s="182"/>
      <c r="U155" s="178"/>
      <c r="V155" s="506"/>
      <c r="W155" s="259">
        <f>IF($W$135="Y",IFERROR(E155*($F$8/SUMIF($H$5:$H$16,"Y",$F$5:$F$16))*$F$21*'Emissions Factors'!$B31,""),"")</f>
        <v>8888180205.6406002</v>
      </c>
      <c r="X155" s="259">
        <f>IF($X$135="Y",IFERROR($E155*(SUM($F$7,$F$5,$F$6)/SUMIF($H$5:$H$16,"Y",$F$5:$F$16))*('Emissions Factors'!$T$143*$F$22)/10^6,""),"")</f>
        <v>78851993540.689148</v>
      </c>
      <c r="Y155" s="180"/>
      <c r="Z155" s="180"/>
      <c r="AA155" s="509"/>
      <c r="AB155" s="180">
        <f t="shared" si="47"/>
        <v>87740173746.329742</v>
      </c>
      <c r="AC155" s="180">
        <f t="shared" si="48"/>
        <v>0</v>
      </c>
      <c r="AE155" s="182"/>
      <c r="AF155" s="178"/>
      <c r="AG155" s="182"/>
      <c r="AH155" s="178"/>
      <c r="AJ155" s="259">
        <f>IF($AJ$135="Y",IFERROR(M155*($F$8/SUMIF($H$5:$H$16,"Y",$F$5:$F$16))*$F$21*'Emissions Factors'!$B31,""),"")</f>
        <v>10734721080.178696</v>
      </c>
      <c r="AK155" s="259">
        <f>IF($AK$135="Y",IFERROR($M155*(SUM($F$7,$F$5,$F$6)/SUMIF($H$5:$H$16,"Y",$F$5:$F$16))*('Emissions Factors'!$T$143*$F$22)/10^6,""),"")</f>
        <v>95233685376.695572</v>
      </c>
      <c r="AL155" s="180"/>
      <c r="AM155" s="180"/>
      <c r="AO155" s="180">
        <f t="shared" si="49"/>
        <v>105968406456.87427</v>
      </c>
      <c r="AP155" s="180">
        <f t="shared" si="50"/>
        <v>0</v>
      </c>
      <c r="AS155" s="430"/>
      <c r="AT155" s="478">
        <v>2034</v>
      </c>
      <c r="AU155" s="479">
        <f t="shared" si="51"/>
        <v>193708580203.20401</v>
      </c>
      <c r="AV155" s="479">
        <f t="shared" si="51"/>
        <v>0</v>
      </c>
      <c r="AW155" s="430"/>
      <c r="AX155" s="479">
        <f t="shared" si="43"/>
        <v>52984203228.437134</v>
      </c>
      <c r="AY155" s="479">
        <f t="shared" si="43"/>
        <v>0</v>
      </c>
      <c r="AZ155" s="430"/>
      <c r="BA155" s="479">
        <f t="shared" si="44"/>
        <v>140724376974.76688</v>
      </c>
      <c r="BB155" s="479">
        <f t="shared" si="44"/>
        <v>0</v>
      </c>
      <c r="BC155" s="516"/>
      <c r="BE155" s="480">
        <f t="shared" si="45"/>
        <v>0.27352532950711678</v>
      </c>
      <c r="BF155" s="480" t="str">
        <f t="shared" si="46"/>
        <v/>
      </c>
    </row>
    <row r="156" spans="1:58" ht="15.6" x14ac:dyDescent="0.3">
      <c r="A156" s="152">
        <v>2035</v>
      </c>
      <c r="B156" s="178"/>
      <c r="C156" s="182"/>
      <c r="D156" s="183"/>
      <c r="E156" s="179">
        <f t="shared" si="52"/>
        <v>315539851628.3775</v>
      </c>
      <c r="F156" s="183">
        <f t="shared" si="53"/>
        <v>28297036894.868286</v>
      </c>
      <c r="G156" s="247">
        <f t="shared" si="40"/>
        <v>8.2923112917133571E-2</v>
      </c>
      <c r="H156" s="246"/>
      <c r="I156" s="417"/>
      <c r="J156" s="178"/>
      <c r="K156" s="182"/>
      <c r="L156" s="183"/>
      <c r="M156" s="179">
        <f t="shared" si="41"/>
        <v>384653204280.66876</v>
      </c>
      <c r="N156" s="183">
        <f t="shared" si="54"/>
        <v>37735002004.252502</v>
      </c>
      <c r="O156" s="247">
        <f t="shared" si="42"/>
        <v>0.10108593550987958</v>
      </c>
      <c r="P156" s="246"/>
      <c r="Q156" s="417"/>
      <c r="R156" s="182"/>
      <c r="S156" s="178"/>
      <c r="T156" s="182"/>
      <c r="U156" s="178"/>
      <c r="V156" s="506"/>
      <c r="W156" s="259">
        <f>IF($W$135="Y",IFERROR(E156*($F$8/SUMIF($H$5:$H$16,"Y",$F$5:$F$16))*$F$21*'Emissions Factors'!$B32,""),"")</f>
        <v>9710731096.6014919</v>
      </c>
      <c r="X156" s="259">
        <f>IF($X$135="Y",IFERROR($E156*(SUM($F$7,$F$5,$F$6)/SUMIF($H$5:$H$16,"Y",$F$5:$F$16))*('Emissions Factors'!$T$143*$F$22)/10^6,""),"")</f>
        <v>86619908545.020508</v>
      </c>
      <c r="Y156" s="180"/>
      <c r="Z156" s="180"/>
      <c r="AA156" s="509"/>
      <c r="AB156" s="180">
        <f t="shared" si="47"/>
        <v>96330639641.621994</v>
      </c>
      <c r="AC156" s="180">
        <f t="shared" si="48"/>
        <v>0</v>
      </c>
      <c r="AE156" s="182"/>
      <c r="AF156" s="178"/>
      <c r="AG156" s="182"/>
      <c r="AH156" s="178"/>
      <c r="AJ156" s="259">
        <f>IF($AJ$135="Y",IFERROR(M156*($F$8/SUMIF($H$5:$H$16,"Y",$F$5:$F$16))*$F$21*'Emissions Factors'!$B32,""),"")</f>
        <v>11837692807.86393</v>
      </c>
      <c r="AK156" s="259">
        <f>IF($AK$135="Y",IFERROR($M156*(SUM($F$7,$F$5,$F$6)/SUMIF($H$5:$H$16,"Y",$F$5:$F$16))*('Emissions Factors'!$T$143*$F$22)/10^6,""),"")</f>
        <v>105592448004.25761</v>
      </c>
      <c r="AL156" s="180"/>
      <c r="AM156" s="180"/>
      <c r="AO156" s="180">
        <f t="shared" si="49"/>
        <v>117430140812.12155</v>
      </c>
      <c r="AP156" s="180">
        <f t="shared" si="50"/>
        <v>0</v>
      </c>
      <c r="AS156" s="430"/>
      <c r="AT156" s="478">
        <v>2035</v>
      </c>
      <c r="AU156" s="479">
        <f t="shared" si="51"/>
        <v>213760780453.74353</v>
      </c>
      <c r="AV156" s="479">
        <f t="shared" si="51"/>
        <v>0</v>
      </c>
      <c r="AW156" s="430"/>
      <c r="AX156" s="479">
        <f t="shared" si="43"/>
        <v>58715070406.060776</v>
      </c>
      <c r="AY156" s="479">
        <f t="shared" si="43"/>
        <v>0</v>
      </c>
      <c r="AZ156" s="430"/>
      <c r="BA156" s="479">
        <f t="shared" si="44"/>
        <v>155045710047.68274</v>
      </c>
      <c r="BB156" s="479">
        <f t="shared" si="44"/>
        <v>0</v>
      </c>
      <c r="BC156" s="516"/>
      <c r="BE156" s="480">
        <f t="shared" si="45"/>
        <v>0.27467653458893665</v>
      </c>
      <c r="BF156" s="480" t="str">
        <f t="shared" si="46"/>
        <v/>
      </c>
    </row>
    <row r="157" spans="1:58" ht="15.6" x14ac:dyDescent="0.3">
      <c r="A157" s="152">
        <v>2036</v>
      </c>
      <c r="B157" s="178"/>
      <c r="C157" s="182"/>
      <c r="D157" s="183"/>
      <c r="E157" s="179">
        <f t="shared" si="52"/>
        <v>344965304904.08435</v>
      </c>
      <c r="F157" s="183">
        <f t="shared" si="53"/>
        <v>29425453275.706848</v>
      </c>
      <c r="G157" s="247">
        <f t="shared" si="40"/>
        <v>8.1460154892332201E-2</v>
      </c>
      <c r="H157" s="246"/>
      <c r="I157" s="417"/>
      <c r="J157" s="178"/>
      <c r="K157" s="182"/>
      <c r="L157" s="183"/>
      <c r="M157" s="179">
        <f t="shared" si="41"/>
        <v>424398658643.67157</v>
      </c>
      <c r="N157" s="183">
        <f t="shared" si="54"/>
        <v>39745454363.002808</v>
      </c>
      <c r="O157" s="247">
        <f t="shared" si="42"/>
        <v>0.10021755804927669</v>
      </c>
      <c r="P157" s="246"/>
      <c r="Q157" s="417"/>
      <c r="R157" s="182"/>
      <c r="S157" s="178"/>
      <c r="T157" s="182"/>
      <c r="U157" s="178"/>
      <c r="V157" s="506"/>
      <c r="W157" s="259">
        <f>IF($W$135="Y",IFERROR(E157*($F$8/SUMIF($H$5:$H$16,"Y",$F$5:$F$16))*$F$21*'Emissions Factors'!$B33,""),"")</f>
        <v>10561307690.186073</v>
      </c>
      <c r="X157" s="259">
        <f>IF($X$135="Y",IFERROR($E157*(SUM($F$7,$F$5,$F$6)/SUMIF($H$5:$H$16,"Y",$F$5:$F$16))*('Emissions Factors'!$T$143*$F$22)/10^6,""),"")</f>
        <v>94697588934.625778</v>
      </c>
      <c r="Y157" s="180"/>
      <c r="Z157" s="180"/>
      <c r="AA157" s="509"/>
      <c r="AB157" s="180">
        <f t="shared" si="47"/>
        <v>105258896624.81186</v>
      </c>
      <c r="AC157" s="180">
        <f t="shared" si="48"/>
        <v>0</v>
      </c>
      <c r="AE157" s="182"/>
      <c r="AF157" s="178"/>
      <c r="AG157" s="182"/>
      <c r="AH157" s="178"/>
      <c r="AJ157" s="259">
        <f>IF($AJ$135="Y",IFERROR(M157*($F$8/SUMIF($H$5:$H$16,"Y",$F$5:$F$16))*$F$21*'Emissions Factors'!$B33,""),"")</f>
        <v>12993204689.046379</v>
      </c>
      <c r="AK157" s="259">
        <f>IF($AK$135="Y",IFERROR($M157*(SUM($F$7,$F$5,$F$6)/SUMIF($H$5:$H$16,"Y",$F$5:$F$16))*('Emissions Factors'!$T$143*$F$22)/10^6,""),"")</f>
        <v>116503106687.26364</v>
      </c>
      <c r="AL157" s="180"/>
      <c r="AM157" s="180"/>
      <c r="AO157" s="180">
        <f t="shared" si="49"/>
        <v>129496311376.31003</v>
      </c>
      <c r="AP157" s="180">
        <f t="shared" si="50"/>
        <v>0</v>
      </c>
      <c r="AS157" s="430"/>
      <c r="AT157" s="478">
        <v>2036</v>
      </c>
      <c r="AU157" s="479">
        <f t="shared" si="51"/>
        <v>234755208001.12189</v>
      </c>
      <c r="AV157" s="479">
        <f t="shared" si="51"/>
        <v>0</v>
      </c>
      <c r="AW157" s="430"/>
      <c r="AX157" s="479">
        <f t="shared" si="43"/>
        <v>64748155688.155014</v>
      </c>
      <c r="AY157" s="479">
        <f t="shared" si="43"/>
        <v>0</v>
      </c>
      <c r="AZ157" s="430"/>
      <c r="BA157" s="479">
        <f t="shared" si="44"/>
        <v>170007052312.96686</v>
      </c>
      <c r="BB157" s="479">
        <f t="shared" si="44"/>
        <v>0</v>
      </c>
      <c r="BC157" s="516"/>
      <c r="BE157" s="480">
        <f t="shared" si="45"/>
        <v>0.27581137065911476</v>
      </c>
      <c r="BF157" s="480" t="str">
        <f t="shared" si="46"/>
        <v/>
      </c>
    </row>
    <row r="158" spans="1:58" ht="15.6" x14ac:dyDescent="0.3">
      <c r="A158" s="152">
        <v>2037</v>
      </c>
      <c r="B158" s="178"/>
      <c r="C158" s="182"/>
      <c r="D158" s="183"/>
      <c r="E158" s="179">
        <f t="shared" si="52"/>
        <v>373605578292.0152</v>
      </c>
      <c r="F158" s="183">
        <f t="shared" si="53"/>
        <v>28640273387.930847</v>
      </c>
      <c r="G158" s="247">
        <f t="shared" si="40"/>
        <v>7.9944371157952984E-2</v>
      </c>
      <c r="H158" s="246"/>
      <c r="I158" s="417"/>
      <c r="J158" s="178"/>
      <c r="K158" s="182"/>
      <c r="L158" s="183"/>
      <c r="M158" s="179">
        <f t="shared" si="41"/>
        <v>463815949622.69421</v>
      </c>
      <c r="N158" s="183">
        <f t="shared" si="54"/>
        <v>39417290979.022644</v>
      </c>
      <c r="O158" s="247">
        <f t="shared" si="42"/>
        <v>9.9247646662901992E-2</v>
      </c>
      <c r="P158" s="246"/>
      <c r="Q158" s="417"/>
      <c r="R158" s="182"/>
      <c r="S158" s="178"/>
      <c r="T158" s="182"/>
      <c r="U158" s="178"/>
      <c r="V158" s="506"/>
      <c r="W158" s="259">
        <f>IF($W$135="Y",IFERROR(E158*($F$8/SUMIF($H$5:$H$16,"Y",$F$5:$F$16))*$F$21*'Emissions Factors'!$B34,""),"")</f>
        <v>11377156813.900162</v>
      </c>
      <c r="X158" s="259">
        <f>IF($X$135="Y",IFERROR($E158*(SUM($F$7,$F$5,$F$6)/SUMIF($H$5:$H$16,"Y",$F$5:$F$16))*('Emissions Factors'!$T$143*$F$22)/10^6,""),"")</f>
        <v>102559726945.92427</v>
      </c>
      <c r="Y158" s="180"/>
      <c r="Z158" s="180"/>
      <c r="AA158" s="509"/>
      <c r="AB158" s="180">
        <f t="shared" si="47"/>
        <v>113936883759.82443</v>
      </c>
      <c r="AC158" s="180">
        <f t="shared" si="48"/>
        <v>0</v>
      </c>
      <c r="AE158" s="182"/>
      <c r="AF158" s="178"/>
      <c r="AG158" s="182"/>
      <c r="AH158" s="178"/>
      <c r="AJ158" s="259">
        <f>IF($AJ$135="Y",IFERROR(M158*($F$8/SUMIF($H$5:$H$16,"Y",$F$5:$F$16))*$F$21*'Emissions Factors'!$B34,""),"")</f>
        <v>14124271954.849953</v>
      </c>
      <c r="AK158" s="259">
        <f>IF($AK$135="Y",IFERROR($M158*(SUM($F$7,$F$5,$F$6)/SUMIF($H$5:$H$16,"Y",$F$5:$F$16))*('Emissions Factors'!$T$143*$F$22)/10^6,""),"")</f>
        <v>127323680133.29726</v>
      </c>
      <c r="AL158" s="180"/>
      <c r="AM158" s="180"/>
      <c r="AO158" s="180">
        <f t="shared" si="49"/>
        <v>141447952088.14722</v>
      </c>
      <c r="AP158" s="180">
        <f t="shared" si="50"/>
        <v>0</v>
      </c>
      <c r="AS158" s="430"/>
      <c r="AT158" s="478">
        <v>2037</v>
      </c>
      <c r="AU158" s="479">
        <f t="shared" si="51"/>
        <v>255384835847.97165</v>
      </c>
      <c r="AV158" s="479">
        <f t="shared" si="51"/>
        <v>0</v>
      </c>
      <c r="AW158" s="430"/>
      <c r="AX158" s="479">
        <f t="shared" si="43"/>
        <v>70723976044.073608</v>
      </c>
      <c r="AY158" s="479">
        <f t="shared" si="43"/>
        <v>0</v>
      </c>
      <c r="AZ158" s="430"/>
      <c r="BA158" s="479">
        <f t="shared" si="44"/>
        <v>184660859803.89804</v>
      </c>
      <c r="BB158" s="479">
        <f t="shared" si="44"/>
        <v>0</v>
      </c>
      <c r="BC158" s="516"/>
      <c r="BE158" s="480">
        <f t="shared" si="45"/>
        <v>0.27693099243439406</v>
      </c>
      <c r="BF158" s="480" t="str">
        <f t="shared" si="46"/>
        <v/>
      </c>
    </row>
    <row r="159" spans="1:58" ht="15.6" x14ac:dyDescent="0.3">
      <c r="A159" s="152">
        <v>2038</v>
      </c>
      <c r="B159" s="178"/>
      <c r="C159" s="182"/>
      <c r="D159" s="183"/>
      <c r="E159" s="179">
        <f t="shared" si="52"/>
        <v>402284946424.51941</v>
      </c>
      <c r="F159" s="183">
        <f t="shared" si="53"/>
        <v>28679368132.504211</v>
      </c>
      <c r="G159" s="247">
        <f t="shared" si="40"/>
        <v>7.8438464278085235E-2</v>
      </c>
      <c r="H159" s="246"/>
      <c r="I159" s="417"/>
      <c r="J159" s="178"/>
      <c r="K159" s="182"/>
      <c r="L159" s="183"/>
      <c r="M159" s="179">
        <f t="shared" si="41"/>
        <v>503914352748.37579</v>
      </c>
      <c r="N159" s="183">
        <f t="shared" si="54"/>
        <v>40098403125.68158</v>
      </c>
      <c r="O159" s="247">
        <f t="shared" si="42"/>
        <v>9.8254404766011341E-2</v>
      </c>
      <c r="P159" s="246"/>
      <c r="Q159" s="417"/>
      <c r="R159" s="182"/>
      <c r="S159" s="178"/>
      <c r="T159" s="182"/>
      <c r="U159" s="178"/>
      <c r="V159" s="506"/>
      <c r="W159" s="259">
        <f>IF($W$135="Y",IFERROR(E159*($F$8/SUMIF($H$5:$H$16,"Y",$F$5:$F$16))*$F$21*'Emissions Factors'!$B35,""),"")</f>
        <v>12184902669.313747</v>
      </c>
      <c r="X159" s="259">
        <f>IF($X$135="Y",IFERROR($E159*(SUM($F$7,$F$5,$F$6)/SUMIF($H$5:$H$16,"Y",$F$5:$F$16))*('Emissions Factors'!$T$143*$F$22)/10^6,""),"")</f>
        <v>110432596987.36749</v>
      </c>
      <c r="Y159" s="180"/>
      <c r="Z159" s="180"/>
      <c r="AA159" s="509"/>
      <c r="AB159" s="180">
        <f t="shared" si="47"/>
        <v>122617499656.68124</v>
      </c>
      <c r="AC159" s="180">
        <f t="shared" si="48"/>
        <v>0</v>
      </c>
      <c r="AE159" s="182"/>
      <c r="AF159" s="178"/>
      <c r="AG159" s="182"/>
      <c r="AH159" s="178"/>
      <c r="AJ159" s="259">
        <f>IF($AJ$135="Y",IFERROR(M159*($F$8/SUMIF($H$5:$H$16,"Y",$F$5:$F$16))*$F$21*'Emissions Factors'!$B35,""),"")</f>
        <v>15263179486.288006</v>
      </c>
      <c r="AK159" s="259">
        <f>IF($AK$135="Y",IFERROR($M159*(SUM($F$7,$F$5,$F$6)/SUMIF($H$5:$H$16,"Y",$F$5:$F$16))*('Emissions Factors'!$T$143*$F$22)/10^6,""),"")</f>
        <v>138331227971.14868</v>
      </c>
      <c r="AL159" s="180"/>
      <c r="AM159" s="180"/>
      <c r="AO159" s="180">
        <f t="shared" si="49"/>
        <v>153594407457.43668</v>
      </c>
      <c r="AP159" s="180">
        <f t="shared" si="50"/>
        <v>0</v>
      </c>
      <c r="AS159" s="430"/>
      <c r="AT159" s="478">
        <v>2038</v>
      </c>
      <c r="AU159" s="479">
        <f t="shared" si="51"/>
        <v>276211907114.11792</v>
      </c>
      <c r="AV159" s="479">
        <f t="shared" si="51"/>
        <v>0</v>
      </c>
      <c r="AW159" s="430"/>
      <c r="AX159" s="479">
        <f t="shared" si="43"/>
        <v>76797203728.718338</v>
      </c>
      <c r="AY159" s="479">
        <f t="shared" si="43"/>
        <v>0</v>
      </c>
      <c r="AZ159" s="430"/>
      <c r="BA159" s="479">
        <f t="shared" si="44"/>
        <v>199414703385.3996</v>
      </c>
      <c r="BB159" s="479">
        <f t="shared" si="44"/>
        <v>0</v>
      </c>
      <c r="BC159" s="516"/>
      <c r="BE159" s="480">
        <f t="shared" si="45"/>
        <v>0.27803726686188551</v>
      </c>
      <c r="BF159" s="480" t="str">
        <f t="shared" si="46"/>
        <v/>
      </c>
    </row>
    <row r="160" spans="1:58" ht="15.6" x14ac:dyDescent="0.3">
      <c r="A160" s="152">
        <v>2039</v>
      </c>
      <c r="B160" s="178"/>
      <c r="C160" s="182"/>
      <c r="D160" s="183"/>
      <c r="E160" s="179">
        <f t="shared" si="52"/>
        <v>431265142758.30835</v>
      </c>
      <c r="F160" s="183">
        <f t="shared" si="53"/>
        <v>28980196333.78894</v>
      </c>
      <c r="G160" s="247">
        <f t="shared" si="40"/>
        <v>7.6948719449401681E-2</v>
      </c>
      <c r="H160" s="246"/>
      <c r="I160" s="417"/>
      <c r="J160" s="178"/>
      <c r="K160" s="182"/>
      <c r="L160" s="183"/>
      <c r="M160" s="179">
        <f t="shared" si="41"/>
        <v>545037011926.76434</v>
      </c>
      <c r="N160" s="183">
        <f t="shared" si="54"/>
        <v>41122659178.38855</v>
      </c>
      <c r="O160" s="247">
        <f t="shared" si="42"/>
        <v>9.724852755789945E-2</v>
      </c>
      <c r="P160" s="246"/>
      <c r="Q160" s="417"/>
      <c r="R160" s="182"/>
      <c r="S160" s="178"/>
      <c r="T160" s="182"/>
      <c r="U160" s="178"/>
      <c r="V160" s="506"/>
      <c r="W160" s="259">
        <f>IF($W$135="Y",IFERROR(E160*($F$8/SUMIF($H$5:$H$16,"Y",$F$5:$F$16))*$F$21*'Emissions Factors'!$B36,""),"")</f>
        <v>12992008159.115313</v>
      </c>
      <c r="X160" s="259">
        <f>IF($X$135="Y",IFERROR($E160*(SUM($F$7,$F$5,$F$6)/SUMIF($H$5:$H$16,"Y",$F$5:$F$16))*('Emissions Factors'!$T$143*$F$22)/10^6,""),"")</f>
        <v>118388048392.61806</v>
      </c>
      <c r="Y160" s="180"/>
      <c r="Z160" s="180"/>
      <c r="AA160" s="509"/>
      <c r="AB160" s="180">
        <f t="shared" si="47"/>
        <v>131380056551.73337</v>
      </c>
      <c r="AC160" s="180">
        <f t="shared" si="48"/>
        <v>0</v>
      </c>
      <c r="AE160" s="182"/>
      <c r="AF160" s="178"/>
      <c r="AG160" s="182"/>
      <c r="AH160" s="178"/>
      <c r="AJ160" s="259">
        <f>IF($AJ$135="Y",IFERROR(M160*($F$8/SUMIF($H$5:$H$16,"Y",$F$5:$F$16))*$F$21*'Emissions Factors'!$B36,""),"")</f>
        <v>16419424163.71172</v>
      </c>
      <c r="AK160" s="259">
        <f>IF($AK$135="Y",IFERROR($M160*(SUM($F$7,$F$5,$F$6)/SUMIF($H$5:$H$16,"Y",$F$5:$F$16))*('Emissions Factors'!$T$143*$F$22)/10^6,""),"")</f>
        <v>149619947791.41153</v>
      </c>
      <c r="AL160" s="180"/>
      <c r="AM160" s="180"/>
      <c r="AO160" s="180">
        <f t="shared" si="49"/>
        <v>166039371955.12326</v>
      </c>
      <c r="AP160" s="180">
        <f t="shared" si="50"/>
        <v>0</v>
      </c>
      <c r="AS160" s="430"/>
      <c r="AT160" s="478">
        <v>2039</v>
      </c>
      <c r="AU160" s="479">
        <f t="shared" si="51"/>
        <v>297419428506.85663</v>
      </c>
      <c r="AV160" s="479">
        <f t="shared" si="51"/>
        <v>0</v>
      </c>
      <c r="AW160" s="430"/>
      <c r="AX160" s="479">
        <f t="shared" si="43"/>
        <v>83019685977.56163</v>
      </c>
      <c r="AY160" s="479">
        <f t="shared" si="43"/>
        <v>0</v>
      </c>
      <c r="AZ160" s="430"/>
      <c r="BA160" s="479">
        <f t="shared" si="44"/>
        <v>214399742529.29498</v>
      </c>
      <c r="BB160" s="479">
        <f t="shared" si="44"/>
        <v>0</v>
      </c>
      <c r="BC160" s="516"/>
      <c r="BE160" s="480">
        <f t="shared" si="45"/>
        <v>0.27913336527592619</v>
      </c>
      <c r="BF160" s="480" t="str">
        <f t="shared" si="46"/>
        <v/>
      </c>
    </row>
    <row r="161" spans="1:58" ht="15.6" x14ac:dyDescent="0.3">
      <c r="A161" s="152">
        <v>2040</v>
      </c>
      <c r="B161" s="178"/>
      <c r="C161" s="182"/>
      <c r="D161" s="183"/>
      <c r="E161" s="179">
        <f t="shared" si="52"/>
        <v>458131762311.39966</v>
      </c>
      <c r="F161" s="183">
        <f t="shared" si="53"/>
        <v>26866619553.091309</v>
      </c>
      <c r="G161" s="247">
        <f t="shared" si="40"/>
        <v>7.5128796328336467E-2</v>
      </c>
      <c r="H161" s="246"/>
      <c r="I161" s="417"/>
      <c r="J161" s="178"/>
      <c r="K161" s="182"/>
      <c r="L161" s="183"/>
      <c r="M161" s="179">
        <f t="shared" si="41"/>
        <v>584128827894.22449</v>
      </c>
      <c r="N161" s="183">
        <f t="shared" si="54"/>
        <v>39091815967.460144</v>
      </c>
      <c r="O161" s="247">
        <f t="shared" si="42"/>
        <v>9.5790991480188645E-2</v>
      </c>
      <c r="P161" s="246"/>
      <c r="Q161" s="417"/>
      <c r="R161" s="182"/>
      <c r="S161" s="178"/>
      <c r="T161" s="182"/>
      <c r="U161" s="178"/>
      <c r="V161" s="506"/>
      <c r="W161" s="259">
        <f>IF($W$135="Y",IFERROR(E161*($F$8/SUMIF($H$5:$H$16,"Y",$F$5:$F$16))*$F$21*'Emissions Factors'!$B37,""),"")</f>
        <v>13720784145.513697</v>
      </c>
      <c r="X161" s="259">
        <f>IF($X$135="Y",IFERROR($E161*(SUM($F$7,$F$5,$F$6)/SUMIF($H$5:$H$16,"Y",$F$5:$F$16))*('Emissions Factors'!$T$143*$F$22)/10^6,""),"")</f>
        <v>125763294709.66153</v>
      </c>
      <c r="Y161" s="180"/>
      <c r="Z161" s="180"/>
      <c r="AA161" s="509"/>
      <c r="AB161" s="180">
        <f t="shared" si="47"/>
        <v>139484078855.17523</v>
      </c>
      <c r="AC161" s="180">
        <f t="shared" si="48"/>
        <v>0</v>
      </c>
      <c r="AE161" s="182"/>
      <c r="AF161" s="178"/>
      <c r="AG161" s="182"/>
      <c r="AH161" s="178"/>
      <c r="AJ161" s="259">
        <f>IF($AJ$135="Y",IFERROR(M161*($F$8/SUMIF($H$5:$H$16,"Y",$F$5:$F$16))*$F$21*'Emissions Factors'!$B37,""),"")</f>
        <v>17494324166.201004</v>
      </c>
      <c r="AK161" s="259">
        <f>IF($AK$135="Y",IFERROR($M161*(SUM($F$7,$F$5,$F$6)/SUMIF($H$5:$H$16,"Y",$F$5:$F$16))*('Emissions Factors'!$T$143*$F$22)/10^6,""),"")</f>
        <v>160351173994.64917</v>
      </c>
      <c r="AL161" s="180"/>
      <c r="AM161" s="180"/>
      <c r="AO161" s="180">
        <f t="shared" si="49"/>
        <v>177845498160.85016</v>
      </c>
      <c r="AP161" s="180">
        <f t="shared" si="50"/>
        <v>0</v>
      </c>
      <c r="AS161" s="430"/>
      <c r="AT161" s="478">
        <v>2040</v>
      </c>
      <c r="AU161" s="479">
        <f t="shared" si="51"/>
        <v>317329577016.02539</v>
      </c>
      <c r="AV161" s="479">
        <f t="shared" si="51"/>
        <v>0</v>
      </c>
      <c r="AW161" s="430"/>
      <c r="AX161" s="479">
        <f t="shared" si="43"/>
        <v>88922749080.425079</v>
      </c>
      <c r="AY161" s="479">
        <f t="shared" si="43"/>
        <v>0</v>
      </c>
      <c r="AZ161" s="430"/>
      <c r="BA161" s="479">
        <f t="shared" si="44"/>
        <v>228406827935.60031</v>
      </c>
      <c r="BB161" s="479">
        <f t="shared" si="44"/>
        <v>0</v>
      </c>
      <c r="BC161" s="516"/>
      <c r="BE161" s="480">
        <f t="shared" si="45"/>
        <v>0.28022206412840744</v>
      </c>
      <c r="BF161" s="480" t="str">
        <f t="shared" si="46"/>
        <v/>
      </c>
    </row>
    <row r="162" spans="1:58" ht="15.6" x14ac:dyDescent="0.3">
      <c r="A162" s="152">
        <v>2041</v>
      </c>
      <c r="B162" s="178"/>
      <c r="C162" s="182"/>
      <c r="D162" s="183"/>
      <c r="E162" s="179">
        <f t="shared" si="52"/>
        <v>490885672122.86896</v>
      </c>
      <c r="F162" s="183">
        <f t="shared" si="53"/>
        <v>32753909811.469299</v>
      </c>
      <c r="G162" s="247">
        <f t="shared" si="40"/>
        <v>7.404015876820963E-2</v>
      </c>
      <c r="H162" s="246"/>
      <c r="I162" s="417"/>
      <c r="J162" s="178"/>
      <c r="K162" s="182"/>
      <c r="L162" s="183"/>
      <c r="M162" s="179">
        <f>IFERROR(IF($G$19="Y",$F$19,$AB107)*(SUMIF($H$5:$H$16,"Y",$F$5:$F$16)*((Z56+N56)-B56)),0)</f>
        <v>631414959555.08057</v>
      </c>
      <c r="N162" s="183">
        <f t="shared" si="54"/>
        <v>47286131660.856079</v>
      </c>
      <c r="O162" s="247">
        <f t="shared" si="42"/>
        <v>9.5236154789173105E-2</v>
      </c>
      <c r="P162" s="246"/>
      <c r="Q162" s="417"/>
      <c r="R162" s="182"/>
      <c r="S162" s="178"/>
      <c r="T162" s="182"/>
      <c r="U162" s="178"/>
      <c r="V162" s="506"/>
      <c r="W162" s="259">
        <f>IF($W$135="Y",IFERROR(E162*($F$8/SUMIF($H$5:$H$16,"Y",$F$5:$F$16))*$F$21*'Emissions Factors'!$B38,""),"")</f>
        <v>14627108372.223547</v>
      </c>
      <c r="X162" s="259">
        <f>IF($X$135="Y",IFERROR($E162*(SUM($F$7,$F$5,$F$6)/SUMIF($H$5:$H$16,"Y",$F$5:$F$16))*('Emissions Factors'!$T$143*$F$22)/10^6,""),"")</f>
        <v>134754680925.12671</v>
      </c>
      <c r="Y162" s="180"/>
      <c r="Z162" s="180"/>
      <c r="AA162" s="509"/>
      <c r="AB162" s="180">
        <f t="shared" si="47"/>
        <v>149381789297.35025</v>
      </c>
      <c r="AC162" s="180">
        <f t="shared" si="48"/>
        <v>0</v>
      </c>
      <c r="AE162" s="182"/>
      <c r="AF162" s="178"/>
      <c r="AG162" s="182"/>
      <c r="AH162" s="178"/>
      <c r="AJ162" s="259">
        <f>IF($AJ$135="Y",IFERROR(M162*($F$8/SUMIF($H$5:$H$16,"Y",$F$5:$F$16))*$F$21*'Emissions Factors'!$B38,""),"")</f>
        <v>18814513369.914761</v>
      </c>
      <c r="AK162" s="259">
        <f>IF($AK$135="Y",IFERROR($M162*(SUM($F$7,$F$5,$F$6)/SUMIF($H$5:$H$16,"Y",$F$5:$F$16))*('Emissions Factors'!$T$143*$F$22)/10^6,""),"")</f>
        <v>173331849426.84488</v>
      </c>
      <c r="AL162" s="180"/>
      <c r="AM162" s="180"/>
      <c r="AO162" s="180">
        <f t="shared" si="49"/>
        <v>192146362796.75964</v>
      </c>
      <c r="AP162" s="180">
        <f t="shared" si="50"/>
        <v>0</v>
      </c>
      <c r="AS162" s="430"/>
      <c r="AT162" s="478">
        <v>2041</v>
      </c>
      <c r="AU162" s="479">
        <f t="shared" si="51"/>
        <v>341528152094.10986</v>
      </c>
      <c r="AV162" s="479">
        <f t="shared" si="51"/>
        <v>0</v>
      </c>
      <c r="AW162" s="430"/>
      <c r="AX162" s="479">
        <f t="shared" si="43"/>
        <v>96073181398.379822</v>
      </c>
      <c r="AY162" s="479">
        <f t="shared" si="43"/>
        <v>0</v>
      </c>
      <c r="AZ162" s="430"/>
      <c r="BA162" s="479">
        <f t="shared" si="44"/>
        <v>245454970695.73004</v>
      </c>
      <c r="BB162" s="479">
        <f t="shared" si="44"/>
        <v>0</v>
      </c>
      <c r="BC162" s="516"/>
      <c r="BE162" s="480">
        <f t="shared" si="45"/>
        <v>0.28130384218489363</v>
      </c>
      <c r="BF162" s="480" t="str">
        <f t="shared" si="46"/>
        <v/>
      </c>
    </row>
    <row r="163" spans="1:58" ht="15.6" x14ac:dyDescent="0.3">
      <c r="A163" s="152">
        <v>2042</v>
      </c>
      <c r="B163" s="178"/>
      <c r="C163" s="182"/>
      <c r="D163" s="183"/>
      <c r="E163" s="179">
        <f t="shared" si="52"/>
        <v>521649547461.16681</v>
      </c>
      <c r="F163" s="183">
        <f t="shared" si="53"/>
        <v>30763875338.297852</v>
      </c>
      <c r="G163" s="247">
        <f t="shared" si="40"/>
        <v>7.2631763548339418E-2</v>
      </c>
      <c r="H163" s="246"/>
      <c r="I163" s="417"/>
      <c r="J163" s="178"/>
      <c r="K163" s="182"/>
      <c r="L163" s="183"/>
      <c r="M163" s="179">
        <f t="shared" si="41"/>
        <v>676880538731.39258</v>
      </c>
      <c r="N163" s="183">
        <f t="shared" si="54"/>
        <v>45465579176.312012</v>
      </c>
      <c r="O163" s="247">
        <f t="shared" si="42"/>
        <v>9.4245317529525807E-2</v>
      </c>
      <c r="P163" s="246"/>
      <c r="Q163" s="417"/>
      <c r="R163" s="182"/>
      <c r="S163" s="178"/>
      <c r="T163" s="182"/>
      <c r="U163" s="178"/>
      <c r="V163" s="506"/>
      <c r="W163" s="259">
        <f>IF($W$135="Y",IFERROR(E163*($F$8/SUMIF($H$5:$H$16,"Y",$F$5:$F$16))*$F$21*'Emissions Factors'!$B39,""),"")</f>
        <v>15457960168.814634</v>
      </c>
      <c r="X163" s="259">
        <f>IF($X$135="Y",IFERROR($E163*(SUM($F$7,$F$5,$F$6)/SUMIF($H$5:$H$16,"Y",$F$5:$F$16))*('Emissions Factors'!$T$143*$F$22)/10^6,""),"")</f>
        <v>143199776067.75912</v>
      </c>
      <c r="Y163" s="180"/>
      <c r="Z163" s="180"/>
      <c r="AA163" s="509"/>
      <c r="AB163" s="180">
        <f t="shared" si="47"/>
        <v>158657736236.57376</v>
      </c>
      <c r="AC163" s="180">
        <f t="shared" si="48"/>
        <v>0</v>
      </c>
      <c r="AE163" s="182"/>
      <c r="AF163" s="178"/>
      <c r="AG163" s="182"/>
      <c r="AH163" s="178"/>
      <c r="AJ163" s="259">
        <f>IF($AJ$135="Y",IFERROR(M163*($F$8/SUMIF($H$5:$H$16,"Y",$F$5:$F$16))*$F$21*'Emissions Factors'!$B39,""),"")</f>
        <v>20057896067.732273</v>
      </c>
      <c r="AK163" s="259">
        <f>IF($AK$135="Y",IFERROR($M163*(SUM($F$7,$F$5,$F$6)/SUMIF($H$5:$H$16,"Y",$F$5:$F$16))*('Emissions Factors'!$T$143*$F$22)/10^6,""),"")</f>
        <v>185812758858.33157</v>
      </c>
      <c r="AL163" s="180"/>
      <c r="AM163" s="180"/>
      <c r="AO163" s="180">
        <f t="shared" si="49"/>
        <v>205870654926.06384</v>
      </c>
      <c r="AP163" s="180">
        <f t="shared" si="50"/>
        <v>0</v>
      </c>
      <c r="AS163" s="430"/>
      <c r="AT163" s="478">
        <v>2042</v>
      </c>
      <c r="AU163" s="479">
        <f t="shared" si="51"/>
        <v>364528391162.63757</v>
      </c>
      <c r="AV163" s="479">
        <f t="shared" si="51"/>
        <v>0</v>
      </c>
      <c r="AW163" s="430"/>
      <c r="AX163" s="479">
        <f t="shared" si="43"/>
        <v>102935327463.03192</v>
      </c>
      <c r="AY163" s="479">
        <f t="shared" si="43"/>
        <v>0</v>
      </c>
      <c r="AZ163" s="430"/>
      <c r="BA163" s="479">
        <f t="shared" si="44"/>
        <v>261593063699.60565</v>
      </c>
      <c r="BB163" s="479">
        <f t="shared" si="44"/>
        <v>0</v>
      </c>
      <c r="BC163" s="516"/>
      <c r="BE163" s="480">
        <f t="shared" si="45"/>
        <v>0.28237945235137091</v>
      </c>
      <c r="BF163" s="480" t="str">
        <f t="shared" si="46"/>
        <v/>
      </c>
    </row>
    <row r="164" spans="1:58" ht="15.6" x14ac:dyDescent="0.3">
      <c r="A164" s="152">
        <v>2043</v>
      </c>
      <c r="B164" s="178"/>
      <c r="C164" s="182"/>
      <c r="D164" s="183"/>
      <c r="E164" s="179">
        <f t="shared" si="52"/>
        <v>553281508699.96423</v>
      </c>
      <c r="F164" s="183">
        <f t="shared" si="53"/>
        <v>31631961238.797424</v>
      </c>
      <c r="G164" s="247">
        <f t="shared" si="40"/>
        <v>7.1264992866537424E-2</v>
      </c>
      <c r="H164" s="246"/>
      <c r="I164" s="417"/>
      <c r="J164" s="178"/>
      <c r="K164" s="182"/>
      <c r="L164" s="183"/>
      <c r="M164" s="179">
        <f t="shared" si="41"/>
        <v>724223506128.82629</v>
      </c>
      <c r="N164" s="183">
        <f t="shared" si="54"/>
        <v>47342967397.433716</v>
      </c>
      <c r="O164" s="247">
        <f t="shared" si="42"/>
        <v>9.3283043417302744E-2</v>
      </c>
      <c r="P164" s="246"/>
      <c r="Q164" s="417"/>
      <c r="R164" s="182"/>
      <c r="S164" s="178"/>
      <c r="T164" s="182"/>
      <c r="U164" s="178"/>
      <c r="V164" s="506"/>
      <c r="W164" s="259">
        <f>IF($W$135="Y",IFERROR(E164*($F$8/SUMIF($H$5:$H$16,"Y",$F$5:$F$16))*$F$21*'Emissions Factors'!$B40,""),"")</f>
        <v>16303831364.01734</v>
      </c>
      <c r="X164" s="259">
        <f>IF($X$135="Y",IFERROR($E164*(SUM($F$7,$F$5,$F$6)/SUMIF($H$5:$H$16,"Y",$F$5:$F$16))*('Emissions Factors'!$T$143*$F$22)/10^6,""),"")</f>
        <v>151883172397.7771</v>
      </c>
      <c r="Y164" s="180"/>
      <c r="Z164" s="180"/>
      <c r="AA164" s="509"/>
      <c r="AB164" s="180">
        <f t="shared" si="47"/>
        <v>168187003761.79443</v>
      </c>
      <c r="AC164" s="180">
        <f t="shared" si="48"/>
        <v>0</v>
      </c>
      <c r="AE164" s="182"/>
      <c r="AF164" s="178"/>
      <c r="AG164" s="182"/>
      <c r="AH164" s="178"/>
      <c r="AJ164" s="259">
        <f>IF($AJ$135="Y",IFERROR(M164*($F$8/SUMIF($H$5:$H$16,"Y",$F$5:$F$16))*$F$21*'Emissions Factors'!$B40,""),"")</f>
        <v>21341067301.39222</v>
      </c>
      <c r="AK164" s="259">
        <f>IF($AK$135="Y",IFERROR($M164*(SUM($F$7,$F$5,$F$6)/SUMIF($H$5:$H$16,"Y",$F$5:$F$16))*('Emissions Factors'!$T$143*$F$22)/10^6,""),"")</f>
        <v>198809036460.20264</v>
      </c>
      <c r="AL164" s="180"/>
      <c r="AM164" s="180"/>
      <c r="AO164" s="180">
        <f t="shared" si="49"/>
        <v>220150103761.59485</v>
      </c>
      <c r="AP164" s="180">
        <f t="shared" si="50"/>
        <v>0</v>
      </c>
      <c r="AS164" s="430"/>
      <c r="AT164" s="478">
        <v>2043</v>
      </c>
      <c r="AU164" s="479">
        <f t="shared" si="51"/>
        <v>388337107523.38928</v>
      </c>
      <c r="AV164" s="479">
        <f t="shared" si="51"/>
        <v>0</v>
      </c>
      <c r="AW164" s="430"/>
      <c r="AX164" s="479">
        <f t="shared" si="43"/>
        <v>110075051880.79742</v>
      </c>
      <c r="AY164" s="479">
        <f t="shared" si="43"/>
        <v>0</v>
      </c>
      <c r="AZ164" s="430"/>
      <c r="BA164" s="479">
        <f t="shared" si="44"/>
        <v>278262055642.59186</v>
      </c>
      <c r="BB164" s="479">
        <f t="shared" si="44"/>
        <v>0</v>
      </c>
      <c r="BC164" s="516"/>
      <c r="BE164" s="480">
        <f t="shared" si="45"/>
        <v>0.28345231436366836</v>
      </c>
      <c r="BF164" s="480" t="str">
        <f t="shared" si="46"/>
        <v/>
      </c>
    </row>
    <row r="165" spans="1:58" ht="15.6" x14ac:dyDescent="0.3">
      <c r="A165" s="152">
        <v>2044</v>
      </c>
      <c r="B165" s="178"/>
      <c r="C165" s="182"/>
      <c r="D165" s="183"/>
      <c r="E165" s="179">
        <f t="shared" si="52"/>
        <v>586038197690.58679</v>
      </c>
      <c r="F165" s="183">
        <f t="shared" si="53"/>
        <v>32756688990.622559</v>
      </c>
      <c r="G165" s="247">
        <f t="shared" si="40"/>
        <v>6.9948739933436949E-2</v>
      </c>
      <c r="H165" s="246"/>
      <c r="I165" s="417"/>
      <c r="J165" s="178"/>
      <c r="K165" s="182"/>
      <c r="L165" s="183"/>
      <c r="M165" s="179">
        <f t="shared" si="41"/>
        <v>773846665855.06653</v>
      </c>
      <c r="N165" s="183">
        <f t="shared" si="54"/>
        <v>49623159726.240234</v>
      </c>
      <c r="O165" s="247">
        <f t="shared" si="42"/>
        <v>9.2365308936453269E-2</v>
      </c>
      <c r="P165" s="246"/>
      <c r="Q165" s="417"/>
      <c r="R165" s="182"/>
      <c r="S165" s="178"/>
      <c r="T165" s="182"/>
      <c r="U165" s="178"/>
      <c r="V165" s="506"/>
      <c r="W165" s="259">
        <f>IF($W$135="Y",IFERROR(E165*($F$8/SUMIF($H$5:$H$16,"Y",$F$5:$F$16))*$F$21*'Emissions Factors'!$B41,""),"")</f>
        <v>17171634226.260046</v>
      </c>
      <c r="X165" s="259">
        <f>IF($X$135="Y",IFERROR($E165*(SUM($F$7,$F$5,$F$6)/SUMIF($H$5:$H$16,"Y",$F$5:$F$16))*('Emissions Factors'!$T$143*$F$22)/10^6,""),"")</f>
        <v>160875321535.08191</v>
      </c>
      <c r="Y165" s="180"/>
      <c r="Z165" s="180"/>
      <c r="AA165" s="509"/>
      <c r="AB165" s="180">
        <f t="shared" si="47"/>
        <v>178046955761.34195</v>
      </c>
      <c r="AC165" s="180">
        <f t="shared" si="48"/>
        <v>0</v>
      </c>
      <c r="AE165" s="182"/>
      <c r="AF165" s="178"/>
      <c r="AG165" s="182"/>
      <c r="AH165" s="178"/>
      <c r="AJ165" s="259">
        <f>IF($AJ$135="Y",IFERROR(M165*($F$8/SUMIF($H$5:$H$16,"Y",$F$5:$F$16))*$F$21*'Emissions Factors'!$B41,""),"")</f>
        <v>22674651491.386093</v>
      </c>
      <c r="AK165" s="259">
        <f>IF($AK$135="Y",IFERROR($M165*(SUM($F$7,$F$5,$F$6)/SUMIF($H$5:$H$16,"Y",$F$5:$F$16))*('Emissions Factors'!$T$143*$F$22)/10^6,""),"")</f>
        <v>212431257346.15335</v>
      </c>
      <c r="AL165" s="180"/>
      <c r="AM165" s="180"/>
      <c r="AO165" s="180">
        <f t="shared" si="49"/>
        <v>235105908837.53943</v>
      </c>
      <c r="AP165" s="180">
        <f t="shared" si="50"/>
        <v>0</v>
      </c>
      <c r="AS165" s="430"/>
      <c r="AT165" s="478">
        <v>2044</v>
      </c>
      <c r="AU165" s="479">
        <f t="shared" si="51"/>
        <v>413152864598.88135</v>
      </c>
      <c r="AV165" s="479">
        <f t="shared" si="51"/>
        <v>0</v>
      </c>
      <c r="AW165" s="430"/>
      <c r="AX165" s="479">
        <f t="shared" si="43"/>
        <v>117552954418.76971</v>
      </c>
      <c r="AY165" s="479">
        <f t="shared" si="43"/>
        <v>0</v>
      </c>
      <c r="AZ165" s="430"/>
      <c r="BA165" s="479">
        <f t="shared" si="44"/>
        <v>295599910180.11163</v>
      </c>
      <c r="BB165" s="479">
        <f t="shared" si="44"/>
        <v>0</v>
      </c>
      <c r="BC165" s="516"/>
      <c r="BE165" s="480">
        <f t="shared" si="45"/>
        <v>0.28452653845907283</v>
      </c>
      <c r="BF165" s="480" t="str">
        <f t="shared" si="46"/>
        <v/>
      </c>
    </row>
    <row r="166" spans="1:58" ht="15.6" x14ac:dyDescent="0.3">
      <c r="A166" s="152">
        <v>2045</v>
      </c>
      <c r="B166" s="178"/>
      <c r="C166" s="182"/>
      <c r="D166" s="183"/>
      <c r="E166" s="179">
        <f t="shared" si="52"/>
        <v>621961422160.18774</v>
      </c>
      <c r="F166" s="183">
        <f t="shared" si="53"/>
        <v>35923224469.600952</v>
      </c>
      <c r="G166" s="247">
        <f t="shared" si="40"/>
        <v>6.8803188152815026E-2</v>
      </c>
      <c r="H166" s="246"/>
      <c r="I166" s="417"/>
      <c r="J166" s="178"/>
      <c r="K166" s="182"/>
      <c r="L166" s="183"/>
      <c r="M166" s="179">
        <f t="shared" si="41"/>
        <v>828544977714.57251</v>
      </c>
      <c r="N166" s="183">
        <f t="shared" si="54"/>
        <v>54698311859.505981</v>
      </c>
      <c r="O166" s="247">
        <f t="shared" si="42"/>
        <v>9.1656064128175924E-2</v>
      </c>
      <c r="P166" s="246"/>
      <c r="Q166" s="417"/>
      <c r="R166" s="182"/>
      <c r="S166" s="178"/>
      <c r="T166" s="182"/>
      <c r="U166" s="178"/>
      <c r="V166" s="506"/>
      <c r="W166" s="259">
        <f>IF($W$135="Y",IFERROR(E166*($F$8/SUMIF($H$5:$H$16,"Y",$F$5:$F$16))*$F$21*'Emissions Factors'!$B42,""),"")</f>
        <v>18116370737.30323</v>
      </c>
      <c r="X166" s="259">
        <f>IF($X$135="Y",IFERROR($E166*(SUM($F$7,$F$5,$F$6)/SUMIF($H$5:$H$16,"Y",$F$5:$F$16))*('Emissions Factors'!$T$143*$F$22)/10^6,""),"")</f>
        <v>170736727003.01566</v>
      </c>
      <c r="Y166" s="180"/>
      <c r="Z166" s="180"/>
      <c r="AA166" s="509"/>
      <c r="AB166" s="180">
        <f t="shared" si="47"/>
        <v>188853097740.31888</v>
      </c>
      <c r="AC166" s="180">
        <f t="shared" si="48"/>
        <v>0</v>
      </c>
      <c r="AE166" s="182"/>
      <c r="AF166" s="178"/>
      <c r="AG166" s="182"/>
      <c r="AH166" s="178"/>
      <c r="AJ166" s="259">
        <f>IF($AJ$135="Y",IFERROR(M166*($F$8/SUMIF($H$5:$H$16,"Y",$F$5:$F$16))*$F$21*'Emissions Factors'!$B42,""),"")</f>
        <v>24133696165.068439</v>
      </c>
      <c r="AK166" s="259">
        <f>IF($AK$135="Y",IFERROR($M166*(SUM($F$7,$F$5,$F$6)/SUMIF($H$5:$H$16,"Y",$F$5:$F$16))*('Emissions Factors'!$T$143*$F$22)/10^6,""),"")</f>
        <v>227446675355.59543</v>
      </c>
      <c r="AL166" s="180"/>
      <c r="AM166" s="180"/>
      <c r="AO166" s="180">
        <f t="shared" si="49"/>
        <v>251580371520.66388</v>
      </c>
      <c r="AP166" s="180">
        <f t="shared" si="50"/>
        <v>0</v>
      </c>
      <c r="AS166" s="430"/>
      <c r="AT166" s="478">
        <v>2045</v>
      </c>
      <c r="AU166" s="479">
        <f t="shared" si="51"/>
        <v>440433469260.98279</v>
      </c>
      <c r="AV166" s="479">
        <f t="shared" si="51"/>
        <v>0</v>
      </c>
      <c r="AW166" s="430"/>
      <c r="AX166" s="479">
        <f t="shared" si="43"/>
        <v>125790185760.33194</v>
      </c>
      <c r="AY166" s="479">
        <f t="shared" si="43"/>
        <v>0</v>
      </c>
      <c r="AZ166" s="430"/>
      <c r="BA166" s="479">
        <f t="shared" si="44"/>
        <v>314643283500.65088</v>
      </c>
      <c r="BB166" s="479">
        <f t="shared" si="44"/>
        <v>0</v>
      </c>
      <c r="BC166" s="516"/>
      <c r="BE166" s="480">
        <f t="shared" si="45"/>
        <v>0.28560541952317853</v>
      </c>
      <c r="BF166" s="480" t="str">
        <f t="shared" si="46"/>
        <v/>
      </c>
    </row>
    <row r="167" spans="1:58" ht="15.6" x14ac:dyDescent="0.3">
      <c r="A167" s="152">
        <v>2046</v>
      </c>
      <c r="B167" s="178"/>
      <c r="C167" s="182"/>
      <c r="D167" s="183"/>
      <c r="E167" s="179">
        <f t="shared" si="52"/>
        <v>655740905900.26782</v>
      </c>
      <c r="F167" s="183">
        <f t="shared" si="53"/>
        <v>33779483740.080078</v>
      </c>
      <c r="G167" s="247">
        <f t="shared" si="40"/>
        <v>6.7480142072778332E-2</v>
      </c>
      <c r="H167" s="246"/>
      <c r="I167" s="417"/>
      <c r="J167" s="178"/>
      <c r="K167" s="182"/>
      <c r="L167" s="183"/>
      <c r="M167" s="179">
        <f t="shared" si="41"/>
        <v>881319407830.22693</v>
      </c>
      <c r="N167" s="183">
        <f t="shared" si="54"/>
        <v>52774430115.654419</v>
      </c>
      <c r="O167" s="247">
        <f t="shared" si="42"/>
        <v>9.0693684528086557E-2</v>
      </c>
      <c r="P167" s="246"/>
      <c r="Q167" s="417"/>
      <c r="R167" s="182"/>
      <c r="S167" s="178"/>
      <c r="T167" s="182"/>
      <c r="U167" s="178"/>
      <c r="V167" s="506"/>
      <c r="W167" s="259">
        <f>IF($W$135="Y",IFERROR(E167*($F$8/SUMIF($H$5:$H$16,"Y",$F$5:$F$16))*$F$21*'Emissions Factors'!$B43,""),"")</f>
        <v>18993571945.92506</v>
      </c>
      <c r="X167" s="259">
        <f>IF($X$135="Y",IFERROR($E167*(SUM($F$7,$F$5,$F$6)/SUMIF($H$5:$H$16,"Y",$F$5:$F$16))*('Emissions Factors'!$T$143*$F$22)/10^6,""),"")</f>
        <v>180009646975.44995</v>
      </c>
      <c r="Y167" s="180"/>
      <c r="Z167" s="180"/>
      <c r="AA167" s="509"/>
      <c r="AB167" s="180">
        <f t="shared" si="47"/>
        <v>199003218921.375</v>
      </c>
      <c r="AC167" s="180">
        <f t="shared" si="48"/>
        <v>0</v>
      </c>
      <c r="AE167" s="182"/>
      <c r="AF167" s="178"/>
      <c r="AG167" s="182"/>
      <c r="AH167" s="178"/>
      <c r="AJ167" s="259">
        <f>IF($AJ$135="Y",IFERROR(M167*($F$8/SUMIF($H$5:$H$16,"Y",$F$5:$F$16))*$F$21*'Emissions Factors'!$B43,""),"")</f>
        <v>25527465847.173172</v>
      </c>
      <c r="AK167" s="259">
        <f>IF($AK$135="Y",IFERROR($M167*(SUM($F$7,$F$5,$F$6)/SUMIF($H$5:$H$16,"Y",$F$5:$F$16))*('Emissions Factors'!$T$143*$F$22)/10^6,""),"")</f>
        <v>241933962100.97098</v>
      </c>
      <c r="AL167" s="180"/>
      <c r="AM167" s="180"/>
      <c r="AO167" s="180">
        <f t="shared" si="49"/>
        <v>267461427948.14417</v>
      </c>
      <c r="AP167" s="180">
        <f t="shared" si="50"/>
        <v>0</v>
      </c>
      <c r="AS167" s="430"/>
      <c r="AT167" s="478">
        <v>2046</v>
      </c>
      <c r="AU167" s="479">
        <f t="shared" si="51"/>
        <v>466464646869.51917</v>
      </c>
      <c r="AV167" s="479">
        <f t="shared" si="51"/>
        <v>0</v>
      </c>
      <c r="AW167" s="430"/>
      <c r="AX167" s="479">
        <f t="shared" si="43"/>
        <v>133730713974.07208</v>
      </c>
      <c r="AY167" s="479">
        <f t="shared" si="43"/>
        <v>0</v>
      </c>
      <c r="AZ167" s="430"/>
      <c r="BA167" s="479">
        <f t="shared" si="44"/>
        <v>332733932895.44708</v>
      </c>
      <c r="BB167" s="479">
        <f t="shared" si="44"/>
        <v>0</v>
      </c>
      <c r="BC167" s="516"/>
      <c r="BE167" s="480">
        <f t="shared" si="45"/>
        <v>0.28668992360203371</v>
      </c>
      <c r="BF167" s="480" t="str">
        <f t="shared" si="46"/>
        <v/>
      </c>
    </row>
    <row r="168" spans="1:58" ht="15.6" x14ac:dyDescent="0.3">
      <c r="A168" s="152">
        <v>2047</v>
      </c>
      <c r="B168" s="178"/>
      <c r="C168" s="182"/>
      <c r="D168" s="183"/>
      <c r="E168" s="179">
        <f t="shared" si="52"/>
        <v>692944511231.47253</v>
      </c>
      <c r="F168" s="183">
        <f t="shared" si="53"/>
        <v>37203605331.204712</v>
      </c>
      <c r="G168" s="247">
        <f t="shared" si="40"/>
        <v>6.632477754373825E-2</v>
      </c>
      <c r="H168" s="246"/>
      <c r="I168" s="417"/>
      <c r="J168" s="178"/>
      <c r="K168" s="182"/>
      <c r="L168" s="183"/>
      <c r="M168" s="179">
        <f t="shared" si="41"/>
        <v>939668679327.84875</v>
      </c>
      <c r="N168" s="183">
        <f t="shared" si="54"/>
        <v>58349271497.621826</v>
      </c>
      <c r="O168" s="247">
        <f t="shared" si="42"/>
        <v>8.9939836611851426E-2</v>
      </c>
      <c r="P168" s="246"/>
      <c r="Q168" s="417"/>
      <c r="R168" s="182"/>
      <c r="S168" s="178"/>
      <c r="T168" s="182"/>
      <c r="U168" s="178"/>
      <c r="V168" s="506"/>
      <c r="W168" s="259">
        <f>IF($W$135="Y",IFERROR(E168*($F$8/SUMIF($H$5:$H$16,"Y",$F$5:$F$16))*$F$21*'Emissions Factors'!$B44,""),"")</f>
        <v>19953237986.168442</v>
      </c>
      <c r="X168" s="259">
        <f>IF($X$135="Y",IFERROR($E168*(SUM($F$7,$F$5,$F$6)/SUMIF($H$5:$H$16,"Y",$F$5:$F$16))*('Emissions Factors'!$T$143*$F$22)/10^6,""),"")</f>
        <v>190222534110.63608</v>
      </c>
      <c r="Y168" s="180"/>
      <c r="Z168" s="180"/>
      <c r="AA168" s="509"/>
      <c r="AB168" s="180">
        <f t="shared" si="47"/>
        <v>210175772096.8045</v>
      </c>
      <c r="AC168" s="180">
        <f t="shared" si="48"/>
        <v>0</v>
      </c>
      <c r="AE168" s="182"/>
      <c r="AF168" s="178"/>
      <c r="AG168" s="182"/>
      <c r="AH168" s="178"/>
      <c r="AJ168" s="259">
        <f>IF($AJ$135="Y",IFERROR(M168*($F$8/SUMIF($H$5:$H$16,"Y",$F$5:$F$16))*$F$21*'Emissions Factors'!$B44,""),"")</f>
        <v>27057625080.912243</v>
      </c>
      <c r="AK168" s="259">
        <f>IF($AK$135="Y",IFERROR($M168*(SUM($F$7,$F$5,$F$6)/SUMIF($H$5:$H$16,"Y",$F$5:$F$16))*('Emissions Factors'!$T$143*$F$22)/10^6,""),"")</f>
        <v>257951617350.2518</v>
      </c>
      <c r="AL168" s="180"/>
      <c r="AM168" s="180"/>
      <c r="AO168" s="180">
        <f t="shared" si="49"/>
        <v>285009242431.16406</v>
      </c>
      <c r="AP168" s="180">
        <f t="shared" si="50"/>
        <v>0</v>
      </c>
      <c r="AS168" s="430"/>
      <c r="AT168" s="478">
        <v>2047</v>
      </c>
      <c r="AU168" s="479">
        <f t="shared" si="51"/>
        <v>495185014527.96857</v>
      </c>
      <c r="AV168" s="479">
        <f t="shared" si="51"/>
        <v>0</v>
      </c>
      <c r="AW168" s="430"/>
      <c r="AX168" s="479">
        <f t="shared" si="43"/>
        <v>142504621215.58203</v>
      </c>
      <c r="AY168" s="479">
        <f t="shared" si="43"/>
        <v>0</v>
      </c>
      <c r="AZ168" s="430"/>
      <c r="BA168" s="479">
        <f t="shared" si="44"/>
        <v>352680393312.38654</v>
      </c>
      <c r="BB168" s="479">
        <f t="shared" si="44"/>
        <v>0</v>
      </c>
      <c r="BC168" s="516"/>
      <c r="BE168" s="480">
        <f t="shared" si="45"/>
        <v>0.28778056087061421</v>
      </c>
      <c r="BF168" s="480" t="str">
        <f t="shared" si="46"/>
        <v/>
      </c>
    </row>
    <row r="169" spans="1:58" ht="15.6" x14ac:dyDescent="0.3">
      <c r="A169" s="152">
        <v>2048</v>
      </c>
      <c r="B169" s="178"/>
      <c r="C169" s="182"/>
      <c r="D169" s="183"/>
      <c r="E169" s="179">
        <f t="shared" si="52"/>
        <v>731935196702.06677</v>
      </c>
      <c r="F169" s="183">
        <f t="shared" si="53"/>
        <v>38990685470.594238</v>
      </c>
      <c r="G169" s="247">
        <f t="shared" si="40"/>
        <v>6.5220991970247194E-2</v>
      </c>
      <c r="H169" s="246"/>
      <c r="I169" s="417"/>
      <c r="J169" s="178"/>
      <c r="K169" s="182"/>
      <c r="L169" s="183"/>
      <c r="M169" s="179">
        <f t="shared" si="41"/>
        <v>1001517781621.1022</v>
      </c>
      <c r="N169" s="183">
        <f t="shared" si="54"/>
        <v>61849102293.253418</v>
      </c>
      <c r="O169" s="247">
        <f t="shared" si="42"/>
        <v>8.9242850306265706E-2</v>
      </c>
      <c r="P169" s="246"/>
      <c r="Q169" s="417"/>
      <c r="R169" s="182"/>
      <c r="S169" s="178"/>
      <c r="T169" s="182"/>
      <c r="U169" s="178"/>
      <c r="V169" s="506"/>
      <c r="W169" s="259">
        <f>IF($W$135="Y",IFERROR(E169*($F$8/SUMIF($H$5:$H$16,"Y",$F$5:$F$16))*$F$21*'Emissions Factors'!$B45,""),"")</f>
        <v>20950204096.847958</v>
      </c>
      <c r="X169" s="259">
        <f>IF($X$135="Y",IFERROR($E169*(SUM($F$7,$F$5,$F$6)/SUMIF($H$5:$H$16,"Y",$F$5:$F$16))*('Emissions Factors'!$T$143*$F$22)/10^6,""),"")</f>
        <v>200925998640.2074</v>
      </c>
      <c r="Y169" s="180"/>
      <c r="Z169" s="180"/>
      <c r="AA169" s="509"/>
      <c r="AB169" s="180">
        <f t="shared" si="47"/>
        <v>221876202737.05536</v>
      </c>
      <c r="AC169" s="180">
        <f t="shared" si="48"/>
        <v>0</v>
      </c>
      <c r="AE169" s="182"/>
      <c r="AF169" s="178"/>
      <c r="AG169" s="182"/>
      <c r="AH169" s="178"/>
      <c r="AJ169" s="259">
        <f>IF($AJ$135="Y",IFERROR(M169*($F$8/SUMIF($H$5:$H$16,"Y",$F$5:$F$16))*$F$21*'Emissions Factors'!$B45,""),"")</f>
        <v>28666474882.099697</v>
      </c>
      <c r="AK169" s="259">
        <f>IF($AK$135="Y",IFERROR($M169*(SUM($F$7,$F$5,$F$6)/SUMIF($H$5:$H$16,"Y",$F$5:$F$16))*('Emissions Factors'!$T$143*$F$22)/10^6,""),"")</f>
        <v>274930022951.27484</v>
      </c>
      <c r="AL169" s="180"/>
      <c r="AM169" s="180"/>
      <c r="AO169" s="180">
        <f t="shared" si="49"/>
        <v>303596497833.37451</v>
      </c>
      <c r="AP169" s="180">
        <f t="shared" si="50"/>
        <v>0</v>
      </c>
      <c r="AS169" s="430"/>
      <c r="AT169" s="478">
        <v>2048</v>
      </c>
      <c r="AU169" s="479">
        <f t="shared" si="51"/>
        <v>525472700570.42987</v>
      </c>
      <c r="AV169" s="479">
        <f t="shared" si="51"/>
        <v>0</v>
      </c>
      <c r="AW169" s="430"/>
      <c r="AX169" s="479">
        <f t="shared" si="43"/>
        <v>151798248916.68726</v>
      </c>
      <c r="AY169" s="479">
        <f t="shared" si="43"/>
        <v>0</v>
      </c>
      <c r="AZ169" s="430"/>
      <c r="BA169" s="479">
        <f t="shared" si="44"/>
        <v>373674451653.74261</v>
      </c>
      <c r="BB169" s="479">
        <f t="shared" si="44"/>
        <v>0</v>
      </c>
      <c r="BC169" s="516"/>
      <c r="BE169" s="480">
        <f t="shared" si="45"/>
        <v>0.28887941990497662</v>
      </c>
      <c r="BF169" s="480" t="str">
        <f t="shared" si="46"/>
        <v/>
      </c>
    </row>
    <row r="170" spans="1:58" ht="15.6" x14ac:dyDescent="0.3">
      <c r="A170" s="152">
        <v>2049</v>
      </c>
      <c r="B170" s="178"/>
      <c r="C170" s="182"/>
      <c r="D170" s="183"/>
      <c r="E170" s="179">
        <f t="shared" si="52"/>
        <v>772895596731.4801</v>
      </c>
      <c r="F170" s="183">
        <f t="shared" si="53"/>
        <v>40960400029.41333</v>
      </c>
      <c r="G170" s="247">
        <f t="shared" si="40"/>
        <v>6.4167782011202879E-2</v>
      </c>
      <c r="H170" s="246"/>
      <c r="I170" s="417"/>
      <c r="J170" s="178"/>
      <c r="K170" s="182"/>
      <c r="L170" s="183"/>
      <c r="M170" s="179">
        <f t="shared" si="41"/>
        <v>1067232575443.6434</v>
      </c>
      <c r="N170" s="183">
        <f t="shared" si="54"/>
        <v>65714793822.54126</v>
      </c>
      <c r="O170" s="247">
        <f t="shared" si="42"/>
        <v>8.8604395659552942E-2</v>
      </c>
      <c r="P170" s="246"/>
      <c r="Q170" s="417"/>
      <c r="R170" s="182"/>
      <c r="S170" s="178"/>
      <c r="T170" s="182"/>
      <c r="U170" s="178"/>
      <c r="V170" s="506"/>
      <c r="W170" s="259">
        <f>IF($W$135="Y",IFERROR(E170*($F$8/SUMIF($H$5:$H$16,"Y",$F$5:$F$16))*$F$21*'Emissions Factors'!$B46,""),"")</f>
        <v>22008587072.793377</v>
      </c>
      <c r="X170" s="259">
        <f>IF($X$135="Y",IFERROR($E170*(SUM($F$7,$F$5,$F$6)/SUMIF($H$5:$H$16,"Y",$F$5:$F$16))*('Emissions Factors'!$T$143*$F$22)/10^6,""),"")</f>
        <v>212170176154.4119</v>
      </c>
      <c r="Y170" s="180"/>
      <c r="Z170" s="180"/>
      <c r="AA170" s="509"/>
      <c r="AB170" s="180">
        <f t="shared" si="47"/>
        <v>234178763227.20526</v>
      </c>
      <c r="AC170" s="180">
        <f t="shared" si="48"/>
        <v>0</v>
      </c>
      <c r="AE170" s="182"/>
      <c r="AF170" s="178"/>
      <c r="AG170" s="182"/>
      <c r="AH170" s="178"/>
      <c r="AJ170" s="259">
        <f>IF($AJ$135="Y",IFERROR(M170*($F$8/SUMIF($H$5:$H$16,"Y",$F$5:$F$16))*$F$21*'Emissions Factors'!$B46,""),"")</f>
        <v>30389979141.947765</v>
      </c>
      <c r="AK170" s="259">
        <f>IF($AK$135="Y",IFERROR($M170*(SUM($F$7,$F$5,$F$6)/SUMIF($H$5:$H$16,"Y",$F$5:$F$16))*('Emissions Factors'!$T$143*$F$22)/10^6,""),"")</f>
        <v>292969612567.57257</v>
      </c>
      <c r="AL170" s="180"/>
      <c r="AM170" s="180"/>
      <c r="AO170" s="180">
        <f t="shared" si="49"/>
        <v>323359591709.52032</v>
      </c>
      <c r="AP170" s="180">
        <f t="shared" si="50"/>
        <v>0</v>
      </c>
      <c r="AS170" s="430"/>
      <c r="AT170" s="478">
        <v>2049</v>
      </c>
      <c r="AU170" s="479">
        <f t="shared" si="51"/>
        <v>557538354936.72559</v>
      </c>
      <c r="AV170" s="479">
        <f t="shared" si="51"/>
        <v>0</v>
      </c>
      <c r="AW170" s="430"/>
      <c r="AX170" s="479">
        <f t="shared" si="43"/>
        <v>161679795854.76016</v>
      </c>
      <c r="AY170" s="479">
        <f t="shared" si="43"/>
        <v>0</v>
      </c>
      <c r="AZ170" s="430"/>
      <c r="BA170" s="479">
        <f t="shared" si="44"/>
        <v>395858559081.96545</v>
      </c>
      <c r="BB170" s="479">
        <f t="shared" si="44"/>
        <v>0</v>
      </c>
      <c r="BC170" s="516"/>
      <c r="BE170" s="480">
        <f t="shared" si="45"/>
        <v>0.28998865176389349</v>
      </c>
      <c r="BF170" s="480" t="str">
        <f t="shared" si="46"/>
        <v/>
      </c>
    </row>
    <row r="171" spans="1:58" ht="15.6" x14ac:dyDescent="0.3">
      <c r="A171" s="152">
        <v>2050</v>
      </c>
      <c r="B171" s="178"/>
      <c r="C171" s="182"/>
      <c r="D171" s="183"/>
      <c r="E171" s="179">
        <f t="shared" si="52"/>
        <v>816927173841.44116</v>
      </c>
      <c r="F171" s="183">
        <f t="shared" si="53"/>
        <v>44031577109.96106</v>
      </c>
      <c r="G171" s="247">
        <f t="shared" si="40"/>
        <v>6.3248688659303706E-2</v>
      </c>
      <c r="H171" s="246"/>
      <c r="I171" s="417"/>
      <c r="J171" s="178"/>
      <c r="K171" s="182"/>
      <c r="L171" s="183"/>
      <c r="M171" s="179">
        <f t="shared" si="41"/>
        <v>1138468861909.7412</v>
      </c>
      <c r="N171" s="183">
        <f t="shared" si="54"/>
        <v>71236286466.097778</v>
      </c>
      <c r="O171" s="247">
        <f t="shared" si="42"/>
        <v>8.8143306895575188E-2</v>
      </c>
      <c r="P171" s="246"/>
      <c r="Q171" s="417"/>
      <c r="R171" s="182"/>
      <c r="S171" s="178"/>
      <c r="T171" s="182"/>
      <c r="U171" s="178"/>
      <c r="V171" s="506"/>
      <c r="W171" s="259">
        <f>IF($W$135="Y",IFERROR(E171*($F$8/SUMIF($H$5:$H$16,"Y",$F$5:$F$16))*$F$21*'Emissions Factors'!$B47,""),"")</f>
        <v>23182410501.282749</v>
      </c>
      <c r="X171" s="259">
        <f>IF($X$135="Y",IFERROR($E171*(SUM($F$7,$F$5,$F$6)/SUMIF($H$5:$H$16,"Y",$F$5:$F$16))*('Emissions Factors'!$T$143*$F$22)/10^6,""),"")</f>
        <v>224257432843.78171</v>
      </c>
      <c r="Y171" s="180"/>
      <c r="Z171" s="180"/>
      <c r="AA171" s="509"/>
      <c r="AB171" s="180">
        <f t="shared" si="47"/>
        <v>247439843345.06445</v>
      </c>
      <c r="AC171" s="180">
        <f t="shared" si="48"/>
        <v>0</v>
      </c>
      <c r="AE171" s="182"/>
      <c r="AF171" s="178"/>
      <c r="AG171" s="182"/>
      <c r="AH171" s="178"/>
      <c r="AJ171" s="259">
        <f>IF($AJ$135="Y",IFERROR(M171*($F$8/SUMIF($H$5:$H$16,"Y",$F$5:$F$16))*$F$21*'Emissions Factors'!$B47,""),"")</f>
        <v>32306983223.014149</v>
      </c>
      <c r="AK171" s="259">
        <f>IF($AK$135="Y",IFERROR($M171*(SUM($F$7,$F$5,$F$6)/SUMIF($H$5:$H$16,"Y",$F$5:$F$16))*('Emissions Factors'!$T$143*$F$22)/10^6,""),"")</f>
        <v>312524925745.72369</v>
      </c>
      <c r="AL171" s="180"/>
      <c r="AM171" s="180"/>
      <c r="AO171" s="180">
        <f t="shared" si="49"/>
        <v>344831908968.73785</v>
      </c>
      <c r="AP171" s="180">
        <f t="shared" si="50"/>
        <v>0</v>
      </c>
      <c r="AS171" s="430"/>
      <c r="AT171" s="478">
        <v>2050</v>
      </c>
      <c r="AU171" s="479">
        <f t="shared" si="51"/>
        <v>592271752313.80225</v>
      </c>
      <c r="AV171" s="479">
        <f t="shared" si="51"/>
        <v>0</v>
      </c>
      <c r="AW171" s="430"/>
      <c r="AX171" s="479">
        <f t="shared" si="43"/>
        <v>172415954484.36893</v>
      </c>
      <c r="AY171" s="479">
        <f t="shared" si="43"/>
        <v>0</v>
      </c>
      <c r="AZ171" s="430"/>
      <c r="BA171" s="479">
        <f t="shared" si="44"/>
        <v>419855797829.43335</v>
      </c>
      <c r="BB171" s="479">
        <f t="shared" si="44"/>
        <v>0</v>
      </c>
      <c r="BC171" s="516"/>
      <c r="BE171" s="480">
        <f t="shared" si="45"/>
        <v>0.29110953512606169</v>
      </c>
      <c r="BF171" s="480" t="str">
        <f t="shared" si="46"/>
        <v/>
      </c>
    </row>
    <row r="172" spans="1:58" ht="15.6" x14ac:dyDescent="0.3">
      <c r="A172" s="152">
        <v>2051</v>
      </c>
      <c r="B172" s="178"/>
      <c r="C172" s="182"/>
      <c r="D172" s="183"/>
      <c r="E172" s="179">
        <f t="shared" si="52"/>
        <v>861372310006.64624</v>
      </c>
      <c r="F172" s="183">
        <f t="shared" si="53"/>
        <v>44445136165.205078</v>
      </c>
      <c r="G172" s="247">
        <f t="shared" si="40"/>
        <v>6.2207793810345378E-2</v>
      </c>
      <c r="H172" s="246"/>
      <c r="I172" s="417"/>
      <c r="J172" s="178"/>
      <c r="K172" s="182"/>
      <c r="L172" s="183"/>
      <c r="M172" s="179">
        <f t="shared" si="41"/>
        <v>1211650028955.6965</v>
      </c>
      <c r="N172" s="183">
        <f t="shared" si="54"/>
        <v>73181167045.955322</v>
      </c>
      <c r="O172" s="247">
        <f t="shared" si="42"/>
        <v>8.7504641484230428E-2</v>
      </c>
      <c r="P172" s="246"/>
      <c r="Q172" s="417"/>
      <c r="R172" s="182"/>
      <c r="S172" s="178"/>
      <c r="T172" s="182"/>
      <c r="U172" s="178"/>
      <c r="V172" s="506"/>
      <c r="W172" s="259">
        <f>IF($W$135="Y",IFERROR(E172*($F$8/SUMIF($H$5:$H$16,"Y",$F$5:$F$16))*$F$21*'Emissions Factors'!$B48,""),"")</f>
        <v>24350230415.184578</v>
      </c>
      <c r="X172" s="259">
        <f>IF($X$135="Y",IFERROR($E172*(SUM($F$7,$F$5,$F$6)/SUMIF($H$5:$H$16,"Y",$F$5:$F$16))*('Emissions Factors'!$T$143*$F$22)/10^6,""),"")</f>
        <v>236458217023.7626</v>
      </c>
      <c r="Y172" s="180"/>
      <c r="Z172" s="180"/>
      <c r="AA172" s="509"/>
      <c r="AB172" s="180">
        <f t="shared" si="47"/>
        <v>260808447438.94717</v>
      </c>
      <c r="AC172" s="180">
        <f t="shared" si="48"/>
        <v>0</v>
      </c>
      <c r="AE172" s="182"/>
      <c r="AF172" s="178"/>
      <c r="AG172" s="182"/>
      <c r="AH172" s="178"/>
      <c r="AJ172" s="259">
        <f>IF($AJ$135="Y",IFERROR(M172*($F$8/SUMIF($H$5:$H$16,"Y",$F$5:$F$16))*$F$21*'Emissions Factors'!$B48,""),"")</f>
        <v>34252270527.95396</v>
      </c>
      <c r="AK172" s="259">
        <f>IF($AK$135="Y",IFERROR($M172*(SUM($F$7,$F$5,$F$6)/SUMIF($H$5:$H$16,"Y",$F$5:$F$16))*('Emissions Factors'!$T$143*$F$22)/10^6,""),"")</f>
        <v>332614134649.21313</v>
      </c>
      <c r="AL172" s="180"/>
      <c r="AM172" s="180"/>
      <c r="AO172" s="180">
        <f t="shared" si="49"/>
        <v>366866405177.16711</v>
      </c>
      <c r="AP172" s="180">
        <f t="shared" si="50"/>
        <v>0</v>
      </c>
      <c r="AT172" s="478">
        <v>2051</v>
      </c>
      <c r="AU172" s="479">
        <f t="shared" si="51"/>
        <v>627674852616.11426</v>
      </c>
      <c r="AV172" s="479">
        <f t="shared" si="51"/>
        <v>0</v>
      </c>
      <c r="AW172" s="430"/>
      <c r="AX172" s="479">
        <f t="shared" si="43"/>
        <v>183433202588.58356</v>
      </c>
      <c r="AY172" s="479">
        <f t="shared" si="43"/>
        <v>0</v>
      </c>
      <c r="AZ172" s="430"/>
      <c r="BA172" s="479">
        <f t="shared" si="44"/>
        <v>444241650027.5307</v>
      </c>
      <c r="BB172" s="479">
        <f t="shared" si="44"/>
        <v>0</v>
      </c>
      <c r="BC172" s="516"/>
      <c r="BE172" s="480">
        <f t="shared" si="45"/>
        <v>0.2922423956034626</v>
      </c>
      <c r="BF172" s="480" t="str">
        <f t="shared" si="46"/>
        <v/>
      </c>
    </row>
    <row r="173" spans="1:58" ht="15.6" x14ac:dyDescent="0.3">
      <c r="A173" s="152">
        <v>2052</v>
      </c>
      <c r="B173" s="178"/>
      <c r="C173" s="182"/>
      <c r="D173" s="183"/>
      <c r="E173" s="179">
        <f t="shared" si="52"/>
        <v>909152785283.29236</v>
      </c>
      <c r="F173" s="183">
        <f t="shared" si="53"/>
        <v>47780475276.646118</v>
      </c>
      <c r="G173" s="247">
        <f t="shared" si="40"/>
        <v>6.1297827594097798E-2</v>
      </c>
      <c r="H173" s="246"/>
      <c r="I173" s="417"/>
      <c r="J173" s="178"/>
      <c r="K173" s="182"/>
      <c r="L173" s="183"/>
      <c r="M173" s="179">
        <f t="shared" si="41"/>
        <v>1290973812433.8696</v>
      </c>
      <c r="N173" s="183">
        <f t="shared" si="54"/>
        <v>79323783478.173096</v>
      </c>
      <c r="O173" s="247">
        <f t="shared" si="42"/>
        <v>8.7041354834994353E-2</v>
      </c>
      <c r="P173" s="246"/>
      <c r="Q173" s="417"/>
      <c r="R173" s="182"/>
      <c r="S173" s="178"/>
      <c r="T173" s="182"/>
      <c r="U173" s="178"/>
      <c r="V173" s="506"/>
      <c r="W173" s="259">
        <f>IF($W$135="Y",IFERROR(E173*($F$8/SUMIF($H$5:$H$16,"Y",$F$5:$F$16))*$F$21*'Emissions Factors'!$B49,""),"")</f>
        <v>25606038090.887478</v>
      </c>
      <c r="X173" s="259">
        <f>IF($X$135="Y",IFERROR($E173*(SUM($F$7,$F$5,$F$6)/SUMIF($H$5:$H$16,"Y",$F$5:$F$16))*('Emissions Factors'!$T$143*$F$22)/10^6,""),"")</f>
        <v>249574596388.65833</v>
      </c>
      <c r="Y173" s="180"/>
      <c r="Z173" s="180"/>
      <c r="AA173" s="509"/>
      <c r="AB173" s="180">
        <f t="shared" si="47"/>
        <v>275180634479.54578</v>
      </c>
      <c r="AC173" s="180">
        <f t="shared" si="48"/>
        <v>0</v>
      </c>
      <c r="AE173" s="182"/>
      <c r="AF173" s="178"/>
      <c r="AG173" s="182"/>
      <c r="AH173" s="178"/>
      <c r="AJ173" s="259">
        <f>IF($AJ$135="Y",IFERROR(M173*($F$8/SUMIF($H$5:$H$16,"Y",$F$5:$F$16))*$F$21*'Emissions Factors'!$B49,""),"")</f>
        <v>36359922282.171089</v>
      </c>
      <c r="AK173" s="259">
        <f>IF($AK$135="Y",IFERROR($M173*(SUM($F$7,$F$5,$F$6)/SUMIF($H$5:$H$16,"Y",$F$5:$F$16))*('Emissions Factors'!$T$143*$F$22)/10^6,""),"")</f>
        <v>354389573899.96295</v>
      </c>
      <c r="AL173" s="180"/>
      <c r="AM173" s="180"/>
      <c r="AO173" s="180">
        <f t="shared" si="49"/>
        <v>390749496182.13403</v>
      </c>
      <c r="AP173" s="180">
        <f t="shared" si="50"/>
        <v>0</v>
      </c>
      <c r="AT173" s="478">
        <v>2052</v>
      </c>
      <c r="AU173" s="479">
        <f t="shared" si="51"/>
        <v>665930130661.67981</v>
      </c>
      <c r="AV173" s="479">
        <f t="shared" si="51"/>
        <v>0</v>
      </c>
      <c r="AW173" s="430"/>
      <c r="AX173" s="479">
        <f t="shared" si="43"/>
        <v>195374748091.06702</v>
      </c>
      <c r="AY173" s="479">
        <f t="shared" si="43"/>
        <v>0</v>
      </c>
      <c r="AZ173" s="430"/>
      <c r="BA173" s="479">
        <f t="shared" si="44"/>
        <v>470555382570.61279</v>
      </c>
      <c r="BB173" s="479">
        <f t="shared" si="44"/>
        <v>0</v>
      </c>
      <c r="BC173" s="516"/>
      <c r="BE173" s="480">
        <f t="shared" si="45"/>
        <v>0.29338625644846444</v>
      </c>
      <c r="BF173" s="480" t="str">
        <f t="shared" si="46"/>
        <v/>
      </c>
    </row>
    <row r="174" spans="1:58" ht="15.6" x14ac:dyDescent="0.3">
      <c r="A174" s="152">
        <v>2053</v>
      </c>
      <c r="B174" s="178"/>
      <c r="C174" s="182"/>
      <c r="D174" s="183"/>
      <c r="E174" s="179">
        <f t="shared" si="52"/>
        <v>959420786166.84778</v>
      </c>
      <c r="F174" s="183">
        <f t="shared" si="53"/>
        <v>50268000883.55542</v>
      </c>
      <c r="G174" s="247">
        <f t="shared" si="40"/>
        <v>6.0430759539013397E-2</v>
      </c>
      <c r="H174" s="246"/>
      <c r="I174" s="417"/>
      <c r="J174" s="178"/>
      <c r="K174" s="182"/>
      <c r="L174" s="183"/>
      <c r="M174" s="179">
        <f t="shared" si="41"/>
        <v>1375382271179.2336</v>
      </c>
      <c r="N174" s="183">
        <f t="shared" si="54"/>
        <v>84408458745.364014</v>
      </c>
      <c r="O174" s="247">
        <f t="shared" si="42"/>
        <v>8.6630805275674128E-2</v>
      </c>
      <c r="P174" s="246"/>
      <c r="Q174" s="417"/>
      <c r="R174" s="182"/>
      <c r="S174" s="178"/>
      <c r="T174" s="182"/>
      <c r="U174" s="178"/>
      <c r="V174" s="506"/>
      <c r="W174" s="259">
        <f>IF($W$135="Y",IFERROR(E174*($F$8/SUMIF($H$5:$H$16,"Y",$F$5:$F$16))*$F$21*'Emissions Factors'!$B50,""),"")</f>
        <v>26919572518.160698</v>
      </c>
      <c r="X174" s="259">
        <f>IF($X$135="Y",IFERROR($E174*(SUM($F$7,$F$5,$F$6)/SUMIF($H$5:$H$16,"Y",$F$5:$F$16))*('Emissions Factors'!$T$143*$F$22)/10^6,""),"")</f>
        <v>263373834794.85077</v>
      </c>
      <c r="Y174" s="180"/>
      <c r="Z174" s="180"/>
      <c r="AA174" s="509"/>
      <c r="AB174" s="180">
        <f t="shared" si="47"/>
        <v>290293407313.01147</v>
      </c>
      <c r="AC174" s="180">
        <f t="shared" si="48"/>
        <v>0</v>
      </c>
      <c r="AE174" s="182"/>
      <c r="AF174" s="178"/>
      <c r="AG174" s="182"/>
      <c r="AH174" s="178"/>
      <c r="AJ174" s="259">
        <f>IF($AJ$135="Y",IFERROR(M174*($F$8/SUMIF($H$5:$H$16,"Y",$F$5:$F$16))*$F$21*'Emissions Factors'!$B50,""),"")</f>
        <v>38590682339.837456</v>
      </c>
      <c r="AK174" s="259">
        <f>IF($AK$135="Y",IFERROR($M174*(SUM($F$7,$F$5,$F$6)/SUMIF($H$5:$H$16,"Y",$F$5:$F$16))*('Emissions Factors'!$T$143*$F$22)/10^6,""),"")</f>
        <v>377560824501.80621</v>
      </c>
      <c r="AL174" s="180"/>
      <c r="AM174" s="180"/>
      <c r="AO174" s="180">
        <f t="shared" si="49"/>
        <v>416151506841.64368</v>
      </c>
      <c r="AP174" s="180">
        <f t="shared" si="50"/>
        <v>0</v>
      </c>
      <c r="AT174" s="478">
        <v>2053</v>
      </c>
      <c r="AU174" s="479">
        <f t="shared" si="51"/>
        <v>706444914154.65515</v>
      </c>
      <c r="AV174" s="479">
        <f t="shared" si="51"/>
        <v>0</v>
      </c>
      <c r="AW174" s="430"/>
      <c r="AX174" s="479">
        <f t="shared" si="43"/>
        <v>208075753420.82184</v>
      </c>
      <c r="AY174" s="479">
        <f t="shared" si="43"/>
        <v>0</v>
      </c>
      <c r="AZ174" s="430"/>
      <c r="BA174" s="479">
        <f t="shared" si="44"/>
        <v>498369160733.83331</v>
      </c>
      <c r="BB174" s="479">
        <f t="shared" si="44"/>
        <v>0</v>
      </c>
      <c r="BC174" s="516"/>
      <c r="BE174" s="480">
        <f t="shared" si="45"/>
        <v>0.29453924750779625</v>
      </c>
      <c r="BF174" s="480" t="str">
        <f t="shared" si="46"/>
        <v/>
      </c>
    </row>
    <row r="175" spans="1:58" ht="15.6" x14ac:dyDescent="0.3">
      <c r="A175" s="152">
        <v>2054</v>
      </c>
      <c r="B175" s="178"/>
      <c r="C175" s="182"/>
      <c r="D175" s="183"/>
      <c r="E175" s="179">
        <f t="shared" si="52"/>
        <v>1012243160780.3271</v>
      </c>
      <c r="F175" s="183">
        <f t="shared" si="53"/>
        <v>52822374613.47937</v>
      </c>
      <c r="G175" s="247">
        <f t="shared" si="40"/>
        <v>5.9603458182776244E-2</v>
      </c>
      <c r="H175" s="246"/>
      <c r="I175" s="417"/>
      <c r="J175" s="178"/>
      <c r="K175" s="182"/>
      <c r="L175" s="183"/>
      <c r="M175" s="179">
        <f t="shared" si="41"/>
        <v>1465086445205.5527</v>
      </c>
      <c r="N175" s="183">
        <f t="shared" si="54"/>
        <v>89704174026.319092</v>
      </c>
      <c r="O175" s="247">
        <f t="shared" si="42"/>
        <v>8.6268025366201706E-2</v>
      </c>
      <c r="P175" s="246"/>
      <c r="Q175" s="417"/>
      <c r="R175" s="182"/>
      <c r="S175" s="178"/>
      <c r="T175" s="182"/>
      <c r="U175" s="178"/>
      <c r="V175" s="506"/>
      <c r="W175" s="259">
        <f>IF($W$135="Y",IFERROR(E175*($F$8/SUMIF($H$5:$H$16,"Y",$F$5:$F$16))*$F$21*'Emissions Factors'!$B51,""),"")</f>
        <v>28291465423.637703</v>
      </c>
      <c r="X175" s="259">
        <f>IF($X$135="Y",IFERROR($E175*(SUM($F$7,$F$5,$F$6)/SUMIF($H$5:$H$16,"Y",$F$5:$F$16))*('Emissions Factors'!$T$143*$F$22)/10^6,""),"")</f>
        <v>277874282945.974</v>
      </c>
      <c r="Y175" s="180"/>
      <c r="Z175" s="180"/>
      <c r="AA175" s="509"/>
      <c r="AB175" s="180">
        <f t="shared" si="47"/>
        <v>306165748369.61169</v>
      </c>
      <c r="AC175" s="180">
        <f t="shared" si="48"/>
        <v>0</v>
      </c>
      <c r="AE175" s="182"/>
      <c r="AF175" s="178"/>
      <c r="AG175" s="182"/>
      <c r="AH175" s="178"/>
      <c r="AJ175" s="259">
        <f>IF($AJ$135="Y",IFERROR(M175*($F$8/SUMIF($H$5:$H$16,"Y",$F$5:$F$16))*$F$21*'Emissions Factors'!$B51,""),"")</f>
        <v>40948108234.409065</v>
      </c>
      <c r="AK175" s="259">
        <f>IF($AK$135="Y",IFERROR($M175*(SUM($F$7,$F$5,$F$6)/SUMIF($H$5:$H$16,"Y",$F$5:$F$16))*('Emissions Factors'!$T$143*$F$22)/10^6,""),"")</f>
        <v>402185819760.46393</v>
      </c>
      <c r="AL175" s="180"/>
      <c r="AM175" s="180"/>
      <c r="AO175" s="180">
        <f t="shared" si="49"/>
        <v>443133927994.87299</v>
      </c>
      <c r="AP175" s="180">
        <f t="shared" si="50"/>
        <v>0</v>
      </c>
      <c r="AT175" s="478">
        <v>2054</v>
      </c>
      <c r="AU175" s="479">
        <f t="shared" si="51"/>
        <v>749299676364.48462</v>
      </c>
      <c r="AV175" s="479">
        <f t="shared" si="51"/>
        <v>0</v>
      </c>
      <c r="AW175" s="430"/>
      <c r="AX175" s="479">
        <f t="shared" si="43"/>
        <v>221566963997.43649</v>
      </c>
      <c r="AY175" s="479">
        <f t="shared" si="43"/>
        <v>0</v>
      </c>
      <c r="AZ175" s="430"/>
      <c r="BA175" s="479">
        <f t="shared" si="44"/>
        <v>527732712367.0481</v>
      </c>
      <c r="BB175" s="479">
        <f t="shared" si="44"/>
        <v>0</v>
      </c>
      <c r="BC175" s="516"/>
      <c r="BE175" s="480">
        <f t="shared" si="45"/>
        <v>0.29569873174435868</v>
      </c>
      <c r="BF175" s="480" t="str">
        <f t="shared" si="46"/>
        <v/>
      </c>
    </row>
    <row r="176" spans="1:58" ht="15.6" x14ac:dyDescent="0.3">
      <c r="A176" s="152">
        <v>2055</v>
      </c>
      <c r="B176" s="178"/>
      <c r="C176" s="182"/>
      <c r="D176" s="183"/>
      <c r="E176" s="179">
        <f t="shared" si="52"/>
        <v>1069038113941.3066</v>
      </c>
      <c r="F176" s="183">
        <f t="shared" si="53"/>
        <v>56794953160.979492</v>
      </c>
      <c r="G176" s="247">
        <f t="shared" si="40"/>
        <v>5.8887562023606919E-2</v>
      </c>
      <c r="H176" s="246"/>
      <c r="I176" s="417"/>
      <c r="J176" s="178"/>
      <c r="K176" s="182"/>
      <c r="L176" s="183"/>
      <c r="M176" s="179">
        <f t="shared" si="41"/>
        <v>1562275293351.8875</v>
      </c>
      <c r="N176" s="183">
        <f t="shared" si="54"/>
        <v>97188848146.334717</v>
      </c>
      <c r="O176" s="247">
        <f t="shared" si="42"/>
        <v>8.6057346352254524E-2</v>
      </c>
      <c r="P176" s="246"/>
      <c r="Q176" s="417"/>
      <c r="R176" s="182"/>
      <c r="S176" s="178"/>
      <c r="T176" s="182"/>
      <c r="U176" s="178"/>
      <c r="V176" s="506"/>
      <c r="W176" s="259">
        <f>IF($W$135="Y",IFERROR(E176*($F$8/SUMIF($H$5:$H$16,"Y",$F$5:$F$16))*$F$21*'Emissions Factors'!$B52,""),"")</f>
        <v>29757409523.014713</v>
      </c>
      <c r="X176" s="259">
        <f>IF($X$135="Y",IFERROR($E176*(SUM($F$7,$F$5,$F$6)/SUMIF($H$5:$H$16,"Y",$F$5:$F$16))*('Emissions Factors'!$T$143*$F$22)/10^6,""),"")</f>
        <v>293465257028.12164</v>
      </c>
      <c r="Y176" s="180"/>
      <c r="Z176" s="180"/>
      <c r="AA176" s="509"/>
      <c r="AB176" s="180">
        <f t="shared" si="47"/>
        <v>323222666551.13635</v>
      </c>
      <c r="AC176" s="180">
        <f t="shared" si="48"/>
        <v>0</v>
      </c>
      <c r="AE176" s="182"/>
      <c r="AF176" s="178"/>
      <c r="AG176" s="182"/>
      <c r="AH176" s="178"/>
      <c r="AJ176" s="259">
        <f>IF($AJ$135="Y",IFERROR(M176*($F$8/SUMIF($H$5:$H$16,"Y",$F$5:$F$16))*$F$21*'Emissions Factors'!$B52,""),"")</f>
        <v>43487004893.178635</v>
      </c>
      <c r="AK176" s="259">
        <f>IF($AK$135="Y",IFERROR($M176*(SUM($F$7,$F$5,$F$6)/SUMIF($H$5:$H$16,"Y",$F$5:$F$16))*('Emissions Factors'!$T$143*$F$22)/10^6,""),"")</f>
        <v>428865458147.14276</v>
      </c>
      <c r="AL176" s="180"/>
      <c r="AM176" s="180"/>
      <c r="AO176" s="180">
        <f t="shared" si="49"/>
        <v>472352463040.32141</v>
      </c>
      <c r="AP176" s="180">
        <f t="shared" si="50"/>
        <v>0</v>
      </c>
      <c r="AT176" s="478">
        <v>2055</v>
      </c>
      <c r="AU176" s="479">
        <f t="shared" si="51"/>
        <v>795575129591.45776</v>
      </c>
      <c r="AV176" s="479">
        <f t="shared" si="51"/>
        <v>0</v>
      </c>
      <c r="AW176" s="430"/>
      <c r="AX176" s="479">
        <f t="shared" si="43"/>
        <v>236176231520.16071</v>
      </c>
      <c r="AY176" s="479">
        <f t="shared" si="43"/>
        <v>0</v>
      </c>
      <c r="AZ176" s="430"/>
      <c r="BA176" s="479">
        <f t="shared" si="44"/>
        <v>559398898071.29712</v>
      </c>
      <c r="BB176" s="479">
        <f t="shared" si="44"/>
        <v>0</v>
      </c>
      <c r="BC176" s="516"/>
      <c r="BE176" s="480">
        <f t="shared" si="45"/>
        <v>0.29686226069113231</v>
      </c>
      <c r="BF176" s="480" t="str">
        <f t="shared" si="46"/>
        <v/>
      </c>
    </row>
    <row r="177" spans="1:58" ht="15.6" x14ac:dyDescent="0.3">
      <c r="A177" s="152">
        <v>2056</v>
      </c>
      <c r="B177" s="178"/>
      <c r="C177" s="182"/>
      <c r="D177" s="183"/>
      <c r="E177" s="179">
        <f t="shared" si="52"/>
        <v>1125956352901.0618</v>
      </c>
      <c r="F177" s="183">
        <f t="shared" si="53"/>
        <v>56918238959.755127</v>
      </c>
      <c r="G177" s="247">
        <f t="shared" si="40"/>
        <v>5.8062879981802776E-2</v>
      </c>
      <c r="H177" s="246"/>
      <c r="I177" s="417"/>
      <c r="J177" s="178"/>
      <c r="K177" s="182"/>
      <c r="L177" s="183"/>
      <c r="M177" s="179">
        <f t="shared" si="41"/>
        <v>1661461181036.0352</v>
      </c>
      <c r="N177" s="183">
        <f t="shared" si="54"/>
        <v>99185887684.147705</v>
      </c>
      <c r="O177" s="247">
        <f t="shared" si="42"/>
        <v>8.5677585015052876E-2</v>
      </c>
      <c r="P177" s="246"/>
      <c r="Q177" s="417"/>
      <c r="R177" s="182"/>
      <c r="S177" s="178"/>
      <c r="T177" s="182"/>
      <c r="U177" s="178"/>
      <c r="V177" s="506"/>
      <c r="W177" s="259">
        <f>IF($W$135="Y",IFERROR(E177*($F$8/SUMIF($H$5:$H$16,"Y",$F$5:$F$16))*$F$21*'Emissions Factors'!$B53,""),"")</f>
        <v>31216274112.307388</v>
      </c>
      <c r="X177" s="259">
        <f>IF($X$135="Y",IFERROR($E177*(SUM($F$7,$F$5,$F$6)/SUMIF($H$5:$H$16,"Y",$F$5:$F$16))*('Emissions Factors'!$T$143*$F$22)/10^6,""),"")</f>
        <v>309090074710.56183</v>
      </c>
      <c r="Y177" s="180"/>
      <c r="Z177" s="180"/>
      <c r="AA177" s="509"/>
      <c r="AB177" s="180">
        <f t="shared" si="47"/>
        <v>340306348822.8692</v>
      </c>
      <c r="AC177" s="180">
        <f t="shared" si="48"/>
        <v>0</v>
      </c>
      <c r="AE177" s="182"/>
      <c r="AF177" s="178"/>
      <c r="AG177" s="182"/>
      <c r="AH177" s="178"/>
      <c r="AJ177" s="259">
        <f>IF($AJ$135="Y",IFERROR(M177*($F$8/SUMIF($H$5:$H$16,"Y",$F$5:$F$16))*$F$21*'Emissions Factors'!$B53,""),"")</f>
        <v>46062733711.256218</v>
      </c>
      <c r="AK177" s="259">
        <f>IF($AK$135="Y",IFERROR($M177*(SUM($F$7,$F$5,$F$6)/SUMIF($H$5:$H$16,"Y",$F$5:$F$16))*('Emissions Factors'!$T$143*$F$22)/10^6,""),"")</f>
        <v>456093310590.56738</v>
      </c>
      <c r="AL177" s="180"/>
      <c r="AM177" s="180"/>
      <c r="AO177" s="180">
        <f t="shared" si="49"/>
        <v>502156044301.82361</v>
      </c>
      <c r="AP177" s="180">
        <f t="shared" si="50"/>
        <v>0</v>
      </c>
      <c r="AT177" s="478">
        <v>2056</v>
      </c>
      <c r="AU177" s="479">
        <f t="shared" si="51"/>
        <v>842462393124.69287</v>
      </c>
      <c r="AV177" s="479">
        <f t="shared" si="51"/>
        <v>0</v>
      </c>
      <c r="AW177" s="430"/>
      <c r="AX177" s="479">
        <f t="shared" si="43"/>
        <v>251078022150.9118</v>
      </c>
      <c r="AY177" s="479">
        <f t="shared" si="43"/>
        <v>0</v>
      </c>
      <c r="AZ177" s="430"/>
      <c r="BA177" s="479">
        <f t="shared" si="44"/>
        <v>591384370973.78101</v>
      </c>
      <c r="BB177" s="479">
        <f t="shared" si="44"/>
        <v>0</v>
      </c>
      <c r="BC177" s="516"/>
      <c r="BE177" s="480">
        <f t="shared" si="45"/>
        <v>0.29802875974043597</v>
      </c>
      <c r="BF177" s="480" t="str">
        <f t="shared" si="46"/>
        <v/>
      </c>
    </row>
    <row r="178" spans="1:58" ht="15.6" x14ac:dyDescent="0.3">
      <c r="A178" s="152">
        <v>2057</v>
      </c>
      <c r="B178" s="178"/>
      <c r="C178" s="182"/>
      <c r="D178" s="183"/>
      <c r="E178" s="179">
        <f t="shared" si="52"/>
        <v>1187155213212.6196</v>
      </c>
      <c r="F178" s="183">
        <f t="shared" si="53"/>
        <v>61198860311.557861</v>
      </c>
      <c r="G178" s="247">
        <f t="shared" si="40"/>
        <v>5.7350433922933999E-2</v>
      </c>
      <c r="H178" s="246"/>
      <c r="I178" s="417"/>
      <c r="J178" s="178"/>
      <c r="K178" s="182"/>
      <c r="L178" s="183"/>
      <c r="M178" s="179">
        <f t="shared" si="41"/>
        <v>1768863486937.1836</v>
      </c>
      <c r="N178" s="183">
        <f t="shared" si="54"/>
        <v>107402305901.14844</v>
      </c>
      <c r="O178" s="247">
        <f t="shared" si="42"/>
        <v>8.5452253755223792E-2</v>
      </c>
      <c r="P178" s="246"/>
      <c r="Q178" s="417"/>
      <c r="R178" s="182"/>
      <c r="S178" s="178"/>
      <c r="T178" s="182"/>
      <c r="U178" s="178"/>
      <c r="V178" s="506"/>
      <c r="W178" s="259">
        <f>IF($W$135="Y",IFERROR(E178*($F$8/SUMIF($H$5:$H$16,"Y",$F$5:$F$16))*$F$21*'Emissions Factors'!$B54,""),"")</f>
        <v>32774822582.534733</v>
      </c>
      <c r="X178" s="259">
        <f>IF($X$135="Y",IFERROR($E178*(SUM($F$7,$F$5,$F$6)/SUMIF($H$5:$H$16,"Y",$F$5:$F$16))*('Emissions Factors'!$T$143*$F$22)/10^6,""),"")</f>
        <v>325889980192.83307</v>
      </c>
      <c r="Y178" s="180"/>
      <c r="Z178" s="180"/>
      <c r="AA178" s="509"/>
      <c r="AB178" s="180">
        <f t="shared" si="47"/>
        <v>358664802775.3678</v>
      </c>
      <c r="AC178" s="180">
        <f t="shared" si="48"/>
        <v>0</v>
      </c>
      <c r="AE178" s="182"/>
      <c r="AF178" s="178"/>
      <c r="AG178" s="182"/>
      <c r="AH178" s="178"/>
      <c r="AJ178" s="259">
        <f>IF($AJ$135="Y",IFERROR(M178*($F$8/SUMIF($H$5:$H$16,"Y",$F$5:$F$16))*$F$21*'Emissions Factors'!$B54,""),"")</f>
        <v>48834546916.744873</v>
      </c>
      <c r="AK178" s="259">
        <f>IF($AK$135="Y",IFERROR($M178*(SUM($F$7,$F$5,$F$6)/SUMIF($H$5:$H$16,"Y",$F$5:$F$16))*('Emissions Factors'!$T$143*$F$22)/10^6,""),"")</f>
        <v>485576679701.22559</v>
      </c>
      <c r="AL178" s="180"/>
      <c r="AM178" s="180"/>
      <c r="AO178" s="180">
        <f t="shared" si="49"/>
        <v>534411226617.97046</v>
      </c>
      <c r="AP178" s="180">
        <f t="shared" si="50"/>
        <v>0</v>
      </c>
      <c r="AT178" s="478">
        <v>2057</v>
      </c>
      <c r="AU178" s="479">
        <f t="shared" si="51"/>
        <v>893076029393.33826</v>
      </c>
      <c r="AV178" s="479">
        <f t="shared" si="51"/>
        <v>0</v>
      </c>
      <c r="AW178" s="430"/>
      <c r="AX178" s="479">
        <f t="shared" si="43"/>
        <v>267205613308.98523</v>
      </c>
      <c r="AY178" s="479">
        <f t="shared" si="43"/>
        <v>0</v>
      </c>
      <c r="AZ178" s="430"/>
      <c r="BA178" s="479">
        <f t="shared" si="44"/>
        <v>625870416084.35303</v>
      </c>
      <c r="BB178" s="479">
        <f t="shared" si="44"/>
        <v>0</v>
      </c>
      <c r="BC178" s="516"/>
      <c r="BE178" s="480">
        <f t="shared" si="45"/>
        <v>0.29919693790292029</v>
      </c>
      <c r="BF178" s="480" t="str">
        <f t="shared" si="46"/>
        <v/>
      </c>
    </row>
    <row r="179" spans="1:58" ht="15.6" x14ac:dyDescent="0.3">
      <c r="A179" s="152">
        <v>2058</v>
      </c>
      <c r="B179" s="178"/>
      <c r="C179" s="182"/>
      <c r="D179" s="183"/>
      <c r="E179" s="179">
        <f t="shared" si="52"/>
        <v>1251401750408.7913</v>
      </c>
      <c r="F179" s="183">
        <f t="shared" si="53"/>
        <v>64246537196.171631</v>
      </c>
      <c r="G179" s="247">
        <f t="shared" si="40"/>
        <v>5.6676651015794242E-2</v>
      </c>
      <c r="H179" s="246"/>
      <c r="I179" s="417"/>
      <c r="J179" s="178"/>
      <c r="K179" s="182"/>
      <c r="L179" s="183"/>
      <c r="M179" s="179">
        <f t="shared" si="41"/>
        <v>1882803633280.5498</v>
      </c>
      <c r="N179" s="183">
        <f t="shared" si="54"/>
        <v>113940146343.36621</v>
      </c>
      <c r="O179" s="247">
        <f t="shared" si="42"/>
        <v>8.5273178193855201E-2</v>
      </c>
      <c r="P179" s="246"/>
      <c r="Q179" s="417"/>
      <c r="R179" s="182"/>
      <c r="S179" s="178"/>
      <c r="T179" s="182"/>
      <c r="U179" s="178"/>
      <c r="V179" s="506"/>
      <c r="W179" s="259">
        <f>IF($W$135="Y",IFERROR(E179*($F$8/SUMIF($H$5:$H$16,"Y",$F$5:$F$16))*$F$21*'Emissions Factors'!$B55,""),"")</f>
        <v>34399562148.917229</v>
      </c>
      <c r="X179" s="259">
        <f>IF($X$135="Y",IFERROR($E179*(SUM($F$7,$F$5,$F$6)/SUMIF($H$5:$H$16,"Y",$F$5:$F$16))*('Emissions Factors'!$T$143*$F$22)/10^6,""),"")</f>
        <v>343526513732.25037</v>
      </c>
      <c r="Y179" s="180"/>
      <c r="Z179" s="180"/>
      <c r="AA179" s="509"/>
      <c r="AB179" s="180">
        <f t="shared" si="47"/>
        <v>377926075881.1676</v>
      </c>
      <c r="AC179" s="180">
        <f t="shared" si="48"/>
        <v>0</v>
      </c>
      <c r="AE179" s="182"/>
      <c r="AF179" s="178"/>
      <c r="AG179" s="182"/>
      <c r="AH179" s="178"/>
      <c r="AJ179" s="259">
        <f>IF($AJ$135="Y",IFERROR(M179*($F$8/SUMIF($H$5:$H$16,"Y",$F$5:$F$16))*$F$21*'Emissions Factors'!$B55,""),"")</f>
        <v>51756057218.302605</v>
      </c>
      <c r="AK179" s="259">
        <f>IF($AK$135="Y",IFERROR($M179*(SUM($F$7,$F$5,$F$6)/SUMIF($H$5:$H$16,"Y",$F$5:$F$16))*('Emissions Factors'!$T$143*$F$22)/10^6,""),"")</f>
        <v>516854773434.66711</v>
      </c>
      <c r="AL179" s="180"/>
      <c r="AM179" s="180"/>
      <c r="AO179" s="180">
        <f t="shared" si="49"/>
        <v>568610830652.96973</v>
      </c>
      <c r="AP179" s="180">
        <f t="shared" si="50"/>
        <v>0</v>
      </c>
      <c r="AT179" s="478">
        <v>2058</v>
      </c>
      <c r="AU179" s="479">
        <f t="shared" si="51"/>
        <v>946536906534.13733</v>
      </c>
      <c r="AV179" s="479">
        <f t="shared" si="51"/>
        <v>0</v>
      </c>
      <c r="AW179" s="430"/>
      <c r="AX179" s="479">
        <f t="shared" si="43"/>
        <v>284305415326.48486</v>
      </c>
      <c r="AY179" s="479">
        <f t="shared" si="43"/>
        <v>0</v>
      </c>
      <c r="AZ179" s="430"/>
      <c r="BA179" s="479">
        <f t="shared" si="44"/>
        <v>662231491207.65247</v>
      </c>
      <c r="BB179" s="479">
        <f t="shared" si="44"/>
        <v>0</v>
      </c>
      <c r="BC179" s="516"/>
      <c r="BE179" s="480">
        <f t="shared" si="45"/>
        <v>0.30036379285780257</v>
      </c>
      <c r="BF179" s="480" t="str">
        <f t="shared" si="46"/>
        <v/>
      </c>
    </row>
    <row r="180" spans="1:58" ht="15.6" x14ac:dyDescent="0.3">
      <c r="A180" s="152">
        <v>2059</v>
      </c>
      <c r="B180" s="178"/>
      <c r="C180" s="182"/>
      <c r="D180" s="183"/>
      <c r="E180" s="179">
        <f t="shared" si="52"/>
        <v>1318788799782.1624</v>
      </c>
      <c r="F180" s="183">
        <f t="shared" si="53"/>
        <v>67387049373.371094</v>
      </c>
      <c r="G180" s="247">
        <f t="shared" si="40"/>
        <v>5.604158661548158E-2</v>
      </c>
      <c r="H180" s="246"/>
      <c r="I180" s="417"/>
      <c r="J180" s="178"/>
      <c r="K180" s="182"/>
      <c r="L180" s="183"/>
      <c r="M180" s="179">
        <f t="shared" si="41"/>
        <v>2003529974817.2373</v>
      </c>
      <c r="N180" s="183">
        <f t="shared" si="54"/>
        <v>120726341536.6875</v>
      </c>
      <c r="O180" s="247">
        <f t="shared" si="42"/>
        <v>8.5139484532307533E-2</v>
      </c>
      <c r="P180" s="246"/>
      <c r="Q180" s="417"/>
      <c r="R180" s="182"/>
      <c r="S180" s="178"/>
      <c r="T180" s="182"/>
      <c r="U180" s="178"/>
      <c r="V180" s="506"/>
      <c r="W180" s="259">
        <f>IF($W$135="Y",IFERROR(E180*($F$8/SUMIF($H$5:$H$16,"Y",$F$5:$F$16))*$F$21*'Emissions Factors'!$B56,""),"")</f>
        <v>36091321843.276268</v>
      </c>
      <c r="X180" s="259">
        <f>IF($X$135="Y",IFERROR($E180*(SUM($F$7,$F$5,$F$6)/SUMIF($H$5:$H$16,"Y",$F$5:$F$16))*('Emissions Factors'!$T$143*$F$22)/10^6,""),"")</f>
        <v>362025159857.98511</v>
      </c>
      <c r="Y180" s="180"/>
      <c r="Z180" s="180"/>
      <c r="AA180" s="509"/>
      <c r="AB180" s="180">
        <f t="shared" si="47"/>
        <v>398116481701.26135</v>
      </c>
      <c r="AC180" s="180">
        <f t="shared" si="48"/>
        <v>0</v>
      </c>
      <c r="AE180" s="182"/>
      <c r="AF180" s="178"/>
      <c r="AG180" s="182"/>
      <c r="AH180" s="178"/>
      <c r="AJ180" s="259">
        <f>IF($AJ$135="Y",IFERROR(M180*($F$8/SUMIF($H$5:$H$16,"Y",$F$5:$F$16))*$F$21*'Emissions Factors'!$B56,""),"")</f>
        <v>54830648513.032776</v>
      </c>
      <c r="AK180" s="259">
        <f>IF($AK$135="Y",IFERROR($M180*(SUM($F$7,$F$5,$F$6)/SUMIF($H$5:$H$16,"Y",$F$5:$F$16))*('Emissions Factors'!$T$143*$F$22)/10^6,""),"")</f>
        <v>549995768490.97058</v>
      </c>
      <c r="AL180" s="180"/>
      <c r="AM180" s="180"/>
      <c r="AO180" s="180">
        <f t="shared" si="49"/>
        <v>604826417004.00342</v>
      </c>
      <c r="AP180" s="180">
        <f t="shared" si="50"/>
        <v>0</v>
      </c>
      <c r="AT180" s="478">
        <v>2059</v>
      </c>
      <c r="AU180" s="479">
        <f t="shared" si="51"/>
        <v>1002942898705.2648</v>
      </c>
      <c r="AV180" s="479">
        <f t="shared" si="51"/>
        <v>0</v>
      </c>
      <c r="AW180" s="430"/>
      <c r="AX180" s="479">
        <f t="shared" si="43"/>
        <v>302413208502.00171</v>
      </c>
      <c r="AY180" s="479">
        <f t="shared" si="43"/>
        <v>0</v>
      </c>
      <c r="AZ180" s="430"/>
      <c r="BA180" s="479">
        <f t="shared" si="44"/>
        <v>700529690203.26306</v>
      </c>
      <c r="BB180" s="479">
        <f t="shared" si="44"/>
        <v>0</v>
      </c>
      <c r="BC180" s="516"/>
      <c r="BE180" s="480">
        <f t="shared" si="45"/>
        <v>0.30152584847292685</v>
      </c>
      <c r="BF180" s="480" t="str">
        <f t="shared" si="46"/>
        <v/>
      </c>
    </row>
    <row r="181" spans="1:58" ht="15.6" x14ac:dyDescent="0.3">
      <c r="A181" s="152">
        <v>2060</v>
      </c>
      <c r="B181" s="178"/>
      <c r="C181" s="182"/>
      <c r="D181" s="183"/>
      <c r="E181" s="179">
        <f t="shared" si="52"/>
        <v>1387777971082.2671</v>
      </c>
      <c r="F181" s="183">
        <f t="shared" si="53"/>
        <v>68989171300.104736</v>
      </c>
      <c r="G181" s="247">
        <f t="shared" si="40"/>
        <v>5.5379143301518829E-2</v>
      </c>
      <c r="H181" s="246"/>
      <c r="I181" s="417"/>
      <c r="J181" s="178"/>
      <c r="K181" s="182"/>
      <c r="L181" s="183"/>
      <c r="M181" s="179">
        <f t="shared" si="41"/>
        <v>2128792606353.7737</v>
      </c>
      <c r="N181" s="183">
        <f t="shared" si="54"/>
        <v>125262631536.53638</v>
      </c>
      <c r="O181" s="247">
        <f t="shared" si="42"/>
        <v>8.4949259364984445E-2</v>
      </c>
      <c r="P181" s="246"/>
      <c r="Q181" s="417"/>
      <c r="R181" s="182"/>
      <c r="S181" s="178"/>
      <c r="T181" s="182"/>
      <c r="U181" s="178"/>
      <c r="V181" s="506"/>
      <c r="W181" s="259">
        <f>IF($W$135="Y",IFERROR(E181*($F$8/SUMIF($H$5:$H$16,"Y",$F$5:$F$16))*$F$21*'Emissions Factors'!$B57,""),"")</f>
        <v>37819034895.868965</v>
      </c>
      <c r="X181" s="259">
        <f>IF($X$135="Y",IFERROR($E181*(SUM($F$7,$F$5,$F$6)/SUMIF($H$5:$H$16,"Y",$F$5:$F$16))*('Emissions Factors'!$T$143*$F$22)/10^6,""),"")</f>
        <v>380963609875.54352</v>
      </c>
      <c r="Y181" s="180"/>
      <c r="Z181" s="180"/>
      <c r="AA181" s="509"/>
      <c r="AB181" s="180">
        <f t="shared" si="47"/>
        <v>418782644771.41248</v>
      </c>
      <c r="AC181" s="180">
        <f t="shared" si="48"/>
        <v>0</v>
      </c>
      <c r="AE181" s="182"/>
      <c r="AF181" s="178"/>
      <c r="AG181" s="182"/>
      <c r="AH181" s="178"/>
      <c r="AJ181" s="259">
        <f>IF($AJ$135="Y",IFERROR(M181*($F$8/SUMIF($H$5:$H$16,"Y",$F$5:$F$16))*$F$21*'Emissions Factors'!$B57,""),"")</f>
        <v>58012797106.856979</v>
      </c>
      <c r="AK181" s="259">
        <f>IF($AK$135="Y",IFERROR($M181*(SUM($F$7,$F$5,$F$6)/SUMIF($H$5:$H$16,"Y",$F$5:$F$16))*('Emissions Factors'!$T$143*$F$22)/10^6,""),"")</f>
        <v>584382035809.69287</v>
      </c>
      <c r="AL181" s="180"/>
      <c r="AM181" s="180"/>
      <c r="AO181" s="180">
        <f t="shared" si="49"/>
        <v>642394832916.5498</v>
      </c>
      <c r="AP181" s="180">
        <f t="shared" si="50"/>
        <v>0</v>
      </c>
      <c r="AT181" s="478">
        <v>2060</v>
      </c>
      <c r="AU181" s="479">
        <f t="shared" si="51"/>
        <v>1061177477687.9623</v>
      </c>
      <c r="AV181" s="479">
        <f t="shared" si="51"/>
        <v>0</v>
      </c>
      <c r="AW181" s="430"/>
      <c r="AX181" s="479">
        <f t="shared" si="43"/>
        <v>321197416458.2749</v>
      </c>
      <c r="AY181" s="479">
        <f t="shared" si="43"/>
        <v>0</v>
      </c>
      <c r="AZ181" s="430"/>
      <c r="BA181" s="479">
        <f t="shared" si="44"/>
        <v>739980061229.68738</v>
      </c>
      <c r="BB181" s="479">
        <f t="shared" si="44"/>
        <v>0</v>
      </c>
      <c r="BC181" s="516"/>
      <c r="BE181" s="480">
        <f t="shared" si="45"/>
        <v>0.30268020497201181</v>
      </c>
      <c r="BF181" s="480" t="str">
        <f t="shared" si="46"/>
        <v/>
      </c>
    </row>
    <row r="182" spans="1:58" x14ac:dyDescent="0.25">
      <c r="BA182" s="516"/>
    </row>
    <row r="183" spans="1:58" x14ac:dyDescent="0.25">
      <c r="BA183" s="516"/>
    </row>
    <row r="184" spans="1:58" x14ac:dyDescent="0.25">
      <c r="BA184" s="516"/>
    </row>
    <row r="185" spans="1:58" x14ac:dyDescent="0.25">
      <c r="BA185" s="516"/>
    </row>
    <row r="186" spans="1:58" x14ac:dyDescent="0.25">
      <c r="BA186" s="516"/>
    </row>
    <row r="187" spans="1:58" x14ac:dyDescent="0.25">
      <c r="BA187" s="516"/>
    </row>
    <row r="188" spans="1:58" x14ac:dyDescent="0.25">
      <c r="BA188" s="516"/>
    </row>
    <row r="189" spans="1:58" ht="13.5" customHeight="1" thickBot="1" x14ac:dyDescent="0.3">
      <c r="BC189" s="516"/>
    </row>
    <row r="190" spans="1:58" s="485" customFormat="1" ht="33" customHeight="1" thickBot="1" x14ac:dyDescent="0.35">
      <c r="A190" s="491"/>
      <c r="B190" s="660" t="s">
        <v>518</v>
      </c>
      <c r="C190" s="660"/>
      <c r="D190" s="660"/>
      <c r="E190" s="660"/>
      <c r="F190" s="660"/>
      <c r="G190" s="660"/>
      <c r="H190" s="660"/>
      <c r="I190" s="492"/>
      <c r="J190" s="492"/>
      <c r="K190" s="620" t="s">
        <v>519</v>
      </c>
      <c r="L190" s="621"/>
      <c r="M190" s="621"/>
      <c r="N190" s="621"/>
      <c r="O190" s="621"/>
      <c r="P190" s="621"/>
      <c r="Q190" s="621"/>
      <c r="R190" s="621"/>
      <c r="S190" s="621"/>
      <c r="T190" s="621"/>
      <c r="U190" s="621"/>
      <c r="V190" s="622"/>
      <c r="W190" s="491"/>
      <c r="X190" s="491"/>
      <c r="Y190" s="634" t="s">
        <v>520</v>
      </c>
      <c r="Z190" s="635"/>
      <c r="AA190" s="635"/>
      <c r="AB190" s="635"/>
      <c r="AC190" s="635"/>
      <c r="AD190" s="635"/>
      <c r="AE190" s="635"/>
      <c r="AF190" s="635"/>
      <c r="AG190" s="636"/>
      <c r="AH190" s="516"/>
      <c r="AI190" s="491"/>
      <c r="AJ190" s="491"/>
      <c r="AK190" s="491"/>
    </row>
    <row r="191" spans="1:58" s="413" customFormat="1" ht="67.5" customHeight="1" x14ac:dyDescent="0.25">
      <c r="A191" s="446"/>
      <c r="B191" s="661" t="s">
        <v>376</v>
      </c>
      <c r="C191" s="661"/>
      <c r="D191" s="661"/>
      <c r="E191" s="662" t="s">
        <v>375</v>
      </c>
      <c r="F191" s="662"/>
      <c r="G191" s="662"/>
      <c r="H191" s="662"/>
      <c r="I191" s="447"/>
      <c r="J191" s="447"/>
      <c r="K191" s="675" t="s">
        <v>377</v>
      </c>
      <c r="L191" s="676"/>
      <c r="M191" s="676"/>
      <c r="N191" s="677"/>
      <c r="O191" s="510"/>
      <c r="P191" s="678" t="s">
        <v>375</v>
      </c>
      <c r="Q191" s="679"/>
      <c r="R191" s="679"/>
      <c r="S191" s="680"/>
      <c r="T191" s="510"/>
      <c r="U191" s="683" t="s">
        <v>470</v>
      </c>
      <c r="V191" s="684"/>
      <c r="W191" s="445"/>
      <c r="X191" s="446"/>
      <c r="Y191" s="606" t="str">
        <f ca="1">CONCATENATE("Table 14(a): EMISSIONS ALLOCATION TO HEALTH &amp; EDUCATION in MDC, ",A1)</f>
        <v>Table 14(a): EMISSIONS ALLOCATION TO HEALTH &amp; EDUCATION in MDC, Passenger-km_cluster</v>
      </c>
      <c r="Z191" s="607"/>
      <c r="AA191" s="608"/>
      <c r="AB191" s="445"/>
      <c r="AC191" s="606" t="str">
        <f ca="1">CONCATENATE("Table 14(b): EMISSIONS ALLOCATION TO Education in MDC, ",A1)</f>
        <v>Table 14(b): EMISSIONS ALLOCATION TO Education in MDC, Passenger-km_cluster</v>
      </c>
      <c r="AD191" s="608"/>
      <c r="AE191" s="446"/>
      <c r="AF191" s="606" t="str">
        <f ca="1">CONCATENATE("Table 14(c): EMISSIONS ALLOCATION TO Family Planning in MDC, ",$A$1)</f>
        <v>Table 14(c): EMISSIONS ALLOCATION TO Family Planning in MDC, Passenger-km_cluster</v>
      </c>
      <c r="AG191" s="608"/>
      <c r="AH191" s="516"/>
      <c r="AI191" s="446"/>
      <c r="AJ191" s="612" t="s">
        <v>463</v>
      </c>
      <c r="AK191" s="613"/>
    </row>
    <row r="192" spans="1:58" ht="24.75" customHeight="1" x14ac:dyDescent="0.25">
      <c r="B192" s="453" t="s">
        <v>219</v>
      </c>
      <c r="C192" s="453" t="s">
        <v>220</v>
      </c>
      <c r="D192" s="453" t="s">
        <v>221</v>
      </c>
      <c r="E192" s="454" t="s">
        <v>222</v>
      </c>
      <c r="F192" s="454" t="s">
        <v>220</v>
      </c>
      <c r="G192" s="454" t="s">
        <v>248</v>
      </c>
      <c r="H192" s="454" t="s">
        <v>221</v>
      </c>
      <c r="I192" s="414"/>
      <c r="J192" s="414"/>
      <c r="K192" s="693" t="s">
        <v>223</v>
      </c>
      <c r="L192" s="694"/>
      <c r="M192" s="694"/>
      <c r="N192" s="695"/>
      <c r="O192" s="511"/>
      <c r="P192" s="696" t="s">
        <v>223</v>
      </c>
      <c r="Q192" s="697"/>
      <c r="R192" s="697"/>
      <c r="S192" s="698"/>
      <c r="T192" s="511"/>
      <c r="U192" s="681" t="s">
        <v>218</v>
      </c>
      <c r="V192" s="682"/>
      <c r="Y192" s="435"/>
      <c r="Z192" s="603"/>
      <c r="AA192" s="603"/>
      <c r="AC192" s="603"/>
      <c r="AD192" s="603"/>
      <c r="AF192" s="603"/>
      <c r="AG192" s="603"/>
      <c r="AH192" s="516"/>
      <c r="AJ192" s="602" t="s">
        <v>218</v>
      </c>
      <c r="AK192" s="602"/>
    </row>
    <row r="193" spans="1:37" ht="38.25" customHeight="1" x14ac:dyDescent="0.25">
      <c r="B193" s="453" t="s">
        <v>500</v>
      </c>
      <c r="C193" s="453" t="s">
        <v>500</v>
      </c>
      <c r="D193" s="453" t="s">
        <v>513</v>
      </c>
      <c r="E193" s="454" t="s">
        <v>500</v>
      </c>
      <c r="F193" s="454" t="s">
        <v>500</v>
      </c>
      <c r="G193" s="454" t="s">
        <v>249</v>
      </c>
      <c r="H193" s="454" t="s">
        <v>513</v>
      </c>
      <c r="I193" s="415"/>
      <c r="J193" s="415"/>
      <c r="K193" s="436" t="s">
        <v>224</v>
      </c>
      <c r="L193" s="436" t="s">
        <v>36</v>
      </c>
      <c r="M193" s="436" t="s">
        <v>225</v>
      </c>
      <c r="N193" s="436" t="s">
        <v>226</v>
      </c>
      <c r="O193" s="502"/>
      <c r="P193" s="437" t="s">
        <v>224</v>
      </c>
      <c r="Q193" s="437" t="s">
        <v>36</v>
      </c>
      <c r="R193" s="437" t="s">
        <v>225</v>
      </c>
      <c r="S193" s="437" t="s">
        <v>226</v>
      </c>
      <c r="T193" s="502"/>
      <c r="U193" s="438" t="s">
        <v>227</v>
      </c>
      <c r="V193" s="438" t="s">
        <v>228</v>
      </c>
      <c r="Y193" s="435"/>
      <c r="Z193" s="434" t="s">
        <v>227</v>
      </c>
      <c r="AA193" s="434" t="s">
        <v>228</v>
      </c>
      <c r="AC193" s="434" t="s">
        <v>227</v>
      </c>
      <c r="AD193" s="434" t="s">
        <v>228</v>
      </c>
      <c r="AF193" s="434" t="s">
        <v>227</v>
      </c>
      <c r="AG193" s="434" t="s">
        <v>228</v>
      </c>
      <c r="AH193" s="516"/>
      <c r="AJ193" s="481" t="s">
        <v>227</v>
      </c>
      <c r="AK193" s="481" t="s">
        <v>228</v>
      </c>
    </row>
    <row r="194" spans="1:37" ht="15.6" x14ac:dyDescent="0.3">
      <c r="A194" s="152">
        <v>2014</v>
      </c>
      <c r="B194" s="178"/>
      <c r="C194" s="182"/>
      <c r="D194" s="183"/>
      <c r="E194" s="179">
        <f>IFERROR(IF($G$19="Y",$F$19,$AD80)*(SUMIF($H$5:$H$16,"Y",$F$5:$F$16)*(AL29-B29)),0)</f>
        <v>0</v>
      </c>
      <c r="F194" s="183" t="str">
        <f>IFERROR(E194-E193,"")</f>
        <v/>
      </c>
      <c r="G194" s="247">
        <f>E194/(AL29-B29)</f>
        <v>0</v>
      </c>
      <c r="H194" s="245" t="s">
        <v>264</v>
      </c>
      <c r="I194" s="416"/>
      <c r="J194" s="416"/>
      <c r="K194" s="167" t="s">
        <v>213</v>
      </c>
      <c r="L194" s="167" t="s">
        <v>213</v>
      </c>
      <c r="M194" s="167" t="s">
        <v>211</v>
      </c>
      <c r="N194" s="167" t="s">
        <v>211</v>
      </c>
      <c r="O194" s="495"/>
      <c r="P194" s="167" t="s">
        <v>213</v>
      </c>
      <c r="Q194" s="167" t="s">
        <v>213</v>
      </c>
      <c r="R194" s="167" t="s">
        <v>211</v>
      </c>
      <c r="S194" s="167" t="s">
        <v>211</v>
      </c>
      <c r="T194" s="496"/>
      <c r="U194" s="496"/>
      <c r="V194" s="496"/>
      <c r="Y194" s="478">
        <v>2014</v>
      </c>
      <c r="Z194" s="479">
        <f>U194</f>
        <v>0</v>
      </c>
      <c r="AA194" s="479">
        <f>V194</f>
        <v>0</v>
      </c>
      <c r="AB194" s="430"/>
      <c r="AC194" s="512"/>
      <c r="AD194" s="479"/>
      <c r="AE194" s="430"/>
      <c r="AF194" s="479">
        <f>Z194-AC194</f>
        <v>0</v>
      </c>
      <c r="AG194" s="479">
        <f t="shared" ref="AG194:AG240" si="55">AA194-AD194</f>
        <v>0</v>
      </c>
      <c r="AH194" s="516"/>
      <c r="AJ194" s="480" t="str">
        <f t="shared" ref="AJ194:AJ240" si="56">IFERROR(AC194/Z194,"")</f>
        <v/>
      </c>
      <c r="AK194" s="480" t="str">
        <f t="shared" ref="AK194:AK240" si="57">IFERROR(AG194/(AD194+AG194),"")</f>
        <v/>
      </c>
    </row>
    <row r="195" spans="1:37" ht="15.6" x14ac:dyDescent="0.3">
      <c r="A195" s="152">
        <v>2015</v>
      </c>
      <c r="B195" s="178"/>
      <c r="C195" s="182"/>
      <c r="D195" s="183"/>
      <c r="E195" s="179">
        <f t="shared" ref="E195:E240" si="58">IFERROR(IF($G$19="Y",$F$19,$AD81)*(SUMIF($H$5:$H$16,"Y",$F$5:$F$16)*(AL30-B30)),0)</f>
        <v>0</v>
      </c>
      <c r="F195" s="183">
        <f>IFERROR(E195-E194,"")</f>
        <v>0</v>
      </c>
      <c r="G195" s="247">
        <f t="shared" ref="G195:G240" si="59">E195/(AL30-B30)</f>
        <v>0</v>
      </c>
      <c r="H195" s="246"/>
      <c r="I195" s="417"/>
      <c r="J195" s="417"/>
      <c r="K195" s="439"/>
      <c r="L195" s="440"/>
      <c r="M195" s="439"/>
      <c r="N195" s="440"/>
      <c r="O195" s="495"/>
      <c r="P195" s="259">
        <f>IF(P$194="Y",IFERROR(E195*($F$8/SUMIF($H$5:$H$16,"Y",$F$5:$F$16))*$F$21*'Emissions Factors'!$B12,""),"")</f>
        <v>0</v>
      </c>
      <c r="Q195" s="259">
        <f>IF($X$135="Y",IFERROR($E195*(SUM($F$7,$F$5,$F$6)/SUMIF($H$5:$H$16,"Y",$F$5:$F$16))*('Emissions Factors'!$T$143*$F$22)/10^6,""),"")</f>
        <v>0</v>
      </c>
      <c r="R195" s="441"/>
      <c r="S195" s="441"/>
      <c r="T195" s="496"/>
      <c r="U195" s="441">
        <f>SUM(P195:S195)</f>
        <v>0</v>
      </c>
      <c r="V195" s="441">
        <f t="shared" ref="V195:V240" si="60">SUM(K195:N195)</f>
        <v>0</v>
      </c>
      <c r="Y195" s="478">
        <v>2015</v>
      </c>
      <c r="Z195" s="479">
        <f t="shared" ref="Z195:AA240" si="61">U195</f>
        <v>0</v>
      </c>
      <c r="AA195" s="479">
        <f t="shared" si="61"/>
        <v>0</v>
      </c>
      <c r="AB195" s="430"/>
      <c r="AC195" s="479"/>
      <c r="AD195" s="479"/>
      <c r="AE195" s="430"/>
      <c r="AF195" s="479">
        <f t="shared" ref="AF195:AF240" si="62">Z195-AC195</f>
        <v>0</v>
      </c>
      <c r="AG195" s="479">
        <f t="shared" si="55"/>
        <v>0</v>
      </c>
      <c r="AH195" s="516"/>
      <c r="AJ195" s="480" t="str">
        <f t="shared" si="56"/>
        <v/>
      </c>
      <c r="AK195" s="480" t="str">
        <f t="shared" si="57"/>
        <v/>
      </c>
    </row>
    <row r="196" spans="1:37" ht="15.6" x14ac:dyDescent="0.3">
      <c r="A196" s="152">
        <v>2016</v>
      </c>
      <c r="B196" s="178"/>
      <c r="C196" s="182"/>
      <c r="D196" s="183"/>
      <c r="E196" s="179">
        <f t="shared" si="58"/>
        <v>0</v>
      </c>
      <c r="F196" s="183">
        <f t="shared" ref="F196" si="63">IFERROR(E196-E195,"")</f>
        <v>0</v>
      </c>
      <c r="G196" s="247">
        <f t="shared" si="59"/>
        <v>0</v>
      </c>
      <c r="H196" s="246"/>
      <c r="I196" s="417"/>
      <c r="J196" s="417"/>
      <c r="K196" s="439"/>
      <c r="L196" s="440"/>
      <c r="M196" s="439"/>
      <c r="N196" s="440"/>
      <c r="O196" s="495"/>
      <c r="P196" s="259">
        <f>IF(P$194="Y",IFERROR(E196*($F$8/SUMIF($H$5:$H$16,"Y",$F$5:$F$16))*$F$21*'Emissions Factors'!$B13,""),"")</f>
        <v>0</v>
      </c>
      <c r="Q196" s="259">
        <f>IF($X$135="Y",IFERROR($E196*(SUM($F$7,$F$5,$F$6)/SUMIF($H$5:$H$16,"Y",$F$5:$F$16))*('Emissions Factors'!$T$143*$F$22)/10^6,""),"")</f>
        <v>0</v>
      </c>
      <c r="R196" s="441"/>
      <c r="S196" s="441"/>
      <c r="T196" s="496"/>
      <c r="U196" s="441">
        <f t="shared" ref="U196:U240" si="64">SUM(P196:S196)</f>
        <v>0</v>
      </c>
      <c r="V196" s="441">
        <f t="shared" si="60"/>
        <v>0</v>
      </c>
      <c r="Y196" s="478">
        <v>2016</v>
      </c>
      <c r="Z196" s="479">
        <f t="shared" si="61"/>
        <v>0</v>
      </c>
      <c r="AA196" s="479">
        <f t="shared" si="61"/>
        <v>0</v>
      </c>
      <c r="AB196" s="430"/>
      <c r="AC196" s="479"/>
      <c r="AD196" s="479"/>
      <c r="AE196" s="430"/>
      <c r="AF196" s="479">
        <f t="shared" si="62"/>
        <v>0</v>
      </c>
      <c r="AG196" s="479">
        <f t="shared" si="55"/>
        <v>0</v>
      </c>
      <c r="AH196" s="516"/>
      <c r="AJ196" s="480" t="str">
        <f t="shared" si="56"/>
        <v/>
      </c>
      <c r="AK196" s="480" t="str">
        <f t="shared" si="57"/>
        <v/>
      </c>
    </row>
    <row r="197" spans="1:37" ht="15.6" x14ac:dyDescent="0.3">
      <c r="A197" s="152">
        <v>2017</v>
      </c>
      <c r="B197" s="178"/>
      <c r="C197" s="182"/>
      <c r="D197" s="183"/>
      <c r="E197" s="179">
        <f t="shared" si="58"/>
        <v>0</v>
      </c>
      <c r="F197" s="183">
        <f>IFERROR(E197-E196,"")</f>
        <v>0</v>
      </c>
      <c r="G197" s="247">
        <f t="shared" si="59"/>
        <v>0</v>
      </c>
      <c r="H197" s="246"/>
      <c r="I197" s="417"/>
      <c r="J197" s="417"/>
      <c r="K197" s="439"/>
      <c r="L197" s="440"/>
      <c r="M197" s="439"/>
      <c r="N197" s="440"/>
      <c r="O197" s="495"/>
      <c r="P197" s="259">
        <f>IF(P$194="Y",IFERROR(E197*($F$8/SUMIF($H$5:$H$16,"Y",$F$5:$F$16))*$F$21*'Emissions Factors'!$B14,""),"")</f>
        <v>0</v>
      </c>
      <c r="Q197" s="259">
        <f>IF($X$135="Y",IFERROR($E197*(SUM($F$7,$F$5,$F$6)/SUMIF($H$5:$H$16,"Y",$F$5:$F$16))*('Emissions Factors'!$T$143*$F$22)/10^6,""),"")</f>
        <v>0</v>
      </c>
      <c r="R197" s="441"/>
      <c r="S197" s="441"/>
      <c r="T197" s="496"/>
      <c r="U197" s="441">
        <f t="shared" si="64"/>
        <v>0</v>
      </c>
      <c r="V197" s="441">
        <f t="shared" si="60"/>
        <v>0</v>
      </c>
      <c r="Y197" s="478">
        <v>2017</v>
      </c>
      <c r="Z197" s="479">
        <f t="shared" si="61"/>
        <v>0</v>
      </c>
      <c r="AA197" s="479">
        <f t="shared" si="61"/>
        <v>0</v>
      </c>
      <c r="AB197" s="430"/>
      <c r="AC197" s="479"/>
      <c r="AD197" s="479"/>
      <c r="AE197" s="430"/>
      <c r="AF197" s="479">
        <f t="shared" si="62"/>
        <v>0</v>
      </c>
      <c r="AG197" s="479">
        <f t="shared" si="55"/>
        <v>0</v>
      </c>
      <c r="AH197" s="516"/>
      <c r="AJ197" s="480" t="str">
        <f t="shared" si="56"/>
        <v/>
      </c>
      <c r="AK197" s="480" t="str">
        <f t="shared" si="57"/>
        <v/>
      </c>
    </row>
    <row r="198" spans="1:37" ht="15.6" x14ac:dyDescent="0.3">
      <c r="A198" s="152">
        <v>2018</v>
      </c>
      <c r="B198" s="178"/>
      <c r="C198" s="182"/>
      <c r="D198" s="183"/>
      <c r="E198" s="179">
        <f t="shared" si="58"/>
        <v>0</v>
      </c>
      <c r="F198" s="183">
        <f t="shared" ref="F198:F240" si="65">IFERROR(E198-E197,"")</f>
        <v>0</v>
      </c>
      <c r="G198" s="247">
        <f t="shared" si="59"/>
        <v>0</v>
      </c>
      <c r="H198" s="246"/>
      <c r="I198" s="417"/>
      <c r="J198" s="417"/>
      <c r="K198" s="439"/>
      <c r="L198" s="440"/>
      <c r="M198" s="439"/>
      <c r="N198" s="440"/>
      <c r="O198" s="495"/>
      <c r="P198" s="259">
        <f>IF(P$194="Y",IFERROR(E198*($F$8/SUMIF($H$5:$H$16,"Y",$F$5:$F$16))*$F$21*'Emissions Factors'!$B15,""),"")</f>
        <v>0</v>
      </c>
      <c r="Q198" s="259">
        <f>IF($X$135="Y",IFERROR($E198*(SUM($F$7,$F$5,$F$6)/SUMIF($H$5:$H$16,"Y",$F$5:$F$16))*('Emissions Factors'!$T$143*$F$22)/10^6,""),"")</f>
        <v>0</v>
      </c>
      <c r="R198" s="441"/>
      <c r="S198" s="441"/>
      <c r="T198" s="496"/>
      <c r="U198" s="441">
        <f t="shared" si="64"/>
        <v>0</v>
      </c>
      <c r="V198" s="441">
        <f t="shared" si="60"/>
        <v>0</v>
      </c>
      <c r="Y198" s="478">
        <v>2018</v>
      </c>
      <c r="Z198" s="479">
        <f t="shared" si="61"/>
        <v>0</v>
      </c>
      <c r="AA198" s="479">
        <f t="shared" si="61"/>
        <v>0</v>
      </c>
      <c r="AB198" s="430"/>
      <c r="AC198" s="479"/>
      <c r="AD198" s="479"/>
      <c r="AE198" s="430"/>
      <c r="AF198" s="479">
        <f t="shared" si="62"/>
        <v>0</v>
      </c>
      <c r="AG198" s="479">
        <f t="shared" si="55"/>
        <v>0</v>
      </c>
      <c r="AH198" s="516"/>
      <c r="AJ198" s="480" t="str">
        <f t="shared" si="56"/>
        <v/>
      </c>
      <c r="AK198" s="480" t="str">
        <f t="shared" si="57"/>
        <v/>
      </c>
    </row>
    <row r="199" spans="1:37" ht="15.6" x14ac:dyDescent="0.3">
      <c r="A199" s="152">
        <v>2019</v>
      </c>
      <c r="B199" s="178"/>
      <c r="C199" s="182"/>
      <c r="D199" s="183"/>
      <c r="E199" s="179">
        <f t="shared" si="58"/>
        <v>0</v>
      </c>
      <c r="F199" s="183">
        <f t="shared" si="65"/>
        <v>0</v>
      </c>
      <c r="G199" s="247">
        <f t="shared" si="59"/>
        <v>0</v>
      </c>
      <c r="H199" s="246"/>
      <c r="I199" s="417"/>
      <c r="J199" s="417"/>
      <c r="K199" s="439"/>
      <c r="L199" s="440"/>
      <c r="M199" s="439"/>
      <c r="N199" s="440"/>
      <c r="O199" s="495"/>
      <c r="P199" s="259">
        <f>IF(P$194="Y",IFERROR(E199*($F$8/SUMIF($H$5:$H$16,"Y",$F$5:$F$16))*$F$21*'Emissions Factors'!$B16,""),"")</f>
        <v>0</v>
      </c>
      <c r="Q199" s="259">
        <f>IF($X$135="Y",IFERROR($E199*(SUM($F$7,$F$5,$F$6)/SUMIF($H$5:$H$16,"Y",$F$5:$F$16))*('Emissions Factors'!$T$143*$F$22)/10^6,""),"")</f>
        <v>0</v>
      </c>
      <c r="R199" s="441"/>
      <c r="S199" s="441"/>
      <c r="T199" s="496"/>
      <c r="U199" s="441">
        <f t="shared" si="64"/>
        <v>0</v>
      </c>
      <c r="V199" s="441">
        <f t="shared" si="60"/>
        <v>0</v>
      </c>
      <c r="Y199" s="478">
        <v>2019</v>
      </c>
      <c r="Z199" s="479">
        <f t="shared" si="61"/>
        <v>0</v>
      </c>
      <c r="AA199" s="479">
        <f t="shared" si="61"/>
        <v>0</v>
      </c>
      <c r="AB199" s="430"/>
      <c r="AC199" s="479"/>
      <c r="AD199" s="479"/>
      <c r="AE199" s="430"/>
      <c r="AF199" s="479">
        <f t="shared" si="62"/>
        <v>0</v>
      </c>
      <c r="AG199" s="479">
        <f t="shared" si="55"/>
        <v>0</v>
      </c>
      <c r="AH199" s="516"/>
      <c r="AJ199" s="480" t="str">
        <f t="shared" si="56"/>
        <v/>
      </c>
      <c r="AK199" s="480" t="str">
        <f t="shared" si="57"/>
        <v/>
      </c>
    </row>
    <row r="200" spans="1:37" ht="15.6" x14ac:dyDescent="0.3">
      <c r="A200" s="152">
        <v>2020</v>
      </c>
      <c r="B200" s="178"/>
      <c r="C200" s="182"/>
      <c r="D200" s="183"/>
      <c r="E200" s="179">
        <f t="shared" si="58"/>
        <v>0</v>
      </c>
      <c r="F200" s="183">
        <f t="shared" si="65"/>
        <v>0</v>
      </c>
      <c r="G200" s="247">
        <f t="shared" si="59"/>
        <v>0</v>
      </c>
      <c r="H200" s="246"/>
      <c r="I200" s="417"/>
      <c r="J200" s="417"/>
      <c r="K200" s="439"/>
      <c r="L200" s="440"/>
      <c r="M200" s="439"/>
      <c r="N200" s="440"/>
      <c r="O200" s="495"/>
      <c r="P200" s="259">
        <f>IF(P$194="Y",IFERROR(E200*($F$8/SUMIF($H$5:$H$16,"Y",$F$5:$F$16))*$F$21*'Emissions Factors'!$B17,""),"")</f>
        <v>0</v>
      </c>
      <c r="Q200" s="259">
        <f>IF($X$135="Y",IFERROR($E200*(SUM($F$7,$F$5,$F$6)/SUMIF($H$5:$H$16,"Y",$F$5:$F$16))*('Emissions Factors'!$T$143*$F$22)/10^6,""),"")</f>
        <v>0</v>
      </c>
      <c r="R200" s="441"/>
      <c r="S200" s="441"/>
      <c r="T200" s="496"/>
      <c r="U200" s="441">
        <f t="shared" si="64"/>
        <v>0</v>
      </c>
      <c r="V200" s="441">
        <f t="shared" si="60"/>
        <v>0</v>
      </c>
      <c r="X200" s="430"/>
      <c r="Y200" s="478">
        <v>2020</v>
      </c>
      <c r="Z200" s="479">
        <f t="shared" si="61"/>
        <v>0</v>
      </c>
      <c r="AA200" s="479">
        <f t="shared" si="61"/>
        <v>0</v>
      </c>
      <c r="AB200" s="430"/>
      <c r="AC200" s="479"/>
      <c r="AD200" s="479"/>
      <c r="AE200" s="430"/>
      <c r="AF200" s="479">
        <f t="shared" si="62"/>
        <v>0</v>
      </c>
      <c r="AG200" s="479">
        <f t="shared" si="55"/>
        <v>0</v>
      </c>
      <c r="AH200" s="516"/>
      <c r="AJ200" s="480" t="str">
        <f t="shared" si="56"/>
        <v/>
      </c>
      <c r="AK200" s="480" t="str">
        <f t="shared" si="57"/>
        <v/>
      </c>
    </row>
    <row r="201" spans="1:37" ht="15.6" x14ac:dyDescent="0.3">
      <c r="A201" s="152">
        <v>2021</v>
      </c>
      <c r="B201" s="178"/>
      <c r="C201" s="182"/>
      <c r="D201" s="183"/>
      <c r="E201" s="179">
        <f t="shared" si="58"/>
        <v>36031551498.442833</v>
      </c>
      <c r="F201" s="183">
        <f t="shared" si="65"/>
        <v>36031551498.442833</v>
      </c>
      <c r="G201" s="247">
        <f t="shared" si="59"/>
        <v>0.42276304111462787</v>
      </c>
      <c r="H201" s="246"/>
      <c r="I201" s="417"/>
      <c r="J201" s="417"/>
      <c r="K201" s="439"/>
      <c r="L201" s="440"/>
      <c r="M201" s="439"/>
      <c r="N201" s="440"/>
      <c r="O201" s="495"/>
      <c r="P201" s="259">
        <f>IF(P$194="Y",IFERROR(E201*($F$8/SUMIF($H$5:$H$16,"Y",$F$5:$F$16))*$F$21*'Emissions Factors'!$B18,""),"")</f>
        <v>1198066274.8931563</v>
      </c>
      <c r="Q201" s="259">
        <f>IF($X$135="Y",IFERROR($E201*(SUM($F$7,$F$5,$F$6)/SUMIF($H$5:$H$16,"Y",$F$5:$F$16))*('Emissions Factors'!$T$143*$F$22)/10^6,""),"")</f>
        <v>9891142685.856638</v>
      </c>
      <c r="R201" s="441"/>
      <c r="S201" s="441"/>
      <c r="T201" s="496"/>
      <c r="U201" s="441">
        <f t="shared" si="64"/>
        <v>11089208960.749794</v>
      </c>
      <c r="V201" s="441">
        <f t="shared" si="60"/>
        <v>0</v>
      </c>
      <c r="X201" s="430"/>
      <c r="Y201" s="478">
        <v>2021</v>
      </c>
      <c r="Z201" s="479">
        <f t="shared" si="61"/>
        <v>11089208960.749794</v>
      </c>
      <c r="AA201" s="479">
        <f t="shared" si="61"/>
        <v>0</v>
      </c>
      <c r="AB201" s="430"/>
      <c r="AC201" s="479"/>
      <c r="AD201" s="479"/>
      <c r="AE201" s="430"/>
      <c r="AF201" s="479">
        <f t="shared" si="62"/>
        <v>11089208960.749794</v>
      </c>
      <c r="AG201" s="479">
        <f t="shared" si="55"/>
        <v>0</v>
      </c>
      <c r="AH201" s="516"/>
      <c r="AJ201" s="480">
        <f t="shared" si="56"/>
        <v>0</v>
      </c>
      <c r="AK201" s="480" t="str">
        <f t="shared" si="57"/>
        <v/>
      </c>
    </row>
    <row r="202" spans="1:37" ht="15.6" x14ac:dyDescent="0.3">
      <c r="A202" s="152">
        <v>2022</v>
      </c>
      <c r="B202" s="178"/>
      <c r="C202" s="182"/>
      <c r="D202" s="183"/>
      <c r="E202" s="179">
        <f t="shared" si="58"/>
        <v>81844902597.112808</v>
      </c>
      <c r="F202" s="183">
        <f t="shared" si="65"/>
        <v>45813351098.669975</v>
      </c>
      <c r="G202" s="247">
        <f t="shared" si="59"/>
        <v>0.41695140966850275</v>
      </c>
      <c r="H202" s="246"/>
      <c r="I202" s="417"/>
      <c r="J202" s="417"/>
      <c r="K202" s="182"/>
      <c r="L202" s="178"/>
      <c r="M202" s="182"/>
      <c r="N202" s="178"/>
      <c r="O202" s="495"/>
      <c r="P202" s="259">
        <f>IF(P$194="Y",IFERROR(E202*($F$8/SUMIF($H$5:$H$16,"Y",$F$5:$F$16))*$F$21*'Emissions Factors'!$B19,""),"")</f>
        <v>2705201953.5929103</v>
      </c>
      <c r="Q202" s="259">
        <f>IF($X$135="Y",IFERROR($E202*(SUM($F$7,$F$5,$F$6)/SUMIF($H$5:$H$16,"Y",$F$5:$F$16))*('Emissions Factors'!$T$143*$F$22)/10^6,""),"")</f>
        <v>22467520160.298035</v>
      </c>
      <c r="R202" s="180"/>
      <c r="S202" s="180"/>
      <c r="T202" s="496"/>
      <c r="U202" s="180">
        <f t="shared" si="64"/>
        <v>25172722113.890945</v>
      </c>
      <c r="V202" s="180">
        <f t="shared" si="60"/>
        <v>0</v>
      </c>
      <c r="X202" s="430"/>
      <c r="Y202" s="478">
        <v>2022</v>
      </c>
      <c r="Z202" s="479">
        <f t="shared" si="61"/>
        <v>25172722113.890945</v>
      </c>
      <c r="AA202" s="479">
        <f t="shared" si="61"/>
        <v>0</v>
      </c>
      <c r="AB202" s="430"/>
      <c r="AC202" s="479"/>
      <c r="AD202" s="479"/>
      <c r="AE202" s="430"/>
      <c r="AF202" s="479">
        <f t="shared" si="62"/>
        <v>25172722113.890945</v>
      </c>
      <c r="AG202" s="479">
        <f t="shared" si="55"/>
        <v>0</v>
      </c>
      <c r="AH202" s="516"/>
      <c r="AJ202" s="480">
        <f t="shared" si="56"/>
        <v>0</v>
      </c>
      <c r="AK202" s="480" t="str">
        <f t="shared" si="57"/>
        <v/>
      </c>
    </row>
    <row r="203" spans="1:37" ht="15.6" x14ac:dyDescent="0.3">
      <c r="A203" s="152">
        <v>2023</v>
      </c>
      <c r="B203" s="178"/>
      <c r="C203" s="182"/>
      <c r="D203" s="183"/>
      <c r="E203" s="179">
        <f t="shared" si="58"/>
        <v>137133778883.49974</v>
      </c>
      <c r="F203" s="183">
        <f t="shared" si="65"/>
        <v>55288876286.386932</v>
      </c>
      <c r="G203" s="247">
        <f t="shared" si="59"/>
        <v>0.4138043453930963</v>
      </c>
      <c r="H203" s="246"/>
      <c r="I203" s="417"/>
      <c r="J203" s="417"/>
      <c r="K203" s="182"/>
      <c r="L203" s="178"/>
      <c r="M203" s="182"/>
      <c r="N203" s="178"/>
      <c r="O203" s="495"/>
      <c r="P203" s="259">
        <f>IF(P$194="Y",IFERROR(E203*($F$8/SUMIF($H$5:$H$16,"Y",$F$5:$F$16))*$F$21*'Emissions Factors'!$B20,""),"")</f>
        <v>4506195144.4978762</v>
      </c>
      <c r="Q203" s="259">
        <f>IF($X$135="Y",IFERROR($E203*(SUM($F$7,$F$5,$F$6)/SUMIF($H$5:$H$16,"Y",$F$5:$F$16))*('Emissions Factors'!$T$143*$F$22)/10^6,""),"")</f>
        <v>37645056001.710876</v>
      </c>
      <c r="R203" s="180"/>
      <c r="S203" s="180"/>
      <c r="T203" s="496"/>
      <c r="U203" s="180">
        <f t="shared" si="64"/>
        <v>42151251146.208755</v>
      </c>
      <c r="V203" s="180">
        <f t="shared" si="60"/>
        <v>0</v>
      </c>
      <c r="X203" s="430"/>
      <c r="Y203" s="478">
        <v>2023</v>
      </c>
      <c r="Z203" s="479">
        <f t="shared" si="61"/>
        <v>42151251146.208755</v>
      </c>
      <c r="AA203" s="479">
        <f t="shared" si="61"/>
        <v>0</v>
      </c>
      <c r="AB203" s="430"/>
      <c r="AC203" s="479"/>
      <c r="AD203" s="479"/>
      <c r="AE203" s="430"/>
      <c r="AF203" s="479">
        <f t="shared" si="62"/>
        <v>42151251146.208755</v>
      </c>
      <c r="AG203" s="479">
        <f t="shared" si="55"/>
        <v>0</v>
      </c>
      <c r="AH203" s="516"/>
      <c r="AJ203" s="480">
        <f t="shared" si="56"/>
        <v>0</v>
      </c>
      <c r="AK203" s="480" t="str">
        <f t="shared" si="57"/>
        <v/>
      </c>
    </row>
    <row r="204" spans="1:37" ht="15.6" x14ac:dyDescent="0.3">
      <c r="A204" s="152">
        <v>2024</v>
      </c>
      <c r="B204" s="178"/>
      <c r="C204" s="182"/>
      <c r="D204" s="183"/>
      <c r="E204" s="179">
        <f t="shared" si="58"/>
        <v>202067157238.70032</v>
      </c>
      <c r="F204" s="183">
        <f t="shared" si="65"/>
        <v>64933378355.200577</v>
      </c>
      <c r="G204" s="247">
        <f t="shared" si="59"/>
        <v>0.41224130001758752</v>
      </c>
      <c r="H204" s="246"/>
      <c r="I204" s="417"/>
      <c r="J204" s="417"/>
      <c r="K204" s="182"/>
      <c r="L204" s="178"/>
      <c r="M204" s="182"/>
      <c r="N204" s="178"/>
      <c r="O204" s="495"/>
      <c r="P204" s="259">
        <f>IF(P$194="Y",IFERROR(E204*($F$8/SUMIF($H$5:$H$16,"Y",$F$5:$F$16))*$F$21*'Emissions Factors'!$B21,""),"")</f>
        <v>6601782172.5942869</v>
      </c>
      <c r="Q204" s="259">
        <f>IF($X$135="Y",IFERROR($E204*(SUM($F$7,$F$5,$F$6)/SUMIF($H$5:$H$16,"Y",$F$5:$F$16))*('Emissions Factors'!$T$143*$F$22)/10^6,""),"")</f>
        <v>55470136623.447647</v>
      </c>
      <c r="R204" s="180"/>
      <c r="S204" s="180"/>
      <c r="T204" s="496"/>
      <c r="U204" s="180">
        <f t="shared" si="64"/>
        <v>62071918796.041931</v>
      </c>
      <c r="V204" s="180">
        <f t="shared" si="60"/>
        <v>0</v>
      </c>
      <c r="X204" s="430"/>
      <c r="Y204" s="478">
        <v>2024</v>
      </c>
      <c r="Z204" s="479">
        <f t="shared" si="61"/>
        <v>62071918796.041931</v>
      </c>
      <c r="AA204" s="479">
        <f t="shared" si="61"/>
        <v>0</v>
      </c>
      <c r="AB204" s="430"/>
      <c r="AC204" s="479"/>
      <c r="AD204" s="479"/>
      <c r="AE204" s="430"/>
      <c r="AF204" s="479">
        <f>Z204-AC204</f>
        <v>62071918796.041931</v>
      </c>
      <c r="AG204" s="479">
        <f t="shared" si="55"/>
        <v>0</v>
      </c>
      <c r="AH204" s="516"/>
      <c r="AJ204" s="480">
        <f t="shared" si="56"/>
        <v>0</v>
      </c>
      <c r="AK204" s="480" t="str">
        <f t="shared" si="57"/>
        <v/>
      </c>
    </row>
    <row r="205" spans="1:37" ht="15.6" x14ac:dyDescent="0.3">
      <c r="A205" s="152">
        <v>2025</v>
      </c>
      <c r="B205" s="178"/>
      <c r="C205" s="182"/>
      <c r="D205" s="183"/>
      <c r="E205" s="179">
        <f t="shared" si="58"/>
        <v>276784171410.15399</v>
      </c>
      <c r="F205" s="183">
        <f t="shared" si="65"/>
        <v>74717014171.453674</v>
      </c>
      <c r="G205" s="247">
        <f t="shared" si="59"/>
        <v>0.41138658471803802</v>
      </c>
      <c r="H205" s="246"/>
      <c r="I205" s="417"/>
      <c r="J205" s="417"/>
      <c r="K205" s="182"/>
      <c r="L205" s="178"/>
      <c r="M205" s="182"/>
      <c r="N205" s="178"/>
      <c r="O205" s="495"/>
      <c r="P205" s="259">
        <f>IF(P$194="Y",IFERROR(E205*($F$8/SUMIF($H$5:$H$16,"Y",$F$5:$F$16))*$F$21*'Emissions Factors'!$B22,""),"")</f>
        <v>8996881279.0390968</v>
      </c>
      <c r="Q205" s="259">
        <f>IF($X$135="Y",IFERROR($E205*(SUM($F$7,$F$5,$F$6)/SUMIF($H$5:$H$16,"Y",$F$5:$F$16))*('Emissions Factors'!$T$143*$F$22)/10^6,""),"")</f>
        <v>75980956099.62146</v>
      </c>
      <c r="R205" s="180"/>
      <c r="S205" s="180"/>
      <c r="T205" s="496"/>
      <c r="U205" s="180">
        <f t="shared" si="64"/>
        <v>84977837378.660553</v>
      </c>
      <c r="V205" s="180">
        <f t="shared" si="60"/>
        <v>0</v>
      </c>
      <c r="X205" s="430"/>
      <c r="Y205" s="478">
        <v>2025</v>
      </c>
      <c r="Z205" s="479">
        <f t="shared" si="61"/>
        <v>84977837378.660553</v>
      </c>
      <c r="AA205" s="479">
        <f t="shared" si="61"/>
        <v>0</v>
      </c>
      <c r="AB205" s="430"/>
      <c r="AC205" s="479"/>
      <c r="AD205" s="479"/>
      <c r="AE205" s="430"/>
      <c r="AF205" s="479">
        <f t="shared" si="62"/>
        <v>84977837378.660553</v>
      </c>
      <c r="AG205" s="479">
        <f t="shared" si="55"/>
        <v>0</v>
      </c>
      <c r="AH205" s="516"/>
      <c r="AJ205" s="480">
        <f t="shared" si="56"/>
        <v>0</v>
      </c>
      <c r="AK205" s="480" t="str">
        <f t="shared" si="57"/>
        <v/>
      </c>
    </row>
    <row r="206" spans="1:37" ht="15.6" x14ac:dyDescent="0.3">
      <c r="A206" s="152">
        <v>2026</v>
      </c>
      <c r="B206" s="178"/>
      <c r="C206" s="182"/>
      <c r="D206" s="183"/>
      <c r="E206" s="179">
        <f t="shared" si="58"/>
        <v>361964917877.36609</v>
      </c>
      <c r="F206" s="183">
        <f t="shared" si="65"/>
        <v>85180746467.212097</v>
      </c>
      <c r="G206" s="247">
        <f t="shared" si="59"/>
        <v>0.41213422270964367</v>
      </c>
      <c r="H206" s="246"/>
      <c r="I206" s="417"/>
      <c r="J206" s="417"/>
      <c r="K206" s="182"/>
      <c r="L206" s="178"/>
      <c r="M206" s="182"/>
      <c r="N206" s="178"/>
      <c r="O206" s="495"/>
      <c r="P206" s="259">
        <f>IF(P$194="Y",IFERROR(E206*($F$8/SUMIF($H$5:$H$16,"Y",$F$5:$F$16))*$F$21*'Emissions Factors'!$B23,""),"")</f>
        <v>11693392692.985958</v>
      </c>
      <c r="Q206" s="259">
        <f>IF($X$135="Y",IFERROR($E206*(SUM($F$7,$F$5,$F$6)/SUMIF($H$5:$H$16,"Y",$F$5:$F$16))*('Emissions Factors'!$T$143*$F$22)/10^6,""),"")</f>
        <v>99364210007.835342</v>
      </c>
      <c r="R206" s="180"/>
      <c r="S206" s="180"/>
      <c r="T206" s="496"/>
      <c r="U206" s="180">
        <f t="shared" si="64"/>
        <v>111057602700.8213</v>
      </c>
      <c r="V206" s="180">
        <f t="shared" si="60"/>
        <v>0</v>
      </c>
      <c r="X206" s="430"/>
      <c r="Y206" s="478">
        <v>2026</v>
      </c>
      <c r="Z206" s="479">
        <f t="shared" si="61"/>
        <v>111057602700.8213</v>
      </c>
      <c r="AA206" s="479">
        <f t="shared" si="61"/>
        <v>0</v>
      </c>
      <c r="AB206" s="430"/>
      <c r="AC206" s="479"/>
      <c r="AD206" s="479"/>
      <c r="AE206" s="430"/>
      <c r="AF206" s="479">
        <f t="shared" si="62"/>
        <v>111057602700.8213</v>
      </c>
      <c r="AG206" s="479">
        <f t="shared" si="55"/>
        <v>0</v>
      </c>
      <c r="AH206" s="516"/>
      <c r="AJ206" s="480">
        <f t="shared" si="56"/>
        <v>0</v>
      </c>
      <c r="AK206" s="480" t="str">
        <f t="shared" si="57"/>
        <v/>
      </c>
    </row>
    <row r="207" spans="1:37" ht="15.6" x14ac:dyDescent="0.3">
      <c r="A207" s="152">
        <v>2027</v>
      </c>
      <c r="B207" s="178"/>
      <c r="C207" s="182"/>
      <c r="D207" s="183"/>
      <c r="E207" s="179">
        <f>IFERROR(IF($G$19="Y",$F$19,$AD93)*(SUMIF($H$5:$H$16,"Y",$F$5:$F$16)*(AL42-B42)),0)</f>
        <v>457491227925.38666</v>
      </c>
      <c r="F207" s="183">
        <f t="shared" si="65"/>
        <v>95526310048.020569</v>
      </c>
      <c r="G207" s="247">
        <f t="shared" si="59"/>
        <v>0.41318971879342842</v>
      </c>
      <c r="H207" s="246"/>
      <c r="I207" s="417"/>
      <c r="J207" s="417"/>
      <c r="K207" s="182"/>
      <c r="L207" s="178"/>
      <c r="M207" s="182"/>
      <c r="N207" s="178"/>
      <c r="O207" s="495"/>
      <c r="P207" s="259">
        <f>IF(P$194="Y",IFERROR(E207*($F$8/SUMIF($H$5:$H$16,"Y",$F$5:$F$16))*$F$21*'Emissions Factors'!$B24,""),"")</f>
        <v>14697951540.994741</v>
      </c>
      <c r="Q207" s="259">
        <f>IF($X$135="Y",IFERROR($E207*(SUM($F$7,$F$5,$F$6)/SUMIF($H$5:$H$16,"Y",$F$5:$F$16))*('Emissions Factors'!$T$143*$F$22)/10^6,""),"")</f>
        <v>125587459455.73065</v>
      </c>
      <c r="R207" s="180"/>
      <c r="S207" s="180"/>
      <c r="T207" s="496"/>
      <c r="U207" s="180">
        <f t="shared" si="64"/>
        <v>140285410996.7254</v>
      </c>
      <c r="V207" s="180">
        <f t="shared" si="60"/>
        <v>0</v>
      </c>
      <c r="X207" s="430"/>
      <c r="Y207" s="478">
        <v>2027</v>
      </c>
      <c r="Z207" s="479">
        <f t="shared" si="61"/>
        <v>140285410996.7254</v>
      </c>
      <c r="AA207" s="479">
        <f t="shared" si="61"/>
        <v>0</v>
      </c>
      <c r="AB207" s="430"/>
      <c r="AC207" s="479"/>
      <c r="AD207" s="479"/>
      <c r="AE207" s="430"/>
      <c r="AF207" s="479">
        <f t="shared" si="62"/>
        <v>140285410996.7254</v>
      </c>
      <c r="AG207" s="479">
        <f t="shared" si="55"/>
        <v>0</v>
      </c>
      <c r="AH207" s="516"/>
      <c r="AJ207" s="480">
        <f t="shared" si="56"/>
        <v>0</v>
      </c>
      <c r="AK207" s="480" t="str">
        <f t="shared" si="57"/>
        <v/>
      </c>
    </row>
    <row r="208" spans="1:37" ht="15.6" x14ac:dyDescent="0.3">
      <c r="A208" s="152">
        <v>2028</v>
      </c>
      <c r="B208" s="178"/>
      <c r="C208" s="182"/>
      <c r="D208" s="183"/>
      <c r="E208" s="179">
        <f>IFERROR(IF($G$19="Y",$F$19,$AD94)*(SUMIF($H$5:$H$16,"Y",$F$5:$F$16)*(AL43-B43)),0)</f>
        <v>563933399644.47351</v>
      </c>
      <c r="F208" s="183">
        <f t="shared" si="65"/>
        <v>106442171719.08685</v>
      </c>
      <c r="G208" s="247">
        <f t="shared" si="59"/>
        <v>0.41465513975278873</v>
      </c>
      <c r="H208" s="246"/>
      <c r="I208" s="417"/>
      <c r="J208" s="417"/>
      <c r="K208" s="182"/>
      <c r="L208" s="178"/>
      <c r="M208" s="182"/>
      <c r="N208" s="178"/>
      <c r="O208" s="495"/>
      <c r="P208" s="259">
        <f>IF(P$194="Y",IFERROR(E208*($F$8/SUMIF($H$5:$H$16,"Y",$F$5:$F$16))*$F$21*'Emissions Factors'!$B25,""),"")</f>
        <v>18018839260.202126</v>
      </c>
      <c r="Q208" s="259">
        <f>IF($X$135="Y",IFERROR($E208*(SUM($F$7,$F$5,$F$6)/SUMIF($H$5:$H$16,"Y",$F$5:$F$16))*('Emissions Factors'!$T$143*$F$22)/10^6,""),"")</f>
        <v>154807258894.88168</v>
      </c>
      <c r="R208" s="180"/>
      <c r="S208" s="180"/>
      <c r="T208" s="496"/>
      <c r="U208" s="180">
        <f t="shared" si="64"/>
        <v>172826098155.0838</v>
      </c>
      <c r="V208" s="180">
        <f t="shared" si="60"/>
        <v>0</v>
      </c>
      <c r="X208" s="430"/>
      <c r="Y208" s="478">
        <v>2028</v>
      </c>
      <c r="Z208" s="479">
        <f t="shared" si="61"/>
        <v>172826098155.0838</v>
      </c>
      <c r="AA208" s="479">
        <f t="shared" si="61"/>
        <v>0</v>
      </c>
      <c r="AB208" s="430"/>
      <c r="AC208" s="479"/>
      <c r="AD208" s="479"/>
      <c r="AE208" s="430"/>
      <c r="AF208" s="479">
        <f t="shared" si="62"/>
        <v>172826098155.0838</v>
      </c>
      <c r="AG208" s="479">
        <f t="shared" si="55"/>
        <v>0</v>
      </c>
      <c r="AH208" s="516"/>
      <c r="AJ208" s="480">
        <f t="shared" si="56"/>
        <v>0</v>
      </c>
      <c r="AK208" s="480" t="str">
        <f t="shared" si="57"/>
        <v/>
      </c>
    </row>
    <row r="209" spans="1:37" ht="15.6" x14ac:dyDescent="0.3">
      <c r="A209" s="152">
        <v>2029</v>
      </c>
      <c r="B209" s="178"/>
      <c r="C209" s="182"/>
      <c r="D209" s="183"/>
      <c r="E209" s="179">
        <f t="shared" si="58"/>
        <v>681763326106.07104</v>
      </c>
      <c r="F209" s="183">
        <f t="shared" si="65"/>
        <v>117829926461.59753</v>
      </c>
      <c r="G209" s="247">
        <f t="shared" si="59"/>
        <v>0.41632945671886884</v>
      </c>
      <c r="H209" s="246"/>
      <c r="I209" s="417"/>
      <c r="J209" s="417"/>
      <c r="K209" s="182"/>
      <c r="L209" s="178"/>
      <c r="M209" s="182"/>
      <c r="N209" s="178"/>
      <c r="O209" s="495"/>
      <c r="P209" s="259">
        <f>IF(P$194="Y",IFERROR(E209*($F$8/SUMIF($H$5:$H$16,"Y",$F$5:$F$16))*$F$21*'Emissions Factors'!$B26,""),"")</f>
        <v>21665995224.260803</v>
      </c>
      <c r="Q209" s="259">
        <f>IF($X$135="Y",IFERROR($E209*(SUM($F$7,$F$5,$F$6)/SUMIF($H$5:$H$16,"Y",$F$5:$F$16))*('Emissions Factors'!$T$143*$F$22)/10^6,""),"")</f>
        <v>187153149283.36591</v>
      </c>
      <c r="R209" s="180"/>
      <c r="S209" s="180"/>
      <c r="T209" s="496"/>
      <c r="U209" s="180">
        <f t="shared" si="64"/>
        <v>208819144507.62671</v>
      </c>
      <c r="V209" s="180">
        <f t="shared" si="60"/>
        <v>0</v>
      </c>
      <c r="X209" s="430"/>
      <c r="Y209" s="478">
        <v>2029</v>
      </c>
      <c r="Z209" s="479">
        <f t="shared" si="61"/>
        <v>208819144507.62671</v>
      </c>
      <c r="AA209" s="479">
        <f t="shared" si="61"/>
        <v>0</v>
      </c>
      <c r="AB209" s="430"/>
      <c r="AC209" s="479"/>
      <c r="AD209" s="479"/>
      <c r="AE209" s="430"/>
      <c r="AF209" s="479">
        <f t="shared" si="62"/>
        <v>208819144507.62671</v>
      </c>
      <c r="AG209" s="479">
        <f t="shared" si="55"/>
        <v>0</v>
      </c>
      <c r="AH209" s="516"/>
      <c r="AJ209" s="480">
        <f t="shared" si="56"/>
        <v>0</v>
      </c>
      <c r="AK209" s="480" t="str">
        <f t="shared" si="57"/>
        <v/>
      </c>
    </row>
    <row r="210" spans="1:37" ht="15.6" x14ac:dyDescent="0.3">
      <c r="A210" s="152">
        <v>2030</v>
      </c>
      <c r="B210" s="178"/>
      <c r="C210" s="182"/>
      <c r="D210" s="183"/>
      <c r="E210" s="179">
        <f t="shared" si="58"/>
        <v>811270765034.0116</v>
      </c>
      <c r="F210" s="183">
        <f t="shared" si="65"/>
        <v>129507438927.94055</v>
      </c>
      <c r="G210" s="247">
        <f t="shared" si="59"/>
        <v>0.4178833771181642</v>
      </c>
      <c r="H210" s="246"/>
      <c r="I210" s="417"/>
      <c r="J210" s="417"/>
      <c r="K210" s="182"/>
      <c r="L210" s="178"/>
      <c r="M210" s="182"/>
      <c r="N210" s="178"/>
      <c r="O210" s="495"/>
      <c r="P210" s="259">
        <f>IF(P$194="Y",IFERROR(E210*($F$8/SUMIF($H$5:$H$16,"Y",$F$5:$F$16))*$F$21*'Emissions Factors'!$B27,""),"")</f>
        <v>25649294012.985214</v>
      </c>
      <c r="Q210" s="259">
        <f>IF($X$135="Y",IFERROR($E210*(SUM($F$7,$F$5,$F$6)/SUMIF($H$5:$H$16,"Y",$F$5:$F$16))*('Emissions Factors'!$T$143*$F$22)/10^6,""),"")</f>
        <v>222704672990.89996</v>
      </c>
      <c r="R210" s="180"/>
      <c r="S210" s="180"/>
      <c r="T210" s="496"/>
      <c r="U210" s="180">
        <f t="shared" si="64"/>
        <v>248353967003.88519</v>
      </c>
      <c r="V210" s="180">
        <f t="shared" si="60"/>
        <v>0</v>
      </c>
      <c r="X210" s="430"/>
      <c r="Y210" s="478">
        <v>2030</v>
      </c>
      <c r="Z210" s="479">
        <f t="shared" si="61"/>
        <v>248353967003.88519</v>
      </c>
      <c r="AA210" s="479">
        <f t="shared" si="61"/>
        <v>0</v>
      </c>
      <c r="AB210" s="430"/>
      <c r="AC210" s="479"/>
      <c r="AD210" s="479"/>
      <c r="AE210" s="430"/>
      <c r="AF210" s="479">
        <f t="shared" si="62"/>
        <v>248353967003.88519</v>
      </c>
      <c r="AG210" s="479">
        <f t="shared" si="55"/>
        <v>0</v>
      </c>
      <c r="AH210" s="516"/>
      <c r="AJ210" s="480">
        <f t="shared" si="56"/>
        <v>0</v>
      </c>
      <c r="AK210" s="480" t="str">
        <f t="shared" si="57"/>
        <v/>
      </c>
    </row>
    <row r="211" spans="1:37" ht="15.6" x14ac:dyDescent="0.3">
      <c r="A211" s="152">
        <v>2031</v>
      </c>
      <c r="B211" s="178"/>
      <c r="C211" s="182"/>
      <c r="D211" s="183"/>
      <c r="E211" s="179">
        <f t="shared" si="58"/>
        <v>953707819887.05164</v>
      </c>
      <c r="F211" s="183">
        <f t="shared" si="65"/>
        <v>142437054853.04004</v>
      </c>
      <c r="G211" s="247">
        <f t="shared" si="59"/>
        <v>0.42001406691402415</v>
      </c>
      <c r="H211" s="246"/>
      <c r="I211" s="417"/>
      <c r="J211" s="417"/>
      <c r="K211" s="182"/>
      <c r="L211" s="178"/>
      <c r="M211" s="182"/>
      <c r="N211" s="178"/>
      <c r="O211" s="495"/>
      <c r="P211" s="259">
        <f>IF(P$194="Y",IFERROR(E211*($F$8/SUMIF($H$5:$H$16,"Y",$F$5:$F$16))*$F$21*'Emissions Factors'!$B28,""),"")</f>
        <v>29984764386.71595</v>
      </c>
      <c r="Q211" s="259">
        <f>IF($X$135="Y",IFERROR($E211*(SUM($F$7,$F$5,$F$6)/SUMIF($H$5:$H$16,"Y",$F$5:$F$16))*('Emissions Factors'!$T$143*$F$22)/10^6,""),"")</f>
        <v>261805549159.54047</v>
      </c>
      <c r="R211" s="180"/>
      <c r="S211" s="180"/>
      <c r="T211" s="496"/>
      <c r="U211" s="180">
        <f t="shared" si="64"/>
        <v>291790313546.25641</v>
      </c>
      <c r="V211" s="180">
        <f t="shared" si="60"/>
        <v>0</v>
      </c>
      <c r="X211" s="430"/>
      <c r="Y211" s="478">
        <v>2031</v>
      </c>
      <c r="Z211" s="479">
        <f t="shared" si="61"/>
        <v>291790313546.25641</v>
      </c>
      <c r="AA211" s="479">
        <f t="shared" si="61"/>
        <v>0</v>
      </c>
      <c r="AB211" s="430"/>
      <c r="AC211" s="479"/>
      <c r="AD211" s="479"/>
      <c r="AE211" s="430"/>
      <c r="AF211" s="479">
        <f t="shared" si="62"/>
        <v>291790313546.25641</v>
      </c>
      <c r="AG211" s="479">
        <f t="shared" si="55"/>
        <v>0</v>
      </c>
      <c r="AH211" s="516"/>
      <c r="AJ211" s="480">
        <f t="shared" si="56"/>
        <v>0</v>
      </c>
      <c r="AK211" s="480" t="str">
        <f t="shared" si="57"/>
        <v/>
      </c>
    </row>
    <row r="212" spans="1:37" ht="15.6" x14ac:dyDescent="0.3">
      <c r="A212" s="152">
        <v>2032</v>
      </c>
      <c r="B212" s="178"/>
      <c r="C212" s="182"/>
      <c r="D212" s="183"/>
      <c r="E212" s="179">
        <f t="shared" si="58"/>
        <v>1108334591321.3552</v>
      </c>
      <c r="F212" s="183">
        <f t="shared" si="65"/>
        <v>154626771434.30359</v>
      </c>
      <c r="G212" s="247">
        <f t="shared" si="59"/>
        <v>0.42204561469386875</v>
      </c>
      <c r="H212" s="246"/>
      <c r="I212" s="417"/>
      <c r="J212" s="417"/>
      <c r="K212" s="182"/>
      <c r="L212" s="178"/>
      <c r="M212" s="182"/>
      <c r="N212" s="178"/>
      <c r="O212" s="495"/>
      <c r="P212" s="259">
        <f>IF(P$194="Y",IFERROR(E212*($F$8/SUMIF($H$5:$H$16,"Y",$F$5:$F$16))*$F$21*'Emissions Factors'!$B29,""),"")</f>
        <v>34661178362.383408</v>
      </c>
      <c r="Q212" s="259">
        <f>IF($X$135="Y",IFERROR($E212*(SUM($F$7,$F$5,$F$6)/SUMIF($H$5:$H$16,"Y",$F$5:$F$16))*('Emissions Factors'!$T$143*$F$22)/10^6,""),"")</f>
        <v>304252665525.76569</v>
      </c>
      <c r="R212" s="180"/>
      <c r="S212" s="180"/>
      <c r="T212" s="496"/>
      <c r="U212" s="180">
        <f t="shared" si="64"/>
        <v>338913843888.14911</v>
      </c>
      <c r="V212" s="180">
        <f t="shared" si="60"/>
        <v>0</v>
      </c>
      <c r="X212" s="430"/>
      <c r="Y212" s="478">
        <v>2032</v>
      </c>
      <c r="Z212" s="479">
        <f t="shared" si="61"/>
        <v>338913843888.14911</v>
      </c>
      <c r="AA212" s="479">
        <f t="shared" si="61"/>
        <v>0</v>
      </c>
      <c r="AB212" s="430"/>
      <c r="AC212" s="479"/>
      <c r="AD212" s="479"/>
      <c r="AE212" s="430"/>
      <c r="AF212" s="479">
        <f t="shared" si="62"/>
        <v>338913843888.14911</v>
      </c>
      <c r="AG212" s="479">
        <f t="shared" si="55"/>
        <v>0</v>
      </c>
      <c r="AH212" s="516"/>
      <c r="AJ212" s="480">
        <f t="shared" si="56"/>
        <v>0</v>
      </c>
      <c r="AK212" s="480" t="str">
        <f t="shared" si="57"/>
        <v/>
      </c>
    </row>
    <row r="213" spans="1:37" ht="15.6" x14ac:dyDescent="0.3">
      <c r="A213" s="152">
        <v>2033</v>
      </c>
      <c r="B213" s="178"/>
      <c r="C213" s="182"/>
      <c r="D213" s="183"/>
      <c r="E213" s="179">
        <f t="shared" si="58"/>
        <v>1274357035035.6392</v>
      </c>
      <c r="F213" s="183">
        <f t="shared" si="65"/>
        <v>166022443714.28394</v>
      </c>
      <c r="G213" s="247">
        <f t="shared" si="59"/>
        <v>0.42420604569974113</v>
      </c>
      <c r="H213" s="246"/>
      <c r="I213" s="417"/>
      <c r="J213" s="417"/>
      <c r="K213" s="182"/>
      <c r="L213" s="178"/>
      <c r="M213" s="182"/>
      <c r="N213" s="178"/>
      <c r="O213" s="495"/>
      <c r="P213" s="259">
        <f>IF(P$194="Y",IFERROR(E213*($F$8/SUMIF($H$5:$H$16,"Y",$F$5:$F$16))*$F$21*'Emissions Factors'!$B30,""),"")</f>
        <v>39642172938.993027</v>
      </c>
      <c r="Q213" s="259">
        <f>IF($X$135="Y",IFERROR($E213*(SUM($F$7,$F$5,$F$6)/SUMIF($H$5:$H$16,"Y",$F$5:$F$16))*('Emissions Factors'!$T$143*$F$22)/10^6,""),"")</f>
        <v>349828046311.22955</v>
      </c>
      <c r="R213" s="180"/>
      <c r="S213" s="180"/>
      <c r="T213" s="496"/>
      <c r="U213" s="180">
        <f t="shared" si="64"/>
        <v>389470219250.2226</v>
      </c>
      <c r="V213" s="180">
        <f t="shared" si="60"/>
        <v>0</v>
      </c>
      <c r="X213" s="430"/>
      <c r="Y213" s="478">
        <v>2033</v>
      </c>
      <c r="Z213" s="479">
        <f t="shared" si="61"/>
        <v>389470219250.2226</v>
      </c>
      <c r="AA213" s="479">
        <f t="shared" si="61"/>
        <v>0</v>
      </c>
      <c r="AB213" s="430"/>
      <c r="AC213" s="479"/>
      <c r="AD213" s="479"/>
      <c r="AE213" s="430"/>
      <c r="AF213" s="479">
        <f t="shared" si="62"/>
        <v>389470219250.2226</v>
      </c>
      <c r="AG213" s="479">
        <f t="shared" si="55"/>
        <v>0</v>
      </c>
      <c r="AH213" s="516"/>
      <c r="AJ213" s="480">
        <f t="shared" si="56"/>
        <v>0</v>
      </c>
      <c r="AK213" s="480" t="str">
        <f t="shared" si="57"/>
        <v/>
      </c>
    </row>
    <row r="214" spans="1:37" ht="15.6" x14ac:dyDescent="0.3">
      <c r="A214" s="152">
        <v>2034</v>
      </c>
      <c r="B214" s="178"/>
      <c r="C214" s="182"/>
      <c r="D214" s="183"/>
      <c r="E214" s="179">
        <f t="shared" si="58"/>
        <v>1450107793947.2126</v>
      </c>
      <c r="F214" s="183">
        <f t="shared" si="65"/>
        <v>175750758911.57349</v>
      </c>
      <c r="G214" s="247">
        <f t="shared" si="59"/>
        <v>0.42648821160521677</v>
      </c>
      <c r="H214" s="246"/>
      <c r="I214" s="417"/>
      <c r="J214" s="417"/>
      <c r="K214" s="182"/>
      <c r="L214" s="178"/>
      <c r="M214" s="182"/>
      <c r="N214" s="178"/>
      <c r="O214" s="495"/>
      <c r="P214" s="259">
        <f>IF(P$194="Y",IFERROR(E214*($F$8/SUMIF($H$5:$H$16,"Y",$F$5:$F$16))*$F$21*'Emissions Factors'!$B31,""),"")</f>
        <v>44870815662.227905</v>
      </c>
      <c r="Q214" s="259">
        <f>IF($X$135="Y",IFERROR($E214*(SUM($F$7,$F$5,$F$6)/SUMIF($H$5:$H$16,"Y",$F$5:$F$16))*('Emissions Factors'!$T$143*$F$22)/10^6,""),"")</f>
        <v>398073979701.49976</v>
      </c>
      <c r="R214" s="180"/>
      <c r="S214" s="180"/>
      <c r="T214" s="496"/>
      <c r="U214" s="180">
        <f t="shared" si="64"/>
        <v>442944795363.72766</v>
      </c>
      <c r="V214" s="180">
        <f t="shared" si="60"/>
        <v>0</v>
      </c>
      <c r="X214" s="430"/>
      <c r="Y214" s="478">
        <v>2034</v>
      </c>
      <c r="Z214" s="479">
        <f t="shared" si="61"/>
        <v>442944795363.72766</v>
      </c>
      <c r="AA214" s="479">
        <f t="shared" si="61"/>
        <v>0</v>
      </c>
      <c r="AB214" s="430"/>
      <c r="AC214" s="479"/>
      <c r="AD214" s="479"/>
      <c r="AE214" s="430"/>
      <c r="AF214" s="479">
        <f t="shared" si="62"/>
        <v>442944795363.72766</v>
      </c>
      <c r="AG214" s="479">
        <f t="shared" si="55"/>
        <v>0</v>
      </c>
      <c r="AH214" s="516"/>
      <c r="AJ214" s="480">
        <f t="shared" si="56"/>
        <v>0</v>
      </c>
      <c r="AK214" s="480" t="str">
        <f t="shared" si="57"/>
        <v/>
      </c>
    </row>
    <row r="215" spans="1:37" ht="15.6" x14ac:dyDescent="0.3">
      <c r="A215" s="152">
        <v>2035</v>
      </c>
      <c r="B215" s="178"/>
      <c r="C215" s="182"/>
      <c r="D215" s="183"/>
      <c r="E215" s="179">
        <f t="shared" si="58"/>
        <v>1632400623268.0625</v>
      </c>
      <c r="F215" s="183">
        <f t="shared" si="65"/>
        <v>182292829320.84985</v>
      </c>
      <c r="G215" s="247">
        <f t="shared" si="59"/>
        <v>0.42899095157298689</v>
      </c>
      <c r="H215" s="246"/>
      <c r="I215" s="417"/>
      <c r="J215" s="417"/>
      <c r="K215" s="182"/>
      <c r="L215" s="178"/>
      <c r="M215" s="182"/>
      <c r="N215" s="178"/>
      <c r="O215" s="495"/>
      <c r="P215" s="259">
        <f>IF(P$194="Y",IFERROR(E215*($F$8/SUMIF($H$5:$H$16,"Y",$F$5:$F$16))*$F$21*'Emissions Factors'!$B32,""),"")</f>
        <v>50237088636.113266</v>
      </c>
      <c r="Q215" s="259">
        <f>IF($X$135="Y",IFERROR($E215*(SUM($F$7,$F$5,$F$6)/SUMIF($H$5:$H$16,"Y",$F$5:$F$16))*('Emissions Factors'!$T$143*$F$22)/10^6,""),"")</f>
        <v>448115798897.07227</v>
      </c>
      <c r="R215" s="180"/>
      <c r="S215" s="180"/>
      <c r="T215" s="496"/>
      <c r="U215" s="180">
        <f t="shared" si="64"/>
        <v>498352887533.18555</v>
      </c>
      <c r="V215" s="180">
        <f t="shared" si="60"/>
        <v>0</v>
      </c>
      <c r="X215" s="430"/>
      <c r="Y215" s="478">
        <v>2035</v>
      </c>
      <c r="Z215" s="479">
        <f t="shared" si="61"/>
        <v>498352887533.18555</v>
      </c>
      <c r="AA215" s="479">
        <f t="shared" si="61"/>
        <v>0</v>
      </c>
      <c r="AB215" s="430"/>
      <c r="AC215" s="479"/>
      <c r="AD215" s="479"/>
      <c r="AE215" s="430"/>
      <c r="AF215" s="479">
        <f t="shared" si="62"/>
        <v>498352887533.18555</v>
      </c>
      <c r="AG215" s="479">
        <f t="shared" si="55"/>
        <v>0</v>
      </c>
      <c r="AH215" s="516"/>
      <c r="AJ215" s="480">
        <f t="shared" si="56"/>
        <v>0</v>
      </c>
      <c r="AK215" s="480" t="str">
        <f t="shared" si="57"/>
        <v/>
      </c>
    </row>
    <row r="216" spans="1:37" ht="15.6" x14ac:dyDescent="0.3">
      <c r="A216" s="152">
        <v>2036</v>
      </c>
      <c r="B216" s="178"/>
      <c r="C216" s="182"/>
      <c r="D216" s="183"/>
      <c r="E216" s="179">
        <f t="shared" si="58"/>
        <v>1826552189394.7507</v>
      </c>
      <c r="F216" s="183">
        <f t="shared" si="65"/>
        <v>194151566126.68823</v>
      </c>
      <c r="G216" s="247">
        <f t="shared" si="59"/>
        <v>0.43132228705839115</v>
      </c>
      <c r="H216" s="246"/>
      <c r="I216" s="417"/>
      <c r="J216" s="417"/>
      <c r="K216" s="182"/>
      <c r="L216" s="178"/>
      <c r="M216" s="182"/>
      <c r="N216" s="178"/>
      <c r="O216" s="495"/>
      <c r="P216" s="259">
        <f>IF(P$194="Y",IFERROR(E216*($F$8/SUMIF($H$5:$H$16,"Y",$F$5:$F$16))*$F$21*'Emissions Factors'!$B33,""),"")</f>
        <v>55920927148.730736</v>
      </c>
      <c r="Q216" s="259">
        <f>IF($X$135="Y",IFERROR($E216*(SUM($F$7,$F$5,$F$6)/SUMIF($H$5:$H$16,"Y",$F$5:$F$16))*('Emissions Factors'!$T$143*$F$22)/10^6,""),"")</f>
        <v>501412999916.14575</v>
      </c>
      <c r="R216" s="180"/>
      <c r="S216" s="180"/>
      <c r="T216" s="496"/>
      <c r="U216" s="180">
        <f t="shared" si="64"/>
        <v>557333927064.87646</v>
      </c>
      <c r="V216" s="180">
        <f t="shared" si="60"/>
        <v>0</v>
      </c>
      <c r="X216" s="430"/>
      <c r="Y216" s="478">
        <v>2036</v>
      </c>
      <c r="Z216" s="479">
        <f t="shared" si="61"/>
        <v>557333927064.87646</v>
      </c>
      <c r="AA216" s="479">
        <f t="shared" si="61"/>
        <v>0</v>
      </c>
      <c r="AB216" s="430"/>
      <c r="AC216" s="479"/>
      <c r="AD216" s="479"/>
      <c r="AE216" s="430"/>
      <c r="AF216" s="479">
        <f t="shared" si="62"/>
        <v>557333927064.87646</v>
      </c>
      <c r="AG216" s="479">
        <f t="shared" si="55"/>
        <v>0</v>
      </c>
      <c r="AH216" s="516"/>
      <c r="AJ216" s="480">
        <f t="shared" si="56"/>
        <v>0</v>
      </c>
      <c r="AK216" s="480" t="str">
        <f t="shared" si="57"/>
        <v/>
      </c>
    </row>
    <row r="217" spans="1:37" ht="15.6" x14ac:dyDescent="0.3">
      <c r="A217" s="152">
        <v>2037</v>
      </c>
      <c r="B217" s="178"/>
      <c r="C217" s="182"/>
      <c r="D217" s="183"/>
      <c r="E217" s="179">
        <f t="shared" si="58"/>
        <v>2027323246179.6465</v>
      </c>
      <c r="F217" s="183">
        <f t="shared" si="65"/>
        <v>200771056784.89575</v>
      </c>
      <c r="G217" s="247">
        <f t="shared" si="59"/>
        <v>0.43380798217914512</v>
      </c>
      <c r="H217" s="246"/>
      <c r="I217" s="417"/>
      <c r="J217" s="417"/>
      <c r="K217" s="182"/>
      <c r="L217" s="178"/>
      <c r="M217" s="182"/>
      <c r="N217" s="178"/>
      <c r="O217" s="495"/>
      <c r="P217" s="259">
        <f>IF(P$194="Y",IFERROR(E217*($F$8/SUMIF($H$5:$H$16,"Y",$F$5:$F$16))*$F$21*'Emissions Factors'!$B34,""),"")</f>
        <v>61736697266.931343</v>
      </c>
      <c r="Q217" s="259">
        <f>IF($X$135="Y",IFERROR($E217*(SUM($F$7,$F$5,$F$6)/SUMIF($H$5:$H$16,"Y",$F$5:$F$16))*('Emissions Factors'!$T$143*$F$22)/10^6,""),"")</f>
        <v>556527339634.08582</v>
      </c>
      <c r="R217" s="180"/>
      <c r="S217" s="180"/>
      <c r="T217" s="496"/>
      <c r="U217" s="180">
        <f t="shared" si="64"/>
        <v>618264036901.01721</v>
      </c>
      <c r="V217" s="180">
        <f t="shared" si="60"/>
        <v>0</v>
      </c>
      <c r="X217" s="430"/>
      <c r="Y217" s="478">
        <v>2037</v>
      </c>
      <c r="Z217" s="479">
        <f t="shared" si="61"/>
        <v>618264036901.01721</v>
      </c>
      <c r="AA217" s="479">
        <f t="shared" si="61"/>
        <v>0</v>
      </c>
      <c r="AB217" s="430"/>
      <c r="AC217" s="479"/>
      <c r="AD217" s="479"/>
      <c r="AE217" s="430"/>
      <c r="AF217" s="479">
        <f t="shared" si="62"/>
        <v>618264036901.01721</v>
      </c>
      <c r="AG217" s="479">
        <f t="shared" si="55"/>
        <v>0</v>
      </c>
      <c r="AH217" s="516"/>
      <c r="AJ217" s="480">
        <f t="shared" si="56"/>
        <v>0</v>
      </c>
      <c r="AK217" s="480" t="str">
        <f t="shared" si="57"/>
        <v/>
      </c>
    </row>
    <row r="218" spans="1:37" ht="15.6" x14ac:dyDescent="0.3">
      <c r="A218" s="152">
        <v>2038</v>
      </c>
      <c r="B218" s="178"/>
      <c r="C218" s="182"/>
      <c r="D218" s="183"/>
      <c r="E218" s="179">
        <f t="shared" si="58"/>
        <v>2237675003158.7441</v>
      </c>
      <c r="F218" s="183">
        <f t="shared" si="65"/>
        <v>210351756979.09766</v>
      </c>
      <c r="G218" s="247">
        <f t="shared" si="59"/>
        <v>0.43630713095590351</v>
      </c>
      <c r="H218" s="246"/>
      <c r="I218" s="417"/>
      <c r="J218" s="417"/>
      <c r="K218" s="182"/>
      <c r="L218" s="178"/>
      <c r="M218" s="182"/>
      <c r="N218" s="178"/>
      <c r="O218" s="495"/>
      <c r="P218" s="259">
        <f>IF(P$194="Y",IFERROR(E218*($F$8/SUMIF($H$5:$H$16,"Y",$F$5:$F$16))*$F$21*'Emissions Factors'!$B35,""),"")</f>
        <v>67777460631.780106</v>
      </c>
      <c r="Q218" s="259">
        <f>IF($X$135="Y",IFERROR($E218*(SUM($F$7,$F$5,$F$6)/SUMIF($H$5:$H$16,"Y",$F$5:$F$16))*('Emissions Factors'!$T$143*$F$22)/10^6,""),"")</f>
        <v>614271709664.6355</v>
      </c>
      <c r="R218" s="180"/>
      <c r="S218" s="180"/>
      <c r="T218" s="496"/>
      <c r="U218" s="180">
        <f t="shared" si="64"/>
        <v>682049170296.41565</v>
      </c>
      <c r="V218" s="180">
        <f t="shared" si="60"/>
        <v>0</v>
      </c>
      <c r="X218" s="430"/>
      <c r="Y218" s="478">
        <v>2038</v>
      </c>
      <c r="Z218" s="479">
        <f t="shared" si="61"/>
        <v>682049170296.41565</v>
      </c>
      <c r="AA218" s="479">
        <f t="shared" si="61"/>
        <v>0</v>
      </c>
      <c r="AB218" s="430"/>
      <c r="AC218" s="479"/>
      <c r="AD218" s="479"/>
      <c r="AE218" s="430"/>
      <c r="AF218" s="479">
        <f t="shared" si="62"/>
        <v>682049170296.41565</v>
      </c>
      <c r="AG218" s="479">
        <f t="shared" si="55"/>
        <v>0</v>
      </c>
      <c r="AH218" s="516"/>
      <c r="AJ218" s="480">
        <f t="shared" si="56"/>
        <v>0</v>
      </c>
      <c r="AK218" s="480" t="str">
        <f t="shared" si="57"/>
        <v/>
      </c>
    </row>
    <row r="219" spans="1:37" ht="15.6" x14ac:dyDescent="0.3">
      <c r="A219" s="152">
        <v>2039</v>
      </c>
      <c r="B219" s="178"/>
      <c r="C219" s="182"/>
      <c r="D219" s="183"/>
      <c r="E219" s="179">
        <f t="shared" si="58"/>
        <v>2459304498713.2202</v>
      </c>
      <c r="F219" s="183">
        <f t="shared" si="65"/>
        <v>221629495554.47607</v>
      </c>
      <c r="G219" s="247">
        <f t="shared" si="59"/>
        <v>0.43880275299269894</v>
      </c>
      <c r="H219" s="246"/>
      <c r="I219" s="417"/>
      <c r="J219" s="417"/>
      <c r="K219" s="182"/>
      <c r="L219" s="178"/>
      <c r="M219" s="182"/>
      <c r="N219" s="178"/>
      <c r="O219" s="495"/>
      <c r="P219" s="259">
        <f>IF(P$194="Y",IFERROR(E219*($F$8/SUMIF($H$5:$H$16,"Y",$F$5:$F$16))*$F$21*'Emissions Factors'!$B36,""),"")</f>
        <v>74087379074.217117</v>
      </c>
      <c r="Q219" s="259">
        <f>IF($X$135="Y",IFERROR($E219*(SUM($F$7,$F$5,$F$6)/SUMIF($H$5:$H$16,"Y",$F$5:$F$16))*('Emissions Factors'!$T$143*$F$22)/10^6,""),"")</f>
        <v>675111969735.54846</v>
      </c>
      <c r="R219" s="180"/>
      <c r="S219" s="180"/>
      <c r="T219" s="496"/>
      <c r="U219" s="180">
        <f t="shared" si="64"/>
        <v>749199348809.76563</v>
      </c>
      <c r="V219" s="180">
        <f t="shared" si="60"/>
        <v>0</v>
      </c>
      <c r="X219" s="430"/>
      <c r="Y219" s="478">
        <v>2039</v>
      </c>
      <c r="Z219" s="479">
        <f t="shared" si="61"/>
        <v>749199348809.76563</v>
      </c>
      <c r="AA219" s="479">
        <f t="shared" si="61"/>
        <v>0</v>
      </c>
      <c r="AB219" s="430"/>
      <c r="AC219" s="479"/>
      <c r="AD219" s="479"/>
      <c r="AE219" s="430"/>
      <c r="AF219" s="479">
        <f t="shared" si="62"/>
        <v>749199348809.76563</v>
      </c>
      <c r="AG219" s="479">
        <f t="shared" si="55"/>
        <v>0</v>
      </c>
      <c r="AH219" s="516"/>
      <c r="AJ219" s="480">
        <f t="shared" si="56"/>
        <v>0</v>
      </c>
      <c r="AK219" s="480" t="str">
        <f t="shared" si="57"/>
        <v/>
      </c>
    </row>
    <row r="220" spans="1:37" ht="15.6" x14ac:dyDescent="0.3">
      <c r="A220" s="152">
        <v>2040</v>
      </c>
      <c r="B220" s="178"/>
      <c r="C220" s="182"/>
      <c r="D220" s="183"/>
      <c r="E220" s="179">
        <f t="shared" si="58"/>
        <v>2695783728640.5317</v>
      </c>
      <c r="F220" s="183">
        <f t="shared" si="65"/>
        <v>236479229927.31152</v>
      </c>
      <c r="G220" s="247">
        <f t="shared" si="59"/>
        <v>0.44208021219147503</v>
      </c>
      <c r="H220" s="246"/>
      <c r="I220" s="417"/>
      <c r="J220" s="417"/>
      <c r="K220" s="182"/>
      <c r="L220" s="178"/>
      <c r="M220" s="182"/>
      <c r="N220" s="178"/>
      <c r="O220" s="495"/>
      <c r="P220" s="259">
        <f>IF(P$194="Y",IFERROR(E220*($F$8/SUMIF($H$5:$H$16,"Y",$F$5:$F$16))*$F$21*'Emissions Factors'!$B37,""),"")</f>
        <v>80737180188.181915</v>
      </c>
      <c r="Q220" s="259">
        <f>IF($X$135="Y",IFERROR($E220*(SUM($F$7,$F$5,$F$6)/SUMIF($H$5:$H$16,"Y",$F$5:$F$16))*('Emissions Factors'!$T$143*$F$22)/10^6,""),"")</f>
        <v>740028680456.5293</v>
      </c>
      <c r="R220" s="180"/>
      <c r="S220" s="180"/>
      <c r="T220" s="496"/>
      <c r="U220" s="180">
        <f t="shared" si="64"/>
        <v>820765860644.71118</v>
      </c>
      <c r="V220" s="180">
        <f t="shared" si="60"/>
        <v>0</v>
      </c>
      <c r="X220" s="430"/>
      <c r="Y220" s="478">
        <v>2040</v>
      </c>
      <c r="Z220" s="479">
        <f t="shared" si="61"/>
        <v>820765860644.71118</v>
      </c>
      <c r="AA220" s="479">
        <f t="shared" si="61"/>
        <v>0</v>
      </c>
      <c r="AB220" s="430"/>
      <c r="AC220" s="479"/>
      <c r="AD220" s="479"/>
      <c r="AE220" s="430"/>
      <c r="AF220" s="479">
        <f t="shared" si="62"/>
        <v>820765860644.71118</v>
      </c>
      <c r="AG220" s="479">
        <f t="shared" si="55"/>
        <v>0</v>
      </c>
      <c r="AH220" s="516"/>
      <c r="AJ220" s="480">
        <f t="shared" si="56"/>
        <v>0</v>
      </c>
      <c r="AK220" s="480" t="str">
        <f t="shared" si="57"/>
        <v/>
      </c>
    </row>
    <row r="221" spans="1:37" ht="15.6" x14ac:dyDescent="0.3">
      <c r="A221" s="152">
        <v>2041</v>
      </c>
      <c r="B221" s="178"/>
      <c r="C221" s="182"/>
      <c r="D221" s="183"/>
      <c r="E221" s="179">
        <f t="shared" si="58"/>
        <v>2941884562108.0024</v>
      </c>
      <c r="F221" s="183">
        <f t="shared" si="65"/>
        <v>246100833467.4707</v>
      </c>
      <c r="G221" s="247">
        <f t="shared" si="59"/>
        <v>0.44372368644261734</v>
      </c>
      <c r="H221" s="246"/>
      <c r="I221" s="417"/>
      <c r="J221" s="417"/>
      <c r="K221" s="182"/>
      <c r="L221" s="178"/>
      <c r="M221" s="182"/>
      <c r="N221" s="178"/>
      <c r="O221" s="495"/>
      <c r="P221" s="259">
        <f>IF(P$194="Y",IFERROR(E221*($F$8/SUMIF($H$5:$H$16,"Y",$F$5:$F$16))*$F$21*'Emissions Factors'!$B38,""),"")</f>
        <v>87660460983.579926</v>
      </c>
      <c r="Q221" s="259">
        <f>IF($X$135="Y",IFERROR($E221*(SUM($F$7,$F$5,$F$6)/SUMIF($H$5:$H$16,"Y",$F$5:$F$16))*('Emissions Factors'!$T$143*$F$22)/10^6,""),"")</f>
        <v>807586650005.52844</v>
      </c>
      <c r="R221" s="180"/>
      <c r="S221" s="180"/>
      <c r="T221" s="496"/>
      <c r="U221" s="180">
        <f t="shared" si="64"/>
        <v>895247110989.1084</v>
      </c>
      <c r="V221" s="180">
        <f t="shared" si="60"/>
        <v>0</v>
      </c>
      <c r="X221" s="430"/>
      <c r="Y221" s="478">
        <v>2041</v>
      </c>
      <c r="Z221" s="479">
        <f t="shared" si="61"/>
        <v>895247110989.1084</v>
      </c>
      <c r="AA221" s="479">
        <f t="shared" si="61"/>
        <v>0</v>
      </c>
      <c r="AB221" s="430"/>
      <c r="AC221" s="479"/>
      <c r="AD221" s="479"/>
      <c r="AE221" s="430"/>
      <c r="AF221" s="479">
        <f t="shared" si="62"/>
        <v>895247110989.1084</v>
      </c>
      <c r="AG221" s="479">
        <f t="shared" si="55"/>
        <v>0</v>
      </c>
      <c r="AH221" s="516"/>
      <c r="AJ221" s="480">
        <f t="shared" si="56"/>
        <v>0</v>
      </c>
      <c r="AK221" s="480" t="str">
        <f t="shared" si="57"/>
        <v/>
      </c>
    </row>
    <row r="222" spans="1:37" ht="15.6" x14ac:dyDescent="0.3">
      <c r="A222" s="152">
        <v>2042</v>
      </c>
      <c r="B222" s="178"/>
      <c r="C222" s="182"/>
      <c r="D222" s="183"/>
      <c r="E222" s="179">
        <f t="shared" si="58"/>
        <v>3204105303224.5576</v>
      </c>
      <c r="F222" s="183">
        <f t="shared" si="65"/>
        <v>262220741116.55518</v>
      </c>
      <c r="G222" s="247">
        <f t="shared" si="59"/>
        <v>0.44612291892213485</v>
      </c>
      <c r="H222" s="246"/>
      <c r="I222" s="417"/>
      <c r="J222" s="417"/>
      <c r="K222" s="182"/>
      <c r="L222" s="178"/>
      <c r="M222" s="182"/>
      <c r="N222" s="178"/>
      <c r="O222" s="495"/>
      <c r="P222" s="259">
        <f>IF(P$194="Y",IFERROR(E222*($F$8/SUMIF($H$5:$H$16,"Y",$F$5:$F$16))*$F$21*'Emissions Factors'!$B39,""),"")</f>
        <v>94946755719.403824</v>
      </c>
      <c r="Q222" s="259">
        <f>IF($X$135="Y",IFERROR($E222*(SUM($F$7,$F$5,$F$6)/SUMIF($H$5:$H$16,"Y",$F$5:$F$16))*('Emissions Factors'!$T$143*$F$22)/10^6,""),"")</f>
        <v>879569749753.17627</v>
      </c>
      <c r="R222" s="180"/>
      <c r="S222" s="180"/>
      <c r="T222" s="496"/>
      <c r="U222" s="180">
        <f t="shared" si="64"/>
        <v>974516505472.58008</v>
      </c>
      <c r="V222" s="180">
        <f t="shared" si="60"/>
        <v>0</v>
      </c>
      <c r="X222" s="430"/>
      <c r="Y222" s="478">
        <v>2042</v>
      </c>
      <c r="Z222" s="479">
        <f t="shared" si="61"/>
        <v>974516505472.58008</v>
      </c>
      <c r="AA222" s="479">
        <f t="shared" si="61"/>
        <v>0</v>
      </c>
      <c r="AB222" s="430"/>
      <c r="AC222" s="479"/>
      <c r="AD222" s="479"/>
      <c r="AE222" s="430"/>
      <c r="AF222" s="479">
        <f t="shared" si="62"/>
        <v>974516505472.58008</v>
      </c>
      <c r="AG222" s="479">
        <f t="shared" si="55"/>
        <v>0</v>
      </c>
      <c r="AH222" s="516"/>
      <c r="AJ222" s="480">
        <f t="shared" si="56"/>
        <v>0</v>
      </c>
      <c r="AK222" s="480" t="str">
        <f t="shared" si="57"/>
        <v/>
      </c>
    </row>
    <row r="223" spans="1:37" ht="15.6" x14ac:dyDescent="0.3">
      <c r="A223" s="152">
        <v>2043</v>
      </c>
      <c r="B223" s="178"/>
      <c r="C223" s="182"/>
      <c r="D223" s="183"/>
      <c r="E223" s="179">
        <f t="shared" si="58"/>
        <v>3481655846496.8813</v>
      </c>
      <c r="F223" s="183">
        <f t="shared" si="65"/>
        <v>277550543272.32373</v>
      </c>
      <c r="G223" s="247">
        <f t="shared" si="59"/>
        <v>0.44845196371615992</v>
      </c>
      <c r="H223" s="246"/>
      <c r="I223" s="417"/>
      <c r="J223" s="417"/>
      <c r="K223" s="182"/>
      <c r="L223" s="178"/>
      <c r="M223" s="182"/>
      <c r="N223" s="178"/>
      <c r="O223" s="495"/>
      <c r="P223" s="259">
        <f>IF(P$194="Y",IFERROR(E223*($F$8/SUMIF($H$5:$H$16,"Y",$F$5:$F$16))*$F$21*'Emissions Factors'!$B40,""),"")</f>
        <v>102595747185.20474</v>
      </c>
      <c r="Q223" s="259">
        <f>IF($X$135="Y",IFERROR($E223*(SUM($F$7,$F$5,$F$6)/SUMIF($H$5:$H$16,"Y",$F$5:$F$16))*('Emissions Factors'!$T$143*$F$22)/10^6,""),"")</f>
        <v>955761085176.58215</v>
      </c>
      <c r="R223" s="180"/>
      <c r="S223" s="180"/>
      <c r="T223" s="496"/>
      <c r="U223" s="180">
        <f t="shared" si="64"/>
        <v>1058356832361.7869</v>
      </c>
      <c r="V223" s="180">
        <f t="shared" si="60"/>
        <v>0</v>
      </c>
      <c r="X223" s="430"/>
      <c r="Y223" s="478">
        <v>2043</v>
      </c>
      <c r="Z223" s="479">
        <f t="shared" si="61"/>
        <v>1058356832361.7869</v>
      </c>
      <c r="AA223" s="479">
        <f t="shared" si="61"/>
        <v>0</v>
      </c>
      <c r="AB223" s="430"/>
      <c r="AC223" s="479"/>
      <c r="AD223" s="479"/>
      <c r="AE223" s="430"/>
      <c r="AF223" s="479">
        <f t="shared" si="62"/>
        <v>1058356832361.7869</v>
      </c>
      <c r="AG223" s="479">
        <f t="shared" si="55"/>
        <v>0</v>
      </c>
      <c r="AH223" s="516"/>
      <c r="AJ223" s="480">
        <f t="shared" si="56"/>
        <v>0</v>
      </c>
      <c r="AK223" s="480" t="str">
        <f t="shared" si="57"/>
        <v/>
      </c>
    </row>
    <row r="224" spans="1:37" ht="15.6" x14ac:dyDescent="0.3">
      <c r="A224" s="152">
        <v>2044</v>
      </c>
      <c r="B224" s="178"/>
      <c r="C224" s="182"/>
      <c r="D224" s="183"/>
      <c r="E224" s="179">
        <f t="shared" si="58"/>
        <v>3775896217374.2178</v>
      </c>
      <c r="F224" s="183">
        <f t="shared" si="65"/>
        <v>294240370877.33643</v>
      </c>
      <c r="G224" s="247">
        <f t="shared" si="59"/>
        <v>0.45068595113010984</v>
      </c>
      <c r="H224" s="246"/>
      <c r="I224" s="417"/>
      <c r="J224" s="417"/>
      <c r="K224" s="182"/>
      <c r="L224" s="178"/>
      <c r="M224" s="182"/>
      <c r="N224" s="178"/>
      <c r="O224" s="495"/>
      <c r="P224" s="259">
        <f>IF(P$194="Y",IFERROR(E224*($F$8/SUMIF($H$5:$H$16,"Y",$F$5:$F$16))*$F$21*'Emissions Factors'!$B41,""),"")</f>
        <v>110638366196.22862</v>
      </c>
      <c r="Q224" s="259">
        <f>IF($X$135="Y",IFERROR($E224*(SUM($F$7,$F$5,$F$6)/SUMIF($H$5:$H$16,"Y",$F$5:$F$16))*('Emissions Factors'!$T$143*$F$22)/10^6,""),"")</f>
        <v>1036534001447.2815</v>
      </c>
      <c r="R224" s="180"/>
      <c r="S224" s="180"/>
      <c r="T224" s="496"/>
      <c r="U224" s="180">
        <f t="shared" si="64"/>
        <v>1147172367643.51</v>
      </c>
      <c r="V224" s="180">
        <f t="shared" si="60"/>
        <v>0</v>
      </c>
      <c r="X224" s="430"/>
      <c r="Y224" s="478">
        <v>2044</v>
      </c>
      <c r="Z224" s="479">
        <f t="shared" si="61"/>
        <v>1147172367643.51</v>
      </c>
      <c r="AA224" s="479">
        <f t="shared" si="61"/>
        <v>0</v>
      </c>
      <c r="AB224" s="430"/>
      <c r="AC224" s="479"/>
      <c r="AD224" s="479"/>
      <c r="AE224" s="430"/>
      <c r="AF224" s="479">
        <f t="shared" si="62"/>
        <v>1147172367643.51</v>
      </c>
      <c r="AG224" s="479">
        <f t="shared" si="55"/>
        <v>0</v>
      </c>
      <c r="AH224" s="516"/>
      <c r="AJ224" s="480">
        <f t="shared" si="56"/>
        <v>0</v>
      </c>
      <c r="AK224" s="480" t="str">
        <f t="shared" si="57"/>
        <v/>
      </c>
    </row>
    <row r="225" spans="1:37" ht="15.6" x14ac:dyDescent="0.3">
      <c r="A225" s="152">
        <v>2045</v>
      </c>
      <c r="B225" s="178"/>
      <c r="C225" s="182"/>
      <c r="D225" s="183"/>
      <c r="E225" s="179">
        <f t="shared" si="58"/>
        <v>4090840767605.2417</v>
      </c>
      <c r="F225" s="183">
        <f t="shared" si="65"/>
        <v>314944550231.02393</v>
      </c>
      <c r="G225" s="247">
        <f t="shared" si="59"/>
        <v>0.45254074771900921</v>
      </c>
      <c r="H225" s="246"/>
      <c r="I225" s="417"/>
      <c r="J225" s="417"/>
      <c r="K225" s="182"/>
      <c r="L225" s="178"/>
      <c r="M225" s="182"/>
      <c r="N225" s="178"/>
      <c r="O225" s="495"/>
      <c r="P225" s="259">
        <f>IF(P$194="Y",IFERROR(E225*($F$8/SUMIF($H$5:$H$16,"Y",$F$5:$F$16))*$F$21*'Emissions Factors'!$B42,""),"")</f>
        <v>119157210290.96745</v>
      </c>
      <c r="Q225" s="259">
        <f>IF($X$135="Y",IFERROR($E225*(SUM($F$7,$F$5,$F$6)/SUMIF($H$5:$H$16,"Y",$F$5:$F$16))*('Emissions Factors'!$T$143*$F$22)/10^6,""),"")</f>
        <v>1122990491798.5955</v>
      </c>
      <c r="R225" s="180"/>
      <c r="S225" s="180"/>
      <c r="T225" s="496"/>
      <c r="U225" s="180">
        <f t="shared" si="64"/>
        <v>1242147702089.563</v>
      </c>
      <c r="V225" s="180">
        <f t="shared" si="60"/>
        <v>0</v>
      </c>
      <c r="X225" s="430"/>
      <c r="Y225" s="478">
        <v>2045</v>
      </c>
      <c r="Z225" s="479">
        <f t="shared" si="61"/>
        <v>1242147702089.563</v>
      </c>
      <c r="AA225" s="479">
        <f t="shared" si="61"/>
        <v>0</v>
      </c>
      <c r="AB225" s="430"/>
      <c r="AC225" s="479"/>
      <c r="AD225" s="479"/>
      <c r="AE225" s="430"/>
      <c r="AF225" s="479">
        <f t="shared" si="62"/>
        <v>1242147702089.563</v>
      </c>
      <c r="AG225" s="479">
        <f t="shared" si="55"/>
        <v>0</v>
      </c>
      <c r="AH225" s="516"/>
      <c r="AJ225" s="480">
        <f t="shared" si="56"/>
        <v>0</v>
      </c>
      <c r="AK225" s="480" t="str">
        <f t="shared" si="57"/>
        <v/>
      </c>
    </row>
    <row r="226" spans="1:37" ht="15.6" x14ac:dyDescent="0.3">
      <c r="A226" s="152">
        <v>2046</v>
      </c>
      <c r="B226" s="178"/>
      <c r="C226" s="182"/>
      <c r="D226" s="183"/>
      <c r="E226" s="179">
        <f t="shared" si="58"/>
        <v>4419791034971.9805</v>
      </c>
      <c r="F226" s="183">
        <f t="shared" si="65"/>
        <v>328950267366.73877</v>
      </c>
      <c r="G226" s="247">
        <f t="shared" si="59"/>
        <v>0.45482617339913523</v>
      </c>
      <c r="H226" s="246"/>
      <c r="I226" s="417"/>
      <c r="J226" s="417"/>
      <c r="K226" s="182"/>
      <c r="L226" s="178"/>
      <c r="M226" s="182"/>
      <c r="N226" s="178"/>
      <c r="O226" s="495"/>
      <c r="P226" s="259">
        <f>IF(P$194="Y",IFERROR(E226*($F$8/SUMIF($H$5:$H$16,"Y",$F$5:$F$16))*$F$21*'Emissions Factors'!$B43,""),"")</f>
        <v>128019494061.36722</v>
      </c>
      <c r="Q226" s="259">
        <f>IF($X$135="Y",IFERROR($E226*(SUM($F$7,$F$5,$F$6)/SUMIF($H$5:$H$16,"Y",$F$5:$F$16))*('Emissions Factors'!$T$143*$F$22)/10^6,""),"")</f>
        <v>1213291738782.5261</v>
      </c>
      <c r="R226" s="180"/>
      <c r="S226" s="180"/>
      <c r="T226" s="496"/>
      <c r="U226" s="180">
        <f t="shared" si="64"/>
        <v>1341311232843.8933</v>
      </c>
      <c r="V226" s="180">
        <f t="shared" si="60"/>
        <v>0</v>
      </c>
      <c r="X226" s="430"/>
      <c r="Y226" s="478">
        <v>2046</v>
      </c>
      <c r="Z226" s="479">
        <f t="shared" si="61"/>
        <v>1341311232843.8933</v>
      </c>
      <c r="AA226" s="479">
        <f t="shared" si="61"/>
        <v>0</v>
      </c>
      <c r="AB226" s="430"/>
      <c r="AC226" s="479"/>
      <c r="AD226" s="479"/>
      <c r="AE226" s="430"/>
      <c r="AF226" s="479">
        <f t="shared" si="62"/>
        <v>1341311232843.8933</v>
      </c>
      <c r="AG226" s="479">
        <f t="shared" si="55"/>
        <v>0</v>
      </c>
      <c r="AH226" s="516"/>
      <c r="AJ226" s="480">
        <f t="shared" si="56"/>
        <v>0</v>
      </c>
      <c r="AK226" s="480" t="str">
        <f t="shared" si="57"/>
        <v/>
      </c>
    </row>
    <row r="227" spans="1:37" ht="15.6" x14ac:dyDescent="0.3">
      <c r="A227" s="152">
        <v>2047</v>
      </c>
      <c r="B227" s="178"/>
      <c r="C227" s="182"/>
      <c r="D227" s="183"/>
      <c r="E227" s="179">
        <f t="shared" si="58"/>
        <v>4771855864836.6416</v>
      </c>
      <c r="F227" s="183">
        <f t="shared" si="65"/>
        <v>352064829864.66113</v>
      </c>
      <c r="G227" s="247">
        <f t="shared" si="59"/>
        <v>0.45673538584441037</v>
      </c>
      <c r="H227" s="246"/>
      <c r="I227" s="417"/>
      <c r="J227" s="417"/>
      <c r="K227" s="182"/>
      <c r="L227" s="178"/>
      <c r="M227" s="182"/>
      <c r="N227" s="178"/>
      <c r="O227" s="495"/>
      <c r="P227" s="259">
        <f>IF(P$194="Y",IFERROR(E227*($F$8/SUMIF($H$5:$H$16,"Y",$F$5:$F$16))*$F$21*'Emissions Factors'!$B44,""),"")</f>
        <v>137404906400.90181</v>
      </c>
      <c r="Q227" s="259">
        <f>IF($X$135="Y",IFERROR($E227*(SUM($F$7,$F$5,$F$6)/SUMIF($H$5:$H$16,"Y",$F$5:$F$16))*('Emissions Factors'!$T$143*$F$22)/10^6,""),"")</f>
        <v>1309938242250.8462</v>
      </c>
      <c r="R227" s="180"/>
      <c r="S227" s="180"/>
      <c r="T227" s="496"/>
      <c r="U227" s="180">
        <f t="shared" si="64"/>
        <v>1447343148651.748</v>
      </c>
      <c r="V227" s="180">
        <f t="shared" si="60"/>
        <v>0</v>
      </c>
      <c r="X227" s="430"/>
      <c r="Y227" s="478">
        <v>2047</v>
      </c>
      <c r="Z227" s="479">
        <f t="shared" si="61"/>
        <v>1447343148651.748</v>
      </c>
      <c r="AA227" s="479">
        <f t="shared" si="61"/>
        <v>0</v>
      </c>
      <c r="AB227" s="430"/>
      <c r="AC227" s="479"/>
      <c r="AD227" s="479"/>
      <c r="AE227" s="430"/>
      <c r="AF227" s="479">
        <f t="shared" si="62"/>
        <v>1447343148651.748</v>
      </c>
      <c r="AG227" s="479">
        <f t="shared" si="55"/>
        <v>0</v>
      </c>
      <c r="AH227" s="516"/>
      <c r="AJ227" s="480">
        <f t="shared" si="56"/>
        <v>0</v>
      </c>
      <c r="AK227" s="480" t="str">
        <f t="shared" si="57"/>
        <v/>
      </c>
    </row>
    <row r="228" spans="1:37" ht="15.6" x14ac:dyDescent="0.3">
      <c r="A228" s="152">
        <v>2048</v>
      </c>
      <c r="B228" s="178"/>
      <c r="C228" s="182"/>
      <c r="D228" s="183"/>
      <c r="E228" s="179">
        <f t="shared" si="58"/>
        <v>5145870105003.2266</v>
      </c>
      <c r="F228" s="183">
        <f t="shared" si="65"/>
        <v>374014240166.58496</v>
      </c>
      <c r="G228" s="247">
        <f t="shared" si="59"/>
        <v>0.45853615772348721</v>
      </c>
      <c r="H228" s="246"/>
      <c r="I228" s="417"/>
      <c r="J228" s="417"/>
      <c r="K228" s="182"/>
      <c r="L228" s="178"/>
      <c r="M228" s="182"/>
      <c r="N228" s="178"/>
      <c r="O228" s="495"/>
      <c r="P228" s="259">
        <f>IF(P$194="Y",IFERROR(E228*($F$8/SUMIF($H$5:$H$16,"Y",$F$5:$F$16))*$F$21*'Emissions Factors'!$B45,""),"")</f>
        <v>147290401447.34119</v>
      </c>
      <c r="Q228" s="259">
        <f>IF($X$135="Y",IFERROR($E228*(SUM($F$7,$F$5,$F$6)/SUMIF($H$5:$H$16,"Y",$F$5:$F$16))*('Emissions Factors'!$T$143*$F$22)/10^6,""),"")</f>
        <v>1412610152345.8032</v>
      </c>
      <c r="R228" s="180"/>
      <c r="S228" s="180"/>
      <c r="T228" s="496"/>
      <c r="U228" s="180">
        <f t="shared" si="64"/>
        <v>1559900553793.1445</v>
      </c>
      <c r="V228" s="180">
        <f t="shared" si="60"/>
        <v>0</v>
      </c>
      <c r="X228" s="430"/>
      <c r="Y228" s="478">
        <v>2048</v>
      </c>
      <c r="Z228" s="479">
        <f t="shared" si="61"/>
        <v>1559900553793.1445</v>
      </c>
      <c r="AA228" s="479">
        <f t="shared" si="61"/>
        <v>0</v>
      </c>
      <c r="AB228" s="430"/>
      <c r="AC228" s="479"/>
      <c r="AD228" s="479"/>
      <c r="AE228" s="430"/>
      <c r="AF228" s="479">
        <f t="shared" si="62"/>
        <v>1559900553793.1445</v>
      </c>
      <c r="AG228" s="479">
        <f t="shared" si="55"/>
        <v>0</v>
      </c>
      <c r="AH228" s="516"/>
      <c r="AJ228" s="480">
        <f t="shared" si="56"/>
        <v>0</v>
      </c>
      <c r="AK228" s="480" t="str">
        <f t="shared" si="57"/>
        <v/>
      </c>
    </row>
    <row r="229" spans="1:37" ht="15.6" x14ac:dyDescent="0.3">
      <c r="A229" s="152">
        <v>2049</v>
      </c>
      <c r="B229" s="178"/>
      <c r="C229" s="182"/>
      <c r="D229" s="183"/>
      <c r="E229" s="179">
        <f t="shared" si="58"/>
        <v>5543405837363.8154</v>
      </c>
      <c r="F229" s="183">
        <f t="shared" si="65"/>
        <v>397535732360.58887</v>
      </c>
      <c r="G229" s="247">
        <f t="shared" si="59"/>
        <v>0.46022782232924425</v>
      </c>
      <c r="H229" s="246"/>
      <c r="I229" s="417"/>
      <c r="J229" s="417"/>
      <c r="K229" s="182"/>
      <c r="L229" s="178"/>
      <c r="M229" s="182"/>
      <c r="N229" s="178"/>
      <c r="O229" s="495"/>
      <c r="P229" s="259">
        <f>IF(P$194="Y",IFERROR(E229*($F$8/SUMIF($H$5:$H$16,"Y",$F$5:$F$16))*$F$21*'Emissions Factors'!$B46,""),"")</f>
        <v>157851242221.32013</v>
      </c>
      <c r="Q229" s="259">
        <f>IF($X$135="Y",IFERROR($E229*(SUM($F$7,$F$5,$F$6)/SUMIF($H$5:$H$16,"Y",$F$5:$F$16))*('Emissions Factors'!$T$143*$F$22)/10^6,""),"")</f>
        <v>1521739026568.0259</v>
      </c>
      <c r="R229" s="180"/>
      <c r="S229" s="180"/>
      <c r="T229" s="496"/>
      <c r="U229" s="180">
        <f t="shared" si="64"/>
        <v>1679590268789.3459</v>
      </c>
      <c r="V229" s="180">
        <f t="shared" si="60"/>
        <v>0</v>
      </c>
      <c r="X229" s="430"/>
      <c r="Y229" s="478">
        <v>2049</v>
      </c>
      <c r="Z229" s="479">
        <f t="shared" si="61"/>
        <v>1679590268789.3459</v>
      </c>
      <c r="AA229" s="479">
        <f t="shared" si="61"/>
        <v>0</v>
      </c>
      <c r="AB229" s="430"/>
      <c r="AC229" s="479"/>
      <c r="AD229" s="479"/>
      <c r="AE229" s="430"/>
      <c r="AF229" s="479">
        <f t="shared" si="62"/>
        <v>1679590268789.3459</v>
      </c>
      <c r="AG229" s="479">
        <f t="shared" si="55"/>
        <v>0</v>
      </c>
      <c r="AH229" s="516"/>
      <c r="AJ229" s="480">
        <f t="shared" si="56"/>
        <v>0</v>
      </c>
      <c r="AK229" s="480" t="str">
        <f t="shared" si="57"/>
        <v/>
      </c>
    </row>
    <row r="230" spans="1:37" ht="15.6" x14ac:dyDescent="0.3">
      <c r="A230" s="152">
        <v>2050</v>
      </c>
      <c r="B230" s="178"/>
      <c r="C230" s="182"/>
      <c r="D230" s="183"/>
      <c r="E230" s="179">
        <f t="shared" si="58"/>
        <v>5962180884496.0117</v>
      </c>
      <c r="F230" s="183">
        <f t="shared" si="65"/>
        <v>418775047132.19629</v>
      </c>
      <c r="G230" s="247">
        <f t="shared" si="59"/>
        <v>0.46160800444512118</v>
      </c>
      <c r="H230" s="246"/>
      <c r="I230" s="417"/>
      <c r="J230" s="417"/>
      <c r="K230" s="182"/>
      <c r="L230" s="178"/>
      <c r="M230" s="182"/>
      <c r="N230" s="178"/>
      <c r="O230" s="495"/>
      <c r="P230" s="259">
        <f>IF(P$194="Y",IFERROR(E230*($F$8/SUMIF($H$5:$H$16,"Y",$F$5:$F$16))*$F$21*'Emissions Factors'!$B47,""),"")</f>
        <v>169192223215.37631</v>
      </c>
      <c r="Q230" s="259">
        <f>IF($X$135="Y",IFERROR($E230*(SUM($F$7,$F$5,$F$6)/SUMIF($H$5:$H$16,"Y",$F$5:$F$16))*('Emissions Factors'!$T$143*$F$22)/10^6,""),"")</f>
        <v>1636698376698.6995</v>
      </c>
      <c r="R230" s="180"/>
      <c r="S230" s="180"/>
      <c r="T230" s="496"/>
      <c r="U230" s="180">
        <f t="shared" si="64"/>
        <v>1805890599914.0757</v>
      </c>
      <c r="V230" s="180">
        <f t="shared" si="60"/>
        <v>0</v>
      </c>
      <c r="X230" s="430"/>
      <c r="Y230" s="478">
        <v>2050</v>
      </c>
      <c r="Z230" s="479">
        <f t="shared" si="61"/>
        <v>1805890599914.0757</v>
      </c>
      <c r="AA230" s="479">
        <f t="shared" si="61"/>
        <v>0</v>
      </c>
      <c r="AB230" s="430"/>
      <c r="AC230" s="479"/>
      <c r="AD230" s="479"/>
      <c r="AE230" s="430"/>
      <c r="AF230" s="479">
        <f t="shared" si="62"/>
        <v>1805890599914.0757</v>
      </c>
      <c r="AG230" s="479">
        <f t="shared" si="55"/>
        <v>0</v>
      </c>
      <c r="AH230" s="516"/>
      <c r="AJ230" s="480">
        <f t="shared" si="56"/>
        <v>0</v>
      </c>
      <c r="AK230" s="480" t="str">
        <f t="shared" si="57"/>
        <v/>
      </c>
    </row>
    <row r="231" spans="1:37" ht="15.6" x14ac:dyDescent="0.3">
      <c r="A231" s="152">
        <v>2051</v>
      </c>
      <c r="B231" s="178"/>
      <c r="C231" s="182"/>
      <c r="D231" s="183"/>
      <c r="E231" s="179">
        <f t="shared" si="58"/>
        <v>6415001326430.2471</v>
      </c>
      <c r="F231" s="183">
        <f t="shared" si="65"/>
        <v>452820441934.23535</v>
      </c>
      <c r="G231" s="247">
        <f t="shared" si="59"/>
        <v>0.46328756470542426</v>
      </c>
      <c r="H231" s="246"/>
      <c r="I231" s="417"/>
      <c r="J231" s="417"/>
      <c r="K231" s="182"/>
      <c r="L231" s="178"/>
      <c r="M231" s="182"/>
      <c r="N231" s="178"/>
      <c r="O231" s="495"/>
      <c r="P231" s="259">
        <f>IF(P$194="Y",IFERROR(E231*($F$8/SUMIF($H$5:$H$16,"Y",$F$5:$F$16))*$F$21*'Emissions Factors'!$B48,""),"")</f>
        <v>181346391795.53604</v>
      </c>
      <c r="Q231" s="259">
        <f>IF($X$135="Y",IFERROR($E231*(SUM($F$7,$F$5,$F$6)/SUMIF($H$5:$H$16,"Y",$F$5:$F$16))*('Emissions Factors'!$T$143*$F$22)/10^6,""),"")</f>
        <v>1761003642943.9722</v>
      </c>
      <c r="R231" s="180"/>
      <c r="S231" s="180"/>
      <c r="T231" s="496"/>
      <c r="U231" s="180">
        <f t="shared" si="64"/>
        <v>1942350034739.5083</v>
      </c>
      <c r="V231" s="180">
        <f t="shared" si="60"/>
        <v>0</v>
      </c>
      <c r="Y231" s="478">
        <v>2051</v>
      </c>
      <c r="Z231" s="479">
        <f t="shared" si="61"/>
        <v>1942350034739.5083</v>
      </c>
      <c r="AA231" s="479">
        <f t="shared" si="61"/>
        <v>0</v>
      </c>
      <c r="AB231" s="430"/>
      <c r="AC231" s="479"/>
      <c r="AD231" s="479"/>
      <c r="AE231" s="430"/>
      <c r="AF231" s="479">
        <f t="shared" si="62"/>
        <v>1942350034739.5083</v>
      </c>
      <c r="AG231" s="479">
        <f t="shared" si="55"/>
        <v>0</v>
      </c>
      <c r="AH231" s="516"/>
      <c r="AJ231" s="480">
        <f t="shared" si="56"/>
        <v>0</v>
      </c>
      <c r="AK231" s="480" t="str">
        <f t="shared" si="57"/>
        <v/>
      </c>
    </row>
    <row r="232" spans="1:37" ht="15.6" x14ac:dyDescent="0.3">
      <c r="A232" s="152">
        <v>2052</v>
      </c>
      <c r="B232" s="178"/>
      <c r="C232" s="182"/>
      <c r="D232" s="183"/>
      <c r="E232" s="179">
        <f t="shared" si="58"/>
        <v>6891723460478.3799</v>
      </c>
      <c r="F232" s="183">
        <f t="shared" si="65"/>
        <v>476722134048.13281</v>
      </c>
      <c r="G232" s="247">
        <f t="shared" si="59"/>
        <v>0.46466081757090799</v>
      </c>
      <c r="H232" s="246"/>
      <c r="I232" s="417"/>
      <c r="J232" s="417"/>
      <c r="K232" s="182"/>
      <c r="L232" s="178"/>
      <c r="M232" s="182"/>
      <c r="N232" s="178"/>
      <c r="O232" s="495"/>
      <c r="P232" s="259">
        <f>IF(P$194="Y",IFERROR(E232*($F$8/SUMIF($H$5:$H$16,"Y",$F$5:$F$16))*$F$21*'Emissions Factors'!$B49,""),"")</f>
        <v>194103495361.21613</v>
      </c>
      <c r="Q232" s="259">
        <f>IF($X$135="Y",IFERROR($E232*(SUM($F$7,$F$5,$F$6)/SUMIF($H$5:$H$16,"Y",$F$5:$F$16))*('Emissions Factors'!$T$143*$F$22)/10^6,""),"")</f>
        <v>1891870243278.4023</v>
      </c>
      <c r="R232" s="180"/>
      <c r="S232" s="180"/>
      <c r="T232" s="496"/>
      <c r="U232" s="180">
        <f t="shared" si="64"/>
        <v>2085973738639.6184</v>
      </c>
      <c r="V232" s="180">
        <f t="shared" si="60"/>
        <v>0</v>
      </c>
      <c r="Y232" s="478">
        <v>2052</v>
      </c>
      <c r="Z232" s="479">
        <f t="shared" si="61"/>
        <v>2085973738639.6184</v>
      </c>
      <c r="AA232" s="479">
        <f t="shared" si="61"/>
        <v>0</v>
      </c>
      <c r="AB232" s="430"/>
      <c r="AC232" s="479"/>
      <c r="AD232" s="479"/>
      <c r="AE232" s="430"/>
      <c r="AF232" s="479">
        <f t="shared" si="62"/>
        <v>2085973738639.6184</v>
      </c>
      <c r="AG232" s="479">
        <f t="shared" si="55"/>
        <v>0</v>
      </c>
      <c r="AH232" s="516"/>
      <c r="AJ232" s="480">
        <f t="shared" si="56"/>
        <v>0</v>
      </c>
      <c r="AK232" s="480" t="str">
        <f t="shared" si="57"/>
        <v/>
      </c>
    </row>
    <row r="233" spans="1:37" ht="15.6" x14ac:dyDescent="0.3">
      <c r="A233" s="152">
        <v>2053</v>
      </c>
      <c r="B233" s="178"/>
      <c r="C233" s="182"/>
      <c r="D233" s="183"/>
      <c r="E233" s="179">
        <f t="shared" si="58"/>
        <v>7397408591269.5742</v>
      </c>
      <c r="F233" s="183">
        <f t="shared" si="65"/>
        <v>505685130791.19434</v>
      </c>
      <c r="G233" s="247">
        <f t="shared" si="59"/>
        <v>0.46593843518531258</v>
      </c>
      <c r="H233" s="246"/>
      <c r="I233" s="417"/>
      <c r="J233" s="417"/>
      <c r="K233" s="182"/>
      <c r="L233" s="178"/>
      <c r="M233" s="182"/>
      <c r="N233" s="178"/>
      <c r="O233" s="495"/>
      <c r="P233" s="259">
        <f>IF(P$194="Y",IFERROR(E233*($F$8/SUMIF($H$5:$H$16,"Y",$F$5:$F$16))*$F$21*'Emissions Factors'!$B50,""),"")</f>
        <v>207557601305.20639</v>
      </c>
      <c r="Q233" s="259">
        <f>IF($X$135="Y",IFERROR($E233*(SUM($F$7,$F$5,$F$6)/SUMIF($H$5:$H$16,"Y",$F$5:$F$16))*('Emissions Factors'!$T$143*$F$22)/10^6,""),"")</f>
        <v>2030687573500.4424</v>
      </c>
      <c r="R233" s="180"/>
      <c r="S233" s="180"/>
      <c r="T233" s="496"/>
      <c r="U233" s="180">
        <f t="shared" si="64"/>
        <v>2238245174805.6489</v>
      </c>
      <c r="V233" s="180">
        <f t="shared" si="60"/>
        <v>0</v>
      </c>
      <c r="Y233" s="478">
        <v>2053</v>
      </c>
      <c r="Z233" s="479">
        <f t="shared" si="61"/>
        <v>2238245174805.6489</v>
      </c>
      <c r="AA233" s="479">
        <f t="shared" si="61"/>
        <v>0</v>
      </c>
      <c r="AB233" s="430"/>
      <c r="AC233" s="479"/>
      <c r="AD233" s="479"/>
      <c r="AE233" s="430"/>
      <c r="AF233" s="479">
        <f t="shared" si="62"/>
        <v>2238245174805.6489</v>
      </c>
      <c r="AG233" s="479">
        <f t="shared" si="55"/>
        <v>0</v>
      </c>
      <c r="AH233" s="516"/>
      <c r="AJ233" s="480">
        <f t="shared" si="56"/>
        <v>0</v>
      </c>
      <c r="AK233" s="480" t="str">
        <f t="shared" si="57"/>
        <v/>
      </c>
    </row>
    <row r="234" spans="1:37" ht="15.6" x14ac:dyDescent="0.3">
      <c r="A234" s="152">
        <v>2054</v>
      </c>
      <c r="B234" s="178"/>
      <c r="C234" s="182"/>
      <c r="D234" s="183"/>
      <c r="E234" s="179">
        <f t="shared" si="58"/>
        <v>7933225024175.6553</v>
      </c>
      <c r="F234" s="183">
        <f t="shared" si="65"/>
        <v>535816432906.08105</v>
      </c>
      <c r="G234" s="247">
        <f t="shared" si="59"/>
        <v>0.46712851645102216</v>
      </c>
      <c r="H234" s="246"/>
      <c r="I234" s="417"/>
      <c r="J234" s="417"/>
      <c r="K234" s="182"/>
      <c r="L234" s="178"/>
      <c r="M234" s="182"/>
      <c r="N234" s="178"/>
      <c r="O234" s="495"/>
      <c r="P234" s="259">
        <f>IF(P$194="Y",IFERROR(E234*($F$8/SUMIF($H$5:$H$16,"Y",$F$5:$F$16))*$F$21*'Emissions Factors'!$B51,""),"")</f>
        <v>221727911005.47681</v>
      </c>
      <c r="Q234" s="259">
        <f>IF($X$135="Y",IFERROR($E234*(SUM($F$7,$F$5,$F$6)/SUMIF($H$5:$H$16,"Y",$F$5:$F$16))*('Emissions Factors'!$T$143*$F$22)/10^6,""),"")</f>
        <v>2177776349056.7712</v>
      </c>
      <c r="R234" s="180"/>
      <c r="S234" s="180"/>
      <c r="T234" s="496"/>
      <c r="U234" s="180">
        <f t="shared" si="64"/>
        <v>2399504260062.248</v>
      </c>
      <c r="V234" s="180">
        <f t="shared" si="60"/>
        <v>0</v>
      </c>
      <c r="Y234" s="478">
        <v>2054</v>
      </c>
      <c r="Z234" s="479">
        <f t="shared" si="61"/>
        <v>2399504260062.248</v>
      </c>
      <c r="AA234" s="479">
        <f t="shared" si="61"/>
        <v>0</v>
      </c>
      <c r="AB234" s="430"/>
      <c r="AC234" s="479"/>
      <c r="AD234" s="479"/>
      <c r="AE234" s="430"/>
      <c r="AF234" s="479">
        <f t="shared" si="62"/>
        <v>2399504260062.248</v>
      </c>
      <c r="AG234" s="479">
        <f t="shared" si="55"/>
        <v>0</v>
      </c>
      <c r="AH234" s="516"/>
      <c r="AJ234" s="480">
        <f t="shared" si="56"/>
        <v>0</v>
      </c>
      <c r="AK234" s="480" t="str">
        <f t="shared" si="57"/>
        <v/>
      </c>
    </row>
    <row r="235" spans="1:37" ht="15.6" x14ac:dyDescent="0.3">
      <c r="A235" s="152">
        <v>2055</v>
      </c>
      <c r="B235" s="178"/>
      <c r="C235" s="182"/>
      <c r="D235" s="183"/>
      <c r="E235" s="179">
        <f t="shared" si="58"/>
        <v>8497018982886.5088</v>
      </c>
      <c r="F235" s="183">
        <f t="shared" si="65"/>
        <v>563793958710.85352</v>
      </c>
      <c r="G235" s="247">
        <f t="shared" si="59"/>
        <v>0.46805509162413866</v>
      </c>
      <c r="H235" s="246"/>
      <c r="I235" s="417"/>
      <c r="J235" s="417"/>
      <c r="K235" s="182"/>
      <c r="L235" s="178"/>
      <c r="M235" s="182"/>
      <c r="N235" s="178"/>
      <c r="O235" s="495"/>
      <c r="P235" s="259">
        <f>IF(P$194="Y",IFERROR(E235*($F$8/SUMIF($H$5:$H$16,"Y",$F$5:$F$16))*$F$21*'Emissions Factors'!$B52,""),"")</f>
        <v>236520354420.65256</v>
      </c>
      <c r="Q235" s="259">
        <f>IF($X$135="Y",IFERROR($E235*(SUM($F$7,$F$5,$F$6)/SUMIF($H$5:$H$16,"Y",$F$5:$F$16))*('Emissions Factors'!$T$143*$F$22)/10^6,""),"")</f>
        <v>2332545329550.8262</v>
      </c>
      <c r="R235" s="180"/>
      <c r="S235" s="180"/>
      <c r="T235" s="496"/>
      <c r="U235" s="180">
        <f t="shared" si="64"/>
        <v>2569065683971.4785</v>
      </c>
      <c r="V235" s="180">
        <f t="shared" si="60"/>
        <v>0</v>
      </c>
      <c r="Y235" s="478">
        <v>2055</v>
      </c>
      <c r="Z235" s="479">
        <f t="shared" si="61"/>
        <v>2569065683971.4785</v>
      </c>
      <c r="AA235" s="479">
        <f t="shared" si="61"/>
        <v>0</v>
      </c>
      <c r="AB235" s="430"/>
      <c r="AC235" s="479"/>
      <c r="AD235" s="479"/>
      <c r="AE235" s="430"/>
      <c r="AF235" s="479">
        <f t="shared" si="62"/>
        <v>2569065683971.4785</v>
      </c>
      <c r="AG235" s="479">
        <f t="shared" si="55"/>
        <v>0</v>
      </c>
      <c r="AH235" s="516"/>
      <c r="AJ235" s="480">
        <f t="shared" si="56"/>
        <v>0</v>
      </c>
      <c r="AK235" s="480" t="str">
        <f t="shared" si="57"/>
        <v/>
      </c>
    </row>
    <row r="236" spans="1:37" ht="15.6" x14ac:dyDescent="0.3">
      <c r="A236" s="152">
        <v>2056</v>
      </c>
      <c r="B236" s="178"/>
      <c r="C236" s="182"/>
      <c r="D236" s="183"/>
      <c r="E236" s="179">
        <f t="shared" si="58"/>
        <v>9099888857765.6055</v>
      </c>
      <c r="F236" s="183">
        <f t="shared" si="65"/>
        <v>602869874879.09668</v>
      </c>
      <c r="G236" s="247">
        <f t="shared" si="59"/>
        <v>0.46925953500314449</v>
      </c>
      <c r="H236" s="246"/>
      <c r="I236" s="417"/>
      <c r="J236" s="417"/>
      <c r="K236" s="182"/>
      <c r="L236" s="178"/>
      <c r="M236" s="182"/>
      <c r="N236" s="178"/>
      <c r="O236" s="495"/>
      <c r="P236" s="259">
        <f>IF(P$194="Y",IFERROR(E236*($F$8/SUMIF($H$5:$H$16,"Y",$F$5:$F$16))*$F$21*'Emissions Factors'!$B53,""),"")</f>
        <v>252287421482.76132</v>
      </c>
      <c r="Q236" s="259">
        <f>IF($X$135="Y",IFERROR($E236*(SUM($F$7,$F$5,$F$6)/SUMIF($H$5:$H$16,"Y",$F$5:$F$16))*('Emissions Factors'!$T$143*$F$22)/10^6,""),"")</f>
        <v>2498041171540.6274</v>
      </c>
      <c r="R236" s="180"/>
      <c r="S236" s="180"/>
      <c r="T236" s="496"/>
      <c r="U236" s="180">
        <f t="shared" si="64"/>
        <v>2750328593023.3887</v>
      </c>
      <c r="V236" s="180">
        <f t="shared" si="60"/>
        <v>0</v>
      </c>
      <c r="Y236" s="478">
        <v>2056</v>
      </c>
      <c r="Z236" s="479">
        <f t="shared" si="61"/>
        <v>2750328593023.3887</v>
      </c>
      <c r="AA236" s="479">
        <f t="shared" si="61"/>
        <v>0</v>
      </c>
      <c r="AB236" s="430"/>
      <c r="AC236" s="479"/>
      <c r="AD236" s="479"/>
      <c r="AE236" s="430"/>
      <c r="AF236" s="479">
        <f t="shared" si="62"/>
        <v>2750328593023.3887</v>
      </c>
      <c r="AG236" s="479">
        <f t="shared" si="55"/>
        <v>0</v>
      </c>
      <c r="AH236" s="516"/>
      <c r="AJ236" s="480">
        <f t="shared" si="56"/>
        <v>0</v>
      </c>
      <c r="AK236" s="480" t="str">
        <f t="shared" si="57"/>
        <v/>
      </c>
    </row>
    <row r="237" spans="1:37" ht="15.6" x14ac:dyDescent="0.3">
      <c r="A237" s="152">
        <v>2057</v>
      </c>
      <c r="B237" s="178"/>
      <c r="C237" s="182"/>
      <c r="D237" s="183"/>
      <c r="E237" s="179">
        <f t="shared" si="58"/>
        <v>9733094457690.209</v>
      </c>
      <c r="F237" s="183">
        <f t="shared" si="65"/>
        <v>633205599924.60352</v>
      </c>
      <c r="G237" s="247">
        <f t="shared" si="59"/>
        <v>0.47019731232184236</v>
      </c>
      <c r="H237" s="246"/>
      <c r="I237" s="417"/>
      <c r="J237" s="417"/>
      <c r="K237" s="182"/>
      <c r="L237" s="178"/>
      <c r="M237" s="182"/>
      <c r="N237" s="178"/>
      <c r="O237" s="495"/>
      <c r="P237" s="259">
        <f>IF(P$194="Y",IFERROR(E237*($F$8/SUMIF($H$5:$H$16,"Y",$F$5:$F$16))*$F$21*'Emissions Factors'!$B54,""),"")</f>
        <v>268709971939.20905</v>
      </c>
      <c r="Q237" s="259">
        <f>IF($X$135="Y",IFERROR($E237*(SUM($F$7,$F$5,$F$6)/SUMIF($H$5:$H$16,"Y",$F$5:$F$16))*('Emissions Factors'!$T$143*$F$22)/10^6,""),"")</f>
        <v>2671864575692.6353</v>
      </c>
      <c r="R237" s="180"/>
      <c r="S237" s="180"/>
      <c r="T237" s="496"/>
      <c r="U237" s="180">
        <f t="shared" si="64"/>
        <v>2940574547631.8442</v>
      </c>
      <c r="V237" s="180">
        <f t="shared" si="60"/>
        <v>0</v>
      </c>
      <c r="Y237" s="478">
        <v>2057</v>
      </c>
      <c r="Z237" s="479">
        <f t="shared" si="61"/>
        <v>2940574547631.8442</v>
      </c>
      <c r="AA237" s="479">
        <f t="shared" si="61"/>
        <v>0</v>
      </c>
      <c r="AB237" s="430"/>
      <c r="AC237" s="479"/>
      <c r="AD237" s="479"/>
      <c r="AE237" s="430"/>
      <c r="AF237" s="479">
        <f t="shared" si="62"/>
        <v>2940574547631.8442</v>
      </c>
      <c r="AG237" s="479">
        <f t="shared" si="55"/>
        <v>0</v>
      </c>
      <c r="AH237" s="516"/>
      <c r="AJ237" s="480">
        <f t="shared" si="56"/>
        <v>0</v>
      </c>
      <c r="AK237" s="480" t="str">
        <f t="shared" si="57"/>
        <v/>
      </c>
    </row>
    <row r="238" spans="1:37" ht="15.6" x14ac:dyDescent="0.3">
      <c r="A238" s="152">
        <v>2058</v>
      </c>
      <c r="B238" s="178"/>
      <c r="C238" s="182"/>
      <c r="D238" s="183"/>
      <c r="E238" s="179">
        <f t="shared" si="58"/>
        <v>10400632318468.053</v>
      </c>
      <c r="F238" s="183">
        <f t="shared" si="65"/>
        <v>667537860777.84375</v>
      </c>
      <c r="G238" s="247">
        <f t="shared" si="59"/>
        <v>0.47105017079035061</v>
      </c>
      <c r="H238" s="246"/>
      <c r="I238" s="417"/>
      <c r="J238" s="417"/>
      <c r="K238" s="182"/>
      <c r="L238" s="178"/>
      <c r="M238" s="182"/>
      <c r="N238" s="178"/>
      <c r="O238" s="495"/>
      <c r="P238" s="259">
        <f>IF(P$194="Y",IFERROR(E238*($F$8/SUMIF($H$5:$H$16,"Y",$F$5:$F$16))*$F$21*'Emissions Factors'!$B55,""),"")</f>
        <v>285901148620.18127</v>
      </c>
      <c r="Q238" s="259">
        <f>IF($X$135="Y",IFERROR($E238*(SUM($F$7,$F$5,$F$6)/SUMIF($H$5:$H$16,"Y",$F$5:$F$16))*('Emissions Factors'!$T$143*$F$22)/10^6,""),"")</f>
        <v>2855112644526.1548</v>
      </c>
      <c r="R238" s="180"/>
      <c r="S238" s="180"/>
      <c r="T238" s="496"/>
      <c r="U238" s="180">
        <f t="shared" si="64"/>
        <v>3141013793146.3359</v>
      </c>
      <c r="V238" s="180">
        <f t="shared" si="60"/>
        <v>0</v>
      </c>
      <c r="Y238" s="478">
        <v>2058</v>
      </c>
      <c r="Z238" s="479">
        <f t="shared" si="61"/>
        <v>3141013793146.3359</v>
      </c>
      <c r="AA238" s="479">
        <f t="shared" si="61"/>
        <v>0</v>
      </c>
      <c r="AB238" s="430"/>
      <c r="AC238" s="479"/>
      <c r="AD238" s="479"/>
      <c r="AE238" s="430"/>
      <c r="AF238" s="479">
        <f t="shared" si="62"/>
        <v>3141013793146.3359</v>
      </c>
      <c r="AG238" s="479">
        <f t="shared" si="55"/>
        <v>0</v>
      </c>
      <c r="AH238" s="516"/>
      <c r="AJ238" s="480">
        <f t="shared" si="56"/>
        <v>0</v>
      </c>
      <c r="AK238" s="480" t="str">
        <f t="shared" si="57"/>
        <v/>
      </c>
    </row>
    <row r="239" spans="1:37" ht="15.6" x14ac:dyDescent="0.3">
      <c r="A239" s="152">
        <v>2059</v>
      </c>
      <c r="B239" s="178"/>
      <c r="C239" s="182"/>
      <c r="D239" s="183"/>
      <c r="E239" s="179">
        <f t="shared" si="58"/>
        <v>11102996122590.52</v>
      </c>
      <c r="F239" s="183">
        <f t="shared" si="65"/>
        <v>702363804122.4668</v>
      </c>
      <c r="G239" s="247">
        <f t="shared" si="59"/>
        <v>0.47181892885221099</v>
      </c>
      <c r="H239" s="246"/>
      <c r="I239" s="417"/>
      <c r="J239" s="417"/>
      <c r="K239" s="182"/>
      <c r="L239" s="178"/>
      <c r="M239" s="182"/>
      <c r="N239" s="178"/>
      <c r="O239" s="495"/>
      <c r="P239" s="259">
        <f>IF(P$194="Y",IFERROR(E239*($F$8/SUMIF($H$5:$H$16,"Y",$F$5:$F$16))*$F$21*'Emissions Factors'!$B56,""),"")</f>
        <v>303855937016.79462</v>
      </c>
      <c r="Q239" s="259">
        <f>IF($X$135="Y",IFERROR($E239*(SUM($F$7,$F$5,$F$6)/SUMIF($H$5:$H$16,"Y",$F$5:$F$16))*('Emissions Factors'!$T$143*$F$22)/10^6,""),"")</f>
        <v>3047920900486.396</v>
      </c>
      <c r="R239" s="180"/>
      <c r="S239" s="180"/>
      <c r="T239" s="496"/>
      <c r="U239" s="180">
        <f t="shared" si="64"/>
        <v>3351776837503.1904</v>
      </c>
      <c r="V239" s="180">
        <f t="shared" si="60"/>
        <v>0</v>
      </c>
      <c r="Y239" s="478">
        <v>2059</v>
      </c>
      <c r="Z239" s="479">
        <f t="shared" si="61"/>
        <v>3351776837503.1904</v>
      </c>
      <c r="AA239" s="479">
        <f t="shared" si="61"/>
        <v>0</v>
      </c>
      <c r="AB239" s="430"/>
      <c r="AC239" s="479"/>
      <c r="AD239" s="479"/>
      <c r="AE239" s="430"/>
      <c r="AF239" s="479">
        <f t="shared" si="62"/>
        <v>3351776837503.1904</v>
      </c>
      <c r="AG239" s="479">
        <f t="shared" si="55"/>
        <v>0</v>
      </c>
      <c r="AH239" s="516"/>
      <c r="AJ239" s="480">
        <f t="shared" si="56"/>
        <v>0</v>
      </c>
      <c r="AK239" s="480" t="str">
        <f t="shared" si="57"/>
        <v/>
      </c>
    </row>
    <row r="240" spans="1:37" ht="15.6" x14ac:dyDescent="0.3">
      <c r="A240" s="152">
        <v>2060</v>
      </c>
      <c r="B240" s="178"/>
      <c r="C240" s="182"/>
      <c r="D240" s="183"/>
      <c r="E240" s="179">
        <f t="shared" si="58"/>
        <v>11844950846643.092</v>
      </c>
      <c r="F240" s="183">
        <f t="shared" si="65"/>
        <v>741954724052.57227</v>
      </c>
      <c r="G240" s="247">
        <f t="shared" si="59"/>
        <v>0.47267159733349684</v>
      </c>
      <c r="H240" s="246"/>
      <c r="I240" s="417"/>
      <c r="J240" s="417"/>
      <c r="K240" s="182"/>
      <c r="L240" s="178"/>
      <c r="M240" s="182"/>
      <c r="N240" s="178"/>
      <c r="O240" s="495"/>
      <c r="P240" s="259">
        <f>IF(P$194="Y",IFERROR(E240*($F$8/SUMIF($H$5:$H$16,"Y",$F$5:$F$16))*$F$21*'Emissions Factors'!$B57,""),"")</f>
        <v>322792708014.88495</v>
      </c>
      <c r="Q240" s="259">
        <f>IF($X$135="Y",IFERROR($E240*(SUM($F$7,$F$5,$F$6)/SUMIF($H$5:$H$16,"Y",$F$5:$F$16))*('Emissions Factors'!$T$143*$F$22)/10^6,""),"")</f>
        <v>3251597393361.4399</v>
      </c>
      <c r="R240" s="180"/>
      <c r="S240" s="180"/>
      <c r="T240" s="496"/>
      <c r="U240" s="180">
        <f t="shared" si="64"/>
        <v>3574390101376.3247</v>
      </c>
      <c r="V240" s="180">
        <f t="shared" si="60"/>
        <v>0</v>
      </c>
      <c r="Y240" s="478">
        <v>2060</v>
      </c>
      <c r="Z240" s="479">
        <f t="shared" si="61"/>
        <v>3574390101376.3247</v>
      </c>
      <c r="AA240" s="479">
        <f t="shared" si="61"/>
        <v>0</v>
      </c>
      <c r="AB240" s="430"/>
      <c r="AC240" s="479"/>
      <c r="AD240" s="479"/>
      <c r="AE240" s="430"/>
      <c r="AF240" s="479">
        <f t="shared" si="62"/>
        <v>3574390101376.3247</v>
      </c>
      <c r="AG240" s="479">
        <f t="shared" si="55"/>
        <v>0</v>
      </c>
      <c r="AH240" s="516"/>
      <c r="AJ240" s="480">
        <f t="shared" si="56"/>
        <v>0</v>
      </c>
      <c r="AK240" s="480" t="str">
        <f t="shared" si="57"/>
        <v/>
      </c>
    </row>
    <row r="241" spans="1:11" x14ac:dyDescent="0.25">
      <c r="A241" s="13"/>
      <c r="B241" s="13"/>
      <c r="C241" s="13"/>
      <c r="D241" s="13"/>
      <c r="E241" s="13"/>
      <c r="F241" s="13"/>
      <c r="G241" s="13"/>
      <c r="H241" s="13"/>
      <c r="I241" s="13"/>
      <c r="J241" s="13"/>
    </row>
    <row r="244" spans="1:11" ht="13.95" customHeight="1" x14ac:dyDescent="0.25"/>
    <row r="254" spans="1:11" x14ac:dyDescent="0.25">
      <c r="H254" s="250"/>
      <c r="I254" s="250"/>
      <c r="J254" s="250"/>
      <c r="K254" s="250"/>
    </row>
    <row r="255" spans="1:11" x14ac:dyDescent="0.25">
      <c r="A255" s="373" t="s">
        <v>358</v>
      </c>
      <c r="B255" s="372"/>
      <c r="C255" s="372"/>
      <c r="D255" s="372"/>
      <c r="E255" s="372"/>
      <c r="F255" s="372"/>
      <c r="H255" s="250"/>
      <c r="I255" s="250"/>
      <c r="J255" s="250"/>
      <c r="K255" s="250"/>
    </row>
    <row r="256" spans="1:11" ht="15.6" x14ac:dyDescent="0.3">
      <c r="A256" s="327">
        <v>1</v>
      </c>
      <c r="B256" s="328" t="s">
        <v>337</v>
      </c>
      <c r="C256" s="329"/>
      <c r="D256" s="329"/>
      <c r="E256" s="329"/>
      <c r="F256" s="329"/>
      <c r="G256" s="329"/>
      <c r="H256" s="329"/>
      <c r="I256" s="250"/>
      <c r="J256" s="250"/>
      <c r="K256" s="250"/>
    </row>
    <row r="257" spans="1:19" ht="15.6" x14ac:dyDescent="0.3">
      <c r="A257" s="330" t="s">
        <v>338</v>
      </c>
      <c r="B257" s="331"/>
      <c r="C257" s="331"/>
      <c r="D257" s="332"/>
      <c r="E257" s="333"/>
      <c r="F257" s="703"/>
      <c r="G257" s="333"/>
      <c r="H257" s="334"/>
      <c r="I257" s="250"/>
      <c r="J257" s="250"/>
      <c r="K257" s="250"/>
    </row>
    <row r="258" spans="1:19" ht="16.2" thickBot="1" x14ac:dyDescent="0.3">
      <c r="A258" s="335" t="s">
        <v>339</v>
      </c>
      <c r="B258" s="336"/>
      <c r="C258" s="336"/>
      <c r="D258" s="337"/>
      <c r="E258" s="338" t="s">
        <v>340</v>
      </c>
      <c r="F258" s="704"/>
      <c r="G258" s="339" t="s">
        <v>341</v>
      </c>
      <c r="H258" s="334"/>
      <c r="I258" s="250"/>
      <c r="J258" s="250"/>
      <c r="K258" s="250"/>
    </row>
    <row r="259" spans="1:19" ht="53.4" thickBot="1" x14ac:dyDescent="0.3">
      <c r="A259" s="340"/>
      <c r="B259" s="340"/>
      <c r="C259" s="340"/>
      <c r="D259" s="341"/>
      <c r="E259" s="339" t="s">
        <v>342</v>
      </c>
      <c r="F259" s="339" t="s">
        <v>343</v>
      </c>
      <c r="G259" s="342" t="s">
        <v>344</v>
      </c>
      <c r="H259" s="339" t="s">
        <v>345</v>
      </c>
      <c r="I259" s="250"/>
      <c r="J259" s="250"/>
      <c r="K259" s="250"/>
      <c r="M259" s="170"/>
      <c r="S259" s="170"/>
    </row>
    <row r="260" spans="1:19" ht="15.6" x14ac:dyDescent="0.3">
      <c r="A260" s="330" t="s">
        <v>346</v>
      </c>
      <c r="B260" s="340"/>
      <c r="C260" s="343">
        <v>2005</v>
      </c>
      <c r="D260" s="344">
        <v>-9</v>
      </c>
      <c r="E260" s="345"/>
      <c r="F260" s="346"/>
      <c r="G260" s="347">
        <v>15525.938371462835</v>
      </c>
      <c r="H260" s="348">
        <v>15525.938371462835</v>
      </c>
      <c r="I260" s="250"/>
      <c r="J260" s="250"/>
      <c r="K260" s="250"/>
      <c r="M260" s="170"/>
      <c r="S260" s="170"/>
    </row>
    <row r="261" spans="1:19" ht="15.6" x14ac:dyDescent="0.3">
      <c r="A261" s="335" t="s">
        <v>347</v>
      </c>
      <c r="B261" s="340"/>
      <c r="C261" s="349">
        <v>2006</v>
      </c>
      <c r="D261" s="350">
        <v>-8</v>
      </c>
      <c r="E261" s="351"/>
      <c r="F261" s="346"/>
      <c r="G261" s="352">
        <v>15588.795122621847</v>
      </c>
      <c r="H261" s="353">
        <v>15588.795122621847</v>
      </c>
      <c r="I261" s="250"/>
      <c r="J261" s="250"/>
      <c r="K261" s="250"/>
      <c r="M261" s="170"/>
      <c r="S261" s="170"/>
    </row>
    <row r="262" spans="1:19" ht="15.6" x14ac:dyDescent="0.3">
      <c r="A262" s="340"/>
      <c r="B262" s="340"/>
      <c r="C262" s="349">
        <v>2007</v>
      </c>
      <c r="D262" s="350">
        <v>-7</v>
      </c>
      <c r="E262" s="351"/>
      <c r="F262" s="346"/>
      <c r="G262" s="352">
        <v>15720.44405330364</v>
      </c>
      <c r="H262" s="353">
        <v>15720.44405330364</v>
      </c>
      <c r="I262" s="250"/>
      <c r="J262" s="250"/>
      <c r="K262" s="250"/>
      <c r="M262" s="170"/>
      <c r="S262" s="170"/>
    </row>
    <row r="263" spans="1:19" ht="15.6" x14ac:dyDescent="0.3">
      <c r="A263" s="354" t="s">
        <v>348</v>
      </c>
      <c r="B263" s="340"/>
      <c r="C263" s="349">
        <v>2008</v>
      </c>
      <c r="D263" s="350">
        <v>-6</v>
      </c>
      <c r="E263" s="351"/>
      <c r="F263" s="346"/>
      <c r="G263" s="352">
        <v>15918.624325757597</v>
      </c>
      <c r="H263" s="353">
        <v>15918.624325757597</v>
      </c>
      <c r="I263" s="250"/>
      <c r="J263" s="250"/>
      <c r="K263" s="250"/>
      <c r="M263" s="170"/>
      <c r="S263" s="170"/>
    </row>
    <row r="264" spans="1:19" ht="15.6" x14ac:dyDescent="0.3">
      <c r="A264" s="700" t="s">
        <v>349</v>
      </c>
      <c r="B264" s="340"/>
      <c r="C264" s="349">
        <v>2009</v>
      </c>
      <c r="D264" s="350">
        <v>-5</v>
      </c>
      <c r="E264" s="351"/>
      <c r="F264" s="346"/>
      <c r="G264" s="352">
        <v>16181.075102233102</v>
      </c>
      <c r="H264" s="353">
        <v>16181.075102233102</v>
      </c>
      <c r="I264" s="250"/>
      <c r="J264" s="250"/>
      <c r="K264" s="250"/>
      <c r="M264" s="170"/>
      <c r="S264" s="170"/>
    </row>
    <row r="265" spans="1:19" ht="15.6" x14ac:dyDescent="0.3">
      <c r="A265" s="701"/>
      <c r="B265" s="340"/>
      <c r="C265" s="349">
        <v>2010</v>
      </c>
      <c r="D265" s="350">
        <v>-4</v>
      </c>
      <c r="E265" s="351"/>
      <c r="F265" s="346"/>
      <c r="G265" s="352">
        <v>16505.535544979539</v>
      </c>
      <c r="H265" s="353">
        <v>16505.535544979539</v>
      </c>
      <c r="I265" s="250"/>
      <c r="J265" s="250"/>
      <c r="K265" s="250"/>
      <c r="M265" s="170"/>
      <c r="S265" s="170"/>
    </row>
    <row r="266" spans="1:19" ht="15.6" x14ac:dyDescent="0.3">
      <c r="A266" s="701"/>
      <c r="B266" s="340"/>
      <c r="C266" s="349">
        <v>2011</v>
      </c>
      <c r="D266" s="350">
        <v>-3</v>
      </c>
      <c r="E266" s="351"/>
      <c r="F266" s="346"/>
      <c r="G266" s="352">
        <v>16889.74481624629</v>
      </c>
      <c r="H266" s="353">
        <v>16889.74481624629</v>
      </c>
      <c r="I266" s="250"/>
      <c r="J266" s="250"/>
      <c r="K266" s="250"/>
      <c r="M266" s="170"/>
      <c r="S266" s="170"/>
    </row>
    <row r="267" spans="1:19" ht="15.6" x14ac:dyDescent="0.3">
      <c r="A267" s="702"/>
      <c r="B267" s="340"/>
      <c r="C267" s="349">
        <v>2012</v>
      </c>
      <c r="D267" s="350">
        <v>-2</v>
      </c>
      <c r="E267" s="351"/>
      <c r="F267" s="346"/>
      <c r="G267" s="355">
        <v>17331.442078282744</v>
      </c>
      <c r="H267" s="356">
        <v>17331.442078282744</v>
      </c>
      <c r="M267" s="170"/>
      <c r="S267" s="170"/>
    </row>
    <row r="268" spans="1:19" ht="15.6" x14ac:dyDescent="0.3">
      <c r="A268" s="340"/>
      <c r="B268" s="340"/>
      <c r="C268" s="349">
        <v>2013</v>
      </c>
      <c r="D268" s="350">
        <v>-1</v>
      </c>
      <c r="E268" s="351"/>
      <c r="F268" s="346"/>
      <c r="G268" s="355">
        <v>17828.366493338282</v>
      </c>
      <c r="H268" s="356">
        <v>17828.366493338282</v>
      </c>
      <c r="M268" s="170"/>
      <c r="S268" s="170"/>
    </row>
    <row r="269" spans="1:19" ht="15.6" x14ac:dyDescent="0.3">
      <c r="A269" s="357" t="s">
        <v>350</v>
      </c>
      <c r="B269" s="340"/>
      <c r="C269" s="349">
        <v>2014</v>
      </c>
      <c r="D269" s="350">
        <v>0</v>
      </c>
      <c r="E269" s="351">
        <v>18368.056852998394</v>
      </c>
      <c r="F269" s="346">
        <v>18368.056852998394</v>
      </c>
      <c r="G269" s="355">
        <v>18368.056852998394</v>
      </c>
      <c r="H269" s="356">
        <v>18368.056852998394</v>
      </c>
      <c r="M269" s="170"/>
      <c r="S269" s="170"/>
    </row>
    <row r="270" spans="1:19" ht="15.6" x14ac:dyDescent="0.3">
      <c r="A270" s="358">
        <v>2017</v>
      </c>
      <c r="B270" s="336"/>
      <c r="C270" s="349">
        <v>2015</v>
      </c>
      <c r="D270" s="350">
        <v>1</v>
      </c>
      <c r="E270" s="351"/>
      <c r="F270" s="346"/>
      <c r="G270" s="355">
        <v>18978.853431504143</v>
      </c>
      <c r="H270" s="356">
        <v>18978.853431504143</v>
      </c>
      <c r="M270" s="170"/>
      <c r="S270" s="170"/>
    </row>
    <row r="271" spans="1:19" ht="15.6" x14ac:dyDescent="0.3">
      <c r="A271" s="359"/>
      <c r="B271" s="336"/>
      <c r="C271" s="349">
        <v>2016</v>
      </c>
      <c r="D271" s="350">
        <v>2</v>
      </c>
      <c r="E271" s="351"/>
      <c r="F271" s="346"/>
      <c r="G271" s="355">
        <v>19627.894279113239</v>
      </c>
      <c r="H271" s="356">
        <v>19627.894279113239</v>
      </c>
      <c r="M271" s="170"/>
      <c r="S271" s="170"/>
    </row>
    <row r="272" spans="1:19" ht="15.6" x14ac:dyDescent="0.3">
      <c r="A272" s="357" t="s">
        <v>351</v>
      </c>
      <c r="B272" s="336"/>
      <c r="C272" s="349">
        <v>2017</v>
      </c>
      <c r="D272" s="350">
        <v>3</v>
      </c>
      <c r="E272" s="351"/>
      <c r="F272" s="346"/>
      <c r="G272" s="355">
        <v>20323.11892873895</v>
      </c>
      <c r="H272" s="356">
        <v>20323.11892873895</v>
      </c>
      <c r="M272" s="170"/>
      <c r="S272" s="170"/>
    </row>
    <row r="273" spans="1:19" ht="15.6" x14ac:dyDescent="0.3">
      <c r="A273" s="358" t="s">
        <v>342</v>
      </c>
      <c r="B273" s="336"/>
      <c r="C273" s="349">
        <v>2018</v>
      </c>
      <c r="D273" s="350">
        <v>4</v>
      </c>
      <c r="E273" s="351"/>
      <c r="F273" s="346"/>
      <c r="G273" s="355">
        <v>21062.26654263067</v>
      </c>
      <c r="H273" s="356">
        <v>21062.26654263067</v>
      </c>
      <c r="M273" s="170"/>
      <c r="S273" s="170"/>
    </row>
    <row r="274" spans="1:19" ht="15.6" x14ac:dyDescent="0.3">
      <c r="A274" s="360"/>
      <c r="B274" s="361"/>
      <c r="C274" s="349">
        <v>2019</v>
      </c>
      <c r="D274" s="350">
        <v>5</v>
      </c>
      <c r="E274" s="351"/>
      <c r="F274" s="346"/>
      <c r="G274" s="355">
        <v>21843.076283037775</v>
      </c>
      <c r="H274" s="356">
        <v>21843.076283037775</v>
      </c>
      <c r="M274" s="170"/>
      <c r="S274" s="170"/>
    </row>
    <row r="275" spans="1:19" ht="15.6" x14ac:dyDescent="0.3">
      <c r="A275" s="517" t="s">
        <v>352</v>
      </c>
      <c r="B275" s="336"/>
      <c r="C275" s="349">
        <v>2020</v>
      </c>
      <c r="D275" s="350">
        <v>6</v>
      </c>
      <c r="E275" s="351"/>
      <c r="F275" s="346"/>
      <c r="G275" s="355">
        <v>22663.28731220965</v>
      </c>
      <c r="H275" s="356">
        <v>22663.28731220965</v>
      </c>
      <c r="M275" s="170"/>
      <c r="S275" s="170"/>
    </row>
    <row r="276" spans="1:19" ht="15.6" x14ac:dyDescent="0.3">
      <c r="A276" s="363"/>
      <c r="B276" s="336"/>
      <c r="C276" s="349">
        <v>2021</v>
      </c>
      <c r="D276" s="350">
        <v>7</v>
      </c>
      <c r="E276" s="351"/>
      <c r="F276" s="346"/>
      <c r="G276" s="355">
        <v>23520.638792395686</v>
      </c>
      <c r="H276" s="356">
        <v>23520.638792395686</v>
      </c>
      <c r="M276" s="170"/>
      <c r="S276" s="170"/>
    </row>
    <row r="277" spans="1:19" ht="15.6" x14ac:dyDescent="0.3">
      <c r="A277" s="364"/>
      <c r="B277" s="336"/>
      <c r="C277" s="349">
        <v>2022</v>
      </c>
      <c r="D277" s="350">
        <v>8</v>
      </c>
      <c r="E277" s="351"/>
      <c r="F277" s="346"/>
      <c r="G277" s="355">
        <v>24412.869885845259</v>
      </c>
      <c r="H277" s="356">
        <v>24412.869885845259</v>
      </c>
      <c r="M277" s="170"/>
      <c r="S277" s="170"/>
    </row>
    <row r="278" spans="1:19" ht="15.6" x14ac:dyDescent="0.3">
      <c r="A278" s="358"/>
      <c r="B278" s="336"/>
      <c r="C278" s="349">
        <v>2023</v>
      </c>
      <c r="D278" s="350">
        <v>9</v>
      </c>
      <c r="E278" s="351"/>
      <c r="F278" s="346"/>
      <c r="G278" s="355">
        <v>25337.719754807757</v>
      </c>
      <c r="H278" s="356">
        <v>25337.719754807757</v>
      </c>
      <c r="M278" s="170"/>
      <c r="S278" s="170"/>
    </row>
    <row r="279" spans="1:19" ht="15.6" x14ac:dyDescent="0.3">
      <c r="A279" s="336"/>
      <c r="B279" s="336"/>
      <c r="C279" s="349">
        <v>2024</v>
      </c>
      <c r="D279" s="350">
        <v>10</v>
      </c>
      <c r="E279" s="351"/>
      <c r="F279" s="346"/>
      <c r="G279" s="355">
        <v>26292.927561532561</v>
      </c>
      <c r="H279" s="356">
        <v>26292.927561532561</v>
      </c>
      <c r="M279" s="170"/>
      <c r="S279" s="170"/>
    </row>
    <row r="280" spans="1:19" ht="15.6" x14ac:dyDescent="0.3">
      <c r="A280" s="336"/>
      <c r="B280" s="336"/>
      <c r="C280" s="349">
        <v>2025</v>
      </c>
      <c r="D280" s="350">
        <v>11</v>
      </c>
      <c r="E280" s="351">
        <v>27263.068278567229</v>
      </c>
      <c r="F280" s="346">
        <v>27263.068278567229</v>
      </c>
      <c r="G280" s="355">
        <v>27263.068278567229</v>
      </c>
      <c r="H280" s="356">
        <v>27263.068278567229</v>
      </c>
      <c r="M280" s="170"/>
      <c r="S280" s="170"/>
    </row>
    <row r="281" spans="1:19" ht="15.6" x14ac:dyDescent="0.3">
      <c r="A281" s="336"/>
      <c r="B281" s="336"/>
      <c r="C281" s="349">
        <v>2026</v>
      </c>
      <c r="D281" s="350">
        <v>12</v>
      </c>
      <c r="E281" s="351"/>
      <c r="F281" s="346"/>
      <c r="G281" s="355">
        <v>28285.373637266632</v>
      </c>
      <c r="H281" s="356">
        <v>28285.373637266632</v>
      </c>
      <c r="M281" s="170"/>
      <c r="S281" s="170"/>
    </row>
    <row r="282" spans="1:19" ht="16.2" thickBot="1" x14ac:dyDescent="0.35">
      <c r="A282" s="336"/>
      <c r="B282" s="336"/>
      <c r="C282" s="349">
        <v>2027</v>
      </c>
      <c r="D282" s="350">
        <v>13</v>
      </c>
      <c r="E282" s="351"/>
      <c r="F282" s="346"/>
      <c r="G282" s="355">
        <v>29318.090230774666</v>
      </c>
      <c r="H282" s="356">
        <v>29318.090230774666</v>
      </c>
      <c r="M282" s="209"/>
      <c r="S282" s="209"/>
    </row>
    <row r="283" spans="1:19" ht="15.6" x14ac:dyDescent="0.3">
      <c r="A283" s="336"/>
      <c r="B283" s="336"/>
      <c r="C283" s="349">
        <v>2028</v>
      </c>
      <c r="D283" s="350">
        <v>14</v>
      </c>
      <c r="E283" s="351"/>
      <c r="F283" s="346"/>
      <c r="G283" s="355">
        <v>30372.121411042543</v>
      </c>
      <c r="H283" s="356">
        <v>30372.121411042543</v>
      </c>
    </row>
    <row r="284" spans="1:19" ht="15.6" x14ac:dyDescent="0.3">
      <c r="A284" s="336"/>
      <c r="B284" s="336"/>
      <c r="C284" s="349">
        <v>2029</v>
      </c>
      <c r="D284" s="350">
        <v>15</v>
      </c>
      <c r="E284" s="351"/>
      <c r="F284" s="346"/>
      <c r="G284" s="355">
        <v>31445.206340319648</v>
      </c>
      <c r="H284" s="356">
        <v>31445.206340319648</v>
      </c>
    </row>
    <row r="285" spans="1:19" ht="15.6" x14ac:dyDescent="0.3">
      <c r="A285" s="336"/>
      <c r="B285" s="336"/>
      <c r="C285" s="349">
        <v>2030</v>
      </c>
      <c r="D285" s="350">
        <v>16</v>
      </c>
      <c r="E285" s="351">
        <v>32636.176165275068</v>
      </c>
      <c r="F285" s="346">
        <v>32636.176165275068</v>
      </c>
      <c r="G285" s="355">
        <v>32636.176165275068</v>
      </c>
      <c r="H285" s="356">
        <v>32636.176165275068</v>
      </c>
    </row>
    <row r="286" spans="1:19" ht="15.6" x14ac:dyDescent="0.3">
      <c r="A286" s="336"/>
      <c r="B286" s="336"/>
      <c r="C286" s="349">
        <v>2031</v>
      </c>
      <c r="D286" s="350">
        <v>17</v>
      </c>
      <c r="E286" s="351"/>
      <c r="F286" s="346"/>
      <c r="G286" s="355">
        <v>33639.494094899077</v>
      </c>
      <c r="H286" s="356">
        <v>33639.494094899077</v>
      </c>
    </row>
    <row r="287" spans="1:19" ht="15.6" x14ac:dyDescent="0.3">
      <c r="A287" s="336"/>
      <c r="B287" s="336"/>
      <c r="C287" s="349">
        <v>2032</v>
      </c>
      <c r="D287" s="350">
        <v>18</v>
      </c>
      <c r="E287" s="351"/>
      <c r="F287" s="346"/>
      <c r="G287" s="355">
        <v>34756.175244700171</v>
      </c>
      <c r="H287" s="356">
        <v>34756.175244700171</v>
      </c>
    </row>
    <row r="288" spans="1:19" ht="15.6" x14ac:dyDescent="0.3">
      <c r="A288" s="361"/>
      <c r="B288" s="361"/>
      <c r="C288" s="349">
        <v>2033</v>
      </c>
      <c r="D288" s="350">
        <v>19</v>
      </c>
      <c r="E288" s="351"/>
      <c r="F288" s="346"/>
      <c r="G288" s="355">
        <v>35882.86679250803</v>
      </c>
      <c r="H288" s="356">
        <v>35882.86679250803</v>
      </c>
    </row>
    <row r="289" spans="1:13" ht="15.6" x14ac:dyDescent="0.3">
      <c r="A289" s="361"/>
      <c r="B289" s="361"/>
      <c r="C289" s="349">
        <v>2034</v>
      </c>
      <c r="D289" s="350">
        <v>20</v>
      </c>
      <c r="E289" s="351"/>
      <c r="F289" s="346"/>
      <c r="G289" s="355">
        <v>37017.307900572036</v>
      </c>
      <c r="H289" s="356">
        <v>37017.307900572036</v>
      </c>
    </row>
    <row r="290" spans="1:13" ht="15.6" x14ac:dyDescent="0.3">
      <c r="A290" s="361"/>
      <c r="B290" s="361"/>
      <c r="C290" s="349">
        <v>2035</v>
      </c>
      <c r="D290" s="350">
        <v>21</v>
      </c>
      <c r="E290" s="351">
        <v>38137.056156610328</v>
      </c>
      <c r="F290" s="346">
        <v>38137.056156610328</v>
      </c>
      <c r="G290" s="355">
        <v>38137.056156610328</v>
      </c>
      <c r="H290" s="356">
        <v>38137.056156610328</v>
      </c>
    </row>
    <row r="291" spans="1:13" ht="15.6" x14ac:dyDescent="0.3">
      <c r="A291" s="361"/>
      <c r="B291" s="361"/>
      <c r="C291" s="349">
        <v>2036</v>
      </c>
      <c r="D291" s="350">
        <v>22</v>
      </c>
      <c r="E291" s="351"/>
      <c r="F291" s="346"/>
      <c r="G291" s="355">
        <v>39300.39544646602</v>
      </c>
      <c r="H291" s="356">
        <v>39300.39544646602</v>
      </c>
    </row>
    <row r="292" spans="1:13" ht="15.6" x14ac:dyDescent="0.3">
      <c r="A292" s="361"/>
      <c r="B292" s="361"/>
      <c r="C292" s="349">
        <v>2037</v>
      </c>
      <c r="D292" s="350">
        <v>23</v>
      </c>
      <c r="E292" s="351"/>
      <c r="F292" s="346"/>
      <c r="G292" s="355">
        <v>40444.520208794776</v>
      </c>
      <c r="H292" s="356">
        <v>40444.520208794776</v>
      </c>
    </row>
    <row r="293" spans="1:13" ht="15.6" x14ac:dyDescent="0.3">
      <c r="A293" s="361"/>
      <c r="B293" s="361"/>
      <c r="C293" s="349">
        <v>2038</v>
      </c>
      <c r="D293" s="350">
        <v>24</v>
      </c>
      <c r="E293" s="351"/>
      <c r="F293" s="346"/>
      <c r="G293" s="355">
        <v>41587.351180377213</v>
      </c>
      <c r="H293" s="356">
        <v>41587.351180377213</v>
      </c>
    </row>
    <row r="294" spans="1:13" ht="15.6" x14ac:dyDescent="0.3">
      <c r="A294" s="361"/>
      <c r="B294" s="361"/>
      <c r="C294" s="349">
        <v>2039</v>
      </c>
      <c r="D294" s="350">
        <v>25</v>
      </c>
      <c r="E294" s="351"/>
      <c r="F294" s="346"/>
      <c r="G294" s="355">
        <v>42726.62752346271</v>
      </c>
      <c r="H294" s="356">
        <v>42726.62752346271</v>
      </c>
    </row>
    <row r="295" spans="1:13" ht="15.6" x14ac:dyDescent="0.3">
      <c r="A295" s="361"/>
      <c r="B295" s="361"/>
      <c r="C295" s="349">
        <v>2040</v>
      </c>
      <c r="D295" s="350">
        <v>26</v>
      </c>
      <c r="E295" s="351">
        <v>43754.240410899052</v>
      </c>
      <c r="F295" s="346">
        <v>43754.240410899052</v>
      </c>
      <c r="G295" s="355">
        <v>43754.240410899052</v>
      </c>
      <c r="H295" s="356">
        <v>43754.240410899052</v>
      </c>
    </row>
    <row r="296" spans="1:13" ht="15.6" x14ac:dyDescent="0.3">
      <c r="A296" s="361"/>
      <c r="B296" s="361"/>
      <c r="C296" s="349">
        <v>2041</v>
      </c>
      <c r="D296" s="350">
        <v>27</v>
      </c>
      <c r="E296" s="351"/>
      <c r="F296" s="346"/>
      <c r="G296" s="355">
        <v>44985.472973140459</v>
      </c>
      <c r="H296" s="356">
        <v>44985.472973140459</v>
      </c>
    </row>
    <row r="297" spans="1:13" ht="15.6" x14ac:dyDescent="0.3">
      <c r="A297" s="361"/>
      <c r="B297" s="361"/>
      <c r="C297" s="349">
        <v>2042</v>
      </c>
      <c r="D297" s="350">
        <v>28</v>
      </c>
      <c r="E297" s="351"/>
      <c r="F297" s="346"/>
      <c r="G297" s="355">
        <v>46100.520404231473</v>
      </c>
      <c r="H297" s="356">
        <v>46100.520404231473</v>
      </c>
    </row>
    <row r="298" spans="1:13" ht="15.6" x14ac:dyDescent="0.3">
      <c r="A298" s="361"/>
      <c r="B298" s="361"/>
      <c r="C298" s="349">
        <v>2043</v>
      </c>
      <c r="D298" s="350">
        <v>29</v>
      </c>
      <c r="E298" s="351"/>
      <c r="F298" s="346"/>
      <c r="G298" s="355">
        <v>47202.969855823088</v>
      </c>
      <c r="H298" s="356">
        <v>47202.969855823088</v>
      </c>
    </row>
    <row r="299" spans="1:13" ht="15.6" x14ac:dyDescent="0.3">
      <c r="A299" s="361"/>
      <c r="B299" s="361"/>
      <c r="C299" s="349">
        <v>2044</v>
      </c>
      <c r="D299" s="350">
        <v>30</v>
      </c>
      <c r="E299" s="351"/>
      <c r="F299" s="346"/>
      <c r="G299" s="355">
        <v>48290.560490164688</v>
      </c>
      <c r="H299" s="356">
        <v>48290.560490164688</v>
      </c>
    </row>
    <row r="300" spans="1:13" ht="15.6" x14ac:dyDescent="0.3">
      <c r="A300" s="361"/>
      <c r="B300" s="361"/>
      <c r="C300" s="349">
        <v>2045</v>
      </c>
      <c r="D300" s="350">
        <v>31</v>
      </c>
      <c r="E300" s="351">
        <v>49348.565279054761</v>
      </c>
      <c r="F300" s="346">
        <v>49348.565279054761</v>
      </c>
      <c r="G300" s="355">
        <v>49348.565279054761</v>
      </c>
      <c r="H300" s="356">
        <v>49348.565279054761</v>
      </c>
    </row>
    <row r="301" spans="1:13" ht="15.6" x14ac:dyDescent="0.3">
      <c r="A301" s="361"/>
      <c r="B301" s="361"/>
      <c r="C301" s="349">
        <v>2046</v>
      </c>
      <c r="D301" s="350">
        <v>32</v>
      </c>
      <c r="E301" s="351"/>
      <c r="F301" s="346"/>
      <c r="G301" s="355">
        <v>50412.12195609539</v>
      </c>
      <c r="H301" s="356">
        <v>50412.12195609539</v>
      </c>
    </row>
    <row r="302" spans="1:13" ht="16.2" thickBot="1" x14ac:dyDescent="0.35">
      <c r="A302" s="365"/>
      <c r="B302" s="366"/>
      <c r="C302" s="349">
        <v>2047</v>
      </c>
      <c r="D302" s="350">
        <v>33</v>
      </c>
      <c r="E302" s="351"/>
      <c r="F302" s="346"/>
      <c r="G302" s="355">
        <v>51441.571112183265</v>
      </c>
      <c r="H302" s="356">
        <v>51441.571112183265</v>
      </c>
    </row>
    <row r="303" spans="1:13" ht="15.6" x14ac:dyDescent="0.3">
      <c r="A303" s="359"/>
      <c r="B303" s="366"/>
      <c r="C303" s="349">
        <v>2048</v>
      </c>
      <c r="D303" s="350">
        <v>34</v>
      </c>
      <c r="E303" s="351"/>
      <c r="F303" s="346"/>
      <c r="G303" s="355">
        <v>52447.118100018655</v>
      </c>
      <c r="H303" s="356">
        <v>52447.118100018655</v>
      </c>
      <c r="M303" s="202"/>
    </row>
    <row r="304" spans="1:13" ht="15.6" x14ac:dyDescent="0.3">
      <c r="A304" s="359"/>
      <c r="B304" s="359"/>
      <c r="C304" s="349">
        <v>2049</v>
      </c>
      <c r="D304" s="350">
        <v>35</v>
      </c>
      <c r="E304" s="351"/>
      <c r="F304" s="346"/>
      <c r="G304" s="355">
        <v>53426.502081850958</v>
      </c>
      <c r="H304" s="356">
        <v>53426.502081850958</v>
      </c>
      <c r="M304" s="170"/>
    </row>
    <row r="305" spans="1:29" ht="15.6" x14ac:dyDescent="0.3">
      <c r="A305" s="359"/>
      <c r="B305" s="359"/>
      <c r="C305" s="349">
        <v>2050</v>
      </c>
      <c r="D305" s="350">
        <v>36</v>
      </c>
      <c r="E305" s="351">
        <v>54396.590671889055</v>
      </c>
      <c r="F305" s="346">
        <v>54396.590671889055</v>
      </c>
      <c r="G305" s="355">
        <v>54396.590671889055</v>
      </c>
      <c r="H305" s="356">
        <v>54396.590671889055</v>
      </c>
      <c r="M305" s="170"/>
    </row>
    <row r="306" spans="1:29" ht="15.6" x14ac:dyDescent="0.3">
      <c r="A306"/>
      <c r="B306"/>
      <c r="C306" s="349">
        <v>2051</v>
      </c>
      <c r="D306" s="350">
        <v>37</v>
      </c>
      <c r="E306" s="351"/>
      <c r="F306" s="346"/>
      <c r="G306" s="355">
        <v>55297.737676503828</v>
      </c>
      <c r="H306" s="356">
        <v>55297.737676503828</v>
      </c>
      <c r="M306" s="170"/>
    </row>
    <row r="307" spans="1:29" ht="15.6" x14ac:dyDescent="0.3">
      <c r="A307"/>
      <c r="B307"/>
      <c r="C307" s="349">
        <v>2052</v>
      </c>
      <c r="D307" s="350">
        <v>38</v>
      </c>
      <c r="E307" s="351"/>
      <c r="F307" s="346"/>
      <c r="G307" s="355">
        <v>56185.06761382315</v>
      </c>
      <c r="H307" s="356">
        <v>56185.06761382315</v>
      </c>
      <c r="M307" s="170"/>
    </row>
    <row r="308" spans="1:29" ht="15.6" x14ac:dyDescent="0.3">
      <c r="A308"/>
      <c r="B308"/>
      <c r="C308" s="349">
        <v>2053</v>
      </c>
      <c r="D308" s="350">
        <v>39</v>
      </c>
      <c r="E308" s="351"/>
      <c r="F308" s="346"/>
      <c r="G308" s="355">
        <v>57037.191194136918</v>
      </c>
      <c r="H308" s="356">
        <v>57037.191194136918</v>
      </c>
      <c r="M308" s="170"/>
    </row>
    <row r="309" spans="1:29" ht="15.6" x14ac:dyDescent="0.3">
      <c r="A309"/>
      <c r="B309"/>
      <c r="C309" s="349">
        <v>2054</v>
      </c>
      <c r="D309" s="350">
        <v>40</v>
      </c>
      <c r="E309" s="351"/>
      <c r="F309" s="346"/>
      <c r="G309" s="355">
        <v>57851.84757969452</v>
      </c>
      <c r="H309" s="356">
        <v>57851.84757969452</v>
      </c>
      <c r="M309" s="170"/>
    </row>
    <row r="310" spans="1:29" ht="15.6" x14ac:dyDescent="0.3">
      <c r="A310"/>
      <c r="B310"/>
      <c r="C310" s="349">
        <v>2055</v>
      </c>
      <c r="D310" s="350">
        <v>41</v>
      </c>
      <c r="E310" s="351">
        <v>58729.658261944052</v>
      </c>
      <c r="F310" s="346">
        <v>58729.658261944052</v>
      </c>
      <c r="G310" s="355">
        <v>58729.658261944052</v>
      </c>
      <c r="H310" s="356">
        <v>58729.658261944052</v>
      </c>
      <c r="M310" s="170"/>
    </row>
    <row r="311" spans="1:29" ht="15.6" x14ac:dyDescent="0.3">
      <c r="A311"/>
      <c r="B311"/>
      <c r="C311" s="349">
        <v>2056</v>
      </c>
      <c r="D311" s="350">
        <v>42</v>
      </c>
      <c r="E311" s="351"/>
      <c r="F311" s="346"/>
      <c r="G311" s="355">
        <v>59359.715415538732</v>
      </c>
      <c r="H311" s="356">
        <v>59359.715415538732</v>
      </c>
      <c r="M311" s="170"/>
    </row>
    <row r="312" spans="1:29" ht="15.6" x14ac:dyDescent="0.3">
      <c r="A312"/>
      <c r="B312"/>
      <c r="C312" s="349">
        <v>2057</v>
      </c>
      <c r="D312" s="350">
        <v>43</v>
      </c>
      <c r="E312" s="351"/>
      <c r="F312" s="346"/>
      <c r="G312" s="355">
        <v>60048.405190324127</v>
      </c>
      <c r="H312" s="356">
        <v>60048.405190324127</v>
      </c>
      <c r="M312" s="170"/>
      <c r="AC312" s="251"/>
    </row>
    <row r="313" spans="1:29" ht="15.6" x14ac:dyDescent="0.3">
      <c r="A313"/>
      <c r="B313"/>
      <c r="C313" s="349">
        <v>2058</v>
      </c>
      <c r="D313" s="350">
        <v>44</v>
      </c>
      <c r="E313" s="351"/>
      <c r="F313" s="346"/>
      <c r="G313" s="355">
        <v>60690.584419350875</v>
      </c>
      <c r="H313" s="356">
        <v>60690.584419350875</v>
      </c>
      <c r="M313" s="170"/>
      <c r="AC313" s="251"/>
    </row>
    <row r="314" spans="1:29" ht="15.6" x14ac:dyDescent="0.3">
      <c r="A314"/>
      <c r="B314"/>
      <c r="C314" s="349">
        <v>2059</v>
      </c>
      <c r="D314" s="350">
        <v>45</v>
      </c>
      <c r="E314" s="351"/>
      <c r="F314" s="346"/>
      <c r="G314" s="355">
        <v>61283.992264868371</v>
      </c>
      <c r="H314" s="356">
        <v>61283.992264868371</v>
      </c>
      <c r="M314" s="170"/>
      <c r="AC314" s="251"/>
    </row>
    <row r="315" spans="1:29" ht="15.6" x14ac:dyDescent="0.3">
      <c r="A315"/>
      <c r="B315"/>
      <c r="C315" s="367">
        <v>2060</v>
      </c>
      <c r="D315" s="350">
        <v>46</v>
      </c>
      <c r="E315" s="351">
        <v>61765.125438297531</v>
      </c>
      <c r="F315" s="346">
        <v>61765.125438297531</v>
      </c>
      <c r="G315" s="355">
        <v>61765.125438297531</v>
      </c>
      <c r="H315" s="356">
        <v>61765.125438297531</v>
      </c>
      <c r="M315" s="170"/>
      <c r="AC315" s="251"/>
    </row>
    <row r="316" spans="1:29" x14ac:dyDescent="0.25">
      <c r="M316" s="170"/>
      <c r="AC316" s="251"/>
    </row>
    <row r="317" spans="1:29" x14ac:dyDescent="0.25">
      <c r="M317" s="170"/>
      <c r="AC317" s="251"/>
    </row>
    <row r="318" spans="1:29" x14ac:dyDescent="0.25">
      <c r="M318" s="170"/>
      <c r="AC318" s="251"/>
    </row>
    <row r="319" spans="1:29" x14ac:dyDescent="0.25">
      <c r="M319" s="170"/>
      <c r="AC319" s="251"/>
    </row>
    <row r="320" spans="1:29" x14ac:dyDescent="0.25">
      <c r="M320" s="170"/>
      <c r="AC320" s="251"/>
    </row>
    <row r="321" spans="1:29" x14ac:dyDescent="0.25">
      <c r="M321" s="170"/>
      <c r="AC321" s="251"/>
    </row>
    <row r="322" spans="1:29" ht="15.6" x14ac:dyDescent="0.3">
      <c r="A322" s="327">
        <v>3</v>
      </c>
      <c r="B322" s="328" t="s">
        <v>353</v>
      </c>
      <c r="C322" s="329"/>
      <c r="D322" s="329"/>
      <c r="E322" s="329"/>
      <c r="F322" s="329"/>
      <c r="G322" s="329"/>
      <c r="H322" s="329"/>
      <c r="M322" s="170"/>
      <c r="AC322" s="251"/>
    </row>
    <row r="323" spans="1:29" ht="15.6" x14ac:dyDescent="0.3">
      <c r="A323" s="330" t="s">
        <v>338</v>
      </c>
      <c r="B323" s="331"/>
      <c r="C323" s="331"/>
      <c r="D323" s="332"/>
      <c r="E323" s="333"/>
      <c r="F323" s="703"/>
      <c r="G323" s="333"/>
      <c r="H323" s="334"/>
      <c r="M323" s="170"/>
      <c r="AC323" s="251"/>
    </row>
    <row r="324" spans="1:29" ht="16.2" thickBot="1" x14ac:dyDescent="0.3">
      <c r="A324" s="368" t="s">
        <v>339</v>
      </c>
      <c r="B324" s="336"/>
      <c r="C324" s="336"/>
      <c r="D324" s="337"/>
      <c r="E324" s="338" t="s">
        <v>340</v>
      </c>
      <c r="F324" s="704"/>
      <c r="G324" s="369" t="s">
        <v>354</v>
      </c>
      <c r="H324" s="334"/>
      <c r="M324" s="170"/>
      <c r="AC324" s="251"/>
    </row>
    <row r="325" spans="1:29" ht="53.4" thickBot="1" x14ac:dyDescent="0.3">
      <c r="A325" s="340"/>
      <c r="B325" s="340"/>
      <c r="C325" s="340"/>
      <c r="D325" s="341"/>
      <c r="E325" s="369" t="s">
        <v>342</v>
      </c>
      <c r="F325" s="369" t="s">
        <v>343</v>
      </c>
      <c r="G325" s="370" t="s">
        <v>344</v>
      </c>
      <c r="H325" s="369" t="s">
        <v>345</v>
      </c>
      <c r="M325" s="170"/>
      <c r="AC325" s="251"/>
    </row>
    <row r="326" spans="1:29" ht="15.6" x14ac:dyDescent="0.3">
      <c r="A326" s="330" t="s">
        <v>346</v>
      </c>
      <c r="B326" s="340"/>
      <c r="C326" s="343">
        <v>2005</v>
      </c>
      <c r="D326" s="344">
        <v>-9</v>
      </c>
      <c r="E326" s="345"/>
      <c r="F326" s="346"/>
      <c r="G326" s="347">
        <v>17005.86738248176</v>
      </c>
      <c r="H326" s="348">
        <v>17005.86738248176</v>
      </c>
      <c r="M326" s="170"/>
      <c r="AC326" s="251"/>
    </row>
    <row r="327" spans="1:29" ht="15.6" x14ac:dyDescent="0.3">
      <c r="A327" s="368" t="s">
        <v>5</v>
      </c>
      <c r="B327" s="340"/>
      <c r="C327" s="349">
        <v>2006</v>
      </c>
      <c r="D327" s="350">
        <v>-8</v>
      </c>
      <c r="E327" s="351"/>
      <c r="F327" s="346"/>
      <c r="G327" s="352">
        <v>17083.413277682117</v>
      </c>
      <c r="H327" s="353">
        <v>17083.413277682117</v>
      </c>
      <c r="M327" s="170"/>
      <c r="AC327" s="251"/>
    </row>
    <row r="328" spans="1:29" ht="15.6" x14ac:dyDescent="0.3">
      <c r="A328" s="340"/>
      <c r="B328" s="340"/>
      <c r="C328" s="349">
        <v>2007</v>
      </c>
      <c r="D328" s="350">
        <v>-7</v>
      </c>
      <c r="E328" s="351"/>
      <c r="F328" s="346"/>
      <c r="G328" s="352">
        <v>17166.827655626541</v>
      </c>
      <c r="H328" s="353">
        <v>17166.827655626541</v>
      </c>
      <c r="M328" s="170"/>
      <c r="AC328" s="251"/>
    </row>
    <row r="329" spans="1:29" ht="15.6" x14ac:dyDescent="0.3">
      <c r="A329" s="354" t="s">
        <v>348</v>
      </c>
      <c r="B329" s="340"/>
      <c r="C329" s="349">
        <v>2008</v>
      </c>
      <c r="D329" s="350">
        <v>-6</v>
      </c>
      <c r="E329" s="351"/>
      <c r="F329" s="346"/>
      <c r="G329" s="352">
        <v>17255.943795522449</v>
      </c>
      <c r="H329" s="353">
        <v>17255.943795522449</v>
      </c>
      <c r="M329" s="170"/>
      <c r="AC329" s="251"/>
    </row>
    <row r="330" spans="1:29" ht="15.6" x14ac:dyDescent="0.3">
      <c r="A330" s="700" t="s">
        <v>355</v>
      </c>
      <c r="B330" s="340"/>
      <c r="C330" s="349">
        <v>2009</v>
      </c>
      <c r="D330" s="350">
        <v>-5</v>
      </c>
      <c r="E330" s="351"/>
      <c r="F330" s="346"/>
      <c r="G330" s="352">
        <v>17350.594976577249</v>
      </c>
      <c r="H330" s="353">
        <v>17350.594976577249</v>
      </c>
      <c r="M330" s="170"/>
      <c r="AC330" s="251"/>
    </row>
    <row r="331" spans="1:29" ht="15.6" x14ac:dyDescent="0.3">
      <c r="A331" s="701"/>
      <c r="B331" s="340"/>
      <c r="C331" s="349">
        <v>2010</v>
      </c>
      <c r="D331" s="350">
        <v>-4</v>
      </c>
      <c r="E331" s="351"/>
      <c r="F331" s="346"/>
      <c r="G331" s="352">
        <v>17450.614477998362</v>
      </c>
      <c r="H331" s="353">
        <v>17450.614477998362</v>
      </c>
      <c r="M331" s="170"/>
      <c r="AC331" s="251"/>
    </row>
    <row r="332" spans="1:29" ht="15.6" x14ac:dyDescent="0.3">
      <c r="A332" s="701"/>
      <c r="B332" s="340"/>
      <c r="C332" s="349">
        <v>2011</v>
      </c>
      <c r="D332" s="350">
        <v>-3</v>
      </c>
      <c r="E332" s="351"/>
      <c r="F332" s="346"/>
      <c r="G332" s="352">
        <v>17555.835578993199</v>
      </c>
      <c r="H332" s="353">
        <v>17555.835578993199</v>
      </c>
      <c r="M332" s="170"/>
      <c r="AC332" s="251"/>
    </row>
    <row r="333" spans="1:29" ht="16.2" thickBot="1" x14ac:dyDescent="0.35">
      <c r="A333" s="702"/>
      <c r="B333" s="340"/>
      <c r="C333" s="349">
        <v>2012</v>
      </c>
      <c r="D333" s="350">
        <v>-2</v>
      </c>
      <c r="E333" s="351"/>
      <c r="F333" s="346"/>
      <c r="G333" s="355">
        <v>17666.091558769174</v>
      </c>
      <c r="H333" s="356">
        <v>17666.091558769174</v>
      </c>
      <c r="M333" s="209"/>
      <c r="AC333" s="251"/>
    </row>
    <row r="334" spans="1:29" ht="15.6" x14ac:dyDescent="0.3">
      <c r="A334" s="340"/>
      <c r="B334" s="340"/>
      <c r="C334" s="349">
        <v>2013</v>
      </c>
      <c r="D334" s="350">
        <v>-1</v>
      </c>
      <c r="E334" s="351"/>
      <c r="F334" s="346"/>
      <c r="G334" s="355">
        <v>17781.215696533705</v>
      </c>
      <c r="H334" s="356">
        <v>17781.215696533705</v>
      </c>
      <c r="AC334" s="251"/>
    </row>
    <row r="335" spans="1:29" ht="15.6" x14ac:dyDescent="0.3">
      <c r="A335" s="357" t="s">
        <v>350</v>
      </c>
      <c r="B335" s="340"/>
      <c r="C335" s="349">
        <v>2014</v>
      </c>
      <c r="D335" s="350">
        <v>0</v>
      </c>
      <c r="E335" s="351">
        <v>17944.221871904836</v>
      </c>
      <c r="F335" s="346">
        <v>17944.221871904836</v>
      </c>
      <c r="G335" s="355">
        <v>17944.221871904836</v>
      </c>
      <c r="H335" s="356">
        <v>17944.221871904836</v>
      </c>
      <c r="AC335" s="251"/>
    </row>
    <row r="336" spans="1:29" ht="15.6" x14ac:dyDescent="0.3">
      <c r="A336" s="358">
        <v>2017</v>
      </c>
      <c r="B336" s="336"/>
      <c r="C336" s="349">
        <v>2015</v>
      </c>
      <c r="D336" s="350">
        <v>1</v>
      </c>
      <c r="E336" s="351"/>
      <c r="F336" s="346"/>
      <c r="G336" s="355">
        <v>18025.401562858075</v>
      </c>
      <c r="H336" s="356">
        <v>18025.401562858075</v>
      </c>
      <c r="AC336" s="251"/>
    </row>
    <row r="337" spans="1:29" ht="15.6" x14ac:dyDescent="0.3">
      <c r="A337" s="359"/>
      <c r="B337" s="336"/>
      <c r="C337" s="349">
        <v>2016</v>
      </c>
      <c r="D337" s="350">
        <v>2</v>
      </c>
      <c r="E337" s="351"/>
      <c r="F337" s="346"/>
      <c r="G337" s="355">
        <v>18154.129849832749</v>
      </c>
      <c r="H337" s="356">
        <v>18154.129849832749</v>
      </c>
      <c r="AC337" s="251"/>
    </row>
    <row r="338" spans="1:29" ht="15.6" x14ac:dyDescent="0.3">
      <c r="A338" s="357" t="s">
        <v>351</v>
      </c>
      <c r="B338" s="336"/>
      <c r="C338" s="349">
        <v>2017</v>
      </c>
      <c r="D338" s="350">
        <v>3</v>
      </c>
      <c r="E338" s="351"/>
      <c r="F338" s="346"/>
      <c r="G338" s="355">
        <v>18287.059411625629</v>
      </c>
      <c r="H338" s="356">
        <v>18287.059411625629</v>
      </c>
      <c r="AC338" s="251"/>
    </row>
    <row r="339" spans="1:29" ht="15.6" x14ac:dyDescent="0.3">
      <c r="A339" s="358" t="s">
        <v>342</v>
      </c>
      <c r="B339" s="336"/>
      <c r="C339" s="349">
        <v>2018</v>
      </c>
      <c r="D339" s="350">
        <v>4</v>
      </c>
      <c r="E339" s="351"/>
      <c r="F339" s="346"/>
      <c r="G339" s="355">
        <v>18424.023527444137</v>
      </c>
      <c r="H339" s="356">
        <v>18424.023527444137</v>
      </c>
      <c r="AC339" s="251"/>
    </row>
    <row r="340" spans="1:29" ht="15.6" x14ac:dyDescent="0.3">
      <c r="A340" s="360"/>
      <c r="B340" s="361"/>
      <c r="C340" s="349">
        <v>2019</v>
      </c>
      <c r="D340" s="350">
        <v>5</v>
      </c>
      <c r="E340" s="351"/>
      <c r="F340" s="346"/>
      <c r="G340" s="355">
        <v>18564.855476495679</v>
      </c>
      <c r="H340" s="356">
        <v>18564.855476495679</v>
      </c>
      <c r="AC340" s="251"/>
    </row>
    <row r="341" spans="1:29" ht="15.6" x14ac:dyDescent="0.3">
      <c r="A341" s="517" t="s">
        <v>352</v>
      </c>
      <c r="B341" s="336"/>
      <c r="C341" s="349">
        <v>2020</v>
      </c>
      <c r="D341" s="350">
        <v>6</v>
      </c>
      <c r="E341" s="351"/>
      <c r="F341" s="346"/>
      <c r="G341" s="355">
        <v>18709.388537987674</v>
      </c>
      <c r="H341" s="356">
        <v>18709.388537987674</v>
      </c>
      <c r="AC341" s="251"/>
    </row>
    <row r="342" spans="1:29" ht="15.6" x14ac:dyDescent="0.3">
      <c r="A342" s="363"/>
      <c r="B342" s="336"/>
      <c r="C342" s="349">
        <v>2021</v>
      </c>
      <c r="D342" s="350">
        <v>7</v>
      </c>
      <c r="E342" s="351"/>
      <c r="F342" s="346"/>
      <c r="G342" s="355">
        <v>18857.455991127539</v>
      </c>
      <c r="H342" s="356">
        <v>18857.455991127539</v>
      </c>
      <c r="AC342" s="251"/>
    </row>
    <row r="343" spans="1:29" ht="15.6" x14ac:dyDescent="0.3">
      <c r="A343" s="364"/>
      <c r="B343" s="336"/>
      <c r="C343" s="349">
        <v>2022</v>
      </c>
      <c r="D343" s="350">
        <v>8</v>
      </c>
      <c r="E343" s="351"/>
      <c r="F343" s="346"/>
      <c r="G343" s="355">
        <v>19008.891115122678</v>
      </c>
      <c r="H343" s="356">
        <v>19008.891115122678</v>
      </c>
      <c r="AC343" s="251"/>
    </row>
    <row r="344" spans="1:29" ht="15.6" x14ac:dyDescent="0.3">
      <c r="A344" s="358"/>
      <c r="B344" s="336"/>
      <c r="C344" s="349">
        <v>2023</v>
      </c>
      <c r="D344" s="350">
        <v>9</v>
      </c>
      <c r="E344" s="351"/>
      <c r="F344" s="346"/>
      <c r="G344" s="355">
        <v>19163.527189180517</v>
      </c>
      <c r="H344" s="356">
        <v>19163.527189180517</v>
      </c>
    </row>
    <row r="345" spans="1:29" ht="15.6" x14ac:dyDescent="0.3">
      <c r="A345" s="336"/>
      <c r="B345" s="336"/>
      <c r="C345" s="349">
        <v>2024</v>
      </c>
      <c r="D345" s="350">
        <v>10</v>
      </c>
      <c r="E345" s="351"/>
      <c r="F345" s="346"/>
      <c r="G345" s="355">
        <v>19321.197492508465</v>
      </c>
      <c r="H345" s="356">
        <v>19321.197492508465</v>
      </c>
    </row>
    <row r="346" spans="1:29" ht="15.6" x14ac:dyDescent="0.3">
      <c r="A346" s="336"/>
      <c r="B346" s="336"/>
      <c r="C346" s="349">
        <v>2025</v>
      </c>
      <c r="D346" s="350">
        <v>11</v>
      </c>
      <c r="E346" s="351">
        <v>19306.940551878397</v>
      </c>
      <c r="F346" s="346">
        <v>19306.940551878397</v>
      </c>
      <c r="G346" s="355">
        <v>19306.940551878397</v>
      </c>
      <c r="H346" s="356">
        <v>19306.940551878397</v>
      </c>
    </row>
    <row r="347" spans="1:29" ht="15.6" x14ac:dyDescent="0.3">
      <c r="A347" s="336"/>
      <c r="B347" s="336"/>
      <c r="C347" s="349">
        <v>2026</v>
      </c>
      <c r="D347" s="350">
        <v>12</v>
      </c>
      <c r="E347" s="351"/>
      <c r="F347" s="346"/>
      <c r="G347" s="355">
        <v>19644.973903804341</v>
      </c>
      <c r="H347" s="356">
        <v>19644.973903804341</v>
      </c>
    </row>
    <row r="348" spans="1:29" ht="15.6" x14ac:dyDescent="0.3">
      <c r="A348" s="336"/>
      <c r="B348" s="336"/>
      <c r="C348" s="349">
        <v>2027</v>
      </c>
      <c r="D348" s="350">
        <v>13</v>
      </c>
      <c r="E348" s="351"/>
      <c r="F348" s="346"/>
      <c r="G348" s="355">
        <v>19810.746570187097</v>
      </c>
      <c r="H348" s="356">
        <v>19810.746570187097</v>
      </c>
    </row>
    <row r="349" spans="1:29" ht="15.6" x14ac:dyDescent="0.3">
      <c r="A349" s="336"/>
      <c r="B349" s="336"/>
      <c r="C349" s="349">
        <v>2028</v>
      </c>
      <c r="D349" s="350">
        <v>14</v>
      </c>
      <c r="E349" s="351"/>
      <c r="F349" s="346"/>
      <c r="G349" s="355">
        <v>19978.886582669624</v>
      </c>
      <c r="H349" s="356">
        <v>19978.886582669624</v>
      </c>
    </row>
    <row r="350" spans="1:29" ht="15.6" x14ac:dyDescent="0.3">
      <c r="A350" s="336"/>
      <c r="B350" s="336"/>
      <c r="C350" s="349">
        <v>2029</v>
      </c>
      <c r="D350" s="350">
        <v>15</v>
      </c>
      <c r="E350" s="351"/>
      <c r="F350" s="346"/>
      <c r="G350" s="355">
        <v>20149.227220459328</v>
      </c>
      <c r="H350" s="356">
        <v>20149.227220459328</v>
      </c>
    </row>
    <row r="351" spans="1:29" ht="15.6" x14ac:dyDescent="0.3">
      <c r="A351" s="336"/>
      <c r="B351" s="336"/>
      <c r="C351" s="349">
        <v>2030</v>
      </c>
      <c r="D351" s="350">
        <v>16</v>
      </c>
      <c r="E351" s="351">
        <v>20348.813621570134</v>
      </c>
      <c r="F351" s="346">
        <v>20348.813621570134</v>
      </c>
      <c r="G351" s="355">
        <v>20348.813621570134</v>
      </c>
      <c r="H351" s="356">
        <v>20348.813621570134</v>
      </c>
    </row>
    <row r="352" spans="1:29" ht="15.6" x14ac:dyDescent="0.3">
      <c r="A352" s="336"/>
      <c r="B352" s="336"/>
      <c r="C352" s="349">
        <v>2031</v>
      </c>
      <c r="D352" s="350">
        <v>17</v>
      </c>
      <c r="E352" s="351"/>
      <c r="F352" s="346"/>
      <c r="G352" s="355">
        <v>20495.843488789931</v>
      </c>
      <c r="H352" s="356">
        <v>20495.843488789931</v>
      </c>
    </row>
    <row r="353" spans="1:8" ht="15.6" x14ac:dyDescent="0.3">
      <c r="A353" s="336"/>
      <c r="B353" s="336"/>
      <c r="C353" s="349">
        <v>2032</v>
      </c>
      <c r="D353" s="350">
        <v>18</v>
      </c>
      <c r="E353" s="351"/>
      <c r="F353" s="346"/>
      <c r="G353" s="355">
        <v>20671.785677745658</v>
      </c>
      <c r="H353" s="356">
        <v>20671.785677745658</v>
      </c>
    </row>
    <row r="354" spans="1:8" ht="15.6" x14ac:dyDescent="0.3">
      <c r="A354" s="361"/>
      <c r="B354" s="361"/>
      <c r="C354" s="349">
        <v>2033</v>
      </c>
      <c r="D354" s="350">
        <v>19</v>
      </c>
      <c r="E354" s="351"/>
      <c r="F354" s="346"/>
      <c r="G354" s="355">
        <v>20849.261608838224</v>
      </c>
      <c r="H354" s="356">
        <v>20849.261608838224</v>
      </c>
    </row>
    <row r="355" spans="1:8" ht="15.6" x14ac:dyDescent="0.3">
      <c r="A355" s="361"/>
      <c r="B355" s="361"/>
      <c r="C355" s="349">
        <v>2034</v>
      </c>
      <c r="D355" s="350">
        <v>20</v>
      </c>
      <c r="E355" s="351"/>
      <c r="F355" s="346"/>
      <c r="G355" s="355">
        <v>21028.104561275042</v>
      </c>
      <c r="H355" s="356">
        <v>21028.104561275042</v>
      </c>
    </row>
    <row r="356" spans="1:8" ht="15.6" x14ac:dyDescent="0.3">
      <c r="A356" s="361"/>
      <c r="B356" s="361"/>
      <c r="C356" s="349">
        <v>2035</v>
      </c>
      <c r="D356" s="350">
        <v>21</v>
      </c>
      <c r="E356" s="351">
        <v>21350.284944639516</v>
      </c>
      <c r="F356" s="346">
        <v>21350.284944639516</v>
      </c>
      <c r="G356" s="355">
        <v>21350.284944639516</v>
      </c>
      <c r="H356" s="356">
        <v>21350.284944639516</v>
      </c>
    </row>
    <row r="357" spans="1:8" ht="15.6" x14ac:dyDescent="0.3">
      <c r="A357" s="361"/>
      <c r="B357" s="361"/>
      <c r="C357" s="349">
        <v>2036</v>
      </c>
      <c r="D357" s="350">
        <v>22</v>
      </c>
      <c r="E357" s="351"/>
      <c r="F357" s="346"/>
      <c r="G357" s="355">
        <v>21389.224647011084</v>
      </c>
      <c r="H357" s="356">
        <v>21389.224647011084</v>
      </c>
    </row>
    <row r="358" spans="1:8" ht="15.6" x14ac:dyDescent="0.3">
      <c r="A358" s="361"/>
      <c r="B358" s="361"/>
      <c r="C358" s="349">
        <v>2037</v>
      </c>
      <c r="D358" s="350">
        <v>23</v>
      </c>
      <c r="E358" s="351"/>
      <c r="F358" s="346"/>
      <c r="G358" s="355">
        <v>21571.168338725136</v>
      </c>
      <c r="H358" s="356">
        <v>21571.168338725136</v>
      </c>
    </row>
    <row r="359" spans="1:8" ht="15.6" x14ac:dyDescent="0.3">
      <c r="A359" s="361"/>
      <c r="B359" s="361"/>
      <c r="C359" s="349">
        <v>2038</v>
      </c>
      <c r="D359" s="350">
        <v>24</v>
      </c>
      <c r="E359" s="351"/>
      <c r="F359" s="346"/>
      <c r="G359" s="355">
        <v>21753.812168613098</v>
      </c>
      <c r="H359" s="356">
        <v>21753.812168613098</v>
      </c>
    </row>
    <row r="360" spans="1:8" ht="15.6" x14ac:dyDescent="0.3">
      <c r="A360" s="361"/>
      <c r="B360" s="361"/>
      <c r="C360" s="349">
        <v>2039</v>
      </c>
      <c r="D360" s="350">
        <v>25</v>
      </c>
      <c r="E360" s="351"/>
      <c r="F360" s="346"/>
      <c r="G360" s="355">
        <v>21936.989415882381</v>
      </c>
      <c r="H360" s="356">
        <v>21936.989415882381</v>
      </c>
    </row>
    <row r="361" spans="1:8" ht="15.6" x14ac:dyDescent="0.3">
      <c r="A361" s="361"/>
      <c r="B361" s="361"/>
      <c r="C361" s="349">
        <v>2040</v>
      </c>
      <c r="D361" s="350">
        <v>26</v>
      </c>
      <c r="E361" s="351">
        <v>22196.535946223186</v>
      </c>
      <c r="F361" s="346">
        <v>22196.535946223186</v>
      </c>
      <c r="G361" s="355">
        <v>22196.535946223186</v>
      </c>
      <c r="H361" s="356">
        <v>22196.535946223186</v>
      </c>
    </row>
    <row r="362" spans="1:8" ht="15.6" x14ac:dyDescent="0.3">
      <c r="A362" s="361"/>
      <c r="B362" s="361"/>
      <c r="C362" s="349">
        <v>2041</v>
      </c>
      <c r="D362" s="350">
        <v>27</v>
      </c>
      <c r="E362" s="351"/>
      <c r="F362" s="346"/>
      <c r="G362" s="355">
        <v>22304.27727939457</v>
      </c>
      <c r="H362" s="356">
        <v>22304.27727939457</v>
      </c>
    </row>
    <row r="363" spans="1:8" ht="15.6" x14ac:dyDescent="0.3">
      <c r="A363" s="361"/>
      <c r="B363" s="361"/>
      <c r="C363" s="349">
        <v>2042</v>
      </c>
      <c r="D363" s="350">
        <v>28</v>
      </c>
      <c r="E363" s="351"/>
      <c r="F363" s="346"/>
      <c r="G363" s="355">
        <v>22488.054454052304</v>
      </c>
      <c r="H363" s="356">
        <v>22488.054454052304</v>
      </c>
    </row>
    <row r="364" spans="1:8" ht="15.6" x14ac:dyDescent="0.3">
      <c r="A364" s="361"/>
      <c r="B364" s="361"/>
      <c r="C364" s="349">
        <v>2043</v>
      </c>
      <c r="D364" s="350">
        <v>29</v>
      </c>
      <c r="E364" s="351"/>
      <c r="F364" s="346"/>
      <c r="G364" s="355">
        <v>22671.698162921013</v>
      </c>
      <c r="H364" s="356">
        <v>22671.698162921013</v>
      </c>
    </row>
    <row r="365" spans="1:8" ht="15.6" x14ac:dyDescent="0.3">
      <c r="A365" s="361"/>
      <c r="B365" s="361"/>
      <c r="C365" s="349">
        <v>2044</v>
      </c>
      <c r="D365" s="350">
        <v>30</v>
      </c>
      <c r="E365" s="351"/>
      <c r="F365" s="346"/>
      <c r="G365" s="355">
        <v>22855.041685208118</v>
      </c>
      <c r="H365" s="356">
        <v>22855.041685208118</v>
      </c>
    </row>
    <row r="366" spans="1:8" ht="15.6" x14ac:dyDescent="0.3">
      <c r="A366" s="361"/>
      <c r="B366" s="361"/>
      <c r="C366" s="349">
        <v>2045</v>
      </c>
      <c r="D366" s="350">
        <v>31</v>
      </c>
      <c r="E366" s="351">
        <v>22977.062415569962</v>
      </c>
      <c r="F366" s="346">
        <v>22977.062415569962</v>
      </c>
      <c r="G366" s="355">
        <v>22977.062415569962</v>
      </c>
      <c r="H366" s="356">
        <v>22977.062415569962</v>
      </c>
    </row>
    <row r="367" spans="1:8" ht="15.6" x14ac:dyDescent="0.3">
      <c r="A367" s="361"/>
      <c r="B367" s="361"/>
      <c r="C367" s="349">
        <v>2046</v>
      </c>
      <c r="D367" s="350">
        <v>32</v>
      </c>
      <c r="E367" s="351"/>
      <c r="F367" s="346"/>
      <c r="G367" s="355">
        <v>23220.161286867165</v>
      </c>
      <c r="H367" s="356">
        <v>23220.161286867165</v>
      </c>
    </row>
    <row r="368" spans="1:8" ht="15.6" x14ac:dyDescent="0.3">
      <c r="A368" s="365"/>
      <c r="B368" s="366"/>
      <c r="C368" s="349">
        <v>2047</v>
      </c>
      <c r="D368" s="350">
        <v>33</v>
      </c>
      <c r="E368" s="351"/>
      <c r="F368" s="346"/>
      <c r="G368" s="355">
        <v>23401.603924653933</v>
      </c>
      <c r="H368" s="356">
        <v>23401.603924653933</v>
      </c>
    </row>
    <row r="369" spans="1:8" ht="15.6" x14ac:dyDescent="0.3">
      <c r="A369" s="359"/>
      <c r="B369" s="366"/>
      <c r="C369" s="349">
        <v>2048</v>
      </c>
      <c r="D369" s="350">
        <v>34</v>
      </c>
      <c r="E369" s="351"/>
      <c r="F369" s="346"/>
      <c r="G369" s="355">
        <v>23582.07949268875</v>
      </c>
      <c r="H369" s="356">
        <v>23582.07949268875</v>
      </c>
    </row>
    <row r="370" spans="1:8" ht="15.6" x14ac:dyDescent="0.3">
      <c r="A370" s="359"/>
      <c r="B370" s="359"/>
      <c r="C370" s="349">
        <v>2049</v>
      </c>
      <c r="D370" s="350">
        <v>35</v>
      </c>
      <c r="E370" s="351"/>
      <c r="F370" s="346"/>
      <c r="G370" s="355">
        <v>23761.421270179031</v>
      </c>
      <c r="H370" s="356">
        <v>23761.421270179031</v>
      </c>
    </row>
    <row r="371" spans="1:8" ht="15.6" x14ac:dyDescent="0.3">
      <c r="A371" s="359"/>
      <c r="B371" s="359"/>
      <c r="C371" s="349">
        <v>2050</v>
      </c>
      <c r="D371" s="350">
        <v>36</v>
      </c>
      <c r="E371" s="351">
        <v>23878.383038888478</v>
      </c>
      <c r="F371" s="346">
        <v>23878.383038888478</v>
      </c>
      <c r="G371" s="355">
        <v>23878.383038888478</v>
      </c>
      <c r="H371" s="356">
        <v>23878.383038888478</v>
      </c>
    </row>
    <row r="372" spans="1:8" ht="15.6" x14ac:dyDescent="0.3">
      <c r="A372"/>
      <c r="B372"/>
      <c r="C372" s="349">
        <v>2051</v>
      </c>
      <c r="D372" s="350">
        <v>37</v>
      </c>
      <c r="E372" s="351"/>
      <c r="F372" s="346"/>
      <c r="G372" s="355">
        <v>24116.036570355642</v>
      </c>
      <c r="H372" s="356">
        <v>24116.036570355642</v>
      </c>
    </row>
    <row r="373" spans="1:8" ht="15.6" x14ac:dyDescent="0.3">
      <c r="A373"/>
      <c r="B373"/>
      <c r="C373" s="349">
        <v>2052</v>
      </c>
      <c r="D373" s="350">
        <v>38</v>
      </c>
      <c r="E373" s="351"/>
      <c r="F373" s="346"/>
      <c r="G373" s="355">
        <v>24290.9766514568</v>
      </c>
      <c r="H373" s="356">
        <v>24290.9766514568</v>
      </c>
    </row>
    <row r="374" spans="1:8" ht="15.6" x14ac:dyDescent="0.3">
      <c r="A374"/>
      <c r="B374"/>
      <c r="C374" s="349">
        <v>2053</v>
      </c>
      <c r="D374" s="350">
        <v>39</v>
      </c>
      <c r="E374" s="351"/>
      <c r="F374" s="346"/>
      <c r="G374" s="355">
        <v>24464.116058843079</v>
      </c>
      <c r="H374" s="356">
        <v>24464.116058843079</v>
      </c>
    </row>
    <row r="375" spans="1:8" ht="15.6" x14ac:dyDescent="0.3">
      <c r="A375"/>
      <c r="B375"/>
      <c r="C375" s="349">
        <v>2054</v>
      </c>
      <c r="D375" s="350">
        <v>40</v>
      </c>
      <c r="E375" s="351"/>
      <c r="F375" s="346"/>
      <c r="G375" s="355">
        <v>24635.28807172189</v>
      </c>
      <c r="H375" s="356">
        <v>24635.28807172189</v>
      </c>
    </row>
    <row r="376" spans="1:8" ht="15.6" x14ac:dyDescent="0.3">
      <c r="A376"/>
      <c r="B376"/>
      <c r="C376" s="349">
        <v>2055</v>
      </c>
      <c r="D376" s="350">
        <v>41</v>
      </c>
      <c r="E376" s="351">
        <v>24757.387210462137</v>
      </c>
      <c r="F376" s="346">
        <v>24757.387210462137</v>
      </c>
      <c r="G376" s="355">
        <v>24757.387210462137</v>
      </c>
      <c r="H376" s="356">
        <v>24757.387210462137</v>
      </c>
    </row>
    <row r="377" spans="1:8" ht="15.6" x14ac:dyDescent="0.3">
      <c r="A377"/>
      <c r="B377"/>
      <c r="C377" s="349">
        <v>2056</v>
      </c>
      <c r="D377" s="350">
        <v>42</v>
      </c>
      <c r="E377" s="351"/>
      <c r="F377" s="346"/>
      <c r="G377" s="355">
        <v>24971.063030786776</v>
      </c>
      <c r="H377" s="356">
        <v>24971.063030786776</v>
      </c>
    </row>
    <row r="378" spans="1:8" ht="15.6" x14ac:dyDescent="0.3">
      <c r="A378"/>
      <c r="B378"/>
      <c r="C378" s="349">
        <v>2057</v>
      </c>
      <c r="D378" s="350">
        <v>43</v>
      </c>
      <c r="E378" s="351"/>
      <c r="F378" s="346"/>
      <c r="G378" s="355">
        <v>25135.332535387679</v>
      </c>
      <c r="H378" s="356">
        <v>25135.332535387679</v>
      </c>
    </row>
    <row r="379" spans="1:8" ht="15.6" x14ac:dyDescent="0.3">
      <c r="A379"/>
      <c r="B379"/>
      <c r="C379" s="349">
        <v>2058</v>
      </c>
      <c r="D379" s="350">
        <v>44</v>
      </c>
      <c r="E379" s="351"/>
      <c r="F379" s="346"/>
      <c r="G379" s="355">
        <v>25296.967762310771</v>
      </c>
      <c r="H379" s="356">
        <v>25296.967762310771</v>
      </c>
    </row>
    <row r="380" spans="1:8" ht="15.6" x14ac:dyDescent="0.3">
      <c r="A380"/>
      <c r="B380"/>
      <c r="C380" s="349">
        <v>2059</v>
      </c>
      <c r="D380" s="350">
        <v>45</v>
      </c>
      <c r="E380" s="351"/>
      <c r="F380" s="346"/>
      <c r="G380" s="355">
        <v>25455.801990763466</v>
      </c>
      <c r="H380" s="356">
        <v>25455.801990763466</v>
      </c>
    </row>
    <row r="381" spans="1:8" ht="15.6" x14ac:dyDescent="0.3">
      <c r="A381"/>
      <c r="B381"/>
      <c r="C381" s="367">
        <v>2060</v>
      </c>
      <c r="D381" s="350">
        <v>46</v>
      </c>
      <c r="E381" s="351">
        <v>25666.805217146117</v>
      </c>
      <c r="F381" s="346">
        <v>25666.805217146117</v>
      </c>
      <c r="G381" s="355">
        <v>25666.805217146117</v>
      </c>
      <c r="H381" s="356">
        <v>25666.805217146117</v>
      </c>
    </row>
    <row r="391" spans="1:8" ht="15.6" x14ac:dyDescent="0.3">
      <c r="A391" s="327">
        <v>9</v>
      </c>
      <c r="B391" s="328" t="s">
        <v>439</v>
      </c>
      <c r="C391" s="329"/>
      <c r="D391" s="329"/>
      <c r="E391" s="329"/>
      <c r="F391" s="329"/>
      <c r="G391" s="329"/>
      <c r="H391" s="329"/>
    </row>
    <row r="392" spans="1:8" ht="15.6" x14ac:dyDescent="0.3">
      <c r="A392" s="330" t="s">
        <v>338</v>
      </c>
      <c r="B392" s="331"/>
      <c r="C392" s="331"/>
      <c r="D392" s="332"/>
      <c r="E392" s="333"/>
      <c r="F392" s="703"/>
      <c r="G392" s="333"/>
      <c r="H392" s="334"/>
    </row>
    <row r="393" spans="1:8" ht="16.2" thickBot="1" x14ac:dyDescent="0.3">
      <c r="A393" s="368" t="s">
        <v>339</v>
      </c>
      <c r="B393" s="336"/>
      <c r="C393" s="336"/>
      <c r="D393" s="337"/>
      <c r="E393" s="338" t="s">
        <v>340</v>
      </c>
      <c r="F393" s="704"/>
      <c r="G393" s="369" t="s">
        <v>440</v>
      </c>
      <c r="H393" s="334"/>
    </row>
    <row r="394" spans="1:8" ht="53.4" thickBot="1" x14ac:dyDescent="0.3">
      <c r="A394" s="340"/>
      <c r="B394" s="340"/>
      <c r="C394" s="340"/>
      <c r="D394" s="341"/>
      <c r="E394" s="369" t="s">
        <v>390</v>
      </c>
      <c r="F394" s="369" t="s">
        <v>343</v>
      </c>
      <c r="G394" s="370" t="s">
        <v>344</v>
      </c>
      <c r="H394" s="369" t="s">
        <v>345</v>
      </c>
    </row>
    <row r="395" spans="1:8" ht="15.6" x14ac:dyDescent="0.3">
      <c r="A395" s="330" t="s">
        <v>346</v>
      </c>
      <c r="B395" s="340"/>
      <c r="C395" s="343">
        <v>2005</v>
      </c>
      <c r="D395" s="344">
        <v>-9</v>
      </c>
      <c r="E395" s="378"/>
      <c r="F395" s="346"/>
      <c r="G395" s="347">
        <v>7840.4588159737004</v>
      </c>
      <c r="H395" s="348">
        <v>7840.4588159737004</v>
      </c>
    </row>
    <row r="396" spans="1:8" ht="15.6" x14ac:dyDescent="0.3">
      <c r="A396" s="368" t="s">
        <v>347</v>
      </c>
      <c r="B396" s="340"/>
      <c r="C396" s="349">
        <v>2006</v>
      </c>
      <c r="D396" s="350">
        <v>-8</v>
      </c>
      <c r="E396" s="351"/>
      <c r="F396" s="346"/>
      <c r="G396" s="352">
        <v>8718.5249176736543</v>
      </c>
      <c r="H396" s="353">
        <v>8718.5249176736543</v>
      </c>
    </row>
    <row r="397" spans="1:8" ht="15.6" x14ac:dyDescent="0.3">
      <c r="A397" s="340"/>
      <c r="B397" s="340"/>
      <c r="C397" s="349">
        <v>2007</v>
      </c>
      <c r="D397" s="350">
        <v>-7</v>
      </c>
      <c r="E397" s="351"/>
      <c r="F397" s="346"/>
      <c r="G397" s="352">
        <v>9559.4889323259849</v>
      </c>
      <c r="H397" s="353">
        <v>9559.4889323259849</v>
      </c>
    </row>
    <row r="398" spans="1:8" ht="15.6" x14ac:dyDescent="0.3">
      <c r="A398" s="354" t="s">
        <v>348</v>
      </c>
      <c r="B398" s="340"/>
      <c r="C398" s="349">
        <v>2008</v>
      </c>
      <c r="D398" s="350">
        <v>-6</v>
      </c>
      <c r="E398" s="351"/>
      <c r="F398" s="346"/>
      <c r="G398" s="352">
        <v>10364.156214440733</v>
      </c>
      <c r="H398" s="353">
        <v>10364.156214440733</v>
      </c>
    </row>
    <row r="399" spans="1:8" ht="15.6" x14ac:dyDescent="0.3">
      <c r="A399" s="700" t="s">
        <v>441</v>
      </c>
      <c r="B399" s="340"/>
      <c r="C399" s="349">
        <v>2009</v>
      </c>
      <c r="D399" s="350">
        <v>-5</v>
      </c>
      <c r="E399" s="351"/>
      <c r="F399" s="346"/>
      <c r="G399" s="352">
        <v>11133.332118527951</v>
      </c>
      <c r="H399" s="353">
        <v>11133.332118527951</v>
      </c>
    </row>
    <row r="400" spans="1:8" ht="15.6" x14ac:dyDescent="0.3">
      <c r="A400" s="701"/>
      <c r="B400" s="340"/>
      <c r="C400" s="349">
        <v>2010</v>
      </c>
      <c r="D400" s="350">
        <v>-4</v>
      </c>
      <c r="E400" s="351"/>
      <c r="F400" s="346"/>
      <c r="G400" s="352">
        <v>11867.821999097687</v>
      </c>
      <c r="H400" s="353">
        <v>11867.821999097687</v>
      </c>
    </row>
    <row r="401" spans="1:8" ht="15.6" x14ac:dyDescent="0.3">
      <c r="A401" s="701"/>
      <c r="B401" s="340"/>
      <c r="C401" s="349">
        <v>2011</v>
      </c>
      <c r="D401" s="350">
        <v>-3</v>
      </c>
      <c r="E401" s="351"/>
      <c r="F401" s="346"/>
      <c r="G401" s="352">
        <v>12568.431210659988</v>
      </c>
      <c r="H401" s="353">
        <v>12568.431210659988</v>
      </c>
    </row>
    <row r="402" spans="1:8" ht="15.6" x14ac:dyDescent="0.3">
      <c r="A402" s="702"/>
      <c r="B402" s="340"/>
      <c r="C402" s="349">
        <v>2012</v>
      </c>
      <c r="D402" s="350">
        <v>-2</v>
      </c>
      <c r="E402" s="351"/>
      <c r="F402" s="346"/>
      <c r="G402" s="355">
        <v>13235.965107724902</v>
      </c>
      <c r="H402" s="356">
        <v>13235.965107724902</v>
      </c>
    </row>
    <row r="403" spans="1:8" ht="15.6" x14ac:dyDescent="0.3">
      <c r="A403" s="340"/>
      <c r="B403" s="340"/>
      <c r="C403" s="349">
        <v>2013</v>
      </c>
      <c r="D403" s="350">
        <v>-1</v>
      </c>
      <c r="E403" s="351"/>
      <c r="F403" s="346"/>
      <c r="G403" s="355">
        <v>13871.229044802476</v>
      </c>
      <c r="H403" s="356">
        <v>13871.229044802476</v>
      </c>
    </row>
    <row r="404" spans="1:8" ht="15.6" x14ac:dyDescent="0.3">
      <c r="A404" s="357" t="s">
        <v>350</v>
      </c>
      <c r="B404" s="340"/>
      <c r="C404" s="349">
        <v>2014</v>
      </c>
      <c r="D404" s="350">
        <v>0</v>
      </c>
      <c r="E404" s="351">
        <v>14469.406876708885</v>
      </c>
      <c r="F404" s="346">
        <v>14469.406876708885</v>
      </c>
      <c r="G404" s="355">
        <v>14469.406876708885</v>
      </c>
      <c r="H404" s="356">
        <v>14469.406876708885</v>
      </c>
    </row>
    <row r="405" spans="1:8" ht="15.6" x14ac:dyDescent="0.3">
      <c r="A405" s="358">
        <v>2017</v>
      </c>
      <c r="B405" s="336"/>
      <c r="C405" s="349">
        <v>2015</v>
      </c>
      <c r="D405" s="350">
        <v>1</v>
      </c>
      <c r="E405" s="351"/>
      <c r="F405" s="346"/>
      <c r="G405" s="355">
        <v>15048.168457035797</v>
      </c>
      <c r="H405" s="356">
        <v>15048.168457035797</v>
      </c>
    </row>
    <row r="406" spans="1:8" ht="15.6" x14ac:dyDescent="0.3">
      <c r="A406" s="359"/>
      <c r="B406" s="336"/>
      <c r="C406" s="349">
        <v>2016</v>
      </c>
      <c r="D406" s="350">
        <v>2</v>
      </c>
      <c r="E406" s="351"/>
      <c r="F406" s="346"/>
      <c r="G406" s="355">
        <v>15591.454641211642</v>
      </c>
      <c r="H406" s="356">
        <v>15591.454641211642</v>
      </c>
    </row>
    <row r="407" spans="1:8" ht="15.6" x14ac:dyDescent="0.3">
      <c r="A407" s="357" t="s">
        <v>351</v>
      </c>
      <c r="B407" s="336"/>
      <c r="C407" s="349">
        <v>2017</v>
      </c>
      <c r="D407" s="350">
        <v>3</v>
      </c>
      <c r="E407" s="351"/>
      <c r="F407" s="346"/>
      <c r="G407" s="355">
        <v>16105.692283440336</v>
      </c>
      <c r="H407" s="356">
        <v>16105.692283440336</v>
      </c>
    </row>
    <row r="408" spans="1:8" ht="15.6" x14ac:dyDescent="0.3">
      <c r="A408" s="358" t="s">
        <v>442</v>
      </c>
      <c r="B408" s="336"/>
      <c r="C408" s="349">
        <v>2018</v>
      </c>
      <c r="D408" s="350">
        <v>4</v>
      </c>
      <c r="E408" s="351"/>
      <c r="F408" s="346"/>
      <c r="G408" s="355">
        <v>16591.686738231929</v>
      </c>
      <c r="H408" s="356">
        <v>16591.686738231929</v>
      </c>
    </row>
    <row r="409" spans="1:8" ht="15.6" x14ac:dyDescent="0.3">
      <c r="A409" s="360"/>
      <c r="B409" s="361"/>
      <c r="C409" s="349">
        <v>2019</v>
      </c>
      <c r="D409" s="350">
        <v>5</v>
      </c>
      <c r="E409" s="351"/>
      <c r="F409" s="346"/>
      <c r="G409" s="355">
        <v>17050.243360096472</v>
      </c>
      <c r="H409" s="356">
        <v>17050.243360096472</v>
      </c>
    </row>
    <row r="410" spans="1:8" ht="15.6" x14ac:dyDescent="0.3">
      <c r="A410" s="517" t="s">
        <v>352</v>
      </c>
      <c r="B410" s="336"/>
      <c r="C410" s="349">
        <v>2020</v>
      </c>
      <c r="D410" s="350">
        <v>6</v>
      </c>
      <c r="E410" s="351"/>
      <c r="F410" s="346"/>
      <c r="G410" s="355">
        <v>17482.167503544009</v>
      </c>
      <c r="H410" s="356">
        <v>17482.167503544009</v>
      </c>
    </row>
    <row r="411" spans="1:8" ht="15.6" x14ac:dyDescent="0.3">
      <c r="A411" s="363"/>
      <c r="B411" s="336"/>
      <c r="C411" s="349">
        <v>2021</v>
      </c>
      <c r="D411" s="350">
        <v>7</v>
      </c>
      <c r="E411" s="351"/>
      <c r="F411" s="346"/>
      <c r="G411" s="355">
        <v>17888.264523084588</v>
      </c>
      <c r="H411" s="356">
        <v>17888.264523084588</v>
      </c>
    </row>
    <row r="412" spans="1:8" ht="15.6" x14ac:dyDescent="0.3">
      <c r="A412" s="364"/>
      <c r="B412" s="336"/>
      <c r="C412" s="349">
        <v>2022</v>
      </c>
      <c r="D412" s="350">
        <v>8</v>
      </c>
      <c r="E412" s="351"/>
      <c r="F412" s="346"/>
      <c r="G412" s="355">
        <v>18269.339773228261</v>
      </c>
      <c r="H412" s="356">
        <v>18269.339773228261</v>
      </c>
    </row>
    <row r="413" spans="1:8" ht="15.6" x14ac:dyDescent="0.3">
      <c r="A413" s="358"/>
      <c r="B413" s="336"/>
      <c r="C413" s="349">
        <v>2023</v>
      </c>
      <c r="D413" s="350">
        <v>9</v>
      </c>
      <c r="E413" s="351"/>
      <c r="F413" s="346"/>
      <c r="G413" s="355">
        <v>18626.198608485072</v>
      </c>
      <c r="H413" s="356">
        <v>18626.198608485072</v>
      </c>
    </row>
    <row r="414" spans="1:8" ht="15.6" x14ac:dyDescent="0.3">
      <c r="A414" s="336"/>
      <c r="B414" s="336"/>
      <c r="C414" s="349">
        <v>2024</v>
      </c>
      <c r="D414" s="350">
        <v>10</v>
      </c>
      <c r="E414" s="351"/>
      <c r="F414" s="346"/>
      <c r="G414" s="355">
        <v>18959.646383365071</v>
      </c>
      <c r="H414" s="356">
        <v>18959.646383365071</v>
      </c>
    </row>
    <row r="415" spans="1:8" ht="15.6" x14ac:dyDescent="0.3">
      <c r="A415" s="336"/>
      <c r="B415" s="336"/>
      <c r="C415" s="349">
        <v>2025</v>
      </c>
      <c r="D415" s="350">
        <v>11</v>
      </c>
      <c r="E415" s="351">
        <v>19245.593086862871</v>
      </c>
      <c r="F415" s="346">
        <v>19245.593086862871</v>
      </c>
      <c r="G415" s="355">
        <v>19245.593086862871</v>
      </c>
      <c r="H415" s="356">
        <v>19245.593086862871</v>
      </c>
    </row>
    <row r="416" spans="1:8" ht="15.6" x14ac:dyDescent="0.3">
      <c r="A416" s="336"/>
      <c r="B416" s="336"/>
      <c r="C416" s="349">
        <v>2026</v>
      </c>
      <c r="D416" s="350">
        <v>12</v>
      </c>
      <c r="E416" s="351"/>
      <c r="F416" s="346"/>
      <c r="G416" s="355">
        <v>19559.530170034814</v>
      </c>
      <c r="H416" s="356">
        <v>19559.530170034814</v>
      </c>
    </row>
    <row r="417" spans="1:8" ht="15.6" x14ac:dyDescent="0.3">
      <c r="A417" s="336"/>
      <c r="B417" s="336"/>
      <c r="C417" s="349">
        <v>2027</v>
      </c>
      <c r="D417" s="350">
        <v>13</v>
      </c>
      <c r="E417" s="351"/>
      <c r="F417" s="346"/>
      <c r="G417" s="355">
        <v>19827.576890844659</v>
      </c>
      <c r="H417" s="356">
        <v>19827.576890844659</v>
      </c>
    </row>
    <row r="418" spans="1:8" ht="15.6" x14ac:dyDescent="0.3">
      <c r="A418" s="336"/>
      <c r="B418" s="336"/>
      <c r="C418" s="349">
        <v>2028</v>
      </c>
      <c r="D418" s="350">
        <v>14</v>
      </c>
      <c r="E418" s="351"/>
      <c r="F418" s="346"/>
      <c r="G418" s="355">
        <v>20075.433969317877</v>
      </c>
      <c r="H418" s="356">
        <v>20075.433969317877</v>
      </c>
    </row>
    <row r="419" spans="1:8" ht="15.6" x14ac:dyDescent="0.3">
      <c r="A419" s="336"/>
      <c r="B419" s="336"/>
      <c r="C419" s="349">
        <v>2029</v>
      </c>
      <c r="D419" s="350">
        <v>15</v>
      </c>
      <c r="E419" s="351"/>
      <c r="F419" s="346"/>
      <c r="G419" s="355">
        <v>20303.906759964528</v>
      </c>
      <c r="H419" s="356">
        <v>20303.906759964528</v>
      </c>
    </row>
    <row r="420" spans="1:8" ht="15.6" x14ac:dyDescent="0.3">
      <c r="A420" s="336"/>
      <c r="B420" s="336"/>
      <c r="C420" s="349">
        <v>2030</v>
      </c>
      <c r="D420" s="350">
        <v>16</v>
      </c>
      <c r="E420" s="351">
        <v>20599.511361523768</v>
      </c>
      <c r="F420" s="346">
        <v>20599.511361523768</v>
      </c>
      <c r="G420" s="355">
        <v>20599.511361523768</v>
      </c>
      <c r="H420" s="356">
        <v>20599.511361523768</v>
      </c>
    </row>
    <row r="421" spans="1:8" ht="15.6" x14ac:dyDescent="0.3">
      <c r="A421" s="336"/>
      <c r="B421" s="336"/>
      <c r="C421" s="349">
        <v>2031</v>
      </c>
      <c r="D421" s="350">
        <v>17</v>
      </c>
      <c r="E421" s="351"/>
      <c r="F421" s="346"/>
      <c r="G421" s="355">
        <v>20705.92089581829</v>
      </c>
      <c r="H421" s="356">
        <v>20705.92089581829</v>
      </c>
    </row>
    <row r="422" spans="1:8" ht="15.6" x14ac:dyDescent="0.3">
      <c r="A422" s="336"/>
      <c r="B422" s="336"/>
      <c r="C422" s="349">
        <v>2032</v>
      </c>
      <c r="D422" s="350">
        <v>18</v>
      </c>
      <c r="E422" s="351"/>
      <c r="F422" s="346"/>
      <c r="G422" s="355">
        <v>20881.072950045505</v>
      </c>
      <c r="H422" s="356">
        <v>20881.072950045505</v>
      </c>
    </row>
    <row r="423" spans="1:8" ht="15.6" x14ac:dyDescent="0.3">
      <c r="A423" s="361"/>
      <c r="B423" s="361"/>
      <c r="C423" s="349">
        <v>2033</v>
      </c>
      <c r="D423" s="350">
        <v>19</v>
      </c>
      <c r="E423" s="351"/>
      <c r="F423" s="346"/>
      <c r="G423" s="355">
        <v>21040.062134486332</v>
      </c>
      <c r="H423" s="356">
        <v>21040.062134486332</v>
      </c>
    </row>
    <row r="424" spans="1:8" ht="15.6" x14ac:dyDescent="0.3">
      <c r="A424" s="361"/>
      <c r="B424" s="361"/>
      <c r="C424" s="349">
        <v>2034</v>
      </c>
      <c r="D424" s="350">
        <v>20</v>
      </c>
      <c r="E424" s="351"/>
      <c r="F424" s="346"/>
      <c r="G424" s="355">
        <v>21183.693803650825</v>
      </c>
      <c r="H424" s="356">
        <v>21183.693803650825</v>
      </c>
    </row>
    <row r="425" spans="1:8" ht="15.6" x14ac:dyDescent="0.3">
      <c r="A425" s="361"/>
      <c r="B425" s="361"/>
      <c r="C425" s="349">
        <v>2035</v>
      </c>
      <c r="D425" s="350">
        <v>21</v>
      </c>
      <c r="E425" s="351">
        <v>21336.986419114644</v>
      </c>
      <c r="F425" s="346">
        <v>21336.986419114644</v>
      </c>
      <c r="G425" s="355">
        <v>21336.986419114644</v>
      </c>
      <c r="H425" s="356">
        <v>21336.986419114644</v>
      </c>
    </row>
    <row r="426" spans="1:8" ht="15.6" x14ac:dyDescent="0.3">
      <c r="A426" s="361"/>
      <c r="B426" s="361"/>
      <c r="C426" s="349">
        <v>2036</v>
      </c>
      <c r="D426" s="350">
        <v>22</v>
      </c>
      <c r="E426" s="351"/>
      <c r="F426" s="346"/>
      <c r="G426" s="355">
        <v>21428.106014190998</v>
      </c>
      <c r="H426" s="356">
        <v>21428.106014190998</v>
      </c>
    </row>
    <row r="427" spans="1:8" ht="15.6" x14ac:dyDescent="0.3">
      <c r="A427" s="361"/>
      <c r="B427" s="361"/>
      <c r="C427" s="349">
        <v>2037</v>
      </c>
      <c r="D427" s="350">
        <v>23</v>
      </c>
      <c r="E427" s="351"/>
      <c r="F427" s="346"/>
      <c r="G427" s="355">
        <v>21530.497264586775</v>
      </c>
      <c r="H427" s="356">
        <v>21530.497264586775</v>
      </c>
    </row>
    <row r="428" spans="1:8" ht="15.6" x14ac:dyDescent="0.3">
      <c r="A428" s="361"/>
      <c r="B428" s="361"/>
      <c r="C428" s="349">
        <v>2038</v>
      </c>
      <c r="D428" s="350">
        <v>24</v>
      </c>
      <c r="E428" s="351"/>
      <c r="F428" s="346"/>
      <c r="G428" s="355">
        <v>21620.752417746407</v>
      </c>
      <c r="H428" s="356">
        <v>21620.752417746407</v>
      </c>
    </row>
    <row r="429" spans="1:8" ht="15.6" x14ac:dyDescent="0.3">
      <c r="A429" s="361"/>
      <c r="B429" s="361"/>
      <c r="C429" s="349">
        <v>2039</v>
      </c>
      <c r="D429" s="350">
        <v>25</v>
      </c>
      <c r="E429" s="351"/>
      <c r="F429" s="346"/>
      <c r="G429" s="355">
        <v>21699.676828179941</v>
      </c>
      <c r="H429" s="356">
        <v>21699.676828179941</v>
      </c>
    </row>
    <row r="430" spans="1:8" ht="15.6" x14ac:dyDescent="0.3">
      <c r="A430" s="361"/>
      <c r="B430" s="361"/>
      <c r="C430" s="349">
        <v>2040</v>
      </c>
      <c r="D430" s="350">
        <v>26</v>
      </c>
      <c r="E430" s="351">
        <v>21616.946288050942</v>
      </c>
      <c r="F430" s="346">
        <v>21616.946288050942</v>
      </c>
      <c r="G430" s="355">
        <v>21616.946288050942</v>
      </c>
      <c r="H430" s="356">
        <v>21616.946288050942</v>
      </c>
    </row>
    <row r="431" spans="1:8" ht="15.6" x14ac:dyDescent="0.3">
      <c r="A431" s="361"/>
      <c r="B431" s="361"/>
      <c r="C431" s="349">
        <v>2041</v>
      </c>
      <c r="D431" s="350">
        <v>27</v>
      </c>
      <c r="E431" s="351"/>
      <c r="F431" s="346"/>
      <c r="G431" s="355">
        <v>21826.754838908913</v>
      </c>
      <c r="H431" s="356">
        <v>21826.754838908913</v>
      </c>
    </row>
    <row r="432" spans="1:8" ht="15.6" x14ac:dyDescent="0.3">
      <c r="A432" s="361"/>
      <c r="B432" s="361"/>
      <c r="C432" s="349">
        <v>2042</v>
      </c>
      <c r="D432" s="350">
        <v>28</v>
      </c>
      <c r="E432" s="351"/>
      <c r="F432" s="346"/>
      <c r="G432" s="355">
        <v>21876.519148224448</v>
      </c>
      <c r="H432" s="356">
        <v>21876.519148224448</v>
      </c>
    </row>
    <row r="433" spans="1:8" ht="15.6" x14ac:dyDescent="0.3">
      <c r="A433" s="361"/>
      <c r="B433" s="361"/>
      <c r="C433" s="349">
        <v>2043</v>
      </c>
      <c r="D433" s="350">
        <v>29</v>
      </c>
      <c r="E433" s="351"/>
      <c r="F433" s="346"/>
      <c r="G433" s="355">
        <v>21918.174132854081</v>
      </c>
      <c r="H433" s="356">
        <v>21918.174132854081</v>
      </c>
    </row>
    <row r="434" spans="1:8" ht="15.6" x14ac:dyDescent="0.3">
      <c r="A434" s="361"/>
      <c r="B434" s="361"/>
      <c r="C434" s="349">
        <v>2044</v>
      </c>
      <c r="D434" s="350">
        <v>30</v>
      </c>
      <c r="E434" s="351"/>
      <c r="F434" s="346"/>
      <c r="G434" s="355">
        <v>21952.525147307853</v>
      </c>
      <c r="H434" s="356">
        <v>21952.525147307853</v>
      </c>
    </row>
    <row r="435" spans="1:8" ht="15.6" x14ac:dyDescent="0.3">
      <c r="A435" s="361"/>
      <c r="B435" s="361"/>
      <c r="C435" s="349">
        <v>2045</v>
      </c>
      <c r="D435" s="350">
        <v>31</v>
      </c>
      <c r="E435" s="351">
        <v>22008.790757570328</v>
      </c>
      <c r="F435" s="346">
        <v>22008.790757570328</v>
      </c>
      <c r="G435" s="355">
        <v>22008.790757570328</v>
      </c>
      <c r="H435" s="356">
        <v>22008.790757570328</v>
      </c>
    </row>
    <row r="436" spans="1:8" ht="15.6" x14ac:dyDescent="0.3">
      <c r="A436" s="361"/>
      <c r="B436" s="361"/>
      <c r="C436" s="349">
        <v>2046</v>
      </c>
      <c r="D436" s="350">
        <v>32</v>
      </c>
      <c r="E436" s="351"/>
      <c r="F436" s="346"/>
      <c r="G436" s="355">
        <v>22002.53668372802</v>
      </c>
      <c r="H436" s="356">
        <v>22002.53668372802</v>
      </c>
    </row>
    <row r="437" spans="1:8" ht="15.6" x14ac:dyDescent="0.3">
      <c r="A437" s="365"/>
      <c r="B437" s="366"/>
      <c r="C437" s="349">
        <v>2047</v>
      </c>
      <c r="D437" s="350">
        <v>33</v>
      </c>
      <c r="E437" s="351"/>
      <c r="F437" s="346"/>
      <c r="G437" s="355">
        <v>22019.807914714507</v>
      </c>
      <c r="H437" s="356">
        <v>22019.807914714507</v>
      </c>
    </row>
    <row r="438" spans="1:8" ht="15.6" x14ac:dyDescent="0.3">
      <c r="A438" s="359"/>
      <c r="B438" s="366"/>
      <c r="C438" s="349">
        <v>2048</v>
      </c>
      <c r="D438" s="350">
        <v>34</v>
      </c>
      <c r="E438" s="351"/>
      <c r="F438" s="346"/>
      <c r="G438" s="355">
        <v>22032.996593565331</v>
      </c>
      <c r="H438" s="356">
        <v>22032.996593565331</v>
      </c>
    </row>
    <row r="439" spans="1:8" ht="15.6" x14ac:dyDescent="0.3">
      <c r="A439" s="359"/>
      <c r="B439" s="359"/>
      <c r="C439" s="349">
        <v>2049</v>
      </c>
      <c r="D439" s="350">
        <v>35</v>
      </c>
      <c r="E439" s="351"/>
      <c r="F439" s="346"/>
      <c r="G439" s="355">
        <v>22042.908074790543</v>
      </c>
      <c r="H439" s="356">
        <v>22042.908074790543</v>
      </c>
    </row>
    <row r="440" spans="1:8" ht="15.6" x14ac:dyDescent="0.3">
      <c r="A440" s="359"/>
      <c r="B440" s="359"/>
      <c r="C440" s="349">
        <v>2050</v>
      </c>
      <c r="D440" s="350">
        <v>36</v>
      </c>
      <c r="E440" s="351">
        <v>22078.938862739502</v>
      </c>
      <c r="F440" s="346">
        <v>22078.938862739502</v>
      </c>
      <c r="G440" s="355">
        <v>22078.938862739502</v>
      </c>
      <c r="H440" s="356">
        <v>22078.938862739502</v>
      </c>
    </row>
    <row r="441" spans="1:8" ht="15.6" x14ac:dyDescent="0.3">
      <c r="A441"/>
      <c r="B441"/>
      <c r="C441" s="349">
        <v>2051</v>
      </c>
      <c r="D441" s="350">
        <v>37</v>
      </c>
      <c r="E441" s="351"/>
      <c r="F441" s="346"/>
      <c r="G441" s="355">
        <v>22056.120862404288</v>
      </c>
      <c r="H441" s="356">
        <v>22056.120862404288</v>
      </c>
    </row>
    <row r="442" spans="1:8" ht="15.6" x14ac:dyDescent="0.3">
      <c r="A442"/>
      <c r="B442"/>
      <c r="C442" s="349">
        <v>2052</v>
      </c>
      <c r="D442" s="350">
        <v>38</v>
      </c>
      <c r="E442" s="351"/>
      <c r="F442" s="346"/>
      <c r="G442" s="355">
        <v>22061.032877812926</v>
      </c>
      <c r="H442" s="356">
        <v>22061.032877812926</v>
      </c>
    </row>
    <row r="443" spans="1:8" ht="15.6" x14ac:dyDescent="0.3">
      <c r="A443"/>
      <c r="B443"/>
      <c r="C443" s="349">
        <v>2053</v>
      </c>
      <c r="D443" s="350">
        <v>39</v>
      </c>
      <c r="E443" s="351"/>
      <c r="F443" s="346"/>
      <c r="G443" s="355">
        <v>22065.889113636142</v>
      </c>
      <c r="H443" s="356">
        <v>22065.889113636142</v>
      </c>
    </row>
    <row r="444" spans="1:8" ht="15.6" x14ac:dyDescent="0.3">
      <c r="A444"/>
      <c r="B444"/>
      <c r="C444" s="349">
        <v>2054</v>
      </c>
      <c r="D444" s="350">
        <v>40</v>
      </c>
      <c r="E444" s="351"/>
      <c r="F444" s="346"/>
      <c r="G444" s="355">
        <v>22071.494924383976</v>
      </c>
      <c r="H444" s="356">
        <v>22071.494924383976</v>
      </c>
    </row>
    <row r="445" spans="1:8" ht="15.6" x14ac:dyDescent="0.3">
      <c r="A445"/>
      <c r="B445"/>
      <c r="C445" s="349">
        <v>2055</v>
      </c>
      <c r="D445" s="350">
        <v>41</v>
      </c>
      <c r="E445" s="351">
        <v>22131.407334939056</v>
      </c>
      <c r="F445" s="346">
        <v>22131.407334939056</v>
      </c>
      <c r="G445" s="355">
        <v>22131.407334939056</v>
      </c>
      <c r="H445" s="356">
        <v>22131.407334939056</v>
      </c>
    </row>
    <row r="446" spans="1:8" ht="15.6" x14ac:dyDescent="0.3">
      <c r="A446"/>
      <c r="B446"/>
      <c r="C446" s="349">
        <v>2056</v>
      </c>
      <c r="D446" s="350">
        <v>42</v>
      </c>
      <c r="E446" s="351"/>
      <c r="F446" s="346"/>
      <c r="G446" s="355">
        <v>22088.1766886937</v>
      </c>
      <c r="H446" s="356">
        <v>22088.1766886937</v>
      </c>
    </row>
    <row r="447" spans="1:8" ht="15.6" x14ac:dyDescent="0.3">
      <c r="A447"/>
      <c r="B447"/>
      <c r="C447" s="349">
        <v>2057</v>
      </c>
      <c r="D447" s="350">
        <v>43</v>
      </c>
      <c r="E447" s="351"/>
      <c r="F447" s="346"/>
      <c r="G447" s="355">
        <v>22100.863351275682</v>
      </c>
      <c r="H447" s="356">
        <v>22100.863351275682</v>
      </c>
    </row>
    <row r="448" spans="1:8" ht="15.6" x14ac:dyDescent="0.3">
      <c r="A448"/>
      <c r="B448"/>
      <c r="C448" s="349">
        <v>2058</v>
      </c>
      <c r="D448" s="350">
        <v>44</v>
      </c>
      <c r="E448" s="351"/>
      <c r="F448" s="346"/>
      <c r="G448" s="355">
        <v>22117.521006822481</v>
      </c>
      <c r="H448" s="356">
        <v>22117.521006822481</v>
      </c>
    </row>
    <row r="449" spans="1:8" ht="15.6" x14ac:dyDescent="0.3">
      <c r="A449"/>
      <c r="B449"/>
      <c r="C449" s="349">
        <v>2059</v>
      </c>
      <c r="D449" s="350">
        <v>45</v>
      </c>
      <c r="E449" s="351"/>
      <c r="F449" s="346"/>
      <c r="G449" s="355">
        <v>22138.955009844143</v>
      </c>
      <c r="H449" s="356">
        <v>22138.955009844143</v>
      </c>
    </row>
    <row r="450" spans="1:8" ht="15.6" x14ac:dyDescent="0.3">
      <c r="A450"/>
      <c r="B450"/>
      <c r="C450" s="367">
        <v>2060</v>
      </c>
      <c r="D450" s="350">
        <v>46</v>
      </c>
      <c r="E450" s="351">
        <v>22127.937259425351</v>
      </c>
      <c r="F450" s="346">
        <v>22127.937259425351</v>
      </c>
      <c r="G450" s="355">
        <v>22127.937259425351</v>
      </c>
      <c r="H450" s="356">
        <v>22127.937259425351</v>
      </c>
    </row>
  </sheetData>
  <mergeCells count="72">
    <mergeCell ref="F257:F258"/>
    <mergeCell ref="A264:A267"/>
    <mergeCell ref="F323:F324"/>
    <mergeCell ref="A330:A333"/>
    <mergeCell ref="F392:F393"/>
    <mergeCell ref="A399:A402"/>
    <mergeCell ref="AC191:AD191"/>
    <mergeCell ref="AF191:AG191"/>
    <mergeCell ref="AJ191:AK191"/>
    <mergeCell ref="K192:N192"/>
    <mergeCell ref="P192:S192"/>
    <mergeCell ref="U192:V192"/>
    <mergeCell ref="Z192:AA192"/>
    <mergeCell ref="AC192:AD192"/>
    <mergeCell ref="AF192:AG192"/>
    <mergeCell ref="AJ192:AK192"/>
    <mergeCell ref="B191:D191"/>
    <mergeCell ref="E191:H191"/>
    <mergeCell ref="K191:N191"/>
    <mergeCell ref="P191:S191"/>
    <mergeCell ref="U191:V191"/>
    <mergeCell ref="Y191:AA191"/>
    <mergeCell ref="AU133:AV133"/>
    <mergeCell ref="AX133:AY133"/>
    <mergeCell ref="BA133:BB133"/>
    <mergeCell ref="BE133:BF133"/>
    <mergeCell ref="AJ133:AM133"/>
    <mergeCell ref="AO133:AP133"/>
    <mergeCell ref="B190:H190"/>
    <mergeCell ref="K190:V190"/>
    <mergeCell ref="Y190:AG190"/>
    <mergeCell ref="R133:U133"/>
    <mergeCell ref="W133:Z133"/>
    <mergeCell ref="AB133:AC133"/>
    <mergeCell ref="AE133:AH133"/>
    <mergeCell ref="BE132:BF132"/>
    <mergeCell ref="AE131:AP131"/>
    <mergeCell ref="AT131:BB131"/>
    <mergeCell ref="B132:D132"/>
    <mergeCell ref="E132:H132"/>
    <mergeCell ref="J132:L132"/>
    <mergeCell ref="M132:P132"/>
    <mergeCell ref="R132:U132"/>
    <mergeCell ref="W132:Z132"/>
    <mergeCell ref="AB132:AC132"/>
    <mergeCell ref="AE132:AH132"/>
    <mergeCell ref="AJ132:AM132"/>
    <mergeCell ref="AO132:AP132"/>
    <mergeCell ref="AT132:AV132"/>
    <mergeCell ref="AX132:AY132"/>
    <mergeCell ref="BA132:BB132"/>
    <mergeCell ref="A78:F78"/>
    <mergeCell ref="H78:T78"/>
    <mergeCell ref="W78:AD78"/>
    <mergeCell ref="B131:H131"/>
    <mergeCell ref="J131:P131"/>
    <mergeCell ref="R131:AC131"/>
    <mergeCell ref="A26:K26"/>
    <mergeCell ref="M26:W26"/>
    <mergeCell ref="Y26:AI26"/>
    <mergeCell ref="AK26:AU26"/>
    <mergeCell ref="I1:T1"/>
    <mergeCell ref="L2:O2"/>
    <mergeCell ref="E3:F3"/>
    <mergeCell ref="L4:L5"/>
    <mergeCell ref="L7:L8"/>
    <mergeCell ref="L11:L12"/>
    <mergeCell ref="L15:O16"/>
    <mergeCell ref="A25:K25"/>
    <mergeCell ref="M25:W25"/>
    <mergeCell ref="Y25:AI25"/>
    <mergeCell ref="AK25:AU25"/>
  </mergeCells>
  <conditionalFormatting sqref="A264">
    <cfRule type="cellIs" dxfId="20" priority="3" operator="equal">
      <formula>#REF!</formula>
    </cfRule>
  </conditionalFormatting>
  <conditionalFormatting sqref="A330">
    <cfRule type="cellIs" dxfId="19" priority="2" operator="equal">
      <formula>#REF!</formula>
    </cfRule>
  </conditionalFormatting>
  <conditionalFormatting sqref="A399">
    <cfRule type="cellIs" dxfId="18" priority="1" operator="equal">
      <formula>#REF!</formula>
    </cfRule>
  </conditionalFormatting>
  <dataValidations count="1">
    <dataValidation type="list" allowBlank="1" showInputMessage="1" showErrorMessage="1" sqref="C27:G27 G19 G5:H16 AE135:AH135 AJ135:AM135 R135:U135 W135:Z135 K194:N194 P194:S194">
      <formula1>"Y,N"</formula1>
    </dataValidation>
  </dataValidations>
  <pageMargins left="0.7" right="0.7" top="0.75" bottom="0.75" header="0.3" footer="0.3"/>
  <pageSetup paperSize="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sheetPr>
  <dimension ref="A1:EG449"/>
  <sheetViews>
    <sheetView showGridLines="0" topLeftCell="A467" zoomScale="96" zoomScaleNormal="96" zoomScalePageLayoutView="80" workbookViewId="0">
      <selection activeCell="T137" sqref="T137"/>
    </sheetView>
  </sheetViews>
  <sheetFormatPr defaultColWidth="8.796875" defaultRowHeight="13.2" x14ac:dyDescent="0.25"/>
  <cols>
    <col min="1" max="1" width="24.69921875" style="153" customWidth="1"/>
    <col min="2" max="2" width="37.5" style="153" bestFit="1" customWidth="1"/>
    <col min="3" max="3" width="21.5" style="153" customWidth="1"/>
    <col min="4" max="4" width="28.19921875" style="153" customWidth="1"/>
    <col min="5" max="5" width="37.5" style="153" bestFit="1" customWidth="1"/>
    <col min="6" max="6" width="28.296875" style="153" bestFit="1" customWidth="1"/>
    <col min="7" max="7" width="18.296875" style="153" bestFit="1" customWidth="1"/>
    <col min="8" max="8" width="45.5" style="153" bestFit="1" customWidth="1"/>
    <col min="9" max="11" width="7.296875" style="153" bestFit="1" customWidth="1"/>
    <col min="12" max="12" width="10.796875" style="153" bestFit="1" customWidth="1"/>
    <col min="13" max="13" width="7.19921875" style="153" bestFit="1" customWidth="1"/>
    <col min="14" max="14" width="19.5" style="153" customWidth="1"/>
    <col min="15" max="15" width="24.5" style="153" customWidth="1"/>
    <col min="16" max="16" width="23.19921875" style="153" customWidth="1"/>
    <col min="17" max="17" width="18.796875" style="153" customWidth="1"/>
    <col min="18" max="18" width="19" style="153" bestFit="1" customWidth="1"/>
    <col min="19" max="19" width="8.796875" style="153"/>
    <col min="20" max="20" width="10.19921875" style="153" bestFit="1" customWidth="1"/>
    <col min="21" max="21" width="24.5" style="153" customWidth="1"/>
    <col min="22" max="22" width="20" style="153" customWidth="1"/>
    <col min="23" max="23" width="19" style="153" bestFit="1" customWidth="1"/>
    <col min="24" max="24" width="21.19921875" style="153" customWidth="1"/>
    <col min="25" max="25" width="16.296875" style="153" bestFit="1" customWidth="1"/>
    <col min="26" max="28" width="8.796875" style="153"/>
    <col min="29" max="29" width="41.69921875" style="153" bestFit="1" customWidth="1"/>
    <col min="30" max="31" width="8.796875" style="153"/>
    <col min="32" max="33" width="7" style="153" bestFit="1" customWidth="1"/>
    <col min="34" max="34" width="7.5" style="153" bestFit="1" customWidth="1"/>
    <col min="35" max="35" width="5.296875" style="153" bestFit="1" customWidth="1"/>
    <col min="36" max="16384" width="8.796875" style="153"/>
  </cols>
  <sheetData>
    <row r="1" spans="1:137" s="160" customFormat="1" ht="21.6" thickBot="1" x14ac:dyDescent="0.45">
      <c r="A1" s="155" t="str">
        <f ca="1">MID(CELL("filename",A1),FIND("]",CELL("filename",A1))+1,256)</f>
        <v>Passenger-km_cluster_lldc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443</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331</v>
      </c>
      <c r="E3" s="249">
        <v>0.37352272910664808</v>
      </c>
      <c r="F3" s="167"/>
      <c r="G3" s="167" t="s">
        <v>213</v>
      </c>
      <c r="I3" s="618"/>
      <c r="J3" s="618"/>
      <c r="K3" s="618"/>
      <c r="L3" s="618"/>
      <c r="M3" s="166"/>
      <c r="N3" s="164">
        <f ca="1">SUM(OFFSET(O27,B3-2015,0,B4-B3+1,4))/1000</f>
        <v>3.7056773102258957</v>
      </c>
      <c r="O3" s="165" t="s">
        <v>209</v>
      </c>
      <c r="Q3" s="165"/>
      <c r="S3" s="671" t="s">
        <v>210</v>
      </c>
      <c r="T3" s="671"/>
      <c r="U3" s="671"/>
      <c r="V3" s="671"/>
      <c r="W3" s="671"/>
    </row>
    <row r="4" spans="1:137" ht="13.8" x14ac:dyDescent="0.25">
      <c r="A4" s="153" t="s">
        <v>215</v>
      </c>
      <c r="B4" s="234">
        <v>2050</v>
      </c>
      <c r="D4" s="248" t="s">
        <v>446</v>
      </c>
      <c r="E4" s="249">
        <v>5.4198099408466639E-3</v>
      </c>
      <c r="F4" s="167"/>
      <c r="G4" s="167" t="s">
        <v>211</v>
      </c>
      <c r="I4" s="168"/>
      <c r="J4" s="168"/>
      <c r="K4" s="168"/>
      <c r="L4" s="168"/>
      <c r="M4" s="168"/>
      <c r="N4" s="168"/>
      <c r="S4" s="671"/>
      <c r="T4" s="671"/>
      <c r="U4" s="671"/>
      <c r="V4" s="671"/>
      <c r="W4" s="671"/>
    </row>
    <row r="5" spans="1:137" ht="12.75" customHeight="1" x14ac:dyDescent="0.25">
      <c r="D5" s="248" t="s">
        <v>447</v>
      </c>
      <c r="E5" s="249">
        <v>1.8464056878232207E-3</v>
      </c>
      <c r="F5" s="167"/>
      <c r="G5" s="167" t="s">
        <v>211</v>
      </c>
      <c r="I5" s="618" t="s">
        <v>214</v>
      </c>
      <c r="J5" s="618"/>
      <c r="K5" s="618"/>
      <c r="L5" s="618"/>
      <c r="M5" s="169"/>
      <c r="N5" s="164">
        <f>SUM(J27:M72)/1000</f>
        <v>0</v>
      </c>
      <c r="O5" s="165" t="s">
        <v>208</v>
      </c>
      <c r="S5" s="671"/>
      <c r="T5" s="671"/>
      <c r="U5" s="671"/>
      <c r="V5" s="671"/>
      <c r="W5" s="671"/>
    </row>
    <row r="6" spans="1:137" ht="13.8" x14ac:dyDescent="0.25">
      <c r="D6" s="248" t="s">
        <v>448</v>
      </c>
      <c r="E6" s="249">
        <v>1.4574949236517223E-2</v>
      </c>
      <c r="F6" s="167"/>
      <c r="G6" s="167" t="s">
        <v>211</v>
      </c>
      <c r="I6" s="618"/>
      <c r="J6" s="618"/>
      <c r="K6" s="618"/>
      <c r="L6" s="618"/>
      <c r="M6" s="163"/>
      <c r="N6" s="164">
        <f>SUM(O27:R72)/1000</f>
        <v>9.1933786276016924</v>
      </c>
      <c r="O6" s="165" t="s">
        <v>209</v>
      </c>
    </row>
    <row r="7" spans="1:137" ht="13.8" x14ac:dyDescent="0.25">
      <c r="D7" s="248" t="s">
        <v>333</v>
      </c>
      <c r="E7" s="249">
        <v>6.9602452350514391E-2</v>
      </c>
      <c r="F7" s="167"/>
      <c r="G7" s="167" t="s">
        <v>211</v>
      </c>
      <c r="I7" s="172"/>
      <c r="J7" s="172"/>
      <c r="K7" s="172"/>
      <c r="L7" s="172"/>
      <c r="M7" s="172"/>
      <c r="N7" s="172"/>
      <c r="O7" s="172"/>
      <c r="P7" s="165"/>
    </row>
    <row r="8" spans="1:137" ht="13.8" x14ac:dyDescent="0.25">
      <c r="D8" s="248" t="s">
        <v>449</v>
      </c>
      <c r="E8" s="249">
        <v>0.15785630010489782</v>
      </c>
      <c r="F8" s="167"/>
      <c r="G8" s="167" t="s">
        <v>213</v>
      </c>
    </row>
    <row r="9" spans="1:137" ht="13.8" x14ac:dyDescent="0.25">
      <c r="D9" s="248" t="s">
        <v>450</v>
      </c>
      <c r="E9" s="249">
        <v>0.14651638221109406</v>
      </c>
      <c r="F9" s="167"/>
      <c r="G9" s="167" t="s">
        <v>213</v>
      </c>
    </row>
    <row r="10" spans="1:137" ht="13.8" x14ac:dyDescent="0.25">
      <c r="D10" s="248" t="s">
        <v>451</v>
      </c>
      <c r="E10" s="249">
        <v>1.5414977516314141E-2</v>
      </c>
      <c r="F10" s="167"/>
      <c r="G10" s="167" t="s">
        <v>211</v>
      </c>
    </row>
    <row r="11" spans="1:137" ht="13.8" x14ac:dyDescent="0.25">
      <c r="D11" s="248" t="s">
        <v>452</v>
      </c>
      <c r="E11" s="249">
        <v>5.4241782854827683E-2</v>
      </c>
      <c r="F11" s="167"/>
      <c r="G11" s="167" t="s">
        <v>211</v>
      </c>
    </row>
    <row r="12" spans="1:137" ht="13.8" x14ac:dyDescent="0.25">
      <c r="D12" s="248" t="s">
        <v>385</v>
      </c>
      <c r="E12" s="249">
        <v>0.11129287250584244</v>
      </c>
      <c r="F12" s="167"/>
      <c r="G12" s="167" t="s">
        <v>211</v>
      </c>
    </row>
    <row r="13" spans="1:137" ht="13.8" x14ac:dyDescent="0.25">
      <c r="D13" s="248" t="s">
        <v>334</v>
      </c>
      <c r="E13" s="249">
        <v>9.5247044011229475E-3</v>
      </c>
      <c r="F13" s="167"/>
      <c r="G13" s="167" t="s">
        <v>211</v>
      </c>
    </row>
    <row r="14" spans="1:137" ht="13.8" x14ac:dyDescent="0.25">
      <c r="D14" s="248" t="s">
        <v>335</v>
      </c>
      <c r="E14" s="249">
        <v>1.4603307826406002E-2</v>
      </c>
      <c r="F14" s="167"/>
      <c r="G14" s="167" t="s">
        <v>211</v>
      </c>
    </row>
    <row r="15" spans="1:137" ht="27.6" x14ac:dyDescent="0.25">
      <c r="D15" s="248" t="s">
        <v>336</v>
      </c>
      <c r="E15" s="249">
        <v>2.5583326257145333E-2</v>
      </c>
      <c r="F15" s="167"/>
      <c r="G15" s="167" t="s">
        <v>211</v>
      </c>
      <c r="O15" s="260" t="s">
        <v>322</v>
      </c>
      <c r="P15" s="260" t="s">
        <v>444</v>
      </c>
    </row>
    <row r="16" spans="1:137" ht="13.8" x14ac:dyDescent="0.25">
      <c r="F16" s="153" t="s">
        <v>217</v>
      </c>
      <c r="O16" s="261"/>
      <c r="P16" s="371">
        <v>5.2900000000000003E-2</v>
      </c>
    </row>
    <row r="17" spans="1:26" ht="27.6" x14ac:dyDescent="0.25">
      <c r="D17" s="171" t="s">
        <v>216</v>
      </c>
      <c r="E17" s="233">
        <v>1</v>
      </c>
      <c r="F17" s="167" t="s">
        <v>211</v>
      </c>
      <c r="P17" s="260" t="s">
        <v>445</v>
      </c>
    </row>
    <row r="18" spans="1:26" ht="13.8" x14ac:dyDescent="0.25">
      <c r="P18" s="371">
        <f>P16*(1-0.81)</f>
        <v>1.0050999999999997E-2</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IFERROR(IF($F$17="Y",$E$17,$Y85)*(SUMIF($G$3:$G$15,"Y",$E$3:$E$15))*(B85-B137),0)</f>
        <v>0</v>
      </c>
      <c r="F26" s="183" t="str">
        <f>IFERROR(E26-E25,"")</f>
        <v/>
      </c>
      <c r="G26" s="247">
        <f t="shared" ref="G26:G72" si="1">IFERROR(E26/(B85-B137),"")</f>
        <v>0</v>
      </c>
      <c r="H26" s="245" t="s">
        <v>264</v>
      </c>
      <c r="J26" s="182"/>
      <c r="K26" s="182"/>
      <c r="L26" s="182"/>
      <c r="M26" s="182"/>
      <c r="N26" s="163"/>
      <c r="O26" s="259" t="str">
        <f>IF($O$24="Y",IFERROR(E26*$E$6*$O$16*'Emissions Factors'!B12,""),"")</f>
        <v/>
      </c>
      <c r="P26" s="259">
        <f>IF($P$24="Y",IFERROR($E26*(($E$3/SUMIF($G$3:$G$15,"Y",$E$3:$E$15)*('Emissions Factors'!$R$21*$P$16)/10^6)+((($E$8+$E$9)/SUMIF($G$3:$G$15,"Y",$E$3:$E$15)*('Emissions Factors'!$R$21*$P$18)/10^6))),""),"")</f>
        <v>0</v>
      </c>
      <c r="Q26" s="259"/>
      <c r="R26" s="245" t="s">
        <v>264</v>
      </c>
      <c r="T26" s="180" t="str">
        <f t="shared" ref="T26:T72" si="2">IF(AND(A26&gt;=$B$3,A26&lt;=$B$4),SUM(O26:R26),"")</f>
        <v/>
      </c>
      <c r="U26" s="180" t="str">
        <f t="shared" ref="U26:U72" si="3">IF(AND(A26&gt;=$B$3,A26&lt;=$B$4),SUM(J26:M26),"")</f>
        <v/>
      </c>
      <c r="V26" s="177"/>
      <c r="X26" s="180">
        <f t="shared" ref="X26:X72" si="4">SUM(O26:R26)</f>
        <v>0</v>
      </c>
      <c r="Y26" s="180">
        <f t="shared" ref="Y26:Y72" si="5">SUM(J26:M26)</f>
        <v>0</v>
      </c>
    </row>
    <row r="27" spans="1:26" ht="15.6" x14ac:dyDescent="0.3">
      <c r="A27" s="152">
        <v>2015</v>
      </c>
      <c r="B27" s="178">
        <f t="shared" si="0"/>
        <v>0</v>
      </c>
      <c r="C27" s="182">
        <f>IFERROR(B27-B26,"")</f>
        <v>0</v>
      </c>
      <c r="D27" s="183"/>
      <c r="E27" s="179">
        <f t="shared" ref="E27:E72" si="6">IFERROR(IF($F$17="Y",$E$17,$Y86)*(SUMIF($G$3:$G$15,"Y",$E$3:$E$15))*(B86-B138),0)</f>
        <v>0</v>
      </c>
      <c r="F27" s="183">
        <f>IFERROR(E27-E26,"")</f>
        <v>0</v>
      </c>
      <c r="G27" s="247">
        <f t="shared" si="1"/>
        <v>0</v>
      </c>
      <c r="H27" s="246"/>
      <c r="J27" s="182"/>
      <c r="K27" s="182"/>
      <c r="L27" s="182"/>
      <c r="M27" s="182"/>
      <c r="N27" s="163"/>
      <c r="O27" s="259" t="str">
        <f>IF($O$24="Y",IFERROR(E27*$E$6*$O$16*'Emissions Factors'!B12,""),"")</f>
        <v/>
      </c>
      <c r="P27" s="259">
        <f>IF($P$24="Y",IFERROR($E27*(($E$3/SUMIF($G$3:$G$15,"Y",$E$3:$E$15)*('Emissions Factors'!$R$21*$P$16)/10^6)+((($E$8+$E$9)/SUMIF($G$3:$G$15,"Y",$E$3:$E$15)*('Emissions Factors'!$R$21*$P$18)/10^6))),""),"")</f>
        <v>0</v>
      </c>
      <c r="Q27" s="259"/>
      <c r="R27" s="258"/>
      <c r="T27" s="180" t="str">
        <f t="shared" si="2"/>
        <v/>
      </c>
      <c r="U27" s="180" t="str">
        <f t="shared" si="3"/>
        <v/>
      </c>
      <c r="V27" s="177"/>
      <c r="X27" s="180">
        <f t="shared" si="4"/>
        <v>0</v>
      </c>
      <c r="Y27" s="180">
        <f t="shared" si="5"/>
        <v>0</v>
      </c>
    </row>
    <row r="28" spans="1:26" ht="15.6" x14ac:dyDescent="0.3">
      <c r="A28" s="152">
        <v>2016</v>
      </c>
      <c r="B28" s="178">
        <f t="shared" si="0"/>
        <v>0</v>
      </c>
      <c r="C28" s="182">
        <f t="shared" ref="C28:C72" si="7">IFERROR(B28-B27,"")</f>
        <v>0</v>
      </c>
      <c r="D28" s="183"/>
      <c r="E28" s="179">
        <f t="shared" si="6"/>
        <v>0</v>
      </c>
      <c r="F28" s="183">
        <f t="shared" ref="F28:F72" si="8">IFERROR(E28-E27,"")</f>
        <v>0</v>
      </c>
      <c r="G28" s="247">
        <f t="shared" si="1"/>
        <v>0</v>
      </c>
      <c r="H28" s="246"/>
      <c r="J28" s="182"/>
      <c r="K28" s="182"/>
      <c r="L28" s="182"/>
      <c r="M28" s="182"/>
      <c r="N28" s="163"/>
      <c r="O28" s="259" t="str">
        <f>IF($O$24="Y",IFERROR(E28*$E$6*$O$16*'Emissions Factors'!B13,""),"")</f>
        <v/>
      </c>
      <c r="P28" s="259">
        <f>IF($P$24="Y",IFERROR($E28*(($E$3/SUMIF($G$3:$G$15,"Y",$E$3:$E$15)*('Emissions Factors'!$R$21*$P$16)/10^6)+((($E$8+$E$9)/SUMIF($G$3:$G$15,"Y",$E$3:$E$15)*('Emissions Factors'!$R$21*$P$18)/10^6))),""),"")</f>
        <v>0</v>
      </c>
      <c r="Q28" s="259"/>
      <c r="R28" s="258"/>
      <c r="T28" s="180" t="str">
        <f t="shared" si="2"/>
        <v/>
      </c>
      <c r="U28" s="180" t="str">
        <f t="shared" si="3"/>
        <v/>
      </c>
      <c r="V28" s="177"/>
      <c r="X28" s="180">
        <f t="shared" si="4"/>
        <v>0</v>
      </c>
      <c r="Y28" s="180">
        <f t="shared" si="5"/>
        <v>0</v>
      </c>
    </row>
    <row r="29" spans="1:26" ht="15.6" x14ac:dyDescent="0.3">
      <c r="A29" s="152">
        <v>2017</v>
      </c>
      <c r="B29" s="178">
        <f t="shared" si="0"/>
        <v>0</v>
      </c>
      <c r="C29" s="182">
        <f>IFERROR(B29-B28,"")</f>
        <v>0</v>
      </c>
      <c r="D29" s="183"/>
      <c r="E29" s="179">
        <f t="shared" si="6"/>
        <v>0</v>
      </c>
      <c r="F29" s="183">
        <f>IFERROR(E29-E28,"")</f>
        <v>0</v>
      </c>
      <c r="G29" s="247">
        <f t="shared" si="1"/>
        <v>0</v>
      </c>
      <c r="H29" s="246"/>
      <c r="J29" s="182"/>
      <c r="K29" s="182"/>
      <c r="L29" s="182"/>
      <c r="M29" s="182"/>
      <c r="N29" s="163"/>
      <c r="O29" s="259" t="str">
        <f>IF($O$24="Y",IFERROR(E29*$E$6*$O$16*'Emissions Factors'!B14,""),"")</f>
        <v/>
      </c>
      <c r="P29" s="259">
        <f>IF($P$24="Y",IFERROR($E29*(($E$3/SUMIF($G$3:$G$15,"Y",$E$3:$E$15)*('Emissions Factors'!$R$21*$P$16)/10^6)+((($E$8+$E$9)/SUMIF($G$3:$G$15,"Y",$E$3:$E$15)*('Emissions Factors'!$R$21*$P$18)/10^6))),""),"")</f>
        <v>0</v>
      </c>
      <c r="Q29" s="259"/>
      <c r="R29" s="258"/>
      <c r="T29" s="180" t="str">
        <f t="shared" si="2"/>
        <v/>
      </c>
      <c r="U29" s="180" t="str">
        <f t="shared" si="3"/>
        <v/>
      </c>
      <c r="V29" s="177"/>
      <c r="X29" s="180">
        <f t="shared" si="4"/>
        <v>0</v>
      </c>
      <c r="Y29" s="180">
        <f t="shared" si="5"/>
        <v>0</v>
      </c>
    </row>
    <row r="30" spans="1:26" ht="15.6" x14ac:dyDescent="0.3">
      <c r="A30" s="152">
        <v>2018</v>
      </c>
      <c r="B30" s="178">
        <f t="shared" si="0"/>
        <v>0</v>
      </c>
      <c r="C30" s="182">
        <f t="shared" si="7"/>
        <v>0</v>
      </c>
      <c r="D30" s="183"/>
      <c r="E30" s="179">
        <f t="shared" si="6"/>
        <v>0</v>
      </c>
      <c r="F30" s="183">
        <f t="shared" si="8"/>
        <v>0</v>
      </c>
      <c r="G30" s="247">
        <f t="shared" si="1"/>
        <v>0</v>
      </c>
      <c r="H30" s="246"/>
      <c r="J30" s="182"/>
      <c r="K30" s="182"/>
      <c r="L30" s="182"/>
      <c r="M30" s="182"/>
      <c r="N30" s="163"/>
      <c r="O30" s="259" t="str">
        <f>IF($O$24="Y",IFERROR(E30*$E$6*$O$16*'Emissions Factors'!B15,""),"")</f>
        <v/>
      </c>
      <c r="P30" s="259">
        <f>IF($P$24="Y",IFERROR($E30*(($E$3/SUMIF($G$3:$G$15,"Y",$E$3:$E$15)*('Emissions Factors'!$R$21*$P$16)/10^6)+((($E$8+$E$9)/SUMIF($G$3:$G$15,"Y",$E$3:$E$15)*('Emissions Factors'!$R$21*$P$18)/10^6))),""),"")</f>
        <v>0</v>
      </c>
      <c r="Q30" s="259"/>
      <c r="R30" s="258"/>
      <c r="T30" s="180" t="str">
        <f t="shared" si="2"/>
        <v/>
      </c>
      <c r="U30" s="180" t="str">
        <f t="shared" si="3"/>
        <v/>
      </c>
      <c r="V30" s="177"/>
      <c r="X30" s="180">
        <f t="shared" si="4"/>
        <v>0</v>
      </c>
      <c r="Y30" s="180">
        <f t="shared" si="5"/>
        <v>0</v>
      </c>
    </row>
    <row r="31" spans="1:26" ht="15.6" x14ac:dyDescent="0.3">
      <c r="A31" s="152">
        <v>2019</v>
      </c>
      <c r="B31" s="178">
        <f t="shared" si="0"/>
        <v>0</v>
      </c>
      <c r="C31" s="182">
        <f t="shared" si="7"/>
        <v>0</v>
      </c>
      <c r="D31" s="183"/>
      <c r="E31" s="179">
        <f t="shared" si="6"/>
        <v>0</v>
      </c>
      <c r="F31" s="183">
        <f t="shared" si="8"/>
        <v>0</v>
      </c>
      <c r="G31" s="247">
        <f t="shared" si="1"/>
        <v>0</v>
      </c>
      <c r="H31" s="246"/>
      <c r="J31" s="182"/>
      <c r="K31" s="182"/>
      <c r="L31" s="182"/>
      <c r="M31" s="182"/>
      <c r="N31" s="163"/>
      <c r="O31" s="259" t="str">
        <f>IF($O$24="Y",IFERROR(E31*$E$6*$O$16*'Emissions Factors'!B16,""),"")</f>
        <v/>
      </c>
      <c r="P31" s="259">
        <f>IF($P$24="Y",IFERROR($E31*(($E$3/SUMIF($G$3:$G$15,"Y",$E$3:$E$15)*('Emissions Factors'!$R$21*$P$16)/10^6)+((($E$8+$E$9)/SUMIF($G$3:$G$15,"Y",$E$3:$E$15)*('Emissions Factors'!$R$21*$P$18)/10^6))),""),"")</f>
        <v>0</v>
      </c>
      <c r="Q31" s="259"/>
      <c r="R31" s="258"/>
      <c r="T31" s="180" t="str">
        <f t="shared" si="2"/>
        <v/>
      </c>
      <c r="U31" s="180" t="str">
        <f t="shared" si="3"/>
        <v/>
      </c>
      <c r="V31" s="177"/>
      <c r="X31" s="180">
        <f t="shared" si="4"/>
        <v>0</v>
      </c>
      <c r="Y31" s="180">
        <f t="shared" si="5"/>
        <v>0</v>
      </c>
    </row>
    <row r="32" spans="1:26" ht="15.6" x14ac:dyDescent="0.3">
      <c r="A32" s="152">
        <v>2020</v>
      </c>
      <c r="B32" s="178">
        <f t="shared" si="0"/>
        <v>0</v>
      </c>
      <c r="C32" s="182">
        <f t="shared" si="7"/>
        <v>0</v>
      </c>
      <c r="D32" s="183"/>
      <c r="E32" s="179">
        <f t="shared" si="6"/>
        <v>0</v>
      </c>
      <c r="F32" s="183">
        <f t="shared" si="8"/>
        <v>0</v>
      </c>
      <c r="G32" s="247">
        <f t="shared" si="1"/>
        <v>0</v>
      </c>
      <c r="H32" s="246"/>
      <c r="J32" s="182"/>
      <c r="K32" s="182"/>
      <c r="L32" s="182"/>
      <c r="M32" s="182"/>
      <c r="N32" s="163"/>
      <c r="O32" s="259" t="str">
        <f>IF($O$24="Y",IFERROR(E32*$E$6*$O$16*'Emissions Factors'!B17,""),"")</f>
        <v/>
      </c>
      <c r="P32" s="259">
        <f>IF($P$24="Y",IFERROR($E32*(($E$3/SUMIF($G$3:$G$15,"Y",$E$3:$E$15)*('Emissions Factors'!$R$21*$P$16)/10^6)+((($E$8+$E$9)/SUMIF($G$3:$G$15,"Y",$E$3:$E$15)*('Emissions Factors'!$R$21*$P$18)/10^6))),""),"")</f>
        <v>0</v>
      </c>
      <c r="Q32" s="259"/>
      <c r="R32" s="258"/>
      <c r="T32" s="180">
        <f t="shared" si="2"/>
        <v>0</v>
      </c>
      <c r="U32" s="180">
        <f t="shared" si="3"/>
        <v>0</v>
      </c>
      <c r="V32" s="177"/>
      <c r="X32" s="180">
        <f t="shared" si="4"/>
        <v>0</v>
      </c>
      <c r="Y32" s="180">
        <f t="shared" si="5"/>
        <v>0</v>
      </c>
    </row>
    <row r="33" spans="1:25" ht="15.6" x14ac:dyDescent="0.3">
      <c r="A33" s="152">
        <v>2021</v>
      </c>
      <c r="B33" s="178">
        <f t="shared" si="0"/>
        <v>0</v>
      </c>
      <c r="C33" s="182">
        <f t="shared" si="7"/>
        <v>0</v>
      </c>
      <c r="D33" s="183"/>
      <c r="E33" s="179">
        <f t="shared" si="6"/>
        <v>23425669976.549007</v>
      </c>
      <c r="F33" s="183">
        <f t="shared" si="8"/>
        <v>23425669976.549007</v>
      </c>
      <c r="G33" s="247">
        <f t="shared" si="1"/>
        <v>0.27485653732841847</v>
      </c>
      <c r="H33" s="246"/>
      <c r="J33" s="182"/>
      <c r="K33" s="182"/>
      <c r="L33" s="182"/>
      <c r="M33" s="182"/>
      <c r="N33" s="163"/>
      <c r="O33" s="259" t="str">
        <f>IF($O$24="Y",IFERROR(E33*$E$6*$O$16*'Emissions Factors'!B18,""),"")</f>
        <v/>
      </c>
      <c r="P33" s="259">
        <f>IF($P$24="Y",IFERROR($E33*(($E$3/SUMIF($G$3:$G$15,"Y",$E$3:$E$15)*('Emissions Factors'!$R$21*$P$16)/10^6)+((($E$8+$E$9)/SUMIF($G$3:$G$15,"Y",$E$3:$E$15)*('Emissions Factors'!$R$21*$P$18)/10^6))),""),"")</f>
        <v>1.7930717536559135</v>
      </c>
      <c r="Q33" s="259"/>
      <c r="R33" s="258"/>
      <c r="T33" s="180">
        <f t="shared" si="2"/>
        <v>1.7930717536559135</v>
      </c>
      <c r="U33" s="180">
        <f t="shared" si="3"/>
        <v>0</v>
      </c>
      <c r="V33" s="177"/>
      <c r="X33" s="180">
        <f t="shared" si="4"/>
        <v>1.7930717536559135</v>
      </c>
      <c r="Y33" s="180">
        <f t="shared" si="5"/>
        <v>0</v>
      </c>
    </row>
    <row r="34" spans="1:25" ht="15.6" x14ac:dyDescent="0.3">
      <c r="A34" s="152">
        <v>2022</v>
      </c>
      <c r="B34" s="178">
        <f t="shared" si="0"/>
        <v>0</v>
      </c>
      <c r="C34" s="182">
        <f t="shared" si="7"/>
        <v>0</v>
      </c>
      <c r="D34" s="183"/>
      <c r="E34" s="179">
        <f t="shared" si="6"/>
        <v>52806454770.405624</v>
      </c>
      <c r="F34" s="183">
        <f t="shared" si="8"/>
        <v>29380784793.856617</v>
      </c>
      <c r="G34" s="247">
        <f t="shared" si="1"/>
        <v>0.26901767926220688</v>
      </c>
      <c r="H34" s="246"/>
      <c r="J34" s="182"/>
      <c r="K34" s="182"/>
      <c r="L34" s="182"/>
      <c r="M34" s="182"/>
      <c r="N34" s="163"/>
      <c r="O34" s="259" t="str">
        <f>IF($O$24="Y",IFERROR(E34*$E$6*$O$16*'Emissions Factors'!B19,""),"")</f>
        <v/>
      </c>
      <c r="P34" s="259">
        <f>IF($P$24="Y",IFERROR($E34*(($E$3/SUMIF($G$3:$G$15,"Y",$E$3:$E$15)*('Emissions Factors'!$R$21*$P$16)/10^6)+((($E$8+$E$9)/SUMIF($G$3:$G$15,"Y",$E$3:$E$15)*('Emissions Factors'!$R$21*$P$18)/10^6))),""),"")</f>
        <v>4.0419660378683302</v>
      </c>
      <c r="Q34" s="259"/>
      <c r="R34" s="258"/>
      <c r="T34" s="180">
        <f t="shared" si="2"/>
        <v>4.0419660378683302</v>
      </c>
      <c r="U34" s="180">
        <f t="shared" si="3"/>
        <v>0</v>
      </c>
      <c r="V34" s="177"/>
      <c r="X34" s="180">
        <f t="shared" si="4"/>
        <v>4.0419660378683302</v>
      </c>
      <c r="Y34" s="180">
        <f t="shared" si="5"/>
        <v>0</v>
      </c>
    </row>
    <row r="35" spans="1:25" ht="15.6" x14ac:dyDescent="0.3">
      <c r="A35" s="152">
        <v>2023</v>
      </c>
      <c r="B35" s="178">
        <f t="shared" si="0"/>
        <v>0</v>
      </c>
      <c r="C35" s="182">
        <f t="shared" si="7"/>
        <v>0</v>
      </c>
      <c r="D35" s="183"/>
      <c r="E35" s="179">
        <f t="shared" si="6"/>
        <v>88370965778.20462</v>
      </c>
      <c r="F35" s="183">
        <f t="shared" si="8"/>
        <v>35564511007.798996</v>
      </c>
      <c r="G35" s="247">
        <f t="shared" si="1"/>
        <v>0.26666143049023544</v>
      </c>
      <c r="H35" s="246"/>
      <c r="J35" s="182"/>
      <c r="K35" s="182"/>
      <c r="L35" s="182"/>
      <c r="M35" s="182"/>
      <c r="N35" s="163"/>
      <c r="O35" s="259" t="str">
        <f>IF($O$24="Y",IFERROR(E35*$E$6*$O$16*'Emissions Factors'!B20,""),"")</f>
        <v/>
      </c>
      <c r="P35" s="259">
        <f>IF($P$24="Y",IFERROR($E35*(($E$3/SUMIF($G$3:$G$15,"Y",$E$3:$E$15)*('Emissions Factors'!$R$21*$P$16)/10^6)+((($E$8+$E$9)/SUMIF($G$3:$G$15,"Y",$E$3:$E$15)*('Emissions Factors'!$R$21*$P$18)/10^6))),""),"")</f>
        <v>6.7641814615683922</v>
      </c>
      <c r="Q35" s="259"/>
      <c r="R35" s="258"/>
      <c r="T35" s="180">
        <f t="shared" si="2"/>
        <v>6.7641814615683922</v>
      </c>
      <c r="U35" s="180">
        <f t="shared" si="3"/>
        <v>0</v>
      </c>
      <c r="V35" s="177"/>
      <c r="X35" s="180">
        <f t="shared" si="4"/>
        <v>6.7641814615683922</v>
      </c>
      <c r="Y35" s="180">
        <f t="shared" si="5"/>
        <v>0</v>
      </c>
    </row>
    <row r="36" spans="1:25" ht="15.6" x14ac:dyDescent="0.3">
      <c r="A36" s="152">
        <v>2024</v>
      </c>
      <c r="B36" s="178">
        <f t="shared" si="0"/>
        <v>0</v>
      </c>
      <c r="C36" s="182">
        <f t="shared" si="7"/>
        <v>0</v>
      </c>
      <c r="D36" s="183"/>
      <c r="E36" s="179">
        <f t="shared" si="6"/>
        <v>130548080819.0519</v>
      </c>
      <c r="F36" s="183">
        <f t="shared" si="8"/>
        <v>42177115040.847275</v>
      </c>
      <c r="G36" s="247">
        <f t="shared" si="1"/>
        <v>0.26633378371366445</v>
      </c>
      <c r="H36" s="246"/>
      <c r="J36" s="182"/>
      <c r="K36" s="182"/>
      <c r="L36" s="182"/>
      <c r="M36" s="182"/>
      <c r="N36" s="163"/>
      <c r="O36" s="259" t="str">
        <f>IF($O$24="Y",IFERROR(E36*$E$6*$O$16*'Emissions Factors'!B21,""),"")</f>
        <v/>
      </c>
      <c r="P36" s="259">
        <f>IF($P$24="Y",IFERROR($E36*(($E$3/SUMIF($G$3:$G$15,"Y",$E$3:$E$15)*('Emissions Factors'!$R$21*$P$16)/10^6)+((($E$8+$E$9)/SUMIF($G$3:$G$15,"Y",$E$3:$E$15)*('Emissions Factors'!$R$21*$P$18)/10^6))),""),"")</f>
        <v>9.9925456324180448</v>
      </c>
      <c r="Q36" s="259"/>
      <c r="R36" s="258"/>
      <c r="T36" s="180">
        <f t="shared" si="2"/>
        <v>9.9925456324180448</v>
      </c>
      <c r="U36" s="180">
        <f t="shared" si="3"/>
        <v>0</v>
      </c>
      <c r="V36" s="177"/>
      <c r="X36" s="180">
        <f t="shared" si="4"/>
        <v>9.9925456324180448</v>
      </c>
      <c r="Y36" s="180">
        <f t="shared" si="5"/>
        <v>0</v>
      </c>
    </row>
    <row r="37" spans="1:25" ht="15.6" x14ac:dyDescent="0.3">
      <c r="A37" s="152">
        <v>2025</v>
      </c>
      <c r="B37" s="178">
        <f t="shared" si="0"/>
        <v>0</v>
      </c>
      <c r="C37" s="182">
        <f t="shared" si="7"/>
        <v>0</v>
      </c>
      <c r="D37" s="183"/>
      <c r="E37" s="179">
        <f t="shared" si="6"/>
        <v>180355602092.50781</v>
      </c>
      <c r="F37" s="183">
        <f t="shared" si="8"/>
        <v>49807521273.455917</v>
      </c>
      <c r="G37" s="247">
        <f t="shared" si="1"/>
        <v>0.26806401103643568</v>
      </c>
      <c r="H37" s="246"/>
      <c r="J37" s="182"/>
      <c r="K37" s="182"/>
      <c r="L37" s="182"/>
      <c r="M37" s="182"/>
      <c r="N37" s="163"/>
      <c r="O37" s="259" t="str">
        <f>IF($O$24="Y",IFERROR(E37*$E$6*$O$16*'Emissions Factors'!B22,""),"")</f>
        <v/>
      </c>
      <c r="P37" s="259">
        <f>IF($P$24="Y",IFERROR($E37*(($E$3/SUMIF($G$3:$G$15,"Y",$E$3:$E$15)*('Emissions Factors'!$R$21*$P$16)/10^6)+((($E$8+$E$9)/SUMIF($G$3:$G$15,"Y",$E$3:$E$15)*('Emissions Factors'!$R$21*$P$18)/10^6))),""),"")</f>
        <v>13.804964214446001</v>
      </c>
      <c r="Q37" s="259"/>
      <c r="R37" s="258"/>
      <c r="T37" s="180">
        <f t="shared" si="2"/>
        <v>13.804964214446001</v>
      </c>
      <c r="U37" s="180">
        <f t="shared" si="3"/>
        <v>0</v>
      </c>
      <c r="V37" s="177"/>
      <c r="X37" s="180">
        <f t="shared" si="4"/>
        <v>13.804964214446001</v>
      </c>
      <c r="Y37" s="180">
        <f t="shared" si="5"/>
        <v>0</v>
      </c>
    </row>
    <row r="38" spans="1:25" ht="15.6" x14ac:dyDescent="0.3">
      <c r="A38" s="152">
        <v>2026</v>
      </c>
      <c r="B38" s="178">
        <f t="shared" si="0"/>
        <v>0</v>
      </c>
      <c r="C38" s="182">
        <f t="shared" si="7"/>
        <v>0</v>
      </c>
      <c r="D38" s="183"/>
      <c r="E38" s="179">
        <f t="shared" si="6"/>
        <v>236723381135.03891</v>
      </c>
      <c r="F38" s="183">
        <f t="shared" si="8"/>
        <v>56367779042.531097</v>
      </c>
      <c r="G38" s="247">
        <f t="shared" si="1"/>
        <v>0.26953387431414549</v>
      </c>
      <c r="H38" s="246"/>
      <c r="J38" s="182"/>
      <c r="K38" s="182"/>
      <c r="L38" s="182"/>
      <c r="M38" s="182"/>
      <c r="N38" s="163"/>
      <c r="O38" s="259" t="str">
        <f>IF($O$24="Y",IFERROR(E38*$E$6*$O$16*'Emissions Factors'!B23,""),"")</f>
        <v/>
      </c>
      <c r="P38" s="259">
        <f>IF($P$24="Y",IFERROR($E38*(($E$3/SUMIF($G$3:$G$15,"Y",$E$3:$E$15)*('Emissions Factors'!$R$21*$P$16)/10^6)+((($E$8+$E$9)/SUMIF($G$3:$G$15,"Y",$E$3:$E$15)*('Emissions Factors'!$R$21*$P$18)/10^6))),""),"")</f>
        <v>18.119524801983562</v>
      </c>
      <c r="Q38" s="259"/>
      <c r="R38" s="258"/>
      <c r="T38" s="180">
        <f t="shared" si="2"/>
        <v>18.119524801983562</v>
      </c>
      <c r="U38" s="180">
        <f t="shared" si="3"/>
        <v>0</v>
      </c>
      <c r="V38" s="177"/>
      <c r="X38" s="180">
        <f t="shared" si="4"/>
        <v>18.119524801983562</v>
      </c>
      <c r="Y38" s="180">
        <f t="shared" si="5"/>
        <v>0</v>
      </c>
    </row>
    <row r="39" spans="1:25" ht="15.6" x14ac:dyDescent="0.3">
      <c r="A39" s="152">
        <v>2027</v>
      </c>
      <c r="B39" s="178">
        <f t="shared" si="0"/>
        <v>0</v>
      </c>
      <c r="C39" s="182">
        <f t="shared" si="7"/>
        <v>0</v>
      </c>
      <c r="D39" s="183"/>
      <c r="E39" s="179">
        <f t="shared" si="6"/>
        <v>301828602152.53723</v>
      </c>
      <c r="F39" s="183">
        <f t="shared" si="8"/>
        <v>65105221017.498322</v>
      </c>
      <c r="G39" s="247">
        <f t="shared" si="1"/>
        <v>0.2726008011405196</v>
      </c>
      <c r="H39" s="246"/>
      <c r="J39" s="182"/>
      <c r="K39" s="182"/>
      <c r="L39" s="182"/>
      <c r="M39" s="182"/>
      <c r="N39" s="163"/>
      <c r="O39" s="259" t="str">
        <f>IF($O$24="Y",IFERROR(E39*$E$6*$O$16*'Emissions Factors'!B24,""),"")</f>
        <v/>
      </c>
      <c r="P39" s="259">
        <f>IF($P$24="Y",IFERROR($E39*(($E$3/SUMIF($G$3:$G$15,"Y",$E$3:$E$15)*('Emissions Factors'!$R$21*$P$16)/10^6)+((($E$8+$E$9)/SUMIF($G$3:$G$15,"Y",$E$3:$E$15)*('Emissions Factors'!$R$21*$P$18)/10^6))),""),"")</f>
        <v>23.102875670448203</v>
      </c>
      <c r="Q39" s="259"/>
      <c r="R39" s="258"/>
      <c r="T39" s="180">
        <f t="shared" si="2"/>
        <v>23.102875670448203</v>
      </c>
      <c r="U39" s="180">
        <f t="shared" si="3"/>
        <v>0</v>
      </c>
      <c r="V39" s="177"/>
      <c r="X39" s="180">
        <f t="shared" si="4"/>
        <v>23.102875670448203</v>
      </c>
      <c r="Y39" s="180">
        <f t="shared" si="5"/>
        <v>0</v>
      </c>
    </row>
    <row r="40" spans="1:25" ht="15.6" x14ac:dyDescent="0.3">
      <c r="A40" s="152">
        <v>2028</v>
      </c>
      <c r="B40" s="178">
        <f t="shared" si="0"/>
        <v>0</v>
      </c>
      <c r="C40" s="182">
        <f t="shared" si="7"/>
        <v>0</v>
      </c>
      <c r="D40" s="183"/>
      <c r="E40" s="179">
        <f>IFERROR(IF($F$17="Y",$E$17,$Y99)*(SUMIF($G$3:$G$15,"Y",$E$3:$E$15))*(B99-B151),0)</f>
        <v>375582371702.78815</v>
      </c>
      <c r="F40" s="183">
        <f t="shared" si="8"/>
        <v>73753769550.250916</v>
      </c>
      <c r="G40" s="247">
        <f t="shared" si="1"/>
        <v>0.27616232861058859</v>
      </c>
      <c r="H40" s="246"/>
      <c r="J40" s="182"/>
      <c r="K40" s="182"/>
      <c r="L40" s="182"/>
      <c r="M40" s="182"/>
      <c r="N40" s="163"/>
      <c r="O40" s="259" t="str">
        <f>IF($O$24="Y",IFERROR(E40*$E$6*$O$16*'Emissions Factors'!B25,""),"")</f>
        <v/>
      </c>
      <c r="P40" s="259">
        <f>IF($P$24="Y",IFERROR($E40*(($E$3/SUMIF($G$3:$G$15,"Y",$E$3:$E$15)*('Emissions Factors'!$R$21*$P$16)/10^6)+((($E$8+$E$9)/SUMIF($G$3:$G$15,"Y",$E$3:$E$15)*('Emissions Factors'!$R$21*$P$18)/10^6))),""),"")</f>
        <v>28.748212646448941</v>
      </c>
      <c r="Q40" s="259"/>
      <c r="R40" s="258"/>
      <c r="T40" s="180">
        <f t="shared" si="2"/>
        <v>28.748212646448941</v>
      </c>
      <c r="U40" s="180">
        <f t="shared" si="3"/>
        <v>0</v>
      </c>
      <c r="V40" s="177"/>
      <c r="X40" s="180">
        <f t="shared" si="4"/>
        <v>28.748212646448941</v>
      </c>
      <c r="Y40" s="180">
        <f t="shared" si="5"/>
        <v>0</v>
      </c>
    </row>
    <row r="41" spans="1:25" ht="15.6" x14ac:dyDescent="0.3">
      <c r="A41" s="152">
        <v>2029</v>
      </c>
      <c r="B41" s="178">
        <f t="shared" si="0"/>
        <v>0</v>
      </c>
      <c r="C41" s="182">
        <f t="shared" si="7"/>
        <v>0</v>
      </c>
      <c r="D41" s="183"/>
      <c r="E41" s="179">
        <f t="shared" si="6"/>
        <v>458377000953.79645</v>
      </c>
      <c r="F41" s="183">
        <f t="shared" si="8"/>
        <v>82794629251.008301</v>
      </c>
      <c r="G41" s="247">
        <f t="shared" si="1"/>
        <v>0.27991509732488545</v>
      </c>
      <c r="H41" s="246"/>
      <c r="J41" s="182"/>
      <c r="K41" s="182"/>
      <c r="L41" s="182"/>
      <c r="M41" s="182"/>
      <c r="N41" s="163"/>
      <c r="O41" s="259" t="str">
        <f>IF($O$24="Y",IFERROR(E41*$E$6*$O$16*'Emissions Factors'!B26,""),"")</f>
        <v/>
      </c>
      <c r="P41" s="259">
        <f>IF($P$24="Y",IFERROR($E41*(($E$3/SUMIF($G$3:$G$15,"Y",$E$3:$E$15)*('Emissions Factors'!$R$21*$P$16)/10^6)+((($E$8+$E$9)/SUMIF($G$3:$G$15,"Y",$E$3:$E$15)*('Emissions Factors'!$R$21*$P$18)/10^6))),""),"")</f>
        <v>35.085564415385065</v>
      </c>
      <c r="Q41" s="259"/>
      <c r="R41" s="258"/>
      <c r="T41" s="180">
        <f t="shared" si="2"/>
        <v>35.085564415385065</v>
      </c>
      <c r="U41" s="180">
        <f t="shared" si="3"/>
        <v>0</v>
      </c>
      <c r="V41" s="177"/>
      <c r="X41" s="180">
        <f t="shared" si="4"/>
        <v>35.085564415385065</v>
      </c>
      <c r="Y41" s="180">
        <f t="shared" si="5"/>
        <v>0</v>
      </c>
    </row>
    <row r="42" spans="1:25" ht="15.6" x14ac:dyDescent="0.3">
      <c r="A42" s="152">
        <v>2030</v>
      </c>
      <c r="B42" s="178">
        <f t="shared" si="0"/>
        <v>0</v>
      </c>
      <c r="C42" s="182">
        <f t="shared" si="7"/>
        <v>0</v>
      </c>
      <c r="D42" s="183"/>
      <c r="E42" s="179">
        <f t="shared" si="6"/>
        <v>550883239681.70886</v>
      </c>
      <c r="F42" s="183">
        <f t="shared" si="8"/>
        <v>92506238727.912415</v>
      </c>
      <c r="G42" s="247">
        <f t="shared" si="1"/>
        <v>0.28375846698523211</v>
      </c>
      <c r="H42" s="246"/>
      <c r="J42" s="182"/>
      <c r="K42" s="182"/>
      <c r="L42" s="182"/>
      <c r="M42" s="182"/>
      <c r="N42" s="163"/>
      <c r="O42" s="259" t="str">
        <f>IF($O$24="Y",IFERROR(E42*$E$6*$O$16*'Emissions Factors'!B27,""),"")</f>
        <v/>
      </c>
      <c r="P42" s="259">
        <f>IF($P$24="Y",IFERROR($E42*(($E$3/SUMIF($G$3:$G$15,"Y",$E$3:$E$15)*('Emissions Factors'!$R$21*$P$16)/10^6)+((($E$8+$E$9)/SUMIF($G$3:$G$15,"Y",$E$3:$E$15)*('Emissions Factors'!$R$21*$P$18)/10^6))),""),"")</f>
        <v>42.166272197319159</v>
      </c>
      <c r="Q42" s="259"/>
      <c r="R42" s="258"/>
      <c r="T42" s="180">
        <f t="shared" si="2"/>
        <v>42.166272197319159</v>
      </c>
      <c r="U42" s="180">
        <f t="shared" si="3"/>
        <v>0</v>
      </c>
      <c r="V42" s="177"/>
      <c r="X42" s="180">
        <f t="shared" si="4"/>
        <v>42.166272197319159</v>
      </c>
      <c r="Y42" s="180">
        <f t="shared" si="5"/>
        <v>0</v>
      </c>
    </row>
    <row r="43" spans="1:25" ht="15.6" x14ac:dyDescent="0.3">
      <c r="A43" s="152">
        <v>2031</v>
      </c>
      <c r="B43" s="178">
        <f t="shared" si="0"/>
        <v>0</v>
      </c>
      <c r="C43" s="182">
        <f t="shared" si="7"/>
        <v>0</v>
      </c>
      <c r="D43" s="183"/>
      <c r="E43" s="179">
        <f t="shared" si="6"/>
        <v>653040607413.51343</v>
      </c>
      <c r="F43" s="183">
        <f t="shared" si="8"/>
        <v>102157367731.80457</v>
      </c>
      <c r="G43" s="247">
        <f t="shared" si="1"/>
        <v>0.28759986618568184</v>
      </c>
      <c r="H43" s="246"/>
      <c r="J43" s="182"/>
      <c r="K43" s="182"/>
      <c r="L43" s="182"/>
      <c r="M43" s="182"/>
      <c r="N43" s="163"/>
      <c r="O43" s="259" t="str">
        <f>IF($O$24="Y",IFERROR(E43*$E$6*$O$16*'Emissions Factors'!B28,""),"")</f>
        <v/>
      </c>
      <c r="P43" s="259">
        <f>IF($P$24="Y",IFERROR($E43*(($E$3/SUMIF($G$3:$G$15,"Y",$E$3:$E$15)*('Emissions Factors'!$R$21*$P$16)/10^6)+((($E$8+$E$9)/SUMIF($G$3:$G$15,"Y",$E$3:$E$15)*('Emissions Factors'!$R$21*$P$18)/10^6))),""),"")</f>
        <v>49.985706633606888</v>
      </c>
      <c r="Q43" s="259"/>
      <c r="R43" s="258"/>
      <c r="T43" s="180">
        <f t="shared" si="2"/>
        <v>49.985706633606888</v>
      </c>
      <c r="U43" s="180">
        <f t="shared" si="3"/>
        <v>0</v>
      </c>
      <c r="V43" s="177"/>
      <c r="X43" s="180">
        <f t="shared" si="4"/>
        <v>49.985706633606888</v>
      </c>
      <c r="Y43" s="180">
        <f t="shared" si="5"/>
        <v>0</v>
      </c>
    </row>
    <row r="44" spans="1:25" ht="15.6" x14ac:dyDescent="0.3">
      <c r="A44" s="152">
        <v>2032</v>
      </c>
      <c r="B44" s="178">
        <f t="shared" si="0"/>
        <v>0</v>
      </c>
      <c r="C44" s="182">
        <f t="shared" si="7"/>
        <v>0</v>
      </c>
      <c r="D44" s="183"/>
      <c r="E44" s="179">
        <f t="shared" si="6"/>
        <v>765751422263.71545</v>
      </c>
      <c r="F44" s="183">
        <f t="shared" si="8"/>
        <v>112710814850.20203</v>
      </c>
      <c r="G44" s="247">
        <f t="shared" si="1"/>
        <v>0.29159247779742831</v>
      </c>
      <c r="H44" s="246"/>
      <c r="J44" s="182"/>
      <c r="K44" s="182"/>
      <c r="L44" s="182"/>
      <c r="M44" s="182"/>
      <c r="N44" s="163"/>
      <c r="O44" s="259" t="str">
        <f>IF($O$24="Y",IFERROR(E44*$E$6*$O$16*'Emissions Factors'!B29,""),"")</f>
        <v/>
      </c>
      <c r="P44" s="259">
        <f>IF($P$24="Y",IFERROR($E44*(($E$3/SUMIF($G$3:$G$15,"Y",$E$3:$E$15)*('Emissions Factors'!$R$21*$P$16)/10^6)+((($E$8+$E$9)/SUMIF($G$3:$G$15,"Y",$E$3:$E$15)*('Emissions Factors'!$R$21*$P$18)/10^6))),""),"")</f>
        <v>58.612933886520288</v>
      </c>
      <c r="Q44" s="259"/>
      <c r="R44" s="258"/>
      <c r="T44" s="180">
        <f t="shared" si="2"/>
        <v>58.612933886520288</v>
      </c>
      <c r="U44" s="180">
        <f t="shared" si="3"/>
        <v>0</v>
      </c>
      <c r="V44" s="177"/>
      <c r="X44" s="180">
        <f t="shared" si="4"/>
        <v>58.612933886520288</v>
      </c>
      <c r="Y44" s="180">
        <f t="shared" si="5"/>
        <v>0</v>
      </c>
    </row>
    <row r="45" spans="1:25" ht="15.6" x14ac:dyDescent="0.3">
      <c r="A45" s="152">
        <v>2033</v>
      </c>
      <c r="B45" s="178">
        <f t="shared" si="0"/>
        <v>0</v>
      </c>
      <c r="C45" s="182">
        <f t="shared" si="7"/>
        <v>0</v>
      </c>
      <c r="D45" s="183"/>
      <c r="E45" s="179">
        <f t="shared" si="6"/>
        <v>888300385239.86633</v>
      </c>
      <c r="F45" s="183">
        <f t="shared" si="8"/>
        <v>122548962976.15088</v>
      </c>
      <c r="G45" s="247">
        <f t="shared" si="1"/>
        <v>0.29569609101394573</v>
      </c>
      <c r="H45" s="246"/>
      <c r="J45" s="182"/>
      <c r="K45" s="182"/>
      <c r="L45" s="182"/>
      <c r="M45" s="182"/>
      <c r="N45" s="163"/>
      <c r="O45" s="259" t="str">
        <f>IF($O$24="Y",IFERROR(E45*$E$6*$O$16*'Emissions Factors'!B30,""),"")</f>
        <v/>
      </c>
      <c r="P45" s="259">
        <f>IF($P$24="Y",IFERROR($E45*(($E$3/SUMIF($G$3:$G$15,"Y",$E$3:$E$15)*('Emissions Factors'!$R$21*$P$16)/10^6)+((($E$8+$E$9)/SUMIF($G$3:$G$15,"Y",$E$3:$E$15)*('Emissions Factors'!$R$21*$P$18)/10^6))),""),"")</f>
        <v>67.993202804008547</v>
      </c>
      <c r="Q45" s="259"/>
      <c r="R45" s="258"/>
      <c r="T45" s="180">
        <f t="shared" si="2"/>
        <v>67.993202804008547</v>
      </c>
      <c r="U45" s="180">
        <f t="shared" si="3"/>
        <v>0</v>
      </c>
      <c r="V45" s="177"/>
      <c r="X45" s="180">
        <f t="shared" si="4"/>
        <v>67.993202804008547</v>
      </c>
      <c r="Y45" s="180">
        <f t="shared" si="5"/>
        <v>0</v>
      </c>
    </row>
    <row r="46" spans="1:25" ht="15.6" x14ac:dyDescent="0.3">
      <c r="A46" s="152">
        <v>2034</v>
      </c>
      <c r="B46" s="178">
        <f t="shared" si="0"/>
        <v>0</v>
      </c>
      <c r="C46" s="182">
        <f t="shared" si="7"/>
        <v>0</v>
      </c>
      <c r="D46" s="183"/>
      <c r="E46" s="179">
        <f t="shared" si="6"/>
        <v>1019708551981.0466</v>
      </c>
      <c r="F46" s="183">
        <f t="shared" si="8"/>
        <v>131408166741.1803</v>
      </c>
      <c r="G46" s="247">
        <f t="shared" si="1"/>
        <v>0.29990437849392937</v>
      </c>
      <c r="H46" s="246"/>
      <c r="J46" s="182"/>
      <c r="K46" s="182"/>
      <c r="L46" s="182"/>
      <c r="M46" s="182"/>
      <c r="N46" s="163"/>
      <c r="O46" s="259" t="str">
        <f>IF($O$24="Y",IFERROR(E46*$E$6*$O$16*'Emissions Factors'!B31,""),"")</f>
        <v/>
      </c>
      <c r="P46" s="259">
        <f>IF($P$24="Y",IFERROR($E46*(($E$3/SUMIF($G$3:$G$15,"Y",$E$3:$E$15)*('Emissions Factors'!$R$21*$P$16)/10^6)+((($E$8+$E$9)/SUMIF($G$3:$G$15,"Y",$E$3:$E$15)*('Emissions Factors'!$R$21*$P$18)/10^6))),""),"")</f>
        <v>78.051582018741598</v>
      </c>
      <c r="Q46" s="259"/>
      <c r="R46" s="258"/>
      <c r="T46" s="180">
        <f t="shared" si="2"/>
        <v>78.051582018741598</v>
      </c>
      <c r="U46" s="180">
        <f t="shared" si="3"/>
        <v>0</v>
      </c>
      <c r="V46" s="177"/>
      <c r="X46" s="180">
        <f t="shared" si="4"/>
        <v>78.051582018741598</v>
      </c>
      <c r="Y46" s="180">
        <f t="shared" si="5"/>
        <v>0</v>
      </c>
    </row>
    <row r="47" spans="1:25" ht="15.6" x14ac:dyDescent="0.3">
      <c r="A47" s="152">
        <v>2035</v>
      </c>
      <c r="B47" s="178">
        <f t="shared" si="0"/>
        <v>0</v>
      </c>
      <c r="C47" s="182">
        <f t="shared" si="7"/>
        <v>0</v>
      </c>
      <c r="D47" s="183"/>
      <c r="E47" s="179">
        <f t="shared" si="6"/>
        <v>1154859856005.6167</v>
      </c>
      <c r="F47" s="183">
        <f t="shared" si="8"/>
        <v>135151304024.57007</v>
      </c>
      <c r="G47" s="247">
        <f t="shared" si="1"/>
        <v>0.30349438826447855</v>
      </c>
      <c r="H47" s="246"/>
      <c r="J47" s="182"/>
      <c r="K47" s="182"/>
      <c r="L47" s="182"/>
      <c r="M47" s="182"/>
      <c r="N47" s="163"/>
      <c r="O47" s="259" t="str">
        <f>IF($O$24="Y",IFERROR(E47*$E$6*$O$16*'Emissions Factors'!B32,""),"")</f>
        <v/>
      </c>
      <c r="P47" s="259">
        <f>IF($P$24="Y",IFERROR($E47*(($E$3/SUMIF($G$3:$G$15,"Y",$E$3:$E$15)*('Emissions Factors'!$R$21*$P$16)/10^6)+((($E$8+$E$9)/SUMIF($G$3:$G$15,"Y",$E$3:$E$15)*('Emissions Factors'!$R$21*$P$18)/10^6))),""),"")</f>
        <v>88.39647230187191</v>
      </c>
      <c r="Q47" s="259"/>
      <c r="R47" s="258"/>
      <c r="T47" s="180">
        <f t="shared" si="2"/>
        <v>88.39647230187191</v>
      </c>
      <c r="U47" s="180">
        <f t="shared" si="3"/>
        <v>0</v>
      </c>
      <c r="V47" s="177"/>
      <c r="X47" s="180">
        <f t="shared" si="4"/>
        <v>88.39647230187191</v>
      </c>
      <c r="Y47" s="180">
        <f t="shared" si="5"/>
        <v>0</v>
      </c>
    </row>
    <row r="48" spans="1:25" ht="15.6" x14ac:dyDescent="0.3">
      <c r="A48" s="152">
        <v>2036</v>
      </c>
      <c r="B48" s="178">
        <f t="shared" si="0"/>
        <v>0</v>
      </c>
      <c r="C48" s="182">
        <f t="shared" si="7"/>
        <v>0</v>
      </c>
      <c r="D48" s="183"/>
      <c r="E48" s="179">
        <f t="shared" si="6"/>
        <v>1306586635270.8547</v>
      </c>
      <c r="F48" s="183">
        <f t="shared" si="8"/>
        <v>151726779265.23804</v>
      </c>
      <c r="G48" s="247">
        <f t="shared" si="1"/>
        <v>0.30853754907035813</v>
      </c>
      <c r="H48" s="246"/>
      <c r="J48" s="182"/>
      <c r="K48" s="182"/>
      <c r="L48" s="182"/>
      <c r="M48" s="182"/>
      <c r="N48" s="163"/>
      <c r="O48" s="259" t="str">
        <f>IF($O$24="Y",IFERROR(E48*$E$6*$O$16*'Emissions Factors'!B33,""),"")</f>
        <v/>
      </c>
      <c r="P48" s="259">
        <f>IF($P$24="Y",IFERROR($E48*(($E$3/SUMIF($G$3:$G$15,"Y",$E$3:$E$15)*('Emissions Factors'!$R$21*$P$16)/10^6)+((($E$8+$E$9)/SUMIF($G$3:$G$15,"Y",$E$3:$E$15)*('Emissions Factors'!$R$21*$P$18)/10^6))),""),"")</f>
        <v>100.01009967927607</v>
      </c>
      <c r="Q48" s="259"/>
      <c r="R48" s="258"/>
      <c r="T48" s="180">
        <f t="shared" si="2"/>
        <v>100.01009967927607</v>
      </c>
      <c r="U48" s="180">
        <f t="shared" si="3"/>
        <v>0</v>
      </c>
      <c r="V48" s="177"/>
      <c r="X48" s="180">
        <f t="shared" si="4"/>
        <v>100.01009967927607</v>
      </c>
      <c r="Y48" s="180">
        <f t="shared" si="5"/>
        <v>0</v>
      </c>
    </row>
    <row r="49" spans="1:25" ht="15.6" x14ac:dyDescent="0.3">
      <c r="A49" s="152">
        <v>2037</v>
      </c>
      <c r="B49" s="178">
        <f t="shared" si="0"/>
        <v>0</v>
      </c>
      <c r="C49" s="182">
        <f t="shared" si="7"/>
        <v>0</v>
      </c>
      <c r="D49" s="183"/>
      <c r="E49" s="179">
        <f t="shared" si="6"/>
        <v>1462253254266.6921</v>
      </c>
      <c r="F49" s="183">
        <f t="shared" si="8"/>
        <v>155666618995.8374</v>
      </c>
      <c r="G49" s="247">
        <f t="shared" si="1"/>
        <v>0.31289392792377219</v>
      </c>
      <c r="H49" s="246"/>
      <c r="J49" s="182"/>
      <c r="K49" s="182"/>
      <c r="L49" s="182"/>
      <c r="M49" s="182"/>
      <c r="N49" s="163"/>
      <c r="O49" s="259" t="str">
        <f>IF($O$24="Y",IFERROR(E49*$E$6*$O$16*'Emissions Factors'!B34,""),"")</f>
        <v/>
      </c>
      <c r="P49" s="259">
        <f>IF($P$24="Y",IFERROR($E49*(($E$3/SUMIF($G$3:$G$15,"Y",$E$3:$E$15)*('Emissions Factors'!$R$21*$P$16)/10^6)+((($E$8+$E$9)/SUMIF($G$3:$G$15,"Y",$E$3:$E$15)*('Emissions Factors'!$R$21*$P$18)/10^6))),""),"")</f>
        <v>111.92529432634385</v>
      </c>
      <c r="Q49" s="259"/>
      <c r="R49" s="258"/>
      <c r="T49" s="180">
        <f t="shared" si="2"/>
        <v>111.92529432634385</v>
      </c>
      <c r="U49" s="180">
        <f t="shared" si="3"/>
        <v>0</v>
      </c>
      <c r="V49" s="177"/>
      <c r="X49" s="180">
        <f t="shared" si="4"/>
        <v>111.92529432634385</v>
      </c>
      <c r="Y49" s="180">
        <f t="shared" si="5"/>
        <v>0</v>
      </c>
    </row>
    <row r="50" spans="1:25" ht="15.6" x14ac:dyDescent="0.3">
      <c r="A50" s="152">
        <v>2038</v>
      </c>
      <c r="B50" s="178">
        <f t="shared" si="0"/>
        <v>0</v>
      </c>
      <c r="C50" s="182">
        <f t="shared" si="7"/>
        <v>0</v>
      </c>
      <c r="D50" s="183"/>
      <c r="E50" s="179">
        <f t="shared" si="6"/>
        <v>1627060152423.623</v>
      </c>
      <c r="F50" s="183">
        <f t="shared" si="8"/>
        <v>164806898156.93091</v>
      </c>
      <c r="G50" s="247">
        <f t="shared" si="1"/>
        <v>0.31724801233178218</v>
      </c>
      <c r="H50" s="246"/>
      <c r="J50" s="182"/>
      <c r="K50" s="182"/>
      <c r="L50" s="182"/>
      <c r="M50" s="182"/>
      <c r="N50" s="163"/>
      <c r="O50" s="259" t="str">
        <f>IF($O$24="Y",IFERROR(E50*$E$6*$O$16*'Emissions Factors'!B35,""),"")</f>
        <v/>
      </c>
      <c r="P50" s="259">
        <f>IF($P$24="Y",IFERROR($E50*(($E$3/SUMIF($G$3:$G$15,"Y",$E$3:$E$15)*('Emissions Factors'!$R$21*$P$16)/10^6)+((($E$8+$E$9)/SUMIF($G$3:$G$15,"Y",$E$3:$E$15)*('Emissions Factors'!$R$21*$P$18)/10^6))),""),"")</f>
        <v>124.54011363305608</v>
      </c>
      <c r="Q50" s="259"/>
      <c r="R50" s="258"/>
      <c r="T50" s="180">
        <f t="shared" si="2"/>
        <v>124.54011363305608</v>
      </c>
      <c r="U50" s="180">
        <f t="shared" si="3"/>
        <v>0</v>
      </c>
      <c r="V50" s="177"/>
      <c r="X50" s="180">
        <f t="shared" si="4"/>
        <v>124.54011363305608</v>
      </c>
      <c r="Y50" s="180">
        <f t="shared" si="5"/>
        <v>0</v>
      </c>
    </row>
    <row r="51" spans="1:25" ht="15.6" x14ac:dyDescent="0.3">
      <c r="A51" s="152">
        <v>2039</v>
      </c>
      <c r="B51" s="178">
        <f t="shared" si="0"/>
        <v>0</v>
      </c>
      <c r="C51" s="182">
        <f t="shared" si="7"/>
        <v>0</v>
      </c>
      <c r="D51" s="183"/>
      <c r="E51" s="179">
        <f t="shared" si="6"/>
        <v>1802363762770.3955</v>
      </c>
      <c r="F51" s="183">
        <f t="shared" si="8"/>
        <v>175303610346.77246</v>
      </c>
      <c r="G51" s="247">
        <f t="shared" si="1"/>
        <v>0.32158774214894575</v>
      </c>
      <c r="H51" s="246"/>
      <c r="J51" s="182"/>
      <c r="K51" s="182"/>
      <c r="L51" s="182"/>
      <c r="M51" s="182"/>
      <c r="N51" s="163"/>
      <c r="O51" s="259" t="str">
        <f>IF($O$24="Y",IFERROR(E51*$E$6*$O$16*'Emissions Factors'!B36,""),"")</f>
        <v/>
      </c>
      <c r="P51" s="259">
        <f>IF($P$24="Y",IFERROR($E51*(($E$3/SUMIF($G$3:$G$15,"Y",$E$3:$E$15)*('Emissions Factors'!$R$21*$P$16)/10^6)+((($E$8+$E$9)/SUMIF($G$3:$G$15,"Y",$E$3:$E$15)*('Emissions Factors'!$R$21*$P$18)/10^6))),""),"")</f>
        <v>137.95838309307032</v>
      </c>
      <c r="Q51" s="259"/>
      <c r="R51" s="258"/>
      <c r="T51" s="180">
        <f t="shared" si="2"/>
        <v>137.95838309307032</v>
      </c>
      <c r="U51" s="180">
        <f t="shared" si="3"/>
        <v>0</v>
      </c>
      <c r="V51" s="177"/>
      <c r="X51" s="180">
        <f t="shared" si="4"/>
        <v>137.95838309307032</v>
      </c>
      <c r="Y51" s="180">
        <f t="shared" si="5"/>
        <v>0</v>
      </c>
    </row>
    <row r="52" spans="1:25" ht="15.6" x14ac:dyDescent="0.3">
      <c r="A52" s="152">
        <v>2040</v>
      </c>
      <c r="B52" s="178">
        <f t="shared" si="0"/>
        <v>0</v>
      </c>
      <c r="C52" s="182">
        <f t="shared" si="7"/>
        <v>0</v>
      </c>
      <c r="D52" s="183"/>
      <c r="E52" s="179">
        <f t="shared" si="6"/>
        <v>1987050181688.2532</v>
      </c>
      <c r="F52" s="183">
        <f t="shared" si="8"/>
        <v>184686418917.85767</v>
      </c>
      <c r="G52" s="247">
        <f t="shared" si="1"/>
        <v>0.32585535576284513</v>
      </c>
      <c r="H52" s="246"/>
      <c r="J52" s="182"/>
      <c r="K52" s="182"/>
      <c r="L52" s="182"/>
      <c r="M52" s="182"/>
      <c r="N52" s="163"/>
      <c r="O52" s="259" t="str">
        <f>IF($O$24="Y",IFERROR(E52*$E$6*$O$16*'Emissions Factors'!B37,""),"")</f>
        <v/>
      </c>
      <c r="P52" s="259">
        <f>IF($P$24="Y",IFERROR($E52*(($E$3/SUMIF($G$3:$G$15,"Y",$E$3:$E$15)*('Emissions Factors'!$R$21*$P$16)/10^6)+((($E$8+$E$9)/SUMIF($G$3:$G$15,"Y",$E$3:$E$15)*('Emissions Factors'!$R$21*$P$18)/10^6))),""),"")</f>
        <v>152.09484114857045</v>
      </c>
      <c r="Q52" s="259"/>
      <c r="R52" s="258"/>
      <c r="T52" s="180">
        <f t="shared" si="2"/>
        <v>152.09484114857045</v>
      </c>
      <c r="U52" s="180">
        <f t="shared" si="3"/>
        <v>0</v>
      </c>
      <c r="V52" s="177"/>
      <c r="X52" s="180">
        <f t="shared" si="4"/>
        <v>152.09484114857045</v>
      </c>
      <c r="Y52" s="180">
        <f t="shared" si="5"/>
        <v>0</v>
      </c>
    </row>
    <row r="53" spans="1:25" ht="15.6" x14ac:dyDescent="0.3">
      <c r="A53" s="152">
        <v>2041</v>
      </c>
      <c r="B53" s="178">
        <f t="shared" si="0"/>
        <v>0</v>
      </c>
      <c r="C53" s="182">
        <f t="shared" si="7"/>
        <v>0</v>
      </c>
      <c r="D53" s="183"/>
      <c r="E53" s="179">
        <f t="shared" si="6"/>
        <v>2188955817918.821</v>
      </c>
      <c r="F53" s="183">
        <f t="shared" si="8"/>
        <v>201905636230.56787</v>
      </c>
      <c r="G53" s="247">
        <f t="shared" si="1"/>
        <v>0.3301596389937812</v>
      </c>
      <c r="H53" s="246"/>
      <c r="J53" s="182"/>
      <c r="K53" s="182"/>
      <c r="L53" s="182"/>
      <c r="M53" s="182"/>
      <c r="N53" s="163"/>
      <c r="O53" s="259" t="str">
        <f>IF($O$24="Y",IFERROR(E53*$E$6*$O$16*'Emissions Factors'!B38,""),"")</f>
        <v/>
      </c>
      <c r="P53" s="259">
        <f>IF($P$24="Y",IFERROR($E53*(($E$3/SUMIF($G$3:$G$15,"Y",$E$3:$E$15)*('Emissions Factors'!$R$21*$P$16)/10^6)+((($E$8+$E$9)/SUMIF($G$3:$G$15,"Y",$E$3:$E$15)*('Emissions Factors'!$R$21*$P$18)/10^6))),""),"")</f>
        <v>167.54931026690858</v>
      </c>
      <c r="Q53" s="259"/>
      <c r="R53" s="258"/>
      <c r="T53" s="180">
        <f t="shared" si="2"/>
        <v>167.54931026690858</v>
      </c>
      <c r="U53" s="180">
        <f t="shared" si="3"/>
        <v>0</v>
      </c>
      <c r="V53" s="177"/>
      <c r="X53" s="180">
        <f t="shared" si="4"/>
        <v>167.54931026690858</v>
      </c>
      <c r="Y53" s="180">
        <f t="shared" si="5"/>
        <v>0</v>
      </c>
    </row>
    <row r="54" spans="1:25" ht="15.6" x14ac:dyDescent="0.3">
      <c r="A54" s="152">
        <v>2042</v>
      </c>
      <c r="B54" s="178">
        <f t="shared" si="0"/>
        <v>0</v>
      </c>
      <c r="C54" s="182">
        <f t="shared" si="7"/>
        <v>0</v>
      </c>
      <c r="D54" s="183"/>
      <c r="E54" s="179">
        <f t="shared" si="6"/>
        <v>2401353863621.6099</v>
      </c>
      <c r="F54" s="183">
        <f t="shared" si="8"/>
        <v>212398045702.78882</v>
      </c>
      <c r="G54" s="247">
        <f t="shared" si="1"/>
        <v>0.33435199333981985</v>
      </c>
      <c r="H54" s="246"/>
      <c r="J54" s="182"/>
      <c r="K54" s="182"/>
      <c r="L54" s="182"/>
      <c r="M54" s="182"/>
      <c r="N54" s="163"/>
      <c r="O54" s="259" t="str">
        <f>IF($O$24="Y",IFERROR(E54*$E$6*$O$16*'Emissions Factors'!B39,""),"")</f>
        <v/>
      </c>
      <c r="P54" s="259">
        <f>IF($P$24="Y",IFERROR($E54*(($E$3/SUMIF($G$3:$G$15,"Y",$E$3:$E$15)*('Emissions Factors'!$R$21*$P$16)/10^6)+((($E$8+$E$9)/SUMIF($G$3:$G$15,"Y",$E$3:$E$15)*('Emissions Factors'!$R$21*$P$18)/10^6))),""),"")</f>
        <v>183.80690019550593</v>
      </c>
      <c r="Q54" s="259"/>
      <c r="R54" s="258"/>
      <c r="T54" s="180">
        <f t="shared" si="2"/>
        <v>183.80690019550593</v>
      </c>
      <c r="U54" s="180">
        <f t="shared" si="3"/>
        <v>0</v>
      </c>
      <c r="V54" s="177"/>
      <c r="X54" s="180">
        <f t="shared" si="4"/>
        <v>183.80690019550593</v>
      </c>
      <c r="Y54" s="180">
        <f t="shared" si="5"/>
        <v>0</v>
      </c>
    </row>
    <row r="55" spans="1:25" ht="15.6" x14ac:dyDescent="0.3">
      <c r="A55" s="152">
        <v>2043</v>
      </c>
      <c r="B55" s="178">
        <f t="shared" si="0"/>
        <v>0</v>
      </c>
      <c r="C55" s="182">
        <f t="shared" si="7"/>
        <v>0</v>
      </c>
      <c r="D55" s="183"/>
      <c r="E55" s="179">
        <f t="shared" si="6"/>
        <v>2627638355371.3237</v>
      </c>
      <c r="F55" s="183">
        <f t="shared" si="8"/>
        <v>226284491749.71387</v>
      </c>
      <c r="G55" s="247">
        <f t="shared" si="1"/>
        <v>0.33845090737150391</v>
      </c>
      <c r="H55" s="246"/>
      <c r="J55" s="182"/>
      <c r="K55" s="182"/>
      <c r="L55" s="182"/>
      <c r="M55" s="182"/>
      <c r="N55" s="163"/>
      <c r="O55" s="259" t="str">
        <f>IF($O$24="Y",IFERROR(E55*$E$6*$O$16*'Emissions Factors'!B40,""),"")</f>
        <v/>
      </c>
      <c r="P55" s="259">
        <f>IF($P$24="Y",IFERROR($E55*(($E$3/SUMIF($G$3:$G$15,"Y",$E$3:$E$15)*('Emissions Factors'!$R$21*$P$16)/10^6)+((($E$8+$E$9)/SUMIF($G$3:$G$15,"Y",$E$3:$E$15)*('Emissions Factors'!$R$21*$P$18)/10^6))),""),"")</f>
        <v>201.12740077683316</v>
      </c>
      <c r="Q55" s="259"/>
      <c r="R55" s="258"/>
      <c r="T55" s="180">
        <f t="shared" si="2"/>
        <v>201.12740077683316</v>
      </c>
      <c r="U55" s="180">
        <f t="shared" si="3"/>
        <v>0</v>
      </c>
      <c r="V55" s="177"/>
      <c r="X55" s="180">
        <f t="shared" si="4"/>
        <v>201.12740077683316</v>
      </c>
      <c r="Y55" s="180">
        <f t="shared" si="5"/>
        <v>0</v>
      </c>
    </row>
    <row r="56" spans="1:25" ht="15.6" x14ac:dyDescent="0.3">
      <c r="A56" s="152">
        <v>2044</v>
      </c>
      <c r="B56" s="178">
        <f t="shared" si="0"/>
        <v>0</v>
      </c>
      <c r="C56" s="182">
        <f t="shared" si="7"/>
        <v>0</v>
      </c>
      <c r="D56" s="183"/>
      <c r="E56" s="179">
        <f t="shared" si="6"/>
        <v>2868931262015.1396</v>
      </c>
      <c r="F56" s="183">
        <f t="shared" si="8"/>
        <v>241292906643.81592</v>
      </c>
      <c r="G56" s="247">
        <f t="shared" si="1"/>
        <v>0.3424318201858183</v>
      </c>
      <c r="H56" s="246"/>
      <c r="J56" s="182"/>
      <c r="K56" s="182"/>
      <c r="L56" s="182"/>
      <c r="M56" s="182"/>
      <c r="N56" s="163"/>
      <c r="O56" s="259" t="str">
        <f>IF($O$24="Y",IFERROR(E56*$E$6*$O$16*'Emissions Factors'!B41,""),"")</f>
        <v/>
      </c>
      <c r="P56" s="259">
        <f>IF($P$24="Y",IFERROR($E56*(($E$3/SUMIF($G$3:$G$15,"Y",$E$3:$E$15)*('Emissions Factors'!$R$21*$P$16)/10^6)+((($E$8+$E$9)/SUMIF($G$3:$G$15,"Y",$E$3:$E$15)*('Emissions Factors'!$R$21*$P$18)/10^6))),""),"")</f>
        <v>219.59669090572521</v>
      </c>
      <c r="Q56" s="259"/>
      <c r="R56" s="258"/>
      <c r="T56" s="180">
        <f t="shared" si="2"/>
        <v>219.59669090572521</v>
      </c>
      <c r="U56" s="180">
        <f t="shared" si="3"/>
        <v>0</v>
      </c>
      <c r="V56" s="177"/>
      <c r="X56" s="180">
        <f t="shared" si="4"/>
        <v>219.59669090572521</v>
      </c>
      <c r="Y56" s="180">
        <f t="shared" si="5"/>
        <v>0</v>
      </c>
    </row>
    <row r="57" spans="1:25" ht="15.6" x14ac:dyDescent="0.3">
      <c r="A57" s="152">
        <v>2045</v>
      </c>
      <c r="B57" s="178">
        <f t="shared" si="0"/>
        <v>0</v>
      </c>
      <c r="C57" s="182">
        <f t="shared" si="7"/>
        <v>0</v>
      </c>
      <c r="D57" s="183"/>
      <c r="E57" s="179">
        <f t="shared" si="6"/>
        <v>3130685398646.4023</v>
      </c>
      <c r="F57" s="183">
        <f t="shared" si="8"/>
        <v>261754136631.2627</v>
      </c>
      <c r="G57" s="247">
        <f t="shared" si="1"/>
        <v>0.34632555791356145</v>
      </c>
      <c r="H57" s="246"/>
      <c r="J57" s="182"/>
      <c r="K57" s="182"/>
      <c r="L57" s="182"/>
      <c r="M57" s="182"/>
      <c r="N57" s="163"/>
      <c r="O57" s="259" t="str">
        <f>IF($O$24="Y",IFERROR(E57*$E$6*$O$16*'Emissions Factors'!B42,""),"")</f>
        <v/>
      </c>
      <c r="P57" s="259">
        <f>IF($P$24="Y",IFERROR($E57*(($E$3/SUMIF($G$3:$G$15,"Y",$E$3:$E$15)*('Emissions Factors'!$R$21*$P$16)/10^6)+((($E$8+$E$9)/SUMIF($G$3:$G$15,"Y",$E$3:$E$15)*('Emissions Factors'!$R$21*$P$18)/10^6))),""),"")</f>
        <v>239.63214557002976</v>
      </c>
      <c r="Q57" s="259"/>
      <c r="R57" s="258"/>
      <c r="T57" s="180">
        <f t="shared" si="2"/>
        <v>239.63214557002976</v>
      </c>
      <c r="U57" s="180">
        <f t="shared" si="3"/>
        <v>0</v>
      </c>
      <c r="V57" s="177"/>
      <c r="X57" s="180">
        <f t="shared" si="4"/>
        <v>239.63214557002976</v>
      </c>
      <c r="Y57" s="180">
        <f t="shared" si="5"/>
        <v>0</v>
      </c>
    </row>
    <row r="58" spans="1:25" ht="15.6" x14ac:dyDescent="0.3">
      <c r="A58" s="152">
        <v>2046</v>
      </c>
      <c r="B58" s="178">
        <f t="shared" si="0"/>
        <v>0</v>
      </c>
      <c r="C58" s="182">
        <f t="shared" si="7"/>
        <v>0</v>
      </c>
      <c r="D58" s="183"/>
      <c r="E58" s="179">
        <f t="shared" si="6"/>
        <v>3400937265726.5776</v>
      </c>
      <c r="F58" s="183">
        <f t="shared" si="8"/>
        <v>270251867080.17529</v>
      </c>
      <c r="G58" s="247">
        <f t="shared" si="1"/>
        <v>0.34997927963142855</v>
      </c>
      <c r="H58" s="246"/>
      <c r="J58" s="182"/>
      <c r="K58" s="182"/>
      <c r="L58" s="182"/>
      <c r="M58" s="182"/>
      <c r="N58" s="163"/>
      <c r="O58" s="259" t="str">
        <f>IF($O$24="Y",IFERROR(E58*$E$6*$O$16*'Emissions Factors'!B43,""),"")</f>
        <v/>
      </c>
      <c r="P58" s="259">
        <f>IF($P$24="Y",IFERROR($E58*(($E$3/SUMIF($G$3:$G$15,"Y",$E$3:$E$15)*('Emissions Factors'!$R$21*$P$16)/10^6)+((($E$8+$E$9)/SUMIF($G$3:$G$15,"Y",$E$3:$E$15)*('Emissions Factors'!$R$21*$P$18)/10^6))),""),"")</f>
        <v>260.31804226879393</v>
      </c>
      <c r="Q58" s="259"/>
      <c r="R58" s="258"/>
      <c r="T58" s="180">
        <f t="shared" si="2"/>
        <v>260.31804226879393</v>
      </c>
      <c r="U58" s="180">
        <f t="shared" si="3"/>
        <v>0</v>
      </c>
      <c r="V58" s="177"/>
      <c r="X58" s="180">
        <f t="shared" si="4"/>
        <v>260.31804226879393</v>
      </c>
      <c r="Y58" s="180">
        <f t="shared" si="5"/>
        <v>0</v>
      </c>
    </row>
    <row r="59" spans="1:25" ht="15.6" x14ac:dyDescent="0.3">
      <c r="A59" s="152">
        <v>2047</v>
      </c>
      <c r="B59" s="178">
        <f t="shared" si="0"/>
        <v>0</v>
      </c>
      <c r="C59" s="182">
        <f t="shared" si="7"/>
        <v>0</v>
      </c>
      <c r="D59" s="183"/>
      <c r="E59" s="179">
        <f t="shared" si="6"/>
        <v>3693611617976.0518</v>
      </c>
      <c r="F59" s="183">
        <f t="shared" si="8"/>
        <v>292674352249.47412</v>
      </c>
      <c r="G59" s="247">
        <f t="shared" si="1"/>
        <v>0.35353187004809949</v>
      </c>
      <c r="H59" s="246"/>
      <c r="J59" s="182"/>
      <c r="K59" s="182"/>
      <c r="L59" s="182"/>
      <c r="M59" s="182"/>
      <c r="N59" s="163"/>
      <c r="O59" s="259" t="str">
        <f>IF($O$24="Y",IFERROR(E59*$E$6*$O$16*'Emissions Factors'!B44,""),"")</f>
        <v/>
      </c>
      <c r="P59" s="259">
        <f>IF($P$24="Y",IFERROR($E59*(($E$3/SUMIF($G$3:$G$15,"Y",$E$3:$E$15)*('Emissions Factors'!$R$21*$P$16)/10^6)+((($E$8+$E$9)/SUMIF($G$3:$G$15,"Y",$E$3:$E$15)*('Emissions Factors'!$R$21*$P$18)/10^6))),""),"")</f>
        <v>282.72022391667963</v>
      </c>
      <c r="Q59" s="259"/>
      <c r="R59" s="258"/>
      <c r="T59" s="180">
        <f t="shared" si="2"/>
        <v>282.72022391667963</v>
      </c>
      <c r="U59" s="180">
        <f t="shared" si="3"/>
        <v>0</v>
      </c>
      <c r="V59" s="177"/>
      <c r="X59" s="180">
        <f t="shared" si="4"/>
        <v>282.72022391667963</v>
      </c>
      <c r="Y59" s="180">
        <f t="shared" si="5"/>
        <v>0</v>
      </c>
    </row>
    <row r="60" spans="1:25" ht="15.6" x14ac:dyDescent="0.3">
      <c r="A60" s="152">
        <v>2048</v>
      </c>
      <c r="B60" s="178">
        <f t="shared" si="0"/>
        <v>0</v>
      </c>
      <c r="C60" s="182">
        <f t="shared" si="7"/>
        <v>0</v>
      </c>
      <c r="D60" s="183"/>
      <c r="E60" s="179">
        <f t="shared" si="6"/>
        <v>4005456069115.1821</v>
      </c>
      <c r="F60" s="183">
        <f t="shared" si="8"/>
        <v>311844451139.13037</v>
      </c>
      <c r="G60" s="247">
        <f t="shared" si="1"/>
        <v>0.35691659493630895</v>
      </c>
      <c r="H60" s="246"/>
      <c r="J60" s="182"/>
      <c r="K60" s="182"/>
      <c r="L60" s="182"/>
      <c r="M60" s="182"/>
      <c r="N60" s="163"/>
      <c r="O60" s="259" t="str">
        <f>IF($O$24="Y",IFERROR(E60*$E$6*$O$16*'Emissions Factors'!B45,""),"")</f>
        <v/>
      </c>
      <c r="P60" s="259">
        <f>IF($P$24="Y",IFERROR($E60*(($E$3/SUMIF($G$3:$G$15,"Y",$E$3:$E$15)*('Emissions Factors'!$R$21*$P$16)/10^6)+((($E$8+$E$9)/SUMIF($G$3:$G$15,"Y",$E$3:$E$15)*('Emissions Factors'!$R$21*$P$18)/10^6))),""),"")</f>
        <v>306.58974301396353</v>
      </c>
      <c r="Q60" s="259"/>
      <c r="R60" s="258"/>
      <c r="T60" s="180">
        <f t="shared" si="2"/>
        <v>306.58974301396353</v>
      </c>
      <c r="U60" s="180">
        <f t="shared" si="3"/>
        <v>0</v>
      </c>
      <c r="V60" s="177"/>
      <c r="X60" s="180">
        <f t="shared" si="4"/>
        <v>306.58974301396353</v>
      </c>
      <c r="Y60" s="180">
        <f t="shared" si="5"/>
        <v>0</v>
      </c>
    </row>
    <row r="61" spans="1:25" ht="15.6" x14ac:dyDescent="0.3">
      <c r="A61" s="152">
        <v>2049</v>
      </c>
      <c r="B61" s="178">
        <f t="shared" si="0"/>
        <v>0</v>
      </c>
      <c r="C61" s="182">
        <f t="shared" si="7"/>
        <v>0</v>
      </c>
      <c r="D61" s="183"/>
      <c r="E61" s="179">
        <f t="shared" si="6"/>
        <v>4337571896410.7227</v>
      </c>
      <c r="F61" s="183">
        <f t="shared" si="8"/>
        <v>332115827295.54053</v>
      </c>
      <c r="G61" s="247">
        <f t="shared" si="1"/>
        <v>0.36011638452056227</v>
      </c>
      <c r="H61" s="246"/>
      <c r="J61" s="182"/>
      <c r="K61" s="182"/>
      <c r="L61" s="182"/>
      <c r="M61" s="182"/>
      <c r="N61" s="163"/>
      <c r="O61" s="259" t="str">
        <f>IF($O$24="Y",IFERROR(E61*$E$6*$O$16*'Emissions Factors'!B46,""),"")</f>
        <v/>
      </c>
      <c r="P61" s="259">
        <f>IF($P$24="Y",IFERROR($E61*(($E$3/SUMIF($G$3:$G$15,"Y",$E$3:$E$15)*('Emissions Factors'!$R$21*$P$16)/10^6)+((($E$8+$E$9)/SUMIF($G$3:$G$15,"Y",$E$3:$E$15)*('Emissions Factors'!$R$21*$P$18)/10^6))),""),"")</f>
        <v>332.01089465922496</v>
      </c>
      <c r="Q61" s="259"/>
      <c r="R61" s="258"/>
      <c r="T61" s="180">
        <f t="shared" si="2"/>
        <v>332.01089465922496</v>
      </c>
      <c r="U61" s="180">
        <f t="shared" si="3"/>
        <v>0</v>
      </c>
      <c r="V61" s="177"/>
      <c r="X61" s="180">
        <f t="shared" si="4"/>
        <v>332.01089465922496</v>
      </c>
      <c r="Y61" s="180">
        <f t="shared" si="5"/>
        <v>0</v>
      </c>
    </row>
    <row r="62" spans="1:25" ht="15.6" x14ac:dyDescent="0.3">
      <c r="A62" s="152">
        <v>2050</v>
      </c>
      <c r="B62" s="178">
        <f t="shared" si="0"/>
        <v>0</v>
      </c>
      <c r="C62" s="182">
        <f t="shared" si="7"/>
        <v>0</v>
      </c>
      <c r="D62" s="183"/>
      <c r="E62" s="179">
        <f t="shared" si="6"/>
        <v>4691977199272.7402</v>
      </c>
      <c r="F62" s="183">
        <f t="shared" si="8"/>
        <v>354405302862.01758</v>
      </c>
      <c r="G62" s="247">
        <f t="shared" si="1"/>
        <v>0.36326543488312496</v>
      </c>
      <c r="H62" s="246"/>
      <c r="J62" s="182"/>
      <c r="K62" s="182"/>
      <c r="L62" s="182"/>
      <c r="M62" s="182"/>
      <c r="N62" s="163"/>
      <c r="O62" s="259" t="str">
        <f>IF($O$24="Y",IFERROR(E62*$E$6*$O$16*'Emissions Factors'!B47,""),"")</f>
        <v/>
      </c>
      <c r="P62" s="259">
        <f>IF($P$24="Y",IFERROR($E62*(($E$3/SUMIF($G$3:$G$15,"Y",$E$3:$E$15)*('Emissions Factors'!$R$21*$P$16)/10^6)+((($E$8+$E$9)/SUMIF($G$3:$G$15,"Y",$E$3:$E$15)*('Emissions Factors'!$R$21*$P$18)/10^6))),""),"")</f>
        <v>359.13815029562357</v>
      </c>
      <c r="Q62" s="259"/>
      <c r="R62" s="258"/>
      <c r="T62" s="180">
        <f t="shared" si="2"/>
        <v>359.13815029562357</v>
      </c>
      <c r="U62" s="180">
        <f t="shared" si="3"/>
        <v>0</v>
      </c>
      <c r="V62" s="177"/>
      <c r="X62" s="180">
        <f t="shared" si="4"/>
        <v>359.13815029562357</v>
      </c>
      <c r="Y62" s="180">
        <f t="shared" si="5"/>
        <v>0</v>
      </c>
    </row>
    <row r="63" spans="1:25" ht="15.6" x14ac:dyDescent="0.3">
      <c r="A63" s="152">
        <v>2051</v>
      </c>
      <c r="B63" s="178">
        <f t="shared" si="0"/>
        <v>0</v>
      </c>
      <c r="C63" s="182">
        <f t="shared" si="7"/>
        <v>0</v>
      </c>
      <c r="D63" s="183"/>
      <c r="E63" s="179">
        <f t="shared" si="6"/>
        <v>5066902066878.7314</v>
      </c>
      <c r="F63" s="183">
        <f t="shared" si="8"/>
        <v>374924867605.99121</v>
      </c>
      <c r="G63" s="247">
        <f t="shared" si="1"/>
        <v>0.36592864127612007</v>
      </c>
      <c r="H63" s="246"/>
      <c r="J63" s="182"/>
      <c r="K63" s="182"/>
      <c r="L63" s="182"/>
      <c r="M63" s="182"/>
      <c r="N63" s="163"/>
      <c r="O63" s="259" t="str">
        <f>IF($O$24="Y",IFERROR(E63*$E$6*$O$16*'Emissions Factors'!B48,""),"")</f>
        <v/>
      </c>
      <c r="P63" s="259">
        <f>IF($P$24="Y",IFERROR($E63*(($E$3/SUMIF($G$3:$G$15,"Y",$E$3:$E$15)*('Emissions Factors'!$R$21*$P$16)/10^6)+((($E$8+$E$9)/SUMIF($G$3:$G$15,"Y",$E$3:$E$15)*('Emissions Factors'!$R$21*$P$18)/10^6))),""),"")</f>
        <v>387.8360355864383</v>
      </c>
      <c r="Q63" s="259"/>
      <c r="R63" s="258"/>
      <c r="T63" s="180" t="str">
        <f t="shared" si="2"/>
        <v/>
      </c>
      <c r="U63" s="180" t="str">
        <f t="shared" si="3"/>
        <v/>
      </c>
      <c r="V63" s="177"/>
      <c r="X63" s="180">
        <f t="shared" si="4"/>
        <v>387.8360355864383</v>
      </c>
      <c r="Y63" s="180">
        <f t="shared" si="5"/>
        <v>0</v>
      </c>
    </row>
    <row r="64" spans="1:25" ht="15.6" x14ac:dyDescent="0.3">
      <c r="A64" s="152">
        <v>2052</v>
      </c>
      <c r="B64" s="178">
        <f t="shared" si="0"/>
        <v>0</v>
      </c>
      <c r="C64" s="182">
        <f t="shared" si="7"/>
        <v>0</v>
      </c>
      <c r="D64" s="183"/>
      <c r="E64" s="179">
        <f t="shared" si="6"/>
        <v>5466143094450.7285</v>
      </c>
      <c r="F64" s="183">
        <f t="shared" si="8"/>
        <v>399241027571.99707</v>
      </c>
      <c r="G64" s="247">
        <f t="shared" si="1"/>
        <v>0.36854388220776702</v>
      </c>
      <c r="H64" s="246"/>
      <c r="J64" s="182"/>
      <c r="K64" s="182"/>
      <c r="L64" s="182"/>
      <c r="M64" s="182"/>
      <c r="N64" s="163"/>
      <c r="O64" s="259" t="str">
        <f>IF($O$24="Y",IFERROR(E64*$E$6*$O$16*'Emissions Factors'!B49,""),"")</f>
        <v/>
      </c>
      <c r="P64" s="259">
        <f>IF($P$24="Y",IFERROR($E64*(($E$3/SUMIF($G$3:$G$15,"Y",$E$3:$E$15)*('Emissions Factors'!$R$21*$P$16)/10^6)+((($E$8+$E$9)/SUMIF($G$3:$G$15,"Y",$E$3:$E$15)*('Emissions Factors'!$R$21*$P$18)/10^6))),""),"")</f>
        <v>418.39515343265361</v>
      </c>
      <c r="Q64" s="259"/>
      <c r="R64" s="258"/>
      <c r="T64" s="180" t="str">
        <f t="shared" si="2"/>
        <v/>
      </c>
      <c r="U64" s="180" t="str">
        <f t="shared" si="3"/>
        <v/>
      </c>
      <c r="V64" s="177"/>
      <c r="X64" s="180">
        <f t="shared" si="4"/>
        <v>418.39515343265361</v>
      </c>
      <c r="Y64" s="180">
        <f t="shared" si="5"/>
        <v>0</v>
      </c>
    </row>
    <row r="65" spans="1:25" ht="15.6" x14ac:dyDescent="0.3">
      <c r="A65" s="152">
        <v>2053</v>
      </c>
      <c r="B65" s="178">
        <f t="shared" si="0"/>
        <v>0</v>
      </c>
      <c r="C65" s="182">
        <f t="shared" si="7"/>
        <v>0</v>
      </c>
      <c r="D65" s="183"/>
      <c r="E65" s="179">
        <f t="shared" si="6"/>
        <v>5889607332037.4688</v>
      </c>
      <c r="F65" s="183">
        <f t="shared" si="8"/>
        <v>423464237586.74023</v>
      </c>
      <c r="G65" s="247">
        <f t="shared" si="1"/>
        <v>0.37096699341228517</v>
      </c>
      <c r="H65" s="246"/>
      <c r="J65" s="182"/>
      <c r="K65" s="182"/>
      <c r="L65" s="182"/>
      <c r="M65" s="182"/>
      <c r="N65" s="163"/>
      <c r="O65" s="259" t="str">
        <f>IF($O$24="Y",IFERROR(E65*$E$6*$O$16*'Emissions Factors'!B50,""),"")</f>
        <v/>
      </c>
      <c r="P65" s="259">
        <f>IF($P$24="Y",IFERROR($E65*(($E$3/SUMIF($G$3:$G$15,"Y",$E$3:$E$15)*('Emissions Factors'!$R$21*$P$16)/10^6)+((($E$8+$E$9)/SUMIF($G$3:$G$15,"Y",$E$3:$E$15)*('Emissions Factors'!$R$21*$P$18)/10^6))),""),"")</f>
        <v>450.80838916338593</v>
      </c>
      <c r="Q65" s="259"/>
      <c r="R65" s="258"/>
      <c r="T65" s="180" t="str">
        <f t="shared" si="2"/>
        <v/>
      </c>
      <c r="U65" s="180" t="str">
        <f t="shared" si="3"/>
        <v/>
      </c>
      <c r="V65" s="177"/>
      <c r="X65" s="180">
        <f t="shared" si="4"/>
        <v>450.80838916338593</v>
      </c>
      <c r="Y65" s="180">
        <f t="shared" si="5"/>
        <v>0</v>
      </c>
    </row>
    <row r="66" spans="1:25" ht="15.6" x14ac:dyDescent="0.3">
      <c r="A66" s="152">
        <v>2054</v>
      </c>
      <c r="B66" s="178">
        <f t="shared" si="0"/>
        <v>0</v>
      </c>
      <c r="C66" s="182">
        <f t="shared" si="7"/>
        <v>0</v>
      </c>
      <c r="D66" s="183"/>
      <c r="E66" s="179">
        <f t="shared" si="6"/>
        <v>6338045400666.4688</v>
      </c>
      <c r="F66" s="183">
        <f t="shared" si="8"/>
        <v>448438068629</v>
      </c>
      <c r="G66" s="247">
        <f t="shared" si="1"/>
        <v>0.37320027305291237</v>
      </c>
      <c r="H66" s="246"/>
      <c r="J66" s="182"/>
      <c r="K66" s="182"/>
      <c r="L66" s="182"/>
      <c r="M66" s="182"/>
      <c r="N66" s="163"/>
      <c r="O66" s="259" t="str">
        <f>IF($O$24="Y",IFERROR(E66*$E$6*$O$16*'Emissions Factors'!B51,""),"")</f>
        <v/>
      </c>
      <c r="P66" s="259">
        <f>IF($P$24="Y",IFERROR($E66*(($E$3/SUMIF($G$3:$G$15,"Y",$E$3:$E$15)*('Emissions Factors'!$R$21*$P$16)/10^6)+((($E$8+$E$9)/SUMIF($G$3:$G$15,"Y",$E$3:$E$15)*('Emissions Factors'!$R$21*$P$18)/10^6))),""),"")</f>
        <v>485.13319758626653</v>
      </c>
      <c r="Q66" s="259"/>
      <c r="R66" s="258"/>
      <c r="T66" s="180" t="str">
        <f t="shared" si="2"/>
        <v/>
      </c>
      <c r="U66" s="180" t="str">
        <f t="shared" si="3"/>
        <v/>
      </c>
      <c r="V66" s="177"/>
      <c r="X66" s="180">
        <f t="shared" si="4"/>
        <v>485.13319758626653</v>
      </c>
      <c r="Y66" s="180">
        <f t="shared" si="5"/>
        <v>0</v>
      </c>
    </row>
    <row r="67" spans="1:25" ht="15.6" x14ac:dyDescent="0.3">
      <c r="A67" s="152">
        <v>2055</v>
      </c>
      <c r="B67" s="178">
        <f t="shared" si="0"/>
        <v>0</v>
      </c>
      <c r="C67" s="182">
        <f t="shared" si="7"/>
        <v>0</v>
      </c>
      <c r="D67" s="183"/>
      <c r="E67" s="179">
        <f t="shared" si="6"/>
        <v>6816376587941.6729</v>
      </c>
      <c r="F67" s="183">
        <f t="shared" si="8"/>
        <v>478331187275.2041</v>
      </c>
      <c r="G67" s="247">
        <f t="shared" si="1"/>
        <v>0.3754775380447431</v>
      </c>
      <c r="H67" s="246"/>
      <c r="J67" s="182"/>
      <c r="K67" s="182"/>
      <c r="L67" s="182"/>
      <c r="M67" s="182"/>
      <c r="N67" s="163"/>
      <c r="O67" s="259" t="str">
        <f>IF($O$24="Y",IFERROR(E67*$E$6*$O$16*'Emissions Factors'!B52,""),"")</f>
        <v/>
      </c>
      <c r="P67" s="259">
        <f>IF($P$24="Y",IFERROR($E67*(($E$3/SUMIF($G$3:$G$15,"Y",$E$3:$E$15)*('Emissions Factors'!$R$21*$P$16)/10^6)+((($E$8+$E$9)/SUMIF($G$3:$G$15,"Y",$E$3:$E$15)*('Emissions Factors'!$R$21*$P$18)/10^6))),""),"")</f>
        <v>521.74611587865581</v>
      </c>
      <c r="Q67" s="259"/>
      <c r="R67" s="258"/>
      <c r="T67" s="180" t="str">
        <f t="shared" si="2"/>
        <v/>
      </c>
      <c r="U67" s="180" t="str">
        <f t="shared" si="3"/>
        <v/>
      </c>
      <c r="V67" s="177"/>
      <c r="X67" s="180">
        <f t="shared" si="4"/>
        <v>521.74611587865581</v>
      </c>
      <c r="Y67" s="180">
        <f t="shared" si="5"/>
        <v>0</v>
      </c>
    </row>
    <row r="68" spans="1:25" ht="15.6" x14ac:dyDescent="0.3">
      <c r="A68" s="152">
        <v>2056</v>
      </c>
      <c r="B68" s="178">
        <f t="shared" si="0"/>
        <v>0</v>
      </c>
      <c r="C68" s="182">
        <f t="shared" si="7"/>
        <v>0</v>
      </c>
      <c r="D68" s="183"/>
      <c r="E68" s="179">
        <f t="shared" si="6"/>
        <v>7312830814799.6064</v>
      </c>
      <c r="F68" s="183">
        <f t="shared" si="8"/>
        <v>496454226857.93359</v>
      </c>
      <c r="G68" s="247">
        <f t="shared" si="1"/>
        <v>0.37710521978310529</v>
      </c>
      <c r="H68" s="246"/>
      <c r="J68" s="182"/>
      <c r="K68" s="182"/>
      <c r="L68" s="182"/>
      <c r="M68" s="182"/>
      <c r="N68" s="163"/>
      <c r="O68" s="259" t="str">
        <f>IF($O$24="Y",IFERROR(E68*$E$6*$O$16*'Emissions Factors'!B53,""),"")</f>
        <v/>
      </c>
      <c r="P68" s="259">
        <f>IF($P$24="Y",IFERROR($E68*(($E$3/SUMIF($G$3:$G$15,"Y",$E$3:$E$15)*('Emissions Factors'!$R$21*$P$16)/10^6)+((($E$8+$E$9)/SUMIF($G$3:$G$15,"Y",$E$3:$E$15)*('Emissions Factors'!$R$21*$P$18)/10^6))),""),"")</f>
        <v>559.74622652877542</v>
      </c>
      <c r="Q68" s="259"/>
      <c r="R68" s="258"/>
      <c r="T68" s="180" t="str">
        <f t="shared" si="2"/>
        <v/>
      </c>
      <c r="U68" s="180" t="str">
        <f t="shared" si="3"/>
        <v/>
      </c>
      <c r="V68" s="177"/>
      <c r="X68" s="180">
        <f t="shared" si="4"/>
        <v>559.74622652877542</v>
      </c>
      <c r="Y68" s="180">
        <f t="shared" si="5"/>
        <v>0</v>
      </c>
    </row>
    <row r="69" spans="1:25" ht="15.6" x14ac:dyDescent="0.3">
      <c r="A69" s="152">
        <v>2057</v>
      </c>
      <c r="B69" s="178">
        <f t="shared" si="0"/>
        <v>0</v>
      </c>
      <c r="C69" s="182">
        <f t="shared" si="7"/>
        <v>0</v>
      </c>
      <c r="D69" s="183"/>
      <c r="E69" s="179">
        <f t="shared" si="6"/>
        <v>7840770798590.918</v>
      </c>
      <c r="F69" s="183">
        <f t="shared" si="8"/>
        <v>527939983791.31152</v>
      </c>
      <c r="G69" s="247">
        <f t="shared" si="1"/>
        <v>0.37878080522645413</v>
      </c>
      <c r="H69" s="246"/>
      <c r="J69" s="182"/>
      <c r="K69" s="182"/>
      <c r="L69" s="182"/>
      <c r="M69" s="182"/>
      <c r="N69" s="163"/>
      <c r="O69" s="259" t="str">
        <f>IF($O$24="Y",IFERROR(E69*$E$6*$O$16*'Emissions Factors'!B54,""),"")</f>
        <v/>
      </c>
      <c r="P69" s="259">
        <f>IF($P$24="Y",IFERROR($E69*(($E$3/SUMIF($G$3:$G$15,"Y",$E$3:$E$15)*('Emissions Factors'!$R$21*$P$16)/10^6)+((($E$8+$E$9)/SUMIF($G$3:$G$15,"Y",$E$3:$E$15)*('Emissions Factors'!$R$21*$P$18)/10^6))),""),"")</f>
        <v>600.15635240818119</v>
      </c>
      <c r="Q69" s="259"/>
      <c r="R69" s="258"/>
      <c r="T69" s="180" t="str">
        <f t="shared" si="2"/>
        <v/>
      </c>
      <c r="U69" s="180" t="str">
        <f t="shared" si="3"/>
        <v/>
      </c>
      <c r="V69" s="177"/>
      <c r="X69" s="180">
        <f t="shared" si="4"/>
        <v>600.15635240818119</v>
      </c>
      <c r="Y69" s="180">
        <f t="shared" si="5"/>
        <v>0</v>
      </c>
    </row>
    <row r="70" spans="1:25" ht="15.6" x14ac:dyDescent="0.3">
      <c r="A70" s="152">
        <v>2058</v>
      </c>
      <c r="B70" s="178">
        <f t="shared" si="0"/>
        <v>0</v>
      </c>
      <c r="C70" s="182">
        <f t="shared" si="7"/>
        <v>0</v>
      </c>
      <c r="D70" s="183"/>
      <c r="E70" s="179">
        <f t="shared" si="6"/>
        <v>8396417819787.7109</v>
      </c>
      <c r="F70" s="183">
        <f t="shared" si="8"/>
        <v>555647021196.79297</v>
      </c>
      <c r="G70" s="247">
        <f t="shared" si="1"/>
        <v>0.38027822991253579</v>
      </c>
      <c r="H70" s="246"/>
      <c r="J70" s="182"/>
      <c r="K70" s="182"/>
      <c r="L70" s="182"/>
      <c r="M70" s="182"/>
      <c r="N70" s="163"/>
      <c r="O70" s="259" t="str">
        <f>IF($O$24="Y",IFERROR(E70*$E$6*$O$16*'Emissions Factors'!B55,""),"")</f>
        <v/>
      </c>
      <c r="P70" s="259">
        <f>IF($P$24="Y",IFERROR($E70*(($E$3/SUMIF($G$3:$G$15,"Y",$E$3:$E$15)*('Emissions Factors'!$R$21*$P$16)/10^6)+((($E$8+$E$9)/SUMIF($G$3:$G$15,"Y",$E$3:$E$15)*('Emissions Factors'!$R$21*$P$18)/10^6))),""),"")</f>
        <v>642.68725887567643</v>
      </c>
      <c r="Q70" s="259"/>
      <c r="R70" s="258"/>
      <c r="T70" s="180" t="str">
        <f t="shared" si="2"/>
        <v/>
      </c>
      <c r="U70" s="180" t="str">
        <f t="shared" si="3"/>
        <v/>
      </c>
      <c r="V70" s="177"/>
      <c r="X70" s="180">
        <f t="shared" si="4"/>
        <v>642.68725887567643</v>
      </c>
      <c r="Y70" s="180">
        <f t="shared" si="5"/>
        <v>0</v>
      </c>
    </row>
    <row r="71" spans="1:25" ht="15.6" x14ac:dyDescent="0.3">
      <c r="A71" s="152">
        <v>2059</v>
      </c>
      <c r="B71" s="178">
        <f t="shared" si="0"/>
        <v>0</v>
      </c>
      <c r="C71" s="182">
        <f t="shared" si="7"/>
        <v>0</v>
      </c>
      <c r="D71" s="183"/>
      <c r="E71" s="179">
        <f t="shared" si="6"/>
        <v>8980025880993.6133</v>
      </c>
      <c r="F71" s="183">
        <f t="shared" si="8"/>
        <v>583608061205.90234</v>
      </c>
      <c r="G71" s="247">
        <f t="shared" si="1"/>
        <v>0.38160386128703666</v>
      </c>
      <c r="H71" s="246"/>
      <c r="J71" s="182"/>
      <c r="K71" s="182"/>
      <c r="L71" s="182"/>
      <c r="M71" s="182"/>
      <c r="N71" s="163"/>
      <c r="O71" s="259" t="str">
        <f>IF($O$24="Y",IFERROR(E71*$E$6*$O$16*'Emissions Factors'!B56,""),"")</f>
        <v/>
      </c>
      <c r="P71" s="259">
        <f>IF($P$24="Y",IFERROR($E71*(($E$3/SUMIF($G$3:$G$15,"Y",$E$3:$E$15)*('Emissions Factors'!$R$21*$P$16)/10^6)+((($E$8+$E$9)/SUMIF($G$3:$G$15,"Y",$E$3:$E$15)*('Emissions Factors'!$R$21*$P$18)/10^6))),""),"")</f>
        <v>687.35838806010429</v>
      </c>
      <c r="Q71" s="259"/>
      <c r="R71" s="258"/>
      <c r="T71" s="180" t="str">
        <f t="shared" si="2"/>
        <v/>
      </c>
      <c r="U71" s="180" t="str">
        <f t="shared" si="3"/>
        <v/>
      </c>
      <c r="V71" s="177"/>
      <c r="X71" s="180">
        <f t="shared" si="4"/>
        <v>687.35838806010429</v>
      </c>
      <c r="Y71" s="180">
        <f t="shared" si="5"/>
        <v>0</v>
      </c>
    </row>
    <row r="72" spans="1:25" ht="15.6" x14ac:dyDescent="0.3">
      <c r="A72" s="152">
        <v>2060</v>
      </c>
      <c r="B72" s="178">
        <f t="shared" si="0"/>
        <v>0</v>
      </c>
      <c r="C72" s="182">
        <f t="shared" si="7"/>
        <v>0</v>
      </c>
      <c r="D72" s="183"/>
      <c r="E72" s="179">
        <f t="shared" si="6"/>
        <v>9587211302767.7773</v>
      </c>
      <c r="F72" s="183">
        <f t="shared" si="8"/>
        <v>607185421774.16406</v>
      </c>
      <c r="G72" s="247">
        <f t="shared" si="1"/>
        <v>0.38257672312226398</v>
      </c>
      <c r="H72" s="246"/>
      <c r="J72" s="182"/>
      <c r="K72" s="182"/>
      <c r="L72" s="182"/>
      <c r="M72" s="182"/>
      <c r="N72" s="163"/>
      <c r="O72" s="259" t="str">
        <f>IF($O$24="Y",IFERROR(E72*$E$6*$O$16*'Emissions Factors'!B57,""),"")</f>
        <v/>
      </c>
      <c r="P72" s="259">
        <f>IF($P$24="Y",IFERROR($E72*(($E$3/SUMIF($G$3:$G$15,"Y",$E$3:$E$15)*('Emissions Factors'!$R$21*$P$16)/10^6)+((($E$8+$E$9)/SUMIF($G$3:$G$15,"Y",$E$3:$E$15)*('Emissions Factors'!$R$21*$P$18)/10^6))),""),"")</f>
        <v>733.8341998556607</v>
      </c>
      <c r="Q72" s="259"/>
      <c r="R72" s="258"/>
      <c r="T72" s="180" t="str">
        <f t="shared" si="2"/>
        <v/>
      </c>
      <c r="U72" s="180" t="str">
        <f t="shared" si="3"/>
        <v/>
      </c>
      <c r="V72" s="177"/>
      <c r="X72" s="180">
        <f t="shared" si="4"/>
        <v>733.8341998556607</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632</v>
      </c>
      <c r="O83" s="232"/>
      <c r="P83" s="232"/>
      <c r="Q83" s="232"/>
      <c r="R83" s="232"/>
      <c r="U83" s="232" t="s">
        <v>633</v>
      </c>
      <c r="V83" s="232"/>
      <c r="W83" s="232"/>
      <c r="X83" s="232"/>
      <c r="Y83" s="232"/>
      <c r="AC83" s="153" t="s">
        <v>263</v>
      </c>
    </row>
    <row r="84" spans="1:35" ht="79.8" thickBot="1" x14ac:dyDescent="0.3">
      <c r="A84" s="189"/>
      <c r="B84" s="190" t="s">
        <v>4</v>
      </c>
      <c r="C84" s="191" t="str">
        <f>C136</f>
        <v>IEA (2017) ETP - Total Mobility RTS Scenario- OECD Region</v>
      </c>
      <c r="D84" s="191" t="str">
        <f>D136</f>
        <v>IEA (2017) ETP - Total Mobility - RTS Scenario - Non OECD Region (less China, Mexico, Brazil, Russia)</v>
      </c>
      <c r="E84" s="191" t="str">
        <f>E136</f>
        <v>IEA (2017) ETP - Total Passenger Mobility - RTS (Only Brazil, Mexico,China, Russia)</v>
      </c>
      <c r="F84" s="191"/>
      <c r="G84" s="191"/>
      <c r="H84" s="191"/>
      <c r="I84" s="191"/>
      <c r="J84" s="191"/>
      <c r="K84" s="192"/>
      <c r="N84" s="193" t="str">
        <f>D84</f>
        <v>IEA (2017) ETP - Total Mobility - RTS Scenario - Non OECD Region (less China, Mexico, Brazil, Russia)</v>
      </c>
      <c r="O84" s="193" t="str">
        <f>E84</f>
        <v>IEA (2017) ETP - Total Passenger Mobility - RTS (Only Brazil, Mexico,China, Russia)</v>
      </c>
      <c r="P84" s="193" t="str">
        <f>C84</f>
        <v>IEA (2017) ETP - Total Mobility RTS Scenario- OECD Region</v>
      </c>
      <c r="Q84" s="193" t="s">
        <v>235</v>
      </c>
      <c r="R84" s="193" t="str">
        <f>CONCATENATE("% ",$N$84)</f>
        <v>% IEA (2017) ETP - Total Mobility - RTS Scenario - Non OECD Region (less China, Mexico, Brazil, Russia)</v>
      </c>
      <c r="U84" s="193" t="str">
        <f>N84</f>
        <v>IEA (2017) ETP - Total Mobility - RTS Scenario - Non OECD Region (less China, Mexico, Brazil, Russia)</v>
      </c>
      <c r="V84" s="193" t="str">
        <f>O84</f>
        <v>IEA (2017) ETP - Total Passenger Mobility - RTS (Only Brazil, Mexico,China, Russia)</v>
      </c>
      <c r="W84" s="193" t="str">
        <f>P84</f>
        <v>IEA (2017) ETP - Total Mobility RTS Scenario- OECD Region</v>
      </c>
      <c r="X84" s="193" t="s">
        <v>235</v>
      </c>
      <c r="Y84" s="193" t="str">
        <f>R84</f>
        <v>% IEA (2017) ETP - Total Mobility - RTS Scenario - Non OECD Region (less China, Mexico, Brazil, Russia)</v>
      </c>
    </row>
    <row r="85" spans="1:35" ht="15.6" x14ac:dyDescent="0.3">
      <c r="A85" s="194">
        <v>2014</v>
      </c>
      <c r="B85" s="253">
        <f>(B137/Population_Tables!O3)*Population_Tables!C3</f>
        <v>53913525291327.195</v>
      </c>
      <c r="C85" s="253">
        <f>(C137/Population_Tables!P3)*Population_Tables!D3</f>
        <v>17944221871904.836</v>
      </c>
      <c r="D85" s="253">
        <f>(D137/Population_Tables!Q3)*Population_Tables!E3</f>
        <v>18368056852998.395</v>
      </c>
      <c r="E85" s="253">
        <f>(E137/Population_Tables!R3)*Population_Tables!F3</f>
        <v>14469361756916.367</v>
      </c>
      <c r="F85" s="253">
        <f>(F137/Population_Tables!S3)*Population_Tables!G3</f>
        <v>0</v>
      </c>
      <c r="G85" s="253">
        <f>(G137/Population_Tables!T3)*Population_Tables!H3</f>
        <v>0</v>
      </c>
      <c r="H85" s="253">
        <f>(H137/Population_Tables!U3)*Population_Tables!I3</f>
        <v>0</v>
      </c>
      <c r="I85" s="253">
        <f>(I137/Population_Tables!V3)*Population_Tables!J3</f>
        <v>0</v>
      </c>
      <c r="J85" s="253">
        <f>(J137/Population_Tables!W3)*Population_Tables!K3</f>
        <v>0</v>
      </c>
      <c r="K85" s="253">
        <f>(K137/Population_Tables!X3)*Population_Tables!L3</f>
        <v>0</v>
      </c>
      <c r="N85" s="195">
        <f>D85</f>
        <v>18368056852998.395</v>
      </c>
      <c r="O85" s="195">
        <f>E85</f>
        <v>14469361756916.367</v>
      </c>
      <c r="P85" s="195">
        <f>C85</f>
        <v>17944221871904.836</v>
      </c>
      <c r="Q85" s="195">
        <f>N85+P85+O85</f>
        <v>50781640481819.602</v>
      </c>
      <c r="R85" s="196">
        <f>N85/Q85</f>
        <v>0.36170664592008139</v>
      </c>
      <c r="U85" s="197">
        <v>0</v>
      </c>
      <c r="V85" s="195">
        <f>O85-O137</f>
        <v>-45119792.517578125</v>
      </c>
      <c r="W85" s="197">
        <v>0</v>
      </c>
      <c r="X85" s="195">
        <f>U85+V85+W85</f>
        <v>-45119792.517578125</v>
      </c>
      <c r="Y85" s="196">
        <v>0</v>
      </c>
      <c r="AC85" s="251">
        <f>(B85-B137)/((SUM(C85:G85)-SUM(C137:G137)))</f>
        <v>2.0210212584639886</v>
      </c>
      <c r="AF85" s="250">
        <f>B85</f>
        <v>53913525291327.195</v>
      </c>
      <c r="AG85" s="250">
        <f>SUM(C85:G85)</f>
        <v>50781640481819.602</v>
      </c>
      <c r="AH85" s="250">
        <f>AG85-AF85</f>
        <v>-3131884809507.5938</v>
      </c>
      <c r="AI85" s="251">
        <f>AH85/AG85</f>
        <v>-6.1673565087540717E-2</v>
      </c>
    </row>
    <row r="86" spans="1:35" ht="15.6" x14ac:dyDescent="0.3">
      <c r="A86" s="194">
        <v>2015</v>
      </c>
      <c r="B86" s="253">
        <f>(B138/Population_Tables!O4)*Population_Tables!C4</f>
        <v>55678193899787.797</v>
      </c>
      <c r="C86" s="253">
        <f>(C138/Population_Tables!P4)*Population_Tables!D4</f>
        <v>18025401562858.074</v>
      </c>
      <c r="D86" s="253">
        <f>(D138/Population_Tables!Q4)*Population_Tables!E4</f>
        <v>18978853431504.145</v>
      </c>
      <c r="E86" s="253">
        <f>(E138/Population_Tables!R4)*Population_Tables!F4</f>
        <v>15048122271797.277</v>
      </c>
      <c r="F86" s="253">
        <f>(F138/Population_Tables!S4)*Population_Tables!G4</f>
        <v>0</v>
      </c>
      <c r="G86" s="253">
        <f>(G138/Population_Tables!T4)*Population_Tables!H4</f>
        <v>0</v>
      </c>
      <c r="H86" s="253">
        <f>(H138/Population_Tables!U4)*Population_Tables!I4</f>
        <v>0</v>
      </c>
      <c r="I86" s="253">
        <f>(I138/Population_Tables!V4)*Population_Tables!J4</f>
        <v>0</v>
      </c>
      <c r="J86" s="253">
        <f>(J138/Population_Tables!W4)*Population_Tables!K4</f>
        <v>0</v>
      </c>
      <c r="K86" s="253">
        <f>(K138/Population_Tables!X4)*Population_Tables!L4</f>
        <v>0</v>
      </c>
      <c r="N86" s="195">
        <f t="shared" ref="N86:N131" si="9">D86</f>
        <v>18978853431504.145</v>
      </c>
      <c r="O86" s="195">
        <f t="shared" ref="O86:O131" si="10">E86</f>
        <v>15048122271797.277</v>
      </c>
      <c r="P86" s="195">
        <f t="shared" ref="P86:P131" si="11">C86</f>
        <v>18025401562858.074</v>
      </c>
      <c r="Q86" s="195">
        <f t="shared" ref="Q86:Q131" si="12">N86+P86+O86</f>
        <v>52052377266159.5</v>
      </c>
      <c r="R86" s="196">
        <f t="shared" ref="R86:R130" si="13">N86/Q86</f>
        <v>0.36461069461745321</v>
      </c>
      <c r="U86" s="197">
        <v>0</v>
      </c>
      <c r="V86" s="195">
        <f t="shared" ref="V86:W131" si="14">O86-O138</f>
        <v>-46185238.51953125</v>
      </c>
      <c r="W86" s="197">
        <v>0</v>
      </c>
      <c r="X86" s="195">
        <f>U86+V86+W86</f>
        <v>-46185238.51953125</v>
      </c>
      <c r="Y86" s="196">
        <v>0</v>
      </c>
      <c r="AC86" s="251">
        <f t="shared" ref="AC86:AC131" si="15">(B86-B138)/((SUM(C86:G86)-SUM(C138:G138)))</f>
        <v>2.0032562972937038</v>
      </c>
    </row>
    <row r="87" spans="1:35" ht="15.6" x14ac:dyDescent="0.3">
      <c r="A87" s="194">
        <v>2016</v>
      </c>
      <c r="B87" s="253">
        <f>(B139/Population_Tables!O5)*Population_Tables!C5</f>
        <v>57692895254980.789</v>
      </c>
      <c r="C87" s="253">
        <f>(C139/Population_Tables!P5)*Population_Tables!D5</f>
        <v>18154129849832.75</v>
      </c>
      <c r="D87" s="253">
        <f>(D139/Population_Tables!Q5)*Population_Tables!E5</f>
        <v>19627894279113.238</v>
      </c>
      <c r="E87" s="253">
        <f>(E139/Population_Tables!R5)*Population_Tables!F5</f>
        <v>15591407874433.68</v>
      </c>
      <c r="F87" s="253">
        <f>(F139/Population_Tables!S5)*Population_Tables!G5</f>
        <v>0</v>
      </c>
      <c r="G87" s="253">
        <f>(G139/Population_Tables!T5)*Population_Tables!H5</f>
        <v>0</v>
      </c>
      <c r="H87" s="253">
        <f>(H139/Population_Tables!U5)*Population_Tables!I5</f>
        <v>0</v>
      </c>
      <c r="I87" s="253">
        <f>(I139/Population_Tables!V5)*Population_Tables!J5</f>
        <v>0</v>
      </c>
      <c r="J87" s="253">
        <f>(J139/Population_Tables!W5)*Population_Tables!K5</f>
        <v>0</v>
      </c>
      <c r="K87" s="253">
        <f>(K139/Population_Tables!X5)*Population_Tables!L5</f>
        <v>0</v>
      </c>
      <c r="N87" s="195">
        <f t="shared" si="9"/>
        <v>19627894279113.238</v>
      </c>
      <c r="O87" s="195">
        <f t="shared" si="10"/>
        <v>15591407874433.68</v>
      </c>
      <c r="P87" s="195">
        <f t="shared" si="11"/>
        <v>18154129849832.75</v>
      </c>
      <c r="Q87" s="195">
        <f t="shared" si="12"/>
        <v>53373432003379.664</v>
      </c>
      <c r="R87" s="196">
        <f t="shared" si="13"/>
        <v>0.36774652748338121</v>
      </c>
      <c r="U87" s="195">
        <f>N87-N139</f>
        <v>0</v>
      </c>
      <c r="V87" s="195">
        <f>O87-O139</f>
        <v>-46766777.9609375</v>
      </c>
      <c r="W87" s="195">
        <f>P87-P139</f>
        <v>0</v>
      </c>
      <c r="X87" s="195">
        <f>U87+V87+W87</f>
        <v>-46766777.9609375</v>
      </c>
      <c r="Y87" s="196">
        <f t="shared" ref="Y87:Y131" si="16">U87/X87</f>
        <v>0</v>
      </c>
      <c r="AC87" s="251">
        <f>(B87-B139)/((SUM(C87:G87)-SUM(C139:G139)))</f>
        <v>1.9996906526316698</v>
      </c>
    </row>
    <row r="88" spans="1:35" ht="15.6" x14ac:dyDescent="0.3">
      <c r="A88" s="194">
        <v>2017</v>
      </c>
      <c r="B88" s="253">
        <f>(B140/Population_Tables!O6)*Population_Tables!C6</f>
        <v>59601825425182.469</v>
      </c>
      <c r="C88" s="253">
        <f>(C140/Population_Tables!P6)*Population_Tables!D6</f>
        <v>18287059411625.629</v>
      </c>
      <c r="D88" s="253">
        <f>(D140/Population_Tables!Q6)*Population_Tables!E6</f>
        <v>20323118928738.949</v>
      </c>
      <c r="E88" s="253">
        <f>(E140/Population_Tables!R6)*Population_Tables!F6</f>
        <v>16105645226954.73</v>
      </c>
      <c r="F88" s="253">
        <f>(F140/Population_Tables!S6)*Population_Tables!G6</f>
        <v>0</v>
      </c>
      <c r="G88" s="253">
        <f>(G140/Population_Tables!T6)*Population_Tables!H6</f>
        <v>0</v>
      </c>
      <c r="H88" s="253">
        <f>(H140/Population_Tables!U6)*Population_Tables!I6</f>
        <v>0</v>
      </c>
      <c r="I88" s="253">
        <f>(I140/Population_Tables!V6)*Population_Tables!J6</f>
        <v>0</v>
      </c>
      <c r="J88" s="253">
        <f>(J140/Population_Tables!W6)*Population_Tables!K6</f>
        <v>0</v>
      </c>
      <c r="K88" s="253">
        <f>(K140/Population_Tables!X6)*Population_Tables!L6</f>
        <v>0</v>
      </c>
      <c r="N88" s="195">
        <f t="shared" si="9"/>
        <v>20323118928738.949</v>
      </c>
      <c r="O88" s="195">
        <f t="shared" si="10"/>
        <v>16105645226954.73</v>
      </c>
      <c r="P88" s="195">
        <f t="shared" si="11"/>
        <v>18287059411625.629</v>
      </c>
      <c r="Q88" s="195">
        <f t="shared" si="12"/>
        <v>54715823567319.313</v>
      </c>
      <c r="R88" s="196">
        <f t="shared" si="13"/>
        <v>0.37143037614584218</v>
      </c>
      <c r="U88" s="195">
        <f>N88-N140</f>
        <v>0</v>
      </c>
      <c r="V88" s="195">
        <f t="shared" si="14"/>
        <v>-47056485.60546875</v>
      </c>
      <c r="W88" s="195">
        <f t="shared" si="14"/>
        <v>0</v>
      </c>
      <c r="X88" s="195">
        <f t="shared" ref="X88:X131" si="17">U88+V88+W88</f>
        <v>-47056485.60546875</v>
      </c>
      <c r="Y88" s="196">
        <f t="shared" si="16"/>
        <v>0</v>
      </c>
      <c r="AC88" s="251">
        <f t="shared" si="15"/>
        <v>1.996094447765264</v>
      </c>
    </row>
    <row r="89" spans="1:35" ht="15.6" x14ac:dyDescent="0.3">
      <c r="A89" s="194">
        <v>2018</v>
      </c>
      <c r="B89" s="253">
        <f>(B141/Population_Tables!O7)*Population_Tables!C7</f>
        <v>61525473746786.023</v>
      </c>
      <c r="C89" s="253">
        <f>(C141/Population_Tables!P7)*Population_Tables!D7</f>
        <v>18424023527444.137</v>
      </c>
      <c r="D89" s="253">
        <f>(D141/Population_Tables!Q7)*Population_Tables!E7</f>
        <v>21062266542630.672</v>
      </c>
      <c r="E89" s="253">
        <f>(E141/Population_Tables!R7)*Population_Tables!F7</f>
        <v>16591639669977.479</v>
      </c>
      <c r="F89" s="253">
        <f>(F141/Population_Tables!S7)*Population_Tables!G7</f>
        <v>0</v>
      </c>
      <c r="G89" s="253">
        <f>(G141/Population_Tables!T7)*Population_Tables!H7</f>
        <v>0</v>
      </c>
      <c r="H89" s="253">
        <f>(H141/Population_Tables!U7)*Population_Tables!I7</f>
        <v>0</v>
      </c>
      <c r="I89" s="253">
        <f>(I141/Population_Tables!V7)*Population_Tables!J7</f>
        <v>0</v>
      </c>
      <c r="J89" s="253">
        <f>(J141/Population_Tables!W7)*Population_Tables!K7</f>
        <v>0</v>
      </c>
      <c r="K89" s="253">
        <f>(K141/Population_Tables!X7)*Population_Tables!L7</f>
        <v>0</v>
      </c>
      <c r="N89" s="195">
        <f t="shared" si="9"/>
        <v>21062266542630.672</v>
      </c>
      <c r="O89" s="195">
        <f t="shared" si="10"/>
        <v>16591639669977.479</v>
      </c>
      <c r="P89" s="195">
        <f t="shared" si="11"/>
        <v>18424023527444.137</v>
      </c>
      <c r="Q89" s="195">
        <f t="shared" si="12"/>
        <v>56077929740052.289</v>
      </c>
      <c r="R89" s="196">
        <f t="shared" si="13"/>
        <v>0.37558923163291213</v>
      </c>
      <c r="U89" s="195">
        <f t="shared" ref="U89:U131" si="18">N89-N141</f>
        <v>0</v>
      </c>
      <c r="V89" s="195">
        <f t="shared" si="14"/>
        <v>-47068254.451171875</v>
      </c>
      <c r="W89" s="195">
        <f t="shared" si="14"/>
        <v>0</v>
      </c>
      <c r="X89" s="195">
        <f t="shared" si="17"/>
        <v>-47068254.451171875</v>
      </c>
      <c r="Y89" s="196">
        <f t="shared" si="16"/>
        <v>0</v>
      </c>
      <c r="AC89" s="251">
        <f t="shared" si="15"/>
        <v>1.9962477250685833</v>
      </c>
    </row>
    <row r="90" spans="1:35" ht="16.2" thickBot="1" x14ac:dyDescent="0.35">
      <c r="A90" s="198">
        <v>2019</v>
      </c>
      <c r="B90" s="253">
        <f>(B142/Population_Tables!O8)*Population_Tables!C8</f>
        <v>63465051557823.313</v>
      </c>
      <c r="C90" s="253">
        <f>(C142/Population_Tables!P8)*Population_Tables!D8</f>
        <v>18564855476495.68</v>
      </c>
      <c r="D90" s="253">
        <f>(D142/Population_Tables!Q8)*Population_Tables!E8</f>
        <v>21843076283037.773</v>
      </c>
      <c r="E90" s="253">
        <f>(E142/Population_Tables!R8)*Population_Tables!F8</f>
        <v>17050196302954.852</v>
      </c>
      <c r="F90" s="253">
        <f>(F142/Population_Tables!S8)*Population_Tables!G8</f>
        <v>0</v>
      </c>
      <c r="G90" s="253">
        <f>(G142/Population_Tables!T8)*Population_Tables!H8</f>
        <v>0</v>
      </c>
      <c r="H90" s="253">
        <f>(H142/Population_Tables!U8)*Population_Tables!I8</f>
        <v>0</v>
      </c>
      <c r="I90" s="253">
        <f>(I142/Population_Tables!V8)*Population_Tables!J8</f>
        <v>0</v>
      </c>
      <c r="J90" s="253">
        <f>(J142/Population_Tables!W8)*Population_Tables!K8</f>
        <v>0</v>
      </c>
      <c r="K90" s="253">
        <f>(K142/Population_Tables!X8)*Population_Tables!L8</f>
        <v>0</v>
      </c>
      <c r="N90" s="195">
        <f t="shared" si="9"/>
        <v>21843076283037.773</v>
      </c>
      <c r="O90" s="195">
        <f t="shared" si="10"/>
        <v>17050196302954.852</v>
      </c>
      <c r="P90" s="195">
        <f t="shared" si="11"/>
        <v>18564855476495.68</v>
      </c>
      <c r="Q90" s="195">
        <f t="shared" si="12"/>
        <v>57458128062488.305</v>
      </c>
      <c r="R90" s="199">
        <f t="shared" si="13"/>
        <v>0.38015642032894709</v>
      </c>
      <c r="U90" s="200">
        <f t="shared" si="18"/>
        <v>0</v>
      </c>
      <c r="V90" s="195">
        <f t="shared" si="14"/>
        <v>-47057141.62109375</v>
      </c>
      <c r="W90" s="200">
        <f t="shared" si="14"/>
        <v>0</v>
      </c>
      <c r="X90" s="195">
        <f t="shared" si="17"/>
        <v>-47057141.62109375</v>
      </c>
      <c r="Y90" s="199">
        <f t="shared" si="16"/>
        <v>0</v>
      </c>
      <c r="AC90" s="251">
        <f t="shared" si="15"/>
        <v>1.9997219321515223</v>
      </c>
    </row>
    <row r="91" spans="1:35" ht="15.6" x14ac:dyDescent="0.3">
      <c r="A91" s="201">
        <v>2020</v>
      </c>
      <c r="B91" s="253">
        <f>(B143/Population_Tables!O9)*Population_Tables!C9</f>
        <v>65761646126463.141</v>
      </c>
      <c r="C91" s="253">
        <f>(C143/Population_Tables!P9)*Population_Tables!D9</f>
        <v>18709388537987.672</v>
      </c>
      <c r="D91" s="253">
        <f>(D143/Population_Tables!Q9)*Population_Tables!E9</f>
        <v>22663287312209.648</v>
      </c>
      <c r="E91" s="253">
        <f>(E143/Population_Tables!R9)*Population_Tables!F9</f>
        <v>17482120451040.58</v>
      </c>
      <c r="F91" s="253">
        <f>(F143/Population_Tables!S9)*Population_Tables!G9</f>
        <v>0</v>
      </c>
      <c r="G91" s="253">
        <f>(G143/Population_Tables!T9)*Population_Tables!H9</f>
        <v>0</v>
      </c>
      <c r="H91" s="253">
        <f>(H143/Population_Tables!U9)*Population_Tables!I9</f>
        <v>0</v>
      </c>
      <c r="I91" s="253">
        <f>(I143/Population_Tables!V9)*Population_Tables!J9</f>
        <v>0</v>
      </c>
      <c r="J91" s="253">
        <f>(J143/Population_Tables!W9)*Population_Tables!K9</f>
        <v>0</v>
      </c>
      <c r="K91" s="253">
        <f>(K143/Population_Tables!X9)*Population_Tables!L9</f>
        <v>0</v>
      </c>
      <c r="L91" s="202"/>
      <c r="M91" s="202"/>
      <c r="N91" s="195">
        <f t="shared" si="9"/>
        <v>22663287312209.648</v>
      </c>
      <c r="O91" s="195">
        <f t="shared" si="10"/>
        <v>17482120451040.58</v>
      </c>
      <c r="P91" s="195">
        <f t="shared" si="11"/>
        <v>18709388537987.672</v>
      </c>
      <c r="Q91" s="195">
        <f t="shared" si="12"/>
        <v>58854796301237.898</v>
      </c>
      <c r="R91" s="203">
        <f t="shared" si="13"/>
        <v>0.38507120466803774</v>
      </c>
      <c r="S91" s="202"/>
      <c r="T91" s="202"/>
      <c r="U91" s="204">
        <f>N91-N143</f>
        <v>0</v>
      </c>
      <c r="V91" s="195">
        <f t="shared" si="14"/>
        <v>-47052503.4296875</v>
      </c>
      <c r="W91" s="204">
        <f t="shared" si="14"/>
        <v>0</v>
      </c>
      <c r="X91" s="195">
        <f t="shared" si="17"/>
        <v>-47052503.4296875</v>
      </c>
      <c r="Y91" s="205">
        <f>U91/X91</f>
        <v>0</v>
      </c>
      <c r="AC91" s="251">
        <f t="shared" si="15"/>
        <v>2.0164343130322075</v>
      </c>
    </row>
    <row r="92" spans="1:35" ht="15.6" x14ac:dyDescent="0.3">
      <c r="A92" s="206">
        <v>2021</v>
      </c>
      <c r="B92" s="253">
        <f>(B144/Population_Tables!O10)*Population_Tables!C10</f>
        <v>67482762469795.508</v>
      </c>
      <c r="C92" s="253">
        <f>(C144/Population_Tables!P10)*Population_Tables!D10</f>
        <v>18877015491428.137</v>
      </c>
      <c r="D92" s="253">
        <f>(D144/Population_Tables!Q10)*Population_Tables!E10</f>
        <v>23548542813863.895</v>
      </c>
      <c r="E92" s="253">
        <f>(E144/Population_Tables!R10)*Population_Tables!F10</f>
        <v>17909622388274.227</v>
      </c>
      <c r="F92" s="253">
        <f>(F144/Population_Tables!S10)*Population_Tables!G10</f>
        <v>0</v>
      </c>
      <c r="G92" s="253">
        <f>(G144/Population_Tables!T10)*Population_Tables!H10</f>
        <v>0</v>
      </c>
      <c r="H92" s="253">
        <f>(H144/Population_Tables!U10)*Population_Tables!I10</f>
        <v>0</v>
      </c>
      <c r="I92" s="253">
        <f>(I144/Population_Tables!V10)*Population_Tables!J10</f>
        <v>0</v>
      </c>
      <c r="J92" s="253">
        <f>(J144/Population_Tables!W10)*Population_Tables!K10</f>
        <v>0</v>
      </c>
      <c r="K92" s="253">
        <f>(K144/Population_Tables!X10)*Population_Tables!L10</f>
        <v>0</v>
      </c>
      <c r="L92" s="170"/>
      <c r="M92" s="170"/>
      <c r="N92" s="195">
        <f t="shared" si="9"/>
        <v>23548542813863.895</v>
      </c>
      <c r="O92" s="195">
        <f t="shared" si="10"/>
        <v>17909622388274.227</v>
      </c>
      <c r="P92" s="195">
        <f t="shared" si="11"/>
        <v>18877015491428.137</v>
      </c>
      <c r="Q92" s="195">
        <f t="shared" si="12"/>
        <v>60335180693566.258</v>
      </c>
      <c r="R92" s="196">
        <f t="shared" si="13"/>
        <v>0.39029538891187832</v>
      </c>
      <c r="S92" s="170"/>
      <c r="T92" s="170"/>
      <c r="U92" s="195">
        <f t="shared" si="18"/>
        <v>27904021468.207031</v>
      </c>
      <c r="V92" s="195">
        <f t="shared" si="14"/>
        <v>21357865189.636719</v>
      </c>
      <c r="W92" s="195">
        <f t="shared" si="14"/>
        <v>19559500300.597656</v>
      </c>
      <c r="X92" s="195">
        <f t="shared" si="17"/>
        <v>68821386958.441406</v>
      </c>
      <c r="Y92" s="207">
        <f t="shared" si="16"/>
        <v>0.40545566867254795</v>
      </c>
      <c r="AC92" s="251">
        <f t="shared" si="15"/>
        <v>1.2384045215007158</v>
      </c>
    </row>
    <row r="93" spans="1:35" ht="15.6" x14ac:dyDescent="0.3">
      <c r="A93" s="206">
        <v>2022</v>
      </c>
      <c r="B93" s="253">
        <f>(B145/Population_Tables!O11)*Population_Tables!C11</f>
        <v>69589911906807.297</v>
      </c>
      <c r="C93" s="253">
        <f>(C145/Population_Tables!P11)*Population_Tables!D11</f>
        <v>19053771978529</v>
      </c>
      <c r="D93" s="253">
        <f>(D145/Population_Tables!Q11)*Population_Tables!E11</f>
        <v>24475729618471.891</v>
      </c>
      <c r="E93" s="253">
        <f>(E145/Population_Tables!R11)*Population_Tables!F11</f>
        <v>18319998894372.688</v>
      </c>
      <c r="F93" s="253">
        <f>(F145/Population_Tables!S11)*Population_Tables!G11</f>
        <v>0</v>
      </c>
      <c r="G93" s="253">
        <f>(G145/Population_Tables!T11)*Population_Tables!H11</f>
        <v>0</v>
      </c>
      <c r="H93" s="253">
        <f>(H145/Population_Tables!U11)*Population_Tables!I11</f>
        <v>0</v>
      </c>
      <c r="I93" s="253">
        <f>(I145/Population_Tables!V11)*Population_Tables!J11</f>
        <v>0</v>
      </c>
      <c r="J93" s="253">
        <f>(J145/Population_Tables!W11)*Population_Tables!K11</f>
        <v>0</v>
      </c>
      <c r="K93" s="253">
        <f>(K145/Population_Tables!X11)*Population_Tables!L11</f>
        <v>0</v>
      </c>
      <c r="L93" s="170"/>
      <c r="M93" s="170"/>
      <c r="N93" s="195">
        <f t="shared" si="9"/>
        <v>24475729618471.891</v>
      </c>
      <c r="O93" s="195">
        <f t="shared" si="10"/>
        <v>18319998894372.688</v>
      </c>
      <c r="P93" s="195">
        <f t="shared" si="11"/>
        <v>19053771978529</v>
      </c>
      <c r="Q93" s="195">
        <f t="shared" si="12"/>
        <v>61849500491373.578</v>
      </c>
      <c r="R93" s="196">
        <f t="shared" si="13"/>
        <v>0.39573043313236828</v>
      </c>
      <c r="S93" s="170"/>
      <c r="T93" s="170"/>
      <c r="U93" s="195">
        <f t="shared" si="18"/>
        <v>62859732626.632813</v>
      </c>
      <c r="V93" s="195">
        <f t="shared" si="14"/>
        <v>50659121144.425781</v>
      </c>
      <c r="W93" s="195">
        <f t="shared" si="14"/>
        <v>44880863406.320313</v>
      </c>
      <c r="X93" s="195">
        <f t="shared" si="17"/>
        <v>158399717177.37891</v>
      </c>
      <c r="Y93" s="207">
        <f t="shared" si="16"/>
        <v>0.39684245494101061</v>
      </c>
      <c r="AC93" s="251">
        <f t="shared" si="15"/>
        <v>1.2392296272128782</v>
      </c>
    </row>
    <row r="94" spans="1:35" ht="15.6" x14ac:dyDescent="0.3">
      <c r="A94" s="206">
        <v>2023</v>
      </c>
      <c r="B94" s="253">
        <f>(B146/Population_Tables!O12)*Population_Tables!C12</f>
        <v>71743348520621.469</v>
      </c>
      <c r="C94" s="253">
        <f>(C146/Population_Tables!P12)*Population_Tables!D12</f>
        <v>19238702483678.504</v>
      </c>
      <c r="D94" s="253">
        <f>(D146/Population_Tables!Q12)*Population_Tables!E12</f>
        <v>25442701724053.828</v>
      </c>
      <c r="E94" s="253">
        <f>(E146/Population_Tables!R12)*Population_Tables!F12</f>
        <v>18712922067248.164</v>
      </c>
      <c r="F94" s="253">
        <f>(F146/Population_Tables!S12)*Population_Tables!G12</f>
        <v>0</v>
      </c>
      <c r="G94" s="253">
        <f>(G146/Population_Tables!T12)*Population_Tables!H12</f>
        <v>0</v>
      </c>
      <c r="H94" s="253">
        <f>(H146/Population_Tables!U12)*Population_Tables!I12</f>
        <v>0</v>
      </c>
      <c r="I94" s="253">
        <f>(I146/Population_Tables!V12)*Population_Tables!J12</f>
        <v>0</v>
      </c>
      <c r="J94" s="253">
        <f>(J146/Population_Tables!W12)*Population_Tables!K12</f>
        <v>0</v>
      </c>
      <c r="K94" s="253">
        <f>(K146/Population_Tables!X12)*Population_Tables!L12</f>
        <v>0</v>
      </c>
      <c r="L94" s="170"/>
      <c r="M94" s="170"/>
      <c r="N94" s="195">
        <f t="shared" si="9"/>
        <v>25442701724053.828</v>
      </c>
      <c r="O94" s="195">
        <f t="shared" si="10"/>
        <v>18712922067248.164</v>
      </c>
      <c r="P94" s="195">
        <f t="shared" si="11"/>
        <v>19238702483678.504</v>
      </c>
      <c r="Q94" s="195">
        <f t="shared" si="12"/>
        <v>63394326274980.492</v>
      </c>
      <c r="R94" s="196">
        <f t="shared" si="13"/>
        <v>0.4013403599194833</v>
      </c>
      <c r="S94" s="170"/>
      <c r="T94" s="170"/>
      <c r="U94" s="195">
        <f>N94-N146</f>
        <v>104981969246.07031</v>
      </c>
      <c r="V94" s="195">
        <f t="shared" si="14"/>
        <v>86723458763.089844</v>
      </c>
      <c r="W94" s="195">
        <f t="shared" si="14"/>
        <v>75175294497.988281</v>
      </c>
      <c r="X94" s="195">
        <f t="shared" si="17"/>
        <v>266880722507.14844</v>
      </c>
      <c r="Y94" s="207">
        <f t="shared" si="16"/>
        <v>0.39336662558405039</v>
      </c>
      <c r="AC94" s="251">
        <f t="shared" si="15"/>
        <v>1.2417443484367523</v>
      </c>
    </row>
    <row r="95" spans="1:35" ht="15.6" x14ac:dyDescent="0.3">
      <c r="A95" s="206">
        <v>2024</v>
      </c>
      <c r="B95" s="253">
        <f>(B147/Population_Tables!O13)*Population_Tables!C13</f>
        <v>73944532508411.219</v>
      </c>
      <c r="C95" s="253">
        <f>(C147/Population_Tables!P13)*Population_Tables!D13</f>
        <v>19431006432775.359</v>
      </c>
      <c r="D95" s="253">
        <f>(D147/Population_Tables!Q13)*Population_Tables!E13</f>
        <v>26447218774646.441</v>
      </c>
      <c r="E95" s="253">
        <f>(E147/Population_Tables!R13)*Population_Tables!F13</f>
        <v>19088261355847.492</v>
      </c>
      <c r="F95" s="253">
        <f>(F147/Population_Tables!S13)*Population_Tables!G13</f>
        <v>0</v>
      </c>
      <c r="G95" s="253">
        <f>(G147/Population_Tables!T13)*Population_Tables!H13</f>
        <v>0</v>
      </c>
      <c r="H95" s="253">
        <f>(H147/Population_Tables!U13)*Population_Tables!I13</f>
        <v>0</v>
      </c>
      <c r="I95" s="253">
        <f>(I147/Population_Tables!V13)*Population_Tables!J13</f>
        <v>0</v>
      </c>
      <c r="J95" s="253">
        <f>(J147/Population_Tables!W13)*Population_Tables!K13</f>
        <v>0</v>
      </c>
      <c r="K95" s="253">
        <f>(K147/Population_Tables!X13)*Population_Tables!L13</f>
        <v>0</v>
      </c>
      <c r="L95" s="170"/>
      <c r="M95" s="170"/>
      <c r="N95" s="195">
        <f t="shared" si="9"/>
        <v>26447218774646.441</v>
      </c>
      <c r="O95" s="195">
        <f t="shared" si="10"/>
        <v>19088261355847.492</v>
      </c>
      <c r="P95" s="195">
        <f t="shared" si="11"/>
        <v>19431006432775.359</v>
      </c>
      <c r="Q95" s="195">
        <f t="shared" si="12"/>
        <v>64966486563269.289</v>
      </c>
      <c r="R95" s="196">
        <f t="shared" si="13"/>
        <v>0.40709018101032962</v>
      </c>
      <c r="S95" s="170"/>
      <c r="T95" s="170"/>
      <c r="U95" s="195">
        <f t="shared" si="18"/>
        <v>154291213113.88281</v>
      </c>
      <c r="V95" s="195">
        <f t="shared" si="14"/>
        <v>128614972482.42188</v>
      </c>
      <c r="W95" s="195">
        <f t="shared" si="14"/>
        <v>109808940266.89453</v>
      </c>
      <c r="X95" s="195">
        <f t="shared" si="17"/>
        <v>392715125863.19922</v>
      </c>
      <c r="Y95" s="207">
        <f t="shared" si="16"/>
        <v>0.39288329619274598</v>
      </c>
      <c r="AC95" s="251">
        <f t="shared" si="15"/>
        <v>1.2481494903413053</v>
      </c>
    </row>
    <row r="96" spans="1:35" ht="15.6" x14ac:dyDescent="0.3">
      <c r="A96" s="206">
        <v>2025</v>
      </c>
      <c r="B96" s="253">
        <f>(B148/Population_Tables!O14)*Population_Tables!C14</f>
        <v>76227286356917.734</v>
      </c>
      <c r="C96" s="253">
        <f>(C148/Population_Tables!P14)*Population_Tables!D14</f>
        <v>19453911576684.234</v>
      </c>
      <c r="D96" s="253">
        <f>(D148/Population_Tables!Q14)*Population_Tables!E14</f>
        <v>27473892768962.086</v>
      </c>
      <c r="E96" s="253">
        <f>(E148/Population_Tables!R14)*Population_Tables!F14</f>
        <v>19420942450385.805</v>
      </c>
      <c r="F96" s="253">
        <f>(F148/Population_Tables!S14)*Population_Tables!G14</f>
        <v>0</v>
      </c>
      <c r="G96" s="253">
        <f>(G148/Population_Tables!T14)*Population_Tables!H14</f>
        <v>0</v>
      </c>
      <c r="H96" s="253">
        <f>(H148/Population_Tables!U14)*Population_Tables!I14</f>
        <v>0</v>
      </c>
      <c r="I96" s="253">
        <f>(I148/Population_Tables!V14)*Population_Tables!J14</f>
        <v>0</v>
      </c>
      <c r="J96" s="253">
        <f>(J148/Population_Tables!W14)*Population_Tables!K14</f>
        <v>0</v>
      </c>
      <c r="K96" s="253">
        <f>(K148/Population_Tables!X14)*Population_Tables!L14</f>
        <v>0</v>
      </c>
      <c r="L96" s="170"/>
      <c r="M96" s="170"/>
      <c r="N96" s="195">
        <f t="shared" si="9"/>
        <v>27473892768962.086</v>
      </c>
      <c r="O96" s="195">
        <f t="shared" si="10"/>
        <v>19420942450385.805</v>
      </c>
      <c r="P96" s="195">
        <f t="shared" si="11"/>
        <v>19453911576684.234</v>
      </c>
      <c r="Q96" s="195">
        <f t="shared" si="12"/>
        <v>66348746796032.125</v>
      </c>
      <c r="R96" s="196">
        <f t="shared" si="13"/>
        <v>0.41408307007548656</v>
      </c>
      <c r="S96" s="170"/>
      <c r="T96" s="170"/>
      <c r="U96" s="195">
        <f t="shared" si="18"/>
        <v>210824490394.85547</v>
      </c>
      <c r="V96" s="195">
        <f t="shared" si="14"/>
        <v>175349363522.93359</v>
      </c>
      <c r="W96" s="195">
        <f t="shared" si="14"/>
        <v>146971024805.83594</v>
      </c>
      <c r="X96" s="195">
        <f t="shared" si="17"/>
        <v>533144878723.625</v>
      </c>
      <c r="Y96" s="207">
        <f t="shared" si="16"/>
        <v>0.39543564762279937</v>
      </c>
      <c r="AC96" s="251">
        <f t="shared" si="15"/>
        <v>1.2619608536223557</v>
      </c>
    </row>
    <row r="97" spans="1:29" ht="15.6" x14ac:dyDescent="0.3">
      <c r="A97" s="206">
        <v>2026</v>
      </c>
      <c r="B97" s="253">
        <f>(B149/Population_Tables!O15)*Population_Tables!C15</f>
        <v>78496863450925.188</v>
      </c>
      <c r="C97" s="253">
        <f>(C149/Population_Tables!P15)*Population_Tables!D15</f>
        <v>19835315547102.723</v>
      </c>
      <c r="D97" s="253">
        <f>(D149/Population_Tables!Q15)*Population_Tables!E15</f>
        <v>28560856810583.926</v>
      </c>
      <c r="E97" s="253">
        <f>(E149/Population_Tables!R15)*Population_Tables!F15</f>
        <v>19786563642905.535</v>
      </c>
      <c r="F97" s="253">
        <f>(F149/Population_Tables!S15)*Population_Tables!G15</f>
        <v>0</v>
      </c>
      <c r="G97" s="253">
        <f>(G149/Population_Tables!T15)*Population_Tables!H15</f>
        <v>0</v>
      </c>
      <c r="H97" s="253">
        <f>(H149/Population_Tables!U15)*Population_Tables!I15</f>
        <v>0</v>
      </c>
      <c r="I97" s="253">
        <f>(I149/Population_Tables!V15)*Population_Tables!J15</f>
        <v>0</v>
      </c>
      <c r="J97" s="253">
        <f>(J149/Population_Tables!W15)*Population_Tables!K15</f>
        <v>0</v>
      </c>
      <c r="K97" s="253">
        <f>(K149/Population_Tables!X15)*Population_Tables!L15</f>
        <v>0</v>
      </c>
      <c r="L97" s="170"/>
      <c r="M97" s="170"/>
      <c r="N97" s="195">
        <f t="shared" si="9"/>
        <v>28560856810583.926</v>
      </c>
      <c r="O97" s="195">
        <f t="shared" si="10"/>
        <v>19786563642905.535</v>
      </c>
      <c r="P97" s="195">
        <f t="shared" si="11"/>
        <v>19835315547102.723</v>
      </c>
      <c r="Q97" s="195">
        <f t="shared" si="12"/>
        <v>68182736000592.188</v>
      </c>
      <c r="R97" s="196">
        <f t="shared" si="13"/>
        <v>0.41888692777502895</v>
      </c>
      <c r="S97" s="170"/>
      <c r="T97" s="170"/>
      <c r="U97" s="195">
        <f>N97-N149</f>
        <v>275483173317.29297</v>
      </c>
      <c r="V97" s="195">
        <f t="shared" si="14"/>
        <v>227033472870.72266</v>
      </c>
      <c r="W97" s="195">
        <f t="shared" si="14"/>
        <v>190341643298.38281</v>
      </c>
      <c r="X97" s="195">
        <f t="shared" si="17"/>
        <v>692858289486.39844</v>
      </c>
      <c r="Y97" s="207">
        <f t="shared" si="16"/>
        <v>0.39760392203938694</v>
      </c>
      <c r="AC97" s="251">
        <f t="shared" si="15"/>
        <v>1.2676033667029725</v>
      </c>
    </row>
    <row r="98" spans="1:29" ht="15.6" x14ac:dyDescent="0.3">
      <c r="A98" s="206">
        <v>2027</v>
      </c>
      <c r="B98" s="253">
        <f>(B150/Population_Tables!O16)*Population_Tables!C16</f>
        <v>80851006542550.281</v>
      </c>
      <c r="C98" s="253">
        <f>(C150/Population_Tables!P16)*Population_Tables!D16</f>
        <v>20046524214362.012</v>
      </c>
      <c r="D98" s="253">
        <f>(D150/Population_Tables!Q16)*Population_Tables!E16</f>
        <v>29666773031677.625</v>
      </c>
      <c r="E98" s="253">
        <f>(E150/Population_Tables!R16)*Population_Tables!F16</f>
        <v>20110210268621.207</v>
      </c>
      <c r="F98" s="253">
        <f>(F150/Population_Tables!S16)*Population_Tables!G16</f>
        <v>0</v>
      </c>
      <c r="G98" s="253">
        <f>(G150/Population_Tables!T16)*Population_Tables!H16</f>
        <v>0</v>
      </c>
      <c r="H98" s="253">
        <f>(H150/Population_Tables!U16)*Population_Tables!I16</f>
        <v>0</v>
      </c>
      <c r="I98" s="253">
        <f>(I150/Population_Tables!V16)*Population_Tables!J16</f>
        <v>0</v>
      </c>
      <c r="J98" s="253">
        <f>(J150/Population_Tables!W16)*Population_Tables!K16</f>
        <v>0</v>
      </c>
      <c r="K98" s="253">
        <f>(K150/Population_Tables!X16)*Population_Tables!L16</f>
        <v>0</v>
      </c>
      <c r="L98" s="170"/>
      <c r="M98" s="170"/>
      <c r="N98" s="195">
        <f t="shared" si="9"/>
        <v>29666773031677.625</v>
      </c>
      <c r="O98" s="195">
        <f t="shared" si="10"/>
        <v>20110210268621.207</v>
      </c>
      <c r="P98" s="195">
        <f t="shared" si="11"/>
        <v>20046524214362.012</v>
      </c>
      <c r="Q98" s="195">
        <f t="shared" si="12"/>
        <v>69823507514660.844</v>
      </c>
      <c r="R98" s="196">
        <f t="shared" si="13"/>
        <v>0.42488230808869765</v>
      </c>
      <c r="S98" s="170"/>
      <c r="T98" s="170"/>
      <c r="U98" s="195">
        <f t="shared" si="18"/>
        <v>348682800902.96094</v>
      </c>
      <c r="V98" s="195">
        <f t="shared" si="14"/>
        <v>282633377776.54688</v>
      </c>
      <c r="W98" s="195">
        <f t="shared" si="14"/>
        <v>235777644174.91406</v>
      </c>
      <c r="X98" s="195">
        <f t="shared" si="17"/>
        <v>867093822854.42188</v>
      </c>
      <c r="Y98" s="207">
        <f t="shared" si="16"/>
        <v>0.40212811083709221</v>
      </c>
      <c r="AC98" s="251">
        <f t="shared" si="15"/>
        <v>1.2769302407532179</v>
      </c>
    </row>
    <row r="99" spans="1:29" ht="15.6" x14ac:dyDescent="0.3">
      <c r="A99" s="206">
        <v>2028</v>
      </c>
      <c r="B99" s="253">
        <f>(B151/Population_Tables!O17)*Population_Tables!C17</f>
        <v>83260026046330.703</v>
      </c>
      <c r="C99" s="253">
        <f>(C151/Population_Tables!P17)*Population_Tables!D17</f>
        <v>20263494937855.832</v>
      </c>
      <c r="D99" s="253">
        <f>(D151/Population_Tables!Q17)*Population_Tables!E17</f>
        <v>30803054784632.219</v>
      </c>
      <c r="E99" s="253">
        <f>(E151/Population_Tables!R17)*Population_Tables!F17</f>
        <v>20417703992257.211</v>
      </c>
      <c r="F99" s="253">
        <f>(F151/Population_Tables!S17)*Population_Tables!G17</f>
        <v>0</v>
      </c>
      <c r="G99" s="253">
        <f>(G151/Population_Tables!T17)*Population_Tables!H17</f>
        <v>0</v>
      </c>
      <c r="H99" s="253">
        <f>(H151/Population_Tables!U17)*Population_Tables!I17</f>
        <v>0</v>
      </c>
      <c r="I99" s="253">
        <f>(I151/Population_Tables!V17)*Population_Tables!J17</f>
        <v>0</v>
      </c>
      <c r="J99" s="253">
        <f>(J151/Population_Tables!W17)*Population_Tables!K17</f>
        <v>0</v>
      </c>
      <c r="K99" s="253">
        <f>(K151/Population_Tables!X17)*Population_Tables!L17</f>
        <v>0</v>
      </c>
      <c r="L99" s="170"/>
      <c r="M99" s="170"/>
      <c r="N99" s="195">
        <f t="shared" si="9"/>
        <v>30803054784632.219</v>
      </c>
      <c r="O99" s="195">
        <f t="shared" si="10"/>
        <v>20417703992257.211</v>
      </c>
      <c r="P99" s="195">
        <f t="shared" si="11"/>
        <v>20263494937855.832</v>
      </c>
      <c r="Q99" s="195">
        <f t="shared" si="12"/>
        <v>71484253714745.25</v>
      </c>
      <c r="R99" s="196">
        <f t="shared" si="13"/>
        <v>0.4309068526832559</v>
      </c>
      <c r="S99" s="170"/>
      <c r="T99" s="170"/>
      <c r="U99" s="195">
        <f t="shared" si="18"/>
        <v>430933373589.67578</v>
      </c>
      <c r="V99" s="195">
        <f t="shared" si="14"/>
        <v>342270022939.33203</v>
      </c>
      <c r="W99" s="195">
        <f t="shared" si="14"/>
        <v>284608355186.20703</v>
      </c>
      <c r="X99" s="195">
        <f t="shared" si="17"/>
        <v>1057811751715.2148</v>
      </c>
      <c r="Y99" s="207">
        <f t="shared" si="16"/>
        <v>0.40738191165954463</v>
      </c>
      <c r="AC99" s="251">
        <f t="shared" si="15"/>
        <v>1.2856784856494761</v>
      </c>
    </row>
    <row r="100" spans="1:29" ht="15.6" x14ac:dyDescent="0.3">
      <c r="A100" s="206">
        <v>2029</v>
      </c>
      <c r="B100" s="253">
        <f>(B152/Population_Tables!O18)*Population_Tables!C18</f>
        <v>85726626917634.719</v>
      </c>
      <c r="C100" s="253">
        <f>(C152/Population_Tables!P18)*Population_Tables!D18</f>
        <v>20486161018834.992</v>
      </c>
      <c r="D100" s="253">
        <f>(D152/Population_Tables!Q18)*Population_Tables!E18</f>
        <v>31967746536644.613</v>
      </c>
      <c r="E100" s="253">
        <f>(E152/Population_Tables!R18)*Population_Tables!F18</f>
        <v>20709915065996.832</v>
      </c>
      <c r="F100" s="253">
        <f>(F152/Population_Tables!S18)*Population_Tables!G18</f>
        <v>0</v>
      </c>
      <c r="G100" s="253">
        <f>(G152/Population_Tables!T18)*Population_Tables!H18</f>
        <v>0</v>
      </c>
      <c r="H100" s="253">
        <f>(H152/Population_Tables!U18)*Population_Tables!I18</f>
        <v>0</v>
      </c>
      <c r="I100" s="253">
        <f>(I152/Population_Tables!V18)*Population_Tables!J18</f>
        <v>0</v>
      </c>
      <c r="J100" s="253">
        <f>(J152/Population_Tables!W18)*Population_Tables!K18</f>
        <v>0</v>
      </c>
      <c r="K100" s="253">
        <f>(K152/Population_Tables!X18)*Population_Tables!L18</f>
        <v>0</v>
      </c>
      <c r="L100" s="170"/>
      <c r="M100" s="170"/>
      <c r="N100" s="195">
        <f t="shared" si="9"/>
        <v>31967746536644.613</v>
      </c>
      <c r="O100" s="195">
        <f t="shared" si="10"/>
        <v>20709915065996.832</v>
      </c>
      <c r="P100" s="195">
        <f t="shared" si="11"/>
        <v>20486161018834.992</v>
      </c>
      <c r="Q100" s="195">
        <f t="shared" si="12"/>
        <v>73163822621476.438</v>
      </c>
      <c r="R100" s="196">
        <f t="shared" si="13"/>
        <v>0.43693379311294805</v>
      </c>
      <c r="S100" s="170"/>
      <c r="T100" s="170"/>
      <c r="U100" s="195">
        <f t="shared" si="18"/>
        <v>522540196324.96484</v>
      </c>
      <c r="V100" s="195">
        <f t="shared" si="14"/>
        <v>406008306032.30469</v>
      </c>
      <c r="W100" s="195">
        <f t="shared" si="14"/>
        <v>336933798375.66406</v>
      </c>
      <c r="X100" s="195">
        <f t="shared" si="17"/>
        <v>1265482300732.9336</v>
      </c>
      <c r="Y100" s="207">
        <f t="shared" si="16"/>
        <v>0.41291782273234756</v>
      </c>
      <c r="AC100" s="251">
        <f t="shared" si="15"/>
        <v>1.294018306810798</v>
      </c>
    </row>
    <row r="101" spans="1:29" ht="15.6" x14ac:dyDescent="0.3">
      <c r="A101" s="206">
        <v>2030</v>
      </c>
      <c r="B101" s="253">
        <f>(B153/Population_Tables!O19)*Population_Tables!C19</f>
        <v>88275886401074.625</v>
      </c>
      <c r="C101" s="253">
        <f>(C153/Population_Tables!P19)*Population_Tables!D19</f>
        <v>20742181066930.602</v>
      </c>
      <c r="D101" s="253">
        <f>(D153/Population_Tables!Q19)*Population_Tables!E19</f>
        <v>33261981756617.934</v>
      </c>
      <c r="E101" s="253">
        <f>(E153/Population_Tables!R19)*Population_Tables!F19</f>
        <v>21075380017571.191</v>
      </c>
      <c r="F101" s="253">
        <f>(F153/Population_Tables!S19)*Population_Tables!G19</f>
        <v>0</v>
      </c>
      <c r="G101" s="253">
        <f>(G153/Population_Tables!T19)*Population_Tables!H19</f>
        <v>0</v>
      </c>
      <c r="H101" s="253">
        <f>(H153/Population_Tables!U19)*Population_Tables!I19</f>
        <v>0</v>
      </c>
      <c r="I101" s="253">
        <f>(I153/Population_Tables!V19)*Population_Tables!J19</f>
        <v>0</v>
      </c>
      <c r="J101" s="253">
        <f>(J153/Population_Tables!W19)*Population_Tables!K19</f>
        <v>0</v>
      </c>
      <c r="K101" s="253">
        <f>(K153/Population_Tables!X19)*Population_Tables!L19</f>
        <v>0</v>
      </c>
      <c r="L101" s="170"/>
      <c r="M101" s="170"/>
      <c r="N101" s="195">
        <f t="shared" si="9"/>
        <v>33261981756617.934</v>
      </c>
      <c r="O101" s="195">
        <f t="shared" si="10"/>
        <v>21075380017571.191</v>
      </c>
      <c r="P101" s="195">
        <f t="shared" si="11"/>
        <v>20742181066930.602</v>
      </c>
      <c r="Q101" s="195">
        <f t="shared" si="12"/>
        <v>75079542841119.719</v>
      </c>
      <c r="R101" s="196">
        <f t="shared" si="13"/>
        <v>0.44302323240041019</v>
      </c>
      <c r="S101" s="170"/>
      <c r="T101" s="170"/>
      <c r="U101" s="195">
        <f t="shared" si="18"/>
        <v>625805591342.86719</v>
      </c>
      <c r="V101" s="195">
        <f t="shared" si="14"/>
        <v>475868656047.42188</v>
      </c>
      <c r="W101" s="195">
        <f t="shared" si="14"/>
        <v>393367445360.46875</v>
      </c>
      <c r="X101" s="195">
        <f t="shared" si="17"/>
        <v>1495041692750.7578</v>
      </c>
      <c r="Y101" s="207">
        <f t="shared" si="16"/>
        <v>0.41858738413604685</v>
      </c>
      <c r="AC101" s="251">
        <f t="shared" si="15"/>
        <v>1.2985462609848539</v>
      </c>
    </row>
    <row r="102" spans="1:29" ht="15.6" x14ac:dyDescent="0.3">
      <c r="A102" s="206">
        <v>2031</v>
      </c>
      <c r="B102" s="253">
        <f>(B154/Population_Tables!O20)*Population_Tables!C20</f>
        <v>90843398193059.719</v>
      </c>
      <c r="C102" s="253">
        <f>(C154/Population_Tables!P20)*Population_Tables!D20</f>
        <v>20948101984815.34</v>
      </c>
      <c r="D102" s="253">
        <f>(D154/Population_Tables!Q20)*Population_Tables!E20</f>
        <v>34374852201270.125</v>
      </c>
      <c r="E102" s="253">
        <f>(E154/Population_Tables!R20)*Population_Tables!F20</f>
        <v>21251600948502.793</v>
      </c>
      <c r="F102" s="253">
        <f>(F154/Population_Tables!S20)*Population_Tables!G20</f>
        <v>0</v>
      </c>
      <c r="G102" s="253">
        <f>(G154/Population_Tables!T20)*Population_Tables!H20</f>
        <v>0</v>
      </c>
      <c r="H102" s="253">
        <f>(H154/Population_Tables!U20)*Population_Tables!I20</f>
        <v>0</v>
      </c>
      <c r="I102" s="253">
        <f>(I154/Population_Tables!V20)*Population_Tables!J20</f>
        <v>0</v>
      </c>
      <c r="J102" s="253">
        <f>(J154/Population_Tables!W20)*Population_Tables!K20</f>
        <v>0</v>
      </c>
      <c r="K102" s="253">
        <f>(K154/Population_Tables!X20)*Population_Tables!L20</f>
        <v>0</v>
      </c>
      <c r="L102" s="170"/>
      <c r="M102" s="170"/>
      <c r="N102" s="195">
        <f t="shared" si="9"/>
        <v>34374852201270.125</v>
      </c>
      <c r="O102" s="195">
        <f t="shared" si="10"/>
        <v>21251600948502.793</v>
      </c>
      <c r="P102" s="195">
        <f t="shared" si="11"/>
        <v>20948101984815.34</v>
      </c>
      <c r="Q102" s="195">
        <f t="shared" si="12"/>
        <v>76574555134588.266</v>
      </c>
      <c r="R102" s="196">
        <f t="shared" si="13"/>
        <v>0.44890697883719355</v>
      </c>
      <c r="S102" s="170"/>
      <c r="T102" s="170"/>
      <c r="U102" s="195">
        <f t="shared" si="18"/>
        <v>735358106371.04688</v>
      </c>
      <c r="V102" s="195">
        <f t="shared" si="14"/>
        <v>545680052684.50391</v>
      </c>
      <c r="W102" s="195">
        <f t="shared" si="14"/>
        <v>452258496025.41016</v>
      </c>
      <c r="X102" s="195">
        <f t="shared" si="17"/>
        <v>1733296655080.9609</v>
      </c>
      <c r="Y102" s="207">
        <f t="shared" si="16"/>
        <v>0.42425403880831863</v>
      </c>
      <c r="AC102" s="251">
        <f t="shared" si="15"/>
        <v>1.3100220597068455</v>
      </c>
    </row>
    <row r="103" spans="1:29" ht="15.6" x14ac:dyDescent="0.3">
      <c r="A103" s="206">
        <v>2032</v>
      </c>
      <c r="B103" s="253">
        <f>(B155/Population_Tables!O21)*Population_Tables!C21</f>
        <v>93497010793185.828</v>
      </c>
      <c r="C103" s="253">
        <f>(C155/Population_Tables!P21)*Population_Tables!D21</f>
        <v>21186604586561.813</v>
      </c>
      <c r="D103" s="253">
        <f>(D155/Population_Tables!Q21)*Population_Tables!E21</f>
        <v>35613336525226.109</v>
      </c>
      <c r="E103" s="253">
        <f>(E155/Population_Tables!R21)*Population_Tables!F21</f>
        <v>21501824889141.094</v>
      </c>
      <c r="F103" s="253">
        <f>(F155/Population_Tables!S21)*Population_Tables!G21</f>
        <v>0</v>
      </c>
      <c r="G103" s="253">
        <f>(G155/Population_Tables!T21)*Population_Tables!H21</f>
        <v>0</v>
      </c>
      <c r="H103" s="253">
        <f>(H155/Population_Tables!U21)*Population_Tables!I21</f>
        <v>0</v>
      </c>
      <c r="I103" s="253">
        <f>(I155/Population_Tables!V21)*Population_Tables!J21</f>
        <v>0</v>
      </c>
      <c r="J103" s="253">
        <f>(J155/Population_Tables!W21)*Population_Tables!K21</f>
        <v>0</v>
      </c>
      <c r="K103" s="253">
        <f>(K155/Population_Tables!X21)*Population_Tables!L21</f>
        <v>0</v>
      </c>
      <c r="L103" s="170"/>
      <c r="M103" s="170"/>
      <c r="N103" s="195">
        <f t="shared" si="9"/>
        <v>35613336525226.109</v>
      </c>
      <c r="O103" s="195">
        <f t="shared" si="10"/>
        <v>21501824889141.094</v>
      </c>
      <c r="P103" s="195">
        <f t="shared" si="11"/>
        <v>21186604586561.813</v>
      </c>
      <c r="Q103" s="195">
        <f t="shared" si="12"/>
        <v>78301766000929.016</v>
      </c>
      <c r="R103" s="196">
        <f t="shared" si="13"/>
        <v>0.45482162592352737</v>
      </c>
      <c r="S103" s="170"/>
      <c r="T103" s="170"/>
      <c r="U103" s="195">
        <f t="shared" si="18"/>
        <v>857161280525.9375</v>
      </c>
      <c r="V103" s="195">
        <f t="shared" si="14"/>
        <v>620751939095.58984</v>
      </c>
      <c r="W103" s="195">
        <f t="shared" si="14"/>
        <v>514818908816.15625</v>
      </c>
      <c r="X103" s="195">
        <f t="shared" si="17"/>
        <v>1992732128437.6836</v>
      </c>
      <c r="Y103" s="207">
        <f t="shared" si="16"/>
        <v>0.43014375504547026</v>
      </c>
      <c r="AC103" s="251">
        <f t="shared" si="15"/>
        <v>1.3178396585618952</v>
      </c>
    </row>
    <row r="104" spans="1:29" ht="15.6" x14ac:dyDescent="0.3">
      <c r="A104" s="206">
        <v>2033</v>
      </c>
      <c r="B104" s="253">
        <f>(B156/Population_Tables!O22)*Population_Tables!C22</f>
        <v>96213152463199.828</v>
      </c>
      <c r="C104" s="253">
        <f>(C156/Population_Tables!P22)*Population_Tables!D22</f>
        <v>21429061033821.43</v>
      </c>
      <c r="D104" s="253">
        <f>(D156/Population_Tables!Q22)*Population_Tables!E22</f>
        <v>36871482668468.5</v>
      </c>
      <c r="E104" s="253">
        <f>(E156/Population_Tables!R22)*Population_Tables!F22</f>
        <v>21738089259870.059</v>
      </c>
      <c r="F104" s="253">
        <f>(F156/Population_Tables!S22)*Population_Tables!G22</f>
        <v>0</v>
      </c>
      <c r="G104" s="253">
        <f>(G156/Population_Tables!T22)*Population_Tables!H22</f>
        <v>0</v>
      </c>
      <c r="H104" s="253">
        <f>(H156/Population_Tables!U22)*Population_Tables!I22</f>
        <v>0</v>
      </c>
      <c r="I104" s="253">
        <f>(I156/Population_Tables!V22)*Population_Tables!J22</f>
        <v>0</v>
      </c>
      <c r="J104" s="253">
        <f>(J156/Population_Tables!W22)*Population_Tables!K22</f>
        <v>0</v>
      </c>
      <c r="K104" s="253">
        <f>(K156/Population_Tables!X22)*Population_Tables!L22</f>
        <v>0</v>
      </c>
      <c r="L104" s="170"/>
      <c r="M104" s="170"/>
      <c r="N104" s="195">
        <f t="shared" si="9"/>
        <v>36871482668468.5</v>
      </c>
      <c r="O104" s="195">
        <f t="shared" si="10"/>
        <v>21738089259870.059</v>
      </c>
      <c r="P104" s="195">
        <f t="shared" si="11"/>
        <v>21429061033821.43</v>
      </c>
      <c r="Q104" s="195">
        <f t="shared" si="12"/>
        <v>80038632962159.984</v>
      </c>
      <c r="R104" s="196">
        <f t="shared" si="13"/>
        <v>0.46067106975578032</v>
      </c>
      <c r="S104" s="170"/>
      <c r="T104" s="170"/>
      <c r="U104" s="195">
        <f t="shared" si="18"/>
        <v>988615875960.46875</v>
      </c>
      <c r="V104" s="195">
        <f t="shared" si="14"/>
        <v>698027125383.72656</v>
      </c>
      <c r="W104" s="195">
        <f t="shared" si="14"/>
        <v>579799424983.20703</v>
      </c>
      <c r="X104" s="195">
        <f t="shared" si="17"/>
        <v>2266442426327.4023</v>
      </c>
      <c r="Y104" s="207">
        <f t="shared" si="16"/>
        <v>0.43619721572298908</v>
      </c>
      <c r="AC104" s="251">
        <f t="shared" si="15"/>
        <v>1.3254690026344722</v>
      </c>
    </row>
    <row r="105" spans="1:29" ht="15.6" x14ac:dyDescent="0.3">
      <c r="A105" s="206">
        <v>2034</v>
      </c>
      <c r="B105" s="253">
        <f>(B157/Population_Tables!O23)*Population_Tables!C23</f>
        <v>98989137746441.25</v>
      </c>
      <c r="C105" s="253">
        <f>(C157/Population_Tables!P23)*Population_Tables!D23</f>
        <v>21674351104399.203</v>
      </c>
      <c r="D105" s="253">
        <f>(D157/Population_Tables!Q23)*Population_Tables!E23</f>
        <v>38145867350553.344</v>
      </c>
      <c r="E105" s="253">
        <f>(E157/Population_Tables!R23)*Population_Tables!F23</f>
        <v>21959851809477.008</v>
      </c>
      <c r="F105" s="253">
        <f>(F157/Population_Tables!S23)*Population_Tables!G23</f>
        <v>0</v>
      </c>
      <c r="G105" s="253">
        <f>(G157/Population_Tables!T23)*Population_Tables!H23</f>
        <v>0</v>
      </c>
      <c r="H105" s="253">
        <f>(H157/Population_Tables!U23)*Population_Tables!I23</f>
        <v>0</v>
      </c>
      <c r="I105" s="253">
        <f>(I157/Population_Tables!V23)*Population_Tables!J23</f>
        <v>0</v>
      </c>
      <c r="J105" s="253">
        <f>(J157/Population_Tables!W23)*Population_Tables!K23</f>
        <v>0</v>
      </c>
      <c r="K105" s="253">
        <f>(K157/Population_Tables!X23)*Population_Tables!L23</f>
        <v>0</v>
      </c>
      <c r="L105" s="170"/>
      <c r="M105" s="170"/>
      <c r="N105" s="195">
        <f t="shared" si="9"/>
        <v>38145867350553.344</v>
      </c>
      <c r="O105" s="195">
        <f t="shared" si="10"/>
        <v>21959851809477.008</v>
      </c>
      <c r="P105" s="195">
        <f t="shared" si="11"/>
        <v>21674351104399.203</v>
      </c>
      <c r="Q105" s="195">
        <f t="shared" si="12"/>
        <v>81780070264429.563</v>
      </c>
      <c r="R105" s="196">
        <f t="shared" si="13"/>
        <v>0.46644454116035383</v>
      </c>
      <c r="S105" s="170"/>
      <c r="T105" s="170"/>
      <c r="U105" s="195">
        <f t="shared" si="18"/>
        <v>1128559449981.3047</v>
      </c>
      <c r="V105" s="195">
        <f t="shared" si="14"/>
        <v>776158005826.18359</v>
      </c>
      <c r="W105" s="195">
        <f t="shared" si="14"/>
        <v>646246543124.16016</v>
      </c>
      <c r="X105" s="195">
        <f t="shared" si="17"/>
        <v>2550963998931.6484</v>
      </c>
      <c r="Y105" s="207">
        <f t="shared" si="16"/>
        <v>0.44240508703923254</v>
      </c>
      <c r="AC105" s="251">
        <f t="shared" si="15"/>
        <v>1.3328734761481769</v>
      </c>
    </row>
    <row r="106" spans="1:29" ht="15.6" x14ac:dyDescent="0.3">
      <c r="A106" s="206">
        <v>2035</v>
      </c>
      <c r="B106" s="253">
        <f>(B158/Population_Tables!O24)*Population_Tables!C24</f>
        <v>101674897500238.64</v>
      </c>
      <c r="C106" s="253">
        <f>(C158/Population_Tables!P24)*Population_Tables!D24</f>
        <v>22068493485072.344</v>
      </c>
      <c r="D106" s="253">
        <f>(D158/Population_Tables!Q24)*Population_Tables!E24</f>
        <v>39412405505644.336</v>
      </c>
      <c r="E106" s="253">
        <f>(E158/Population_Tables!R24)*Population_Tables!F24</f>
        <v>22192092310928.648</v>
      </c>
      <c r="F106" s="253">
        <f>(F158/Population_Tables!S24)*Population_Tables!G24</f>
        <v>0</v>
      </c>
      <c r="G106" s="253">
        <f>(G158/Population_Tables!T24)*Population_Tables!H24</f>
        <v>0</v>
      </c>
      <c r="H106" s="253">
        <f>(H158/Population_Tables!U24)*Population_Tables!I24</f>
        <v>0</v>
      </c>
      <c r="I106" s="253">
        <f>(I158/Population_Tables!V24)*Population_Tables!J24</f>
        <v>0</v>
      </c>
      <c r="J106" s="253">
        <f>(J158/Population_Tables!W24)*Population_Tables!K24</f>
        <v>0</v>
      </c>
      <c r="K106" s="253">
        <f>(K158/Population_Tables!X24)*Population_Tables!L24</f>
        <v>0</v>
      </c>
      <c r="L106" s="170"/>
      <c r="M106" s="170"/>
      <c r="N106" s="195">
        <f t="shared" si="9"/>
        <v>39412405505644.336</v>
      </c>
      <c r="O106" s="195">
        <f t="shared" si="10"/>
        <v>22192092310928.648</v>
      </c>
      <c r="P106" s="195">
        <f t="shared" si="11"/>
        <v>22068493485072.344</v>
      </c>
      <c r="Q106" s="195">
        <f t="shared" si="12"/>
        <v>83672991301645.328</v>
      </c>
      <c r="R106" s="196">
        <f t="shared" si="13"/>
        <v>0.47102900102567913</v>
      </c>
      <c r="S106" s="170"/>
      <c r="T106" s="170"/>
      <c r="U106" s="195">
        <f t="shared" si="18"/>
        <v>1275349349034.0078</v>
      </c>
      <c r="V106" s="195">
        <f t="shared" si="14"/>
        <v>855105891814.00391</v>
      </c>
      <c r="W106" s="195">
        <f t="shared" si="14"/>
        <v>718208540432.82813</v>
      </c>
      <c r="X106" s="195">
        <f t="shared" si="17"/>
        <v>2848663781280.8398</v>
      </c>
      <c r="Y106" s="207">
        <f t="shared" si="16"/>
        <v>0.44770090363580028</v>
      </c>
      <c r="AC106" s="251">
        <f t="shared" si="15"/>
        <v>1.3357876566888425</v>
      </c>
    </row>
    <row r="107" spans="1:29" ht="15.6" x14ac:dyDescent="0.3">
      <c r="A107" s="206">
        <v>2036</v>
      </c>
      <c r="B107" s="253">
        <f>(B159/Population_Tables!O25)*Population_Tables!C25</f>
        <v>104716568704414.61</v>
      </c>
      <c r="C107" s="253">
        <f>(C159/Population_Tables!P25)*Population_Tables!D25</f>
        <v>22170190416961.945</v>
      </c>
      <c r="D107" s="253">
        <f>(D159/Population_Tables!Q25)*Population_Tables!E25</f>
        <v>40730860615849.453</v>
      </c>
      <c r="E107" s="253">
        <f>(E159/Population_Tables!R25)*Population_Tables!F25</f>
        <v>22359585159696.359</v>
      </c>
      <c r="F107" s="253">
        <f>(F159/Population_Tables!S25)*Population_Tables!G25</f>
        <v>0</v>
      </c>
      <c r="G107" s="253">
        <f>(G159/Population_Tables!T25)*Population_Tables!H25</f>
        <v>0</v>
      </c>
      <c r="H107" s="253">
        <f>(H159/Population_Tables!U25)*Population_Tables!I25</f>
        <v>0</v>
      </c>
      <c r="I107" s="253">
        <f>(I159/Population_Tables!V25)*Population_Tables!J25</f>
        <v>0</v>
      </c>
      <c r="J107" s="253">
        <f>(J159/Population_Tables!W25)*Population_Tables!K25</f>
        <v>0</v>
      </c>
      <c r="K107" s="253">
        <f>(K159/Population_Tables!X25)*Population_Tables!L25</f>
        <v>0</v>
      </c>
      <c r="L107" s="170"/>
      <c r="M107" s="170"/>
      <c r="N107" s="195">
        <f t="shared" si="9"/>
        <v>40730860615849.453</v>
      </c>
      <c r="O107" s="195">
        <f t="shared" si="10"/>
        <v>22359585159696.359</v>
      </c>
      <c r="P107" s="195">
        <f t="shared" si="11"/>
        <v>22170190416961.945</v>
      </c>
      <c r="Q107" s="195">
        <f t="shared" si="12"/>
        <v>85260636192507.75</v>
      </c>
      <c r="R107" s="196">
        <f t="shared" si="13"/>
        <v>0.47772175337613376</v>
      </c>
      <c r="S107" s="170"/>
      <c r="T107" s="170"/>
      <c r="U107" s="195">
        <f t="shared" si="18"/>
        <v>1430465169383.4297</v>
      </c>
      <c r="V107" s="195">
        <f t="shared" si="14"/>
        <v>931479145505.35938</v>
      </c>
      <c r="W107" s="195">
        <f t="shared" si="14"/>
        <v>780965769950.85938</v>
      </c>
      <c r="X107" s="195">
        <f t="shared" si="17"/>
        <v>3142910084839.6484</v>
      </c>
      <c r="Y107" s="207">
        <f t="shared" si="16"/>
        <v>0.45514034152090999</v>
      </c>
      <c r="AC107" s="251">
        <f t="shared" si="15"/>
        <v>1.3474052332120647</v>
      </c>
    </row>
    <row r="108" spans="1:29" ht="15.6" x14ac:dyDescent="0.3">
      <c r="A108" s="206">
        <v>2037</v>
      </c>
      <c r="B108" s="253">
        <f>(B160/Population_Tables!O26)*Population_Tables!C26</f>
        <v>107671512760066.31</v>
      </c>
      <c r="C108" s="253">
        <f>(C160/Population_Tables!P26)*Population_Tables!D26</f>
        <v>22420072774466.391</v>
      </c>
      <c r="D108" s="253">
        <f>(D160/Population_Tables!Q26)*Population_Tables!E26</f>
        <v>42036573858417.57</v>
      </c>
      <c r="E108" s="253">
        <f>(E160/Population_Tables!R26)*Population_Tables!F26</f>
        <v>22538777938758.156</v>
      </c>
      <c r="F108" s="253">
        <f>(F160/Population_Tables!S26)*Population_Tables!G26</f>
        <v>0</v>
      </c>
      <c r="G108" s="253">
        <f>(G160/Population_Tables!T26)*Population_Tables!H26</f>
        <v>0</v>
      </c>
      <c r="H108" s="253">
        <f>(H160/Population_Tables!U26)*Population_Tables!I26</f>
        <v>0</v>
      </c>
      <c r="I108" s="253">
        <f>(I160/Population_Tables!V26)*Population_Tables!J26</f>
        <v>0</v>
      </c>
      <c r="J108" s="253">
        <f>(J160/Population_Tables!W26)*Population_Tables!K26</f>
        <v>0</v>
      </c>
      <c r="K108" s="253">
        <f>(K160/Population_Tables!X26)*Population_Tables!L26</f>
        <v>0</v>
      </c>
      <c r="L108" s="170"/>
      <c r="M108" s="170"/>
      <c r="N108" s="195">
        <f t="shared" si="9"/>
        <v>42036573858417.57</v>
      </c>
      <c r="O108" s="195">
        <f t="shared" si="10"/>
        <v>22538777938758.156</v>
      </c>
      <c r="P108" s="195">
        <f t="shared" si="11"/>
        <v>22420072774466.391</v>
      </c>
      <c r="Q108" s="195">
        <f t="shared" si="12"/>
        <v>86995424571642.125</v>
      </c>
      <c r="R108" s="196">
        <f t="shared" si="13"/>
        <v>0.48320442213371556</v>
      </c>
      <c r="S108" s="170"/>
      <c r="T108" s="170"/>
      <c r="U108" s="195">
        <f t="shared" si="18"/>
        <v>1592053649622.7969</v>
      </c>
      <c r="V108" s="195">
        <f t="shared" si="14"/>
        <v>1008280674171.3828</v>
      </c>
      <c r="W108" s="195">
        <f t="shared" si="14"/>
        <v>848904435741.25391</v>
      </c>
      <c r="X108" s="195">
        <f t="shared" si="17"/>
        <v>3449238759535.4336</v>
      </c>
      <c r="Y108" s="207">
        <f t="shared" si="16"/>
        <v>0.46156667039112864</v>
      </c>
      <c r="AC108" s="251">
        <f t="shared" si="15"/>
        <v>1.3548842791889835</v>
      </c>
    </row>
    <row r="109" spans="1:29" ht="15.6" x14ac:dyDescent="0.3">
      <c r="A109" s="206">
        <v>2038</v>
      </c>
      <c r="B109" s="253">
        <f>(B161/Population_Tables!O27)*Population_Tables!C27</f>
        <v>110692395464367.39</v>
      </c>
      <c r="C109" s="253">
        <f>(C161/Population_Tables!P27)*Population_Tables!D27</f>
        <v>22671265476799.297</v>
      </c>
      <c r="D109" s="253">
        <f>(D161/Population_Tables!Q27)*Population_Tables!E27</f>
        <v>43348695754586.461</v>
      </c>
      <c r="E109" s="253">
        <f>(E161/Population_Tables!R27)*Population_Tables!F27</f>
        <v>22705594836876.016</v>
      </c>
      <c r="F109" s="253">
        <f>(F161/Population_Tables!S27)*Population_Tables!G27</f>
        <v>0</v>
      </c>
      <c r="G109" s="253">
        <f>(G161/Population_Tables!T27)*Population_Tables!H27</f>
        <v>0</v>
      </c>
      <c r="H109" s="253">
        <f>(H161/Population_Tables!U27)*Population_Tables!I27</f>
        <v>0</v>
      </c>
      <c r="I109" s="253">
        <f>(I161/Population_Tables!V27)*Population_Tables!J27</f>
        <v>0</v>
      </c>
      <c r="J109" s="253">
        <f>(J161/Population_Tables!W27)*Population_Tables!K27</f>
        <v>0</v>
      </c>
      <c r="K109" s="253">
        <f>(K161/Population_Tables!X27)*Population_Tables!L27</f>
        <v>0</v>
      </c>
      <c r="L109" s="170"/>
      <c r="M109" s="170"/>
      <c r="N109" s="195">
        <f t="shared" si="9"/>
        <v>43348695754586.461</v>
      </c>
      <c r="O109" s="195">
        <f t="shared" si="10"/>
        <v>22705594836876.016</v>
      </c>
      <c r="P109" s="195">
        <f t="shared" si="11"/>
        <v>22671265476799.297</v>
      </c>
      <c r="Q109" s="195">
        <f t="shared" si="12"/>
        <v>88725556068261.781</v>
      </c>
      <c r="R109" s="196">
        <f t="shared" si="13"/>
        <v>0.4885705728486589</v>
      </c>
      <c r="S109" s="170"/>
      <c r="T109" s="170"/>
      <c r="U109" s="195">
        <f t="shared" si="18"/>
        <v>1761344574209.25</v>
      </c>
      <c r="V109" s="195">
        <f t="shared" si="14"/>
        <v>1084842419129.6094</v>
      </c>
      <c r="W109" s="195">
        <f t="shared" si="14"/>
        <v>917453308186.19922</v>
      </c>
      <c r="X109" s="195">
        <f t="shared" si="17"/>
        <v>3763640301525.0586</v>
      </c>
      <c r="Y109" s="207">
        <f t="shared" si="16"/>
        <v>0.46798961460146404</v>
      </c>
      <c r="AC109" s="251">
        <f t="shared" si="15"/>
        <v>1.3626884941378976</v>
      </c>
    </row>
    <row r="110" spans="1:29" ht="15.6" x14ac:dyDescent="0.3">
      <c r="A110" s="206">
        <v>2039</v>
      </c>
      <c r="B110" s="253">
        <f>(B162/Population_Tables!O28)*Population_Tables!C28</f>
        <v>113784848743358.47</v>
      </c>
      <c r="C110" s="253">
        <f>(C162/Population_Tables!P28)*Population_Tables!D28</f>
        <v>22924040552797.176</v>
      </c>
      <c r="D110" s="253">
        <f>(D162/Population_Tables!Q28)*Population_Tables!E28</f>
        <v>44666051474625.516</v>
      </c>
      <c r="E110" s="253">
        <f>(E162/Population_Tables!R28)*Population_Tables!F28</f>
        <v>22861437779545.367</v>
      </c>
      <c r="F110" s="253">
        <f>(F162/Population_Tables!S28)*Population_Tables!G28</f>
        <v>0</v>
      </c>
      <c r="G110" s="253">
        <f>(G162/Population_Tables!T28)*Population_Tables!H28</f>
        <v>0</v>
      </c>
      <c r="H110" s="253">
        <f>(H162/Population_Tables!U28)*Population_Tables!I28</f>
        <v>0</v>
      </c>
      <c r="I110" s="253">
        <f>(I162/Population_Tables!V28)*Population_Tables!J28</f>
        <v>0</v>
      </c>
      <c r="J110" s="253">
        <f>(J162/Population_Tables!W28)*Population_Tables!K28</f>
        <v>0</v>
      </c>
      <c r="K110" s="253">
        <f>(K162/Population_Tables!X28)*Population_Tables!L28</f>
        <v>0</v>
      </c>
      <c r="L110" s="170"/>
      <c r="M110" s="170"/>
      <c r="N110" s="195">
        <f t="shared" si="9"/>
        <v>44666051474625.516</v>
      </c>
      <c r="O110" s="195">
        <f t="shared" si="10"/>
        <v>22861437779545.367</v>
      </c>
      <c r="P110" s="195">
        <f t="shared" si="11"/>
        <v>22924040552797.176</v>
      </c>
      <c r="Q110" s="195">
        <f t="shared" si="12"/>
        <v>90451529806968.063</v>
      </c>
      <c r="R110" s="196">
        <f t="shared" si="13"/>
        <v>0.49381200704893552</v>
      </c>
      <c r="S110" s="170"/>
      <c r="T110" s="170"/>
      <c r="U110" s="195">
        <f t="shared" si="18"/>
        <v>1939423951162.8047</v>
      </c>
      <c r="V110" s="195">
        <f t="shared" si="14"/>
        <v>1161760951365.4258</v>
      </c>
      <c r="W110" s="195">
        <f t="shared" si="14"/>
        <v>987051136914.79688</v>
      </c>
      <c r="X110" s="195">
        <f t="shared" si="17"/>
        <v>4088236039443.0273</v>
      </c>
      <c r="Y110" s="207">
        <f t="shared" si="16"/>
        <v>0.47439138358239896</v>
      </c>
      <c r="AC110" s="251">
        <f t="shared" si="15"/>
        <v>1.3709038567233114</v>
      </c>
    </row>
    <row r="111" spans="1:29" ht="15.6" x14ac:dyDescent="0.3">
      <c r="A111" s="206">
        <v>2040</v>
      </c>
      <c r="B111" s="253">
        <f>(B163/Population_Tables!O29)*Population_Tables!C29</f>
        <v>116828643543699.17</v>
      </c>
      <c r="C111" s="253">
        <f>(C163/Population_Tables!P29)*Population_Tables!D29</f>
        <v>23258222903659.207</v>
      </c>
      <c r="D111" s="253">
        <f>(D163/Population_Tables!Q29)*Population_Tables!E29</f>
        <v>45876336332099.07</v>
      </c>
      <c r="E111" s="253">
        <f>(E163/Population_Tables!R29)*Population_Tables!F29</f>
        <v>22847880130005.383</v>
      </c>
      <c r="F111" s="253">
        <f>(F163/Population_Tables!S29)*Population_Tables!G29</f>
        <v>0</v>
      </c>
      <c r="G111" s="253">
        <f>(G163/Population_Tables!T29)*Population_Tables!H29</f>
        <v>0</v>
      </c>
      <c r="H111" s="253">
        <f>(H163/Population_Tables!U29)*Population_Tables!I29</f>
        <v>0</v>
      </c>
      <c r="I111" s="253">
        <f>(I163/Population_Tables!V29)*Population_Tables!J29</f>
        <v>0</v>
      </c>
      <c r="J111" s="253">
        <f>(J163/Population_Tables!W29)*Population_Tables!K29</f>
        <v>0</v>
      </c>
      <c r="K111" s="253">
        <f>(K163/Population_Tables!X29)*Population_Tables!L29</f>
        <v>0</v>
      </c>
      <c r="L111" s="170"/>
      <c r="M111" s="170"/>
      <c r="N111" s="195">
        <f t="shared" si="9"/>
        <v>45876336332099.07</v>
      </c>
      <c r="O111" s="195">
        <f t="shared" si="10"/>
        <v>22847880130005.383</v>
      </c>
      <c r="P111" s="195">
        <f t="shared" si="11"/>
        <v>23258222903659.207</v>
      </c>
      <c r="Q111" s="195">
        <f t="shared" si="12"/>
        <v>91982439365763.656</v>
      </c>
      <c r="R111" s="196">
        <f>N111/Q111</f>
        <v>0.49875102952721301</v>
      </c>
      <c r="S111" s="170"/>
      <c r="T111" s="170"/>
      <c r="U111" s="195">
        <f t="shared" si="18"/>
        <v>2122095921200.0156</v>
      </c>
      <c r="V111" s="195">
        <f t="shared" si="14"/>
        <v>1230933841954.4414</v>
      </c>
      <c r="W111" s="195">
        <f t="shared" si="14"/>
        <v>1061686957436.0195</v>
      </c>
      <c r="X111" s="195">
        <f t="shared" si="17"/>
        <v>4414716720590.4766</v>
      </c>
      <c r="Y111" s="207">
        <f t="shared" si="16"/>
        <v>0.48068677007121341</v>
      </c>
      <c r="AC111" s="251">
        <f t="shared" si="15"/>
        <v>1.3812781128307257</v>
      </c>
    </row>
    <row r="112" spans="1:29" ht="15.6" x14ac:dyDescent="0.3">
      <c r="A112" s="206">
        <v>2041</v>
      </c>
      <c r="B112" s="253">
        <f>(B164/Population_Tables!O30)*Population_Tables!C30</f>
        <v>120203776629276.33</v>
      </c>
      <c r="C112" s="253">
        <f>(C164/Population_Tables!P30)*Population_Tables!D30</f>
        <v>23434809048521.316</v>
      </c>
      <c r="D112" s="253">
        <f>(D164/Population_Tables!Q30)*Population_Tables!E30</f>
        <v>47310490673590.711</v>
      </c>
      <c r="E112" s="253">
        <f>(E164/Population_Tables!R30)*Population_Tables!F30</f>
        <v>23145013686469.465</v>
      </c>
      <c r="F112" s="253">
        <f>(F164/Population_Tables!S30)*Population_Tables!G30</f>
        <v>0</v>
      </c>
      <c r="G112" s="253">
        <f>(G164/Population_Tables!T30)*Population_Tables!H30</f>
        <v>0</v>
      </c>
      <c r="H112" s="253">
        <f>(H164/Population_Tables!U30)*Population_Tables!I30</f>
        <v>0</v>
      </c>
      <c r="I112" s="253">
        <f>(I164/Population_Tables!V30)*Population_Tables!J30</f>
        <v>0</v>
      </c>
      <c r="J112" s="253">
        <f>(J164/Population_Tables!W30)*Population_Tables!K30</f>
        <v>0</v>
      </c>
      <c r="K112" s="253">
        <f>(K164/Population_Tables!X30)*Population_Tables!L30</f>
        <v>0</v>
      </c>
      <c r="L112" s="170"/>
      <c r="M112" s="170"/>
      <c r="N112" s="195">
        <f t="shared" si="9"/>
        <v>47310490673590.711</v>
      </c>
      <c r="O112" s="195">
        <f t="shared" si="10"/>
        <v>23145013686469.465</v>
      </c>
      <c r="P112" s="195">
        <f t="shared" si="11"/>
        <v>23434809048521.316</v>
      </c>
      <c r="Q112" s="195">
        <f t="shared" si="12"/>
        <v>93890313408581.5</v>
      </c>
      <c r="R112" s="196">
        <f t="shared" si="13"/>
        <v>0.50389107199706684</v>
      </c>
      <c r="S112" s="170"/>
      <c r="T112" s="170"/>
      <c r="U112" s="195">
        <f t="shared" si="18"/>
        <v>2325017700450.25</v>
      </c>
      <c r="V112" s="195">
        <f t="shared" si="14"/>
        <v>1318258847560.5508</v>
      </c>
      <c r="W112" s="195">
        <f t="shared" si="14"/>
        <v>1130531769126.7461</v>
      </c>
      <c r="X112" s="195">
        <f t="shared" si="17"/>
        <v>4773808317137.5469</v>
      </c>
      <c r="Y112" s="207">
        <f t="shared" si="16"/>
        <v>0.48703624988536792</v>
      </c>
      <c r="AC112" s="251">
        <f t="shared" si="15"/>
        <v>1.3888266388323958</v>
      </c>
    </row>
    <row r="113" spans="1:29" ht="15.6" x14ac:dyDescent="0.3">
      <c r="A113" s="206">
        <v>2042</v>
      </c>
      <c r="B113" s="253">
        <f>(B165/Population_Tables!O31)*Population_Tables!C31</f>
        <v>123536469606332.27</v>
      </c>
      <c r="C113" s="253">
        <f>(C165/Population_Tables!P31)*Population_Tables!D31</f>
        <v>23692484879161.902</v>
      </c>
      <c r="D113" s="253">
        <f>(D165/Population_Tables!Q31)*Population_Tables!E31</f>
        <v>48633250559084.109</v>
      </c>
      <c r="E113" s="253">
        <f>(E165/Population_Tables!R31)*Population_Tables!F31</f>
        <v>23274444299907.164</v>
      </c>
      <c r="F113" s="253">
        <f>(F165/Population_Tables!S31)*Population_Tables!G31</f>
        <v>0</v>
      </c>
      <c r="G113" s="253">
        <f>(G165/Population_Tables!T31)*Population_Tables!H31</f>
        <v>0</v>
      </c>
      <c r="H113" s="253">
        <f>(H165/Population_Tables!U31)*Population_Tables!I31</f>
        <v>0</v>
      </c>
      <c r="I113" s="253">
        <f>(I165/Population_Tables!V31)*Population_Tables!J31</f>
        <v>0</v>
      </c>
      <c r="J113" s="253">
        <f>(J165/Population_Tables!W31)*Population_Tables!K31</f>
        <v>0</v>
      </c>
      <c r="K113" s="253">
        <f>(K165/Population_Tables!X31)*Population_Tables!L31</f>
        <v>0</v>
      </c>
      <c r="L113" s="170"/>
      <c r="M113" s="170"/>
      <c r="N113" s="195">
        <f t="shared" si="9"/>
        <v>48633250559084.109</v>
      </c>
      <c r="O113" s="195">
        <f t="shared" si="10"/>
        <v>23274444299907.164</v>
      </c>
      <c r="P113" s="195">
        <f t="shared" si="11"/>
        <v>23692484879161.902</v>
      </c>
      <c r="Q113" s="195">
        <f t="shared" si="12"/>
        <v>95600179738153.188</v>
      </c>
      <c r="R113" s="196">
        <f t="shared" si="13"/>
        <v>0.50871505359393177</v>
      </c>
      <c r="S113" s="170"/>
      <c r="T113" s="170"/>
      <c r="U113" s="195">
        <f t="shared" si="18"/>
        <v>2532730154852.6406</v>
      </c>
      <c r="V113" s="195">
        <f t="shared" si="14"/>
        <v>1397925151682.7148</v>
      </c>
      <c r="W113" s="195">
        <f t="shared" si="14"/>
        <v>1204430425109.5977</v>
      </c>
      <c r="X113" s="195">
        <f t="shared" si="17"/>
        <v>5135085731644.9531</v>
      </c>
      <c r="Y113" s="207">
        <f t="shared" si="16"/>
        <v>0.49322061737834233</v>
      </c>
      <c r="AC113" s="251">
        <f t="shared" si="15"/>
        <v>1.3986354993411774</v>
      </c>
    </row>
    <row r="114" spans="1:29" ht="15.6" x14ac:dyDescent="0.3">
      <c r="A114" s="206">
        <v>2043</v>
      </c>
      <c r="B114" s="253">
        <f>(B166/Population_Tables!O32)*Population_Tables!C32</f>
        <v>126956826119701.66</v>
      </c>
      <c r="C114" s="253">
        <f>(C166/Population_Tables!P32)*Population_Tables!D32</f>
        <v>23951571452095.852</v>
      </c>
      <c r="D114" s="253">
        <f>(D166/Population_Tables!Q32)*Population_Tables!E32</f>
        <v>49953692354849.375</v>
      </c>
      <c r="E114" s="253">
        <f>(E166/Population_Tables!R32)*Population_Tables!F32</f>
        <v>23397098690361.852</v>
      </c>
      <c r="F114" s="253">
        <f>(F166/Population_Tables!S32)*Population_Tables!G32</f>
        <v>0</v>
      </c>
      <c r="G114" s="253">
        <f>(G166/Population_Tables!T32)*Population_Tables!H32</f>
        <v>0</v>
      </c>
      <c r="H114" s="253">
        <f>(H166/Population_Tables!U32)*Population_Tables!I32</f>
        <v>0</v>
      </c>
      <c r="I114" s="253">
        <f>(I166/Population_Tables!V32)*Population_Tables!J32</f>
        <v>0</v>
      </c>
      <c r="J114" s="253">
        <f>(J166/Population_Tables!W32)*Population_Tables!K32</f>
        <v>0</v>
      </c>
      <c r="K114" s="253">
        <f>(K166/Population_Tables!X32)*Population_Tables!L32</f>
        <v>0</v>
      </c>
      <c r="L114" s="170"/>
      <c r="M114" s="170"/>
      <c r="N114" s="195">
        <f t="shared" si="9"/>
        <v>49953692354849.375</v>
      </c>
      <c r="O114" s="195">
        <f t="shared" si="10"/>
        <v>23397098690361.852</v>
      </c>
      <c r="P114" s="195">
        <f t="shared" si="11"/>
        <v>23951571452095.852</v>
      </c>
      <c r="Q114" s="195">
        <f t="shared" si="12"/>
        <v>97302362497307.063</v>
      </c>
      <c r="R114" s="196">
        <f t="shared" si="13"/>
        <v>0.51338622282919277</v>
      </c>
      <c r="S114" s="170"/>
      <c r="T114" s="170"/>
      <c r="U114" s="195">
        <f t="shared" si="18"/>
        <v>2750722499026.2891</v>
      </c>
      <c r="V114" s="195">
        <f t="shared" si="14"/>
        <v>1478924557507.7695</v>
      </c>
      <c r="W114" s="195">
        <f t="shared" si="14"/>
        <v>1279873289174.8398</v>
      </c>
      <c r="X114" s="195">
        <f t="shared" si="17"/>
        <v>5509520345708.8984</v>
      </c>
      <c r="Y114" s="207">
        <f t="shared" si="16"/>
        <v>0.49926714603544303</v>
      </c>
      <c r="AC114" s="251">
        <f t="shared" si="15"/>
        <v>1.4091464103349909</v>
      </c>
    </row>
    <row r="115" spans="1:29" ht="15.6" x14ac:dyDescent="0.3">
      <c r="A115" s="206">
        <v>2044</v>
      </c>
      <c r="B115" s="253">
        <f>(B167/Population_Tables!O33)*Population_Tables!C33</f>
        <v>130469799327699.78</v>
      </c>
      <c r="C115" s="253">
        <f>(C167/Population_Tables!P33)*Population_Tables!D33</f>
        <v>24212032466771.645</v>
      </c>
      <c r="D115" s="253">
        <f>(D167/Population_Tables!Q33)*Population_Tables!E33</f>
        <v>51269905099025.172</v>
      </c>
      <c r="E115" s="253">
        <f>(E167/Population_Tables!R33)*Population_Tables!F33</f>
        <v>23514251561704.824</v>
      </c>
      <c r="F115" s="253">
        <f>(F167/Population_Tables!S33)*Population_Tables!G33</f>
        <v>0</v>
      </c>
      <c r="G115" s="253">
        <f>(G167/Population_Tables!T33)*Population_Tables!H33</f>
        <v>0</v>
      </c>
      <c r="H115" s="253">
        <f>(H167/Population_Tables!U33)*Population_Tables!I33</f>
        <v>0</v>
      </c>
      <c r="I115" s="253">
        <f>(I167/Population_Tables!V33)*Population_Tables!J33</f>
        <v>0</v>
      </c>
      <c r="J115" s="253">
        <f>(J167/Population_Tables!W33)*Population_Tables!K33</f>
        <v>0</v>
      </c>
      <c r="K115" s="253">
        <f>(K167/Population_Tables!X33)*Population_Tables!L33</f>
        <v>0</v>
      </c>
      <c r="L115" s="170"/>
      <c r="M115" s="170"/>
      <c r="N115" s="195">
        <f t="shared" si="9"/>
        <v>51269905099025.172</v>
      </c>
      <c r="O115" s="195">
        <f t="shared" si="10"/>
        <v>23514251561704.824</v>
      </c>
      <c r="P115" s="195">
        <f t="shared" si="11"/>
        <v>24212032466771.645</v>
      </c>
      <c r="Q115" s="195">
        <f t="shared" si="12"/>
        <v>98996189127501.641</v>
      </c>
      <c r="R115" s="196">
        <f t="shared" si="13"/>
        <v>0.51789776506439411</v>
      </c>
      <c r="S115" s="170"/>
      <c r="T115" s="170"/>
      <c r="U115" s="195">
        <f t="shared" si="18"/>
        <v>2979344608860.4844</v>
      </c>
      <c r="V115" s="195">
        <f t="shared" si="14"/>
        <v>1561726414396.9727</v>
      </c>
      <c r="W115" s="195">
        <f t="shared" si="14"/>
        <v>1356990781563.5273</v>
      </c>
      <c r="X115" s="195">
        <f t="shared" si="17"/>
        <v>5898061804820.9844</v>
      </c>
      <c r="Y115" s="207">
        <f t="shared" si="16"/>
        <v>0.50513960474697195</v>
      </c>
      <c r="AC115" s="251">
        <f t="shared" si="15"/>
        <v>1.4204851878103393</v>
      </c>
    </row>
    <row r="116" spans="1:29" ht="15.6" x14ac:dyDescent="0.3">
      <c r="A116" s="206">
        <v>2045</v>
      </c>
      <c r="B116" s="253">
        <f>(B168/Population_Tables!O34)*Population_Tables!C34</f>
        <v>134246708707521.55</v>
      </c>
      <c r="C116" s="253">
        <f>(C168/Population_Tables!P34)*Population_Tables!D34</f>
        <v>24409211002894.484</v>
      </c>
      <c r="D116" s="253">
        <f>(D168/Population_Tables!Q34)*Population_Tables!E34</f>
        <v>52566695760536.82</v>
      </c>
      <c r="E116" s="253">
        <f>(E168/Population_Tables!R34)*Population_Tables!F34</f>
        <v>23657659519200.531</v>
      </c>
      <c r="F116" s="253">
        <f>(F168/Population_Tables!S34)*Population_Tables!G34</f>
        <v>0</v>
      </c>
      <c r="G116" s="253">
        <f>(G168/Population_Tables!T34)*Population_Tables!H34</f>
        <v>0</v>
      </c>
      <c r="H116" s="253">
        <f>(H168/Population_Tables!U34)*Population_Tables!I34</f>
        <v>0</v>
      </c>
      <c r="I116" s="253">
        <f>(I168/Population_Tables!V34)*Population_Tables!J34</f>
        <v>0</v>
      </c>
      <c r="J116" s="253">
        <f>(J168/Population_Tables!W34)*Population_Tables!K34</f>
        <v>0</v>
      </c>
      <c r="K116" s="253">
        <f>(K168/Population_Tables!X34)*Population_Tables!L34</f>
        <v>0</v>
      </c>
      <c r="L116" s="170"/>
      <c r="M116" s="170"/>
      <c r="N116" s="195">
        <f t="shared" si="9"/>
        <v>52566695760536.82</v>
      </c>
      <c r="O116" s="195">
        <f t="shared" si="10"/>
        <v>23657659519200.531</v>
      </c>
      <c r="P116" s="195">
        <f t="shared" si="11"/>
        <v>24409211002894.484</v>
      </c>
      <c r="Q116" s="195">
        <f t="shared" si="12"/>
        <v>100633566282631.84</v>
      </c>
      <c r="R116" s="196">
        <f t="shared" si="13"/>
        <v>0.52235747675782418</v>
      </c>
      <c r="S116" s="170"/>
      <c r="T116" s="170"/>
      <c r="U116" s="195">
        <f t="shared" si="18"/>
        <v>3218130481482.0625</v>
      </c>
      <c r="V116" s="195">
        <f t="shared" si="14"/>
        <v>1648868761630.2031</v>
      </c>
      <c r="W116" s="195">
        <f t="shared" si="14"/>
        <v>1432148587324.5234</v>
      </c>
      <c r="X116" s="195">
        <f t="shared" si="17"/>
        <v>6299147830436.7891</v>
      </c>
      <c r="Y116" s="207">
        <f t="shared" si="16"/>
        <v>0.51088346679727215</v>
      </c>
      <c r="AC116" s="251">
        <f t="shared" si="15"/>
        <v>1.4350699964426468</v>
      </c>
    </row>
    <row r="117" spans="1:29" ht="15.6" x14ac:dyDescent="0.3">
      <c r="A117" s="206">
        <v>2046</v>
      </c>
      <c r="B117" s="253">
        <f>(B169/Population_Tables!O35)*Population_Tables!C35</f>
        <v>137792616644922.92</v>
      </c>
      <c r="C117" s="253">
        <f>(C169/Population_Tables!P35)*Population_Tables!D35</f>
        <v>24737012860114.578</v>
      </c>
      <c r="D117" s="253">
        <f>(D169/Population_Tables!Q35)*Population_Tables!E35</f>
        <v>53881902156528.586</v>
      </c>
      <c r="E117" s="253">
        <f>(E169/Population_Tables!R35)*Population_Tables!F35</f>
        <v>23736725865493.383</v>
      </c>
      <c r="F117" s="253">
        <f>(F169/Population_Tables!S35)*Population_Tables!G35</f>
        <v>0</v>
      </c>
      <c r="G117" s="253">
        <f>(G169/Population_Tables!T35)*Population_Tables!H35</f>
        <v>0</v>
      </c>
      <c r="H117" s="253">
        <f>(H169/Population_Tables!U35)*Population_Tables!I35</f>
        <v>0</v>
      </c>
      <c r="I117" s="253">
        <f>(I169/Population_Tables!V35)*Population_Tables!J35</f>
        <v>0</v>
      </c>
      <c r="J117" s="253">
        <f>(J169/Population_Tables!W35)*Population_Tables!K35</f>
        <v>0</v>
      </c>
      <c r="K117" s="253">
        <f>(K169/Population_Tables!X35)*Population_Tables!L35</f>
        <v>0</v>
      </c>
      <c r="L117" s="170"/>
      <c r="M117" s="170"/>
      <c r="N117" s="195">
        <f t="shared" si="9"/>
        <v>53881902156528.586</v>
      </c>
      <c r="O117" s="195">
        <f t="shared" si="10"/>
        <v>23736725865493.383</v>
      </c>
      <c r="P117" s="195">
        <f t="shared" si="11"/>
        <v>24737012860114.578</v>
      </c>
      <c r="Q117" s="195">
        <f t="shared" si="12"/>
        <v>102355640882136.53</v>
      </c>
      <c r="R117" s="196">
        <f t="shared" si="13"/>
        <v>0.52641849234840021</v>
      </c>
      <c r="S117" s="170"/>
      <c r="T117" s="170"/>
      <c r="U117" s="195">
        <f t="shared" si="18"/>
        <v>3469780200433.1953</v>
      </c>
      <c r="V117" s="195">
        <f t="shared" si="14"/>
        <v>1734189181765.3633</v>
      </c>
      <c r="W117" s="195">
        <f t="shared" si="14"/>
        <v>1516851573247.4141</v>
      </c>
      <c r="X117" s="195">
        <f t="shared" si="17"/>
        <v>6720820955445.9727</v>
      </c>
      <c r="Y117" s="207">
        <f t="shared" si="16"/>
        <v>0.51627326831576803</v>
      </c>
      <c r="AC117" s="251">
        <f t="shared" si="15"/>
        <v>1.4458856989820208</v>
      </c>
    </row>
    <row r="118" spans="1:29" ht="15.6" x14ac:dyDescent="0.3">
      <c r="A118" s="206">
        <v>2047</v>
      </c>
      <c r="B118" s="253">
        <f>(B170/Population_Tables!O36)*Population_Tables!C36</f>
        <v>141611079760615.09</v>
      </c>
      <c r="C118" s="253">
        <f>(C170/Population_Tables!P36)*Population_Tables!D36</f>
        <v>25001516609285.742</v>
      </c>
      <c r="D118" s="253">
        <f>(D170/Population_Tables!Q36)*Population_Tables!E36</f>
        <v>55173659444339.992</v>
      </c>
      <c r="E118" s="253">
        <f>(E170/Population_Tables!R36)*Population_Tables!F36</f>
        <v>23844065695891.785</v>
      </c>
      <c r="F118" s="253">
        <f>(F170/Population_Tables!S36)*Population_Tables!G36</f>
        <v>0</v>
      </c>
      <c r="G118" s="253">
        <f>(G170/Population_Tables!T36)*Population_Tables!H36</f>
        <v>0</v>
      </c>
      <c r="H118" s="253">
        <f>(H170/Population_Tables!U36)*Population_Tables!I36</f>
        <v>0</v>
      </c>
      <c r="I118" s="253">
        <f>(I170/Population_Tables!V36)*Population_Tables!J36</f>
        <v>0</v>
      </c>
      <c r="J118" s="253">
        <f>(J170/Population_Tables!W36)*Population_Tables!K36</f>
        <v>0</v>
      </c>
      <c r="K118" s="253">
        <f>(K170/Population_Tables!X36)*Population_Tables!L36</f>
        <v>0</v>
      </c>
      <c r="L118" s="170"/>
      <c r="M118" s="170"/>
      <c r="N118" s="195">
        <f t="shared" si="9"/>
        <v>55173659444339.992</v>
      </c>
      <c r="O118" s="195">
        <f t="shared" si="10"/>
        <v>23844065695891.785</v>
      </c>
      <c r="P118" s="195">
        <f t="shared" si="11"/>
        <v>25001516609285.742</v>
      </c>
      <c r="Q118" s="195">
        <f t="shared" si="12"/>
        <v>104019241749517.52</v>
      </c>
      <c r="R118" s="196">
        <f t="shared" si="13"/>
        <v>0.5304178199760422</v>
      </c>
      <c r="S118" s="170"/>
      <c r="T118" s="170"/>
      <c r="U118" s="195">
        <f t="shared" si="18"/>
        <v>3732088332156.7266</v>
      </c>
      <c r="V118" s="195">
        <f t="shared" si="14"/>
        <v>1824257781177.2773</v>
      </c>
      <c r="W118" s="195">
        <f t="shared" si="14"/>
        <v>1599912684631.8086</v>
      </c>
      <c r="X118" s="195">
        <f t="shared" si="17"/>
        <v>7156258797965.8125</v>
      </c>
      <c r="Y118" s="207">
        <f t="shared" si="16"/>
        <v>0.52151388560983614</v>
      </c>
      <c r="AC118" s="251">
        <f t="shared" si="15"/>
        <v>1.4599454170838602</v>
      </c>
    </row>
    <row r="119" spans="1:29" ht="15.6" x14ac:dyDescent="0.3">
      <c r="A119" s="206">
        <v>2048</v>
      </c>
      <c r="B119" s="253">
        <f>(B171/Population_Tables!O37)*Population_Tables!C37</f>
        <v>145540614347461.31</v>
      </c>
      <c r="C119" s="253">
        <f>(C171/Population_Tables!P37)*Population_Tables!D37</f>
        <v>25267530682526.66</v>
      </c>
      <c r="D119" s="253">
        <f>(D171/Population_Tables!Q37)*Population_Tables!E37</f>
        <v>56453211688255.242</v>
      </c>
      <c r="E119" s="253">
        <f>(E171/Population_Tables!R37)*Population_Tables!F37</f>
        <v>23950267151409.453</v>
      </c>
      <c r="F119" s="253">
        <f>(F171/Population_Tables!S37)*Population_Tables!G37</f>
        <v>0</v>
      </c>
      <c r="G119" s="253">
        <f>(G171/Population_Tables!T37)*Population_Tables!H37</f>
        <v>0</v>
      </c>
      <c r="H119" s="253">
        <f>(H171/Population_Tables!U37)*Population_Tables!I37</f>
        <v>0</v>
      </c>
      <c r="I119" s="253">
        <f>(I171/Population_Tables!V37)*Population_Tables!J37</f>
        <v>0</v>
      </c>
      <c r="J119" s="253">
        <f>(J171/Population_Tables!W37)*Population_Tables!K37</f>
        <v>0</v>
      </c>
      <c r="K119" s="253">
        <f>(K171/Population_Tables!X37)*Population_Tables!L37</f>
        <v>0</v>
      </c>
      <c r="L119" s="170"/>
      <c r="M119" s="170"/>
      <c r="N119" s="195">
        <f t="shared" si="9"/>
        <v>56453211688255.242</v>
      </c>
      <c r="O119" s="195">
        <f t="shared" si="10"/>
        <v>23950267151409.453</v>
      </c>
      <c r="P119" s="195">
        <f t="shared" si="11"/>
        <v>25267530682526.66</v>
      </c>
      <c r="Q119" s="195">
        <f t="shared" si="12"/>
        <v>105671009522191.36</v>
      </c>
      <c r="R119" s="196">
        <f t="shared" si="13"/>
        <v>0.53423556700667107</v>
      </c>
      <c r="S119" s="170"/>
      <c r="T119" s="170"/>
      <c r="U119" s="195">
        <f t="shared" si="18"/>
        <v>4006093588236.5859</v>
      </c>
      <c r="V119" s="195">
        <f t="shared" si="14"/>
        <v>1917270557844.1211</v>
      </c>
      <c r="W119" s="195">
        <f t="shared" si="14"/>
        <v>1685451189837.9102</v>
      </c>
      <c r="X119" s="195">
        <f t="shared" si="17"/>
        <v>7608815335918.6172</v>
      </c>
      <c r="Y119" s="207">
        <f t="shared" si="16"/>
        <v>0.5265068754297646</v>
      </c>
      <c r="AC119" s="251">
        <f t="shared" si="15"/>
        <v>1.4749190594914068</v>
      </c>
    </row>
    <row r="120" spans="1:29" ht="15.6" x14ac:dyDescent="0.3">
      <c r="A120" s="206">
        <v>2049</v>
      </c>
      <c r="B120" s="253">
        <f>(B172/Population_Tables!O38)*Population_Tables!C38</f>
        <v>149586353085640.91</v>
      </c>
      <c r="C120" s="253">
        <f>(C172/Population_Tables!P38)*Population_Tables!D38</f>
        <v>25535286477554.773</v>
      </c>
      <c r="D120" s="253">
        <f>(D172/Population_Tables!Q38)*Population_Tables!E38</f>
        <v>57718530265956.328</v>
      </c>
      <c r="E120" s="253">
        <f>(E172/Population_Tables!R38)*Population_Tables!F38</f>
        <v>24056475482004.48</v>
      </c>
      <c r="F120" s="253">
        <f>(F172/Population_Tables!S38)*Population_Tables!G38</f>
        <v>0</v>
      </c>
      <c r="G120" s="253">
        <f>(G172/Population_Tables!T38)*Population_Tables!H38</f>
        <v>0</v>
      </c>
      <c r="H120" s="253">
        <f>(H172/Population_Tables!U38)*Population_Tables!I38</f>
        <v>0</v>
      </c>
      <c r="I120" s="253">
        <f>(I172/Population_Tables!V38)*Population_Tables!J38</f>
        <v>0</v>
      </c>
      <c r="J120" s="253">
        <f>(J172/Population_Tables!W38)*Population_Tables!K38</f>
        <v>0</v>
      </c>
      <c r="K120" s="253">
        <f>(K172/Population_Tables!X38)*Population_Tables!L38</f>
        <v>0</v>
      </c>
      <c r="L120" s="170"/>
      <c r="M120" s="170"/>
      <c r="N120" s="195">
        <f t="shared" si="9"/>
        <v>57718530265956.328</v>
      </c>
      <c r="O120" s="195">
        <f t="shared" si="10"/>
        <v>24056475482004.48</v>
      </c>
      <c r="P120" s="195">
        <f t="shared" si="11"/>
        <v>25535286477554.773</v>
      </c>
      <c r="Q120" s="195">
        <f t="shared" si="12"/>
        <v>107310292225515.58</v>
      </c>
      <c r="R120" s="196">
        <f t="shared" si="13"/>
        <v>0.5378657449246268</v>
      </c>
      <c r="S120" s="170"/>
      <c r="T120" s="170"/>
      <c r="U120" s="195">
        <f t="shared" si="18"/>
        <v>4292028184105.3672</v>
      </c>
      <c r="V120" s="195">
        <f t="shared" si="14"/>
        <v>2013567407213.9375</v>
      </c>
      <c r="W120" s="195">
        <f t="shared" si="14"/>
        <v>1773865207375.7422</v>
      </c>
      <c r="X120" s="195">
        <f t="shared" si="17"/>
        <v>8079460798695.0469</v>
      </c>
      <c r="Y120" s="207">
        <f t="shared" si="16"/>
        <v>0.53122705723116992</v>
      </c>
      <c r="AC120" s="251">
        <f t="shared" si="15"/>
        <v>1.4908070127794473</v>
      </c>
    </row>
    <row r="121" spans="1:29" ht="16.2" thickBot="1" x14ac:dyDescent="0.35">
      <c r="A121" s="208">
        <v>2050</v>
      </c>
      <c r="B121" s="253">
        <f>(B173/Population_Tables!O39)*Population_Tables!C39</f>
        <v>153722890934586.19</v>
      </c>
      <c r="C121" s="253">
        <f>(C173/Population_Tables!P39)*Population_Tables!D39</f>
        <v>25739123739581.504</v>
      </c>
      <c r="D121" s="253">
        <f>(D173/Population_Tables!Q39)*Population_Tables!E39</f>
        <v>58988255544307.68</v>
      </c>
      <c r="E121" s="253">
        <f>(E173/Population_Tables!R39)*Population_Tables!F39</f>
        <v>24195112209900.184</v>
      </c>
      <c r="F121" s="253">
        <f>(F173/Population_Tables!S39)*Population_Tables!G39</f>
        <v>0</v>
      </c>
      <c r="G121" s="253">
        <f>(G173/Population_Tables!T39)*Population_Tables!H39</f>
        <v>0</v>
      </c>
      <c r="H121" s="253">
        <f>(H173/Population_Tables!U39)*Population_Tables!I39</f>
        <v>0</v>
      </c>
      <c r="I121" s="253">
        <f>(I173/Population_Tables!V39)*Population_Tables!J39</f>
        <v>0</v>
      </c>
      <c r="J121" s="253">
        <f>(J173/Population_Tables!W39)*Population_Tables!K39</f>
        <v>0</v>
      </c>
      <c r="K121" s="253">
        <f>(K173/Population_Tables!X39)*Population_Tables!L39</f>
        <v>0</v>
      </c>
      <c r="L121" s="209"/>
      <c r="M121" s="209"/>
      <c r="N121" s="195">
        <f t="shared" si="9"/>
        <v>58988255544307.68</v>
      </c>
      <c r="O121" s="195">
        <f t="shared" si="10"/>
        <v>24195112209900.184</v>
      </c>
      <c r="P121" s="195">
        <f t="shared" si="11"/>
        <v>25739123739581.504</v>
      </c>
      <c r="Q121" s="195">
        <f t="shared" si="12"/>
        <v>108922491493789.38</v>
      </c>
      <c r="R121" s="210">
        <f t="shared" si="13"/>
        <v>0.54156175400808859</v>
      </c>
      <c r="S121" s="209"/>
      <c r="T121" s="209"/>
      <c r="U121" s="211">
        <f t="shared" si="18"/>
        <v>4591664872418.625</v>
      </c>
      <c r="V121" s="195">
        <f t="shared" si="14"/>
        <v>2116173347160.6836</v>
      </c>
      <c r="W121" s="211">
        <f t="shared" si="14"/>
        <v>1860740700693.0273</v>
      </c>
      <c r="X121" s="195">
        <f t="shared" si="17"/>
        <v>8568578920272.3359</v>
      </c>
      <c r="Y121" s="212">
        <f t="shared" si="16"/>
        <v>0.53587239087630267</v>
      </c>
      <c r="AC121" s="251">
        <f t="shared" si="15"/>
        <v>1.5073809264350648</v>
      </c>
    </row>
    <row r="122" spans="1:29" ht="15.6" x14ac:dyDescent="0.3">
      <c r="A122" s="213">
        <v>2051</v>
      </c>
      <c r="B122" s="253">
        <f>(B174/Population_Tables!O40)*Population_Tables!C40</f>
        <v>158046188066355.72</v>
      </c>
      <c r="C122" s="253">
        <f>(C174/Population_Tables!P40)*Population_Tables!D40</f>
        <v>26076586700308.379</v>
      </c>
      <c r="D122" s="253">
        <f>(D174/Population_Tables!Q40)*Population_Tables!E40</f>
        <v>60197990452801.141</v>
      </c>
      <c r="E122" s="253">
        <f>(E174/Population_Tables!R40)*Population_Tables!F40</f>
        <v>24273205000684.359</v>
      </c>
      <c r="F122" s="253">
        <f>(F174/Population_Tables!S40)*Population_Tables!G40</f>
        <v>0</v>
      </c>
      <c r="G122" s="253">
        <f>(G174/Population_Tables!T40)*Population_Tables!H40</f>
        <v>0</v>
      </c>
      <c r="H122" s="253">
        <f>(H174/Population_Tables!U40)*Population_Tables!I40</f>
        <v>0</v>
      </c>
      <c r="I122" s="253">
        <f>(I174/Population_Tables!V40)*Population_Tables!J40</f>
        <v>0</v>
      </c>
      <c r="J122" s="253">
        <f>(J174/Population_Tables!W40)*Population_Tables!K40</f>
        <v>0</v>
      </c>
      <c r="K122" s="253">
        <f>(K174/Population_Tables!X40)*Population_Tables!L40</f>
        <v>0</v>
      </c>
      <c r="N122" s="195">
        <f t="shared" si="9"/>
        <v>60197990452801.141</v>
      </c>
      <c r="O122" s="195">
        <f t="shared" si="10"/>
        <v>24273205000684.359</v>
      </c>
      <c r="P122" s="195">
        <f t="shared" si="11"/>
        <v>26076586700308.379</v>
      </c>
      <c r="Q122" s="195">
        <f t="shared" si="12"/>
        <v>110547782153793.88</v>
      </c>
      <c r="R122" s="214">
        <f t="shared" si="13"/>
        <v>0.54454272424076133</v>
      </c>
      <c r="U122" s="215">
        <f t="shared" si="18"/>
        <v>4900252776297.3125</v>
      </c>
      <c r="V122" s="195">
        <f t="shared" si="14"/>
        <v>2217084138280.0703</v>
      </c>
      <c r="W122" s="215">
        <f t="shared" si="14"/>
        <v>1960550129952.7383</v>
      </c>
      <c r="X122" s="195">
        <f t="shared" si="17"/>
        <v>9077887044530.1211</v>
      </c>
      <c r="Y122" s="214">
        <f t="shared" si="16"/>
        <v>0.5398010299379038</v>
      </c>
      <c r="AC122" s="251">
        <f t="shared" si="15"/>
        <v>1.5253212921827275</v>
      </c>
    </row>
    <row r="123" spans="1:29" ht="15.6" x14ac:dyDescent="0.3">
      <c r="A123" s="194">
        <v>2052</v>
      </c>
      <c r="B123" s="253">
        <f>(B175/Population_Tables!O41)*Population_Tables!C41</f>
        <v>162469447007241.13</v>
      </c>
      <c r="C123" s="253">
        <f>(C175/Population_Tables!P41)*Population_Tables!D41</f>
        <v>26350135449450.445</v>
      </c>
      <c r="D123" s="253">
        <f>(D175/Population_Tables!Q41)*Population_Tables!E41</f>
        <v>61407687141325.086</v>
      </c>
      <c r="E123" s="253">
        <f>(E175/Population_Tables!R41)*Population_Tables!F41</f>
        <v>24385681315098.176</v>
      </c>
      <c r="F123" s="253">
        <f>(F175/Population_Tables!S41)*Population_Tables!G41</f>
        <v>0</v>
      </c>
      <c r="G123" s="253">
        <f>(G175/Population_Tables!T41)*Population_Tables!H41</f>
        <v>0</v>
      </c>
      <c r="H123" s="253">
        <f>(H175/Population_Tables!U41)*Population_Tables!I41</f>
        <v>0</v>
      </c>
      <c r="I123" s="253">
        <f>(I175/Population_Tables!V41)*Population_Tables!J41</f>
        <v>0</v>
      </c>
      <c r="J123" s="253">
        <f>(J175/Population_Tables!W41)*Population_Tables!K41</f>
        <v>0</v>
      </c>
      <c r="K123" s="253">
        <f>(K175/Population_Tables!X41)*Population_Tables!L41</f>
        <v>0</v>
      </c>
      <c r="N123" s="195">
        <f t="shared" si="9"/>
        <v>61407687141325.086</v>
      </c>
      <c r="O123" s="195">
        <f t="shared" si="10"/>
        <v>24385681315098.176</v>
      </c>
      <c r="P123" s="195">
        <f t="shared" si="11"/>
        <v>26350135449450.445</v>
      </c>
      <c r="Q123" s="195">
        <f t="shared" si="12"/>
        <v>112143503905873.7</v>
      </c>
      <c r="R123" s="196">
        <f t="shared" si="13"/>
        <v>0.54758131325080484</v>
      </c>
      <c r="U123" s="195">
        <f t="shared" si="18"/>
        <v>5222619527501.9375</v>
      </c>
      <c r="V123" s="195">
        <f t="shared" si="14"/>
        <v>2324648437285.25</v>
      </c>
      <c r="W123" s="195">
        <f t="shared" si="14"/>
        <v>2059158797993.6445</v>
      </c>
      <c r="X123" s="195">
        <f t="shared" si="17"/>
        <v>9606426762780.832</v>
      </c>
      <c r="Y123" s="196">
        <f t="shared" si="16"/>
        <v>0.54365891256637378</v>
      </c>
      <c r="AC123" s="251">
        <f t="shared" si="15"/>
        <v>1.5439382053119124</v>
      </c>
    </row>
    <row r="124" spans="1:29" ht="15.6" x14ac:dyDescent="0.3">
      <c r="A124" s="194">
        <v>2053</v>
      </c>
      <c r="B124" s="253">
        <f>(B176/Population_Tables!O42)*Population_Tables!C42</f>
        <v>167027083371703.5</v>
      </c>
      <c r="C124" s="253">
        <f>(C176/Population_Tables!P42)*Population_Tables!D42</f>
        <v>26625703914684.309</v>
      </c>
      <c r="D124" s="253">
        <f>(D176/Population_Tables!Q42)*Population_Tables!E42</f>
        <v>62594281146418.266</v>
      </c>
      <c r="E124" s="253">
        <f>(E176/Population_Tables!R42)*Population_Tables!F42</f>
        <v>24502092592560.238</v>
      </c>
      <c r="F124" s="253">
        <f>(F176/Population_Tables!S42)*Population_Tables!G42</f>
        <v>0</v>
      </c>
      <c r="G124" s="253">
        <f>(G176/Population_Tables!T42)*Population_Tables!H42</f>
        <v>0</v>
      </c>
      <c r="H124" s="253">
        <f>(H176/Population_Tables!U42)*Population_Tables!I42</f>
        <v>0</v>
      </c>
      <c r="I124" s="253">
        <f>(I176/Population_Tables!V42)*Population_Tables!J42</f>
        <v>0</v>
      </c>
      <c r="J124" s="253">
        <f>(J176/Population_Tables!W42)*Population_Tables!K42</f>
        <v>0</v>
      </c>
      <c r="K124" s="253">
        <f>(K176/Population_Tables!X42)*Population_Tables!L42</f>
        <v>0</v>
      </c>
      <c r="N124" s="195">
        <f t="shared" si="9"/>
        <v>62594281146418.266</v>
      </c>
      <c r="O124" s="195">
        <f t="shared" si="10"/>
        <v>24502092592560.238</v>
      </c>
      <c r="P124" s="195">
        <f t="shared" si="11"/>
        <v>26625703914684.309</v>
      </c>
      <c r="Q124" s="195">
        <f t="shared" si="12"/>
        <v>113722077653662.81</v>
      </c>
      <c r="R124" s="196">
        <f t="shared" si="13"/>
        <v>0.55041450559008676</v>
      </c>
      <c r="U124" s="195">
        <f t="shared" si="18"/>
        <v>5557089952281.3438</v>
      </c>
      <c r="V124" s="195">
        <f t="shared" si="14"/>
        <v>2436203478924.0977</v>
      </c>
      <c r="W124" s="195">
        <f t="shared" si="14"/>
        <v>2161587855841.2305</v>
      </c>
      <c r="X124" s="195">
        <f t="shared" si="17"/>
        <v>10154881287046.672</v>
      </c>
      <c r="Y124" s="196">
        <f t="shared" si="16"/>
        <v>0.54723337429555552</v>
      </c>
      <c r="AC124" s="251">
        <f t="shared" si="15"/>
        <v>1.5634220030733077</v>
      </c>
    </row>
    <row r="125" spans="1:29" ht="15.6" x14ac:dyDescent="0.3">
      <c r="A125" s="194">
        <v>2054</v>
      </c>
      <c r="B125" s="253">
        <f>(B177/Population_Tables!O43)*Population_Tables!C43</f>
        <v>171722775527089.44</v>
      </c>
      <c r="C125" s="253">
        <f>(C177/Population_Tables!P43)*Population_Tables!D43</f>
        <v>26903383325055.57</v>
      </c>
      <c r="D125" s="253">
        <f>(D177/Population_Tables!Q43)*Population_Tables!E43</f>
        <v>63755378573942.141</v>
      </c>
      <c r="E125" s="253">
        <f>(E177/Population_Tables!R43)*Population_Tables!F43</f>
        <v>24623270724325.82</v>
      </c>
      <c r="F125" s="253">
        <f>(F177/Population_Tables!S43)*Population_Tables!G43</f>
        <v>0</v>
      </c>
      <c r="G125" s="253">
        <f>(G177/Population_Tables!T43)*Population_Tables!H43</f>
        <v>0</v>
      </c>
      <c r="H125" s="253">
        <f>(H177/Population_Tables!U43)*Population_Tables!I43</f>
        <v>0</v>
      </c>
      <c r="I125" s="253">
        <f>(I177/Population_Tables!V43)*Population_Tables!J43</f>
        <v>0</v>
      </c>
      <c r="J125" s="253">
        <f>(J177/Population_Tables!W43)*Population_Tables!K43</f>
        <v>0</v>
      </c>
      <c r="K125" s="253">
        <f>(K177/Population_Tables!X43)*Population_Tables!L43</f>
        <v>0</v>
      </c>
      <c r="N125" s="195">
        <f t="shared" si="9"/>
        <v>63755378573942.141</v>
      </c>
      <c r="O125" s="195">
        <f t="shared" si="10"/>
        <v>24623270724325.82</v>
      </c>
      <c r="P125" s="195">
        <f t="shared" si="11"/>
        <v>26903383325055.57</v>
      </c>
      <c r="Q125" s="195">
        <f t="shared" si="12"/>
        <v>115282032623323.53</v>
      </c>
      <c r="R125" s="196">
        <f t="shared" si="13"/>
        <v>0.55303829333282706</v>
      </c>
      <c r="U125" s="195">
        <f t="shared" si="18"/>
        <v>5903530994247.6172</v>
      </c>
      <c r="V125" s="195">
        <f t="shared" si="14"/>
        <v>2551775799941.8438</v>
      </c>
      <c r="W125" s="195">
        <f t="shared" si="14"/>
        <v>2268095253333.6797</v>
      </c>
      <c r="X125" s="195">
        <f t="shared" si="17"/>
        <v>10723402047523.141</v>
      </c>
      <c r="Y125" s="196">
        <f t="shared" si="16"/>
        <v>0.5505278052697089</v>
      </c>
      <c r="AC125" s="251">
        <f t="shared" si="15"/>
        <v>1.583728761609229</v>
      </c>
    </row>
    <row r="126" spans="1:29" ht="15.6" x14ac:dyDescent="0.3">
      <c r="A126" s="194">
        <v>2055</v>
      </c>
      <c r="B126" s="253">
        <f>(B178/Population_Tables!O44)*Population_Tables!C44</f>
        <v>176560289430440.19</v>
      </c>
      <c r="C126" s="253">
        <f>(C178/Population_Tables!P44)*Population_Tables!D44</f>
        <v>27131777052377.27</v>
      </c>
      <c r="D126" s="253">
        <f>(D178/Population_Tables!Q44)*Population_Tables!E44</f>
        <v>65002369929261.805</v>
      </c>
      <c r="E126" s="253">
        <f>(E178/Population_Tables!R44)*Population_Tables!F44</f>
        <v>24809197531865.301</v>
      </c>
      <c r="F126" s="253">
        <f>(F178/Population_Tables!S44)*Population_Tables!G44</f>
        <v>0</v>
      </c>
      <c r="G126" s="253">
        <f>(G178/Population_Tables!T44)*Population_Tables!H44</f>
        <v>0</v>
      </c>
      <c r="H126" s="253">
        <f>(H178/Population_Tables!U44)*Population_Tables!I44</f>
        <v>0</v>
      </c>
      <c r="I126" s="253">
        <f>(I178/Population_Tables!V44)*Population_Tables!J44</f>
        <v>0</v>
      </c>
      <c r="J126" s="253">
        <f>(J178/Population_Tables!W44)*Population_Tables!K44</f>
        <v>0</v>
      </c>
      <c r="K126" s="253">
        <f>(K178/Population_Tables!X44)*Population_Tables!L44</f>
        <v>0</v>
      </c>
      <c r="N126" s="195">
        <f t="shared" si="9"/>
        <v>65002369929261.805</v>
      </c>
      <c r="O126" s="195">
        <f t="shared" si="10"/>
        <v>24809197531865.301</v>
      </c>
      <c r="P126" s="195">
        <f t="shared" si="11"/>
        <v>27131777052377.27</v>
      </c>
      <c r="Q126" s="195">
        <f t="shared" si="12"/>
        <v>116943344513504.38</v>
      </c>
      <c r="R126" s="196">
        <f t="shared" si="13"/>
        <v>0.55584497091029805</v>
      </c>
      <c r="U126" s="195">
        <f t="shared" si="18"/>
        <v>6272711667317.75</v>
      </c>
      <c r="V126" s="195">
        <f t="shared" si="14"/>
        <v>2677790196926.2461</v>
      </c>
      <c r="W126" s="195">
        <f t="shared" si="14"/>
        <v>2374389841915.1328</v>
      </c>
      <c r="X126" s="195">
        <f t="shared" si="17"/>
        <v>11324891706159.129</v>
      </c>
      <c r="Y126" s="196">
        <f t="shared" si="16"/>
        <v>0.55388712140234309</v>
      </c>
      <c r="AC126" s="251">
        <f t="shared" si="15"/>
        <v>1.6030075090377631</v>
      </c>
    </row>
    <row r="127" spans="1:29" ht="15.6" x14ac:dyDescent="0.3">
      <c r="A127" s="194">
        <v>2056</v>
      </c>
      <c r="B127" s="253">
        <f>(B179/Population_Tables!O45)*Population_Tables!C45</f>
        <v>181544071445153.88</v>
      </c>
      <c r="C127" s="253">
        <f>(C179/Population_Tables!P45)*Population_Tables!D45</f>
        <v>27465184045779.941</v>
      </c>
      <c r="D127" s="253">
        <f>(D179/Population_Tables!Q45)*Population_Tables!E45</f>
        <v>65991096576816.781</v>
      </c>
      <c r="E127" s="253">
        <f>(E179/Population_Tables!R45)*Population_Tables!F45</f>
        <v>24883439924289.438</v>
      </c>
      <c r="F127" s="253">
        <f>(F179/Population_Tables!S45)*Population_Tables!G45</f>
        <v>0</v>
      </c>
      <c r="G127" s="253">
        <f>(G179/Population_Tables!T45)*Population_Tables!H45</f>
        <v>0</v>
      </c>
      <c r="H127" s="253">
        <f>(H179/Population_Tables!U45)*Population_Tables!I45</f>
        <v>0</v>
      </c>
      <c r="I127" s="253">
        <f>(I179/Population_Tables!V45)*Population_Tables!J45</f>
        <v>0</v>
      </c>
      <c r="J127" s="253">
        <f>(J179/Population_Tables!W45)*Population_Tables!K45</f>
        <v>0</v>
      </c>
      <c r="K127" s="253">
        <f>(K179/Population_Tables!X45)*Population_Tables!L45</f>
        <v>0</v>
      </c>
      <c r="N127" s="195">
        <f t="shared" si="9"/>
        <v>65991096576816.781</v>
      </c>
      <c r="O127" s="195">
        <f t="shared" si="10"/>
        <v>24883439924289.438</v>
      </c>
      <c r="P127" s="195">
        <f t="shared" si="11"/>
        <v>27465184045779.941</v>
      </c>
      <c r="Q127" s="195">
        <f t="shared" si="12"/>
        <v>118339720546886.16</v>
      </c>
      <c r="R127" s="196">
        <f t="shared" si="13"/>
        <v>0.55764113918683056</v>
      </c>
      <c r="U127" s="195">
        <f t="shared" si="18"/>
        <v>6631381161278.0469</v>
      </c>
      <c r="V127" s="195">
        <f t="shared" si="14"/>
        <v>2795263235595.7383</v>
      </c>
      <c r="W127" s="195">
        <f t="shared" si="14"/>
        <v>2494121014993.1641</v>
      </c>
      <c r="X127" s="195">
        <f t="shared" si="17"/>
        <v>11920765411866.949</v>
      </c>
      <c r="Y127" s="196">
        <f t="shared" si="16"/>
        <v>0.55628820232269671</v>
      </c>
      <c r="AC127" s="251">
        <f t="shared" si="15"/>
        <v>1.6267426026941387</v>
      </c>
    </row>
    <row r="128" spans="1:29" ht="15.6" x14ac:dyDescent="0.3">
      <c r="A128" s="194">
        <v>2057</v>
      </c>
      <c r="B128" s="253">
        <f>(B180/Population_Tables!O46)*Population_Tables!C46</f>
        <v>186678531389800.91</v>
      </c>
      <c r="C128" s="253">
        <f>(C180/Population_Tables!P46)*Population_Tables!D46</f>
        <v>27749164647937.746</v>
      </c>
      <c r="D128" s="253">
        <f>(D180/Population_Tables!Q46)*Population_Tables!E46</f>
        <v>67060522694663.719</v>
      </c>
      <c r="E128" s="253">
        <f>(E180/Population_Tables!R46)*Population_Tables!F46</f>
        <v>25024341305580.699</v>
      </c>
      <c r="F128" s="253">
        <f>(F180/Population_Tables!S46)*Population_Tables!G46</f>
        <v>0</v>
      </c>
      <c r="G128" s="253">
        <f>(G180/Population_Tables!T46)*Population_Tables!H46</f>
        <v>0</v>
      </c>
      <c r="H128" s="253">
        <f>(H180/Population_Tables!U46)*Population_Tables!I46</f>
        <v>0</v>
      </c>
      <c r="I128" s="253">
        <f>(I180/Population_Tables!V46)*Population_Tables!J46</f>
        <v>0</v>
      </c>
      <c r="J128" s="253">
        <f>(J180/Population_Tables!W46)*Population_Tables!K46</f>
        <v>0</v>
      </c>
      <c r="K128" s="253">
        <f>(K180/Population_Tables!X46)*Population_Tables!L46</f>
        <v>0</v>
      </c>
      <c r="N128" s="195">
        <f t="shared" si="9"/>
        <v>67060522694663.719</v>
      </c>
      <c r="O128" s="195">
        <f t="shared" si="10"/>
        <v>25024341305580.699</v>
      </c>
      <c r="P128" s="195">
        <f t="shared" si="11"/>
        <v>27749164647937.746</v>
      </c>
      <c r="Q128" s="195">
        <f t="shared" si="12"/>
        <v>119834028648182.17</v>
      </c>
      <c r="R128" s="196">
        <f t="shared" si="13"/>
        <v>0.55961168502099756</v>
      </c>
      <c r="U128" s="195">
        <f t="shared" si="18"/>
        <v>7012117504339.5938</v>
      </c>
      <c r="V128" s="195">
        <f t="shared" si="14"/>
        <v>2923477954305.0156</v>
      </c>
      <c r="W128" s="195">
        <f t="shared" si="14"/>
        <v>2613832112550.0664</v>
      </c>
      <c r="X128" s="195">
        <f t="shared" si="17"/>
        <v>12549427571194.676</v>
      </c>
      <c r="Y128" s="196">
        <f t="shared" si="16"/>
        <v>0.55875994857604938</v>
      </c>
      <c r="AC128" s="251">
        <f t="shared" si="15"/>
        <v>1.6494793365857887</v>
      </c>
    </row>
    <row r="129" spans="1:29" ht="15.6" x14ac:dyDescent="0.3">
      <c r="A129" s="194">
        <v>2058</v>
      </c>
      <c r="B129" s="253">
        <f>(B181/Population_Tables!O47)*Population_Tables!C47</f>
        <v>191967209778806.09</v>
      </c>
      <c r="C129" s="253">
        <f>(C181/Population_Tables!P47)*Population_Tables!D47</f>
        <v>28034933347450.859</v>
      </c>
      <c r="D129" s="253">
        <f>(D181/Population_Tables!Q47)*Population_Tables!E47</f>
        <v>68093814106845.531</v>
      </c>
      <c r="E129" s="253">
        <f>(E181/Population_Tables!R47)*Population_Tables!F47</f>
        <v>25173545664486.602</v>
      </c>
      <c r="F129" s="253">
        <f>(F181/Population_Tables!S47)*Population_Tables!G47</f>
        <v>0</v>
      </c>
      <c r="G129" s="253">
        <f>(G181/Population_Tables!T47)*Population_Tables!H47</f>
        <v>0</v>
      </c>
      <c r="H129" s="253">
        <f>(H181/Population_Tables!U47)*Population_Tables!I47</f>
        <v>0</v>
      </c>
      <c r="I129" s="253">
        <f>(I181/Population_Tables!V47)*Population_Tables!J47</f>
        <v>0</v>
      </c>
      <c r="J129" s="253">
        <f>(J181/Population_Tables!W47)*Population_Tables!K47</f>
        <v>0</v>
      </c>
      <c r="K129" s="253">
        <f>(K181/Population_Tables!X47)*Population_Tables!L47</f>
        <v>0</v>
      </c>
      <c r="N129" s="195">
        <f t="shared" si="9"/>
        <v>68093814106845.531</v>
      </c>
      <c r="O129" s="195">
        <f t="shared" si="10"/>
        <v>25173545664486.602</v>
      </c>
      <c r="P129" s="195">
        <f t="shared" si="11"/>
        <v>28034933347450.859</v>
      </c>
      <c r="Q129" s="195">
        <f t="shared" si="12"/>
        <v>121302293118783</v>
      </c>
      <c r="R129" s="196">
        <f t="shared" si="13"/>
        <v>0.56135636314942483</v>
      </c>
      <c r="U129" s="195">
        <f t="shared" si="18"/>
        <v>7403229687494.6563</v>
      </c>
      <c r="V129" s="195">
        <f t="shared" si="14"/>
        <v>3056024657664.1211</v>
      </c>
      <c r="W129" s="195">
        <f t="shared" si="14"/>
        <v>2737965585140.0898</v>
      </c>
      <c r="X129" s="195">
        <f t="shared" si="17"/>
        <v>13197219930298.867</v>
      </c>
      <c r="Y129" s="196">
        <f t="shared" si="16"/>
        <v>0.56096888030924863</v>
      </c>
      <c r="AC129" s="251">
        <f t="shared" si="15"/>
        <v>1.6730546360384972</v>
      </c>
    </row>
    <row r="130" spans="1:29" ht="15.6" x14ac:dyDescent="0.3">
      <c r="A130" s="194">
        <v>2059</v>
      </c>
      <c r="B130" s="253">
        <f>(B182/Population_Tables!O48)*Population_Tables!C48</f>
        <v>197413336788916.94</v>
      </c>
      <c r="C130" s="253">
        <f>(C182/Population_Tables!P48)*Population_Tables!D48</f>
        <v>28322182367129.297</v>
      </c>
      <c r="D130" s="253">
        <f>(D182/Population_Tables!Q48)*Population_Tables!E48</f>
        <v>69087846515431.852</v>
      </c>
      <c r="E130" s="253">
        <f>(E182/Population_Tables!R48)*Population_Tables!F48</f>
        <v>25331779760840.887</v>
      </c>
      <c r="F130" s="253">
        <f>(F182/Population_Tables!S48)*Population_Tables!G48</f>
        <v>0</v>
      </c>
      <c r="G130" s="253">
        <f>(G182/Population_Tables!T48)*Population_Tables!H48</f>
        <v>0</v>
      </c>
      <c r="H130" s="253">
        <f>(H182/Population_Tables!U48)*Population_Tables!I48</f>
        <v>0</v>
      </c>
      <c r="I130" s="253">
        <f>(I182/Population_Tables!V48)*Population_Tables!J48</f>
        <v>0</v>
      </c>
      <c r="J130" s="253">
        <f>(J182/Population_Tables!W48)*Population_Tables!K48</f>
        <v>0</v>
      </c>
      <c r="K130" s="253">
        <f>(K182/Population_Tables!X48)*Population_Tables!L48</f>
        <v>0</v>
      </c>
      <c r="N130" s="195">
        <f t="shared" si="9"/>
        <v>69087846515431.852</v>
      </c>
      <c r="O130" s="195">
        <f t="shared" si="10"/>
        <v>25331779760840.887</v>
      </c>
      <c r="P130" s="195">
        <f t="shared" si="11"/>
        <v>28322182367129.297</v>
      </c>
      <c r="Q130" s="195">
        <f t="shared" si="12"/>
        <v>122741808643402.05</v>
      </c>
      <c r="R130" s="196">
        <f t="shared" si="13"/>
        <v>0.56287134171332465</v>
      </c>
      <c r="U130" s="195">
        <f t="shared" si="18"/>
        <v>7803854250563.4766</v>
      </c>
      <c r="V130" s="195">
        <f t="shared" si="14"/>
        <v>3192824750996.7422</v>
      </c>
      <c r="W130" s="195">
        <f t="shared" si="14"/>
        <v>2866380376365.832</v>
      </c>
      <c r="X130" s="195">
        <f t="shared" si="17"/>
        <v>13863059377926.051</v>
      </c>
      <c r="Y130" s="196">
        <f t="shared" si="16"/>
        <v>0.56292439048406884</v>
      </c>
      <c r="AC130" s="251">
        <f t="shared" si="15"/>
        <v>1.6974842149710883</v>
      </c>
    </row>
    <row r="131" spans="1:29" ht="15.6" x14ac:dyDescent="0.3">
      <c r="A131" s="194">
        <v>2060</v>
      </c>
      <c r="B131" s="253">
        <f>(B183/Population_Tables!O49)*Population_Tables!C49</f>
        <v>203020393152975.31</v>
      </c>
      <c r="C131" s="253">
        <f>(C183/Population_Tables!P49)*Population_Tables!D49</f>
        <v>28672189345748.031</v>
      </c>
      <c r="D131" s="253">
        <f>(D183/Population_Tables!Q49)*Population_Tables!E49</f>
        <v>69970035624483.164</v>
      </c>
      <c r="E131" s="253">
        <f>(E183/Population_Tables!R49)*Population_Tables!F49</f>
        <v>25456088778344.711</v>
      </c>
      <c r="F131" s="253">
        <f>(F183/Population_Tables!S49)*Population_Tables!G49</f>
        <v>0</v>
      </c>
      <c r="G131" s="253">
        <f>(G183/Population_Tables!T49)*Population_Tables!H49</f>
        <v>0</v>
      </c>
      <c r="H131" s="253">
        <f>(H183/Population_Tables!U49)*Population_Tables!I49</f>
        <v>0</v>
      </c>
      <c r="I131" s="253">
        <f>(I183/Population_Tables!V49)*Population_Tables!J49</f>
        <v>0</v>
      </c>
      <c r="J131" s="253">
        <f>(J183/Population_Tables!W49)*Population_Tables!K49</f>
        <v>0</v>
      </c>
      <c r="K131" s="253">
        <f>(K183/Population_Tables!X49)*Population_Tables!L49</f>
        <v>0</v>
      </c>
      <c r="N131" s="195">
        <f t="shared" si="9"/>
        <v>69970035624483.164</v>
      </c>
      <c r="O131" s="195">
        <f t="shared" si="10"/>
        <v>25456088778344.711</v>
      </c>
      <c r="P131" s="195">
        <f t="shared" si="11"/>
        <v>28672189345748.031</v>
      </c>
      <c r="Q131" s="195">
        <f t="shared" si="12"/>
        <v>124098313748575.91</v>
      </c>
      <c r="R131" s="196">
        <f>N131/Q131</f>
        <v>0.56382744866495904</v>
      </c>
      <c r="U131" s="195">
        <f t="shared" si="18"/>
        <v>8204910186185.6328</v>
      </c>
      <c r="V131" s="195">
        <f t="shared" si="14"/>
        <v>3328151518919.3594</v>
      </c>
      <c r="W131" s="195">
        <f t="shared" si="14"/>
        <v>3005384128601.9141</v>
      </c>
      <c r="X131" s="195">
        <f t="shared" si="17"/>
        <v>14538445833706.906</v>
      </c>
      <c r="Y131" s="196">
        <f t="shared" si="16"/>
        <v>0.56435951132842688</v>
      </c>
      <c r="AC131" s="251">
        <f t="shared" si="15"/>
        <v>1.7236765515523422</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357</v>
      </c>
      <c r="B135" s="255"/>
      <c r="C135" s="255"/>
      <c r="D135" s="13"/>
      <c r="E135" s="13"/>
      <c r="F135" s="13"/>
      <c r="G135" s="13"/>
      <c r="H135" s="13"/>
      <c r="I135" s="13"/>
      <c r="J135" s="13"/>
      <c r="K135" s="13"/>
      <c r="N135" s="232" t="s">
        <v>634</v>
      </c>
      <c r="O135" s="232"/>
      <c r="P135" s="232"/>
      <c r="Q135" s="232"/>
      <c r="R135" s="232"/>
      <c r="AC135" s="251"/>
    </row>
    <row r="136" spans="1:29" ht="66.599999999999994" thickBot="1" x14ac:dyDescent="0.3">
      <c r="A136" s="194"/>
      <c r="B136" s="218" t="s">
        <v>4</v>
      </c>
      <c r="C136" s="191" t="str">
        <f>A329</f>
        <v>IEA (2017) ETP - Total Mobility RTS Scenario- OECD Region</v>
      </c>
      <c r="D136" s="191" t="str">
        <f>A263</f>
        <v>IEA (2017) ETP - Total Mobility - RTS Scenario - Non OECD Region (less China, Mexico, Brazil, Russia)</v>
      </c>
      <c r="E136" s="191" t="str">
        <f>A398</f>
        <v>IEA (2017) ETP - Total Passenger Mobility - RTS (Only Brazil, Mexico,China, Russia)</v>
      </c>
      <c r="F136" s="191"/>
      <c r="G136" s="191"/>
      <c r="H136" s="191"/>
      <c r="I136" s="191"/>
      <c r="J136" s="191"/>
      <c r="K136" s="192"/>
      <c r="N136" s="219" t="str">
        <f>D136</f>
        <v>IEA (2017) ETP - Total Mobility - RTS Scenario - Non OECD Region (less China, Mexico, Brazil, Russia)</v>
      </c>
      <c r="O136" s="219" t="str">
        <f>E136</f>
        <v>IEA (2017) ETP - Total Passenger Mobility - RTS (Only Brazil, Mexico,China, Russia)</v>
      </c>
      <c r="P136" s="219" t="str">
        <f>C136</f>
        <v>IEA (2017) ETP - Total Mobility RTS Scenario- OECD Region</v>
      </c>
      <c r="Q136" s="219" t="str">
        <f>Q84</f>
        <v>Total</v>
      </c>
      <c r="R136" s="219" t="str">
        <f>R84</f>
        <v>% IEA (2017) ETP - Total Mobility - RTS Scenario - Non OECD Region (less China, Mexico, Brazil, Russia)</v>
      </c>
      <c r="AC136" s="251"/>
    </row>
    <row r="137" spans="1:29" ht="15.6" x14ac:dyDescent="0.3">
      <c r="A137" s="194">
        <v>2014</v>
      </c>
      <c r="B137" s="229">
        <v>53913616479387.047</v>
      </c>
      <c r="C137" s="229">
        <f>H334*10^9</f>
        <v>17944221871904.836</v>
      </c>
      <c r="D137" s="229">
        <f>H268*10^9</f>
        <v>18368056852998.395</v>
      </c>
      <c r="E137" s="229">
        <f>H403*10^9</f>
        <v>14469406876708.885</v>
      </c>
      <c r="F137" s="229"/>
      <c r="G137" s="229"/>
      <c r="H137" s="229"/>
      <c r="I137" s="229"/>
      <c r="J137" s="229"/>
      <c r="K137" s="229"/>
      <c r="N137" s="195">
        <f>D137</f>
        <v>18368056852998.395</v>
      </c>
      <c r="O137" s="195">
        <f>E137</f>
        <v>14469406876708.885</v>
      </c>
      <c r="P137" s="195">
        <f>C137</f>
        <v>17944221871904.836</v>
      </c>
      <c r="Q137" s="195">
        <f>N137+P137+O137</f>
        <v>50781685601612.117</v>
      </c>
      <c r="R137" s="196">
        <f>N137/Q137</f>
        <v>0.36170632454183999</v>
      </c>
      <c r="AC137" s="251"/>
    </row>
    <row r="138" spans="1:29" ht="15.6" x14ac:dyDescent="0.3">
      <c r="A138" s="194">
        <v>2015</v>
      </c>
      <c r="B138" s="229">
        <v>55678286420657.695</v>
      </c>
      <c r="C138" s="229">
        <f t="shared" ref="C138:C183" si="19">H335*10^9</f>
        <v>18025401562858.074</v>
      </c>
      <c r="D138" s="229">
        <f t="shared" ref="D138:D183" si="20">H269*10^9</f>
        <v>18978853431504.145</v>
      </c>
      <c r="E138" s="229">
        <f t="shared" ref="E138:E183" si="21">H404*10^9</f>
        <v>15048168457035.797</v>
      </c>
      <c r="F138" s="229"/>
      <c r="G138" s="229"/>
      <c r="H138" s="229"/>
      <c r="I138" s="229"/>
      <c r="J138" s="229"/>
      <c r="K138" s="229"/>
      <c r="N138" s="195">
        <f t="shared" ref="N138:N183" si="22">D138</f>
        <v>18978853431504.145</v>
      </c>
      <c r="O138" s="195">
        <f t="shared" ref="O138:O183" si="23">E138</f>
        <v>15048168457035.797</v>
      </c>
      <c r="P138" s="195">
        <f t="shared" ref="P138:P183" si="24">C138</f>
        <v>18025401562858.074</v>
      </c>
      <c r="Q138" s="195">
        <f t="shared" ref="Q138:Q183" si="25">N138+P138+O138</f>
        <v>52052423451398.016</v>
      </c>
      <c r="R138" s="196">
        <f t="shared" ref="R138:R182" si="26">N138/Q138</f>
        <v>0.36461037110452565</v>
      </c>
      <c r="AC138" s="251"/>
    </row>
    <row r="139" spans="1:29" ht="15.6" x14ac:dyDescent="0.3">
      <c r="A139" s="194">
        <v>2016</v>
      </c>
      <c r="B139" s="229">
        <v>57692988774069.531</v>
      </c>
      <c r="C139" s="229">
        <f t="shared" si="19"/>
        <v>18154129849832.75</v>
      </c>
      <c r="D139" s="229">
        <f t="shared" si="20"/>
        <v>19627894279113.238</v>
      </c>
      <c r="E139" s="229">
        <f t="shared" si="21"/>
        <v>15591454641211.641</v>
      </c>
      <c r="F139" s="229"/>
      <c r="G139" s="229"/>
      <c r="H139" s="229"/>
      <c r="I139" s="229"/>
      <c r="J139" s="229"/>
      <c r="K139" s="229"/>
      <c r="N139" s="195">
        <f t="shared" si="22"/>
        <v>19627894279113.238</v>
      </c>
      <c r="O139" s="195">
        <f t="shared" si="23"/>
        <v>15591454641211.641</v>
      </c>
      <c r="P139" s="195">
        <f t="shared" si="24"/>
        <v>18154129849832.75</v>
      </c>
      <c r="Q139" s="195">
        <f t="shared" si="25"/>
        <v>53373478770157.625</v>
      </c>
      <c r="R139" s="196">
        <f t="shared" si="26"/>
        <v>0.36774620525742568</v>
      </c>
      <c r="AC139" s="251"/>
    </row>
    <row r="140" spans="1:29" ht="15.6" x14ac:dyDescent="0.3">
      <c r="A140" s="194">
        <v>2017</v>
      </c>
      <c r="B140" s="229">
        <v>59601919354372.109</v>
      </c>
      <c r="C140" s="229">
        <f t="shared" si="19"/>
        <v>18287059411625.629</v>
      </c>
      <c r="D140" s="229">
        <f t="shared" si="20"/>
        <v>20323118928738.949</v>
      </c>
      <c r="E140" s="229">
        <f t="shared" si="21"/>
        <v>16105692283440.336</v>
      </c>
      <c r="F140" s="229"/>
      <c r="G140" s="229"/>
      <c r="H140" s="229"/>
      <c r="I140" s="229"/>
      <c r="J140" s="229"/>
      <c r="K140" s="229"/>
      <c r="N140" s="195">
        <f t="shared" si="22"/>
        <v>20323118928738.949</v>
      </c>
      <c r="O140" s="195">
        <f t="shared" si="23"/>
        <v>16105692283440.336</v>
      </c>
      <c r="P140" s="195">
        <f t="shared" si="24"/>
        <v>18287059411625.629</v>
      </c>
      <c r="Q140" s="195">
        <f t="shared" si="25"/>
        <v>54715870623804.914</v>
      </c>
      <c r="R140" s="196">
        <f t="shared" si="26"/>
        <v>0.37143005671003776</v>
      </c>
      <c r="AC140" s="251"/>
    </row>
    <row r="141" spans="1:29" ht="15.6" x14ac:dyDescent="0.3">
      <c r="A141" s="194">
        <v>2018</v>
      </c>
      <c r="B141" s="229">
        <v>61525567706681.898</v>
      </c>
      <c r="C141" s="229">
        <f t="shared" si="19"/>
        <v>18424023527444.137</v>
      </c>
      <c r="D141" s="229">
        <f t="shared" si="20"/>
        <v>21062266542630.672</v>
      </c>
      <c r="E141" s="229">
        <f t="shared" si="21"/>
        <v>16591686738231.93</v>
      </c>
      <c r="F141" s="229"/>
      <c r="G141" s="229"/>
      <c r="H141" s="229"/>
      <c r="I141" s="229"/>
      <c r="J141" s="229"/>
      <c r="K141" s="229"/>
      <c r="N141" s="195">
        <f t="shared" si="22"/>
        <v>21062266542630.672</v>
      </c>
      <c r="O141" s="195">
        <f t="shared" si="23"/>
        <v>16591686738231.93</v>
      </c>
      <c r="P141" s="195">
        <f t="shared" si="24"/>
        <v>18424023527444.137</v>
      </c>
      <c r="Q141" s="195">
        <f t="shared" si="25"/>
        <v>56077976808306.742</v>
      </c>
      <c r="R141" s="196">
        <f t="shared" si="26"/>
        <v>0.37558891638741776</v>
      </c>
      <c r="AC141" s="251"/>
    </row>
    <row r="142" spans="1:29" ht="16.2" thickBot="1" x14ac:dyDescent="0.35">
      <c r="A142" s="198">
        <v>2019</v>
      </c>
      <c r="B142" s="230">
        <v>63465145659021.469</v>
      </c>
      <c r="C142" s="229">
        <f t="shared" si="19"/>
        <v>18564855476495.68</v>
      </c>
      <c r="D142" s="229">
        <f t="shared" si="20"/>
        <v>21843076283037.773</v>
      </c>
      <c r="E142" s="229">
        <f t="shared" si="21"/>
        <v>17050243360096.473</v>
      </c>
      <c r="F142" s="230"/>
      <c r="G142" s="230"/>
      <c r="H142" s="230"/>
      <c r="I142" s="230"/>
      <c r="J142" s="230"/>
      <c r="K142" s="230"/>
      <c r="N142" s="195">
        <f t="shared" si="22"/>
        <v>21843076283037.773</v>
      </c>
      <c r="O142" s="195">
        <f t="shared" si="23"/>
        <v>17050243360096.473</v>
      </c>
      <c r="P142" s="195">
        <f t="shared" si="24"/>
        <v>18564855476495.68</v>
      </c>
      <c r="Q142" s="195">
        <f t="shared" si="25"/>
        <v>57458175119629.922</v>
      </c>
      <c r="R142" s="199">
        <f t="shared" si="26"/>
        <v>0.38015610898814184</v>
      </c>
      <c r="AC142" s="251"/>
    </row>
    <row r="143" spans="1:29" ht="15.6" x14ac:dyDescent="0.3">
      <c r="A143" s="201">
        <v>2020</v>
      </c>
      <c r="B143" s="228">
        <v>65761741004745.57</v>
      </c>
      <c r="C143" s="229">
        <f t="shared" si="19"/>
        <v>18709388537987.672</v>
      </c>
      <c r="D143" s="229">
        <f t="shared" si="20"/>
        <v>22663287312209.648</v>
      </c>
      <c r="E143" s="229">
        <f t="shared" si="21"/>
        <v>17482167503544.01</v>
      </c>
      <c r="F143" s="228"/>
      <c r="G143" s="228"/>
      <c r="H143" s="228"/>
      <c r="I143" s="228"/>
      <c r="J143" s="228"/>
      <c r="K143" s="228"/>
      <c r="L143" s="202"/>
      <c r="M143" s="202"/>
      <c r="N143" s="195">
        <f t="shared" si="22"/>
        <v>22663287312209.648</v>
      </c>
      <c r="O143" s="195">
        <f t="shared" si="23"/>
        <v>17482167503544.01</v>
      </c>
      <c r="P143" s="195">
        <f t="shared" si="24"/>
        <v>18709388537987.672</v>
      </c>
      <c r="Q143" s="195">
        <f t="shared" si="25"/>
        <v>58854843353741.328</v>
      </c>
      <c r="R143" s="220">
        <f t="shared" si="26"/>
        <v>0.38507089681632756</v>
      </c>
      <c r="AC143" s="251"/>
    </row>
    <row r="144" spans="1:29" ht="15.6" x14ac:dyDescent="0.3">
      <c r="A144" s="206">
        <v>2021</v>
      </c>
      <c r="B144" s="229">
        <v>67397533753010.219</v>
      </c>
      <c r="C144" s="229">
        <f t="shared" si="19"/>
        <v>18857455991127.539</v>
      </c>
      <c r="D144" s="229">
        <f t="shared" si="20"/>
        <v>23520638792395.688</v>
      </c>
      <c r="E144" s="229">
        <f t="shared" si="21"/>
        <v>17888264523084.59</v>
      </c>
      <c r="F144" s="229"/>
      <c r="G144" s="229"/>
      <c r="H144" s="229"/>
      <c r="I144" s="229"/>
      <c r="J144" s="229"/>
      <c r="K144" s="229"/>
      <c r="L144" s="170"/>
      <c r="M144" s="170"/>
      <c r="N144" s="195">
        <f t="shared" si="22"/>
        <v>23520638792395.688</v>
      </c>
      <c r="O144" s="195">
        <f t="shared" si="23"/>
        <v>17888264523084.59</v>
      </c>
      <c r="P144" s="195">
        <f t="shared" si="24"/>
        <v>18857455991127.539</v>
      </c>
      <c r="Q144" s="195">
        <f t="shared" si="25"/>
        <v>60266359306607.813</v>
      </c>
      <c r="R144" s="221">
        <f t="shared" si="26"/>
        <v>0.39027807657557978</v>
      </c>
      <c r="AC144" s="251"/>
    </row>
    <row r="145" spans="1:29" ht="15.6" x14ac:dyDescent="0.3">
      <c r="A145" s="206">
        <v>2022</v>
      </c>
      <c r="B145" s="229">
        <v>69393618284338.953</v>
      </c>
      <c r="C145" s="229">
        <f t="shared" si="19"/>
        <v>19008891115122.68</v>
      </c>
      <c r="D145" s="229">
        <f t="shared" si="20"/>
        <v>24412869885845.258</v>
      </c>
      <c r="E145" s="229">
        <f t="shared" si="21"/>
        <v>18269339773228.262</v>
      </c>
      <c r="F145" s="229"/>
      <c r="G145" s="229"/>
      <c r="H145" s="229"/>
      <c r="I145" s="229"/>
      <c r="J145" s="229"/>
      <c r="K145" s="229"/>
      <c r="L145" s="170"/>
      <c r="M145" s="170"/>
      <c r="N145" s="195">
        <f t="shared" si="22"/>
        <v>24412869885845.258</v>
      </c>
      <c r="O145" s="195">
        <f t="shared" si="23"/>
        <v>18269339773228.262</v>
      </c>
      <c r="P145" s="195">
        <f t="shared" si="24"/>
        <v>19008891115122.68</v>
      </c>
      <c r="Q145" s="195">
        <f t="shared" si="25"/>
        <v>61691100774196.203</v>
      </c>
      <c r="R145" s="221">
        <f t="shared" si="26"/>
        <v>0.39572757787548724</v>
      </c>
      <c r="AC145" s="251"/>
    </row>
    <row r="146" spans="1:29" ht="15.6" x14ac:dyDescent="0.3">
      <c r="A146" s="206">
        <v>2023</v>
      </c>
      <c r="B146" s="229">
        <v>71411950891741.5</v>
      </c>
      <c r="C146" s="229">
        <f>H343*10^9</f>
        <v>19163527189180.516</v>
      </c>
      <c r="D146" s="229">
        <f t="shared" si="20"/>
        <v>25337719754807.758</v>
      </c>
      <c r="E146" s="229">
        <f t="shared" si="21"/>
        <v>18626198608485.074</v>
      </c>
      <c r="F146" s="229"/>
      <c r="G146" s="229"/>
      <c r="H146" s="229"/>
      <c r="I146" s="229"/>
      <c r="J146" s="229"/>
      <c r="K146" s="229"/>
      <c r="L146" s="170"/>
      <c r="M146" s="170"/>
      <c r="N146" s="195">
        <f t="shared" si="22"/>
        <v>25337719754807.758</v>
      </c>
      <c r="O146" s="195">
        <f t="shared" si="23"/>
        <v>18626198608485.074</v>
      </c>
      <c r="P146" s="195">
        <f t="shared" si="24"/>
        <v>19163527189180.516</v>
      </c>
      <c r="Q146" s="195">
        <f>N146+P146+O146</f>
        <v>63127445552473.344</v>
      </c>
      <c r="R146" s="221">
        <f t="shared" si="26"/>
        <v>0.40137407007458142</v>
      </c>
      <c r="AC146" s="251"/>
    </row>
    <row r="147" spans="1:29" ht="15.6" x14ac:dyDescent="0.3">
      <c r="A147" s="206">
        <v>2024</v>
      </c>
      <c r="B147" s="229">
        <v>73454365324215.75</v>
      </c>
      <c r="C147" s="229">
        <f t="shared" si="19"/>
        <v>19321197492508.465</v>
      </c>
      <c r="D147" s="229">
        <f t="shared" si="20"/>
        <v>26292927561532.559</v>
      </c>
      <c r="E147" s="229">
        <f t="shared" si="21"/>
        <v>18959646383365.07</v>
      </c>
      <c r="F147" s="229"/>
      <c r="G147" s="229"/>
      <c r="H147" s="229"/>
      <c r="I147" s="229"/>
      <c r="J147" s="229"/>
      <c r="K147" s="229"/>
      <c r="L147" s="170"/>
      <c r="M147" s="170"/>
      <c r="N147" s="195">
        <f t="shared" si="22"/>
        <v>26292927561532.559</v>
      </c>
      <c r="O147" s="195">
        <f t="shared" si="23"/>
        <v>18959646383365.07</v>
      </c>
      <c r="P147" s="195">
        <f t="shared" si="24"/>
        <v>19321197492508.465</v>
      </c>
      <c r="Q147" s="195">
        <f t="shared" si="25"/>
        <v>64573771437406.094</v>
      </c>
      <c r="R147" s="221">
        <f t="shared" si="26"/>
        <v>0.40717658232211712</v>
      </c>
      <c r="AC147" s="251"/>
    </row>
    <row r="148" spans="1:29" ht="15.6" x14ac:dyDescent="0.3">
      <c r="A148" s="206">
        <v>2025</v>
      </c>
      <c r="B148" s="229">
        <v>75554478390659.281</v>
      </c>
      <c r="C148" s="229">
        <f t="shared" si="19"/>
        <v>19306940551878.398</v>
      </c>
      <c r="D148" s="229">
        <f t="shared" si="20"/>
        <v>27263068278567.23</v>
      </c>
      <c r="E148" s="229">
        <f t="shared" si="21"/>
        <v>19245593086862.871</v>
      </c>
      <c r="F148" s="229"/>
      <c r="G148" s="229"/>
      <c r="H148" s="229"/>
      <c r="I148" s="229"/>
      <c r="J148" s="229"/>
      <c r="K148" s="229"/>
      <c r="L148" s="170"/>
      <c r="M148" s="170"/>
      <c r="N148" s="195">
        <f t="shared" si="22"/>
        <v>27263068278567.23</v>
      </c>
      <c r="O148" s="195">
        <f t="shared" si="23"/>
        <v>19245593086862.871</v>
      </c>
      <c r="P148" s="195">
        <f t="shared" si="24"/>
        <v>19306940551878.398</v>
      </c>
      <c r="Q148" s="195">
        <f t="shared" si="25"/>
        <v>65815601917308.5</v>
      </c>
      <c r="R148" s="221">
        <f t="shared" si="26"/>
        <v>0.41423412510639757</v>
      </c>
      <c r="AC148" s="251"/>
    </row>
    <row r="149" spans="1:29" ht="15.6" x14ac:dyDescent="0.3">
      <c r="A149" s="206">
        <v>2026</v>
      </c>
      <c r="B149" s="229">
        <v>77618593950524.156</v>
      </c>
      <c r="C149" s="229">
        <f t="shared" si="19"/>
        <v>19644973903804.34</v>
      </c>
      <c r="D149" s="229">
        <f t="shared" si="20"/>
        <v>28285373637266.633</v>
      </c>
      <c r="E149" s="229">
        <f t="shared" si="21"/>
        <v>19559530170034.813</v>
      </c>
      <c r="F149" s="229"/>
      <c r="G149" s="229"/>
      <c r="H149" s="229"/>
      <c r="I149" s="229"/>
      <c r="J149" s="229"/>
      <c r="K149" s="229"/>
      <c r="L149" s="170"/>
      <c r="M149" s="170"/>
      <c r="N149" s="195">
        <f t="shared" si="22"/>
        <v>28285373637266.633</v>
      </c>
      <c r="O149" s="195">
        <f t="shared" si="23"/>
        <v>19559530170034.813</v>
      </c>
      <c r="P149" s="195">
        <f t="shared" si="24"/>
        <v>19644973903804.34</v>
      </c>
      <c r="Q149" s="195">
        <f t="shared" si="25"/>
        <v>67489877711105.781</v>
      </c>
      <c r="R149" s="221">
        <f t="shared" si="26"/>
        <v>0.41910542138398538</v>
      </c>
      <c r="AC149" s="251"/>
    </row>
    <row r="150" spans="1:29" ht="15.6" x14ac:dyDescent="0.3">
      <c r="A150" s="206">
        <v>2027</v>
      </c>
      <c r="B150" s="229">
        <v>79743788218577.156</v>
      </c>
      <c r="C150" s="229">
        <f t="shared" si="19"/>
        <v>19810746570187.098</v>
      </c>
      <c r="D150" s="229">
        <f t="shared" si="20"/>
        <v>29318090230774.664</v>
      </c>
      <c r="E150" s="229">
        <f t="shared" si="21"/>
        <v>19827576890844.66</v>
      </c>
      <c r="F150" s="229"/>
      <c r="G150" s="229"/>
      <c r="H150" s="229"/>
      <c r="I150" s="229"/>
      <c r="J150" s="229"/>
      <c r="K150" s="229"/>
      <c r="L150" s="170"/>
      <c r="M150" s="170"/>
      <c r="N150" s="195">
        <f t="shared" si="22"/>
        <v>29318090230774.664</v>
      </c>
      <c r="O150" s="195">
        <f t="shared" si="23"/>
        <v>19827576890844.66</v>
      </c>
      <c r="P150" s="195">
        <f t="shared" si="24"/>
        <v>19810746570187.098</v>
      </c>
      <c r="Q150" s="195">
        <f t="shared" si="25"/>
        <v>68956413691806.422</v>
      </c>
      <c r="R150" s="221">
        <f t="shared" si="26"/>
        <v>0.42516843120364184</v>
      </c>
      <c r="AC150" s="251"/>
    </row>
    <row r="151" spans="1:29" ht="15.6" x14ac:dyDescent="0.3">
      <c r="A151" s="206">
        <v>2028</v>
      </c>
      <c r="B151" s="229">
        <v>81900020235283.281</v>
      </c>
      <c r="C151" s="229">
        <f t="shared" si="19"/>
        <v>19978886582669.625</v>
      </c>
      <c r="D151" s="229">
        <f t="shared" si="20"/>
        <v>30372121411042.543</v>
      </c>
      <c r="E151" s="229">
        <f t="shared" si="21"/>
        <v>20075433969317.879</v>
      </c>
      <c r="F151" s="229"/>
      <c r="G151" s="229"/>
      <c r="H151" s="229"/>
      <c r="I151" s="229"/>
      <c r="J151" s="229"/>
      <c r="K151" s="229"/>
      <c r="L151" s="170"/>
      <c r="M151" s="170"/>
      <c r="N151" s="195">
        <f t="shared" si="22"/>
        <v>30372121411042.543</v>
      </c>
      <c r="O151" s="195">
        <f t="shared" si="23"/>
        <v>20075433969317.879</v>
      </c>
      <c r="P151" s="195">
        <f t="shared" si="24"/>
        <v>19978886582669.625</v>
      </c>
      <c r="Q151" s="195">
        <f t="shared" si="25"/>
        <v>70426441963030.047</v>
      </c>
      <c r="R151" s="221">
        <f t="shared" si="26"/>
        <v>0.43126019949987265</v>
      </c>
      <c r="AC151" s="251"/>
    </row>
    <row r="152" spans="1:29" ht="15.6" x14ac:dyDescent="0.3">
      <c r="A152" s="206">
        <v>2029</v>
      </c>
      <c r="B152" s="229">
        <v>84089069653541.25</v>
      </c>
      <c r="C152" s="229">
        <f t="shared" si="19"/>
        <v>20149227220459.328</v>
      </c>
      <c r="D152" s="229">
        <f t="shared" si="20"/>
        <v>31445206340319.648</v>
      </c>
      <c r="E152" s="229">
        <f t="shared" si="21"/>
        <v>20303906759964.527</v>
      </c>
      <c r="F152" s="229"/>
      <c r="G152" s="229"/>
      <c r="H152" s="229"/>
      <c r="I152" s="229"/>
      <c r="J152" s="229"/>
      <c r="K152" s="229"/>
      <c r="L152" s="170"/>
      <c r="M152" s="170"/>
      <c r="N152" s="195">
        <f t="shared" si="22"/>
        <v>31445206340319.648</v>
      </c>
      <c r="O152" s="195">
        <f t="shared" si="23"/>
        <v>20303906759964.527</v>
      </c>
      <c r="P152" s="195">
        <f t="shared" si="24"/>
        <v>20149227220459.328</v>
      </c>
      <c r="Q152" s="195">
        <f t="shared" si="25"/>
        <v>71898340320743.5</v>
      </c>
      <c r="R152" s="221">
        <f t="shared" si="26"/>
        <v>0.43735649807826432</v>
      </c>
      <c r="AC152" s="251"/>
    </row>
    <row r="153" spans="1:29" ht="15.6" x14ac:dyDescent="0.3">
      <c r="A153" s="206">
        <v>2030</v>
      </c>
      <c r="B153" s="229">
        <v>86334505600936.672</v>
      </c>
      <c r="C153" s="229">
        <f t="shared" si="19"/>
        <v>20348813621570.133</v>
      </c>
      <c r="D153" s="229">
        <f t="shared" si="20"/>
        <v>32636176165275.066</v>
      </c>
      <c r="E153" s="229">
        <f t="shared" si="21"/>
        <v>20599511361523.77</v>
      </c>
      <c r="F153" s="229"/>
      <c r="G153" s="229"/>
      <c r="H153" s="229"/>
      <c r="I153" s="229"/>
      <c r="J153" s="229"/>
      <c r="K153" s="229"/>
      <c r="L153" s="170"/>
      <c r="M153" s="170"/>
      <c r="N153" s="195">
        <f t="shared" si="22"/>
        <v>32636176165275.066</v>
      </c>
      <c r="O153" s="195">
        <f t="shared" si="23"/>
        <v>20599511361523.77</v>
      </c>
      <c r="P153" s="195">
        <f t="shared" si="24"/>
        <v>20348813621570.133</v>
      </c>
      <c r="Q153" s="195">
        <f t="shared" si="25"/>
        <v>73584501148368.969</v>
      </c>
      <c r="R153" s="221">
        <f t="shared" si="26"/>
        <v>0.44351970395872503</v>
      </c>
      <c r="AC153" s="251"/>
    </row>
    <row r="154" spans="1:29" ht="15.6" x14ac:dyDescent="0.3">
      <c r="A154" s="206">
        <v>2031</v>
      </c>
      <c r="B154" s="229">
        <v>88572741338887.563</v>
      </c>
      <c r="C154" s="229">
        <f t="shared" si="19"/>
        <v>20495843488789.93</v>
      </c>
      <c r="D154" s="229">
        <f t="shared" si="20"/>
        <v>33639494094899.078</v>
      </c>
      <c r="E154" s="229">
        <f t="shared" si="21"/>
        <v>20705920895818.289</v>
      </c>
      <c r="F154" s="229"/>
      <c r="G154" s="229"/>
      <c r="H154" s="229"/>
      <c r="I154" s="229"/>
      <c r="J154" s="229"/>
      <c r="K154" s="229"/>
      <c r="L154" s="170"/>
      <c r="M154" s="170"/>
      <c r="N154" s="195">
        <f t="shared" si="22"/>
        <v>33639494094899.078</v>
      </c>
      <c r="O154" s="195">
        <f t="shared" si="23"/>
        <v>20705920895818.289</v>
      </c>
      <c r="P154" s="195">
        <f t="shared" si="24"/>
        <v>20495843488789.93</v>
      </c>
      <c r="Q154" s="195">
        <f t="shared" si="25"/>
        <v>74841258479507.297</v>
      </c>
      <c r="R154" s="221">
        <f t="shared" si="26"/>
        <v>0.44947793207018422</v>
      </c>
      <c r="AC154" s="251"/>
    </row>
    <row r="155" spans="1:29" ht="15.6" x14ac:dyDescent="0.3">
      <c r="A155" s="206">
        <v>2032</v>
      </c>
      <c r="B155" s="229">
        <v>90870909365440.188</v>
      </c>
      <c r="C155" s="229">
        <f t="shared" si="19"/>
        <v>20671785677745.656</v>
      </c>
      <c r="D155" s="229">
        <f t="shared" si="20"/>
        <v>34756175244700.172</v>
      </c>
      <c r="E155" s="229">
        <f t="shared" si="21"/>
        <v>20881072950045.504</v>
      </c>
      <c r="F155" s="229"/>
      <c r="G155" s="229"/>
      <c r="H155" s="229"/>
      <c r="I155" s="229"/>
      <c r="J155" s="229"/>
      <c r="K155" s="229"/>
      <c r="L155" s="170"/>
      <c r="M155" s="170"/>
      <c r="N155" s="195">
        <f t="shared" si="22"/>
        <v>34756175244700.172</v>
      </c>
      <c r="O155" s="195">
        <f t="shared" si="23"/>
        <v>20881072950045.504</v>
      </c>
      <c r="P155" s="195">
        <f t="shared" si="24"/>
        <v>20671785677745.656</v>
      </c>
      <c r="Q155" s="195">
        <f t="shared" si="25"/>
        <v>76309033872491.328</v>
      </c>
      <c r="R155" s="221">
        <f t="shared" si="26"/>
        <v>0.45546606320263527</v>
      </c>
      <c r="AC155" s="251"/>
    </row>
    <row r="156" spans="1:29" ht="15.6" x14ac:dyDescent="0.3">
      <c r="A156" s="206">
        <v>2033</v>
      </c>
      <c r="B156" s="229">
        <v>93209053280847.188</v>
      </c>
      <c r="C156" s="229">
        <f t="shared" si="19"/>
        <v>20849261608838.223</v>
      </c>
      <c r="D156" s="229">
        <f t="shared" si="20"/>
        <v>35882866792508.031</v>
      </c>
      <c r="E156" s="229">
        <f t="shared" si="21"/>
        <v>21040062134486.332</v>
      </c>
      <c r="F156" s="229"/>
      <c r="G156" s="229"/>
      <c r="H156" s="229"/>
      <c r="I156" s="229"/>
      <c r="J156" s="229"/>
      <c r="K156" s="229"/>
      <c r="L156" s="170"/>
      <c r="M156" s="170"/>
      <c r="N156" s="195">
        <f t="shared" si="22"/>
        <v>35882866792508.031</v>
      </c>
      <c r="O156" s="195">
        <f t="shared" si="23"/>
        <v>21040062134486.332</v>
      </c>
      <c r="P156" s="195">
        <f t="shared" si="24"/>
        <v>20849261608838.223</v>
      </c>
      <c r="Q156" s="195">
        <f t="shared" si="25"/>
        <v>77772190535832.578</v>
      </c>
      <c r="R156" s="221">
        <f t="shared" si="26"/>
        <v>0.46138428846202351</v>
      </c>
      <c r="AC156" s="251"/>
    </row>
    <row r="157" spans="1:29" ht="15.6" x14ac:dyDescent="0.3">
      <c r="A157" s="206">
        <v>2034</v>
      </c>
      <c r="B157" s="229">
        <v>95589025493656.359</v>
      </c>
      <c r="C157" s="229">
        <f t="shared" si="19"/>
        <v>21028104561275.043</v>
      </c>
      <c r="D157" s="229">
        <f t="shared" si="20"/>
        <v>37017307900572.039</v>
      </c>
      <c r="E157" s="229">
        <f t="shared" si="21"/>
        <v>21183693803650.824</v>
      </c>
      <c r="F157" s="229"/>
      <c r="G157" s="229"/>
      <c r="H157" s="229"/>
      <c r="I157" s="229"/>
      <c r="J157" s="229"/>
      <c r="K157" s="229"/>
      <c r="L157" s="170"/>
      <c r="M157" s="170"/>
      <c r="N157" s="195">
        <f t="shared" si="22"/>
        <v>37017307900572.039</v>
      </c>
      <c r="O157" s="195">
        <f t="shared" si="23"/>
        <v>21183693803650.824</v>
      </c>
      <c r="P157" s="195">
        <f t="shared" si="24"/>
        <v>21028104561275.043</v>
      </c>
      <c r="Q157" s="195">
        <f t="shared" si="25"/>
        <v>79229106265497.906</v>
      </c>
      <c r="R157" s="221">
        <f t="shared" si="26"/>
        <v>0.46721854688763614</v>
      </c>
      <c r="AC157" s="251"/>
    </row>
    <row r="158" spans="1:29" ht="15.6" x14ac:dyDescent="0.3">
      <c r="A158" s="206">
        <v>2035</v>
      </c>
      <c r="B158" s="229">
        <v>97869687583147.125</v>
      </c>
      <c r="C158" s="229">
        <f t="shared" si="19"/>
        <v>21350284944639.516</v>
      </c>
      <c r="D158" s="229">
        <f t="shared" si="20"/>
        <v>38137056156610.328</v>
      </c>
      <c r="E158" s="229">
        <f t="shared" si="21"/>
        <v>21336986419114.645</v>
      </c>
      <c r="F158" s="229"/>
      <c r="G158" s="229"/>
      <c r="H158" s="229"/>
      <c r="I158" s="229"/>
      <c r="J158" s="229"/>
      <c r="K158" s="229"/>
      <c r="L158" s="170"/>
      <c r="M158" s="170"/>
      <c r="N158" s="195">
        <f t="shared" si="22"/>
        <v>38137056156610.328</v>
      </c>
      <c r="O158" s="195">
        <f t="shared" si="23"/>
        <v>21336986419114.645</v>
      </c>
      <c r="P158" s="195">
        <f t="shared" si="24"/>
        <v>21350284944639.516</v>
      </c>
      <c r="Q158" s="195">
        <f t="shared" si="25"/>
        <v>80824327520364.484</v>
      </c>
      <c r="R158" s="221">
        <f t="shared" si="26"/>
        <v>0.47185120280773535</v>
      </c>
      <c r="AC158" s="251"/>
    </row>
    <row r="159" spans="1:29" ht="15.6" x14ac:dyDescent="0.3">
      <c r="A159" s="206">
        <v>2036</v>
      </c>
      <c r="B159" s="229">
        <v>100481795208586.7</v>
      </c>
      <c r="C159" s="229">
        <f t="shared" si="19"/>
        <v>21389224647011.086</v>
      </c>
      <c r="D159" s="229">
        <f t="shared" si="20"/>
        <v>39300395446466.023</v>
      </c>
      <c r="E159" s="229">
        <f t="shared" si="21"/>
        <v>21428106014191</v>
      </c>
      <c r="F159" s="229"/>
      <c r="G159" s="229"/>
      <c r="H159" s="229"/>
      <c r="I159" s="229"/>
      <c r="J159" s="229"/>
      <c r="K159" s="229"/>
      <c r="L159" s="170"/>
      <c r="M159" s="170"/>
      <c r="N159" s="195">
        <f t="shared" si="22"/>
        <v>39300395446466.023</v>
      </c>
      <c r="O159" s="195">
        <f t="shared" si="23"/>
        <v>21428106014191</v>
      </c>
      <c r="P159" s="195">
        <f t="shared" si="24"/>
        <v>21389224647011.086</v>
      </c>
      <c r="Q159" s="195">
        <f t="shared" si="25"/>
        <v>82117726107668.109</v>
      </c>
      <c r="R159" s="221">
        <f t="shared" si="26"/>
        <v>0.47858601679907176</v>
      </c>
      <c r="AC159" s="251"/>
    </row>
    <row r="160" spans="1:29" ht="15.6" x14ac:dyDescent="0.3">
      <c r="A160" s="206">
        <v>2037</v>
      </c>
      <c r="B160" s="229">
        <v>102998193389602.44</v>
      </c>
      <c r="C160" s="229">
        <f t="shared" si="19"/>
        <v>21571168338725.137</v>
      </c>
      <c r="D160" s="229">
        <f t="shared" si="20"/>
        <v>40444520208794.773</v>
      </c>
      <c r="E160" s="229">
        <f t="shared" si="21"/>
        <v>21530497264586.773</v>
      </c>
      <c r="F160" s="229"/>
      <c r="G160" s="229"/>
      <c r="H160" s="229"/>
      <c r="I160" s="229"/>
      <c r="J160" s="229"/>
      <c r="K160" s="229"/>
      <c r="L160" s="170"/>
      <c r="M160" s="170"/>
      <c r="N160" s="195">
        <f t="shared" si="22"/>
        <v>40444520208794.773</v>
      </c>
      <c r="O160" s="195">
        <f t="shared" si="23"/>
        <v>21530497264586.773</v>
      </c>
      <c r="P160" s="195">
        <f t="shared" si="24"/>
        <v>21571168338725.137</v>
      </c>
      <c r="Q160" s="195">
        <f t="shared" si="25"/>
        <v>83546185812106.688</v>
      </c>
      <c r="R160" s="221">
        <f t="shared" si="26"/>
        <v>0.48409774564399027</v>
      </c>
      <c r="AC160" s="251"/>
    </row>
    <row r="161" spans="1:29" ht="15.6" x14ac:dyDescent="0.3">
      <c r="A161" s="206">
        <v>2038</v>
      </c>
      <c r="B161" s="229">
        <v>105563726129405.5</v>
      </c>
      <c r="C161" s="229">
        <f t="shared" si="19"/>
        <v>21753812168613.098</v>
      </c>
      <c r="D161" s="229">
        <f t="shared" si="20"/>
        <v>41587351180377.211</v>
      </c>
      <c r="E161" s="229">
        <f t="shared" si="21"/>
        <v>21620752417746.406</v>
      </c>
      <c r="F161" s="229"/>
      <c r="G161" s="229"/>
      <c r="H161" s="229"/>
      <c r="I161" s="229"/>
      <c r="J161" s="229"/>
      <c r="K161" s="229"/>
      <c r="L161" s="170"/>
      <c r="M161" s="170"/>
      <c r="N161" s="195">
        <f t="shared" si="22"/>
        <v>41587351180377.211</v>
      </c>
      <c r="O161" s="195">
        <f t="shared" si="23"/>
        <v>21620752417746.406</v>
      </c>
      <c r="P161" s="195">
        <f t="shared" si="24"/>
        <v>21753812168613.098</v>
      </c>
      <c r="Q161" s="195">
        <f t="shared" si="25"/>
        <v>84961915766736.719</v>
      </c>
      <c r="R161" s="221">
        <f t="shared" si="26"/>
        <v>0.48948226749683293</v>
      </c>
      <c r="AC161" s="251"/>
    </row>
    <row r="162" spans="1:29" ht="15.6" x14ac:dyDescent="0.3">
      <c r="A162" s="206">
        <v>2039</v>
      </c>
      <c r="B162" s="229">
        <v>108180270189690.78</v>
      </c>
      <c r="C162" s="229">
        <f t="shared" si="19"/>
        <v>21936989415882.379</v>
      </c>
      <c r="D162" s="229">
        <f t="shared" si="20"/>
        <v>42726627523462.711</v>
      </c>
      <c r="E162" s="229">
        <f t="shared" si="21"/>
        <v>21699676828179.941</v>
      </c>
      <c r="F162" s="229"/>
      <c r="G162" s="229"/>
      <c r="H162" s="229"/>
      <c r="I162" s="229"/>
      <c r="J162" s="229"/>
      <c r="K162" s="229"/>
      <c r="L162" s="170"/>
      <c r="M162" s="170"/>
      <c r="N162" s="195">
        <f t="shared" si="22"/>
        <v>42726627523462.711</v>
      </c>
      <c r="O162" s="195">
        <f t="shared" si="23"/>
        <v>21699676828179.941</v>
      </c>
      <c r="P162" s="195">
        <f t="shared" si="24"/>
        <v>21936989415882.379</v>
      </c>
      <c r="Q162" s="195">
        <f t="shared" si="25"/>
        <v>86363293767525.031</v>
      </c>
      <c r="R162" s="221">
        <f t="shared" si="26"/>
        <v>0.49473133387519197</v>
      </c>
      <c r="AC162" s="251"/>
    </row>
    <row r="163" spans="1:29" ht="15.6" x14ac:dyDescent="0.3">
      <c r="A163" s="206">
        <v>2040</v>
      </c>
      <c r="B163" s="229">
        <v>110730691963199.72</v>
      </c>
      <c r="C163" s="229">
        <f t="shared" si="19"/>
        <v>22196535946223.188</v>
      </c>
      <c r="D163" s="229">
        <f t="shared" si="20"/>
        <v>43754240410899.055</v>
      </c>
      <c r="E163" s="229">
        <f t="shared" si="21"/>
        <v>21616946288050.941</v>
      </c>
      <c r="F163" s="229"/>
      <c r="G163" s="229"/>
      <c r="H163" s="229"/>
      <c r="I163" s="229"/>
      <c r="J163" s="229"/>
      <c r="K163" s="229"/>
      <c r="L163" s="170"/>
      <c r="M163" s="170"/>
      <c r="N163" s="195">
        <f t="shared" si="22"/>
        <v>43754240410899.055</v>
      </c>
      <c r="O163" s="195">
        <f t="shared" si="23"/>
        <v>21616946288050.941</v>
      </c>
      <c r="P163" s="195">
        <f t="shared" si="24"/>
        <v>22196535946223.188</v>
      </c>
      <c r="Q163" s="195">
        <f t="shared" si="25"/>
        <v>87567722645173.188</v>
      </c>
      <c r="R163" s="221">
        <f t="shared" si="26"/>
        <v>0.49966173710137968</v>
      </c>
      <c r="AC163" s="251"/>
    </row>
    <row r="164" spans="1:29" ht="15.6" x14ac:dyDescent="0.3">
      <c r="A164" s="206">
        <v>2041</v>
      </c>
      <c r="B164" s="229">
        <v>113573784469756.03</v>
      </c>
      <c r="C164" s="229">
        <f t="shared" si="19"/>
        <v>22304277279394.57</v>
      </c>
      <c r="D164" s="229">
        <f t="shared" si="20"/>
        <v>44985472973140.461</v>
      </c>
      <c r="E164" s="229">
        <f t="shared" si="21"/>
        <v>21826754838908.914</v>
      </c>
      <c r="F164" s="229"/>
      <c r="G164" s="229"/>
      <c r="H164" s="229"/>
      <c r="I164" s="229"/>
      <c r="J164" s="229"/>
      <c r="K164" s="229"/>
      <c r="L164" s="170"/>
      <c r="M164" s="170"/>
      <c r="N164" s="195">
        <f t="shared" si="22"/>
        <v>44985472973140.461</v>
      </c>
      <c r="O164" s="195">
        <f t="shared" si="23"/>
        <v>21826754838908.914</v>
      </c>
      <c r="P164" s="195">
        <f t="shared" si="24"/>
        <v>22304277279394.57</v>
      </c>
      <c r="Q164" s="195">
        <f>N164+P164+O164</f>
        <v>89116505091443.938</v>
      </c>
      <c r="R164" s="221">
        <f>N164/Q164</f>
        <v>0.50479395401536575</v>
      </c>
      <c r="AC164" s="251"/>
    </row>
    <row r="165" spans="1:29" ht="15.6" x14ac:dyDescent="0.3">
      <c r="A165" s="206">
        <v>2042</v>
      </c>
      <c r="B165" s="229">
        <v>116354356409893.25</v>
      </c>
      <c r="C165" s="229">
        <f t="shared" si="19"/>
        <v>22488054454052.305</v>
      </c>
      <c r="D165" s="229">
        <f t="shared" si="20"/>
        <v>46100520404231.469</v>
      </c>
      <c r="E165" s="229">
        <f t="shared" si="21"/>
        <v>21876519148224.449</v>
      </c>
      <c r="F165" s="229"/>
      <c r="G165" s="229"/>
      <c r="H165" s="229"/>
      <c r="I165" s="229"/>
      <c r="J165" s="229"/>
      <c r="K165" s="229"/>
      <c r="L165" s="170"/>
      <c r="M165" s="170"/>
      <c r="N165" s="195">
        <f t="shared" si="22"/>
        <v>46100520404231.469</v>
      </c>
      <c r="O165" s="195">
        <f t="shared" si="23"/>
        <v>21876519148224.449</v>
      </c>
      <c r="P165" s="195">
        <f t="shared" si="24"/>
        <v>22488054454052.305</v>
      </c>
      <c r="Q165" s="195">
        <f t="shared" si="25"/>
        <v>90465094006508.219</v>
      </c>
      <c r="R165" s="221">
        <f t="shared" si="26"/>
        <v>0.50959456694882688</v>
      </c>
      <c r="AC165" s="251"/>
    </row>
    <row r="166" spans="1:29" ht="15.6" x14ac:dyDescent="0.3">
      <c r="A166" s="206">
        <v>2043</v>
      </c>
      <c r="B166" s="229">
        <v>119193105301878.38</v>
      </c>
      <c r="C166" s="229">
        <f t="shared" si="19"/>
        <v>22671698162921.012</v>
      </c>
      <c r="D166" s="229">
        <f t="shared" si="20"/>
        <v>47202969855823.086</v>
      </c>
      <c r="E166" s="229">
        <f t="shared" si="21"/>
        <v>21918174132854.082</v>
      </c>
      <c r="F166" s="229"/>
      <c r="G166" s="229"/>
      <c r="H166" s="229"/>
      <c r="I166" s="229"/>
      <c r="J166" s="229"/>
      <c r="K166" s="229"/>
      <c r="L166" s="170"/>
      <c r="M166" s="170"/>
      <c r="N166" s="195">
        <f t="shared" si="22"/>
        <v>47202969855823.086</v>
      </c>
      <c r="O166" s="195">
        <f t="shared" si="23"/>
        <v>21918174132854.082</v>
      </c>
      <c r="P166" s="195">
        <f t="shared" si="24"/>
        <v>22671698162921.012</v>
      </c>
      <c r="Q166" s="195">
        <f t="shared" si="25"/>
        <v>91792842151598.172</v>
      </c>
      <c r="R166" s="221">
        <f t="shared" si="26"/>
        <v>0.51423366734702691</v>
      </c>
      <c r="AC166" s="251"/>
    </row>
    <row r="167" spans="1:29" ht="15.6" x14ac:dyDescent="0.3">
      <c r="A167" s="206">
        <v>2044</v>
      </c>
      <c r="B167" s="229">
        <v>122091689897161.66</v>
      </c>
      <c r="C167" s="229">
        <f t="shared" si="19"/>
        <v>22855041685208.117</v>
      </c>
      <c r="D167" s="229">
        <f t="shared" si="20"/>
        <v>48290560490164.688</v>
      </c>
      <c r="E167" s="229">
        <f t="shared" si="21"/>
        <v>21952525147307.852</v>
      </c>
      <c r="F167" s="229"/>
      <c r="G167" s="229"/>
      <c r="H167" s="229"/>
      <c r="I167" s="229"/>
      <c r="J167" s="229"/>
      <c r="K167" s="229"/>
      <c r="L167" s="170"/>
      <c r="M167" s="170"/>
      <c r="N167" s="195">
        <f t="shared" si="22"/>
        <v>48290560490164.688</v>
      </c>
      <c r="O167" s="195">
        <f t="shared" si="23"/>
        <v>21952525147307.852</v>
      </c>
      <c r="P167" s="195">
        <f t="shared" si="24"/>
        <v>22855041685208.117</v>
      </c>
      <c r="Q167" s="195">
        <f t="shared" si="25"/>
        <v>93098127322680.656</v>
      </c>
      <c r="R167" s="221">
        <f t="shared" si="26"/>
        <v>0.51870603500743129</v>
      </c>
      <c r="AC167" s="251"/>
    </row>
    <row r="168" spans="1:29" ht="15.6" x14ac:dyDescent="0.3">
      <c r="A168" s="206">
        <v>2045</v>
      </c>
      <c r="B168" s="229">
        <v>125206990652904.91</v>
      </c>
      <c r="C168" s="229">
        <f t="shared" si="19"/>
        <v>22977062415569.961</v>
      </c>
      <c r="D168" s="229">
        <f t="shared" si="20"/>
        <v>49348565279054.758</v>
      </c>
      <c r="E168" s="229">
        <f t="shared" si="21"/>
        <v>22008790757570.328</v>
      </c>
      <c r="F168" s="229"/>
      <c r="G168" s="229"/>
      <c r="H168" s="229"/>
      <c r="I168" s="229"/>
      <c r="J168" s="229"/>
      <c r="K168" s="229"/>
      <c r="L168" s="170"/>
      <c r="M168" s="170"/>
      <c r="N168" s="195">
        <f t="shared" si="22"/>
        <v>49348565279054.758</v>
      </c>
      <c r="O168" s="195">
        <f t="shared" si="23"/>
        <v>22008790757570.328</v>
      </c>
      <c r="P168" s="195">
        <f t="shared" si="24"/>
        <v>22977062415569.961</v>
      </c>
      <c r="Q168" s="195">
        <f t="shared" si="25"/>
        <v>94334418452195.047</v>
      </c>
      <c r="R168" s="221">
        <f t="shared" si="26"/>
        <v>0.52312364976376735</v>
      </c>
      <c r="AC168" s="251"/>
    </row>
    <row r="169" spans="1:29" ht="15.6" x14ac:dyDescent="0.3">
      <c r="A169" s="206">
        <v>2046</v>
      </c>
      <c r="B169" s="229">
        <v>128075077740024.94</v>
      </c>
      <c r="C169" s="229">
        <f t="shared" si="19"/>
        <v>23220161286867.164</v>
      </c>
      <c r="D169" s="229">
        <f t="shared" si="20"/>
        <v>50412121956095.391</v>
      </c>
      <c r="E169" s="229">
        <f t="shared" si="21"/>
        <v>22002536683728.02</v>
      </c>
      <c r="F169" s="229"/>
      <c r="G169" s="229"/>
      <c r="H169" s="229"/>
      <c r="I169" s="229"/>
      <c r="J169" s="229"/>
      <c r="K169" s="229"/>
      <c r="L169" s="170"/>
      <c r="M169" s="170"/>
      <c r="N169" s="195">
        <f t="shared" si="22"/>
        <v>50412121956095.391</v>
      </c>
      <c r="O169" s="195">
        <f t="shared" si="23"/>
        <v>22002536683728.02</v>
      </c>
      <c r="P169" s="195">
        <f t="shared" si="24"/>
        <v>23220161286867.164</v>
      </c>
      <c r="Q169" s="195">
        <f t="shared" si="25"/>
        <v>95634819926690.578</v>
      </c>
      <c r="R169" s="221">
        <f t="shared" si="26"/>
        <v>0.52713145687668039</v>
      </c>
      <c r="AC169" s="251"/>
    </row>
    <row r="170" spans="1:29" ht="15.6" x14ac:dyDescent="0.3">
      <c r="A170" s="206">
        <v>2047</v>
      </c>
      <c r="B170" s="229">
        <v>131163332525058.88</v>
      </c>
      <c r="C170" s="229">
        <f t="shared" si="19"/>
        <v>23401603924653.934</v>
      </c>
      <c r="D170" s="229">
        <f t="shared" si="20"/>
        <v>51441571112183.266</v>
      </c>
      <c r="E170" s="229">
        <f t="shared" si="21"/>
        <v>22019807914714.508</v>
      </c>
      <c r="F170" s="229"/>
      <c r="G170" s="229"/>
      <c r="H170" s="229"/>
      <c r="I170" s="229"/>
      <c r="J170" s="229"/>
      <c r="K170" s="229"/>
      <c r="L170" s="170"/>
      <c r="M170" s="170"/>
      <c r="N170" s="195">
        <f t="shared" si="22"/>
        <v>51441571112183.266</v>
      </c>
      <c r="O170" s="195">
        <f t="shared" si="23"/>
        <v>22019807914714.508</v>
      </c>
      <c r="P170" s="195">
        <f t="shared" si="24"/>
        <v>23401603924653.934</v>
      </c>
      <c r="Q170" s="195">
        <f t="shared" si="25"/>
        <v>96862982951551.719</v>
      </c>
      <c r="R170" s="221">
        <f t="shared" si="26"/>
        <v>0.53107564463416301</v>
      </c>
      <c r="AC170" s="251"/>
    </row>
    <row r="171" spans="1:29" ht="15.6" x14ac:dyDescent="0.3">
      <c r="A171" s="206">
        <v>2048</v>
      </c>
      <c r="B171" s="229">
        <v>134318227588364.42</v>
      </c>
      <c r="C171" s="229">
        <f t="shared" si="19"/>
        <v>23582079492688.75</v>
      </c>
      <c r="D171" s="229">
        <f t="shared" si="20"/>
        <v>52447118100018.656</v>
      </c>
      <c r="E171" s="229">
        <f t="shared" si="21"/>
        <v>22032996593565.332</v>
      </c>
      <c r="F171" s="229"/>
      <c r="G171" s="229"/>
      <c r="H171" s="229"/>
      <c r="I171" s="229"/>
      <c r="J171" s="229"/>
      <c r="K171" s="229"/>
      <c r="L171" s="170"/>
      <c r="M171" s="170"/>
      <c r="N171" s="195">
        <f t="shared" si="22"/>
        <v>52447118100018.656</v>
      </c>
      <c r="O171" s="195">
        <f t="shared" si="23"/>
        <v>22032996593565.332</v>
      </c>
      <c r="P171" s="195">
        <f t="shared" si="24"/>
        <v>23582079492688.75</v>
      </c>
      <c r="Q171" s="195">
        <f t="shared" si="25"/>
        <v>98062194186272.734</v>
      </c>
      <c r="R171" s="221">
        <f t="shared" si="26"/>
        <v>0.53483524956002337</v>
      </c>
      <c r="AC171" s="251"/>
    </row>
    <row r="172" spans="1:29" ht="15.6" x14ac:dyDescent="0.3">
      <c r="A172" s="206">
        <v>2049</v>
      </c>
      <c r="B172" s="229">
        <v>137541436267469.72</v>
      </c>
      <c r="C172" s="229">
        <f t="shared" si="19"/>
        <v>23761421270179.031</v>
      </c>
      <c r="D172" s="229">
        <f t="shared" si="20"/>
        <v>53426502081850.961</v>
      </c>
      <c r="E172" s="229">
        <f t="shared" si="21"/>
        <v>22042908074790.543</v>
      </c>
      <c r="F172" s="229"/>
      <c r="G172" s="229"/>
      <c r="H172" s="229"/>
      <c r="I172" s="229"/>
      <c r="J172" s="229"/>
      <c r="K172" s="229"/>
      <c r="L172" s="170"/>
      <c r="M172" s="170"/>
      <c r="N172" s="195">
        <f t="shared" si="22"/>
        <v>53426502081850.961</v>
      </c>
      <c r="O172" s="195">
        <f t="shared" si="23"/>
        <v>22042908074790.543</v>
      </c>
      <c r="P172" s="195">
        <f t="shared" si="24"/>
        <v>23761421270179.031</v>
      </c>
      <c r="Q172" s="195">
        <f t="shared" si="25"/>
        <v>99230831426820.547</v>
      </c>
      <c r="R172" s="221">
        <f t="shared" si="26"/>
        <v>0.53840627266386698</v>
      </c>
      <c r="AC172" s="251"/>
    </row>
    <row r="173" spans="1:29" ht="16.2" thickBot="1" x14ac:dyDescent="0.35">
      <c r="A173" s="208">
        <v>2050</v>
      </c>
      <c r="B173" s="231">
        <v>140806778503514.09</v>
      </c>
      <c r="C173" s="229">
        <f t="shared" si="19"/>
        <v>23878383038888.477</v>
      </c>
      <c r="D173" s="229">
        <f t="shared" si="20"/>
        <v>54396590671889.055</v>
      </c>
      <c r="E173" s="229">
        <f t="shared" si="21"/>
        <v>22078938862739.5</v>
      </c>
      <c r="F173" s="231"/>
      <c r="G173" s="231"/>
      <c r="H173" s="231"/>
      <c r="I173" s="231"/>
      <c r="J173" s="231"/>
      <c r="K173" s="231"/>
      <c r="L173" s="209"/>
      <c r="M173" s="209"/>
      <c r="N173" s="195">
        <f t="shared" si="22"/>
        <v>54396590671889.055</v>
      </c>
      <c r="O173" s="195">
        <f t="shared" si="23"/>
        <v>22078938862739.5</v>
      </c>
      <c r="P173" s="195">
        <f t="shared" si="24"/>
        <v>23878383038888.477</v>
      </c>
      <c r="Q173" s="195">
        <f t="shared" si="25"/>
        <v>100353912573517.03</v>
      </c>
      <c r="R173" s="222">
        <f t="shared" si="26"/>
        <v>0.54204753234747405</v>
      </c>
      <c r="AC173" s="251"/>
    </row>
    <row r="174" spans="1:29" ht="15.6" x14ac:dyDescent="0.3">
      <c r="A174" s="213">
        <v>2051</v>
      </c>
      <c r="B174" s="227">
        <v>144199493669304.19</v>
      </c>
      <c r="C174" s="229">
        <f t="shared" si="19"/>
        <v>24116036570355.641</v>
      </c>
      <c r="D174" s="229">
        <f t="shared" si="20"/>
        <v>55297737676503.828</v>
      </c>
      <c r="E174" s="229">
        <f t="shared" si="21"/>
        <v>22056120862404.289</v>
      </c>
      <c r="F174" s="227"/>
      <c r="G174" s="227"/>
      <c r="H174" s="227"/>
      <c r="I174" s="227"/>
      <c r="J174" s="227"/>
      <c r="K174" s="227"/>
      <c r="N174" s="195">
        <f t="shared" si="22"/>
        <v>55297737676503.828</v>
      </c>
      <c r="O174" s="195">
        <f t="shared" si="23"/>
        <v>22056120862404.289</v>
      </c>
      <c r="P174" s="195">
        <f t="shared" si="24"/>
        <v>24116036570355.641</v>
      </c>
      <c r="Q174" s="195">
        <f t="shared" si="25"/>
        <v>101469895109263.75</v>
      </c>
      <c r="R174" s="214">
        <f t="shared" si="26"/>
        <v>0.54496693444847555</v>
      </c>
      <c r="AC174" s="251"/>
    </row>
    <row r="175" spans="1:29" ht="15.6" x14ac:dyDescent="0.3">
      <c r="A175" s="194">
        <v>2052</v>
      </c>
      <c r="B175" s="229">
        <v>147637717711652.97</v>
      </c>
      <c r="C175" s="229">
        <f t="shared" si="19"/>
        <v>24290976651456.801</v>
      </c>
      <c r="D175" s="229">
        <f t="shared" si="20"/>
        <v>56185067613823.148</v>
      </c>
      <c r="E175" s="229">
        <f t="shared" si="21"/>
        <v>22061032877812.926</v>
      </c>
      <c r="F175" s="229"/>
      <c r="G175" s="229"/>
      <c r="H175" s="229"/>
      <c r="I175" s="229"/>
      <c r="J175" s="229"/>
      <c r="K175" s="229"/>
      <c r="N175" s="195">
        <f t="shared" si="22"/>
        <v>56185067613823.148</v>
      </c>
      <c r="O175" s="195">
        <f t="shared" si="23"/>
        <v>22061032877812.926</v>
      </c>
      <c r="P175" s="195">
        <f t="shared" si="24"/>
        <v>24290976651456.801</v>
      </c>
      <c r="Q175" s="195">
        <f t="shared" si="25"/>
        <v>102537077143092.88</v>
      </c>
      <c r="R175" s="196">
        <f t="shared" si="26"/>
        <v>0.54794879256618145</v>
      </c>
      <c r="AC175" s="251"/>
    </row>
    <row r="176" spans="1:29" ht="15.6" x14ac:dyDescent="0.3">
      <c r="A176" s="194">
        <v>2053</v>
      </c>
      <c r="B176" s="229">
        <v>151150718528937.34</v>
      </c>
      <c r="C176" s="229">
        <f t="shared" si="19"/>
        <v>24464116058843.078</v>
      </c>
      <c r="D176" s="229">
        <f t="shared" si="20"/>
        <v>57037191194136.922</v>
      </c>
      <c r="E176" s="229">
        <f t="shared" si="21"/>
        <v>22065889113636.141</v>
      </c>
      <c r="F176" s="229"/>
      <c r="G176" s="229"/>
      <c r="H176" s="229"/>
      <c r="I176" s="229"/>
      <c r="J176" s="229"/>
      <c r="K176" s="229"/>
      <c r="N176" s="195">
        <f t="shared" si="22"/>
        <v>57037191194136.922</v>
      </c>
      <c r="O176" s="195">
        <f t="shared" si="23"/>
        <v>22065889113636.141</v>
      </c>
      <c r="P176" s="195">
        <f t="shared" si="24"/>
        <v>24464116058843.078</v>
      </c>
      <c r="Q176" s="195">
        <f t="shared" si="25"/>
        <v>103567196366616.14</v>
      </c>
      <c r="R176" s="196">
        <f t="shared" si="26"/>
        <v>0.55072641912823173</v>
      </c>
      <c r="AC176" s="251"/>
    </row>
    <row r="177" spans="1:29" ht="15.6" x14ac:dyDescent="0.3">
      <c r="A177" s="194">
        <v>2054</v>
      </c>
      <c r="B177" s="229">
        <v>154739815282127.72</v>
      </c>
      <c r="C177" s="229">
        <f t="shared" si="19"/>
        <v>24635288071721.891</v>
      </c>
      <c r="D177" s="229">
        <f t="shared" si="20"/>
        <v>57851847579694.523</v>
      </c>
      <c r="E177" s="229">
        <f t="shared" si="21"/>
        <v>22071494924383.977</v>
      </c>
      <c r="F177" s="229"/>
      <c r="G177" s="229"/>
      <c r="H177" s="229"/>
      <c r="I177" s="229"/>
      <c r="J177" s="229"/>
      <c r="K177" s="229"/>
      <c r="N177" s="195">
        <f t="shared" si="22"/>
        <v>57851847579694.523</v>
      </c>
      <c r="O177" s="195">
        <f t="shared" si="23"/>
        <v>22071494924383.977</v>
      </c>
      <c r="P177" s="195">
        <f t="shared" si="24"/>
        <v>24635288071721.891</v>
      </c>
      <c r="Q177" s="195">
        <f t="shared" si="25"/>
        <v>104558630575800.38</v>
      </c>
      <c r="R177" s="196">
        <f t="shared" si="26"/>
        <v>0.55329576584072127</v>
      </c>
      <c r="AC177" s="251"/>
    </row>
    <row r="178" spans="1:29" ht="15.6" x14ac:dyDescent="0.3">
      <c r="A178" s="194">
        <v>2055</v>
      </c>
      <c r="B178" s="229">
        <v>158406402986427.63</v>
      </c>
      <c r="C178" s="229">
        <f t="shared" si="19"/>
        <v>24757387210462.137</v>
      </c>
      <c r="D178" s="229">
        <f t="shared" si="20"/>
        <v>58729658261944.055</v>
      </c>
      <c r="E178" s="229">
        <f t="shared" si="21"/>
        <v>22131407334939.055</v>
      </c>
      <c r="F178" s="229"/>
      <c r="G178" s="229"/>
      <c r="H178" s="229"/>
      <c r="I178" s="229"/>
      <c r="J178" s="229"/>
      <c r="K178" s="229"/>
      <c r="N178" s="195">
        <f t="shared" si="22"/>
        <v>58729658261944.055</v>
      </c>
      <c r="O178" s="195">
        <f t="shared" si="23"/>
        <v>22131407334939.055</v>
      </c>
      <c r="P178" s="195">
        <f t="shared" si="24"/>
        <v>24757387210462.137</v>
      </c>
      <c r="Q178" s="195">
        <f t="shared" si="25"/>
        <v>105618452807345.25</v>
      </c>
      <c r="R178" s="196">
        <f t="shared" si="26"/>
        <v>0.55605490045447525</v>
      </c>
      <c r="AC178" s="251"/>
    </row>
    <row r="179" spans="1:29" ht="15.6" x14ac:dyDescent="0.3">
      <c r="A179" s="194">
        <v>2056</v>
      </c>
      <c r="B179" s="229">
        <v>162152054492947.19</v>
      </c>
      <c r="C179" s="229">
        <f t="shared" si="19"/>
        <v>24971063030786.777</v>
      </c>
      <c r="D179" s="229">
        <f t="shared" si="20"/>
        <v>59359715415538.734</v>
      </c>
      <c r="E179" s="229">
        <f t="shared" si="21"/>
        <v>22088176688693.699</v>
      </c>
      <c r="F179" s="229"/>
      <c r="G179" s="229"/>
      <c r="H179" s="229"/>
      <c r="I179" s="229"/>
      <c r="J179" s="229"/>
      <c r="K179" s="229"/>
      <c r="N179" s="195">
        <f t="shared" si="22"/>
        <v>59359715415538.734</v>
      </c>
      <c r="O179" s="195">
        <f t="shared" si="23"/>
        <v>22088176688693.699</v>
      </c>
      <c r="P179" s="195">
        <f t="shared" si="24"/>
        <v>24971063030786.777</v>
      </c>
      <c r="Q179" s="195">
        <f t="shared" si="25"/>
        <v>106418955135019.22</v>
      </c>
      <c r="R179" s="196">
        <f t="shared" si="26"/>
        <v>0.55779269153907785</v>
      </c>
      <c r="AC179" s="251"/>
    </row>
    <row r="180" spans="1:29" ht="15.6" x14ac:dyDescent="0.3">
      <c r="A180" s="194">
        <v>2057</v>
      </c>
      <c r="B180" s="229">
        <v>165978509925135.31</v>
      </c>
      <c r="C180" s="229">
        <f t="shared" si="19"/>
        <v>25135332535387.68</v>
      </c>
      <c r="D180" s="229">
        <f t="shared" si="20"/>
        <v>60048405190324.125</v>
      </c>
      <c r="E180" s="229">
        <f t="shared" si="21"/>
        <v>22100863351275.684</v>
      </c>
      <c r="F180" s="229"/>
      <c r="G180" s="229"/>
      <c r="H180" s="229"/>
      <c r="I180" s="229"/>
      <c r="J180" s="229"/>
      <c r="K180" s="229"/>
      <c r="N180" s="195">
        <f t="shared" si="22"/>
        <v>60048405190324.125</v>
      </c>
      <c r="O180" s="195">
        <f t="shared" si="23"/>
        <v>22100863351275.684</v>
      </c>
      <c r="P180" s="195">
        <f t="shared" si="24"/>
        <v>25135332535387.68</v>
      </c>
      <c r="Q180" s="195">
        <f t="shared" si="25"/>
        <v>107284601076987.5</v>
      </c>
      <c r="R180" s="196">
        <f t="shared" si="26"/>
        <v>0.55971131539402708</v>
      </c>
      <c r="AC180" s="251"/>
    </row>
    <row r="181" spans="1:29" ht="15.6" x14ac:dyDescent="0.3">
      <c r="A181" s="194">
        <v>2058</v>
      </c>
      <c r="B181" s="229">
        <v>169887539791599.91</v>
      </c>
      <c r="C181" s="229">
        <f t="shared" si="19"/>
        <v>25296967762310.77</v>
      </c>
      <c r="D181" s="229">
        <f t="shared" si="20"/>
        <v>60690584419350.875</v>
      </c>
      <c r="E181" s="229">
        <f t="shared" si="21"/>
        <v>22117521006822.48</v>
      </c>
      <c r="F181" s="229"/>
      <c r="G181" s="229"/>
      <c r="H181" s="229"/>
      <c r="I181" s="229"/>
      <c r="J181" s="229"/>
      <c r="K181" s="229"/>
      <c r="N181" s="195">
        <f t="shared" si="22"/>
        <v>60690584419350.875</v>
      </c>
      <c r="O181" s="195">
        <f t="shared" si="23"/>
        <v>22117521006822.48</v>
      </c>
      <c r="P181" s="195">
        <f t="shared" si="24"/>
        <v>25296967762310.77</v>
      </c>
      <c r="Q181" s="195">
        <f t="shared" si="25"/>
        <v>108105073188484.13</v>
      </c>
      <c r="R181" s="196">
        <f t="shared" si="26"/>
        <v>0.56140366616777726</v>
      </c>
      <c r="AC181" s="251"/>
    </row>
    <row r="182" spans="1:29" ht="15.6" x14ac:dyDescent="0.3">
      <c r="A182" s="194">
        <v>2059</v>
      </c>
      <c r="B182" s="229">
        <v>173881012323680.53</v>
      </c>
      <c r="C182" s="229">
        <f t="shared" si="19"/>
        <v>25455801990763.465</v>
      </c>
      <c r="D182" s="229">
        <f t="shared" si="20"/>
        <v>61283992264868.375</v>
      </c>
      <c r="E182" s="229">
        <f t="shared" si="21"/>
        <v>22138955009844.145</v>
      </c>
      <c r="F182" s="229"/>
      <c r="G182" s="229"/>
      <c r="H182" s="229"/>
      <c r="I182" s="229"/>
      <c r="J182" s="229"/>
      <c r="K182" s="229"/>
      <c r="N182" s="195">
        <f t="shared" si="22"/>
        <v>61283992264868.375</v>
      </c>
      <c r="O182" s="195">
        <f t="shared" si="23"/>
        <v>22138955009844.145</v>
      </c>
      <c r="P182" s="195">
        <f t="shared" si="24"/>
        <v>25455801990763.465</v>
      </c>
      <c r="Q182" s="195">
        <f t="shared" si="25"/>
        <v>108878749265475.98</v>
      </c>
      <c r="R182" s="196">
        <f t="shared" si="26"/>
        <v>0.56286458724320343</v>
      </c>
      <c r="AC182" s="251"/>
    </row>
    <row r="183" spans="1:29" ht="15.6" x14ac:dyDescent="0.3">
      <c r="A183" s="194">
        <v>2060</v>
      </c>
      <c r="B183" s="229">
        <v>177960814973400.88</v>
      </c>
      <c r="C183" s="229">
        <f t="shared" si="19"/>
        <v>25666805217146.117</v>
      </c>
      <c r="D183" s="229">
        <f t="shared" si="20"/>
        <v>61765125438297.531</v>
      </c>
      <c r="E183" s="229">
        <f t="shared" si="21"/>
        <v>22127937259425.352</v>
      </c>
      <c r="F183" s="229"/>
      <c r="G183" s="229"/>
      <c r="H183" s="229"/>
      <c r="I183" s="229"/>
      <c r="J183" s="229"/>
      <c r="K183" s="229"/>
      <c r="N183" s="195">
        <f t="shared" si="22"/>
        <v>61765125438297.531</v>
      </c>
      <c r="O183" s="195">
        <f t="shared" si="23"/>
        <v>22127937259425.352</v>
      </c>
      <c r="P183" s="195">
        <f t="shared" si="24"/>
        <v>25666805217146.117</v>
      </c>
      <c r="Q183" s="195">
        <f t="shared" si="25"/>
        <v>109559867914869</v>
      </c>
      <c r="R183" s="196">
        <f>N183/Q183</f>
        <v>0.56375684467136011</v>
      </c>
      <c r="AC183" s="251"/>
    </row>
    <row r="186" spans="1:29" x14ac:dyDescent="0.25">
      <c r="H186" s="250"/>
      <c r="I186" s="250"/>
      <c r="J186" s="250"/>
      <c r="K186" s="250"/>
    </row>
    <row r="187" spans="1:29" x14ac:dyDescent="0.25">
      <c r="H187" s="250"/>
      <c r="I187" s="250"/>
      <c r="J187" s="250"/>
      <c r="K187" s="250"/>
    </row>
    <row r="188" spans="1:29" x14ac:dyDescent="0.25">
      <c r="H188" s="250"/>
      <c r="I188" s="250"/>
      <c r="J188" s="250"/>
      <c r="K188" s="250"/>
    </row>
    <row r="189" spans="1:29" x14ac:dyDescent="0.25">
      <c r="H189" s="250"/>
      <c r="I189" s="250"/>
      <c r="J189" s="250"/>
      <c r="K189" s="250"/>
    </row>
    <row r="190" spans="1:29" x14ac:dyDescent="0.25">
      <c r="H190" s="250"/>
      <c r="I190" s="250"/>
      <c r="J190" s="250"/>
      <c r="K190" s="250"/>
    </row>
    <row r="191" spans="1:29" x14ac:dyDescent="0.25">
      <c r="H191" s="250"/>
      <c r="I191" s="250"/>
      <c r="J191" s="250"/>
      <c r="K191" s="250"/>
    </row>
    <row r="192" spans="1:29" x14ac:dyDescent="0.25">
      <c r="H192" s="250"/>
      <c r="I192" s="250"/>
      <c r="J192" s="250"/>
      <c r="K192" s="250"/>
    </row>
    <row r="193" spans="1:11" x14ac:dyDescent="0.25">
      <c r="H193" s="250"/>
      <c r="I193" s="250"/>
      <c r="J193" s="250"/>
      <c r="K193" s="250"/>
    </row>
    <row r="194" spans="1:11" x14ac:dyDescent="0.25">
      <c r="H194" s="250"/>
      <c r="I194" s="250"/>
      <c r="J194" s="250"/>
      <c r="K194" s="250"/>
    </row>
    <row r="195" spans="1:11" ht="13.8" thickBot="1" x14ac:dyDescent="0.3">
      <c r="H195" s="250"/>
      <c r="I195" s="250"/>
      <c r="J195" s="250"/>
      <c r="K195" s="250"/>
    </row>
    <row r="196" spans="1:11" ht="13.8" thickBot="1" x14ac:dyDescent="0.3">
      <c r="A196" s="194"/>
      <c r="B196" s="218" t="s">
        <v>4</v>
      </c>
      <c r="C196" s="191" t="s">
        <v>5</v>
      </c>
      <c r="D196" s="191" t="s">
        <v>6</v>
      </c>
      <c r="E196" s="191" t="s">
        <v>7</v>
      </c>
      <c r="F196" s="191" t="s">
        <v>8</v>
      </c>
      <c r="G196" s="191" t="s">
        <v>9</v>
      </c>
      <c r="H196" s="191" t="s">
        <v>10</v>
      </c>
      <c r="I196" s="191" t="s">
        <v>11</v>
      </c>
      <c r="J196" s="191" t="s">
        <v>12</v>
      </c>
      <c r="K196" s="192" t="s">
        <v>13</v>
      </c>
    </row>
    <row r="197" spans="1:11" ht="15.6" x14ac:dyDescent="0.3">
      <c r="A197" s="194">
        <v>2014</v>
      </c>
      <c r="B197" s="229"/>
      <c r="C197" s="229"/>
      <c r="D197" s="229"/>
      <c r="E197" s="229"/>
      <c r="F197" s="229"/>
      <c r="G197" s="229"/>
      <c r="H197" s="229"/>
      <c r="I197" s="229"/>
      <c r="J197" s="229"/>
      <c r="K197" s="229"/>
    </row>
    <row r="198" spans="1:11" ht="15.6" x14ac:dyDescent="0.3">
      <c r="A198" s="194">
        <v>2015</v>
      </c>
      <c r="B198" s="229"/>
      <c r="C198" s="229"/>
      <c r="D198" s="229"/>
      <c r="E198" s="229"/>
      <c r="F198" s="229"/>
      <c r="G198" s="229"/>
      <c r="H198" s="229"/>
      <c r="I198" s="229"/>
      <c r="J198" s="229"/>
      <c r="K198" s="229"/>
    </row>
    <row r="199" spans="1:11" ht="15.6" x14ac:dyDescent="0.3">
      <c r="A199" s="194">
        <v>2016</v>
      </c>
      <c r="B199" s="229"/>
      <c r="C199" s="229"/>
      <c r="D199" s="229"/>
      <c r="E199" s="229"/>
      <c r="F199" s="229"/>
      <c r="G199" s="229"/>
      <c r="H199" s="229"/>
      <c r="I199" s="229"/>
      <c r="J199" s="229"/>
      <c r="K199" s="229"/>
    </row>
    <row r="200" spans="1:11" ht="15.6" x14ac:dyDescent="0.3">
      <c r="A200" s="194">
        <v>2017</v>
      </c>
      <c r="B200" s="229"/>
      <c r="C200" s="229"/>
      <c r="D200" s="229"/>
      <c r="E200" s="229"/>
      <c r="F200" s="229"/>
      <c r="G200" s="229"/>
      <c r="H200" s="229"/>
      <c r="I200" s="229"/>
      <c r="J200" s="229"/>
      <c r="K200" s="229"/>
    </row>
    <row r="201" spans="1:11" ht="15.6" x14ac:dyDescent="0.3">
      <c r="A201" s="194">
        <v>2018</v>
      </c>
      <c r="B201" s="229"/>
      <c r="C201" s="229"/>
      <c r="D201" s="229"/>
      <c r="E201" s="229"/>
      <c r="F201" s="229"/>
      <c r="G201" s="229"/>
      <c r="H201" s="229"/>
      <c r="I201" s="229"/>
      <c r="J201" s="229"/>
      <c r="K201" s="229"/>
    </row>
    <row r="202" spans="1:11" ht="16.2" thickBot="1" x14ac:dyDescent="0.35">
      <c r="A202" s="198">
        <v>2019</v>
      </c>
      <c r="B202" s="230"/>
      <c r="C202" s="230"/>
      <c r="D202" s="230"/>
      <c r="E202" s="230"/>
      <c r="F202" s="230"/>
      <c r="G202" s="230"/>
      <c r="H202" s="230"/>
      <c r="I202" s="230"/>
      <c r="J202" s="230"/>
      <c r="K202" s="230"/>
    </row>
    <row r="203" spans="1:11" ht="15.6" x14ac:dyDescent="0.3">
      <c r="A203" s="201">
        <v>2020</v>
      </c>
      <c r="B203" s="228"/>
      <c r="C203" s="228"/>
      <c r="D203" s="228"/>
      <c r="E203" s="228"/>
      <c r="F203" s="228"/>
      <c r="G203" s="228"/>
      <c r="H203" s="228"/>
      <c r="I203" s="228"/>
      <c r="J203" s="228"/>
      <c r="K203" s="228"/>
    </row>
    <row r="204" spans="1:11" ht="15.6" x14ac:dyDescent="0.3">
      <c r="A204" s="206">
        <v>2021</v>
      </c>
      <c r="B204" s="229"/>
      <c r="C204" s="229"/>
      <c r="D204" s="229"/>
      <c r="E204" s="229"/>
      <c r="F204" s="229"/>
      <c r="G204" s="229"/>
      <c r="H204" s="229"/>
      <c r="I204" s="229"/>
      <c r="J204" s="229"/>
      <c r="K204" s="229"/>
    </row>
    <row r="205" spans="1:11" ht="15.6" x14ac:dyDescent="0.3">
      <c r="A205" s="206">
        <v>2022</v>
      </c>
      <c r="B205" s="229"/>
      <c r="C205" s="229"/>
      <c r="D205" s="229"/>
      <c r="E205" s="229"/>
      <c r="F205" s="229"/>
      <c r="G205" s="229"/>
      <c r="H205" s="229"/>
      <c r="I205" s="229"/>
      <c r="J205" s="229"/>
      <c r="K205" s="229"/>
    </row>
    <row r="206" spans="1:11" ht="15.6" x14ac:dyDescent="0.3">
      <c r="A206" s="206">
        <v>2023</v>
      </c>
      <c r="B206" s="229"/>
      <c r="C206" s="229"/>
      <c r="D206" s="229"/>
      <c r="E206" s="229"/>
      <c r="F206" s="229"/>
      <c r="G206" s="229"/>
      <c r="H206" s="229"/>
      <c r="I206" s="229"/>
      <c r="J206" s="229"/>
      <c r="K206" s="229"/>
    </row>
    <row r="207" spans="1:11" ht="15.6" x14ac:dyDescent="0.3">
      <c r="A207" s="206">
        <v>2024</v>
      </c>
      <c r="B207" s="229"/>
      <c r="C207" s="229"/>
      <c r="D207" s="229"/>
      <c r="E207" s="229"/>
      <c r="F207" s="229"/>
      <c r="G207" s="229"/>
      <c r="H207" s="229"/>
      <c r="I207" s="229"/>
      <c r="J207" s="229"/>
      <c r="K207" s="229"/>
    </row>
    <row r="208" spans="1:11" ht="15.6" x14ac:dyDescent="0.3">
      <c r="A208" s="206">
        <v>2025</v>
      </c>
      <c r="B208" s="229"/>
      <c r="C208" s="229"/>
      <c r="D208" s="229"/>
      <c r="E208" s="229"/>
      <c r="F208" s="229"/>
      <c r="G208" s="229"/>
      <c r="H208" s="229"/>
      <c r="I208" s="229"/>
      <c r="J208" s="229"/>
      <c r="K208" s="229"/>
    </row>
    <row r="209" spans="1:11" ht="15.6" x14ac:dyDescent="0.3">
      <c r="A209" s="206">
        <v>2026</v>
      </c>
      <c r="B209" s="229"/>
      <c r="C209" s="229"/>
      <c r="D209" s="229"/>
      <c r="E209" s="229"/>
      <c r="F209" s="229"/>
      <c r="G209" s="229"/>
      <c r="H209" s="229"/>
      <c r="I209" s="229"/>
      <c r="J209" s="229"/>
      <c r="K209" s="229"/>
    </row>
    <row r="210" spans="1:11" ht="15.6" x14ac:dyDescent="0.3">
      <c r="A210" s="206">
        <v>2027</v>
      </c>
      <c r="B210" s="229"/>
      <c r="C210" s="229"/>
      <c r="D210" s="229"/>
      <c r="E210" s="229"/>
      <c r="F210" s="229"/>
      <c r="G210" s="229"/>
      <c r="H210" s="229"/>
      <c r="I210" s="229"/>
      <c r="J210" s="229"/>
      <c r="K210" s="229"/>
    </row>
    <row r="211" spans="1:11" ht="15.6" x14ac:dyDescent="0.3">
      <c r="A211" s="206">
        <v>2028</v>
      </c>
      <c r="B211" s="229"/>
      <c r="C211" s="229"/>
      <c r="D211" s="229"/>
      <c r="E211" s="229"/>
      <c r="F211" s="229"/>
      <c r="G211" s="229"/>
      <c r="H211" s="229"/>
      <c r="I211" s="229"/>
      <c r="J211" s="229"/>
      <c r="K211" s="229"/>
    </row>
    <row r="212" spans="1:11" ht="15.6" x14ac:dyDescent="0.3">
      <c r="A212" s="206">
        <v>2029</v>
      </c>
      <c r="B212" s="229"/>
      <c r="C212" s="229"/>
      <c r="D212" s="229"/>
      <c r="E212" s="229"/>
      <c r="F212" s="229"/>
      <c r="G212" s="229"/>
      <c r="H212" s="229"/>
      <c r="I212" s="229"/>
      <c r="J212" s="229"/>
      <c r="K212" s="229"/>
    </row>
    <row r="213" spans="1:11" ht="15.6" x14ac:dyDescent="0.3">
      <c r="A213" s="206">
        <v>2030</v>
      </c>
      <c r="B213" s="229"/>
      <c r="C213" s="229"/>
      <c r="D213" s="229"/>
      <c r="E213" s="229"/>
      <c r="F213" s="229"/>
      <c r="G213" s="229"/>
      <c r="H213" s="229"/>
      <c r="I213" s="229"/>
      <c r="J213" s="229"/>
      <c r="K213" s="229"/>
    </row>
    <row r="214" spans="1:11" ht="15.6" x14ac:dyDescent="0.3">
      <c r="A214" s="206">
        <v>2031</v>
      </c>
      <c r="B214" s="229"/>
      <c r="C214" s="229"/>
      <c r="D214" s="229"/>
      <c r="E214" s="229"/>
      <c r="F214" s="229"/>
      <c r="G214" s="229"/>
      <c r="H214" s="229"/>
      <c r="I214" s="229"/>
      <c r="J214" s="229"/>
      <c r="K214" s="229"/>
    </row>
    <row r="215" spans="1:11" ht="15.6" x14ac:dyDescent="0.3">
      <c r="A215" s="206">
        <v>2032</v>
      </c>
      <c r="B215" s="229"/>
      <c r="C215" s="229"/>
      <c r="D215" s="229"/>
      <c r="E215" s="229"/>
      <c r="F215" s="229"/>
      <c r="G215" s="229"/>
      <c r="H215" s="229"/>
      <c r="I215" s="229"/>
      <c r="J215" s="229"/>
      <c r="K215" s="229"/>
    </row>
    <row r="216" spans="1:11" ht="15.6" x14ac:dyDescent="0.3">
      <c r="A216" s="206">
        <v>2033</v>
      </c>
      <c r="B216" s="229"/>
      <c r="C216" s="229"/>
      <c r="D216" s="229"/>
      <c r="E216" s="229"/>
      <c r="F216" s="229"/>
      <c r="G216" s="229"/>
      <c r="H216" s="229"/>
      <c r="I216" s="229"/>
      <c r="J216" s="229"/>
      <c r="K216" s="229"/>
    </row>
    <row r="217" spans="1:11" ht="15.6" x14ac:dyDescent="0.3">
      <c r="A217" s="206">
        <v>2034</v>
      </c>
      <c r="B217" s="229"/>
      <c r="C217" s="229"/>
      <c r="D217" s="229"/>
      <c r="E217" s="229"/>
      <c r="F217" s="229"/>
      <c r="G217" s="229"/>
      <c r="H217" s="229"/>
      <c r="I217" s="229"/>
      <c r="J217" s="229"/>
      <c r="K217" s="229"/>
    </row>
    <row r="218" spans="1:11" ht="15.6" x14ac:dyDescent="0.3">
      <c r="A218" s="206">
        <v>2035</v>
      </c>
      <c r="B218" s="229"/>
      <c r="C218" s="229"/>
      <c r="D218" s="229"/>
      <c r="E218" s="229"/>
      <c r="F218" s="229"/>
      <c r="G218" s="229"/>
      <c r="H218" s="229"/>
      <c r="I218" s="229"/>
      <c r="J218" s="229"/>
      <c r="K218" s="229"/>
    </row>
    <row r="219" spans="1:11" ht="15.6" x14ac:dyDescent="0.3">
      <c r="A219" s="206">
        <v>2036</v>
      </c>
      <c r="B219" s="229"/>
      <c r="C219" s="229"/>
      <c r="D219" s="229"/>
      <c r="E219" s="229"/>
      <c r="F219" s="229"/>
      <c r="G219" s="229"/>
      <c r="H219" s="229"/>
      <c r="I219" s="229"/>
      <c r="J219" s="229"/>
      <c r="K219" s="229"/>
    </row>
    <row r="220" spans="1:11" ht="15.6" x14ac:dyDescent="0.3">
      <c r="A220" s="206">
        <v>2037</v>
      </c>
      <c r="B220" s="229"/>
      <c r="C220" s="229"/>
      <c r="D220" s="229"/>
      <c r="E220" s="229"/>
      <c r="F220" s="229"/>
      <c r="G220" s="229"/>
      <c r="H220" s="229"/>
      <c r="I220" s="229"/>
      <c r="J220" s="229"/>
      <c r="K220" s="229"/>
    </row>
    <row r="221" spans="1:11" ht="15.6" x14ac:dyDescent="0.3">
      <c r="A221" s="206">
        <v>2038</v>
      </c>
      <c r="B221" s="229"/>
      <c r="C221" s="229"/>
      <c r="D221" s="229"/>
      <c r="E221" s="229"/>
      <c r="F221" s="229"/>
      <c r="G221" s="229"/>
      <c r="H221" s="229"/>
      <c r="I221" s="229"/>
      <c r="J221" s="229"/>
      <c r="K221" s="229"/>
    </row>
    <row r="222" spans="1:11" ht="15.6" x14ac:dyDescent="0.3">
      <c r="A222" s="206">
        <v>2039</v>
      </c>
      <c r="B222" s="229"/>
      <c r="C222" s="229"/>
      <c r="D222" s="229"/>
      <c r="E222" s="229"/>
      <c r="F222" s="229"/>
      <c r="G222" s="229"/>
      <c r="H222" s="229"/>
      <c r="I222" s="229"/>
      <c r="J222" s="229"/>
      <c r="K222" s="229"/>
    </row>
    <row r="223" spans="1:11" ht="15.6" x14ac:dyDescent="0.3">
      <c r="A223" s="206">
        <v>2040</v>
      </c>
      <c r="B223" s="229"/>
      <c r="C223" s="229"/>
      <c r="D223" s="229"/>
      <c r="E223" s="229"/>
      <c r="F223" s="229"/>
      <c r="G223" s="229"/>
      <c r="H223" s="229"/>
      <c r="I223" s="229"/>
      <c r="J223" s="229"/>
      <c r="K223" s="229"/>
    </row>
    <row r="224" spans="1:11" ht="15.6" x14ac:dyDescent="0.3">
      <c r="A224" s="206">
        <v>2041</v>
      </c>
      <c r="B224" s="229"/>
      <c r="C224" s="229"/>
      <c r="D224" s="229"/>
      <c r="E224" s="229"/>
      <c r="F224" s="229"/>
      <c r="G224" s="229"/>
      <c r="H224" s="229"/>
      <c r="I224" s="229"/>
      <c r="J224" s="229"/>
      <c r="K224" s="229"/>
    </row>
    <row r="225" spans="1:11" ht="15.6" x14ac:dyDescent="0.3">
      <c r="A225" s="206">
        <v>2042</v>
      </c>
      <c r="B225" s="229"/>
      <c r="C225" s="229"/>
      <c r="D225" s="229"/>
      <c r="E225" s="229"/>
      <c r="F225" s="229"/>
      <c r="G225" s="229"/>
      <c r="H225" s="229"/>
      <c r="I225" s="229"/>
      <c r="J225" s="229"/>
      <c r="K225" s="229"/>
    </row>
    <row r="226" spans="1:11" ht="15.6" x14ac:dyDescent="0.3">
      <c r="A226" s="206">
        <v>2043</v>
      </c>
      <c r="B226" s="229"/>
      <c r="C226" s="229"/>
      <c r="D226" s="229"/>
      <c r="E226" s="229"/>
      <c r="F226" s="229"/>
      <c r="G226" s="229"/>
      <c r="H226" s="229"/>
      <c r="I226" s="229"/>
      <c r="J226" s="229"/>
      <c r="K226" s="229"/>
    </row>
    <row r="227" spans="1:11" ht="15.6" x14ac:dyDescent="0.3">
      <c r="A227" s="206">
        <v>2044</v>
      </c>
      <c r="B227" s="229"/>
      <c r="C227" s="229"/>
      <c r="D227" s="229"/>
      <c r="E227" s="229"/>
      <c r="F227" s="229"/>
      <c r="G227" s="229"/>
      <c r="H227" s="229"/>
      <c r="I227" s="229"/>
      <c r="J227" s="229"/>
      <c r="K227" s="229"/>
    </row>
    <row r="228" spans="1:11" ht="15.6" x14ac:dyDescent="0.3">
      <c r="A228" s="206">
        <v>2045</v>
      </c>
      <c r="B228" s="229"/>
      <c r="C228" s="229"/>
      <c r="D228" s="229"/>
      <c r="E228" s="229"/>
      <c r="F228" s="229"/>
      <c r="G228" s="229"/>
      <c r="H228" s="229"/>
      <c r="I228" s="229"/>
      <c r="J228" s="229"/>
      <c r="K228" s="229"/>
    </row>
    <row r="229" spans="1:11" ht="15.6" x14ac:dyDescent="0.3">
      <c r="A229" s="206">
        <v>2046</v>
      </c>
      <c r="B229" s="229"/>
      <c r="C229" s="229"/>
      <c r="D229" s="229"/>
      <c r="E229" s="229"/>
      <c r="F229" s="229"/>
      <c r="G229" s="229"/>
      <c r="H229" s="229"/>
      <c r="I229" s="229"/>
      <c r="J229" s="229"/>
      <c r="K229" s="229"/>
    </row>
    <row r="230" spans="1:11" ht="15.6" x14ac:dyDescent="0.3">
      <c r="A230" s="206">
        <v>2047</v>
      </c>
      <c r="B230" s="229"/>
      <c r="C230" s="229"/>
      <c r="D230" s="229"/>
      <c r="E230" s="229"/>
      <c r="F230" s="229"/>
      <c r="G230" s="229"/>
      <c r="H230" s="229"/>
      <c r="I230" s="229"/>
      <c r="J230" s="229"/>
      <c r="K230" s="229"/>
    </row>
    <row r="231" spans="1:11" ht="15.6" x14ac:dyDescent="0.3">
      <c r="A231" s="206">
        <v>2048</v>
      </c>
      <c r="B231" s="229"/>
      <c r="C231" s="229"/>
      <c r="D231" s="229"/>
      <c r="E231" s="229"/>
      <c r="F231" s="229"/>
      <c r="G231" s="229"/>
      <c r="H231" s="229"/>
      <c r="I231" s="229"/>
      <c r="J231" s="229"/>
      <c r="K231" s="229"/>
    </row>
    <row r="232" spans="1:11" ht="15.6" x14ac:dyDescent="0.3">
      <c r="A232" s="206">
        <v>2049</v>
      </c>
      <c r="B232" s="229"/>
      <c r="C232" s="229"/>
      <c r="D232" s="229"/>
      <c r="E232" s="229"/>
      <c r="F232" s="229"/>
      <c r="G232" s="229"/>
      <c r="H232" s="229"/>
      <c r="I232" s="229"/>
      <c r="J232" s="229"/>
      <c r="K232" s="229"/>
    </row>
    <row r="233" spans="1:11" ht="16.2" thickBot="1" x14ac:dyDescent="0.35">
      <c r="A233" s="208">
        <v>2050</v>
      </c>
      <c r="B233" s="231"/>
      <c r="C233" s="231"/>
      <c r="D233" s="231"/>
      <c r="E233" s="231"/>
      <c r="F233" s="231"/>
      <c r="G233" s="231"/>
      <c r="H233" s="231"/>
      <c r="I233" s="231"/>
      <c r="J233" s="231"/>
      <c r="K233" s="231"/>
    </row>
    <row r="234" spans="1:11" ht="15.6" x14ac:dyDescent="0.3">
      <c r="A234" s="213">
        <v>2051</v>
      </c>
      <c r="B234" s="227"/>
      <c r="C234" s="227"/>
      <c r="D234" s="227"/>
      <c r="E234" s="227"/>
      <c r="F234" s="227"/>
      <c r="G234" s="227"/>
      <c r="H234" s="227"/>
      <c r="I234" s="227"/>
      <c r="J234" s="227"/>
      <c r="K234" s="227"/>
    </row>
    <row r="235" spans="1:11" ht="15.6" x14ac:dyDescent="0.3">
      <c r="A235" s="194">
        <v>2052</v>
      </c>
      <c r="B235" s="229"/>
      <c r="C235" s="229"/>
      <c r="D235" s="229"/>
      <c r="E235" s="229"/>
      <c r="F235" s="229"/>
      <c r="G235" s="229"/>
      <c r="H235" s="229"/>
      <c r="I235" s="229"/>
      <c r="J235" s="229"/>
      <c r="K235" s="229"/>
    </row>
    <row r="236" spans="1:11" ht="15.6" x14ac:dyDescent="0.3">
      <c r="A236" s="194">
        <v>2053</v>
      </c>
      <c r="B236" s="229"/>
      <c r="C236" s="229"/>
      <c r="D236" s="229"/>
      <c r="E236" s="229"/>
      <c r="F236" s="229"/>
      <c r="G236" s="229"/>
      <c r="H236" s="229"/>
      <c r="I236" s="229"/>
      <c r="J236" s="229"/>
      <c r="K236" s="229"/>
    </row>
    <row r="237" spans="1:11" ht="15.6" x14ac:dyDescent="0.3">
      <c r="A237" s="194">
        <v>2054</v>
      </c>
      <c r="B237" s="229"/>
      <c r="C237" s="229"/>
      <c r="D237" s="229"/>
      <c r="E237" s="229"/>
      <c r="F237" s="229"/>
      <c r="G237" s="229"/>
      <c r="H237" s="229"/>
      <c r="I237" s="229"/>
      <c r="J237" s="229"/>
      <c r="K237" s="229"/>
    </row>
    <row r="238" spans="1:11" ht="15.6" x14ac:dyDescent="0.3">
      <c r="A238" s="194">
        <v>2055</v>
      </c>
      <c r="B238" s="229"/>
      <c r="C238" s="229"/>
      <c r="D238" s="229"/>
      <c r="E238" s="229"/>
      <c r="F238" s="229"/>
      <c r="G238" s="229"/>
      <c r="H238" s="229"/>
      <c r="I238" s="229"/>
      <c r="J238" s="229"/>
      <c r="K238" s="229"/>
    </row>
    <row r="239" spans="1:11" ht="15.6" x14ac:dyDescent="0.3">
      <c r="A239" s="194">
        <v>2056</v>
      </c>
      <c r="B239" s="229"/>
      <c r="C239" s="229"/>
      <c r="D239" s="229"/>
      <c r="E239" s="229"/>
      <c r="F239" s="229"/>
      <c r="G239" s="229"/>
      <c r="H239" s="229"/>
      <c r="I239" s="229"/>
      <c r="J239" s="229"/>
      <c r="K239" s="229"/>
    </row>
    <row r="240" spans="1:11" ht="15.6" x14ac:dyDescent="0.3">
      <c r="A240" s="194">
        <v>2057</v>
      </c>
      <c r="B240" s="229"/>
      <c r="C240" s="229"/>
      <c r="D240" s="229"/>
      <c r="E240" s="229"/>
      <c r="F240" s="229"/>
      <c r="G240" s="229"/>
      <c r="H240" s="229"/>
      <c r="I240" s="229"/>
      <c r="J240" s="229"/>
      <c r="K240" s="229"/>
    </row>
    <row r="241" spans="1:11" ht="15.6" x14ac:dyDescent="0.3">
      <c r="A241" s="194">
        <v>2058</v>
      </c>
      <c r="B241" s="229"/>
      <c r="C241" s="229"/>
      <c r="D241" s="229"/>
      <c r="E241" s="229"/>
      <c r="F241" s="229"/>
      <c r="G241" s="229"/>
      <c r="H241" s="229"/>
      <c r="I241" s="229"/>
      <c r="J241" s="229"/>
      <c r="K241" s="229"/>
    </row>
    <row r="242" spans="1:11" ht="15.6" x14ac:dyDescent="0.3">
      <c r="A242" s="194">
        <v>2059</v>
      </c>
      <c r="B242" s="229"/>
      <c r="C242" s="229"/>
      <c r="D242" s="229"/>
      <c r="E242" s="229"/>
      <c r="F242" s="229"/>
      <c r="G242" s="229"/>
      <c r="H242" s="229"/>
      <c r="I242" s="229"/>
      <c r="J242" s="229"/>
      <c r="K242" s="229"/>
    </row>
    <row r="243" spans="1:11" ht="15.6" x14ac:dyDescent="0.3">
      <c r="A243" s="194">
        <v>2060</v>
      </c>
      <c r="B243" s="229"/>
      <c r="C243" s="229"/>
      <c r="D243" s="229"/>
      <c r="E243" s="229"/>
      <c r="F243" s="229"/>
      <c r="G243" s="229"/>
      <c r="H243" s="229"/>
      <c r="I243" s="229"/>
      <c r="J243" s="229"/>
      <c r="K243" s="229"/>
    </row>
    <row r="244" spans="1:11" x14ac:dyDescent="0.25">
      <c r="H244" s="250"/>
      <c r="I244" s="250"/>
      <c r="J244" s="250"/>
      <c r="K244" s="250"/>
    </row>
    <row r="245" spans="1:11" x14ac:dyDescent="0.25">
      <c r="H245" s="250"/>
      <c r="I245" s="250"/>
      <c r="J245" s="250"/>
      <c r="K245" s="250"/>
    </row>
    <row r="246" spans="1:11" x14ac:dyDescent="0.25">
      <c r="H246" s="250"/>
      <c r="I246" s="250"/>
      <c r="J246" s="250"/>
      <c r="K246" s="250"/>
    </row>
    <row r="247" spans="1:11" x14ac:dyDescent="0.25">
      <c r="H247" s="250"/>
      <c r="I247" s="250"/>
      <c r="J247" s="250"/>
      <c r="K247" s="250"/>
    </row>
    <row r="248" spans="1:11" x14ac:dyDescent="0.25">
      <c r="H248" s="250"/>
      <c r="I248" s="250"/>
      <c r="J248" s="250"/>
      <c r="K248" s="250"/>
    </row>
    <row r="249" spans="1:11" x14ac:dyDescent="0.25">
      <c r="H249" s="250"/>
      <c r="I249" s="250"/>
      <c r="J249" s="250"/>
      <c r="K249" s="250"/>
    </row>
    <row r="250" spans="1:11" x14ac:dyDescent="0.25">
      <c r="H250" s="250"/>
      <c r="I250" s="250"/>
      <c r="J250" s="250"/>
      <c r="K250" s="250"/>
    </row>
    <row r="251" spans="1:11" x14ac:dyDescent="0.25">
      <c r="H251" s="250"/>
      <c r="I251" s="250"/>
      <c r="J251" s="250"/>
      <c r="K251" s="250"/>
    </row>
    <row r="252" spans="1:11" x14ac:dyDescent="0.25">
      <c r="H252" s="250"/>
      <c r="I252" s="250"/>
      <c r="J252" s="250"/>
      <c r="K252" s="250"/>
    </row>
    <row r="253" spans="1:11" x14ac:dyDescent="0.25">
      <c r="H253" s="250"/>
      <c r="I253" s="250"/>
      <c r="J253" s="250"/>
      <c r="K253" s="250"/>
    </row>
    <row r="254" spans="1:11" x14ac:dyDescent="0.25">
      <c r="A254" s="373" t="s">
        <v>358</v>
      </c>
      <c r="B254" s="372"/>
      <c r="C254" s="372"/>
      <c r="D254" s="372"/>
      <c r="E254" s="372"/>
      <c r="F254" s="372"/>
      <c r="H254" s="250"/>
      <c r="I254" s="250"/>
      <c r="J254" s="250"/>
      <c r="K254" s="250"/>
    </row>
    <row r="255" spans="1:11" ht="15.6" x14ac:dyDescent="0.3">
      <c r="A255" s="327">
        <v>1</v>
      </c>
      <c r="B255" s="328" t="s">
        <v>337</v>
      </c>
      <c r="C255" s="329"/>
      <c r="D255" s="329"/>
      <c r="E255" s="329"/>
      <c r="F255" s="329"/>
      <c r="G255" s="329"/>
      <c r="H255" s="329"/>
      <c r="I255" s="250"/>
      <c r="J255" s="250"/>
      <c r="K255" s="250"/>
    </row>
    <row r="256" spans="1:11" ht="15.6" x14ac:dyDescent="0.3">
      <c r="A256" s="330" t="s">
        <v>338</v>
      </c>
      <c r="B256" s="331"/>
      <c r="C256" s="331"/>
      <c r="D256" s="332"/>
      <c r="E256" s="333"/>
      <c r="F256" s="703"/>
      <c r="G256" s="333"/>
      <c r="H256" s="334"/>
      <c r="I256" s="250"/>
      <c r="J256" s="250"/>
      <c r="K256" s="250"/>
    </row>
    <row r="257" spans="1:11" ht="16.2" thickBot="1" x14ac:dyDescent="0.3">
      <c r="A257" s="335" t="s">
        <v>339</v>
      </c>
      <c r="B257" s="336"/>
      <c r="C257" s="336"/>
      <c r="D257" s="337"/>
      <c r="E257" s="338" t="s">
        <v>340</v>
      </c>
      <c r="F257" s="704"/>
      <c r="G257" s="339" t="s">
        <v>341</v>
      </c>
      <c r="H257" s="334"/>
      <c r="I257" s="250"/>
      <c r="J257" s="250"/>
      <c r="K257" s="250"/>
    </row>
    <row r="258" spans="1:11" ht="16.2" thickBot="1" x14ac:dyDescent="0.3">
      <c r="A258" s="340"/>
      <c r="B258" s="340"/>
      <c r="C258" s="340"/>
      <c r="D258" s="341"/>
      <c r="E258" s="339" t="s">
        <v>342</v>
      </c>
      <c r="F258" s="339" t="s">
        <v>343</v>
      </c>
      <c r="G258" s="342" t="s">
        <v>344</v>
      </c>
      <c r="H258" s="339" t="s">
        <v>345</v>
      </c>
      <c r="I258" s="250"/>
      <c r="J258" s="250"/>
      <c r="K258" s="250"/>
    </row>
    <row r="259" spans="1:11" ht="15.6" x14ac:dyDescent="0.3">
      <c r="A259" s="330" t="s">
        <v>346</v>
      </c>
      <c r="B259" s="340"/>
      <c r="C259" s="343">
        <v>2005</v>
      </c>
      <c r="D259" s="344">
        <v>-9</v>
      </c>
      <c r="E259" s="345"/>
      <c r="F259" s="346"/>
      <c r="G259" s="347">
        <v>15525.938371462835</v>
      </c>
      <c r="H259" s="348">
        <v>15525.938371462835</v>
      </c>
      <c r="I259" s="250"/>
      <c r="J259" s="250"/>
      <c r="K259" s="250"/>
    </row>
    <row r="260" spans="1:11" ht="15.6" x14ac:dyDescent="0.3">
      <c r="A260" s="335" t="s">
        <v>347</v>
      </c>
      <c r="B260" s="340"/>
      <c r="C260" s="349">
        <v>2006</v>
      </c>
      <c r="D260" s="350">
        <v>-8</v>
      </c>
      <c r="E260" s="351"/>
      <c r="F260" s="346"/>
      <c r="G260" s="352">
        <v>15588.795122621847</v>
      </c>
      <c r="H260" s="353">
        <v>15588.795122621847</v>
      </c>
      <c r="I260" s="250"/>
      <c r="J260" s="250"/>
      <c r="K260" s="250"/>
    </row>
    <row r="261" spans="1:11" ht="15.6" x14ac:dyDescent="0.3">
      <c r="A261" s="340"/>
      <c r="B261" s="340"/>
      <c r="C261" s="349">
        <v>2007</v>
      </c>
      <c r="D261" s="350">
        <v>-7</v>
      </c>
      <c r="E261" s="351"/>
      <c r="F261" s="346"/>
      <c r="G261" s="352">
        <v>15720.44405330364</v>
      </c>
      <c r="H261" s="353">
        <v>15720.44405330364</v>
      </c>
      <c r="I261" s="250"/>
      <c r="J261" s="250"/>
      <c r="K261" s="250"/>
    </row>
    <row r="262" spans="1:11" ht="15.6" x14ac:dyDescent="0.3">
      <c r="A262" s="354" t="s">
        <v>348</v>
      </c>
      <c r="B262" s="340"/>
      <c r="C262" s="349">
        <v>2008</v>
      </c>
      <c r="D262" s="350">
        <v>-6</v>
      </c>
      <c r="E262" s="351"/>
      <c r="F262" s="346"/>
      <c r="G262" s="352">
        <v>15918.624325757597</v>
      </c>
      <c r="H262" s="353">
        <v>15918.624325757597</v>
      </c>
      <c r="I262" s="250"/>
      <c r="J262" s="250"/>
      <c r="K262" s="250"/>
    </row>
    <row r="263" spans="1:11" ht="15.6" x14ac:dyDescent="0.3">
      <c r="A263" s="700" t="s">
        <v>349</v>
      </c>
      <c r="B263" s="340"/>
      <c r="C263" s="349">
        <v>2009</v>
      </c>
      <c r="D263" s="350">
        <v>-5</v>
      </c>
      <c r="E263" s="351"/>
      <c r="F263" s="346"/>
      <c r="G263" s="352">
        <v>16181.075102233102</v>
      </c>
      <c r="H263" s="353">
        <v>16181.075102233102</v>
      </c>
      <c r="I263" s="250"/>
      <c r="J263" s="250"/>
      <c r="K263" s="250"/>
    </row>
    <row r="264" spans="1:11" ht="15.6" x14ac:dyDescent="0.3">
      <c r="A264" s="701"/>
      <c r="B264" s="340"/>
      <c r="C264" s="349">
        <v>2010</v>
      </c>
      <c r="D264" s="350">
        <v>-4</v>
      </c>
      <c r="E264" s="351"/>
      <c r="F264" s="346"/>
      <c r="G264" s="352">
        <v>16505.535544979539</v>
      </c>
      <c r="H264" s="353">
        <v>16505.535544979539</v>
      </c>
      <c r="I264" s="250"/>
      <c r="J264" s="250"/>
      <c r="K264" s="250"/>
    </row>
    <row r="265" spans="1:11" ht="15.6" x14ac:dyDescent="0.3">
      <c r="A265" s="701"/>
      <c r="B265" s="340"/>
      <c r="C265" s="349">
        <v>2011</v>
      </c>
      <c r="D265" s="350">
        <v>-3</v>
      </c>
      <c r="E265" s="351"/>
      <c r="F265" s="346"/>
      <c r="G265" s="352">
        <v>16889.74481624629</v>
      </c>
      <c r="H265" s="353">
        <v>16889.74481624629</v>
      </c>
      <c r="I265" s="250"/>
      <c r="J265" s="250"/>
      <c r="K265" s="250"/>
    </row>
    <row r="266" spans="1:11" ht="15.6" x14ac:dyDescent="0.3">
      <c r="A266" s="702"/>
      <c r="B266" s="340"/>
      <c r="C266" s="349">
        <v>2012</v>
      </c>
      <c r="D266" s="350">
        <v>-2</v>
      </c>
      <c r="E266" s="351"/>
      <c r="F266" s="346"/>
      <c r="G266" s="355">
        <v>17331.442078282744</v>
      </c>
      <c r="H266" s="356">
        <v>17331.442078282744</v>
      </c>
    </row>
    <row r="267" spans="1:11" ht="15.6" x14ac:dyDescent="0.3">
      <c r="A267" s="340"/>
      <c r="B267" s="340"/>
      <c r="C267" s="349">
        <v>2013</v>
      </c>
      <c r="D267" s="350">
        <v>-1</v>
      </c>
      <c r="E267" s="351"/>
      <c r="F267" s="346"/>
      <c r="G267" s="355">
        <v>17828.366493338282</v>
      </c>
      <c r="H267" s="356">
        <v>17828.366493338282</v>
      </c>
    </row>
    <row r="268" spans="1:11" ht="15.6" x14ac:dyDescent="0.3">
      <c r="A268" s="357" t="s">
        <v>350</v>
      </c>
      <c r="B268" s="340"/>
      <c r="C268" s="349">
        <v>2014</v>
      </c>
      <c r="D268" s="350">
        <v>0</v>
      </c>
      <c r="E268" s="351">
        <v>18368.056852998394</v>
      </c>
      <c r="F268" s="346">
        <v>18368.056852998394</v>
      </c>
      <c r="G268" s="355">
        <v>18368.056852998394</v>
      </c>
      <c r="H268" s="356">
        <v>18368.056852998394</v>
      </c>
    </row>
    <row r="269" spans="1:11" ht="15.6" x14ac:dyDescent="0.3">
      <c r="A269" s="358">
        <v>2017</v>
      </c>
      <c r="B269" s="336"/>
      <c r="C269" s="349">
        <v>2015</v>
      </c>
      <c r="D269" s="350">
        <v>1</v>
      </c>
      <c r="E269" s="351"/>
      <c r="F269" s="346"/>
      <c r="G269" s="355">
        <v>18978.853431504143</v>
      </c>
      <c r="H269" s="356">
        <v>18978.853431504143</v>
      </c>
    </row>
    <row r="270" spans="1:11" ht="15.6" x14ac:dyDescent="0.3">
      <c r="A270" s="359"/>
      <c r="B270" s="336"/>
      <c r="C270" s="349">
        <v>2016</v>
      </c>
      <c r="D270" s="350">
        <v>2</v>
      </c>
      <c r="E270" s="351"/>
      <c r="F270" s="346"/>
      <c r="G270" s="355">
        <v>19627.894279113239</v>
      </c>
      <c r="H270" s="356">
        <v>19627.894279113239</v>
      </c>
    </row>
    <row r="271" spans="1:11" ht="15.6" x14ac:dyDescent="0.3">
      <c r="A271" s="357" t="s">
        <v>351</v>
      </c>
      <c r="B271" s="336"/>
      <c r="C271" s="349">
        <v>2017</v>
      </c>
      <c r="D271" s="350">
        <v>3</v>
      </c>
      <c r="E271" s="351"/>
      <c r="F271" s="346"/>
      <c r="G271" s="355">
        <v>20323.11892873895</v>
      </c>
      <c r="H271" s="356">
        <v>20323.11892873895</v>
      </c>
    </row>
    <row r="272" spans="1:11" ht="15.6" x14ac:dyDescent="0.3">
      <c r="A272" s="358" t="s">
        <v>342</v>
      </c>
      <c r="B272" s="336"/>
      <c r="C272" s="349">
        <v>2018</v>
      </c>
      <c r="D272" s="350">
        <v>4</v>
      </c>
      <c r="E272" s="351"/>
      <c r="F272" s="346"/>
      <c r="G272" s="355">
        <v>21062.26654263067</v>
      </c>
      <c r="H272" s="356">
        <v>21062.26654263067</v>
      </c>
    </row>
    <row r="273" spans="1:8" ht="15.6" x14ac:dyDescent="0.3">
      <c r="A273" s="360"/>
      <c r="B273" s="361"/>
      <c r="C273" s="349">
        <v>2019</v>
      </c>
      <c r="D273" s="350">
        <v>5</v>
      </c>
      <c r="E273" s="351"/>
      <c r="F273" s="346"/>
      <c r="G273" s="355">
        <v>21843.076283037775</v>
      </c>
      <c r="H273" s="356">
        <v>21843.076283037775</v>
      </c>
    </row>
    <row r="274" spans="1:8" ht="15.6" x14ac:dyDescent="0.3">
      <c r="A274" s="362" t="s">
        <v>352</v>
      </c>
      <c r="B274" s="336"/>
      <c r="C274" s="349">
        <v>2020</v>
      </c>
      <c r="D274" s="350">
        <v>6</v>
      </c>
      <c r="E274" s="351"/>
      <c r="F274" s="346"/>
      <c r="G274" s="355">
        <v>22663.28731220965</v>
      </c>
      <c r="H274" s="356">
        <v>22663.28731220965</v>
      </c>
    </row>
    <row r="275" spans="1:8" ht="15.6" x14ac:dyDescent="0.3">
      <c r="A275" s="363"/>
      <c r="B275" s="336"/>
      <c r="C275" s="349">
        <v>2021</v>
      </c>
      <c r="D275" s="350">
        <v>7</v>
      </c>
      <c r="E275" s="351"/>
      <c r="F275" s="346"/>
      <c r="G275" s="355">
        <v>23520.638792395686</v>
      </c>
      <c r="H275" s="356">
        <v>23520.638792395686</v>
      </c>
    </row>
    <row r="276" spans="1:8" ht="15.6" x14ac:dyDescent="0.3">
      <c r="A276" s="364"/>
      <c r="B276" s="336"/>
      <c r="C276" s="349">
        <v>2022</v>
      </c>
      <c r="D276" s="350">
        <v>8</v>
      </c>
      <c r="E276" s="351"/>
      <c r="F276" s="346"/>
      <c r="G276" s="355">
        <v>24412.869885845259</v>
      </c>
      <c r="H276" s="356">
        <v>24412.869885845259</v>
      </c>
    </row>
    <row r="277" spans="1:8" ht="15.6" x14ac:dyDescent="0.3">
      <c r="A277" s="358"/>
      <c r="B277" s="336"/>
      <c r="C277" s="349">
        <v>2023</v>
      </c>
      <c r="D277" s="350">
        <v>9</v>
      </c>
      <c r="E277" s="351"/>
      <c r="F277" s="346"/>
      <c r="G277" s="355">
        <v>25337.719754807757</v>
      </c>
      <c r="H277" s="356">
        <v>25337.719754807757</v>
      </c>
    </row>
    <row r="278" spans="1:8" ht="15.6" x14ac:dyDescent="0.3">
      <c r="A278" s="336"/>
      <c r="B278" s="336"/>
      <c r="C278" s="349">
        <v>2024</v>
      </c>
      <c r="D278" s="350">
        <v>10</v>
      </c>
      <c r="E278" s="351"/>
      <c r="F278" s="346"/>
      <c r="G278" s="355">
        <v>26292.927561532561</v>
      </c>
      <c r="H278" s="356">
        <v>26292.927561532561</v>
      </c>
    </row>
    <row r="279" spans="1:8" ht="15.6" x14ac:dyDescent="0.3">
      <c r="A279" s="336"/>
      <c r="B279" s="336"/>
      <c r="C279" s="349">
        <v>2025</v>
      </c>
      <c r="D279" s="350">
        <v>11</v>
      </c>
      <c r="E279" s="351">
        <v>27263.068278567229</v>
      </c>
      <c r="F279" s="346">
        <v>27263.068278567229</v>
      </c>
      <c r="G279" s="355">
        <v>27263.068278567229</v>
      </c>
      <c r="H279" s="356">
        <v>27263.068278567229</v>
      </c>
    </row>
    <row r="280" spans="1:8" ht="15.6" x14ac:dyDescent="0.3">
      <c r="A280" s="336"/>
      <c r="B280" s="336"/>
      <c r="C280" s="349">
        <v>2026</v>
      </c>
      <c r="D280" s="350">
        <v>12</v>
      </c>
      <c r="E280" s="351"/>
      <c r="F280" s="346"/>
      <c r="G280" s="355">
        <v>28285.373637266632</v>
      </c>
      <c r="H280" s="356">
        <v>28285.373637266632</v>
      </c>
    </row>
    <row r="281" spans="1:8" ht="15.6" x14ac:dyDescent="0.3">
      <c r="A281" s="336"/>
      <c r="B281" s="336"/>
      <c r="C281" s="349">
        <v>2027</v>
      </c>
      <c r="D281" s="350">
        <v>13</v>
      </c>
      <c r="E281" s="351"/>
      <c r="F281" s="346"/>
      <c r="G281" s="355">
        <v>29318.090230774666</v>
      </c>
      <c r="H281" s="356">
        <v>29318.090230774666</v>
      </c>
    </row>
    <row r="282" spans="1:8" ht="15.6" x14ac:dyDescent="0.3">
      <c r="A282" s="336"/>
      <c r="B282" s="336"/>
      <c r="C282" s="349">
        <v>2028</v>
      </c>
      <c r="D282" s="350">
        <v>14</v>
      </c>
      <c r="E282" s="351"/>
      <c r="F282" s="346"/>
      <c r="G282" s="355">
        <v>30372.121411042543</v>
      </c>
      <c r="H282" s="356">
        <v>30372.121411042543</v>
      </c>
    </row>
    <row r="283" spans="1:8" ht="15.6" x14ac:dyDescent="0.3">
      <c r="A283" s="336"/>
      <c r="B283" s="336"/>
      <c r="C283" s="349">
        <v>2029</v>
      </c>
      <c r="D283" s="350">
        <v>15</v>
      </c>
      <c r="E283" s="351"/>
      <c r="F283" s="346"/>
      <c r="G283" s="355">
        <v>31445.206340319648</v>
      </c>
      <c r="H283" s="356">
        <v>31445.206340319648</v>
      </c>
    </row>
    <row r="284" spans="1:8" ht="15.6" x14ac:dyDescent="0.3">
      <c r="A284" s="336"/>
      <c r="B284" s="336"/>
      <c r="C284" s="349">
        <v>2030</v>
      </c>
      <c r="D284" s="350">
        <v>16</v>
      </c>
      <c r="E284" s="351">
        <v>32636.176165275068</v>
      </c>
      <c r="F284" s="346">
        <v>32636.176165275068</v>
      </c>
      <c r="G284" s="355">
        <v>32636.176165275068</v>
      </c>
      <c r="H284" s="356">
        <v>32636.176165275068</v>
      </c>
    </row>
    <row r="285" spans="1:8" ht="15.6" x14ac:dyDescent="0.3">
      <c r="A285" s="336"/>
      <c r="B285" s="336"/>
      <c r="C285" s="349">
        <v>2031</v>
      </c>
      <c r="D285" s="350">
        <v>17</v>
      </c>
      <c r="E285" s="351"/>
      <c r="F285" s="346"/>
      <c r="G285" s="355">
        <v>33639.494094899077</v>
      </c>
      <c r="H285" s="356">
        <v>33639.494094899077</v>
      </c>
    </row>
    <row r="286" spans="1:8" ht="15.6" x14ac:dyDescent="0.3">
      <c r="A286" s="336"/>
      <c r="B286" s="336"/>
      <c r="C286" s="349">
        <v>2032</v>
      </c>
      <c r="D286" s="350">
        <v>18</v>
      </c>
      <c r="E286" s="351"/>
      <c r="F286" s="346"/>
      <c r="G286" s="355">
        <v>34756.175244700171</v>
      </c>
      <c r="H286" s="356">
        <v>34756.175244700171</v>
      </c>
    </row>
    <row r="287" spans="1:8" ht="15.6" x14ac:dyDescent="0.3">
      <c r="A287" s="361"/>
      <c r="B287" s="361"/>
      <c r="C287" s="349">
        <v>2033</v>
      </c>
      <c r="D287" s="350">
        <v>19</v>
      </c>
      <c r="E287" s="351"/>
      <c r="F287" s="346"/>
      <c r="G287" s="355">
        <v>35882.86679250803</v>
      </c>
      <c r="H287" s="356">
        <v>35882.86679250803</v>
      </c>
    </row>
    <row r="288" spans="1:8" ht="15.6" x14ac:dyDescent="0.3">
      <c r="A288" s="361"/>
      <c r="B288" s="361"/>
      <c r="C288" s="349">
        <v>2034</v>
      </c>
      <c r="D288" s="350">
        <v>20</v>
      </c>
      <c r="E288" s="351"/>
      <c r="F288" s="346"/>
      <c r="G288" s="355">
        <v>37017.307900572036</v>
      </c>
      <c r="H288" s="356">
        <v>37017.307900572036</v>
      </c>
    </row>
    <row r="289" spans="1:8" ht="15.6" x14ac:dyDescent="0.3">
      <c r="A289" s="361"/>
      <c r="B289" s="361"/>
      <c r="C289" s="349">
        <v>2035</v>
      </c>
      <c r="D289" s="350">
        <v>21</v>
      </c>
      <c r="E289" s="351">
        <v>38137.056156610328</v>
      </c>
      <c r="F289" s="346">
        <v>38137.056156610328</v>
      </c>
      <c r="G289" s="355">
        <v>38137.056156610328</v>
      </c>
      <c r="H289" s="356">
        <v>38137.056156610328</v>
      </c>
    </row>
    <row r="290" spans="1:8" ht="15.6" x14ac:dyDescent="0.3">
      <c r="A290" s="361"/>
      <c r="B290" s="361"/>
      <c r="C290" s="349">
        <v>2036</v>
      </c>
      <c r="D290" s="350">
        <v>22</v>
      </c>
      <c r="E290" s="351"/>
      <c r="F290" s="346"/>
      <c r="G290" s="355">
        <v>39300.39544646602</v>
      </c>
      <c r="H290" s="356">
        <v>39300.39544646602</v>
      </c>
    </row>
    <row r="291" spans="1:8" ht="15.6" x14ac:dyDescent="0.3">
      <c r="A291" s="361"/>
      <c r="B291" s="361"/>
      <c r="C291" s="349">
        <v>2037</v>
      </c>
      <c r="D291" s="350">
        <v>23</v>
      </c>
      <c r="E291" s="351"/>
      <c r="F291" s="346"/>
      <c r="G291" s="355">
        <v>40444.520208794776</v>
      </c>
      <c r="H291" s="356">
        <v>40444.520208794776</v>
      </c>
    </row>
    <row r="292" spans="1:8" ht="15.6" x14ac:dyDescent="0.3">
      <c r="A292" s="361"/>
      <c r="B292" s="361"/>
      <c r="C292" s="349">
        <v>2038</v>
      </c>
      <c r="D292" s="350">
        <v>24</v>
      </c>
      <c r="E292" s="351"/>
      <c r="F292" s="346"/>
      <c r="G292" s="355">
        <v>41587.351180377213</v>
      </c>
      <c r="H292" s="356">
        <v>41587.351180377213</v>
      </c>
    </row>
    <row r="293" spans="1:8" ht="15.6" x14ac:dyDescent="0.3">
      <c r="A293" s="361"/>
      <c r="B293" s="361"/>
      <c r="C293" s="349">
        <v>2039</v>
      </c>
      <c r="D293" s="350">
        <v>25</v>
      </c>
      <c r="E293" s="351"/>
      <c r="F293" s="346"/>
      <c r="G293" s="355">
        <v>42726.62752346271</v>
      </c>
      <c r="H293" s="356">
        <v>42726.62752346271</v>
      </c>
    </row>
    <row r="294" spans="1:8" ht="15.6" x14ac:dyDescent="0.3">
      <c r="A294" s="361"/>
      <c r="B294" s="361"/>
      <c r="C294" s="349">
        <v>2040</v>
      </c>
      <c r="D294" s="350">
        <v>26</v>
      </c>
      <c r="E294" s="351">
        <v>43754.240410899052</v>
      </c>
      <c r="F294" s="346">
        <v>43754.240410899052</v>
      </c>
      <c r="G294" s="355">
        <v>43754.240410899052</v>
      </c>
      <c r="H294" s="356">
        <v>43754.240410899052</v>
      </c>
    </row>
    <row r="295" spans="1:8" ht="15.6" x14ac:dyDescent="0.3">
      <c r="A295" s="361"/>
      <c r="B295" s="361"/>
      <c r="C295" s="349">
        <v>2041</v>
      </c>
      <c r="D295" s="350">
        <v>27</v>
      </c>
      <c r="E295" s="351"/>
      <c r="F295" s="346"/>
      <c r="G295" s="355">
        <v>44985.472973140459</v>
      </c>
      <c r="H295" s="356">
        <v>44985.472973140459</v>
      </c>
    </row>
    <row r="296" spans="1:8" ht="15.6" x14ac:dyDescent="0.3">
      <c r="A296" s="361"/>
      <c r="B296" s="361"/>
      <c r="C296" s="349">
        <v>2042</v>
      </c>
      <c r="D296" s="350">
        <v>28</v>
      </c>
      <c r="E296" s="351"/>
      <c r="F296" s="346"/>
      <c r="G296" s="355">
        <v>46100.520404231473</v>
      </c>
      <c r="H296" s="356">
        <v>46100.520404231473</v>
      </c>
    </row>
    <row r="297" spans="1:8" ht="15.6" x14ac:dyDescent="0.3">
      <c r="A297" s="361"/>
      <c r="B297" s="361"/>
      <c r="C297" s="349">
        <v>2043</v>
      </c>
      <c r="D297" s="350">
        <v>29</v>
      </c>
      <c r="E297" s="351"/>
      <c r="F297" s="346"/>
      <c r="G297" s="355">
        <v>47202.969855823088</v>
      </c>
      <c r="H297" s="356">
        <v>47202.969855823088</v>
      </c>
    </row>
    <row r="298" spans="1:8" ht="15.6" x14ac:dyDescent="0.3">
      <c r="A298" s="361"/>
      <c r="B298" s="361"/>
      <c r="C298" s="349">
        <v>2044</v>
      </c>
      <c r="D298" s="350">
        <v>30</v>
      </c>
      <c r="E298" s="351"/>
      <c r="F298" s="346"/>
      <c r="G298" s="355">
        <v>48290.560490164688</v>
      </c>
      <c r="H298" s="356">
        <v>48290.560490164688</v>
      </c>
    </row>
    <row r="299" spans="1:8" ht="15.6" x14ac:dyDescent="0.3">
      <c r="A299" s="361"/>
      <c r="B299" s="361"/>
      <c r="C299" s="349">
        <v>2045</v>
      </c>
      <c r="D299" s="350">
        <v>31</v>
      </c>
      <c r="E299" s="351">
        <v>49348.565279054761</v>
      </c>
      <c r="F299" s="346">
        <v>49348.565279054761</v>
      </c>
      <c r="G299" s="355">
        <v>49348.565279054761</v>
      </c>
      <c r="H299" s="356">
        <v>49348.565279054761</v>
      </c>
    </row>
    <row r="300" spans="1:8" ht="15.6" x14ac:dyDescent="0.3">
      <c r="A300" s="361"/>
      <c r="B300" s="361"/>
      <c r="C300" s="349">
        <v>2046</v>
      </c>
      <c r="D300" s="350">
        <v>32</v>
      </c>
      <c r="E300" s="351"/>
      <c r="F300" s="346"/>
      <c r="G300" s="355">
        <v>50412.12195609539</v>
      </c>
      <c r="H300" s="356">
        <v>50412.12195609539</v>
      </c>
    </row>
    <row r="301" spans="1:8" ht="15.6" x14ac:dyDescent="0.3">
      <c r="A301" s="365"/>
      <c r="B301" s="366"/>
      <c r="C301" s="349">
        <v>2047</v>
      </c>
      <c r="D301" s="350">
        <v>33</v>
      </c>
      <c r="E301" s="351"/>
      <c r="F301" s="346"/>
      <c r="G301" s="355">
        <v>51441.571112183265</v>
      </c>
      <c r="H301" s="356">
        <v>51441.571112183265</v>
      </c>
    </row>
    <row r="302" spans="1:8" ht="15.6" x14ac:dyDescent="0.3">
      <c r="A302" s="359"/>
      <c r="B302" s="366"/>
      <c r="C302" s="349">
        <v>2048</v>
      </c>
      <c r="D302" s="350">
        <v>34</v>
      </c>
      <c r="E302" s="351"/>
      <c r="F302" s="346"/>
      <c r="G302" s="355">
        <v>52447.118100018655</v>
      </c>
      <c r="H302" s="356">
        <v>52447.118100018655</v>
      </c>
    </row>
    <row r="303" spans="1:8" ht="15.6" x14ac:dyDescent="0.3">
      <c r="A303" s="359"/>
      <c r="B303" s="359"/>
      <c r="C303" s="349">
        <v>2049</v>
      </c>
      <c r="D303" s="350">
        <v>35</v>
      </c>
      <c r="E303" s="351"/>
      <c r="F303" s="346"/>
      <c r="G303" s="355">
        <v>53426.502081850958</v>
      </c>
      <c r="H303" s="356">
        <v>53426.502081850958</v>
      </c>
    </row>
    <row r="304" spans="1:8" ht="15.6" x14ac:dyDescent="0.3">
      <c r="A304" s="359"/>
      <c r="B304" s="359"/>
      <c r="C304" s="349">
        <v>2050</v>
      </c>
      <c r="D304" s="350">
        <v>36</v>
      </c>
      <c r="E304" s="351">
        <v>54396.590671889055</v>
      </c>
      <c r="F304" s="346">
        <v>54396.590671889055</v>
      </c>
      <c r="G304" s="355">
        <v>54396.590671889055</v>
      </c>
      <c r="H304" s="356">
        <v>54396.590671889055</v>
      </c>
    </row>
    <row r="305" spans="1:8" ht="15.6" x14ac:dyDescent="0.3">
      <c r="A305"/>
      <c r="B305"/>
      <c r="C305" s="349">
        <v>2051</v>
      </c>
      <c r="D305" s="350">
        <v>37</v>
      </c>
      <c r="E305" s="351"/>
      <c r="F305" s="346"/>
      <c r="G305" s="355">
        <v>55297.737676503828</v>
      </c>
      <c r="H305" s="356">
        <v>55297.737676503828</v>
      </c>
    </row>
    <row r="306" spans="1:8" ht="15.6" x14ac:dyDescent="0.3">
      <c r="A306"/>
      <c r="B306"/>
      <c r="C306" s="349">
        <v>2052</v>
      </c>
      <c r="D306" s="350">
        <v>38</v>
      </c>
      <c r="E306" s="351"/>
      <c r="F306" s="346"/>
      <c r="G306" s="355">
        <v>56185.06761382315</v>
      </c>
      <c r="H306" s="356">
        <v>56185.06761382315</v>
      </c>
    </row>
    <row r="307" spans="1:8" ht="15.6" x14ac:dyDescent="0.3">
      <c r="A307"/>
      <c r="B307"/>
      <c r="C307" s="349">
        <v>2053</v>
      </c>
      <c r="D307" s="350">
        <v>39</v>
      </c>
      <c r="E307" s="351"/>
      <c r="F307" s="346"/>
      <c r="G307" s="355">
        <v>57037.191194136918</v>
      </c>
      <c r="H307" s="356">
        <v>57037.191194136918</v>
      </c>
    </row>
    <row r="308" spans="1:8" ht="15.6" x14ac:dyDescent="0.3">
      <c r="A308"/>
      <c r="B308"/>
      <c r="C308" s="349">
        <v>2054</v>
      </c>
      <c r="D308" s="350">
        <v>40</v>
      </c>
      <c r="E308" s="351"/>
      <c r="F308" s="346"/>
      <c r="G308" s="355">
        <v>57851.84757969452</v>
      </c>
      <c r="H308" s="356">
        <v>57851.84757969452</v>
      </c>
    </row>
    <row r="309" spans="1:8" ht="15.6" x14ac:dyDescent="0.3">
      <c r="A309"/>
      <c r="B309"/>
      <c r="C309" s="349">
        <v>2055</v>
      </c>
      <c r="D309" s="350">
        <v>41</v>
      </c>
      <c r="E309" s="351">
        <v>58729.658261944052</v>
      </c>
      <c r="F309" s="346">
        <v>58729.658261944052</v>
      </c>
      <c r="G309" s="355">
        <v>58729.658261944052</v>
      </c>
      <c r="H309" s="356">
        <v>58729.658261944052</v>
      </c>
    </row>
    <row r="310" spans="1:8" ht="15.6" x14ac:dyDescent="0.3">
      <c r="A310"/>
      <c r="B310"/>
      <c r="C310" s="349">
        <v>2056</v>
      </c>
      <c r="D310" s="350">
        <v>42</v>
      </c>
      <c r="E310" s="351"/>
      <c r="F310" s="346"/>
      <c r="G310" s="355">
        <v>59359.715415538732</v>
      </c>
      <c r="H310" s="356">
        <v>59359.715415538732</v>
      </c>
    </row>
    <row r="311" spans="1:8" ht="15.6" x14ac:dyDescent="0.3">
      <c r="A311"/>
      <c r="B311"/>
      <c r="C311" s="349">
        <v>2057</v>
      </c>
      <c r="D311" s="350">
        <v>43</v>
      </c>
      <c r="E311" s="351"/>
      <c r="F311" s="346"/>
      <c r="G311" s="355">
        <v>60048.405190324127</v>
      </c>
      <c r="H311" s="356">
        <v>60048.405190324127</v>
      </c>
    </row>
    <row r="312" spans="1:8" ht="15.6" x14ac:dyDescent="0.3">
      <c r="A312"/>
      <c r="B312"/>
      <c r="C312" s="349">
        <v>2058</v>
      </c>
      <c r="D312" s="350">
        <v>44</v>
      </c>
      <c r="E312" s="351"/>
      <c r="F312" s="346"/>
      <c r="G312" s="355">
        <v>60690.584419350875</v>
      </c>
      <c r="H312" s="356">
        <v>60690.584419350875</v>
      </c>
    </row>
    <row r="313" spans="1:8" ht="15.6" x14ac:dyDescent="0.3">
      <c r="A313"/>
      <c r="B313"/>
      <c r="C313" s="349">
        <v>2059</v>
      </c>
      <c r="D313" s="350">
        <v>45</v>
      </c>
      <c r="E313" s="351"/>
      <c r="F313" s="346"/>
      <c r="G313" s="355">
        <v>61283.992264868371</v>
      </c>
      <c r="H313" s="356">
        <v>61283.992264868371</v>
      </c>
    </row>
    <row r="314" spans="1:8" ht="15.6" x14ac:dyDescent="0.3">
      <c r="A314"/>
      <c r="B314"/>
      <c r="C314" s="367">
        <v>2060</v>
      </c>
      <c r="D314" s="350">
        <v>46</v>
      </c>
      <c r="E314" s="351">
        <v>61765.125438297531</v>
      </c>
      <c r="F314" s="346">
        <v>61765.125438297531</v>
      </c>
      <c r="G314" s="355">
        <v>61765.125438297531</v>
      </c>
      <c r="H314" s="356">
        <v>61765.125438297531</v>
      </c>
    </row>
    <row r="321" spans="1:8" ht="15.6" x14ac:dyDescent="0.3">
      <c r="A321" s="327">
        <v>3</v>
      </c>
      <c r="B321" s="328" t="s">
        <v>353</v>
      </c>
      <c r="C321" s="329"/>
      <c r="D321" s="329"/>
      <c r="E321" s="329"/>
      <c r="F321" s="329"/>
      <c r="G321" s="329"/>
      <c r="H321" s="329"/>
    </row>
    <row r="322" spans="1:8" ht="15.6" x14ac:dyDescent="0.3">
      <c r="A322" s="330" t="s">
        <v>338</v>
      </c>
      <c r="B322" s="331"/>
      <c r="C322" s="331"/>
      <c r="D322" s="332"/>
      <c r="E322" s="333"/>
      <c r="F322" s="703"/>
      <c r="G322" s="333"/>
      <c r="H322" s="334"/>
    </row>
    <row r="323" spans="1:8" ht="16.2" thickBot="1" x14ac:dyDescent="0.3">
      <c r="A323" s="368" t="s">
        <v>339</v>
      </c>
      <c r="B323" s="336"/>
      <c r="C323" s="336"/>
      <c r="D323" s="337"/>
      <c r="E323" s="338" t="s">
        <v>340</v>
      </c>
      <c r="F323" s="704"/>
      <c r="G323" s="369" t="s">
        <v>354</v>
      </c>
      <c r="H323" s="334"/>
    </row>
    <row r="324" spans="1:8" ht="16.2" thickBot="1" x14ac:dyDescent="0.3">
      <c r="A324" s="340"/>
      <c r="B324" s="340"/>
      <c r="C324" s="340"/>
      <c r="D324" s="341"/>
      <c r="E324" s="369" t="s">
        <v>342</v>
      </c>
      <c r="F324" s="369" t="s">
        <v>343</v>
      </c>
      <c r="G324" s="370" t="s">
        <v>344</v>
      </c>
      <c r="H324" s="369" t="s">
        <v>345</v>
      </c>
    </row>
    <row r="325" spans="1:8" ht="15.6" x14ac:dyDescent="0.3">
      <c r="A325" s="330" t="s">
        <v>346</v>
      </c>
      <c r="B325" s="340"/>
      <c r="C325" s="343">
        <v>2005</v>
      </c>
      <c r="D325" s="344">
        <v>-9</v>
      </c>
      <c r="E325" s="345"/>
      <c r="F325" s="346"/>
      <c r="G325" s="347">
        <v>17005.86738248176</v>
      </c>
      <c r="H325" s="348">
        <v>17005.86738248176</v>
      </c>
    </row>
    <row r="326" spans="1:8" ht="15.6" x14ac:dyDescent="0.3">
      <c r="A326" s="368" t="s">
        <v>5</v>
      </c>
      <c r="B326" s="340"/>
      <c r="C326" s="349">
        <v>2006</v>
      </c>
      <c r="D326" s="350">
        <v>-8</v>
      </c>
      <c r="E326" s="351"/>
      <c r="F326" s="346"/>
      <c r="G326" s="352">
        <v>17083.413277682117</v>
      </c>
      <c r="H326" s="353">
        <v>17083.413277682117</v>
      </c>
    </row>
    <row r="327" spans="1:8" ht="15.6" x14ac:dyDescent="0.3">
      <c r="A327" s="340"/>
      <c r="B327" s="340"/>
      <c r="C327" s="349">
        <v>2007</v>
      </c>
      <c r="D327" s="350">
        <v>-7</v>
      </c>
      <c r="E327" s="351"/>
      <c r="F327" s="346"/>
      <c r="G327" s="352">
        <v>17166.827655626541</v>
      </c>
      <c r="H327" s="353">
        <v>17166.827655626541</v>
      </c>
    </row>
    <row r="328" spans="1:8" ht="15.6" x14ac:dyDescent="0.3">
      <c r="A328" s="354" t="s">
        <v>348</v>
      </c>
      <c r="B328" s="340"/>
      <c r="C328" s="349">
        <v>2008</v>
      </c>
      <c r="D328" s="350">
        <v>-6</v>
      </c>
      <c r="E328" s="351"/>
      <c r="F328" s="346"/>
      <c r="G328" s="352">
        <v>17255.943795522449</v>
      </c>
      <c r="H328" s="353">
        <v>17255.943795522449</v>
      </c>
    </row>
    <row r="329" spans="1:8" ht="15.6" x14ac:dyDescent="0.3">
      <c r="A329" s="700" t="s">
        <v>355</v>
      </c>
      <c r="B329" s="340"/>
      <c r="C329" s="349">
        <v>2009</v>
      </c>
      <c r="D329" s="350">
        <v>-5</v>
      </c>
      <c r="E329" s="351"/>
      <c r="F329" s="346"/>
      <c r="G329" s="352">
        <v>17350.594976577249</v>
      </c>
      <c r="H329" s="353">
        <v>17350.594976577249</v>
      </c>
    </row>
    <row r="330" spans="1:8" ht="15.6" x14ac:dyDescent="0.3">
      <c r="A330" s="701"/>
      <c r="B330" s="340"/>
      <c r="C330" s="349">
        <v>2010</v>
      </c>
      <c r="D330" s="350">
        <v>-4</v>
      </c>
      <c r="E330" s="351"/>
      <c r="F330" s="346"/>
      <c r="G330" s="352">
        <v>17450.614477998362</v>
      </c>
      <c r="H330" s="353">
        <v>17450.614477998362</v>
      </c>
    </row>
    <row r="331" spans="1:8" ht="15.6" x14ac:dyDescent="0.3">
      <c r="A331" s="701"/>
      <c r="B331" s="340"/>
      <c r="C331" s="349">
        <v>2011</v>
      </c>
      <c r="D331" s="350">
        <v>-3</v>
      </c>
      <c r="E331" s="351"/>
      <c r="F331" s="346"/>
      <c r="G331" s="352">
        <v>17555.835578993199</v>
      </c>
      <c r="H331" s="353">
        <v>17555.835578993199</v>
      </c>
    </row>
    <row r="332" spans="1:8" ht="15.6" x14ac:dyDescent="0.3">
      <c r="A332" s="702"/>
      <c r="B332" s="340"/>
      <c r="C332" s="349">
        <v>2012</v>
      </c>
      <c r="D332" s="350">
        <v>-2</v>
      </c>
      <c r="E332" s="351"/>
      <c r="F332" s="346"/>
      <c r="G332" s="355">
        <v>17666.091558769174</v>
      </c>
      <c r="H332" s="356">
        <v>17666.091558769174</v>
      </c>
    </row>
    <row r="333" spans="1:8" ht="15.6" x14ac:dyDescent="0.3">
      <c r="A333" s="340"/>
      <c r="B333" s="340"/>
      <c r="C333" s="349">
        <v>2013</v>
      </c>
      <c r="D333" s="350">
        <v>-1</v>
      </c>
      <c r="E333" s="351"/>
      <c r="F333" s="346"/>
      <c r="G333" s="355">
        <v>17781.215696533705</v>
      </c>
      <c r="H333" s="356">
        <v>17781.215696533705</v>
      </c>
    </row>
    <row r="334" spans="1:8" ht="15.6" x14ac:dyDescent="0.3">
      <c r="A334" s="357" t="s">
        <v>350</v>
      </c>
      <c r="B334" s="340"/>
      <c r="C334" s="349">
        <v>2014</v>
      </c>
      <c r="D334" s="350">
        <v>0</v>
      </c>
      <c r="E334" s="351">
        <v>17944.221871904836</v>
      </c>
      <c r="F334" s="346">
        <v>17944.221871904836</v>
      </c>
      <c r="G334" s="355">
        <v>17944.221871904836</v>
      </c>
      <c r="H334" s="356">
        <v>17944.221871904836</v>
      </c>
    </row>
    <row r="335" spans="1:8" ht="15.6" x14ac:dyDescent="0.3">
      <c r="A335" s="358">
        <v>2017</v>
      </c>
      <c r="B335" s="336"/>
      <c r="C335" s="349">
        <v>2015</v>
      </c>
      <c r="D335" s="350">
        <v>1</v>
      </c>
      <c r="E335" s="351"/>
      <c r="F335" s="346"/>
      <c r="G335" s="355">
        <v>18025.401562858075</v>
      </c>
      <c r="H335" s="356">
        <v>18025.401562858075</v>
      </c>
    </row>
    <row r="336" spans="1:8" ht="15.6" x14ac:dyDescent="0.3">
      <c r="A336" s="359"/>
      <c r="B336" s="336"/>
      <c r="C336" s="349">
        <v>2016</v>
      </c>
      <c r="D336" s="350">
        <v>2</v>
      </c>
      <c r="E336" s="351"/>
      <c r="F336" s="346"/>
      <c r="G336" s="355">
        <v>18154.129849832749</v>
      </c>
      <c r="H336" s="356">
        <v>18154.129849832749</v>
      </c>
    </row>
    <row r="337" spans="1:8" ht="15.6" x14ac:dyDescent="0.3">
      <c r="A337" s="357" t="s">
        <v>351</v>
      </c>
      <c r="B337" s="336"/>
      <c r="C337" s="349">
        <v>2017</v>
      </c>
      <c r="D337" s="350">
        <v>3</v>
      </c>
      <c r="E337" s="351"/>
      <c r="F337" s="346"/>
      <c r="G337" s="355">
        <v>18287.059411625629</v>
      </c>
      <c r="H337" s="356">
        <v>18287.059411625629</v>
      </c>
    </row>
    <row r="338" spans="1:8" ht="15.6" x14ac:dyDescent="0.3">
      <c r="A338" s="358" t="s">
        <v>342</v>
      </c>
      <c r="B338" s="336"/>
      <c r="C338" s="349">
        <v>2018</v>
      </c>
      <c r="D338" s="350">
        <v>4</v>
      </c>
      <c r="E338" s="351"/>
      <c r="F338" s="346"/>
      <c r="G338" s="355">
        <v>18424.023527444137</v>
      </c>
      <c r="H338" s="356">
        <v>18424.023527444137</v>
      </c>
    </row>
    <row r="339" spans="1:8" ht="15.6" x14ac:dyDescent="0.3">
      <c r="A339" s="360"/>
      <c r="B339" s="361"/>
      <c r="C339" s="349">
        <v>2019</v>
      </c>
      <c r="D339" s="350">
        <v>5</v>
      </c>
      <c r="E339" s="351"/>
      <c r="F339" s="346"/>
      <c r="G339" s="355">
        <v>18564.855476495679</v>
      </c>
      <c r="H339" s="356">
        <v>18564.855476495679</v>
      </c>
    </row>
    <row r="340" spans="1:8" ht="15.6" x14ac:dyDescent="0.3">
      <c r="A340" s="362" t="s">
        <v>352</v>
      </c>
      <c r="B340" s="336"/>
      <c r="C340" s="349">
        <v>2020</v>
      </c>
      <c r="D340" s="350">
        <v>6</v>
      </c>
      <c r="E340" s="351"/>
      <c r="F340" s="346"/>
      <c r="G340" s="355">
        <v>18709.388537987674</v>
      </c>
      <c r="H340" s="356">
        <v>18709.388537987674</v>
      </c>
    </row>
    <row r="341" spans="1:8" ht="15.6" x14ac:dyDescent="0.3">
      <c r="A341" s="363"/>
      <c r="B341" s="336"/>
      <c r="C341" s="349">
        <v>2021</v>
      </c>
      <c r="D341" s="350">
        <v>7</v>
      </c>
      <c r="E341" s="351"/>
      <c r="F341" s="346"/>
      <c r="G341" s="355">
        <v>18857.455991127539</v>
      </c>
      <c r="H341" s="356">
        <v>18857.455991127539</v>
      </c>
    </row>
    <row r="342" spans="1:8" ht="15.6" x14ac:dyDescent="0.3">
      <c r="A342" s="364"/>
      <c r="B342" s="336"/>
      <c r="C342" s="349">
        <v>2022</v>
      </c>
      <c r="D342" s="350">
        <v>8</v>
      </c>
      <c r="E342" s="351"/>
      <c r="F342" s="346"/>
      <c r="G342" s="355">
        <v>19008.891115122678</v>
      </c>
      <c r="H342" s="356">
        <v>19008.891115122678</v>
      </c>
    </row>
    <row r="343" spans="1:8" ht="15.6" x14ac:dyDescent="0.3">
      <c r="A343" s="358"/>
      <c r="B343" s="336"/>
      <c r="C343" s="349">
        <v>2023</v>
      </c>
      <c r="D343" s="350">
        <v>9</v>
      </c>
      <c r="E343" s="351"/>
      <c r="F343" s="346"/>
      <c r="G343" s="355">
        <v>19163.527189180517</v>
      </c>
      <c r="H343" s="356">
        <v>19163.527189180517</v>
      </c>
    </row>
    <row r="344" spans="1:8" ht="15.6" x14ac:dyDescent="0.3">
      <c r="A344" s="336"/>
      <c r="B344" s="336"/>
      <c r="C344" s="349">
        <v>2024</v>
      </c>
      <c r="D344" s="350">
        <v>10</v>
      </c>
      <c r="E344" s="351"/>
      <c r="F344" s="346"/>
      <c r="G344" s="355">
        <v>19321.197492508465</v>
      </c>
      <c r="H344" s="356">
        <v>19321.197492508465</v>
      </c>
    </row>
    <row r="345" spans="1:8" ht="15.6" x14ac:dyDescent="0.3">
      <c r="A345" s="336"/>
      <c r="B345" s="336"/>
      <c r="C345" s="349">
        <v>2025</v>
      </c>
      <c r="D345" s="350">
        <v>11</v>
      </c>
      <c r="E345" s="351">
        <v>19306.940551878397</v>
      </c>
      <c r="F345" s="346">
        <v>19306.940551878397</v>
      </c>
      <c r="G345" s="355">
        <v>19306.940551878397</v>
      </c>
      <c r="H345" s="356">
        <v>19306.940551878397</v>
      </c>
    </row>
    <row r="346" spans="1:8" ht="15.6" x14ac:dyDescent="0.3">
      <c r="A346" s="336"/>
      <c r="B346" s="336"/>
      <c r="C346" s="349">
        <v>2026</v>
      </c>
      <c r="D346" s="350">
        <v>12</v>
      </c>
      <c r="E346" s="351"/>
      <c r="F346" s="346"/>
      <c r="G346" s="355">
        <v>19644.973903804341</v>
      </c>
      <c r="H346" s="356">
        <v>19644.973903804341</v>
      </c>
    </row>
    <row r="347" spans="1:8" ht="15.6" x14ac:dyDescent="0.3">
      <c r="A347" s="336"/>
      <c r="B347" s="336"/>
      <c r="C347" s="349">
        <v>2027</v>
      </c>
      <c r="D347" s="350">
        <v>13</v>
      </c>
      <c r="E347" s="351"/>
      <c r="F347" s="346"/>
      <c r="G347" s="355">
        <v>19810.746570187097</v>
      </c>
      <c r="H347" s="356">
        <v>19810.746570187097</v>
      </c>
    </row>
    <row r="348" spans="1:8" ht="15.6" x14ac:dyDescent="0.3">
      <c r="A348" s="336"/>
      <c r="B348" s="336"/>
      <c r="C348" s="349">
        <v>2028</v>
      </c>
      <c r="D348" s="350">
        <v>14</v>
      </c>
      <c r="E348" s="351"/>
      <c r="F348" s="346"/>
      <c r="G348" s="355">
        <v>19978.886582669624</v>
      </c>
      <c r="H348" s="356">
        <v>19978.886582669624</v>
      </c>
    </row>
    <row r="349" spans="1:8" ht="15.6" x14ac:dyDescent="0.3">
      <c r="A349" s="336"/>
      <c r="B349" s="336"/>
      <c r="C349" s="349">
        <v>2029</v>
      </c>
      <c r="D349" s="350">
        <v>15</v>
      </c>
      <c r="E349" s="351"/>
      <c r="F349" s="346"/>
      <c r="G349" s="355">
        <v>20149.227220459328</v>
      </c>
      <c r="H349" s="356">
        <v>20149.227220459328</v>
      </c>
    </row>
    <row r="350" spans="1:8" ht="15.6" x14ac:dyDescent="0.3">
      <c r="A350" s="336"/>
      <c r="B350" s="336"/>
      <c r="C350" s="349">
        <v>2030</v>
      </c>
      <c r="D350" s="350">
        <v>16</v>
      </c>
      <c r="E350" s="351">
        <v>20348.813621570134</v>
      </c>
      <c r="F350" s="346">
        <v>20348.813621570134</v>
      </c>
      <c r="G350" s="355">
        <v>20348.813621570134</v>
      </c>
      <c r="H350" s="356">
        <v>20348.813621570134</v>
      </c>
    </row>
    <row r="351" spans="1:8" ht="15.6" x14ac:dyDescent="0.3">
      <c r="A351" s="336"/>
      <c r="B351" s="336"/>
      <c r="C351" s="349">
        <v>2031</v>
      </c>
      <c r="D351" s="350">
        <v>17</v>
      </c>
      <c r="E351" s="351"/>
      <c r="F351" s="346"/>
      <c r="G351" s="355">
        <v>20495.843488789931</v>
      </c>
      <c r="H351" s="356">
        <v>20495.843488789931</v>
      </c>
    </row>
    <row r="352" spans="1:8" ht="15.6" x14ac:dyDescent="0.3">
      <c r="A352" s="336"/>
      <c r="B352" s="336"/>
      <c r="C352" s="349">
        <v>2032</v>
      </c>
      <c r="D352" s="350">
        <v>18</v>
      </c>
      <c r="E352" s="351"/>
      <c r="F352" s="346"/>
      <c r="G352" s="355">
        <v>20671.785677745658</v>
      </c>
      <c r="H352" s="356">
        <v>20671.785677745658</v>
      </c>
    </row>
    <row r="353" spans="1:8" ht="15.6" x14ac:dyDescent="0.3">
      <c r="A353" s="361"/>
      <c r="B353" s="361"/>
      <c r="C353" s="349">
        <v>2033</v>
      </c>
      <c r="D353" s="350">
        <v>19</v>
      </c>
      <c r="E353" s="351"/>
      <c r="F353" s="346"/>
      <c r="G353" s="355">
        <v>20849.261608838224</v>
      </c>
      <c r="H353" s="356">
        <v>20849.261608838224</v>
      </c>
    </row>
    <row r="354" spans="1:8" ht="15.6" x14ac:dyDescent="0.3">
      <c r="A354" s="361"/>
      <c r="B354" s="361"/>
      <c r="C354" s="349">
        <v>2034</v>
      </c>
      <c r="D354" s="350">
        <v>20</v>
      </c>
      <c r="E354" s="351"/>
      <c r="F354" s="346"/>
      <c r="G354" s="355">
        <v>21028.104561275042</v>
      </c>
      <c r="H354" s="356">
        <v>21028.104561275042</v>
      </c>
    </row>
    <row r="355" spans="1:8" ht="15.6" x14ac:dyDescent="0.3">
      <c r="A355" s="361"/>
      <c r="B355" s="361"/>
      <c r="C355" s="349">
        <v>2035</v>
      </c>
      <c r="D355" s="350">
        <v>21</v>
      </c>
      <c r="E355" s="351">
        <v>21350.284944639516</v>
      </c>
      <c r="F355" s="346">
        <v>21350.284944639516</v>
      </c>
      <c r="G355" s="355">
        <v>21350.284944639516</v>
      </c>
      <c r="H355" s="356">
        <v>21350.284944639516</v>
      </c>
    </row>
    <row r="356" spans="1:8" ht="15.6" x14ac:dyDescent="0.3">
      <c r="A356" s="361"/>
      <c r="B356" s="361"/>
      <c r="C356" s="349">
        <v>2036</v>
      </c>
      <c r="D356" s="350">
        <v>22</v>
      </c>
      <c r="E356" s="351"/>
      <c r="F356" s="346"/>
      <c r="G356" s="355">
        <v>21389.224647011084</v>
      </c>
      <c r="H356" s="356">
        <v>21389.224647011084</v>
      </c>
    </row>
    <row r="357" spans="1:8" ht="15.6" x14ac:dyDescent="0.3">
      <c r="A357" s="361"/>
      <c r="B357" s="361"/>
      <c r="C357" s="349">
        <v>2037</v>
      </c>
      <c r="D357" s="350">
        <v>23</v>
      </c>
      <c r="E357" s="351"/>
      <c r="F357" s="346"/>
      <c r="G357" s="355">
        <v>21571.168338725136</v>
      </c>
      <c r="H357" s="356">
        <v>21571.168338725136</v>
      </c>
    </row>
    <row r="358" spans="1:8" ht="15.6" x14ac:dyDescent="0.3">
      <c r="A358" s="361"/>
      <c r="B358" s="361"/>
      <c r="C358" s="349">
        <v>2038</v>
      </c>
      <c r="D358" s="350">
        <v>24</v>
      </c>
      <c r="E358" s="351"/>
      <c r="F358" s="346"/>
      <c r="G358" s="355">
        <v>21753.812168613098</v>
      </c>
      <c r="H358" s="356">
        <v>21753.812168613098</v>
      </c>
    </row>
    <row r="359" spans="1:8" ht="15.6" x14ac:dyDescent="0.3">
      <c r="A359" s="361"/>
      <c r="B359" s="361"/>
      <c r="C359" s="349">
        <v>2039</v>
      </c>
      <c r="D359" s="350">
        <v>25</v>
      </c>
      <c r="E359" s="351"/>
      <c r="F359" s="346"/>
      <c r="G359" s="355">
        <v>21936.989415882381</v>
      </c>
      <c r="H359" s="356">
        <v>21936.989415882381</v>
      </c>
    </row>
    <row r="360" spans="1:8" ht="15.6" x14ac:dyDescent="0.3">
      <c r="A360" s="361"/>
      <c r="B360" s="361"/>
      <c r="C360" s="349">
        <v>2040</v>
      </c>
      <c r="D360" s="350">
        <v>26</v>
      </c>
      <c r="E360" s="351">
        <v>22196.535946223186</v>
      </c>
      <c r="F360" s="346">
        <v>22196.535946223186</v>
      </c>
      <c r="G360" s="355">
        <v>22196.535946223186</v>
      </c>
      <c r="H360" s="356">
        <v>22196.535946223186</v>
      </c>
    </row>
    <row r="361" spans="1:8" ht="15.6" x14ac:dyDescent="0.3">
      <c r="A361" s="361"/>
      <c r="B361" s="361"/>
      <c r="C361" s="349">
        <v>2041</v>
      </c>
      <c r="D361" s="350">
        <v>27</v>
      </c>
      <c r="E361" s="351"/>
      <c r="F361" s="346"/>
      <c r="G361" s="355">
        <v>22304.27727939457</v>
      </c>
      <c r="H361" s="356">
        <v>22304.27727939457</v>
      </c>
    </row>
    <row r="362" spans="1:8" ht="15.6" x14ac:dyDescent="0.3">
      <c r="A362" s="361"/>
      <c r="B362" s="361"/>
      <c r="C362" s="349">
        <v>2042</v>
      </c>
      <c r="D362" s="350">
        <v>28</v>
      </c>
      <c r="E362" s="351"/>
      <c r="F362" s="346"/>
      <c r="G362" s="355">
        <v>22488.054454052304</v>
      </c>
      <c r="H362" s="356">
        <v>22488.054454052304</v>
      </c>
    </row>
    <row r="363" spans="1:8" ht="15.6" x14ac:dyDescent="0.3">
      <c r="A363" s="361"/>
      <c r="B363" s="361"/>
      <c r="C363" s="349">
        <v>2043</v>
      </c>
      <c r="D363" s="350">
        <v>29</v>
      </c>
      <c r="E363" s="351"/>
      <c r="F363" s="346"/>
      <c r="G363" s="355">
        <v>22671.698162921013</v>
      </c>
      <c r="H363" s="356">
        <v>22671.698162921013</v>
      </c>
    </row>
    <row r="364" spans="1:8" ht="15.6" x14ac:dyDescent="0.3">
      <c r="A364" s="361"/>
      <c r="B364" s="361"/>
      <c r="C364" s="349">
        <v>2044</v>
      </c>
      <c r="D364" s="350">
        <v>30</v>
      </c>
      <c r="E364" s="351"/>
      <c r="F364" s="346"/>
      <c r="G364" s="355">
        <v>22855.041685208118</v>
      </c>
      <c r="H364" s="356">
        <v>22855.041685208118</v>
      </c>
    </row>
    <row r="365" spans="1:8" ht="15.6" x14ac:dyDescent="0.3">
      <c r="A365" s="361"/>
      <c r="B365" s="361"/>
      <c r="C365" s="349">
        <v>2045</v>
      </c>
      <c r="D365" s="350">
        <v>31</v>
      </c>
      <c r="E365" s="351">
        <v>22977.062415569962</v>
      </c>
      <c r="F365" s="346">
        <v>22977.062415569962</v>
      </c>
      <c r="G365" s="355">
        <v>22977.062415569962</v>
      </c>
      <c r="H365" s="356">
        <v>22977.062415569962</v>
      </c>
    </row>
    <row r="366" spans="1:8" ht="15.6" x14ac:dyDescent="0.3">
      <c r="A366" s="361"/>
      <c r="B366" s="361"/>
      <c r="C366" s="349">
        <v>2046</v>
      </c>
      <c r="D366" s="350">
        <v>32</v>
      </c>
      <c r="E366" s="351"/>
      <c r="F366" s="346"/>
      <c r="G366" s="355">
        <v>23220.161286867165</v>
      </c>
      <c r="H366" s="356">
        <v>23220.161286867165</v>
      </c>
    </row>
    <row r="367" spans="1:8" ht="15.6" x14ac:dyDescent="0.3">
      <c r="A367" s="365"/>
      <c r="B367" s="366"/>
      <c r="C367" s="349">
        <v>2047</v>
      </c>
      <c r="D367" s="350">
        <v>33</v>
      </c>
      <c r="E367" s="351"/>
      <c r="F367" s="346"/>
      <c r="G367" s="355">
        <v>23401.603924653933</v>
      </c>
      <c r="H367" s="356">
        <v>23401.603924653933</v>
      </c>
    </row>
    <row r="368" spans="1:8" ht="15.6" x14ac:dyDescent="0.3">
      <c r="A368" s="359"/>
      <c r="B368" s="366"/>
      <c r="C368" s="349">
        <v>2048</v>
      </c>
      <c r="D368" s="350">
        <v>34</v>
      </c>
      <c r="E368" s="351"/>
      <c r="F368" s="346"/>
      <c r="G368" s="355">
        <v>23582.07949268875</v>
      </c>
      <c r="H368" s="356">
        <v>23582.07949268875</v>
      </c>
    </row>
    <row r="369" spans="1:8" ht="15.6" x14ac:dyDescent="0.3">
      <c r="A369" s="359"/>
      <c r="B369" s="359"/>
      <c r="C369" s="349">
        <v>2049</v>
      </c>
      <c r="D369" s="350">
        <v>35</v>
      </c>
      <c r="E369" s="351"/>
      <c r="F369" s="346"/>
      <c r="G369" s="355">
        <v>23761.421270179031</v>
      </c>
      <c r="H369" s="356">
        <v>23761.421270179031</v>
      </c>
    </row>
    <row r="370" spans="1:8" ht="15.6" x14ac:dyDescent="0.3">
      <c r="A370" s="359"/>
      <c r="B370" s="359"/>
      <c r="C370" s="349">
        <v>2050</v>
      </c>
      <c r="D370" s="350">
        <v>36</v>
      </c>
      <c r="E370" s="351">
        <v>23878.383038888478</v>
      </c>
      <c r="F370" s="346">
        <v>23878.383038888478</v>
      </c>
      <c r="G370" s="355">
        <v>23878.383038888478</v>
      </c>
      <c r="H370" s="356">
        <v>23878.383038888478</v>
      </c>
    </row>
    <row r="371" spans="1:8" ht="15.6" x14ac:dyDescent="0.3">
      <c r="A371"/>
      <c r="B371"/>
      <c r="C371" s="349">
        <v>2051</v>
      </c>
      <c r="D371" s="350">
        <v>37</v>
      </c>
      <c r="E371" s="351"/>
      <c r="F371" s="346"/>
      <c r="G371" s="355">
        <v>24116.036570355642</v>
      </c>
      <c r="H371" s="356">
        <v>24116.036570355642</v>
      </c>
    </row>
    <row r="372" spans="1:8" ht="15.6" x14ac:dyDescent="0.3">
      <c r="A372"/>
      <c r="B372"/>
      <c r="C372" s="349">
        <v>2052</v>
      </c>
      <c r="D372" s="350">
        <v>38</v>
      </c>
      <c r="E372" s="351"/>
      <c r="F372" s="346"/>
      <c r="G372" s="355">
        <v>24290.9766514568</v>
      </c>
      <c r="H372" s="356">
        <v>24290.9766514568</v>
      </c>
    </row>
    <row r="373" spans="1:8" ht="15.6" x14ac:dyDescent="0.3">
      <c r="A373"/>
      <c r="B373"/>
      <c r="C373" s="349">
        <v>2053</v>
      </c>
      <c r="D373" s="350">
        <v>39</v>
      </c>
      <c r="E373" s="351"/>
      <c r="F373" s="346"/>
      <c r="G373" s="355">
        <v>24464.116058843079</v>
      </c>
      <c r="H373" s="356">
        <v>24464.116058843079</v>
      </c>
    </row>
    <row r="374" spans="1:8" ht="15.6" x14ac:dyDescent="0.3">
      <c r="A374"/>
      <c r="B374"/>
      <c r="C374" s="349">
        <v>2054</v>
      </c>
      <c r="D374" s="350">
        <v>40</v>
      </c>
      <c r="E374" s="351"/>
      <c r="F374" s="346"/>
      <c r="G374" s="355">
        <v>24635.28807172189</v>
      </c>
      <c r="H374" s="356">
        <v>24635.28807172189</v>
      </c>
    </row>
    <row r="375" spans="1:8" ht="15.6" x14ac:dyDescent="0.3">
      <c r="A375"/>
      <c r="B375"/>
      <c r="C375" s="349">
        <v>2055</v>
      </c>
      <c r="D375" s="350">
        <v>41</v>
      </c>
      <c r="E375" s="351">
        <v>24757.387210462137</v>
      </c>
      <c r="F375" s="346">
        <v>24757.387210462137</v>
      </c>
      <c r="G375" s="355">
        <v>24757.387210462137</v>
      </c>
      <c r="H375" s="356">
        <v>24757.387210462137</v>
      </c>
    </row>
    <row r="376" spans="1:8" ht="15.6" x14ac:dyDescent="0.3">
      <c r="A376"/>
      <c r="B376"/>
      <c r="C376" s="349">
        <v>2056</v>
      </c>
      <c r="D376" s="350">
        <v>42</v>
      </c>
      <c r="E376" s="351"/>
      <c r="F376" s="346"/>
      <c r="G376" s="355">
        <v>24971.063030786776</v>
      </c>
      <c r="H376" s="356">
        <v>24971.063030786776</v>
      </c>
    </row>
    <row r="377" spans="1:8" ht="15.6" x14ac:dyDescent="0.3">
      <c r="A377"/>
      <c r="B377"/>
      <c r="C377" s="349">
        <v>2057</v>
      </c>
      <c r="D377" s="350">
        <v>43</v>
      </c>
      <c r="E377" s="351"/>
      <c r="F377" s="346"/>
      <c r="G377" s="355">
        <v>25135.332535387679</v>
      </c>
      <c r="H377" s="356">
        <v>25135.332535387679</v>
      </c>
    </row>
    <row r="378" spans="1:8" ht="15.6" x14ac:dyDescent="0.3">
      <c r="A378"/>
      <c r="B378"/>
      <c r="C378" s="349">
        <v>2058</v>
      </c>
      <c r="D378" s="350">
        <v>44</v>
      </c>
      <c r="E378" s="351"/>
      <c r="F378" s="346"/>
      <c r="G378" s="355">
        <v>25296.967762310771</v>
      </c>
      <c r="H378" s="356">
        <v>25296.967762310771</v>
      </c>
    </row>
    <row r="379" spans="1:8" ht="15.6" x14ac:dyDescent="0.3">
      <c r="A379"/>
      <c r="B379"/>
      <c r="C379" s="349">
        <v>2059</v>
      </c>
      <c r="D379" s="350">
        <v>45</v>
      </c>
      <c r="E379" s="351"/>
      <c r="F379" s="346"/>
      <c r="G379" s="355">
        <v>25455.801990763466</v>
      </c>
      <c r="H379" s="356">
        <v>25455.801990763466</v>
      </c>
    </row>
    <row r="380" spans="1:8" ht="15.6" x14ac:dyDescent="0.3">
      <c r="A380"/>
      <c r="B380"/>
      <c r="C380" s="367">
        <v>2060</v>
      </c>
      <c r="D380" s="350">
        <v>46</v>
      </c>
      <c r="E380" s="351">
        <v>25666.805217146117</v>
      </c>
      <c r="F380" s="346">
        <v>25666.805217146117</v>
      </c>
      <c r="G380" s="355">
        <v>25666.805217146117</v>
      </c>
      <c r="H380" s="356">
        <v>25666.805217146117</v>
      </c>
    </row>
    <row r="390" spans="1:8" ht="15.6" x14ac:dyDescent="0.3">
      <c r="A390" s="327">
        <v>9</v>
      </c>
      <c r="B390" s="328" t="s">
        <v>439</v>
      </c>
      <c r="C390" s="329"/>
      <c r="D390" s="329"/>
      <c r="E390" s="329"/>
      <c r="F390" s="329"/>
      <c r="G390" s="329"/>
      <c r="H390" s="329"/>
    </row>
    <row r="391" spans="1:8" ht="15.6" x14ac:dyDescent="0.3">
      <c r="A391" s="330" t="s">
        <v>338</v>
      </c>
      <c r="B391" s="331"/>
      <c r="C391" s="331"/>
      <c r="D391" s="332"/>
      <c r="E391" s="333"/>
      <c r="F391" s="703"/>
      <c r="G391" s="333"/>
      <c r="H391" s="334"/>
    </row>
    <row r="392" spans="1:8" ht="16.2" thickBot="1" x14ac:dyDescent="0.3">
      <c r="A392" s="368" t="s">
        <v>339</v>
      </c>
      <c r="B392" s="336"/>
      <c r="C392" s="336"/>
      <c r="D392" s="337"/>
      <c r="E392" s="338" t="s">
        <v>340</v>
      </c>
      <c r="F392" s="704"/>
      <c r="G392" s="369" t="s">
        <v>440</v>
      </c>
      <c r="H392" s="334"/>
    </row>
    <row r="393" spans="1:8" ht="16.2" thickBot="1" x14ac:dyDescent="0.3">
      <c r="A393" s="340"/>
      <c r="B393" s="340"/>
      <c r="C393" s="340"/>
      <c r="D393" s="341"/>
      <c r="E393" s="369" t="s">
        <v>390</v>
      </c>
      <c r="F393" s="369" t="s">
        <v>343</v>
      </c>
      <c r="G393" s="370" t="s">
        <v>344</v>
      </c>
      <c r="H393" s="369" t="s">
        <v>345</v>
      </c>
    </row>
    <row r="394" spans="1:8" ht="15.6" x14ac:dyDescent="0.3">
      <c r="A394" s="330" t="s">
        <v>346</v>
      </c>
      <c r="B394" s="340"/>
      <c r="C394" s="343">
        <v>2005</v>
      </c>
      <c r="D394" s="344">
        <v>-9</v>
      </c>
      <c r="E394" s="378"/>
      <c r="F394" s="346"/>
      <c r="G394" s="347">
        <v>7840.4588159737004</v>
      </c>
      <c r="H394" s="348">
        <v>7840.4588159737004</v>
      </c>
    </row>
    <row r="395" spans="1:8" ht="15.6" x14ac:dyDescent="0.3">
      <c r="A395" s="368" t="s">
        <v>347</v>
      </c>
      <c r="B395" s="340"/>
      <c r="C395" s="349">
        <v>2006</v>
      </c>
      <c r="D395" s="350">
        <v>-8</v>
      </c>
      <c r="E395" s="351"/>
      <c r="F395" s="346"/>
      <c r="G395" s="352">
        <v>8718.5249176736543</v>
      </c>
      <c r="H395" s="353">
        <v>8718.5249176736543</v>
      </c>
    </row>
    <row r="396" spans="1:8" ht="15.6" x14ac:dyDescent="0.3">
      <c r="A396" s="340"/>
      <c r="B396" s="340"/>
      <c r="C396" s="349">
        <v>2007</v>
      </c>
      <c r="D396" s="350">
        <v>-7</v>
      </c>
      <c r="E396" s="351"/>
      <c r="F396" s="346"/>
      <c r="G396" s="352">
        <v>9559.4889323259849</v>
      </c>
      <c r="H396" s="353">
        <v>9559.4889323259849</v>
      </c>
    </row>
    <row r="397" spans="1:8" ht="15.6" x14ac:dyDescent="0.3">
      <c r="A397" s="354" t="s">
        <v>348</v>
      </c>
      <c r="B397" s="340"/>
      <c r="C397" s="349">
        <v>2008</v>
      </c>
      <c r="D397" s="350">
        <v>-6</v>
      </c>
      <c r="E397" s="351"/>
      <c r="F397" s="346"/>
      <c r="G397" s="352">
        <v>10364.156214440733</v>
      </c>
      <c r="H397" s="353">
        <v>10364.156214440733</v>
      </c>
    </row>
    <row r="398" spans="1:8" ht="15.6" x14ac:dyDescent="0.3">
      <c r="A398" s="700" t="s">
        <v>441</v>
      </c>
      <c r="B398" s="340"/>
      <c r="C398" s="349">
        <v>2009</v>
      </c>
      <c r="D398" s="350">
        <v>-5</v>
      </c>
      <c r="E398" s="351"/>
      <c r="F398" s="346"/>
      <c r="G398" s="352">
        <v>11133.332118527951</v>
      </c>
      <c r="H398" s="353">
        <v>11133.332118527951</v>
      </c>
    </row>
    <row r="399" spans="1:8" ht="15.6" x14ac:dyDescent="0.3">
      <c r="A399" s="701"/>
      <c r="B399" s="340"/>
      <c r="C399" s="349">
        <v>2010</v>
      </c>
      <c r="D399" s="350">
        <v>-4</v>
      </c>
      <c r="E399" s="351"/>
      <c r="F399" s="346"/>
      <c r="G399" s="352">
        <v>11867.821999097687</v>
      </c>
      <c r="H399" s="353">
        <v>11867.821999097687</v>
      </c>
    </row>
    <row r="400" spans="1:8" ht="15.6" x14ac:dyDescent="0.3">
      <c r="A400" s="701"/>
      <c r="B400" s="340"/>
      <c r="C400" s="349">
        <v>2011</v>
      </c>
      <c r="D400" s="350">
        <v>-3</v>
      </c>
      <c r="E400" s="351"/>
      <c r="F400" s="346"/>
      <c r="G400" s="352">
        <v>12568.431210659988</v>
      </c>
      <c r="H400" s="353">
        <v>12568.431210659988</v>
      </c>
    </row>
    <row r="401" spans="1:8" ht="15.6" x14ac:dyDescent="0.3">
      <c r="A401" s="702"/>
      <c r="B401" s="340"/>
      <c r="C401" s="349">
        <v>2012</v>
      </c>
      <c r="D401" s="350">
        <v>-2</v>
      </c>
      <c r="E401" s="351"/>
      <c r="F401" s="346"/>
      <c r="G401" s="355">
        <v>13235.965107724902</v>
      </c>
      <c r="H401" s="356">
        <v>13235.965107724902</v>
      </c>
    </row>
    <row r="402" spans="1:8" ht="15.6" x14ac:dyDescent="0.3">
      <c r="A402" s="340"/>
      <c r="B402" s="340"/>
      <c r="C402" s="349">
        <v>2013</v>
      </c>
      <c r="D402" s="350">
        <v>-1</v>
      </c>
      <c r="E402" s="351"/>
      <c r="F402" s="346"/>
      <c r="G402" s="355">
        <v>13871.229044802476</v>
      </c>
      <c r="H402" s="356">
        <v>13871.229044802476</v>
      </c>
    </row>
    <row r="403" spans="1:8" ht="15.6" x14ac:dyDescent="0.3">
      <c r="A403" s="357" t="s">
        <v>350</v>
      </c>
      <c r="B403" s="340"/>
      <c r="C403" s="349">
        <v>2014</v>
      </c>
      <c r="D403" s="350">
        <v>0</v>
      </c>
      <c r="E403" s="351">
        <v>14469.406876708885</v>
      </c>
      <c r="F403" s="346">
        <v>14469.406876708885</v>
      </c>
      <c r="G403" s="355">
        <v>14469.406876708885</v>
      </c>
      <c r="H403" s="356">
        <v>14469.406876708885</v>
      </c>
    </row>
    <row r="404" spans="1:8" ht="15.6" x14ac:dyDescent="0.3">
      <c r="A404" s="358">
        <v>2017</v>
      </c>
      <c r="B404" s="336"/>
      <c r="C404" s="349">
        <v>2015</v>
      </c>
      <c r="D404" s="350">
        <v>1</v>
      </c>
      <c r="E404" s="351"/>
      <c r="F404" s="346"/>
      <c r="G404" s="355">
        <v>15048.168457035797</v>
      </c>
      <c r="H404" s="356">
        <v>15048.168457035797</v>
      </c>
    </row>
    <row r="405" spans="1:8" ht="15.6" x14ac:dyDescent="0.3">
      <c r="A405" s="359"/>
      <c r="B405" s="336"/>
      <c r="C405" s="349">
        <v>2016</v>
      </c>
      <c r="D405" s="350">
        <v>2</v>
      </c>
      <c r="E405" s="351"/>
      <c r="F405" s="346"/>
      <c r="G405" s="355">
        <v>15591.454641211642</v>
      </c>
      <c r="H405" s="356">
        <v>15591.454641211642</v>
      </c>
    </row>
    <row r="406" spans="1:8" ht="15.6" x14ac:dyDescent="0.3">
      <c r="A406" s="357" t="s">
        <v>351</v>
      </c>
      <c r="B406" s="336"/>
      <c r="C406" s="349">
        <v>2017</v>
      </c>
      <c r="D406" s="350">
        <v>3</v>
      </c>
      <c r="E406" s="351"/>
      <c r="F406" s="346"/>
      <c r="G406" s="355">
        <v>16105.692283440336</v>
      </c>
      <c r="H406" s="356">
        <v>16105.692283440336</v>
      </c>
    </row>
    <row r="407" spans="1:8" ht="15.6" x14ac:dyDescent="0.3">
      <c r="A407" s="358" t="s">
        <v>442</v>
      </c>
      <c r="B407" s="336"/>
      <c r="C407" s="349">
        <v>2018</v>
      </c>
      <c r="D407" s="350">
        <v>4</v>
      </c>
      <c r="E407" s="351"/>
      <c r="F407" s="346"/>
      <c r="G407" s="355">
        <v>16591.686738231929</v>
      </c>
      <c r="H407" s="356">
        <v>16591.686738231929</v>
      </c>
    </row>
    <row r="408" spans="1:8" ht="15.6" x14ac:dyDescent="0.3">
      <c r="A408" s="360"/>
      <c r="B408" s="361"/>
      <c r="C408" s="349">
        <v>2019</v>
      </c>
      <c r="D408" s="350">
        <v>5</v>
      </c>
      <c r="E408" s="351"/>
      <c r="F408" s="346"/>
      <c r="G408" s="355">
        <v>17050.243360096472</v>
      </c>
      <c r="H408" s="356">
        <v>17050.243360096472</v>
      </c>
    </row>
    <row r="409" spans="1:8" ht="15.6" x14ac:dyDescent="0.3">
      <c r="A409" s="362" t="s">
        <v>352</v>
      </c>
      <c r="B409" s="336"/>
      <c r="C409" s="349">
        <v>2020</v>
      </c>
      <c r="D409" s="350">
        <v>6</v>
      </c>
      <c r="E409" s="351"/>
      <c r="F409" s="346"/>
      <c r="G409" s="355">
        <v>17482.167503544009</v>
      </c>
      <c r="H409" s="356">
        <v>17482.167503544009</v>
      </c>
    </row>
    <row r="410" spans="1:8" ht="15.6" x14ac:dyDescent="0.3">
      <c r="A410" s="363"/>
      <c r="B410" s="336"/>
      <c r="C410" s="349">
        <v>2021</v>
      </c>
      <c r="D410" s="350">
        <v>7</v>
      </c>
      <c r="E410" s="351"/>
      <c r="F410" s="346"/>
      <c r="G410" s="355">
        <v>17888.264523084588</v>
      </c>
      <c r="H410" s="356">
        <v>17888.264523084588</v>
      </c>
    </row>
    <row r="411" spans="1:8" ht="15.6" x14ac:dyDescent="0.3">
      <c r="A411" s="364"/>
      <c r="B411" s="336"/>
      <c r="C411" s="349">
        <v>2022</v>
      </c>
      <c r="D411" s="350">
        <v>8</v>
      </c>
      <c r="E411" s="351"/>
      <c r="F411" s="346"/>
      <c r="G411" s="355">
        <v>18269.339773228261</v>
      </c>
      <c r="H411" s="356">
        <v>18269.339773228261</v>
      </c>
    </row>
    <row r="412" spans="1:8" ht="15.6" x14ac:dyDescent="0.3">
      <c r="A412" s="358"/>
      <c r="B412" s="336"/>
      <c r="C412" s="349">
        <v>2023</v>
      </c>
      <c r="D412" s="350">
        <v>9</v>
      </c>
      <c r="E412" s="351"/>
      <c r="F412" s="346"/>
      <c r="G412" s="355">
        <v>18626.198608485072</v>
      </c>
      <c r="H412" s="356">
        <v>18626.198608485072</v>
      </c>
    </row>
    <row r="413" spans="1:8" ht="15.6" x14ac:dyDescent="0.3">
      <c r="A413" s="336"/>
      <c r="B413" s="336"/>
      <c r="C413" s="349">
        <v>2024</v>
      </c>
      <c r="D413" s="350">
        <v>10</v>
      </c>
      <c r="E413" s="351"/>
      <c r="F413" s="346"/>
      <c r="G413" s="355">
        <v>18959.646383365071</v>
      </c>
      <c r="H413" s="356">
        <v>18959.646383365071</v>
      </c>
    </row>
    <row r="414" spans="1:8" ht="15.6" x14ac:dyDescent="0.3">
      <c r="A414" s="336"/>
      <c r="B414" s="336"/>
      <c r="C414" s="349">
        <v>2025</v>
      </c>
      <c r="D414" s="350">
        <v>11</v>
      </c>
      <c r="E414" s="351">
        <v>19245.593086862871</v>
      </c>
      <c r="F414" s="346">
        <v>19245.593086862871</v>
      </c>
      <c r="G414" s="355">
        <v>19245.593086862871</v>
      </c>
      <c r="H414" s="356">
        <v>19245.593086862871</v>
      </c>
    </row>
    <row r="415" spans="1:8" ht="15.6" x14ac:dyDescent="0.3">
      <c r="A415" s="336"/>
      <c r="B415" s="336"/>
      <c r="C415" s="349">
        <v>2026</v>
      </c>
      <c r="D415" s="350">
        <v>12</v>
      </c>
      <c r="E415" s="351"/>
      <c r="F415" s="346"/>
      <c r="G415" s="355">
        <v>19559.530170034814</v>
      </c>
      <c r="H415" s="356">
        <v>19559.530170034814</v>
      </c>
    </row>
    <row r="416" spans="1:8" ht="15.6" x14ac:dyDescent="0.3">
      <c r="A416" s="336"/>
      <c r="B416" s="336"/>
      <c r="C416" s="349">
        <v>2027</v>
      </c>
      <c r="D416" s="350">
        <v>13</v>
      </c>
      <c r="E416" s="351"/>
      <c r="F416" s="346"/>
      <c r="G416" s="355">
        <v>19827.576890844659</v>
      </c>
      <c r="H416" s="356">
        <v>19827.576890844659</v>
      </c>
    </row>
    <row r="417" spans="1:8" ht="15.6" x14ac:dyDescent="0.3">
      <c r="A417" s="336"/>
      <c r="B417" s="336"/>
      <c r="C417" s="349">
        <v>2028</v>
      </c>
      <c r="D417" s="350">
        <v>14</v>
      </c>
      <c r="E417" s="351"/>
      <c r="F417" s="346"/>
      <c r="G417" s="355">
        <v>20075.433969317877</v>
      </c>
      <c r="H417" s="356">
        <v>20075.433969317877</v>
      </c>
    </row>
    <row r="418" spans="1:8" ht="15.6" x14ac:dyDescent="0.3">
      <c r="A418" s="336"/>
      <c r="B418" s="336"/>
      <c r="C418" s="349">
        <v>2029</v>
      </c>
      <c r="D418" s="350">
        <v>15</v>
      </c>
      <c r="E418" s="351"/>
      <c r="F418" s="346"/>
      <c r="G418" s="355">
        <v>20303.906759964528</v>
      </c>
      <c r="H418" s="356">
        <v>20303.906759964528</v>
      </c>
    </row>
    <row r="419" spans="1:8" ht="15.6" x14ac:dyDescent="0.3">
      <c r="A419" s="336"/>
      <c r="B419" s="336"/>
      <c r="C419" s="349">
        <v>2030</v>
      </c>
      <c r="D419" s="350">
        <v>16</v>
      </c>
      <c r="E419" s="351">
        <v>20599.511361523768</v>
      </c>
      <c r="F419" s="346">
        <v>20599.511361523768</v>
      </c>
      <c r="G419" s="355">
        <v>20599.511361523768</v>
      </c>
      <c r="H419" s="356">
        <v>20599.511361523768</v>
      </c>
    </row>
    <row r="420" spans="1:8" ht="15.6" x14ac:dyDescent="0.3">
      <c r="A420" s="336"/>
      <c r="B420" s="336"/>
      <c r="C420" s="349">
        <v>2031</v>
      </c>
      <c r="D420" s="350">
        <v>17</v>
      </c>
      <c r="E420" s="351"/>
      <c r="F420" s="346"/>
      <c r="G420" s="355">
        <v>20705.92089581829</v>
      </c>
      <c r="H420" s="356">
        <v>20705.92089581829</v>
      </c>
    </row>
    <row r="421" spans="1:8" ht="15.6" x14ac:dyDescent="0.3">
      <c r="A421" s="336"/>
      <c r="B421" s="336"/>
      <c r="C421" s="349">
        <v>2032</v>
      </c>
      <c r="D421" s="350">
        <v>18</v>
      </c>
      <c r="E421" s="351"/>
      <c r="F421" s="346"/>
      <c r="G421" s="355">
        <v>20881.072950045505</v>
      </c>
      <c r="H421" s="356">
        <v>20881.072950045505</v>
      </c>
    </row>
    <row r="422" spans="1:8" ht="15.6" x14ac:dyDescent="0.3">
      <c r="A422" s="361"/>
      <c r="B422" s="361"/>
      <c r="C422" s="349">
        <v>2033</v>
      </c>
      <c r="D422" s="350">
        <v>19</v>
      </c>
      <c r="E422" s="351"/>
      <c r="F422" s="346"/>
      <c r="G422" s="355">
        <v>21040.062134486332</v>
      </c>
      <c r="H422" s="356">
        <v>21040.062134486332</v>
      </c>
    </row>
    <row r="423" spans="1:8" ht="15.6" x14ac:dyDescent="0.3">
      <c r="A423" s="361"/>
      <c r="B423" s="361"/>
      <c r="C423" s="349">
        <v>2034</v>
      </c>
      <c r="D423" s="350">
        <v>20</v>
      </c>
      <c r="E423" s="351"/>
      <c r="F423" s="346"/>
      <c r="G423" s="355">
        <v>21183.693803650825</v>
      </c>
      <c r="H423" s="356">
        <v>21183.693803650825</v>
      </c>
    </row>
    <row r="424" spans="1:8" ht="15.6" x14ac:dyDescent="0.3">
      <c r="A424" s="361"/>
      <c r="B424" s="361"/>
      <c r="C424" s="349">
        <v>2035</v>
      </c>
      <c r="D424" s="350">
        <v>21</v>
      </c>
      <c r="E424" s="351">
        <v>21336.986419114644</v>
      </c>
      <c r="F424" s="346">
        <v>21336.986419114644</v>
      </c>
      <c r="G424" s="355">
        <v>21336.986419114644</v>
      </c>
      <c r="H424" s="356">
        <v>21336.986419114644</v>
      </c>
    </row>
    <row r="425" spans="1:8" ht="15.6" x14ac:dyDescent="0.3">
      <c r="A425" s="361"/>
      <c r="B425" s="361"/>
      <c r="C425" s="349">
        <v>2036</v>
      </c>
      <c r="D425" s="350">
        <v>22</v>
      </c>
      <c r="E425" s="351"/>
      <c r="F425" s="346"/>
      <c r="G425" s="355">
        <v>21428.106014190998</v>
      </c>
      <c r="H425" s="356">
        <v>21428.106014190998</v>
      </c>
    </row>
    <row r="426" spans="1:8" ht="15.6" x14ac:dyDescent="0.3">
      <c r="A426" s="361"/>
      <c r="B426" s="361"/>
      <c r="C426" s="349">
        <v>2037</v>
      </c>
      <c r="D426" s="350">
        <v>23</v>
      </c>
      <c r="E426" s="351"/>
      <c r="F426" s="346"/>
      <c r="G426" s="355">
        <v>21530.497264586775</v>
      </c>
      <c r="H426" s="356">
        <v>21530.497264586775</v>
      </c>
    </row>
    <row r="427" spans="1:8" ht="15.6" x14ac:dyDescent="0.3">
      <c r="A427" s="361"/>
      <c r="B427" s="361"/>
      <c r="C427" s="349">
        <v>2038</v>
      </c>
      <c r="D427" s="350">
        <v>24</v>
      </c>
      <c r="E427" s="351"/>
      <c r="F427" s="346"/>
      <c r="G427" s="355">
        <v>21620.752417746407</v>
      </c>
      <c r="H427" s="356">
        <v>21620.752417746407</v>
      </c>
    </row>
    <row r="428" spans="1:8" ht="15.6" x14ac:dyDescent="0.3">
      <c r="A428" s="361"/>
      <c r="B428" s="361"/>
      <c r="C428" s="349">
        <v>2039</v>
      </c>
      <c r="D428" s="350">
        <v>25</v>
      </c>
      <c r="E428" s="351"/>
      <c r="F428" s="346"/>
      <c r="G428" s="355">
        <v>21699.676828179941</v>
      </c>
      <c r="H428" s="356">
        <v>21699.676828179941</v>
      </c>
    </row>
    <row r="429" spans="1:8" ht="15.6" x14ac:dyDescent="0.3">
      <c r="A429" s="361"/>
      <c r="B429" s="361"/>
      <c r="C429" s="349">
        <v>2040</v>
      </c>
      <c r="D429" s="350">
        <v>26</v>
      </c>
      <c r="E429" s="351">
        <v>21616.946288050942</v>
      </c>
      <c r="F429" s="346">
        <v>21616.946288050942</v>
      </c>
      <c r="G429" s="355">
        <v>21616.946288050942</v>
      </c>
      <c r="H429" s="356">
        <v>21616.946288050942</v>
      </c>
    </row>
    <row r="430" spans="1:8" ht="15.6" x14ac:dyDescent="0.3">
      <c r="A430" s="361"/>
      <c r="B430" s="361"/>
      <c r="C430" s="349">
        <v>2041</v>
      </c>
      <c r="D430" s="350">
        <v>27</v>
      </c>
      <c r="E430" s="351"/>
      <c r="F430" s="346"/>
      <c r="G430" s="355">
        <v>21826.754838908913</v>
      </c>
      <c r="H430" s="356">
        <v>21826.754838908913</v>
      </c>
    </row>
    <row r="431" spans="1:8" ht="15.6" x14ac:dyDescent="0.3">
      <c r="A431" s="361"/>
      <c r="B431" s="361"/>
      <c r="C431" s="349">
        <v>2042</v>
      </c>
      <c r="D431" s="350">
        <v>28</v>
      </c>
      <c r="E431" s="351"/>
      <c r="F431" s="346"/>
      <c r="G431" s="355">
        <v>21876.519148224448</v>
      </c>
      <c r="H431" s="356">
        <v>21876.519148224448</v>
      </c>
    </row>
    <row r="432" spans="1:8" ht="15.6" x14ac:dyDescent="0.3">
      <c r="A432" s="361"/>
      <c r="B432" s="361"/>
      <c r="C432" s="349">
        <v>2043</v>
      </c>
      <c r="D432" s="350">
        <v>29</v>
      </c>
      <c r="E432" s="351"/>
      <c r="F432" s="346"/>
      <c r="G432" s="355">
        <v>21918.174132854081</v>
      </c>
      <c r="H432" s="356">
        <v>21918.174132854081</v>
      </c>
    </row>
    <row r="433" spans="1:8" ht="15.6" x14ac:dyDescent="0.3">
      <c r="A433" s="361"/>
      <c r="B433" s="361"/>
      <c r="C433" s="349">
        <v>2044</v>
      </c>
      <c r="D433" s="350">
        <v>30</v>
      </c>
      <c r="E433" s="351"/>
      <c r="F433" s="346"/>
      <c r="G433" s="355">
        <v>21952.525147307853</v>
      </c>
      <c r="H433" s="356">
        <v>21952.525147307853</v>
      </c>
    </row>
    <row r="434" spans="1:8" ht="15.6" x14ac:dyDescent="0.3">
      <c r="A434" s="361"/>
      <c r="B434" s="361"/>
      <c r="C434" s="349">
        <v>2045</v>
      </c>
      <c r="D434" s="350">
        <v>31</v>
      </c>
      <c r="E434" s="351">
        <v>22008.790757570328</v>
      </c>
      <c r="F434" s="346">
        <v>22008.790757570328</v>
      </c>
      <c r="G434" s="355">
        <v>22008.790757570328</v>
      </c>
      <c r="H434" s="356">
        <v>22008.790757570328</v>
      </c>
    </row>
    <row r="435" spans="1:8" ht="15.6" x14ac:dyDescent="0.3">
      <c r="A435" s="361"/>
      <c r="B435" s="361"/>
      <c r="C435" s="349">
        <v>2046</v>
      </c>
      <c r="D435" s="350">
        <v>32</v>
      </c>
      <c r="E435" s="351"/>
      <c r="F435" s="346"/>
      <c r="G435" s="355">
        <v>22002.53668372802</v>
      </c>
      <c r="H435" s="356">
        <v>22002.53668372802</v>
      </c>
    </row>
    <row r="436" spans="1:8" ht="15.6" x14ac:dyDescent="0.3">
      <c r="A436" s="365"/>
      <c r="B436" s="366"/>
      <c r="C436" s="349">
        <v>2047</v>
      </c>
      <c r="D436" s="350">
        <v>33</v>
      </c>
      <c r="E436" s="351"/>
      <c r="F436" s="346"/>
      <c r="G436" s="355">
        <v>22019.807914714507</v>
      </c>
      <c r="H436" s="356">
        <v>22019.807914714507</v>
      </c>
    </row>
    <row r="437" spans="1:8" ht="15.6" x14ac:dyDescent="0.3">
      <c r="A437" s="359"/>
      <c r="B437" s="366"/>
      <c r="C437" s="349">
        <v>2048</v>
      </c>
      <c r="D437" s="350">
        <v>34</v>
      </c>
      <c r="E437" s="351"/>
      <c r="F437" s="346"/>
      <c r="G437" s="355">
        <v>22032.996593565331</v>
      </c>
      <c r="H437" s="356">
        <v>22032.996593565331</v>
      </c>
    </row>
    <row r="438" spans="1:8" ht="15.6" x14ac:dyDescent="0.3">
      <c r="A438" s="359"/>
      <c r="B438" s="359"/>
      <c r="C438" s="349">
        <v>2049</v>
      </c>
      <c r="D438" s="350">
        <v>35</v>
      </c>
      <c r="E438" s="351"/>
      <c r="F438" s="346"/>
      <c r="G438" s="355">
        <v>22042.908074790543</v>
      </c>
      <c r="H438" s="356">
        <v>22042.908074790543</v>
      </c>
    </row>
    <row r="439" spans="1:8" ht="15.6" x14ac:dyDescent="0.3">
      <c r="A439" s="359"/>
      <c r="B439" s="359"/>
      <c r="C439" s="349">
        <v>2050</v>
      </c>
      <c r="D439" s="350">
        <v>36</v>
      </c>
      <c r="E439" s="351">
        <v>22078.938862739502</v>
      </c>
      <c r="F439" s="346">
        <v>22078.938862739502</v>
      </c>
      <c r="G439" s="355">
        <v>22078.938862739502</v>
      </c>
      <c r="H439" s="356">
        <v>22078.938862739502</v>
      </c>
    </row>
    <row r="440" spans="1:8" ht="15.6" x14ac:dyDescent="0.3">
      <c r="A440"/>
      <c r="B440"/>
      <c r="C440" s="349">
        <v>2051</v>
      </c>
      <c r="D440" s="350">
        <v>37</v>
      </c>
      <c r="E440" s="351"/>
      <c r="F440" s="346"/>
      <c r="G440" s="355">
        <v>22056.120862404288</v>
      </c>
      <c r="H440" s="356">
        <v>22056.120862404288</v>
      </c>
    </row>
    <row r="441" spans="1:8" ht="15.6" x14ac:dyDescent="0.3">
      <c r="A441"/>
      <c r="B441"/>
      <c r="C441" s="349">
        <v>2052</v>
      </c>
      <c r="D441" s="350">
        <v>38</v>
      </c>
      <c r="E441" s="351"/>
      <c r="F441" s="346"/>
      <c r="G441" s="355">
        <v>22061.032877812926</v>
      </c>
      <c r="H441" s="356">
        <v>22061.032877812926</v>
      </c>
    </row>
    <row r="442" spans="1:8" ht="15.6" x14ac:dyDescent="0.3">
      <c r="A442"/>
      <c r="B442"/>
      <c r="C442" s="349">
        <v>2053</v>
      </c>
      <c r="D442" s="350">
        <v>39</v>
      </c>
      <c r="E442" s="351"/>
      <c r="F442" s="346"/>
      <c r="G442" s="355">
        <v>22065.889113636142</v>
      </c>
      <c r="H442" s="356">
        <v>22065.889113636142</v>
      </c>
    </row>
    <row r="443" spans="1:8" ht="15.6" x14ac:dyDescent="0.3">
      <c r="A443"/>
      <c r="B443"/>
      <c r="C443" s="349">
        <v>2054</v>
      </c>
      <c r="D443" s="350">
        <v>40</v>
      </c>
      <c r="E443" s="351"/>
      <c r="F443" s="346"/>
      <c r="G443" s="355">
        <v>22071.494924383976</v>
      </c>
      <c r="H443" s="356">
        <v>22071.494924383976</v>
      </c>
    </row>
    <row r="444" spans="1:8" ht="15.6" x14ac:dyDescent="0.3">
      <c r="A444"/>
      <c r="B444"/>
      <c r="C444" s="349">
        <v>2055</v>
      </c>
      <c r="D444" s="350">
        <v>41</v>
      </c>
      <c r="E444" s="351">
        <v>22131.407334939056</v>
      </c>
      <c r="F444" s="346">
        <v>22131.407334939056</v>
      </c>
      <c r="G444" s="355">
        <v>22131.407334939056</v>
      </c>
      <c r="H444" s="356">
        <v>22131.407334939056</v>
      </c>
    </row>
    <row r="445" spans="1:8" ht="15.6" x14ac:dyDescent="0.3">
      <c r="A445"/>
      <c r="B445"/>
      <c r="C445" s="349">
        <v>2056</v>
      </c>
      <c r="D445" s="350">
        <v>42</v>
      </c>
      <c r="E445" s="351"/>
      <c r="F445" s="346"/>
      <c r="G445" s="355">
        <v>22088.1766886937</v>
      </c>
      <c r="H445" s="356">
        <v>22088.1766886937</v>
      </c>
    </row>
    <row r="446" spans="1:8" ht="15.6" x14ac:dyDescent="0.3">
      <c r="A446"/>
      <c r="B446"/>
      <c r="C446" s="349">
        <v>2057</v>
      </c>
      <c r="D446" s="350">
        <v>43</v>
      </c>
      <c r="E446" s="351"/>
      <c r="F446" s="346"/>
      <c r="G446" s="355">
        <v>22100.863351275682</v>
      </c>
      <c r="H446" s="356">
        <v>22100.863351275682</v>
      </c>
    </row>
    <row r="447" spans="1:8" ht="15.6" x14ac:dyDescent="0.3">
      <c r="A447"/>
      <c r="B447"/>
      <c r="C447" s="349">
        <v>2058</v>
      </c>
      <c r="D447" s="350">
        <v>44</v>
      </c>
      <c r="E447" s="351"/>
      <c r="F447" s="346"/>
      <c r="G447" s="355">
        <v>22117.521006822481</v>
      </c>
      <c r="H447" s="356">
        <v>22117.521006822481</v>
      </c>
    </row>
    <row r="448" spans="1:8" ht="15.6" x14ac:dyDescent="0.3">
      <c r="A448"/>
      <c r="B448"/>
      <c r="C448" s="349">
        <v>2059</v>
      </c>
      <c r="D448" s="350">
        <v>45</v>
      </c>
      <c r="E448" s="351"/>
      <c r="F448" s="346"/>
      <c r="G448" s="355">
        <v>22138.955009844143</v>
      </c>
      <c r="H448" s="356">
        <v>22138.955009844143</v>
      </c>
    </row>
    <row r="449" spans="1:8" ht="15.6" x14ac:dyDescent="0.3">
      <c r="A449"/>
      <c r="B449"/>
      <c r="C449" s="367">
        <v>2060</v>
      </c>
      <c r="D449" s="350">
        <v>46</v>
      </c>
      <c r="E449" s="351">
        <v>22127.937259425351</v>
      </c>
      <c r="F449" s="346">
        <v>22127.937259425351</v>
      </c>
      <c r="G449" s="355">
        <v>22127.937259425351</v>
      </c>
      <c r="H449" s="356">
        <v>22127.937259425351</v>
      </c>
    </row>
  </sheetData>
  <mergeCells count="20">
    <mergeCell ref="Y23:Z23"/>
    <mergeCell ref="J24:M24"/>
    <mergeCell ref="F256:F257"/>
    <mergeCell ref="A263:A266"/>
    <mergeCell ref="F322:F323"/>
    <mergeCell ref="U23:V23"/>
    <mergeCell ref="F391:F392"/>
    <mergeCell ref="A398:A401"/>
    <mergeCell ref="C1:G1"/>
    <mergeCell ref="I1:T1"/>
    <mergeCell ref="D2:E2"/>
    <mergeCell ref="I2:L3"/>
    <mergeCell ref="S3:W5"/>
    <mergeCell ref="I5:L6"/>
    <mergeCell ref="A329:A332"/>
    <mergeCell ref="O22:R22"/>
    <mergeCell ref="B23:D23"/>
    <mergeCell ref="E23:H23"/>
    <mergeCell ref="J23:M23"/>
    <mergeCell ref="O23:R23"/>
  </mergeCells>
  <conditionalFormatting sqref="A263">
    <cfRule type="cellIs" dxfId="17" priority="3" operator="equal">
      <formula>#REF!</formula>
    </cfRule>
  </conditionalFormatting>
  <conditionalFormatting sqref="A329">
    <cfRule type="cellIs" dxfId="16" priority="2" operator="equal">
      <formula>#REF!</formula>
    </cfRule>
  </conditionalFormatting>
  <conditionalFormatting sqref="A398">
    <cfRule type="cellIs" dxfId="15" priority="1" operator="equal">
      <formula>#REF!</formula>
    </cfRule>
  </conditionalFormatting>
  <dataValidations count="1">
    <dataValidation type="list" allowBlank="1" showInputMessage="1" showErrorMessage="1" sqref="C83:G83 F17 O24:R24 F3:G15">
      <formula1>"Y,N"</formula1>
    </dataValidation>
  </dataValidation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sheetPr>
  <dimension ref="A1:EG449"/>
  <sheetViews>
    <sheetView showGridLines="0" topLeftCell="A242" zoomScale="96" zoomScaleNormal="96" zoomScalePageLayoutView="80" workbookViewId="0">
      <selection activeCell="N135" sqref="N135"/>
    </sheetView>
  </sheetViews>
  <sheetFormatPr defaultColWidth="8.796875" defaultRowHeight="13.2" x14ac:dyDescent="0.25"/>
  <cols>
    <col min="1" max="1" width="24.69921875" style="153" customWidth="1"/>
    <col min="2" max="2" width="37.5" style="153" bestFit="1" customWidth="1"/>
    <col min="3" max="3" width="21.5" style="153" customWidth="1"/>
    <col min="4" max="4" width="28.19921875" style="153" customWidth="1"/>
    <col min="5" max="5" width="37.5" style="153" bestFit="1" customWidth="1"/>
    <col min="6" max="6" width="28.296875" style="153" bestFit="1" customWidth="1"/>
    <col min="7" max="7" width="18.296875" style="153" bestFit="1" customWidth="1"/>
    <col min="8" max="8" width="45.5" style="153" bestFit="1" customWidth="1"/>
    <col min="9" max="11" width="7.296875" style="153" bestFit="1" customWidth="1"/>
    <col min="12" max="12" width="10.796875" style="153" bestFit="1" customWidth="1"/>
    <col min="13" max="13" width="7.19921875" style="153" bestFit="1" customWidth="1"/>
    <col min="14" max="14" width="19.5" style="153" customWidth="1"/>
    <col min="15" max="15" width="24.5" style="153" customWidth="1"/>
    <col min="16" max="16" width="23.19921875" style="153" customWidth="1"/>
    <col min="17" max="17" width="18.796875" style="153" customWidth="1"/>
    <col min="18" max="18" width="19" style="153" bestFit="1" customWidth="1"/>
    <col min="19" max="19" width="8.796875" style="153"/>
    <col min="20" max="20" width="10.19921875" style="153" bestFit="1" customWidth="1"/>
    <col min="21" max="21" width="24.5" style="153" customWidth="1"/>
    <col min="22" max="22" width="20" style="153" customWidth="1"/>
    <col min="23" max="23" width="19" style="153" bestFit="1" customWidth="1"/>
    <col min="24" max="24" width="21.19921875" style="153" customWidth="1"/>
    <col min="25" max="25" width="16.296875" style="153" bestFit="1" customWidth="1"/>
    <col min="26" max="28" width="8.796875" style="153"/>
    <col min="29" max="29" width="41.69921875" style="153" bestFit="1" customWidth="1"/>
    <col min="30" max="31" width="8.796875" style="153"/>
    <col min="32" max="33" width="7" style="153" bestFit="1" customWidth="1"/>
    <col min="34" max="34" width="7.5" style="153" bestFit="1" customWidth="1"/>
    <col min="35" max="35" width="5.296875" style="153" bestFit="1" customWidth="1"/>
    <col min="36" max="16384" width="8.796875" style="153"/>
  </cols>
  <sheetData>
    <row r="1" spans="1:137" s="160" customFormat="1" ht="21.6" thickBot="1" x14ac:dyDescent="0.45">
      <c r="A1" s="155" t="str">
        <f ca="1">MID(CELL("filename",A1),FIND("]",CELL("filename",A1))+1,256)</f>
        <v>Passenger-km_cluster_mdc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443</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331</v>
      </c>
      <c r="E3" s="249">
        <v>0.37352272910664808</v>
      </c>
      <c r="F3" s="167"/>
      <c r="G3" s="167" t="s">
        <v>213</v>
      </c>
      <c r="I3" s="618"/>
      <c r="J3" s="618"/>
      <c r="K3" s="618"/>
      <c r="L3" s="618"/>
      <c r="M3" s="166"/>
      <c r="N3" s="164">
        <f ca="1">SUM(OFFSET(O27,B3-2015,0,B4-B3+1,4))/1000</f>
        <v>3.8122987657286762</v>
      </c>
      <c r="O3" s="165" t="s">
        <v>209</v>
      </c>
      <c r="Q3" s="165"/>
      <c r="S3" s="671" t="s">
        <v>210</v>
      </c>
      <c r="T3" s="671"/>
      <c r="U3" s="671"/>
      <c r="V3" s="671"/>
      <c r="W3" s="671"/>
    </row>
    <row r="4" spans="1:137" ht="13.8" x14ac:dyDescent="0.25">
      <c r="A4" s="153" t="s">
        <v>215</v>
      </c>
      <c r="B4" s="234">
        <v>2050</v>
      </c>
      <c r="D4" s="248" t="s">
        <v>446</v>
      </c>
      <c r="E4" s="249">
        <v>5.4198099408466639E-3</v>
      </c>
      <c r="F4" s="167"/>
      <c r="G4" s="167" t="s">
        <v>211</v>
      </c>
      <c r="I4" s="168"/>
      <c r="J4" s="168"/>
      <c r="K4" s="168"/>
      <c r="L4" s="168"/>
      <c r="M4" s="168"/>
      <c r="N4" s="168"/>
      <c r="S4" s="671"/>
      <c r="T4" s="671"/>
      <c r="U4" s="671"/>
      <c r="V4" s="671"/>
      <c r="W4" s="671"/>
    </row>
    <row r="5" spans="1:137" ht="12.75" customHeight="1" x14ac:dyDescent="0.25">
      <c r="D5" s="248" t="s">
        <v>447</v>
      </c>
      <c r="E5" s="249">
        <v>1.8464056878232207E-3</v>
      </c>
      <c r="F5" s="167"/>
      <c r="G5" s="167" t="s">
        <v>211</v>
      </c>
      <c r="I5" s="618" t="s">
        <v>214</v>
      </c>
      <c r="J5" s="618"/>
      <c r="K5" s="618"/>
      <c r="L5" s="618"/>
      <c r="M5" s="169"/>
      <c r="N5" s="164">
        <f>SUM(J27:M72)/1000</f>
        <v>0</v>
      </c>
      <c r="O5" s="165" t="s">
        <v>208</v>
      </c>
      <c r="S5" s="671"/>
      <c r="T5" s="671"/>
      <c r="U5" s="671"/>
      <c r="V5" s="671"/>
      <c r="W5" s="671"/>
    </row>
    <row r="6" spans="1:137" ht="13.8" x14ac:dyDescent="0.25">
      <c r="D6" s="248" t="s">
        <v>448</v>
      </c>
      <c r="E6" s="249">
        <v>1.4574949236517223E-2</v>
      </c>
      <c r="F6" s="167"/>
      <c r="G6" s="167" t="s">
        <v>211</v>
      </c>
      <c r="I6" s="618"/>
      <c r="J6" s="618"/>
      <c r="K6" s="618"/>
      <c r="L6" s="618"/>
      <c r="M6" s="163"/>
      <c r="N6" s="164">
        <f>SUM(O27:R72)/1000</f>
        <v>8.2069470993625728</v>
      </c>
      <c r="O6" s="165" t="s">
        <v>209</v>
      </c>
    </row>
    <row r="7" spans="1:137" ht="13.8" x14ac:dyDescent="0.25">
      <c r="D7" s="248" t="s">
        <v>333</v>
      </c>
      <c r="E7" s="249">
        <v>6.9602452350514391E-2</v>
      </c>
      <c r="F7" s="167"/>
      <c r="G7" s="167" t="s">
        <v>211</v>
      </c>
      <c r="I7" s="321"/>
      <c r="J7" s="321"/>
      <c r="K7" s="321"/>
      <c r="L7" s="321"/>
      <c r="M7" s="321"/>
      <c r="N7" s="321"/>
      <c r="O7" s="321"/>
      <c r="P7" s="165"/>
    </row>
    <row r="8" spans="1:137" ht="13.8" x14ac:dyDescent="0.25">
      <c r="D8" s="248" t="s">
        <v>449</v>
      </c>
      <c r="E8" s="249">
        <v>0.15785630010489782</v>
      </c>
      <c r="F8" s="167"/>
      <c r="G8" s="167" t="s">
        <v>213</v>
      </c>
    </row>
    <row r="9" spans="1:137" ht="13.8" x14ac:dyDescent="0.25">
      <c r="D9" s="248" t="s">
        <v>450</v>
      </c>
      <c r="E9" s="249">
        <v>0.14651638221109406</v>
      </c>
      <c r="F9" s="167"/>
      <c r="G9" s="167" t="s">
        <v>213</v>
      </c>
    </row>
    <row r="10" spans="1:137" ht="13.8" x14ac:dyDescent="0.25">
      <c r="D10" s="248" t="s">
        <v>451</v>
      </c>
      <c r="E10" s="249">
        <v>1.5414977516314141E-2</v>
      </c>
      <c r="F10" s="167"/>
      <c r="G10" s="167" t="s">
        <v>211</v>
      </c>
    </row>
    <row r="11" spans="1:137" ht="13.8" x14ac:dyDescent="0.25">
      <c r="D11" s="248" t="s">
        <v>452</v>
      </c>
      <c r="E11" s="249">
        <v>5.4241782854827683E-2</v>
      </c>
      <c r="F11" s="167"/>
      <c r="G11" s="167" t="s">
        <v>211</v>
      </c>
    </row>
    <row r="12" spans="1:137" ht="13.8" x14ac:dyDescent="0.25">
      <c r="D12" s="248" t="s">
        <v>385</v>
      </c>
      <c r="E12" s="249">
        <v>0.11129287250584244</v>
      </c>
      <c r="F12" s="167"/>
      <c r="G12" s="167" t="s">
        <v>211</v>
      </c>
    </row>
    <row r="13" spans="1:137" ht="13.8" x14ac:dyDescent="0.25">
      <c r="D13" s="248" t="s">
        <v>334</v>
      </c>
      <c r="E13" s="249">
        <v>9.5247044011229475E-3</v>
      </c>
      <c r="F13" s="167"/>
      <c r="G13" s="167" t="s">
        <v>211</v>
      </c>
    </row>
    <row r="14" spans="1:137" ht="13.8" x14ac:dyDescent="0.25">
      <c r="D14" s="248" t="s">
        <v>335</v>
      </c>
      <c r="E14" s="249">
        <v>1.4603307826406002E-2</v>
      </c>
      <c r="F14" s="167"/>
      <c r="G14" s="167" t="s">
        <v>211</v>
      </c>
    </row>
    <row r="15" spans="1:137" ht="27.6" x14ac:dyDescent="0.25">
      <c r="D15" s="248" t="s">
        <v>336</v>
      </c>
      <c r="E15" s="249">
        <v>2.5583326257145333E-2</v>
      </c>
      <c r="F15" s="167"/>
      <c r="G15" s="167" t="s">
        <v>211</v>
      </c>
      <c r="O15" s="260" t="s">
        <v>322</v>
      </c>
      <c r="P15" s="260" t="s">
        <v>444</v>
      </c>
    </row>
    <row r="16" spans="1:137" ht="13.8" x14ac:dyDescent="0.25">
      <c r="F16" s="153" t="s">
        <v>217</v>
      </c>
      <c r="O16" s="261"/>
      <c r="P16" s="371">
        <v>5.2900000000000003E-2</v>
      </c>
    </row>
    <row r="17" spans="1:26" ht="27.6" x14ac:dyDescent="0.25">
      <c r="D17" s="171" t="s">
        <v>216</v>
      </c>
      <c r="E17" s="233">
        <v>1</v>
      </c>
      <c r="F17" s="167" t="s">
        <v>211</v>
      </c>
      <c r="P17" s="260" t="s">
        <v>445</v>
      </c>
    </row>
    <row r="18" spans="1:26" ht="13.8" x14ac:dyDescent="0.25">
      <c r="P18" s="371">
        <f>P16*(1-0.81)</f>
        <v>1.0050999999999997E-2</v>
      </c>
    </row>
    <row r="22" spans="1:26" x14ac:dyDescent="0.25">
      <c r="D22" s="170"/>
      <c r="I22" s="321"/>
      <c r="J22" s="321"/>
      <c r="K22" s="321"/>
      <c r="L22" s="321"/>
      <c r="M22" s="321"/>
      <c r="N22" s="321"/>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320"/>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IFERROR(IF($F$17="Y",$E$17,1-$Y85)*(SUMIF($G$3:$G$15,"Y",$E$3:$E$15))*(B85-B137),0)</f>
        <v>-61815967.349907279</v>
      </c>
      <c r="F26" s="183" t="str">
        <f>IFERROR(E26-E25,"")</f>
        <v/>
      </c>
      <c r="G26" s="247">
        <f t="shared" ref="G26:G72" si="1">IFERROR(E26/(B85-B137),"")</f>
        <v>0.67789541142263998</v>
      </c>
      <c r="H26" s="245" t="s">
        <v>264</v>
      </c>
      <c r="J26" s="182"/>
      <c r="K26" s="182"/>
      <c r="L26" s="182"/>
      <c r="M26" s="182"/>
      <c r="N26" s="163"/>
      <c r="O26" s="259" t="str">
        <f>IF($O$24="Y",IFERROR(E26*$E$6*$O$16*'Emissions Factors'!B12,""),"")</f>
        <v/>
      </c>
      <c r="P26" s="259">
        <f>IF($P$24="Y",IFERROR($E26*(($E$3/SUMIF($G$3:$G$15,"Y",$E$3:$E$15)*('Emissions Factors'!$R$21*$P$16)/10^6)+((($E$8+$E$9)/SUMIF($G$3:$G$15,"Y",$E$3:$E$15)*('Emissions Factors'!$R$21*$P$18)/10^6))),""),"")</f>
        <v>-4.7315814271692213E-3</v>
      </c>
      <c r="Q26" s="259"/>
      <c r="R26" s="245" t="s">
        <v>264</v>
      </c>
      <c r="T26" s="180" t="str">
        <f t="shared" ref="T26:T72" si="2">IF(AND(A26&gt;=$B$3,A26&lt;=$B$4),SUM(O26:R26),"")</f>
        <v/>
      </c>
      <c r="U26" s="180" t="str">
        <f t="shared" ref="U26:U72" si="3">IF(AND(A26&gt;=$B$3,A26&lt;=$B$4),SUM(J26:M26),"")</f>
        <v/>
      </c>
      <c r="V26" s="177"/>
      <c r="X26" s="180">
        <f t="shared" ref="X26:X72" si="4">SUM(O26:R26)</f>
        <v>-4.7315814271692213E-3</v>
      </c>
      <c r="Y26" s="180">
        <f t="shared" ref="Y26:Y72" si="5">SUM(J26:M26)</f>
        <v>0</v>
      </c>
    </row>
    <row r="27" spans="1:26" ht="15.6" x14ac:dyDescent="0.3">
      <c r="A27" s="152">
        <v>2015</v>
      </c>
      <c r="B27" s="178">
        <f t="shared" si="0"/>
        <v>0</v>
      </c>
      <c r="C27" s="182">
        <f>IFERROR(B27-B26,"")</f>
        <v>0</v>
      </c>
      <c r="D27" s="183"/>
      <c r="E27" s="179">
        <f t="shared" ref="E27:E72" si="6">IFERROR(IF($F$17="Y",$E$17,1-$Y86)*(SUMIF($G$3:$G$15,"Y",$E$3:$E$15))*(B86-B138),0)</f>
        <v>-62719473.164981835</v>
      </c>
      <c r="F27" s="183">
        <f>IFERROR(E27-E26,"")</f>
        <v>-903505.81507455558</v>
      </c>
      <c r="G27" s="247">
        <f t="shared" si="1"/>
        <v>0.67789541142263998</v>
      </c>
      <c r="H27" s="246"/>
      <c r="J27" s="182"/>
      <c r="K27" s="182"/>
      <c r="L27" s="182"/>
      <c r="M27" s="182"/>
      <c r="N27" s="163"/>
      <c r="O27" s="259" t="str">
        <f>IF($O$24="Y",IFERROR(E27*$E$6*$O$16*'Emissions Factors'!B12,""),"")</f>
        <v/>
      </c>
      <c r="P27" s="259">
        <f>IF($P$24="Y",IFERROR($E27*(($E$3/SUMIF($G$3:$G$15,"Y",$E$3:$E$15)*('Emissions Factors'!$R$21*$P$16)/10^6)+((($E$8+$E$9)/SUMIF($G$3:$G$15,"Y",$E$3:$E$15)*('Emissions Factors'!$R$21*$P$18)/10^6))),""),"")</f>
        <v>-4.8007384996412508E-3</v>
      </c>
      <c r="Q27" s="259"/>
      <c r="R27" s="258"/>
      <c r="T27" s="180" t="str">
        <f t="shared" si="2"/>
        <v/>
      </c>
      <c r="U27" s="180" t="str">
        <f t="shared" si="3"/>
        <v/>
      </c>
      <c r="V27" s="177"/>
      <c r="X27" s="180">
        <f t="shared" si="4"/>
        <v>-4.8007384996412508E-3</v>
      </c>
      <c r="Y27" s="180">
        <f t="shared" si="5"/>
        <v>0</v>
      </c>
    </row>
    <row r="28" spans="1:26" ht="15.6" x14ac:dyDescent="0.3">
      <c r="A28" s="152">
        <v>2016</v>
      </c>
      <c r="B28" s="178">
        <f t="shared" si="0"/>
        <v>0</v>
      </c>
      <c r="C28" s="182">
        <f t="shared" ref="C28:C72" si="7">IFERROR(B28-B27,"")</f>
        <v>0</v>
      </c>
      <c r="D28" s="183"/>
      <c r="E28" s="179">
        <f t="shared" si="6"/>
        <v>-63396161.138755575</v>
      </c>
      <c r="F28" s="183">
        <f t="shared" ref="F28:F72" si="8">IFERROR(E28-E27,"")</f>
        <v>-676687.97377374023</v>
      </c>
      <c r="G28" s="247">
        <f t="shared" si="1"/>
        <v>0.67789541142263998</v>
      </c>
      <c r="H28" s="246"/>
      <c r="J28" s="182"/>
      <c r="K28" s="182"/>
      <c r="L28" s="182"/>
      <c r="M28" s="182"/>
      <c r="N28" s="163"/>
      <c r="O28" s="259" t="str">
        <f>IF($O$24="Y",IFERROR(E28*$E$6*$O$16*'Emissions Factors'!B13,""),"")</f>
        <v/>
      </c>
      <c r="P28" s="259">
        <f>IF($P$24="Y",IFERROR($E28*(($E$3/SUMIF($G$3:$G$15,"Y",$E$3:$E$15)*('Emissions Factors'!$R$21*$P$16)/10^6)+((($E$8+$E$9)/SUMIF($G$3:$G$15,"Y",$E$3:$E$15)*('Emissions Factors'!$R$21*$P$18)/10^6))),""),"")</f>
        <v>-4.8525342473414029E-3</v>
      </c>
      <c r="Q28" s="259"/>
      <c r="R28" s="258"/>
      <c r="T28" s="180" t="str">
        <f t="shared" si="2"/>
        <v/>
      </c>
      <c r="U28" s="180" t="str">
        <f t="shared" si="3"/>
        <v/>
      </c>
      <c r="V28" s="177"/>
      <c r="X28" s="180">
        <f t="shared" si="4"/>
        <v>-4.8525342473414029E-3</v>
      </c>
      <c r="Y28" s="180">
        <f t="shared" si="5"/>
        <v>0</v>
      </c>
    </row>
    <row r="29" spans="1:26" ht="15.6" x14ac:dyDescent="0.3">
      <c r="A29" s="152">
        <v>2017</v>
      </c>
      <c r="B29" s="178">
        <f t="shared" si="0"/>
        <v>0</v>
      </c>
      <c r="C29" s="182">
        <f>IFERROR(B29-B28,"")</f>
        <v>0</v>
      </c>
      <c r="D29" s="183"/>
      <c r="E29" s="179">
        <f t="shared" si="6"/>
        <v>-63674166.656026661</v>
      </c>
      <c r="F29" s="183">
        <f>IFERROR(E29-E28,"")</f>
        <v>-278005.51727108657</v>
      </c>
      <c r="G29" s="247">
        <f t="shared" si="1"/>
        <v>0.67789541142263998</v>
      </c>
      <c r="H29" s="246"/>
      <c r="J29" s="182"/>
      <c r="K29" s="182"/>
      <c r="L29" s="182"/>
      <c r="M29" s="182"/>
      <c r="N29" s="163"/>
      <c r="O29" s="259" t="str">
        <f>IF($O$24="Y",IFERROR(E29*$E$6*$O$16*'Emissions Factors'!B14,""),"")</f>
        <v/>
      </c>
      <c r="P29" s="259">
        <f>IF($P$24="Y",IFERROR($E29*(($E$3/SUMIF($G$3:$G$15,"Y",$E$3:$E$15)*('Emissions Factors'!$R$21*$P$16)/10^6)+((($E$8+$E$9)/SUMIF($G$3:$G$15,"Y",$E$3:$E$15)*('Emissions Factors'!$R$21*$P$18)/10^6))),""),"")</f>
        <v>-4.8738136319173104E-3</v>
      </c>
      <c r="Q29" s="259"/>
      <c r="R29" s="258"/>
      <c r="T29" s="180" t="str">
        <f t="shared" si="2"/>
        <v/>
      </c>
      <c r="U29" s="180" t="str">
        <f t="shared" si="3"/>
        <v/>
      </c>
      <c r="V29" s="177"/>
      <c r="X29" s="180">
        <f t="shared" si="4"/>
        <v>-4.8738136319173104E-3</v>
      </c>
      <c r="Y29" s="180">
        <f t="shared" si="5"/>
        <v>0</v>
      </c>
    </row>
    <row r="30" spans="1:26" ht="15.6" x14ac:dyDescent="0.3">
      <c r="A30" s="152">
        <v>2018</v>
      </c>
      <c r="B30" s="178">
        <f t="shared" si="0"/>
        <v>0</v>
      </c>
      <c r="C30" s="182">
        <f t="shared" si="7"/>
        <v>0</v>
      </c>
      <c r="D30" s="183"/>
      <c r="E30" s="179">
        <f t="shared" si="6"/>
        <v>-63694982.271411538</v>
      </c>
      <c r="F30" s="183">
        <f t="shared" si="8"/>
        <v>-20815.615384876728</v>
      </c>
      <c r="G30" s="247">
        <f t="shared" si="1"/>
        <v>0.67789541142263998</v>
      </c>
      <c r="H30" s="246"/>
      <c r="J30" s="182"/>
      <c r="K30" s="182"/>
      <c r="L30" s="182"/>
      <c r="M30" s="182"/>
      <c r="N30" s="163"/>
      <c r="O30" s="259" t="str">
        <f>IF($O$24="Y",IFERROR(E30*$E$6*$O$16*'Emissions Factors'!B15,""),"")</f>
        <v/>
      </c>
      <c r="P30" s="259">
        <f>IF($P$24="Y",IFERROR($E30*(($E$3/SUMIF($G$3:$G$15,"Y",$E$3:$E$15)*('Emissions Factors'!$R$21*$P$16)/10^6)+((($E$8+$E$9)/SUMIF($G$3:$G$15,"Y",$E$3:$E$15)*('Emissions Factors'!$R$21*$P$18)/10^6))),""),"")</f>
        <v>-4.8754069221847371E-3</v>
      </c>
      <c r="Q30" s="259"/>
      <c r="R30" s="258"/>
      <c r="T30" s="180" t="str">
        <f t="shared" si="2"/>
        <v/>
      </c>
      <c r="U30" s="180" t="str">
        <f t="shared" si="3"/>
        <v/>
      </c>
      <c r="V30" s="177"/>
      <c r="X30" s="180">
        <f t="shared" si="4"/>
        <v>-4.8754069221847371E-3</v>
      </c>
      <c r="Y30" s="180">
        <f t="shared" si="5"/>
        <v>0</v>
      </c>
    </row>
    <row r="31" spans="1:26" ht="15.6" x14ac:dyDescent="0.3">
      <c r="A31" s="152">
        <v>2019</v>
      </c>
      <c r="B31" s="178">
        <f t="shared" si="0"/>
        <v>0</v>
      </c>
      <c r="C31" s="182">
        <f t="shared" si="7"/>
        <v>0</v>
      </c>
      <c r="D31" s="183"/>
      <c r="E31" s="179">
        <f t="shared" si="6"/>
        <v>-63790770.439494468</v>
      </c>
      <c r="F31" s="183">
        <f t="shared" si="8"/>
        <v>-95788.168082930148</v>
      </c>
      <c r="G31" s="247">
        <f t="shared" si="1"/>
        <v>0.67789541142263998</v>
      </c>
      <c r="H31" s="246"/>
      <c r="J31" s="182"/>
      <c r="K31" s="182"/>
      <c r="L31" s="182"/>
      <c r="M31" s="182"/>
      <c r="N31" s="163"/>
      <c r="O31" s="259" t="str">
        <f>IF($O$24="Y",IFERROR(E31*$E$6*$O$16*'Emissions Factors'!B16,""),"")</f>
        <v/>
      </c>
      <c r="P31" s="259">
        <f>IF($P$24="Y",IFERROR($E31*(($E$3/SUMIF($G$3:$G$15,"Y",$E$3:$E$15)*('Emissions Factors'!$R$21*$P$16)/10^6)+((($E$8+$E$9)/SUMIF($G$3:$G$15,"Y",$E$3:$E$15)*('Emissions Factors'!$R$21*$P$18)/10^6))),""),"")</f>
        <v>-4.8827388387828914E-3</v>
      </c>
      <c r="Q31" s="259"/>
      <c r="R31" s="258"/>
      <c r="T31" s="180" t="str">
        <f t="shared" si="2"/>
        <v/>
      </c>
      <c r="U31" s="180" t="str">
        <f t="shared" si="3"/>
        <v/>
      </c>
      <c r="V31" s="177"/>
      <c r="X31" s="180">
        <f t="shared" si="4"/>
        <v>-4.8827388387828914E-3</v>
      </c>
      <c r="Y31" s="180">
        <f t="shared" si="5"/>
        <v>0</v>
      </c>
    </row>
    <row r="32" spans="1:26" ht="15.6" x14ac:dyDescent="0.3">
      <c r="A32" s="152">
        <v>2020</v>
      </c>
      <c r="B32" s="178">
        <f t="shared" si="0"/>
        <v>0</v>
      </c>
      <c r="C32" s="182">
        <f t="shared" si="7"/>
        <v>0</v>
      </c>
      <c r="D32" s="183"/>
      <c r="E32" s="179">
        <f t="shared" si="6"/>
        <v>-64317552.302746445</v>
      </c>
      <c r="F32" s="183">
        <f t="shared" si="8"/>
        <v>-526781.86325197667</v>
      </c>
      <c r="G32" s="247">
        <f t="shared" si="1"/>
        <v>0.67789541142263998</v>
      </c>
      <c r="H32" s="246"/>
      <c r="J32" s="182"/>
      <c r="K32" s="182"/>
      <c r="L32" s="182"/>
      <c r="M32" s="182"/>
      <c r="N32" s="163"/>
      <c r="O32" s="259" t="str">
        <f>IF($O$24="Y",IFERROR(E32*$E$6*$O$16*'Emissions Factors'!B17,""),"")</f>
        <v/>
      </c>
      <c r="P32" s="259">
        <f>IF($P$24="Y",IFERROR($E32*(($E$3/SUMIF($G$3:$G$15,"Y",$E$3:$E$15)*('Emissions Factors'!$R$21*$P$16)/10^6)+((($E$8+$E$9)/SUMIF($G$3:$G$15,"Y",$E$3:$E$15)*('Emissions Factors'!$R$21*$P$18)/10^6))),""),"")</f>
        <v>-4.9230603186074147E-3</v>
      </c>
      <c r="Q32" s="259"/>
      <c r="R32" s="258"/>
      <c r="T32" s="180">
        <f t="shared" si="2"/>
        <v>-4.9230603186074147E-3</v>
      </c>
      <c r="U32" s="180">
        <f t="shared" si="3"/>
        <v>0</v>
      </c>
      <c r="V32" s="177"/>
      <c r="X32" s="180">
        <f t="shared" si="4"/>
        <v>-4.9230603186074147E-3</v>
      </c>
      <c r="Y32" s="180">
        <f t="shared" si="5"/>
        <v>0</v>
      </c>
    </row>
    <row r="33" spans="1:25" ht="15.6" x14ac:dyDescent="0.3">
      <c r="A33" s="152">
        <v>2021</v>
      </c>
      <c r="B33" s="178">
        <f t="shared" si="0"/>
        <v>0</v>
      </c>
      <c r="C33" s="182">
        <f t="shared" si="7"/>
        <v>0</v>
      </c>
      <c r="D33" s="183"/>
      <c r="E33" s="179">
        <f t="shared" si="6"/>
        <v>34350486053.638184</v>
      </c>
      <c r="F33" s="183">
        <f t="shared" si="8"/>
        <v>34414803605.940933</v>
      </c>
      <c r="G33" s="247">
        <f t="shared" si="1"/>
        <v>0.40303887409422151</v>
      </c>
      <c r="H33" s="246"/>
      <c r="J33" s="182"/>
      <c r="K33" s="182"/>
      <c r="L33" s="182"/>
      <c r="M33" s="182"/>
      <c r="N33" s="163"/>
      <c r="O33" s="259" t="str">
        <f>IF($O$24="Y",IFERROR(E33*$E$6*$O$16*'Emissions Factors'!B18,""),"")</f>
        <v/>
      </c>
      <c r="P33" s="259">
        <f>IF($P$24="Y",IFERROR($E33*(($E$3/SUMIF($G$3:$G$15,"Y",$E$3:$E$15)*('Emissions Factors'!$R$21*$P$16)/10^6)+((($E$8+$E$9)/SUMIF($G$3:$G$15,"Y",$E$3:$E$15)*('Emissions Factors'!$R$21*$P$18)/10^6))),""),"")</f>
        <v>2.6292902755306247</v>
      </c>
      <c r="Q33" s="259"/>
      <c r="R33" s="258"/>
      <c r="T33" s="180">
        <f t="shared" si="2"/>
        <v>2.6292902755306247</v>
      </c>
      <c r="U33" s="180">
        <f t="shared" si="3"/>
        <v>0</v>
      </c>
      <c r="V33" s="177"/>
      <c r="X33" s="180">
        <f t="shared" si="4"/>
        <v>2.6292902755306247</v>
      </c>
      <c r="Y33" s="180">
        <f t="shared" si="5"/>
        <v>0</v>
      </c>
    </row>
    <row r="34" spans="1:25" ht="15.6" x14ac:dyDescent="0.3">
      <c r="A34" s="152">
        <v>2022</v>
      </c>
      <c r="B34" s="178">
        <f t="shared" si="0"/>
        <v>0</v>
      </c>
      <c r="C34" s="182">
        <f t="shared" si="7"/>
        <v>0</v>
      </c>
      <c r="D34" s="183"/>
      <c r="E34" s="179">
        <f t="shared" si="6"/>
        <v>80260091192.412643</v>
      </c>
      <c r="F34" s="183">
        <f t="shared" si="8"/>
        <v>45909605138.77446</v>
      </c>
      <c r="G34" s="247">
        <f t="shared" si="1"/>
        <v>0.40887773216043316</v>
      </c>
      <c r="H34" s="246"/>
      <c r="J34" s="182"/>
      <c r="K34" s="182"/>
      <c r="L34" s="182"/>
      <c r="M34" s="182"/>
      <c r="N34" s="163"/>
      <c r="O34" s="259" t="str">
        <f>IF($O$24="Y",IFERROR(E34*$E$6*$O$16*'Emissions Factors'!B19,""),"")</f>
        <v/>
      </c>
      <c r="P34" s="259">
        <f>IF($P$24="Y",IFERROR($E34*(($E$3/SUMIF($G$3:$G$15,"Y",$E$3:$E$15)*('Emissions Factors'!$R$21*$P$16)/10^6)+((($E$8+$E$9)/SUMIF($G$3:$G$15,"Y",$E$3:$E$15)*('Emissions Factors'!$R$21*$P$18)/10^6))),""),"")</f>
        <v>6.1433505469440384</v>
      </c>
      <c r="Q34" s="259"/>
      <c r="R34" s="258"/>
      <c r="T34" s="180">
        <f t="shared" si="2"/>
        <v>6.1433505469440384</v>
      </c>
      <c r="U34" s="180">
        <f t="shared" si="3"/>
        <v>0</v>
      </c>
      <c r="V34" s="177"/>
      <c r="X34" s="180">
        <f t="shared" si="4"/>
        <v>6.1433505469440384</v>
      </c>
      <c r="Y34" s="180">
        <f t="shared" si="5"/>
        <v>0</v>
      </c>
    </row>
    <row r="35" spans="1:25" ht="15.6" x14ac:dyDescent="0.3">
      <c r="A35" s="152">
        <v>2023</v>
      </c>
      <c r="B35" s="178">
        <f t="shared" si="0"/>
        <v>0</v>
      </c>
      <c r="C35" s="182">
        <f t="shared" si="7"/>
        <v>0</v>
      </c>
      <c r="D35" s="183"/>
      <c r="E35" s="179">
        <f t="shared" si="6"/>
        <v>136281966195.86914</v>
      </c>
      <c r="F35" s="183">
        <f t="shared" si="8"/>
        <v>56021875003.456497</v>
      </c>
      <c r="G35" s="247">
        <f t="shared" si="1"/>
        <v>0.41123398093240454</v>
      </c>
      <c r="H35" s="246"/>
      <c r="J35" s="182"/>
      <c r="K35" s="182"/>
      <c r="L35" s="182"/>
      <c r="M35" s="182"/>
      <c r="N35" s="163"/>
      <c r="O35" s="259" t="str">
        <f>IF($O$24="Y",IFERROR(E35*$E$6*$O$16*'Emissions Factors'!B20,""),"")</f>
        <v/>
      </c>
      <c r="P35" s="259">
        <f>IF($P$24="Y",IFERROR($E35*(($E$3/SUMIF($G$3:$G$15,"Y",$E$3:$E$15)*('Emissions Factors'!$R$21*$P$16)/10^6)+((($E$8+$E$9)/SUMIF($G$3:$G$15,"Y",$E$3:$E$15)*('Emissions Factors'!$R$21*$P$18)/10^6))),""),"")</f>
        <v>10.431434591332094</v>
      </c>
      <c r="Q35" s="259"/>
      <c r="R35" s="258"/>
      <c r="T35" s="180">
        <f t="shared" si="2"/>
        <v>10.431434591332094</v>
      </c>
      <c r="U35" s="180">
        <f t="shared" si="3"/>
        <v>0</v>
      </c>
      <c r="V35" s="177"/>
      <c r="X35" s="180">
        <f t="shared" si="4"/>
        <v>10.431434591332094</v>
      </c>
      <c r="Y35" s="180">
        <f t="shared" si="5"/>
        <v>0</v>
      </c>
    </row>
    <row r="36" spans="1:25" ht="15.6" x14ac:dyDescent="0.3">
      <c r="A36" s="152">
        <v>2024</v>
      </c>
      <c r="B36" s="178">
        <f t="shared" si="0"/>
        <v>0</v>
      </c>
      <c r="C36" s="182">
        <f t="shared" si="7"/>
        <v>0</v>
      </c>
      <c r="D36" s="183"/>
      <c r="E36" s="179">
        <f t="shared" si="6"/>
        <v>201734004177.01233</v>
      </c>
      <c r="F36" s="183">
        <f t="shared" si="8"/>
        <v>65452037981.143188</v>
      </c>
      <c r="G36" s="247">
        <f t="shared" si="1"/>
        <v>0.41156162770897547</v>
      </c>
      <c r="H36" s="246"/>
      <c r="J36" s="182"/>
      <c r="K36" s="182"/>
      <c r="L36" s="182"/>
      <c r="M36" s="182"/>
      <c r="N36" s="163"/>
      <c r="O36" s="259" t="str">
        <f>IF($O$24="Y",IFERROR(E36*$E$6*$O$16*'Emissions Factors'!B21,""),"")</f>
        <v/>
      </c>
      <c r="P36" s="259">
        <f>IF($P$24="Y",IFERROR($E36*(($E$3/SUMIF($G$3:$G$15,"Y",$E$3:$E$15)*('Emissions Factors'!$R$21*$P$16)/10^6)+((($E$8+$E$9)/SUMIF($G$3:$G$15,"Y",$E$3:$E$15)*('Emissions Factors'!$R$21*$P$18)/10^6))),""),"")</f>
        <v>15.441331880958771</v>
      </c>
      <c r="Q36" s="259"/>
      <c r="R36" s="258"/>
      <c r="T36" s="180">
        <f t="shared" si="2"/>
        <v>15.441331880958771</v>
      </c>
      <c r="U36" s="180">
        <f t="shared" si="3"/>
        <v>0</v>
      </c>
      <c r="V36" s="177"/>
      <c r="X36" s="180">
        <f t="shared" si="4"/>
        <v>15.441331880958771</v>
      </c>
      <c r="Y36" s="180">
        <f t="shared" si="5"/>
        <v>0</v>
      </c>
    </row>
    <row r="37" spans="1:25" ht="15.6" x14ac:dyDescent="0.3">
      <c r="A37" s="152">
        <v>2025</v>
      </c>
      <c r="B37" s="178">
        <f t="shared" si="0"/>
        <v>0</v>
      </c>
      <c r="C37" s="182">
        <f t="shared" si="7"/>
        <v>0</v>
      </c>
      <c r="D37" s="183"/>
      <c r="E37" s="179">
        <f t="shared" si="6"/>
        <v>275737831002.69592</v>
      </c>
      <c r="F37" s="183">
        <f t="shared" si="8"/>
        <v>74003826825.683594</v>
      </c>
      <c r="G37" s="247">
        <f t="shared" si="1"/>
        <v>0.4098314003862043</v>
      </c>
      <c r="H37" s="246"/>
      <c r="J37" s="182"/>
      <c r="K37" s="182"/>
      <c r="L37" s="182"/>
      <c r="M37" s="182"/>
      <c r="N37" s="163"/>
      <c r="O37" s="259" t="str">
        <f>IF($O$24="Y",IFERROR(E37*$E$6*$O$16*'Emissions Factors'!B22,""),"")</f>
        <v/>
      </c>
      <c r="P37" s="259">
        <f>IF($P$24="Y",IFERROR($E37*(($E$3/SUMIF($G$3:$G$15,"Y",$E$3:$E$15)*('Emissions Factors'!$R$21*$P$16)/10^6)+((($E$8+$E$9)/SUMIF($G$3:$G$15,"Y",$E$3:$E$15)*('Emissions Factors'!$R$21*$P$18)/10^6))),""),"")</f>
        <v>21.105808998429247</v>
      </c>
      <c r="Q37" s="259"/>
      <c r="R37" s="258"/>
      <c r="T37" s="180">
        <f t="shared" si="2"/>
        <v>21.105808998429247</v>
      </c>
      <c r="U37" s="180">
        <f t="shared" si="3"/>
        <v>0</v>
      </c>
      <c r="V37" s="177"/>
      <c r="X37" s="180">
        <f t="shared" si="4"/>
        <v>21.105808998429247</v>
      </c>
      <c r="Y37" s="180">
        <f t="shared" si="5"/>
        <v>0</v>
      </c>
    </row>
    <row r="38" spans="1:25" ht="15.6" x14ac:dyDescent="0.3">
      <c r="A38" s="152">
        <v>2026</v>
      </c>
      <c r="B38" s="178">
        <f t="shared" si="0"/>
        <v>0</v>
      </c>
      <c r="C38" s="182">
        <f t="shared" si="7"/>
        <v>0</v>
      </c>
      <c r="D38" s="183"/>
      <c r="E38" s="179">
        <f t="shared" si="6"/>
        <v>358651483179.27466</v>
      </c>
      <c r="F38" s="183">
        <f t="shared" si="8"/>
        <v>82913652176.578735</v>
      </c>
      <c r="G38" s="247">
        <f t="shared" si="1"/>
        <v>0.40836153710849449</v>
      </c>
      <c r="H38" s="246"/>
      <c r="J38" s="182"/>
      <c r="K38" s="182"/>
      <c r="L38" s="182"/>
      <c r="M38" s="182"/>
      <c r="N38" s="163"/>
      <c r="O38" s="259" t="str">
        <f>IF($O$24="Y",IFERROR(E38*$E$6*$O$16*'Emissions Factors'!B23,""),"")</f>
        <v/>
      </c>
      <c r="P38" s="259">
        <f>IF($P$24="Y",IFERROR($E38*(($E$3/SUMIF($G$3:$G$15,"Y",$E$3:$E$15)*('Emissions Factors'!$R$21*$P$16)/10^6)+((($E$8+$E$9)/SUMIF($G$3:$G$15,"Y",$E$3:$E$15)*('Emissions Factors'!$R$21*$P$18)/10^6))),""),"")</f>
        <v>27.452271142696851</v>
      </c>
      <c r="Q38" s="259"/>
      <c r="R38" s="258"/>
      <c r="T38" s="180">
        <f t="shared" si="2"/>
        <v>27.452271142696851</v>
      </c>
      <c r="U38" s="180">
        <f t="shared" si="3"/>
        <v>0</v>
      </c>
      <c r="V38" s="177"/>
      <c r="X38" s="180">
        <f t="shared" si="4"/>
        <v>27.452271142696851</v>
      </c>
      <c r="Y38" s="180">
        <f t="shared" si="5"/>
        <v>0</v>
      </c>
    </row>
    <row r="39" spans="1:25" ht="15.6" x14ac:dyDescent="0.3">
      <c r="A39" s="152">
        <v>2027</v>
      </c>
      <c r="B39" s="178">
        <f t="shared" si="0"/>
        <v>0</v>
      </c>
      <c r="C39" s="182">
        <f t="shared" si="7"/>
        <v>0</v>
      </c>
      <c r="D39" s="183"/>
      <c r="E39" s="179">
        <f t="shared" si="6"/>
        <v>448749619111.91022</v>
      </c>
      <c r="F39" s="183">
        <f t="shared" si="8"/>
        <v>90098135932.635559</v>
      </c>
      <c r="G39" s="247">
        <f t="shared" si="1"/>
        <v>0.40529461028212038</v>
      </c>
      <c r="H39" s="246"/>
      <c r="J39" s="182"/>
      <c r="K39" s="182"/>
      <c r="L39" s="182"/>
      <c r="M39" s="182"/>
      <c r="N39" s="163"/>
      <c r="O39" s="259" t="str">
        <f>IF($O$24="Y",IFERROR(E39*$E$6*$O$16*'Emissions Factors'!B24,""),"")</f>
        <v/>
      </c>
      <c r="P39" s="259">
        <f>IF($P$24="Y",IFERROR($E39*(($E$3/SUMIF($G$3:$G$15,"Y",$E$3:$E$15)*('Emissions Factors'!$R$21*$P$16)/10^6)+((($E$8+$E$9)/SUMIF($G$3:$G$15,"Y",$E$3:$E$15)*('Emissions Factors'!$R$21*$P$18)/10^6))),""),"")</f>
        <v>34.348655440759053</v>
      </c>
      <c r="Q39" s="259"/>
      <c r="R39" s="258"/>
      <c r="T39" s="180">
        <f t="shared" si="2"/>
        <v>34.348655440759053</v>
      </c>
      <c r="U39" s="180">
        <f t="shared" si="3"/>
        <v>0</v>
      </c>
      <c r="V39" s="177"/>
      <c r="X39" s="180">
        <f t="shared" si="4"/>
        <v>34.348655440759053</v>
      </c>
      <c r="Y39" s="180">
        <f t="shared" si="5"/>
        <v>0</v>
      </c>
    </row>
    <row r="40" spans="1:25" ht="15.6" x14ac:dyDescent="0.3">
      <c r="A40" s="152">
        <v>2028</v>
      </c>
      <c r="B40" s="178">
        <f t="shared" si="0"/>
        <v>0</v>
      </c>
      <c r="C40" s="182">
        <f t="shared" si="7"/>
        <v>0</v>
      </c>
      <c r="D40" s="183"/>
      <c r="E40" s="179">
        <f t="shared" si="6"/>
        <v>546359327114.38507</v>
      </c>
      <c r="F40" s="183">
        <f t="shared" si="8"/>
        <v>97609708002.474854</v>
      </c>
      <c r="G40" s="247">
        <f t="shared" si="1"/>
        <v>0.40173308281205139</v>
      </c>
      <c r="H40" s="246"/>
      <c r="J40" s="182"/>
      <c r="K40" s="182"/>
      <c r="L40" s="182"/>
      <c r="M40" s="182"/>
      <c r="N40" s="163"/>
      <c r="O40" s="259" t="str">
        <f>IF($O$24="Y",IFERROR(E40*$E$6*$O$16*'Emissions Factors'!B25,""),"")</f>
        <v/>
      </c>
      <c r="P40" s="259">
        <f>IF($P$24="Y",IFERROR($E40*(($E$3/SUMIF($G$3:$G$15,"Y",$E$3:$E$15)*('Emissions Factors'!$R$21*$P$16)/10^6)+((($E$8+$E$9)/SUMIF($G$3:$G$15,"Y",$E$3:$E$15)*('Emissions Factors'!$R$21*$P$18)/10^6))),""),"")</f>
        <v>41.819998223144772</v>
      </c>
      <c r="Q40" s="259"/>
      <c r="R40" s="258"/>
      <c r="T40" s="180">
        <f t="shared" si="2"/>
        <v>41.819998223144772</v>
      </c>
      <c r="U40" s="180">
        <f t="shared" si="3"/>
        <v>0</v>
      </c>
      <c r="V40" s="177"/>
      <c r="X40" s="180">
        <f t="shared" si="4"/>
        <v>41.819998223144772</v>
      </c>
      <c r="Y40" s="180">
        <f t="shared" si="5"/>
        <v>0</v>
      </c>
    </row>
    <row r="41" spans="1:25" ht="15.6" x14ac:dyDescent="0.3">
      <c r="A41" s="152">
        <v>2029</v>
      </c>
      <c r="B41" s="178">
        <f t="shared" si="0"/>
        <v>0</v>
      </c>
      <c r="C41" s="182">
        <f t="shared" si="7"/>
        <v>0</v>
      </c>
      <c r="D41" s="183"/>
      <c r="E41" s="179">
        <f t="shared" si="6"/>
        <v>651715554316.97827</v>
      </c>
      <c r="F41" s="183">
        <f t="shared" si="8"/>
        <v>105356227202.5932</v>
      </c>
      <c r="G41" s="247">
        <f t="shared" si="1"/>
        <v>0.39798031409775453</v>
      </c>
      <c r="H41" s="246"/>
      <c r="J41" s="182"/>
      <c r="K41" s="182"/>
      <c r="L41" s="182"/>
      <c r="M41" s="182"/>
      <c r="N41" s="163"/>
      <c r="O41" s="259" t="str">
        <f>IF($O$24="Y",IFERROR(E41*$E$6*$O$16*'Emissions Factors'!B26,""),"")</f>
        <v/>
      </c>
      <c r="P41" s="259">
        <f>IF($P$24="Y",IFERROR($E41*(($E$3/SUMIF($G$3:$G$15,"Y",$E$3:$E$15)*('Emissions Factors'!$R$21*$P$16)/10^6)+((($E$8+$E$9)/SUMIF($G$3:$G$15,"Y",$E$3:$E$15)*('Emissions Factors'!$R$21*$P$18)/10^6))),""),"")</f>
        <v>49.884283055033897</v>
      </c>
      <c r="Q41" s="259"/>
      <c r="R41" s="258"/>
      <c r="T41" s="180">
        <f t="shared" si="2"/>
        <v>49.884283055033897</v>
      </c>
      <c r="U41" s="180">
        <f t="shared" si="3"/>
        <v>0</v>
      </c>
      <c r="V41" s="177"/>
      <c r="X41" s="180">
        <f t="shared" si="4"/>
        <v>49.884283055033897</v>
      </c>
      <c r="Y41" s="180">
        <f t="shared" si="5"/>
        <v>0</v>
      </c>
    </row>
    <row r="42" spans="1:25" ht="15.6" x14ac:dyDescent="0.3">
      <c r="A42" s="152">
        <v>2030</v>
      </c>
      <c r="B42" s="178">
        <f t="shared" si="0"/>
        <v>0</v>
      </c>
      <c r="C42" s="182">
        <f t="shared" si="7"/>
        <v>0</v>
      </c>
      <c r="D42" s="183"/>
      <c r="E42" s="179">
        <f t="shared" si="6"/>
        <v>765169896555.82288</v>
      </c>
      <c r="F42" s="183">
        <f t="shared" si="8"/>
        <v>113454342238.8446</v>
      </c>
      <c r="G42" s="247">
        <f t="shared" si="1"/>
        <v>0.39413694443740788</v>
      </c>
      <c r="H42" s="246"/>
      <c r="J42" s="182"/>
      <c r="K42" s="182"/>
      <c r="L42" s="182"/>
      <c r="M42" s="182"/>
      <c r="N42" s="163"/>
      <c r="O42" s="259" t="str">
        <f>IF($O$24="Y",IFERROR(E42*$E$6*$O$16*'Emissions Factors'!B27,""),"")</f>
        <v/>
      </c>
      <c r="P42" s="259">
        <f>IF($P$24="Y",IFERROR($E42*(($E$3/SUMIF($G$3:$G$15,"Y",$E$3:$E$15)*('Emissions Factors'!$R$21*$P$16)/10^6)+((($E$8+$E$9)/SUMIF($G$3:$G$15,"Y",$E$3:$E$15)*('Emissions Factors'!$R$21*$P$18)/10^6))),""),"")</f>
        <v>58.568422146967443</v>
      </c>
      <c r="Q42" s="259"/>
      <c r="R42" s="258"/>
      <c r="T42" s="180">
        <f t="shared" si="2"/>
        <v>58.568422146967443</v>
      </c>
      <c r="U42" s="180">
        <f t="shared" si="3"/>
        <v>0</v>
      </c>
      <c r="V42" s="177"/>
      <c r="X42" s="180">
        <f t="shared" si="4"/>
        <v>58.568422146967443</v>
      </c>
      <c r="Y42" s="180">
        <f t="shared" si="5"/>
        <v>0</v>
      </c>
    </row>
    <row r="43" spans="1:25" ht="15.6" x14ac:dyDescent="0.3">
      <c r="A43" s="152">
        <v>2031</v>
      </c>
      <c r="B43" s="178">
        <f t="shared" si="0"/>
        <v>0</v>
      </c>
      <c r="C43" s="182">
        <f t="shared" si="7"/>
        <v>0</v>
      </c>
      <c r="D43" s="183"/>
      <c r="E43" s="179">
        <f t="shared" si="6"/>
        <v>886227254945.15784</v>
      </c>
      <c r="F43" s="183">
        <f t="shared" si="8"/>
        <v>121057358389.33496</v>
      </c>
      <c r="G43" s="247">
        <f t="shared" si="1"/>
        <v>0.39029554523695814</v>
      </c>
      <c r="H43" s="246"/>
      <c r="J43" s="182"/>
      <c r="K43" s="182"/>
      <c r="L43" s="182"/>
      <c r="M43" s="182"/>
      <c r="N43" s="163"/>
      <c r="O43" s="259" t="str">
        <f>IF($O$24="Y",IFERROR(E43*$E$6*$O$16*'Emissions Factors'!B28,""),"")</f>
        <v/>
      </c>
      <c r="P43" s="259">
        <f>IF($P$24="Y",IFERROR($E43*(($E$3/SUMIF($G$3:$G$15,"Y",$E$3:$E$15)*('Emissions Factors'!$R$21*$P$16)/10^6)+((($E$8+$E$9)/SUMIF($G$3:$G$15,"Y",$E$3:$E$15)*('Emissions Factors'!$R$21*$P$18)/10^6))),""),"")</f>
        <v>67.834519130209188</v>
      </c>
      <c r="Q43" s="259"/>
      <c r="R43" s="258"/>
      <c r="T43" s="180">
        <f t="shared" si="2"/>
        <v>67.834519130209188</v>
      </c>
      <c r="U43" s="180">
        <f t="shared" si="3"/>
        <v>0</v>
      </c>
      <c r="V43" s="177"/>
      <c r="X43" s="180">
        <f t="shared" si="4"/>
        <v>67.834519130209188</v>
      </c>
      <c r="Y43" s="180">
        <f t="shared" si="5"/>
        <v>0</v>
      </c>
    </row>
    <row r="44" spans="1:25" ht="15.6" x14ac:dyDescent="0.3">
      <c r="A44" s="152">
        <v>2032</v>
      </c>
      <c r="B44" s="178">
        <f t="shared" si="0"/>
        <v>0</v>
      </c>
      <c r="C44" s="182">
        <f t="shared" si="7"/>
        <v>0</v>
      </c>
      <c r="D44" s="183"/>
      <c r="E44" s="179">
        <f t="shared" si="6"/>
        <v>1014470685535.4977</v>
      </c>
      <c r="F44" s="183">
        <f t="shared" si="8"/>
        <v>128243430590.33984</v>
      </c>
      <c r="G44" s="247">
        <f t="shared" si="1"/>
        <v>0.38630293362521162</v>
      </c>
      <c r="H44" s="246"/>
      <c r="J44" s="182"/>
      <c r="K44" s="182"/>
      <c r="L44" s="182"/>
      <c r="M44" s="182"/>
      <c r="N44" s="163"/>
      <c r="O44" s="259" t="str">
        <f>IF($O$24="Y",IFERROR(E44*$E$6*$O$16*'Emissions Factors'!B29,""),"")</f>
        <v/>
      </c>
      <c r="P44" s="259">
        <f>IF($P$24="Y",IFERROR($E44*(($E$3/SUMIF($G$3:$G$15,"Y",$E$3:$E$15)*('Emissions Factors'!$R$21*$P$16)/10^6)+((($E$8+$E$9)/SUMIF($G$3:$G$15,"Y",$E$3:$E$15)*('Emissions Factors'!$R$21*$P$18)/10^6))),""),"")</f>
        <v>77.650659851634416</v>
      </c>
      <c r="Q44" s="259"/>
      <c r="R44" s="258"/>
      <c r="T44" s="180">
        <f t="shared" si="2"/>
        <v>77.650659851634416</v>
      </c>
      <c r="U44" s="180">
        <f t="shared" si="3"/>
        <v>0</v>
      </c>
      <c r="V44" s="177"/>
      <c r="X44" s="180">
        <f t="shared" si="4"/>
        <v>77.650659851634416</v>
      </c>
      <c r="Y44" s="180">
        <f t="shared" si="5"/>
        <v>0</v>
      </c>
    </row>
    <row r="45" spans="1:25" ht="15.6" x14ac:dyDescent="0.3">
      <c r="A45" s="152">
        <v>2033</v>
      </c>
      <c r="B45" s="178">
        <f t="shared" si="0"/>
        <v>0</v>
      </c>
      <c r="C45" s="182">
        <f t="shared" si="7"/>
        <v>0</v>
      </c>
      <c r="D45" s="183"/>
      <c r="E45" s="179">
        <f t="shared" si="6"/>
        <v>1148164665935.4934</v>
      </c>
      <c r="F45" s="183">
        <f t="shared" si="8"/>
        <v>133693980399.99573</v>
      </c>
      <c r="G45" s="247">
        <f t="shared" si="1"/>
        <v>0.38219932040869431</v>
      </c>
      <c r="H45" s="246"/>
      <c r="J45" s="182"/>
      <c r="K45" s="182"/>
      <c r="L45" s="182"/>
      <c r="M45" s="182"/>
      <c r="N45" s="163"/>
      <c r="O45" s="259" t="str">
        <f>IF($O$24="Y",IFERROR(E45*$E$6*$O$16*'Emissions Factors'!B30,""),"")</f>
        <v/>
      </c>
      <c r="P45" s="259">
        <f>IF($P$24="Y",IFERROR($E45*(($E$3/SUMIF($G$3:$G$15,"Y",$E$3:$E$15)*('Emissions Factors'!$R$21*$P$16)/10^6)+((($E$8+$E$9)/SUMIF($G$3:$G$15,"Y",$E$3:$E$15)*('Emissions Factors'!$R$21*$P$18)/10^6))),""),"")</f>
        <v>87.884002169230527</v>
      </c>
      <c r="Q45" s="259"/>
      <c r="R45" s="258"/>
      <c r="T45" s="180">
        <f t="shared" si="2"/>
        <v>87.884002169230527</v>
      </c>
      <c r="U45" s="180">
        <f t="shared" si="3"/>
        <v>0</v>
      </c>
      <c r="V45" s="177"/>
      <c r="X45" s="180">
        <f t="shared" si="4"/>
        <v>87.884002169230527</v>
      </c>
      <c r="Y45" s="180">
        <f t="shared" si="5"/>
        <v>0</v>
      </c>
    </row>
    <row r="46" spans="1:25" ht="15.6" x14ac:dyDescent="0.3">
      <c r="A46" s="152">
        <v>2034</v>
      </c>
      <c r="B46" s="178">
        <f t="shared" si="0"/>
        <v>0</v>
      </c>
      <c r="C46" s="182">
        <f t="shared" si="7"/>
        <v>0</v>
      </c>
      <c r="D46" s="183"/>
      <c r="E46" s="179">
        <f t="shared" si="6"/>
        <v>1285211942503.7261</v>
      </c>
      <c r="F46" s="183">
        <f t="shared" si="8"/>
        <v>137047276568.23267</v>
      </c>
      <c r="G46" s="247">
        <f t="shared" si="1"/>
        <v>0.37799103292871061</v>
      </c>
      <c r="H46" s="246"/>
      <c r="J46" s="182"/>
      <c r="K46" s="182"/>
      <c r="L46" s="182"/>
      <c r="M46" s="182"/>
      <c r="N46" s="163"/>
      <c r="O46" s="259" t="str">
        <f>IF($O$24="Y",IFERROR(E46*$E$6*$O$16*'Emissions Factors'!B31,""),"")</f>
        <v/>
      </c>
      <c r="P46" s="259">
        <f>IF($P$24="Y",IFERROR($E46*(($E$3/SUMIF($G$3:$G$15,"Y",$E$3:$E$15)*('Emissions Factors'!$R$21*$P$16)/10^6)+((($E$8+$E$9)/SUMIF($G$3:$G$15,"Y",$E$3:$E$15)*('Emissions Factors'!$R$21*$P$18)/10^6))),""),"")</f>
        <v>98.374015935153508</v>
      </c>
      <c r="Q46" s="259"/>
      <c r="R46" s="258"/>
      <c r="T46" s="180">
        <f t="shared" si="2"/>
        <v>98.374015935153508</v>
      </c>
      <c r="U46" s="180">
        <f t="shared" si="3"/>
        <v>0</v>
      </c>
      <c r="V46" s="177"/>
      <c r="X46" s="180">
        <f t="shared" si="4"/>
        <v>98.374015935153508</v>
      </c>
      <c r="Y46" s="180">
        <f t="shared" si="5"/>
        <v>0</v>
      </c>
    </row>
    <row r="47" spans="1:25" ht="15.6" x14ac:dyDescent="0.3">
      <c r="A47" s="152">
        <v>2035</v>
      </c>
      <c r="B47" s="178">
        <f t="shared" si="0"/>
        <v>0</v>
      </c>
      <c r="C47" s="182">
        <f t="shared" si="7"/>
        <v>0</v>
      </c>
      <c r="D47" s="183"/>
      <c r="E47" s="179">
        <f t="shared" si="6"/>
        <v>1424674486290.646</v>
      </c>
      <c r="F47" s="183">
        <f t="shared" si="8"/>
        <v>139462543786.91992</v>
      </c>
      <c r="G47" s="247">
        <f t="shared" si="1"/>
        <v>0.37440102315816143</v>
      </c>
      <c r="H47" s="246"/>
      <c r="J47" s="182"/>
      <c r="K47" s="182"/>
      <c r="L47" s="182"/>
      <c r="M47" s="182"/>
      <c r="N47" s="163"/>
      <c r="O47" s="259" t="str">
        <f>IF($O$24="Y",IFERROR(E47*$E$6*$O$16*'Emissions Factors'!B32,""),"")</f>
        <v/>
      </c>
      <c r="P47" s="259">
        <f>IF($P$24="Y",IFERROR($E47*(($E$3/SUMIF($G$3:$G$15,"Y",$E$3:$E$15)*('Emissions Factors'!$R$21*$P$16)/10^6)+((($E$8+$E$9)/SUMIF($G$3:$G$15,"Y",$E$3:$E$15)*('Emissions Factors'!$R$21*$P$18)/10^6))),""),"")</f>
        <v>109.04890157162255</v>
      </c>
      <c r="Q47" s="259"/>
      <c r="R47" s="258"/>
      <c r="T47" s="180">
        <f t="shared" si="2"/>
        <v>109.04890157162255</v>
      </c>
      <c r="U47" s="180">
        <f t="shared" si="3"/>
        <v>0</v>
      </c>
      <c r="V47" s="177"/>
      <c r="X47" s="180">
        <f t="shared" si="4"/>
        <v>109.04890157162255</v>
      </c>
      <c r="Y47" s="180">
        <f t="shared" si="5"/>
        <v>0</v>
      </c>
    </row>
    <row r="48" spans="1:25" ht="15.6" x14ac:dyDescent="0.3">
      <c r="A48" s="152">
        <v>2036</v>
      </c>
      <c r="B48" s="178">
        <f t="shared" si="0"/>
        <v>0</v>
      </c>
      <c r="C48" s="182">
        <f t="shared" si="7"/>
        <v>0</v>
      </c>
      <c r="D48" s="183"/>
      <c r="E48" s="179">
        <f t="shared" si="6"/>
        <v>1564146885965.0952</v>
      </c>
      <c r="F48" s="183">
        <f t="shared" si="8"/>
        <v>139472399674.44922</v>
      </c>
      <c r="G48" s="247">
        <f t="shared" si="1"/>
        <v>0.36935786235228185</v>
      </c>
      <c r="H48" s="246"/>
      <c r="J48" s="182"/>
      <c r="K48" s="182"/>
      <c r="L48" s="182"/>
      <c r="M48" s="182"/>
      <c r="N48" s="163"/>
      <c r="O48" s="259" t="str">
        <f>IF($O$24="Y",IFERROR(E48*$E$6*$O$16*'Emissions Factors'!B33,""),"")</f>
        <v/>
      </c>
      <c r="P48" s="259">
        <f>IF($P$24="Y",IFERROR($E48*(($E$3/SUMIF($G$3:$G$15,"Y",$E$3:$E$15)*('Emissions Factors'!$R$21*$P$16)/10^6)+((($E$8+$E$9)/SUMIF($G$3:$G$15,"Y",$E$3:$E$15)*('Emissions Factors'!$R$21*$P$18)/10^6))),""),"")</f>
        <v>119.72454160758384</v>
      </c>
      <c r="Q48" s="259"/>
      <c r="R48" s="258"/>
      <c r="T48" s="180">
        <f t="shared" si="2"/>
        <v>119.72454160758384</v>
      </c>
      <c r="U48" s="180">
        <f t="shared" si="3"/>
        <v>0</v>
      </c>
      <c r="V48" s="177"/>
      <c r="X48" s="180">
        <f t="shared" si="4"/>
        <v>119.72454160758384</v>
      </c>
      <c r="Y48" s="180">
        <f t="shared" si="5"/>
        <v>0</v>
      </c>
    </row>
    <row r="49" spans="1:25" ht="15.6" x14ac:dyDescent="0.3">
      <c r="A49" s="152">
        <v>2037</v>
      </c>
      <c r="B49" s="178">
        <f t="shared" si="0"/>
        <v>0</v>
      </c>
      <c r="C49" s="182">
        <f t="shared" si="7"/>
        <v>0</v>
      </c>
      <c r="D49" s="183"/>
      <c r="E49" s="179">
        <f t="shared" si="6"/>
        <v>1705768503083.3093</v>
      </c>
      <c r="F49" s="183">
        <f t="shared" si="8"/>
        <v>141621617118.21411</v>
      </c>
      <c r="G49" s="247">
        <f t="shared" si="1"/>
        <v>0.3650014834988678</v>
      </c>
      <c r="H49" s="246"/>
      <c r="J49" s="182"/>
      <c r="K49" s="182"/>
      <c r="L49" s="182"/>
      <c r="M49" s="182"/>
      <c r="N49" s="163"/>
      <c r="O49" s="259" t="str">
        <f>IF($O$24="Y",IFERROR(E49*$E$6*$O$16*'Emissions Factors'!B34,""),"")</f>
        <v/>
      </c>
      <c r="P49" s="259">
        <f>IF($P$24="Y",IFERROR($E49*(($E$3/SUMIF($G$3:$G$15,"Y",$E$3:$E$15)*('Emissions Factors'!$R$21*$P$16)/10^6)+((($E$8+$E$9)/SUMIF($G$3:$G$15,"Y",$E$3:$E$15)*('Emissions Factors'!$R$21*$P$18)/10^6))),""),"")</f>
        <v>130.56468925825743</v>
      </c>
      <c r="Q49" s="259"/>
      <c r="R49" s="258"/>
      <c r="T49" s="180">
        <f t="shared" si="2"/>
        <v>130.56468925825743</v>
      </c>
      <c r="U49" s="180">
        <f t="shared" si="3"/>
        <v>0</v>
      </c>
      <c r="V49" s="177"/>
      <c r="X49" s="180">
        <f t="shared" si="4"/>
        <v>130.56468925825743</v>
      </c>
      <c r="Y49" s="180">
        <f t="shared" si="5"/>
        <v>0</v>
      </c>
    </row>
    <row r="50" spans="1:25" ht="15.6" x14ac:dyDescent="0.3">
      <c r="A50" s="152">
        <v>2038</v>
      </c>
      <c r="B50" s="178">
        <f t="shared" si="0"/>
        <v>0</v>
      </c>
      <c r="C50" s="182">
        <f t="shared" si="7"/>
        <v>0</v>
      </c>
      <c r="D50" s="183"/>
      <c r="E50" s="179">
        <f t="shared" si="6"/>
        <v>1849641256451.0452</v>
      </c>
      <c r="F50" s="183">
        <f t="shared" si="8"/>
        <v>143872753367.73584</v>
      </c>
      <c r="G50" s="247">
        <f t="shared" si="1"/>
        <v>0.3606473990908578</v>
      </c>
      <c r="H50" s="246"/>
      <c r="J50" s="182"/>
      <c r="K50" s="182"/>
      <c r="L50" s="182"/>
      <c r="M50" s="182"/>
      <c r="N50" s="163"/>
      <c r="O50" s="259" t="str">
        <f>IF($O$24="Y",IFERROR(E50*$E$6*$O$16*'Emissions Factors'!B35,""),"")</f>
        <v/>
      </c>
      <c r="P50" s="259">
        <f>IF($P$24="Y",IFERROR($E50*(($E$3/SUMIF($G$3:$G$15,"Y",$E$3:$E$15)*('Emissions Factors'!$R$21*$P$16)/10^6)+((($E$8+$E$9)/SUMIF($G$3:$G$15,"Y",$E$3:$E$15)*('Emissions Factors'!$R$21*$P$18)/10^6))),""),"")</f>
        <v>141.57714569782325</v>
      </c>
      <c r="Q50" s="259"/>
      <c r="R50" s="258"/>
      <c r="T50" s="180">
        <f t="shared" si="2"/>
        <v>141.57714569782325</v>
      </c>
      <c r="U50" s="180">
        <f t="shared" si="3"/>
        <v>0</v>
      </c>
      <c r="V50" s="177"/>
      <c r="X50" s="180">
        <f t="shared" si="4"/>
        <v>141.57714569782325</v>
      </c>
      <c r="Y50" s="180">
        <f t="shared" si="5"/>
        <v>0</v>
      </c>
    </row>
    <row r="51" spans="1:25" ht="15.6" x14ac:dyDescent="0.3">
      <c r="A51" s="152">
        <v>2039</v>
      </c>
      <c r="B51" s="178">
        <f t="shared" si="0"/>
        <v>0</v>
      </c>
      <c r="C51" s="182">
        <f t="shared" si="7"/>
        <v>0</v>
      </c>
      <c r="D51" s="183"/>
      <c r="E51" s="179">
        <f t="shared" si="6"/>
        <v>1996954321718.666</v>
      </c>
      <c r="F51" s="183">
        <f t="shared" si="8"/>
        <v>147313065267.62085</v>
      </c>
      <c r="G51" s="247">
        <f t="shared" si="1"/>
        <v>0.35630766927369423</v>
      </c>
      <c r="H51" s="246"/>
      <c r="J51" s="182"/>
      <c r="K51" s="182"/>
      <c r="L51" s="182"/>
      <c r="M51" s="182"/>
      <c r="N51" s="163"/>
      <c r="O51" s="259" t="str">
        <f>IF($O$24="Y",IFERROR(E51*$E$6*$O$16*'Emissions Factors'!B36,""),"")</f>
        <v/>
      </c>
      <c r="P51" s="259">
        <f>IF($P$24="Y",IFERROR($E51*(($E$3/SUMIF($G$3:$G$15,"Y",$E$3:$E$15)*('Emissions Factors'!$R$21*$P$16)/10^6)+((($E$8+$E$9)/SUMIF($G$3:$G$15,"Y",$E$3:$E$15)*('Emissions Factors'!$R$21*$P$18)/10^6))),""),"")</f>
        <v>152.85293403345119</v>
      </c>
      <c r="Q51" s="259"/>
      <c r="R51" s="258"/>
      <c r="T51" s="180">
        <f t="shared" si="2"/>
        <v>152.85293403345119</v>
      </c>
      <c r="U51" s="180">
        <f t="shared" si="3"/>
        <v>0</v>
      </c>
      <c r="V51" s="177"/>
      <c r="X51" s="180">
        <f t="shared" si="4"/>
        <v>152.85293403345119</v>
      </c>
      <c r="Y51" s="180">
        <f t="shared" si="5"/>
        <v>0</v>
      </c>
    </row>
    <row r="52" spans="1:25" ht="15.6" x14ac:dyDescent="0.3">
      <c r="A52" s="152">
        <v>2040</v>
      </c>
      <c r="B52" s="178">
        <f t="shared" si="0"/>
        <v>0</v>
      </c>
      <c r="C52" s="182">
        <f t="shared" si="7"/>
        <v>0</v>
      </c>
      <c r="D52" s="183"/>
      <c r="E52" s="179">
        <f t="shared" si="6"/>
        <v>2146723213809.7615</v>
      </c>
      <c r="F52" s="183">
        <f t="shared" si="8"/>
        <v>149768892091.09546</v>
      </c>
      <c r="G52" s="247">
        <f t="shared" si="1"/>
        <v>0.35204005565979485</v>
      </c>
      <c r="H52" s="246"/>
      <c r="J52" s="182"/>
      <c r="K52" s="182"/>
      <c r="L52" s="182"/>
      <c r="M52" s="182"/>
      <c r="N52" s="163"/>
      <c r="O52" s="259" t="str">
        <f>IF($O$24="Y",IFERROR(E52*$E$6*$O$16*'Emissions Factors'!B37,""),"")</f>
        <v/>
      </c>
      <c r="P52" s="259">
        <f>IF($P$24="Y",IFERROR($E52*(($E$3/SUMIF($G$3:$G$15,"Y",$E$3:$E$15)*('Emissions Factors'!$R$21*$P$16)/10^6)+((($E$8+$E$9)/SUMIF($G$3:$G$15,"Y",$E$3:$E$15)*('Emissions Factors'!$R$21*$P$18)/10^6))),""),"")</f>
        <v>164.31669879466062</v>
      </c>
      <c r="Q52" s="259"/>
      <c r="R52" s="258"/>
      <c r="T52" s="180">
        <f t="shared" si="2"/>
        <v>164.31669879466062</v>
      </c>
      <c r="U52" s="180">
        <f t="shared" si="3"/>
        <v>0</v>
      </c>
      <c r="V52" s="177"/>
      <c r="X52" s="180">
        <f t="shared" si="4"/>
        <v>164.31669879466062</v>
      </c>
      <c r="Y52" s="180">
        <f t="shared" si="5"/>
        <v>0</v>
      </c>
    </row>
    <row r="53" spans="1:25" ht="15.6" x14ac:dyDescent="0.3">
      <c r="A53" s="152">
        <v>2041</v>
      </c>
      <c r="B53" s="178">
        <f t="shared" si="0"/>
        <v>0</v>
      </c>
      <c r="C53" s="182">
        <f t="shared" si="7"/>
        <v>0</v>
      </c>
      <c r="D53" s="183"/>
      <c r="E53" s="179">
        <f t="shared" si="6"/>
        <v>2305485444788.0679</v>
      </c>
      <c r="F53" s="183">
        <f t="shared" si="8"/>
        <v>158762230978.3064</v>
      </c>
      <c r="G53" s="247">
        <f t="shared" si="1"/>
        <v>0.34773577242885878</v>
      </c>
      <c r="H53" s="246"/>
      <c r="J53" s="182"/>
      <c r="K53" s="182"/>
      <c r="L53" s="182"/>
      <c r="M53" s="182"/>
      <c r="N53" s="163"/>
      <c r="O53" s="259" t="str">
        <f>IF($O$24="Y",IFERROR(E53*$E$6*$O$16*'Emissions Factors'!B38,""),"")</f>
        <v/>
      </c>
      <c r="P53" s="259">
        <f>IF($P$24="Y",IFERROR($E53*(($E$3/SUMIF($G$3:$G$15,"Y",$E$3:$E$15)*('Emissions Factors'!$R$21*$P$16)/10^6)+((($E$8+$E$9)/SUMIF($G$3:$G$15,"Y",$E$3:$E$15)*('Emissions Factors'!$R$21*$P$18)/10^6))),""),"")</f>
        <v>176.46884096176092</v>
      </c>
      <c r="Q53" s="259"/>
      <c r="R53" s="258"/>
      <c r="T53" s="180">
        <f t="shared" si="2"/>
        <v>176.46884096176092</v>
      </c>
      <c r="U53" s="180">
        <f t="shared" si="3"/>
        <v>0</v>
      </c>
      <c r="V53" s="177"/>
      <c r="X53" s="180">
        <f t="shared" si="4"/>
        <v>176.46884096176092</v>
      </c>
      <c r="Y53" s="180">
        <f t="shared" si="5"/>
        <v>0</v>
      </c>
    </row>
    <row r="54" spans="1:25" ht="15.6" x14ac:dyDescent="0.3">
      <c r="A54" s="152">
        <v>2042</v>
      </c>
      <c r="B54" s="178">
        <f t="shared" si="0"/>
        <v>0</v>
      </c>
      <c r="C54" s="182">
        <f t="shared" si="7"/>
        <v>0</v>
      </c>
      <c r="D54" s="183"/>
      <c r="E54" s="179">
        <f t="shared" si="6"/>
        <v>2467367716562.3882</v>
      </c>
      <c r="F54" s="183">
        <f t="shared" si="8"/>
        <v>161882271774.32031</v>
      </c>
      <c r="G54" s="247">
        <f t="shared" si="1"/>
        <v>0.34354341808282007</v>
      </c>
      <c r="H54" s="246"/>
      <c r="J54" s="182"/>
      <c r="K54" s="182"/>
      <c r="L54" s="182"/>
      <c r="M54" s="182"/>
      <c r="N54" s="163"/>
      <c r="O54" s="259" t="str">
        <f>IF($O$24="Y",IFERROR(E54*$E$6*$O$16*'Emissions Factors'!B39,""),"")</f>
        <v/>
      </c>
      <c r="P54" s="259">
        <f>IF($P$24="Y",IFERROR($E54*(($E$3/SUMIF($G$3:$G$15,"Y",$E$3:$E$15)*('Emissions Factors'!$R$21*$P$16)/10^6)+((($E$8+$E$9)/SUMIF($G$3:$G$15,"Y",$E$3:$E$15)*('Emissions Factors'!$R$21*$P$18)/10^6))),""),"")</f>
        <v>188.85980050429541</v>
      </c>
      <c r="Q54" s="259"/>
      <c r="R54" s="258"/>
      <c r="T54" s="180">
        <f t="shared" si="2"/>
        <v>188.85980050429541</v>
      </c>
      <c r="U54" s="180">
        <f t="shared" si="3"/>
        <v>0</v>
      </c>
      <c r="V54" s="177"/>
      <c r="X54" s="180">
        <f t="shared" si="4"/>
        <v>188.85980050429541</v>
      </c>
      <c r="Y54" s="180">
        <f t="shared" si="5"/>
        <v>0</v>
      </c>
    </row>
    <row r="55" spans="1:25" ht="15.6" x14ac:dyDescent="0.3">
      <c r="A55" s="152">
        <v>2043</v>
      </c>
      <c r="B55" s="178">
        <f t="shared" si="0"/>
        <v>0</v>
      </c>
      <c r="C55" s="182">
        <f t="shared" si="7"/>
        <v>0</v>
      </c>
      <c r="D55" s="183"/>
      <c r="E55" s="179">
        <f t="shared" si="6"/>
        <v>2635352362597.5044</v>
      </c>
      <c r="F55" s="183">
        <f t="shared" si="8"/>
        <v>167984646035.11621</v>
      </c>
      <c r="G55" s="247">
        <f t="shared" si="1"/>
        <v>0.33944450405113608</v>
      </c>
      <c r="H55" s="246"/>
      <c r="J55" s="182"/>
      <c r="K55" s="182"/>
      <c r="L55" s="182"/>
      <c r="M55" s="182"/>
      <c r="N55" s="163"/>
      <c r="O55" s="259" t="str">
        <f>IF($O$24="Y",IFERROR(E55*$E$6*$O$16*'Emissions Factors'!B40,""),"")</f>
        <v/>
      </c>
      <c r="P55" s="259">
        <f>IF($P$24="Y",IFERROR($E55*(($E$3/SUMIF($G$3:$G$15,"Y",$E$3:$E$15)*('Emissions Factors'!$R$21*$P$16)/10^6)+((($E$8+$E$9)/SUMIF($G$3:$G$15,"Y",$E$3:$E$15)*('Emissions Factors'!$R$21*$P$18)/10^6))),""),"")</f>
        <v>201.71785426134861</v>
      </c>
      <c r="Q55" s="259"/>
      <c r="R55" s="258"/>
      <c r="T55" s="180">
        <f t="shared" si="2"/>
        <v>201.71785426134861</v>
      </c>
      <c r="U55" s="180">
        <f t="shared" si="3"/>
        <v>0</v>
      </c>
      <c r="V55" s="177"/>
      <c r="X55" s="180">
        <f t="shared" si="4"/>
        <v>201.71785426134861</v>
      </c>
      <c r="Y55" s="180">
        <f t="shared" si="5"/>
        <v>0</v>
      </c>
    </row>
    <row r="56" spans="1:25" ht="15.6" x14ac:dyDescent="0.3">
      <c r="A56" s="152">
        <v>2044</v>
      </c>
      <c r="B56" s="178">
        <f t="shared" si="0"/>
        <v>0</v>
      </c>
      <c r="C56" s="182">
        <f t="shared" si="7"/>
        <v>0</v>
      </c>
      <c r="D56" s="183"/>
      <c r="E56" s="179">
        <f t="shared" si="6"/>
        <v>2810550677343.4023</v>
      </c>
      <c r="F56" s="183">
        <f t="shared" si="8"/>
        <v>175198314745.89795</v>
      </c>
      <c r="G56" s="247">
        <f t="shared" si="1"/>
        <v>0.33546359123682168</v>
      </c>
      <c r="H56" s="246"/>
      <c r="J56" s="182"/>
      <c r="K56" s="182"/>
      <c r="L56" s="182"/>
      <c r="M56" s="182"/>
      <c r="N56" s="163"/>
      <c r="O56" s="259" t="str">
        <f>IF($O$24="Y",IFERROR(E56*$E$6*$O$16*'Emissions Factors'!B41,""),"")</f>
        <v/>
      </c>
      <c r="P56" s="259">
        <f>IF($P$24="Y",IFERROR($E56*(($E$3/SUMIF($G$3:$G$15,"Y",$E$3:$E$15)*('Emissions Factors'!$R$21*$P$16)/10^6)+((($E$8+$E$9)/SUMIF($G$3:$G$15,"Y",$E$3:$E$15)*('Emissions Factors'!$R$21*$P$18)/10^6))),""),"")</f>
        <v>215.12806407705378</v>
      </c>
      <c r="Q56" s="259"/>
      <c r="R56" s="258"/>
      <c r="T56" s="180">
        <f t="shared" si="2"/>
        <v>215.12806407705378</v>
      </c>
      <c r="U56" s="180">
        <f t="shared" si="3"/>
        <v>0</v>
      </c>
      <c r="V56" s="177"/>
      <c r="X56" s="180">
        <f t="shared" si="4"/>
        <v>215.12806407705378</v>
      </c>
      <c r="Y56" s="180">
        <f t="shared" si="5"/>
        <v>0</v>
      </c>
    </row>
    <row r="57" spans="1:25" ht="15.6" x14ac:dyDescent="0.3">
      <c r="A57" s="152">
        <v>2045</v>
      </c>
      <c r="B57" s="178">
        <f t="shared" si="0"/>
        <v>0</v>
      </c>
      <c r="C57" s="182">
        <f t="shared" si="7"/>
        <v>0</v>
      </c>
      <c r="D57" s="183"/>
      <c r="E57" s="179">
        <f t="shared" si="6"/>
        <v>2997297991132.6118</v>
      </c>
      <c r="F57" s="183">
        <f t="shared" si="8"/>
        <v>186747313789.20947</v>
      </c>
      <c r="G57" s="247">
        <f t="shared" si="1"/>
        <v>0.33156985350907853</v>
      </c>
      <c r="H57" s="246"/>
      <c r="J57" s="182"/>
      <c r="K57" s="182"/>
      <c r="L57" s="182"/>
      <c r="M57" s="182"/>
      <c r="N57" s="163"/>
      <c r="O57" s="259" t="str">
        <f>IF($O$24="Y",IFERROR(E57*$E$6*$O$16*'Emissions Factors'!B42,""),"")</f>
        <v/>
      </c>
      <c r="P57" s="259">
        <f>IF($P$24="Y",IFERROR($E57*(($E$3/SUMIF($G$3:$G$15,"Y",$E$3:$E$15)*('Emissions Factors'!$R$21*$P$16)/10^6)+((($E$8+$E$9)/SUMIF($G$3:$G$15,"Y",$E$3:$E$15)*('Emissions Factors'!$R$21*$P$18)/10^6))),""),"")</f>
        <v>229.42226926997941</v>
      </c>
      <c r="Q57" s="259"/>
      <c r="R57" s="258"/>
      <c r="T57" s="180">
        <f t="shared" si="2"/>
        <v>229.42226926997941</v>
      </c>
      <c r="U57" s="180">
        <f t="shared" si="3"/>
        <v>0</v>
      </c>
      <c r="V57" s="177"/>
      <c r="X57" s="180">
        <f t="shared" si="4"/>
        <v>229.42226926997941</v>
      </c>
      <c r="Y57" s="180">
        <f t="shared" si="5"/>
        <v>0</v>
      </c>
    </row>
    <row r="58" spans="1:25" ht="15.6" x14ac:dyDescent="0.3">
      <c r="A58" s="152">
        <v>2046</v>
      </c>
      <c r="B58" s="178">
        <f t="shared" si="0"/>
        <v>0</v>
      </c>
      <c r="C58" s="182">
        <f t="shared" si="7"/>
        <v>0</v>
      </c>
      <c r="D58" s="183"/>
      <c r="E58" s="179">
        <f t="shared" si="6"/>
        <v>3186537768224.752</v>
      </c>
      <c r="F58" s="183">
        <f t="shared" si="8"/>
        <v>189239777092.14014</v>
      </c>
      <c r="G58" s="247">
        <f t="shared" si="1"/>
        <v>0.32791613179121143</v>
      </c>
      <c r="H58" s="246"/>
      <c r="J58" s="182"/>
      <c r="K58" s="182"/>
      <c r="L58" s="182"/>
      <c r="M58" s="182"/>
      <c r="N58" s="163"/>
      <c r="O58" s="259" t="str">
        <f>IF($O$24="Y",IFERROR(E58*$E$6*$O$16*'Emissions Factors'!B43,""),"")</f>
        <v/>
      </c>
      <c r="P58" s="259">
        <f>IF($P$24="Y",IFERROR($E58*(($E$3/SUMIF($G$3:$G$15,"Y",$E$3:$E$15)*('Emissions Factors'!$R$21*$P$16)/10^6)+((($E$8+$E$9)/SUMIF($G$3:$G$15,"Y",$E$3:$E$15)*('Emissions Factors'!$R$21*$P$18)/10^6))),""),"")</f>
        <v>243.90725515562303</v>
      </c>
      <c r="Q58" s="259"/>
      <c r="R58" s="258"/>
      <c r="T58" s="180">
        <f t="shared" si="2"/>
        <v>243.90725515562303</v>
      </c>
      <c r="U58" s="180">
        <f t="shared" si="3"/>
        <v>0</v>
      </c>
      <c r="V58" s="177"/>
      <c r="X58" s="180">
        <f t="shared" si="4"/>
        <v>243.90725515562303</v>
      </c>
      <c r="Y58" s="180">
        <f t="shared" si="5"/>
        <v>0</v>
      </c>
    </row>
    <row r="59" spans="1:25" ht="15.6" x14ac:dyDescent="0.3">
      <c r="A59" s="152">
        <v>2047</v>
      </c>
      <c r="B59" s="178">
        <f t="shared" si="0"/>
        <v>0</v>
      </c>
      <c r="C59" s="182">
        <f t="shared" si="7"/>
        <v>0</v>
      </c>
      <c r="D59" s="183"/>
      <c r="E59" s="179">
        <f t="shared" si="6"/>
        <v>3388868292711.0806</v>
      </c>
      <c r="F59" s="183">
        <f t="shared" si="8"/>
        <v>202330524486.32861</v>
      </c>
      <c r="G59" s="247">
        <f t="shared" si="1"/>
        <v>0.32436354137454049</v>
      </c>
      <c r="H59" s="246"/>
      <c r="J59" s="182"/>
      <c r="K59" s="182"/>
      <c r="L59" s="182"/>
      <c r="M59" s="182"/>
      <c r="N59" s="163"/>
      <c r="O59" s="259" t="str">
        <f>IF($O$24="Y",IFERROR(E59*$E$6*$O$16*'Emissions Factors'!B44,""),"")</f>
        <v/>
      </c>
      <c r="P59" s="259">
        <f>IF($P$24="Y",IFERROR($E59*(($E$3/SUMIF($G$3:$G$15,"Y",$E$3:$E$15)*('Emissions Factors'!$R$21*$P$16)/10^6)+((($E$8+$E$9)/SUMIF($G$3:$G$15,"Y",$E$3:$E$15)*('Emissions Factors'!$R$21*$P$18)/10^6))),""),"")</f>
        <v>259.39424650835736</v>
      </c>
      <c r="Q59" s="259"/>
      <c r="R59" s="258"/>
      <c r="T59" s="180">
        <f t="shared" si="2"/>
        <v>259.39424650835736</v>
      </c>
      <c r="U59" s="180">
        <f t="shared" si="3"/>
        <v>0</v>
      </c>
      <c r="V59" s="177"/>
      <c r="X59" s="180">
        <f t="shared" si="4"/>
        <v>259.39424650835736</v>
      </c>
      <c r="Y59" s="180">
        <f t="shared" si="5"/>
        <v>0</v>
      </c>
    </row>
    <row r="60" spans="1:25" ht="15.6" x14ac:dyDescent="0.3">
      <c r="A60" s="152">
        <v>2048</v>
      </c>
      <c r="B60" s="178">
        <f t="shared" si="0"/>
        <v>0</v>
      </c>
      <c r="C60" s="182">
        <f t="shared" si="7"/>
        <v>0</v>
      </c>
      <c r="D60" s="183"/>
      <c r="E60" s="179">
        <f t="shared" si="6"/>
        <v>3602148420086.792</v>
      </c>
      <c r="F60" s="183">
        <f t="shared" si="8"/>
        <v>213280127375.71143</v>
      </c>
      <c r="G60" s="247">
        <f t="shared" si="1"/>
        <v>0.32097881648633103</v>
      </c>
      <c r="H60" s="246"/>
      <c r="J60" s="182"/>
      <c r="K60" s="182"/>
      <c r="L60" s="182"/>
      <c r="M60" s="182"/>
      <c r="N60" s="163"/>
      <c r="O60" s="259" t="str">
        <f>IF($O$24="Y",IFERROR(E60*$E$6*$O$16*'Emissions Factors'!B45,""),"")</f>
        <v/>
      </c>
      <c r="P60" s="259">
        <f>IF($P$24="Y",IFERROR($E60*(($E$3/SUMIF($G$3:$G$15,"Y",$E$3:$E$15)*('Emissions Factors'!$R$21*$P$16)/10^6)+((($E$8+$E$9)/SUMIF($G$3:$G$15,"Y",$E$3:$E$15)*('Emissions Factors'!$R$21*$P$18)/10^6))),""),"")</f>
        <v>275.71935364067684</v>
      </c>
      <c r="Q60" s="259"/>
      <c r="R60" s="258"/>
      <c r="T60" s="180">
        <f t="shared" si="2"/>
        <v>275.71935364067684</v>
      </c>
      <c r="U60" s="180">
        <f t="shared" si="3"/>
        <v>0</v>
      </c>
      <c r="V60" s="177"/>
      <c r="X60" s="180">
        <f t="shared" si="4"/>
        <v>275.71935364067684</v>
      </c>
      <c r="Y60" s="180">
        <f t="shared" si="5"/>
        <v>0</v>
      </c>
    </row>
    <row r="61" spans="1:25" ht="15.6" x14ac:dyDescent="0.3">
      <c r="A61" s="152">
        <v>2049</v>
      </c>
      <c r="B61" s="178">
        <f t="shared" si="0"/>
        <v>0</v>
      </c>
      <c r="C61" s="182">
        <f t="shared" si="7"/>
        <v>0</v>
      </c>
      <c r="D61" s="183"/>
      <c r="E61" s="179">
        <f t="shared" si="6"/>
        <v>3827621945594.9102</v>
      </c>
      <c r="F61" s="183">
        <f t="shared" si="8"/>
        <v>225473525508.11816</v>
      </c>
      <c r="G61" s="247">
        <f t="shared" si="1"/>
        <v>0.31777902690207771</v>
      </c>
      <c r="H61" s="246"/>
      <c r="J61" s="182"/>
      <c r="K61" s="182"/>
      <c r="L61" s="182"/>
      <c r="M61" s="182"/>
      <c r="N61" s="163"/>
      <c r="O61" s="259" t="str">
        <f>IF($O$24="Y",IFERROR(E61*$E$6*$O$16*'Emissions Factors'!B46,""),"")</f>
        <v/>
      </c>
      <c r="P61" s="259">
        <f>IF($P$24="Y",IFERROR($E61*(($E$3/SUMIF($G$3:$G$15,"Y",$E$3:$E$15)*('Emissions Factors'!$R$21*$P$16)/10^6)+((($E$8+$E$9)/SUMIF($G$3:$G$15,"Y",$E$3:$E$15)*('Emissions Factors'!$R$21*$P$18)/10^6))),""),"")</f>
        <v>292.9777804088568</v>
      </c>
      <c r="Q61" s="259"/>
      <c r="R61" s="258"/>
      <c r="T61" s="180">
        <f t="shared" si="2"/>
        <v>292.9777804088568</v>
      </c>
      <c r="U61" s="180">
        <f t="shared" si="3"/>
        <v>0</v>
      </c>
      <c r="V61" s="177"/>
      <c r="X61" s="180">
        <f t="shared" si="4"/>
        <v>292.9777804088568</v>
      </c>
      <c r="Y61" s="180">
        <f t="shared" si="5"/>
        <v>0</v>
      </c>
    </row>
    <row r="62" spans="1:25" ht="15.6" x14ac:dyDescent="0.3">
      <c r="A62" s="152">
        <v>2050</v>
      </c>
      <c r="B62" s="178">
        <f t="shared" si="0"/>
        <v>0</v>
      </c>
      <c r="C62" s="182">
        <f t="shared" si="7"/>
        <v>0</v>
      </c>
      <c r="D62" s="183"/>
      <c r="E62" s="179">
        <f t="shared" si="6"/>
        <v>4063796151169.9512</v>
      </c>
      <c r="F62" s="183">
        <f t="shared" si="8"/>
        <v>236174205575.04102</v>
      </c>
      <c r="G62" s="247">
        <f t="shared" si="1"/>
        <v>0.31462997653951502</v>
      </c>
      <c r="H62" s="246"/>
      <c r="J62" s="182"/>
      <c r="K62" s="182"/>
      <c r="L62" s="182"/>
      <c r="M62" s="182"/>
      <c r="N62" s="163"/>
      <c r="O62" s="259" t="str">
        <f>IF($O$24="Y",IFERROR(E62*$E$6*$O$16*'Emissions Factors'!B47,""),"")</f>
        <v/>
      </c>
      <c r="P62" s="259">
        <f>IF($P$24="Y",IFERROR($E62*(($E$3/SUMIF($G$3:$G$15,"Y",$E$3:$E$15)*('Emissions Factors'!$R$21*$P$16)/10^6)+((($E$8+$E$9)/SUMIF($G$3:$G$15,"Y",$E$3:$E$15)*('Emissions Factors'!$R$21*$P$18)/10^6))),""),"")</f>
        <v>311.0552696496199</v>
      </c>
      <c r="Q62" s="259"/>
      <c r="R62" s="258"/>
      <c r="T62" s="180">
        <f t="shared" si="2"/>
        <v>311.0552696496199</v>
      </c>
      <c r="U62" s="180">
        <f t="shared" si="3"/>
        <v>0</v>
      </c>
      <c r="V62" s="177"/>
      <c r="X62" s="180">
        <f t="shared" si="4"/>
        <v>311.0552696496199</v>
      </c>
      <c r="Y62" s="180">
        <f t="shared" si="5"/>
        <v>0</v>
      </c>
    </row>
    <row r="63" spans="1:25" ht="15.6" x14ac:dyDescent="0.3">
      <c r="A63" s="152">
        <v>2051</v>
      </c>
      <c r="B63" s="178">
        <f t="shared" si="0"/>
        <v>0</v>
      </c>
      <c r="C63" s="182">
        <f t="shared" si="7"/>
        <v>0</v>
      </c>
      <c r="D63" s="183"/>
      <c r="E63" s="179">
        <f t="shared" si="6"/>
        <v>4319708528254.0801</v>
      </c>
      <c r="F63" s="183">
        <f t="shared" si="8"/>
        <v>255912377084.12891</v>
      </c>
      <c r="G63" s="247">
        <f t="shared" si="1"/>
        <v>0.31196677014651991</v>
      </c>
      <c r="H63" s="246"/>
      <c r="J63" s="182"/>
      <c r="K63" s="182"/>
      <c r="L63" s="182"/>
      <c r="M63" s="182"/>
      <c r="N63" s="163"/>
      <c r="O63" s="259" t="str">
        <f>IF($O$24="Y",IFERROR(E63*$E$6*$O$16*'Emissions Factors'!B48,""),"")</f>
        <v/>
      </c>
      <c r="P63" s="259">
        <f>IF($P$24="Y",IFERROR($E63*(($E$3/SUMIF($G$3:$G$15,"Y",$E$3:$E$15)*('Emissions Factors'!$R$21*$P$16)/10^6)+((($E$8+$E$9)/SUMIF($G$3:$G$15,"Y",$E$3:$E$15)*('Emissions Factors'!$R$21*$P$18)/10^6))),""),"")</f>
        <v>330.64357833918382</v>
      </c>
      <c r="Q63" s="259"/>
      <c r="R63" s="258"/>
      <c r="T63" s="180" t="str">
        <f t="shared" si="2"/>
        <v/>
      </c>
      <c r="U63" s="180" t="str">
        <f t="shared" si="3"/>
        <v/>
      </c>
      <c r="V63" s="177"/>
      <c r="X63" s="180">
        <f t="shared" si="4"/>
        <v>330.64357833918382</v>
      </c>
      <c r="Y63" s="180">
        <f t="shared" si="5"/>
        <v>0</v>
      </c>
    </row>
    <row r="64" spans="1:25" ht="15.6" x14ac:dyDescent="0.3">
      <c r="A64" s="152">
        <v>2052</v>
      </c>
      <c r="B64" s="178">
        <f t="shared" si="0"/>
        <v>0</v>
      </c>
      <c r="C64" s="182">
        <f t="shared" si="7"/>
        <v>0</v>
      </c>
      <c r="D64" s="183"/>
      <c r="E64" s="179">
        <f t="shared" si="6"/>
        <v>4588218138491.2266</v>
      </c>
      <c r="F64" s="183">
        <f t="shared" si="8"/>
        <v>268509610237.14648</v>
      </c>
      <c r="G64" s="247">
        <f t="shared" si="1"/>
        <v>0.30935152921487297</v>
      </c>
      <c r="H64" s="246"/>
      <c r="J64" s="182"/>
      <c r="K64" s="182"/>
      <c r="L64" s="182"/>
      <c r="M64" s="182"/>
      <c r="N64" s="163"/>
      <c r="O64" s="259" t="str">
        <f>IF($O$24="Y",IFERROR(E64*$E$6*$O$16*'Emissions Factors'!B49,""),"")</f>
        <v/>
      </c>
      <c r="P64" s="259">
        <f>IF($P$24="Y",IFERROR($E64*(($E$3/SUMIF($G$3:$G$15,"Y",$E$3:$E$15)*('Emissions Factors'!$R$21*$P$16)/10^6)+((($E$8+$E$9)/SUMIF($G$3:$G$15,"Y",$E$3:$E$15)*('Emissions Factors'!$R$21*$P$18)/10^6))),""),"")</f>
        <v>351.19611742060022</v>
      </c>
      <c r="Q64" s="259"/>
      <c r="R64" s="258"/>
      <c r="T64" s="180" t="str">
        <f t="shared" si="2"/>
        <v/>
      </c>
      <c r="U64" s="180" t="str">
        <f t="shared" si="3"/>
        <v/>
      </c>
      <c r="V64" s="177"/>
      <c r="X64" s="180">
        <f t="shared" si="4"/>
        <v>351.19611742060022</v>
      </c>
      <c r="Y64" s="180">
        <f t="shared" si="5"/>
        <v>0</v>
      </c>
    </row>
    <row r="65" spans="1:25" ht="15.6" x14ac:dyDescent="0.3">
      <c r="A65" s="152">
        <v>2053</v>
      </c>
      <c r="B65" s="178">
        <f t="shared" si="0"/>
        <v>0</v>
      </c>
      <c r="C65" s="182">
        <f t="shared" si="7"/>
        <v>0</v>
      </c>
      <c r="D65" s="183"/>
      <c r="E65" s="179">
        <f t="shared" si="6"/>
        <v>4872907544945.4316</v>
      </c>
      <c r="F65" s="183">
        <f t="shared" si="8"/>
        <v>284689406454.20508</v>
      </c>
      <c r="G65" s="247">
        <f t="shared" si="1"/>
        <v>0.30692841801035481</v>
      </c>
      <c r="H65" s="246"/>
      <c r="J65" s="182"/>
      <c r="K65" s="182"/>
      <c r="L65" s="182"/>
      <c r="M65" s="182"/>
      <c r="N65" s="163"/>
      <c r="O65" s="259" t="str">
        <f>IF($O$24="Y",IFERROR(E65*$E$6*$O$16*'Emissions Factors'!B50,""),"")</f>
        <v/>
      </c>
      <c r="P65" s="259">
        <f>IF($P$24="Y",IFERROR($E65*(($E$3/SUMIF($G$3:$G$15,"Y",$E$3:$E$15)*('Emissions Factors'!$R$21*$P$16)/10^6)+((($E$8+$E$9)/SUMIF($G$3:$G$15,"Y",$E$3:$E$15)*('Emissions Factors'!$R$21*$P$18)/10^6))),""),"")</f>
        <v>372.98710712501946</v>
      </c>
      <c r="Q65" s="259"/>
      <c r="R65" s="258"/>
      <c r="T65" s="180" t="str">
        <f t="shared" si="2"/>
        <v/>
      </c>
      <c r="U65" s="180" t="str">
        <f t="shared" si="3"/>
        <v/>
      </c>
      <c r="V65" s="177"/>
      <c r="X65" s="180">
        <f t="shared" si="4"/>
        <v>372.98710712501946</v>
      </c>
      <c r="Y65" s="180">
        <f t="shared" si="5"/>
        <v>0</v>
      </c>
    </row>
    <row r="66" spans="1:25" ht="15.6" x14ac:dyDescent="0.3">
      <c r="A66" s="152">
        <v>2054</v>
      </c>
      <c r="B66" s="178">
        <f t="shared" si="0"/>
        <v>0</v>
      </c>
      <c r="C66" s="182">
        <f t="shared" si="7"/>
        <v>0</v>
      </c>
      <c r="D66" s="183"/>
      <c r="E66" s="179">
        <f t="shared" si="6"/>
        <v>5174625421766.1943</v>
      </c>
      <c r="F66" s="183">
        <f t="shared" si="8"/>
        <v>301717876820.7627</v>
      </c>
      <c r="G66" s="247">
        <f t="shared" si="1"/>
        <v>0.30469513836972761</v>
      </c>
      <c r="H66" s="246"/>
      <c r="J66" s="182"/>
      <c r="K66" s="182"/>
      <c r="L66" s="182"/>
      <c r="M66" s="182"/>
      <c r="N66" s="163"/>
      <c r="O66" s="259" t="str">
        <f>IF($O$24="Y",IFERROR(E66*$E$6*$O$16*'Emissions Factors'!B51,""),"")</f>
        <v/>
      </c>
      <c r="P66" s="259">
        <f>IF($P$24="Y",IFERROR($E66*(($E$3/SUMIF($G$3:$G$15,"Y",$E$3:$E$15)*('Emissions Factors'!$R$21*$P$16)/10^6)+((($E$8+$E$9)/SUMIF($G$3:$G$15,"Y",$E$3:$E$15)*('Emissions Factors'!$R$21*$P$18)/10^6))),""),"")</f>
        <v>396.08150754310486</v>
      </c>
      <c r="Q66" s="259"/>
      <c r="R66" s="258"/>
      <c r="T66" s="180" t="str">
        <f t="shared" si="2"/>
        <v/>
      </c>
      <c r="U66" s="180" t="str">
        <f t="shared" si="3"/>
        <v/>
      </c>
      <c r="V66" s="177"/>
      <c r="X66" s="180">
        <f t="shared" si="4"/>
        <v>396.08150754310486</v>
      </c>
      <c r="Y66" s="180">
        <f t="shared" si="5"/>
        <v>0</v>
      </c>
    </row>
    <row r="67" spans="1:25" ht="15.6" x14ac:dyDescent="0.3">
      <c r="A67" s="152">
        <v>2055</v>
      </c>
      <c r="B67" s="178">
        <f t="shared" si="0"/>
        <v>0</v>
      </c>
      <c r="C67" s="182">
        <f t="shared" si="7"/>
        <v>0</v>
      </c>
      <c r="D67" s="183"/>
      <c r="E67" s="179">
        <f t="shared" si="6"/>
        <v>5490059731942.1094</v>
      </c>
      <c r="F67" s="183">
        <f t="shared" si="8"/>
        <v>315434310175.91504</v>
      </c>
      <c r="G67" s="247">
        <f t="shared" si="1"/>
        <v>0.30241787337789688</v>
      </c>
      <c r="H67" s="246"/>
      <c r="J67" s="182"/>
      <c r="K67" s="182"/>
      <c r="L67" s="182"/>
      <c r="M67" s="182"/>
      <c r="N67" s="163"/>
      <c r="O67" s="259" t="str">
        <f>IF($O$24="Y",IFERROR(E67*$E$6*$O$16*'Emissions Factors'!B52,""),"")</f>
        <v/>
      </c>
      <c r="P67" s="259">
        <f>IF($P$24="Y",IFERROR($E67*(($E$3/SUMIF($G$3:$G$15,"Y",$E$3:$E$15)*('Emissions Factors'!$R$21*$P$16)/10^6)+((($E$8+$E$9)/SUMIF($G$3:$G$15,"Y",$E$3:$E$15)*('Emissions Factors'!$R$21*$P$18)/10^6))),""),"")</f>
        <v>420.22580532739789</v>
      </c>
      <c r="Q67" s="259"/>
      <c r="R67" s="258"/>
      <c r="T67" s="180" t="str">
        <f t="shared" si="2"/>
        <v/>
      </c>
      <c r="U67" s="180" t="str">
        <f t="shared" si="3"/>
        <v/>
      </c>
      <c r="V67" s="177"/>
      <c r="X67" s="180">
        <f t="shared" si="4"/>
        <v>420.22580532739789</v>
      </c>
      <c r="Y67" s="180">
        <f t="shared" si="5"/>
        <v>0</v>
      </c>
    </row>
    <row r="68" spans="1:25" ht="15.6" x14ac:dyDescent="0.3">
      <c r="A68" s="152">
        <v>2056</v>
      </c>
      <c r="B68" s="178">
        <f t="shared" si="0"/>
        <v>0</v>
      </c>
      <c r="C68" s="182">
        <f t="shared" si="7"/>
        <v>0</v>
      </c>
      <c r="D68" s="183"/>
      <c r="E68" s="179">
        <f t="shared" si="6"/>
        <v>5832928495331.3545</v>
      </c>
      <c r="F68" s="183">
        <f t="shared" si="8"/>
        <v>342868763389.24512</v>
      </c>
      <c r="G68" s="247">
        <f t="shared" si="1"/>
        <v>0.30079019163953469</v>
      </c>
      <c r="H68" s="246"/>
      <c r="J68" s="182"/>
      <c r="K68" s="182"/>
      <c r="L68" s="182"/>
      <c r="M68" s="182"/>
      <c r="N68" s="163"/>
      <c r="O68" s="259" t="str">
        <f>IF($O$24="Y",IFERROR(E68*$E$6*$O$16*'Emissions Factors'!B53,""),"")</f>
        <v/>
      </c>
      <c r="P68" s="259">
        <f>IF($P$24="Y",IFERROR($E68*(($E$3/SUMIF($G$3:$G$15,"Y",$E$3:$E$15)*('Emissions Factors'!$R$21*$P$16)/10^6)+((($E$8+$E$9)/SUMIF($G$3:$G$15,"Y",$E$3:$E$15)*('Emissions Factors'!$R$21*$P$18)/10^6))),""),"")</f>
        <v>446.47001927985434</v>
      </c>
      <c r="Q68" s="259"/>
      <c r="R68" s="258"/>
      <c r="T68" s="180" t="str">
        <f t="shared" si="2"/>
        <v/>
      </c>
      <c r="U68" s="180" t="str">
        <f t="shared" si="3"/>
        <v/>
      </c>
      <c r="V68" s="177"/>
      <c r="X68" s="180">
        <f t="shared" si="4"/>
        <v>446.47001927985434</v>
      </c>
      <c r="Y68" s="180">
        <f t="shared" si="5"/>
        <v>0</v>
      </c>
    </row>
    <row r="69" spans="1:25" ht="15.6" x14ac:dyDescent="0.3">
      <c r="A69" s="152">
        <v>2057</v>
      </c>
      <c r="B69" s="178">
        <f t="shared" si="0"/>
        <v>0</v>
      </c>
      <c r="C69" s="182">
        <f t="shared" si="7"/>
        <v>0</v>
      </c>
      <c r="D69" s="183"/>
      <c r="E69" s="179">
        <f t="shared" si="6"/>
        <v>6191678768656.043</v>
      </c>
      <c r="F69" s="183">
        <f t="shared" si="8"/>
        <v>358750273324.68848</v>
      </c>
      <c r="G69" s="247">
        <f t="shared" si="1"/>
        <v>0.29911460619618585</v>
      </c>
      <c r="H69" s="246"/>
      <c r="J69" s="182"/>
      <c r="K69" s="182"/>
      <c r="L69" s="182"/>
      <c r="M69" s="182"/>
      <c r="N69" s="163"/>
      <c r="O69" s="259" t="str">
        <f>IF($O$24="Y",IFERROR(E69*$E$6*$O$16*'Emissions Factors'!B54,""),"")</f>
        <v/>
      </c>
      <c r="P69" s="259">
        <f>IF($P$24="Y",IFERROR($E69*(($E$3/SUMIF($G$3:$G$15,"Y",$E$3:$E$15)*('Emissions Factors'!$R$21*$P$16)/10^6)+((($E$8+$E$9)/SUMIF($G$3:$G$15,"Y",$E$3:$E$15)*('Emissions Factors'!$R$21*$P$18)/10^6))),""),"")</f>
        <v>473.9298521195895</v>
      </c>
      <c r="Q69" s="259"/>
      <c r="R69" s="258"/>
      <c r="T69" s="180" t="str">
        <f t="shared" si="2"/>
        <v/>
      </c>
      <c r="U69" s="180" t="str">
        <f t="shared" si="3"/>
        <v/>
      </c>
      <c r="V69" s="177"/>
      <c r="X69" s="180">
        <f t="shared" si="4"/>
        <v>473.9298521195895</v>
      </c>
      <c r="Y69" s="180">
        <f t="shared" si="5"/>
        <v>0</v>
      </c>
    </row>
    <row r="70" spans="1:25" ht="15.6" x14ac:dyDescent="0.3">
      <c r="A70" s="152">
        <v>2058</v>
      </c>
      <c r="B70" s="178">
        <f t="shared" si="0"/>
        <v>0</v>
      </c>
      <c r="C70" s="182">
        <f t="shared" si="7"/>
        <v>0</v>
      </c>
      <c r="D70" s="183"/>
      <c r="E70" s="179">
        <f t="shared" si="6"/>
        <v>6571289150265.5439</v>
      </c>
      <c r="F70" s="183">
        <f t="shared" si="8"/>
        <v>379610381609.50098</v>
      </c>
      <c r="G70" s="247">
        <f t="shared" si="1"/>
        <v>0.29761718151010419</v>
      </c>
      <c r="H70" s="246"/>
      <c r="J70" s="182"/>
      <c r="K70" s="182"/>
      <c r="L70" s="182"/>
      <c r="M70" s="182"/>
      <c r="N70" s="163"/>
      <c r="O70" s="259" t="str">
        <f>IF($O$24="Y",IFERROR(E70*$E$6*$O$16*'Emissions Factors'!B55,""),"")</f>
        <v/>
      </c>
      <c r="P70" s="259">
        <f>IF($P$24="Y",IFERROR($E70*(($E$3/SUMIF($G$3:$G$15,"Y",$E$3:$E$15)*('Emissions Factors'!$R$21*$P$16)/10^6)+((($E$8+$E$9)/SUMIF($G$3:$G$15,"Y",$E$3:$E$15)*('Emissions Factors'!$R$21*$P$18)/10^6))),""),"")</f>
        <v>502.98638084811432</v>
      </c>
      <c r="Q70" s="259"/>
      <c r="R70" s="258"/>
      <c r="T70" s="180" t="str">
        <f t="shared" si="2"/>
        <v/>
      </c>
      <c r="U70" s="180" t="str">
        <f t="shared" si="3"/>
        <v/>
      </c>
      <c r="V70" s="177"/>
      <c r="X70" s="180">
        <f t="shared" si="4"/>
        <v>502.98638084811432</v>
      </c>
      <c r="Y70" s="180">
        <f t="shared" si="5"/>
        <v>0</v>
      </c>
    </row>
    <row r="71" spans="1:25" ht="15.6" x14ac:dyDescent="0.3">
      <c r="A71" s="152">
        <v>2059</v>
      </c>
      <c r="B71" s="178">
        <f t="shared" si="0"/>
        <v>0</v>
      </c>
      <c r="C71" s="182">
        <f t="shared" si="7"/>
        <v>0</v>
      </c>
      <c r="D71" s="183"/>
      <c r="E71" s="179">
        <f t="shared" si="6"/>
        <v>6972428894098.877</v>
      </c>
      <c r="F71" s="183">
        <f t="shared" si="8"/>
        <v>401139743833.33301</v>
      </c>
      <c r="G71" s="247">
        <f t="shared" si="1"/>
        <v>0.29629155013560332</v>
      </c>
      <c r="H71" s="246"/>
      <c r="J71" s="182"/>
      <c r="K71" s="182"/>
      <c r="L71" s="182"/>
      <c r="M71" s="182"/>
      <c r="N71" s="163"/>
      <c r="O71" s="259" t="str">
        <f>IF($O$24="Y",IFERROR(E71*$E$6*$O$16*'Emissions Factors'!B56,""),"")</f>
        <v/>
      </c>
      <c r="P71" s="259">
        <f>IF($P$24="Y",IFERROR($E71*(($E$3/SUMIF($G$3:$G$15,"Y",$E$3:$E$15)*('Emissions Factors'!$R$21*$P$16)/10^6)+((($E$8+$E$9)/SUMIF($G$3:$G$15,"Y",$E$3:$E$15)*('Emissions Factors'!$R$21*$P$18)/10^6))),""),"")</f>
        <v>533.69083218958576</v>
      </c>
      <c r="Q71" s="259"/>
      <c r="R71" s="258"/>
      <c r="T71" s="180" t="str">
        <f t="shared" si="2"/>
        <v/>
      </c>
      <c r="U71" s="180" t="str">
        <f t="shared" si="3"/>
        <v/>
      </c>
      <c r="V71" s="177"/>
      <c r="X71" s="180">
        <f t="shared" si="4"/>
        <v>533.69083218958576</v>
      </c>
      <c r="Y71" s="180">
        <f t="shared" si="5"/>
        <v>0</v>
      </c>
    </row>
    <row r="72" spans="1:25" ht="15.6" x14ac:dyDescent="0.3">
      <c r="A72" s="152">
        <v>2060</v>
      </c>
      <c r="B72" s="178">
        <f t="shared" si="0"/>
        <v>0</v>
      </c>
      <c r="C72" s="182">
        <f t="shared" si="7"/>
        <v>0</v>
      </c>
      <c r="D72" s="183"/>
      <c r="E72" s="179">
        <f t="shared" si="6"/>
        <v>7400561757352.6475</v>
      </c>
      <c r="F72" s="183">
        <f t="shared" si="8"/>
        <v>428132863253.77051</v>
      </c>
      <c r="G72" s="247">
        <f t="shared" si="1"/>
        <v>0.295318688300376</v>
      </c>
      <c r="H72" s="246"/>
      <c r="J72" s="182"/>
      <c r="K72" s="182"/>
      <c r="L72" s="182"/>
      <c r="M72" s="182"/>
      <c r="N72" s="163"/>
      <c r="O72" s="259" t="str">
        <f>IF($O$24="Y",IFERROR(E72*$E$6*$O$16*'Emissions Factors'!B57,""),"")</f>
        <v/>
      </c>
      <c r="P72" s="259">
        <f>IF($P$24="Y",IFERROR($E72*(($E$3/SUMIF($G$3:$G$15,"Y",$E$3:$E$15)*('Emissions Factors'!$R$21*$P$16)/10^6)+((($E$8+$E$9)/SUMIF($G$3:$G$15,"Y",$E$3:$E$15)*('Emissions Factors'!$R$21*$P$18)/10^6))),""),"")</f>
        <v>566.46141867358688</v>
      </c>
      <c r="Q72" s="259"/>
      <c r="R72" s="258"/>
      <c r="T72" s="180" t="str">
        <f t="shared" si="2"/>
        <v/>
      </c>
      <c r="U72" s="180" t="str">
        <f t="shared" si="3"/>
        <v/>
      </c>
      <c r="V72" s="177"/>
      <c r="X72" s="180">
        <f t="shared" si="4"/>
        <v>566.46141867358688</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635</v>
      </c>
      <c r="O83" s="232"/>
      <c r="P83" s="232"/>
      <c r="Q83" s="232"/>
      <c r="R83" s="232"/>
      <c r="U83" s="232" t="s">
        <v>636</v>
      </c>
      <c r="V83" s="232"/>
      <c r="W83" s="232"/>
      <c r="X83" s="232"/>
      <c r="Y83" s="232"/>
      <c r="AC83" s="153" t="s">
        <v>263</v>
      </c>
    </row>
    <row r="84" spans="1:35" ht="79.8" thickBot="1" x14ac:dyDescent="0.3">
      <c r="A84" s="189"/>
      <c r="B84" s="190" t="s">
        <v>4</v>
      </c>
      <c r="C84" s="191" t="str">
        <f>C136</f>
        <v>IEA (2017) ETP - Total Mobility RTS Scenario- OECD Region</v>
      </c>
      <c r="D84" s="191" t="str">
        <f>D136</f>
        <v>IEA (2017) ETP - Total Mobility - RTS Scenario - Non OECD Region (less China, Mexico, Brazil, Russia)</v>
      </c>
      <c r="E84" s="191" t="str">
        <f>E136</f>
        <v>IEA (2017) ETP - Total Passenger Mobility - RTS (Only Brazil, Mexico,China, Russia)</v>
      </c>
      <c r="F84" s="191"/>
      <c r="G84" s="191"/>
      <c r="H84" s="191"/>
      <c r="I84" s="191"/>
      <c r="J84" s="191"/>
      <c r="K84" s="192"/>
      <c r="N84" s="193" t="str">
        <f>D84</f>
        <v>IEA (2017) ETP - Total Mobility - RTS Scenario - Non OECD Region (less China, Mexico, Brazil, Russia)</v>
      </c>
      <c r="O84" s="193" t="str">
        <f>E84</f>
        <v>IEA (2017) ETP - Total Passenger Mobility - RTS (Only Brazil, Mexico,China, Russia)</v>
      </c>
      <c r="P84" s="193" t="str">
        <f>C84</f>
        <v>IEA (2017) ETP - Total Mobility RTS Scenario- OECD Region</v>
      </c>
      <c r="Q84" s="193" t="s">
        <v>235</v>
      </c>
      <c r="R84" s="193" t="str">
        <f>CONCATENATE("% ",$N$84)</f>
        <v>% IEA (2017) ETP - Total Mobility - RTS Scenario - Non OECD Region (less China, Mexico, Brazil, Russia)</v>
      </c>
      <c r="U84" s="193" t="str">
        <f>N84</f>
        <v>IEA (2017) ETP - Total Mobility - RTS Scenario - Non OECD Region (less China, Mexico, Brazil, Russia)</v>
      </c>
      <c r="V84" s="193" t="str">
        <f>O84</f>
        <v>IEA (2017) ETP - Total Passenger Mobility - RTS (Only Brazil, Mexico,China, Russia)</v>
      </c>
      <c r="W84" s="193" t="str">
        <f>P84</f>
        <v>IEA (2017) ETP - Total Mobility RTS Scenario- OECD Region</v>
      </c>
      <c r="X84" s="193" t="s">
        <v>235</v>
      </c>
      <c r="Y84" s="193" t="str">
        <f>R84</f>
        <v>% IEA (2017) ETP - Total Mobility - RTS Scenario - Non OECD Region (less China, Mexico, Brazil, Russia)</v>
      </c>
    </row>
    <row r="85" spans="1:35" ht="15.6" x14ac:dyDescent="0.3">
      <c r="A85" s="194">
        <v>2014</v>
      </c>
      <c r="B85" s="253">
        <f>(B137/Population_Tables!O3)*Population_Tables!C3</f>
        <v>53913525291327.195</v>
      </c>
      <c r="C85" s="253">
        <f>(C137/Population_Tables!P3)*Population_Tables!D3</f>
        <v>17944221871904.836</v>
      </c>
      <c r="D85" s="253">
        <f>(D137/Population_Tables!Q3)*Population_Tables!E3</f>
        <v>18368056852998.395</v>
      </c>
      <c r="E85" s="253">
        <f>(E137/Population_Tables!R3)*Population_Tables!F3</f>
        <v>14469361756916.367</v>
      </c>
      <c r="F85" s="253">
        <f>(F137/Population_Tables!S3)*Population_Tables!G3</f>
        <v>0</v>
      </c>
      <c r="G85" s="253">
        <f>(G137/Population_Tables!T3)*Population_Tables!H3</f>
        <v>0</v>
      </c>
      <c r="H85" s="253">
        <f>(H137/Population_Tables!U3)*Population_Tables!I3</f>
        <v>0</v>
      </c>
      <c r="I85" s="253">
        <f>(I137/Population_Tables!V3)*Population_Tables!J3</f>
        <v>0</v>
      </c>
      <c r="J85" s="253">
        <f>(J137/Population_Tables!W3)*Population_Tables!K3</f>
        <v>0</v>
      </c>
      <c r="K85" s="253">
        <f>(K137/Population_Tables!X3)*Population_Tables!L3</f>
        <v>0</v>
      </c>
      <c r="N85" s="195">
        <f>D85</f>
        <v>18368056852998.395</v>
      </c>
      <c r="O85" s="195">
        <f>E85</f>
        <v>14469361756916.367</v>
      </c>
      <c r="P85" s="195">
        <f>C85</f>
        <v>17944221871904.836</v>
      </c>
      <c r="Q85" s="195">
        <f>N85+P85+O85</f>
        <v>50781640481819.602</v>
      </c>
      <c r="R85" s="196">
        <f>N85/Q85</f>
        <v>0.36170664592008139</v>
      </c>
      <c r="U85" s="197">
        <v>0</v>
      </c>
      <c r="V85" s="195">
        <f>O85-O137</f>
        <v>-45119792.517578125</v>
      </c>
      <c r="W85" s="197">
        <v>0</v>
      </c>
      <c r="X85" s="195">
        <f>U85+V85+W85</f>
        <v>-45119792.517578125</v>
      </c>
      <c r="Y85" s="196">
        <v>0</v>
      </c>
      <c r="AC85" s="251">
        <f>(B85-B137)/((SUM(C85:G85)-SUM(C137:G137)))</f>
        <v>2.0210212584639886</v>
      </c>
      <c r="AF85" s="250">
        <f>B85</f>
        <v>53913525291327.195</v>
      </c>
      <c r="AG85" s="250">
        <f>SUM(C85:G85)</f>
        <v>50781640481819.602</v>
      </c>
      <c r="AH85" s="250">
        <f>AG85-AF85</f>
        <v>-3131884809507.5938</v>
      </c>
      <c r="AI85" s="251">
        <f>AH85/AG85</f>
        <v>-6.1673565087540717E-2</v>
      </c>
    </row>
    <row r="86" spans="1:35" ht="15.6" x14ac:dyDescent="0.3">
      <c r="A86" s="194">
        <v>2015</v>
      </c>
      <c r="B86" s="253">
        <f>(B138/Population_Tables!O4)*Population_Tables!C4</f>
        <v>55678193899787.797</v>
      </c>
      <c r="C86" s="253">
        <f>(C138/Population_Tables!P4)*Population_Tables!D4</f>
        <v>18025401562858.074</v>
      </c>
      <c r="D86" s="253">
        <f>(D138/Population_Tables!Q4)*Population_Tables!E4</f>
        <v>18978853431504.145</v>
      </c>
      <c r="E86" s="253">
        <f>(E138/Population_Tables!R4)*Population_Tables!F4</f>
        <v>15048122271797.277</v>
      </c>
      <c r="F86" s="253">
        <f>(F138/Population_Tables!S4)*Population_Tables!G4</f>
        <v>0</v>
      </c>
      <c r="G86" s="253">
        <f>(G138/Population_Tables!T4)*Population_Tables!H4</f>
        <v>0</v>
      </c>
      <c r="H86" s="253">
        <f>(H138/Population_Tables!U4)*Population_Tables!I4</f>
        <v>0</v>
      </c>
      <c r="I86" s="253">
        <f>(I138/Population_Tables!V4)*Population_Tables!J4</f>
        <v>0</v>
      </c>
      <c r="J86" s="253">
        <f>(J138/Population_Tables!W4)*Population_Tables!K4</f>
        <v>0</v>
      </c>
      <c r="K86" s="253">
        <f>(K138/Population_Tables!X4)*Population_Tables!L4</f>
        <v>0</v>
      </c>
      <c r="N86" s="195">
        <f t="shared" ref="N86:O131" si="9">D86</f>
        <v>18978853431504.145</v>
      </c>
      <c r="O86" s="195">
        <f t="shared" si="9"/>
        <v>15048122271797.277</v>
      </c>
      <c r="P86" s="195">
        <f t="shared" ref="P86:P131" si="10">C86</f>
        <v>18025401562858.074</v>
      </c>
      <c r="Q86" s="195">
        <f t="shared" ref="Q86:Q131" si="11">N86+P86+O86</f>
        <v>52052377266159.5</v>
      </c>
      <c r="R86" s="196">
        <f t="shared" ref="R86:R130" si="12">N86/Q86</f>
        <v>0.36461069461745321</v>
      </c>
      <c r="U86" s="197">
        <v>0</v>
      </c>
      <c r="V86" s="195">
        <f t="shared" ref="V86:W131" si="13">O86-O138</f>
        <v>-46185238.51953125</v>
      </c>
      <c r="W86" s="197">
        <v>0</v>
      </c>
      <c r="X86" s="195">
        <f>U86+V86+W86</f>
        <v>-46185238.51953125</v>
      </c>
      <c r="Y86" s="196">
        <v>0</v>
      </c>
      <c r="AC86" s="251">
        <f t="shared" ref="AC86:AC131" si="14">(B86-B138)/((SUM(C86:G86)-SUM(C138:G138)))</f>
        <v>2.0032562972937038</v>
      </c>
    </row>
    <row r="87" spans="1:35" ht="15.6" x14ac:dyDescent="0.3">
      <c r="A87" s="194">
        <v>2016</v>
      </c>
      <c r="B87" s="253">
        <f>(B139/Population_Tables!O5)*Population_Tables!C5</f>
        <v>57692895254980.789</v>
      </c>
      <c r="C87" s="253">
        <f>(C139/Population_Tables!P5)*Population_Tables!D5</f>
        <v>18154129849832.75</v>
      </c>
      <c r="D87" s="253">
        <f>(D139/Population_Tables!Q5)*Population_Tables!E5</f>
        <v>19627894279113.238</v>
      </c>
      <c r="E87" s="253">
        <f>(E139/Population_Tables!R5)*Population_Tables!F5</f>
        <v>15591407874433.68</v>
      </c>
      <c r="F87" s="253">
        <f>(F139/Population_Tables!S5)*Population_Tables!G5</f>
        <v>0</v>
      </c>
      <c r="G87" s="253">
        <f>(G139/Population_Tables!T5)*Population_Tables!H5</f>
        <v>0</v>
      </c>
      <c r="H87" s="253">
        <f>(H139/Population_Tables!U5)*Population_Tables!I5</f>
        <v>0</v>
      </c>
      <c r="I87" s="253">
        <f>(I139/Population_Tables!V5)*Population_Tables!J5</f>
        <v>0</v>
      </c>
      <c r="J87" s="253">
        <f>(J139/Population_Tables!W5)*Population_Tables!K5</f>
        <v>0</v>
      </c>
      <c r="K87" s="253">
        <f>(K139/Population_Tables!X5)*Population_Tables!L5</f>
        <v>0</v>
      </c>
      <c r="N87" s="195">
        <f t="shared" si="9"/>
        <v>19627894279113.238</v>
      </c>
      <c r="O87" s="195">
        <f t="shared" si="9"/>
        <v>15591407874433.68</v>
      </c>
      <c r="P87" s="195">
        <f t="shared" si="10"/>
        <v>18154129849832.75</v>
      </c>
      <c r="Q87" s="195">
        <f t="shared" si="11"/>
        <v>53373432003379.664</v>
      </c>
      <c r="R87" s="196">
        <f t="shared" si="12"/>
        <v>0.36774652748338121</v>
      </c>
      <c r="U87" s="195">
        <f>N87-N139</f>
        <v>0</v>
      </c>
      <c r="V87" s="195">
        <f>O87-O139</f>
        <v>-46766777.9609375</v>
      </c>
      <c r="W87" s="195">
        <f>P87-P139</f>
        <v>0</v>
      </c>
      <c r="X87" s="195">
        <f>U87+V87+W87</f>
        <v>-46766777.9609375</v>
      </c>
      <c r="Y87" s="196">
        <f t="shared" ref="Y87:Y131" si="15">U87/X87</f>
        <v>0</v>
      </c>
      <c r="AC87" s="251">
        <f>(B87-B139)/((SUM(C87:G87)-SUM(C139:G139)))</f>
        <v>1.9996906526316698</v>
      </c>
    </row>
    <row r="88" spans="1:35" ht="15.6" x14ac:dyDescent="0.3">
      <c r="A88" s="194">
        <v>2017</v>
      </c>
      <c r="B88" s="253">
        <f>(B140/Population_Tables!O6)*Population_Tables!C6</f>
        <v>59601825425182.469</v>
      </c>
      <c r="C88" s="253">
        <f>(C140/Population_Tables!P6)*Population_Tables!D6</f>
        <v>18287059411625.629</v>
      </c>
      <c r="D88" s="253">
        <f>(D140/Population_Tables!Q6)*Population_Tables!E6</f>
        <v>20323118928738.949</v>
      </c>
      <c r="E88" s="253">
        <f>(E140/Population_Tables!R6)*Population_Tables!F6</f>
        <v>16105645226954.73</v>
      </c>
      <c r="F88" s="253">
        <f>(F140/Population_Tables!S6)*Population_Tables!G6</f>
        <v>0</v>
      </c>
      <c r="G88" s="253">
        <f>(G140/Population_Tables!T6)*Population_Tables!H6</f>
        <v>0</v>
      </c>
      <c r="H88" s="253">
        <f>(H140/Population_Tables!U6)*Population_Tables!I6</f>
        <v>0</v>
      </c>
      <c r="I88" s="253">
        <f>(I140/Population_Tables!V6)*Population_Tables!J6</f>
        <v>0</v>
      </c>
      <c r="J88" s="253">
        <f>(J140/Population_Tables!W6)*Population_Tables!K6</f>
        <v>0</v>
      </c>
      <c r="K88" s="253">
        <f>(K140/Population_Tables!X6)*Population_Tables!L6</f>
        <v>0</v>
      </c>
      <c r="N88" s="195">
        <f t="shared" si="9"/>
        <v>20323118928738.949</v>
      </c>
      <c r="O88" s="195">
        <f t="shared" si="9"/>
        <v>16105645226954.73</v>
      </c>
      <c r="P88" s="195">
        <f t="shared" si="10"/>
        <v>18287059411625.629</v>
      </c>
      <c r="Q88" s="195">
        <f t="shared" si="11"/>
        <v>54715823567319.313</v>
      </c>
      <c r="R88" s="196">
        <f t="shared" si="12"/>
        <v>0.37143037614584218</v>
      </c>
      <c r="U88" s="195">
        <f>N88-N140</f>
        <v>0</v>
      </c>
      <c r="V88" s="195">
        <f t="shared" si="13"/>
        <v>-47056485.60546875</v>
      </c>
      <c r="W88" s="195">
        <f t="shared" si="13"/>
        <v>0</v>
      </c>
      <c r="X88" s="195">
        <f t="shared" ref="X88:X131" si="16">U88+V88+W88</f>
        <v>-47056485.60546875</v>
      </c>
      <c r="Y88" s="196">
        <f t="shared" si="15"/>
        <v>0</v>
      </c>
      <c r="AC88" s="251">
        <f t="shared" si="14"/>
        <v>1.996094447765264</v>
      </c>
    </row>
    <row r="89" spans="1:35" ht="15.6" x14ac:dyDescent="0.3">
      <c r="A89" s="194">
        <v>2018</v>
      </c>
      <c r="B89" s="253">
        <f>(B141/Population_Tables!O7)*Population_Tables!C7</f>
        <v>61525473746786.023</v>
      </c>
      <c r="C89" s="253">
        <f>(C141/Population_Tables!P7)*Population_Tables!D7</f>
        <v>18424023527444.137</v>
      </c>
      <c r="D89" s="253">
        <f>(D141/Population_Tables!Q7)*Population_Tables!E7</f>
        <v>21062266542630.672</v>
      </c>
      <c r="E89" s="253">
        <f>(E141/Population_Tables!R7)*Population_Tables!F7</f>
        <v>16591639669977.479</v>
      </c>
      <c r="F89" s="253">
        <f>(F141/Population_Tables!S7)*Population_Tables!G7</f>
        <v>0</v>
      </c>
      <c r="G89" s="253">
        <f>(G141/Population_Tables!T7)*Population_Tables!H7</f>
        <v>0</v>
      </c>
      <c r="H89" s="253">
        <f>(H141/Population_Tables!U7)*Population_Tables!I7</f>
        <v>0</v>
      </c>
      <c r="I89" s="253">
        <f>(I141/Population_Tables!V7)*Population_Tables!J7</f>
        <v>0</v>
      </c>
      <c r="J89" s="253">
        <f>(J141/Population_Tables!W7)*Population_Tables!K7</f>
        <v>0</v>
      </c>
      <c r="K89" s="253">
        <f>(K141/Population_Tables!X7)*Population_Tables!L7</f>
        <v>0</v>
      </c>
      <c r="N89" s="195">
        <f t="shared" si="9"/>
        <v>21062266542630.672</v>
      </c>
      <c r="O89" s="195">
        <f t="shared" si="9"/>
        <v>16591639669977.479</v>
      </c>
      <c r="P89" s="195">
        <f t="shared" si="10"/>
        <v>18424023527444.137</v>
      </c>
      <c r="Q89" s="195">
        <f t="shared" si="11"/>
        <v>56077929740052.289</v>
      </c>
      <c r="R89" s="196">
        <f t="shared" si="12"/>
        <v>0.37558923163291213</v>
      </c>
      <c r="U89" s="195">
        <f t="shared" ref="U89:U131" si="17">N89-N141</f>
        <v>0</v>
      </c>
      <c r="V89" s="195">
        <f t="shared" si="13"/>
        <v>-47068254.451171875</v>
      </c>
      <c r="W89" s="195">
        <f t="shared" si="13"/>
        <v>0</v>
      </c>
      <c r="X89" s="195">
        <f t="shared" si="16"/>
        <v>-47068254.451171875</v>
      </c>
      <c r="Y89" s="196">
        <f t="shared" si="15"/>
        <v>0</v>
      </c>
      <c r="AC89" s="251">
        <f t="shared" si="14"/>
        <v>1.9962477250685833</v>
      </c>
    </row>
    <row r="90" spans="1:35" ht="16.2" thickBot="1" x14ac:dyDescent="0.35">
      <c r="A90" s="198">
        <v>2019</v>
      </c>
      <c r="B90" s="253">
        <f>(B142/Population_Tables!O8)*Population_Tables!C8</f>
        <v>63465051557823.313</v>
      </c>
      <c r="C90" s="253">
        <f>(C142/Population_Tables!P8)*Population_Tables!D8</f>
        <v>18564855476495.68</v>
      </c>
      <c r="D90" s="253">
        <f>(D142/Population_Tables!Q8)*Population_Tables!E8</f>
        <v>21843076283037.773</v>
      </c>
      <c r="E90" s="253">
        <f>(E142/Population_Tables!R8)*Population_Tables!F8</f>
        <v>17050196302954.852</v>
      </c>
      <c r="F90" s="253">
        <f>(F142/Population_Tables!S8)*Population_Tables!G8</f>
        <v>0</v>
      </c>
      <c r="G90" s="253">
        <f>(G142/Population_Tables!T8)*Population_Tables!H8</f>
        <v>0</v>
      </c>
      <c r="H90" s="253">
        <f>(H142/Population_Tables!U8)*Population_Tables!I8</f>
        <v>0</v>
      </c>
      <c r="I90" s="253">
        <f>(I142/Population_Tables!V8)*Population_Tables!J8</f>
        <v>0</v>
      </c>
      <c r="J90" s="253">
        <f>(J142/Population_Tables!W8)*Population_Tables!K8</f>
        <v>0</v>
      </c>
      <c r="K90" s="253">
        <f>(K142/Population_Tables!X8)*Population_Tables!L8</f>
        <v>0</v>
      </c>
      <c r="N90" s="195">
        <f t="shared" si="9"/>
        <v>21843076283037.773</v>
      </c>
      <c r="O90" s="195">
        <f t="shared" si="9"/>
        <v>17050196302954.852</v>
      </c>
      <c r="P90" s="195">
        <f t="shared" si="10"/>
        <v>18564855476495.68</v>
      </c>
      <c r="Q90" s="195">
        <f t="shared" si="11"/>
        <v>57458128062488.305</v>
      </c>
      <c r="R90" s="199">
        <f t="shared" si="12"/>
        <v>0.38015642032894709</v>
      </c>
      <c r="U90" s="200">
        <f t="shared" si="17"/>
        <v>0</v>
      </c>
      <c r="V90" s="195">
        <f t="shared" si="13"/>
        <v>-47057141.62109375</v>
      </c>
      <c r="W90" s="200">
        <f t="shared" si="13"/>
        <v>0</v>
      </c>
      <c r="X90" s="195">
        <f t="shared" si="16"/>
        <v>-47057141.62109375</v>
      </c>
      <c r="Y90" s="199">
        <f t="shared" si="15"/>
        <v>0</v>
      </c>
      <c r="AC90" s="251">
        <f t="shared" si="14"/>
        <v>1.9997219321515223</v>
      </c>
    </row>
    <row r="91" spans="1:35" ht="15.6" x14ac:dyDescent="0.3">
      <c r="A91" s="201">
        <v>2020</v>
      </c>
      <c r="B91" s="253">
        <f>(B143/Population_Tables!O9)*Population_Tables!C9</f>
        <v>65761646126463.141</v>
      </c>
      <c r="C91" s="253">
        <f>(C143/Population_Tables!P9)*Population_Tables!D9</f>
        <v>18709388537987.672</v>
      </c>
      <c r="D91" s="253">
        <f>(D143/Population_Tables!Q9)*Population_Tables!E9</f>
        <v>22663287312209.648</v>
      </c>
      <c r="E91" s="253">
        <f>(E143/Population_Tables!R9)*Population_Tables!F9</f>
        <v>17482120451040.58</v>
      </c>
      <c r="F91" s="253">
        <f>(F143/Population_Tables!S9)*Population_Tables!G9</f>
        <v>0</v>
      </c>
      <c r="G91" s="253">
        <f>(G143/Population_Tables!T9)*Population_Tables!H9</f>
        <v>0</v>
      </c>
      <c r="H91" s="253">
        <f>(H143/Population_Tables!U9)*Population_Tables!I9</f>
        <v>0</v>
      </c>
      <c r="I91" s="253">
        <f>(I143/Population_Tables!V9)*Population_Tables!J9</f>
        <v>0</v>
      </c>
      <c r="J91" s="253">
        <f>(J143/Population_Tables!W9)*Population_Tables!K9</f>
        <v>0</v>
      </c>
      <c r="K91" s="253">
        <f>(K143/Population_Tables!X9)*Population_Tables!L9</f>
        <v>0</v>
      </c>
      <c r="L91" s="202"/>
      <c r="M91" s="202"/>
      <c r="N91" s="195">
        <f t="shared" si="9"/>
        <v>22663287312209.648</v>
      </c>
      <c r="O91" s="195">
        <f t="shared" si="9"/>
        <v>17482120451040.58</v>
      </c>
      <c r="P91" s="195">
        <f t="shared" si="10"/>
        <v>18709388537987.672</v>
      </c>
      <c r="Q91" s="195">
        <f t="shared" si="11"/>
        <v>58854796301237.898</v>
      </c>
      <c r="R91" s="203">
        <f t="shared" si="12"/>
        <v>0.38507120466803774</v>
      </c>
      <c r="S91" s="202"/>
      <c r="T91" s="202"/>
      <c r="U91" s="204">
        <f>N91-N143</f>
        <v>0</v>
      </c>
      <c r="V91" s="195">
        <f t="shared" si="13"/>
        <v>-47052503.4296875</v>
      </c>
      <c r="W91" s="204">
        <f t="shared" si="13"/>
        <v>0</v>
      </c>
      <c r="X91" s="195">
        <f t="shared" si="16"/>
        <v>-47052503.4296875</v>
      </c>
      <c r="Y91" s="205">
        <f>U91/X91</f>
        <v>0</v>
      </c>
      <c r="AC91" s="251">
        <f t="shared" si="14"/>
        <v>2.0164343130322075</v>
      </c>
    </row>
    <row r="92" spans="1:35" ht="15.6" x14ac:dyDescent="0.3">
      <c r="A92" s="206">
        <v>2021</v>
      </c>
      <c r="B92" s="253">
        <f>(B144/Population_Tables!O10)*Population_Tables!C10</f>
        <v>67482762469795.508</v>
      </c>
      <c r="C92" s="253">
        <f>(C144/Population_Tables!P10)*Population_Tables!D10</f>
        <v>18877015491428.137</v>
      </c>
      <c r="D92" s="253">
        <f>(D144/Population_Tables!Q10)*Population_Tables!E10</f>
        <v>23548542813863.895</v>
      </c>
      <c r="E92" s="253">
        <f>(E144/Population_Tables!R10)*Population_Tables!F10</f>
        <v>17909622388274.227</v>
      </c>
      <c r="F92" s="253">
        <f>(F144/Population_Tables!S10)*Population_Tables!G10</f>
        <v>0</v>
      </c>
      <c r="G92" s="253">
        <f>(G144/Population_Tables!T10)*Population_Tables!H10</f>
        <v>0</v>
      </c>
      <c r="H92" s="253">
        <f>(H144/Population_Tables!U10)*Population_Tables!I10</f>
        <v>0</v>
      </c>
      <c r="I92" s="253">
        <f>(I144/Population_Tables!V10)*Population_Tables!J10</f>
        <v>0</v>
      </c>
      <c r="J92" s="253">
        <f>(J144/Population_Tables!W10)*Population_Tables!K10</f>
        <v>0</v>
      </c>
      <c r="K92" s="253">
        <f>(K144/Population_Tables!X10)*Population_Tables!L10</f>
        <v>0</v>
      </c>
      <c r="L92" s="170"/>
      <c r="M92" s="170"/>
      <c r="N92" s="195">
        <f t="shared" si="9"/>
        <v>23548542813863.895</v>
      </c>
      <c r="O92" s="195">
        <f t="shared" si="9"/>
        <v>17909622388274.227</v>
      </c>
      <c r="P92" s="195">
        <f t="shared" si="10"/>
        <v>18877015491428.137</v>
      </c>
      <c r="Q92" s="195">
        <f t="shared" si="11"/>
        <v>60335180693566.258</v>
      </c>
      <c r="R92" s="196">
        <f t="shared" si="12"/>
        <v>0.39029538891187832</v>
      </c>
      <c r="S92" s="170"/>
      <c r="T92" s="170"/>
      <c r="U92" s="195">
        <f t="shared" si="17"/>
        <v>27904021468.207031</v>
      </c>
      <c r="V92" s="195">
        <f t="shared" si="13"/>
        <v>21357865189.636719</v>
      </c>
      <c r="W92" s="195">
        <f t="shared" si="13"/>
        <v>19559500300.597656</v>
      </c>
      <c r="X92" s="195">
        <f t="shared" si="16"/>
        <v>68821386958.441406</v>
      </c>
      <c r="Y92" s="207">
        <f t="shared" si="15"/>
        <v>0.40545566867254795</v>
      </c>
      <c r="AC92" s="251">
        <f t="shared" si="14"/>
        <v>1.2384045215007158</v>
      </c>
    </row>
    <row r="93" spans="1:35" ht="15.6" x14ac:dyDescent="0.3">
      <c r="A93" s="206">
        <v>2022</v>
      </c>
      <c r="B93" s="253">
        <f>(B145/Population_Tables!O11)*Population_Tables!C11</f>
        <v>69589911906807.297</v>
      </c>
      <c r="C93" s="253">
        <f>(C145/Population_Tables!P11)*Population_Tables!D11</f>
        <v>19053771978529</v>
      </c>
      <c r="D93" s="253">
        <f>(D145/Population_Tables!Q11)*Population_Tables!E11</f>
        <v>24475729618471.891</v>
      </c>
      <c r="E93" s="253">
        <f>(E145/Population_Tables!R11)*Population_Tables!F11</f>
        <v>18319998894372.688</v>
      </c>
      <c r="F93" s="253">
        <f>(F145/Population_Tables!S11)*Population_Tables!G11</f>
        <v>0</v>
      </c>
      <c r="G93" s="253">
        <f>(G145/Population_Tables!T11)*Population_Tables!H11</f>
        <v>0</v>
      </c>
      <c r="H93" s="253">
        <f>(H145/Population_Tables!U11)*Population_Tables!I11</f>
        <v>0</v>
      </c>
      <c r="I93" s="253">
        <f>(I145/Population_Tables!V11)*Population_Tables!J11</f>
        <v>0</v>
      </c>
      <c r="J93" s="253">
        <f>(J145/Population_Tables!W11)*Population_Tables!K11</f>
        <v>0</v>
      </c>
      <c r="K93" s="253">
        <f>(K145/Population_Tables!X11)*Population_Tables!L11</f>
        <v>0</v>
      </c>
      <c r="L93" s="170"/>
      <c r="M93" s="170"/>
      <c r="N93" s="195">
        <f t="shared" si="9"/>
        <v>24475729618471.891</v>
      </c>
      <c r="O93" s="195">
        <f t="shared" si="9"/>
        <v>18319998894372.688</v>
      </c>
      <c r="P93" s="195">
        <f t="shared" si="10"/>
        <v>19053771978529</v>
      </c>
      <c r="Q93" s="195">
        <f t="shared" si="11"/>
        <v>61849500491373.578</v>
      </c>
      <c r="R93" s="196">
        <f t="shared" si="12"/>
        <v>0.39573043313236828</v>
      </c>
      <c r="S93" s="170"/>
      <c r="T93" s="170"/>
      <c r="U93" s="195">
        <f t="shared" si="17"/>
        <v>62859732626.632813</v>
      </c>
      <c r="V93" s="195">
        <f t="shared" si="13"/>
        <v>50659121144.425781</v>
      </c>
      <c r="W93" s="195">
        <f t="shared" si="13"/>
        <v>44880863406.320313</v>
      </c>
      <c r="X93" s="195">
        <f t="shared" si="16"/>
        <v>158399717177.37891</v>
      </c>
      <c r="Y93" s="207">
        <f t="shared" si="15"/>
        <v>0.39684245494101061</v>
      </c>
      <c r="AC93" s="251">
        <f t="shared" si="14"/>
        <v>1.2392296272128782</v>
      </c>
    </row>
    <row r="94" spans="1:35" ht="15.6" x14ac:dyDescent="0.3">
      <c r="A94" s="206">
        <v>2023</v>
      </c>
      <c r="B94" s="253">
        <f>(B146/Population_Tables!O12)*Population_Tables!C12</f>
        <v>71743348520621.469</v>
      </c>
      <c r="C94" s="253">
        <f>(C146/Population_Tables!P12)*Population_Tables!D12</f>
        <v>19238702483678.504</v>
      </c>
      <c r="D94" s="253">
        <f>(D146/Population_Tables!Q12)*Population_Tables!E12</f>
        <v>25442701724053.828</v>
      </c>
      <c r="E94" s="253">
        <f>(E146/Population_Tables!R12)*Population_Tables!F12</f>
        <v>18712922067248.164</v>
      </c>
      <c r="F94" s="253">
        <f>(F146/Population_Tables!S12)*Population_Tables!G12</f>
        <v>0</v>
      </c>
      <c r="G94" s="253">
        <f>(G146/Population_Tables!T12)*Population_Tables!H12</f>
        <v>0</v>
      </c>
      <c r="H94" s="253">
        <f>(H146/Population_Tables!U12)*Population_Tables!I12</f>
        <v>0</v>
      </c>
      <c r="I94" s="253">
        <f>(I146/Population_Tables!V12)*Population_Tables!J12</f>
        <v>0</v>
      </c>
      <c r="J94" s="253">
        <f>(J146/Population_Tables!W12)*Population_Tables!K12</f>
        <v>0</v>
      </c>
      <c r="K94" s="253">
        <f>(K146/Population_Tables!X12)*Population_Tables!L12</f>
        <v>0</v>
      </c>
      <c r="L94" s="170"/>
      <c r="M94" s="170"/>
      <c r="N94" s="195">
        <f t="shared" si="9"/>
        <v>25442701724053.828</v>
      </c>
      <c r="O94" s="195">
        <f t="shared" si="9"/>
        <v>18712922067248.164</v>
      </c>
      <c r="P94" s="195">
        <f t="shared" si="10"/>
        <v>19238702483678.504</v>
      </c>
      <c r="Q94" s="195">
        <f t="shared" si="11"/>
        <v>63394326274980.492</v>
      </c>
      <c r="R94" s="196">
        <f t="shared" si="12"/>
        <v>0.4013403599194833</v>
      </c>
      <c r="S94" s="170"/>
      <c r="T94" s="170"/>
      <c r="U94" s="195">
        <f>N94-N146</f>
        <v>104981969246.07031</v>
      </c>
      <c r="V94" s="195">
        <f t="shared" si="13"/>
        <v>86723458763.089844</v>
      </c>
      <c r="W94" s="195">
        <f t="shared" si="13"/>
        <v>75175294497.988281</v>
      </c>
      <c r="X94" s="195">
        <f t="shared" si="16"/>
        <v>266880722507.14844</v>
      </c>
      <c r="Y94" s="207">
        <f t="shared" si="15"/>
        <v>0.39336662558405039</v>
      </c>
      <c r="AC94" s="251">
        <f t="shared" si="14"/>
        <v>1.2417443484367523</v>
      </c>
    </row>
    <row r="95" spans="1:35" ht="15.6" x14ac:dyDescent="0.3">
      <c r="A95" s="206">
        <v>2024</v>
      </c>
      <c r="B95" s="253">
        <f>(B147/Population_Tables!O13)*Population_Tables!C13</f>
        <v>73944532508411.219</v>
      </c>
      <c r="C95" s="253">
        <f>(C147/Population_Tables!P13)*Population_Tables!D13</f>
        <v>19431006432775.359</v>
      </c>
      <c r="D95" s="253">
        <f>(D147/Population_Tables!Q13)*Population_Tables!E13</f>
        <v>26447218774646.441</v>
      </c>
      <c r="E95" s="253">
        <f>(E147/Population_Tables!R13)*Population_Tables!F13</f>
        <v>19088261355847.492</v>
      </c>
      <c r="F95" s="253">
        <f>(F147/Population_Tables!S13)*Population_Tables!G13</f>
        <v>0</v>
      </c>
      <c r="G95" s="253">
        <f>(G147/Population_Tables!T13)*Population_Tables!H13</f>
        <v>0</v>
      </c>
      <c r="H95" s="253">
        <f>(H147/Population_Tables!U13)*Population_Tables!I13</f>
        <v>0</v>
      </c>
      <c r="I95" s="253">
        <f>(I147/Population_Tables!V13)*Population_Tables!J13</f>
        <v>0</v>
      </c>
      <c r="J95" s="253">
        <f>(J147/Population_Tables!W13)*Population_Tables!K13</f>
        <v>0</v>
      </c>
      <c r="K95" s="253">
        <f>(K147/Population_Tables!X13)*Population_Tables!L13</f>
        <v>0</v>
      </c>
      <c r="L95" s="170"/>
      <c r="M95" s="170"/>
      <c r="N95" s="195">
        <f t="shared" si="9"/>
        <v>26447218774646.441</v>
      </c>
      <c r="O95" s="195">
        <f t="shared" si="9"/>
        <v>19088261355847.492</v>
      </c>
      <c r="P95" s="195">
        <f t="shared" si="10"/>
        <v>19431006432775.359</v>
      </c>
      <c r="Q95" s="195">
        <f t="shared" si="11"/>
        <v>64966486563269.289</v>
      </c>
      <c r="R95" s="196">
        <f t="shared" si="12"/>
        <v>0.40709018101032962</v>
      </c>
      <c r="S95" s="170"/>
      <c r="T95" s="170"/>
      <c r="U95" s="195">
        <f t="shared" si="17"/>
        <v>154291213113.88281</v>
      </c>
      <c r="V95" s="195">
        <f t="shared" si="13"/>
        <v>128614972482.42188</v>
      </c>
      <c r="W95" s="195">
        <f t="shared" si="13"/>
        <v>109808940266.89453</v>
      </c>
      <c r="X95" s="195">
        <f t="shared" si="16"/>
        <v>392715125863.19922</v>
      </c>
      <c r="Y95" s="207">
        <f t="shared" si="15"/>
        <v>0.39288329619274598</v>
      </c>
      <c r="AC95" s="251">
        <f t="shared" si="14"/>
        <v>1.2481494903413053</v>
      </c>
    </row>
    <row r="96" spans="1:35" ht="15.6" x14ac:dyDescent="0.3">
      <c r="A96" s="206">
        <v>2025</v>
      </c>
      <c r="B96" s="253">
        <f>(B148/Population_Tables!O14)*Population_Tables!C14</f>
        <v>76227286356917.734</v>
      </c>
      <c r="C96" s="253">
        <f>(C148/Population_Tables!P14)*Population_Tables!D14</f>
        <v>19453911576684.234</v>
      </c>
      <c r="D96" s="253">
        <f>(D148/Population_Tables!Q14)*Population_Tables!E14</f>
        <v>27473892768962.086</v>
      </c>
      <c r="E96" s="253">
        <f>(E148/Population_Tables!R14)*Population_Tables!F14</f>
        <v>19420942450385.805</v>
      </c>
      <c r="F96" s="253">
        <f>(F148/Population_Tables!S14)*Population_Tables!G14</f>
        <v>0</v>
      </c>
      <c r="G96" s="253">
        <f>(G148/Population_Tables!T14)*Population_Tables!H14</f>
        <v>0</v>
      </c>
      <c r="H96" s="253">
        <f>(H148/Population_Tables!U14)*Population_Tables!I14</f>
        <v>0</v>
      </c>
      <c r="I96" s="253">
        <f>(I148/Population_Tables!V14)*Population_Tables!J14</f>
        <v>0</v>
      </c>
      <c r="J96" s="253">
        <f>(J148/Population_Tables!W14)*Population_Tables!K14</f>
        <v>0</v>
      </c>
      <c r="K96" s="253">
        <f>(K148/Population_Tables!X14)*Population_Tables!L14</f>
        <v>0</v>
      </c>
      <c r="L96" s="170"/>
      <c r="M96" s="170"/>
      <c r="N96" s="195">
        <f t="shared" si="9"/>
        <v>27473892768962.086</v>
      </c>
      <c r="O96" s="195">
        <f t="shared" si="9"/>
        <v>19420942450385.805</v>
      </c>
      <c r="P96" s="195">
        <f t="shared" si="10"/>
        <v>19453911576684.234</v>
      </c>
      <c r="Q96" s="195">
        <f t="shared" si="11"/>
        <v>66348746796032.125</v>
      </c>
      <c r="R96" s="196">
        <f t="shared" si="12"/>
        <v>0.41408307007548656</v>
      </c>
      <c r="S96" s="170"/>
      <c r="T96" s="170"/>
      <c r="U96" s="195">
        <f t="shared" si="17"/>
        <v>210824490394.85547</v>
      </c>
      <c r="V96" s="195">
        <f t="shared" si="13"/>
        <v>175349363522.93359</v>
      </c>
      <c r="W96" s="195">
        <f t="shared" si="13"/>
        <v>146971024805.83594</v>
      </c>
      <c r="X96" s="195">
        <f t="shared" si="16"/>
        <v>533144878723.625</v>
      </c>
      <c r="Y96" s="207">
        <f t="shared" si="15"/>
        <v>0.39543564762279937</v>
      </c>
      <c r="AC96" s="251">
        <f t="shared" si="14"/>
        <v>1.2619608536223557</v>
      </c>
    </row>
    <row r="97" spans="1:29" ht="15.6" x14ac:dyDescent="0.3">
      <c r="A97" s="206">
        <v>2026</v>
      </c>
      <c r="B97" s="253">
        <f>(B149/Population_Tables!O15)*Population_Tables!C15</f>
        <v>78496863450925.188</v>
      </c>
      <c r="C97" s="253">
        <f>(C149/Population_Tables!P15)*Population_Tables!D15</f>
        <v>19835315547102.723</v>
      </c>
      <c r="D97" s="253">
        <f>(D149/Population_Tables!Q15)*Population_Tables!E15</f>
        <v>28560856810583.926</v>
      </c>
      <c r="E97" s="253">
        <f>(E149/Population_Tables!R15)*Population_Tables!F15</f>
        <v>19786563642905.535</v>
      </c>
      <c r="F97" s="253">
        <f>(F149/Population_Tables!S15)*Population_Tables!G15</f>
        <v>0</v>
      </c>
      <c r="G97" s="253">
        <f>(G149/Population_Tables!T15)*Population_Tables!H15</f>
        <v>0</v>
      </c>
      <c r="H97" s="253">
        <f>(H149/Population_Tables!U15)*Population_Tables!I15</f>
        <v>0</v>
      </c>
      <c r="I97" s="253">
        <f>(I149/Population_Tables!V15)*Population_Tables!J15</f>
        <v>0</v>
      </c>
      <c r="J97" s="253">
        <f>(J149/Population_Tables!W15)*Population_Tables!K15</f>
        <v>0</v>
      </c>
      <c r="K97" s="253">
        <f>(K149/Population_Tables!X15)*Population_Tables!L15</f>
        <v>0</v>
      </c>
      <c r="L97" s="170"/>
      <c r="M97" s="170"/>
      <c r="N97" s="195">
        <f t="shared" si="9"/>
        <v>28560856810583.926</v>
      </c>
      <c r="O97" s="195">
        <f t="shared" si="9"/>
        <v>19786563642905.535</v>
      </c>
      <c r="P97" s="195">
        <f t="shared" si="10"/>
        <v>19835315547102.723</v>
      </c>
      <c r="Q97" s="195">
        <f t="shared" si="11"/>
        <v>68182736000592.188</v>
      </c>
      <c r="R97" s="196">
        <f t="shared" si="12"/>
        <v>0.41888692777502895</v>
      </c>
      <c r="S97" s="170"/>
      <c r="T97" s="170"/>
      <c r="U97" s="195">
        <f>N97-N149</f>
        <v>275483173317.29297</v>
      </c>
      <c r="V97" s="195">
        <f t="shared" si="13"/>
        <v>227033472870.72266</v>
      </c>
      <c r="W97" s="195">
        <f t="shared" si="13"/>
        <v>190341643298.38281</v>
      </c>
      <c r="X97" s="195">
        <f t="shared" si="16"/>
        <v>692858289486.39844</v>
      </c>
      <c r="Y97" s="207">
        <f t="shared" si="15"/>
        <v>0.39760392203938694</v>
      </c>
      <c r="AC97" s="251">
        <f t="shared" si="14"/>
        <v>1.2676033667029725</v>
      </c>
    </row>
    <row r="98" spans="1:29" ht="15.6" x14ac:dyDescent="0.3">
      <c r="A98" s="206">
        <v>2027</v>
      </c>
      <c r="B98" s="253">
        <f>(B150/Population_Tables!O16)*Population_Tables!C16</f>
        <v>80851006542550.281</v>
      </c>
      <c r="C98" s="253">
        <f>(C150/Population_Tables!P16)*Population_Tables!D16</f>
        <v>20046524214362.012</v>
      </c>
      <c r="D98" s="253">
        <f>(D150/Population_Tables!Q16)*Population_Tables!E16</f>
        <v>29666773031677.625</v>
      </c>
      <c r="E98" s="253">
        <f>(E150/Population_Tables!R16)*Population_Tables!F16</f>
        <v>20110210268621.207</v>
      </c>
      <c r="F98" s="253">
        <f>(F150/Population_Tables!S16)*Population_Tables!G16</f>
        <v>0</v>
      </c>
      <c r="G98" s="253">
        <f>(G150/Population_Tables!T16)*Population_Tables!H16</f>
        <v>0</v>
      </c>
      <c r="H98" s="253">
        <f>(H150/Population_Tables!U16)*Population_Tables!I16</f>
        <v>0</v>
      </c>
      <c r="I98" s="253">
        <f>(I150/Population_Tables!V16)*Population_Tables!J16</f>
        <v>0</v>
      </c>
      <c r="J98" s="253">
        <f>(J150/Population_Tables!W16)*Population_Tables!K16</f>
        <v>0</v>
      </c>
      <c r="K98" s="253">
        <f>(K150/Population_Tables!X16)*Population_Tables!L16</f>
        <v>0</v>
      </c>
      <c r="L98" s="170"/>
      <c r="M98" s="170"/>
      <c r="N98" s="195">
        <f t="shared" si="9"/>
        <v>29666773031677.625</v>
      </c>
      <c r="O98" s="195">
        <f t="shared" si="9"/>
        <v>20110210268621.207</v>
      </c>
      <c r="P98" s="195">
        <f t="shared" si="10"/>
        <v>20046524214362.012</v>
      </c>
      <c r="Q98" s="195">
        <f t="shared" si="11"/>
        <v>69823507514660.844</v>
      </c>
      <c r="R98" s="196">
        <f t="shared" si="12"/>
        <v>0.42488230808869765</v>
      </c>
      <c r="S98" s="170"/>
      <c r="T98" s="170"/>
      <c r="U98" s="195">
        <f t="shared" si="17"/>
        <v>348682800902.96094</v>
      </c>
      <c r="V98" s="195">
        <f t="shared" si="13"/>
        <v>282633377776.54688</v>
      </c>
      <c r="W98" s="195">
        <f t="shared" si="13"/>
        <v>235777644174.91406</v>
      </c>
      <c r="X98" s="195">
        <f t="shared" si="16"/>
        <v>867093822854.42188</v>
      </c>
      <c r="Y98" s="207">
        <f t="shared" si="15"/>
        <v>0.40212811083709221</v>
      </c>
      <c r="AC98" s="251">
        <f t="shared" si="14"/>
        <v>1.2769302407532179</v>
      </c>
    </row>
    <row r="99" spans="1:29" ht="15.6" x14ac:dyDescent="0.3">
      <c r="A99" s="206">
        <v>2028</v>
      </c>
      <c r="B99" s="253">
        <f>(B151/Population_Tables!O17)*Population_Tables!C17</f>
        <v>83260026046330.703</v>
      </c>
      <c r="C99" s="253">
        <f>(C151/Population_Tables!P17)*Population_Tables!D17</f>
        <v>20263494937855.832</v>
      </c>
      <c r="D99" s="253">
        <f>(D151/Population_Tables!Q17)*Population_Tables!E17</f>
        <v>30803054784632.219</v>
      </c>
      <c r="E99" s="253">
        <f>(E151/Population_Tables!R17)*Population_Tables!F17</f>
        <v>20417703992257.211</v>
      </c>
      <c r="F99" s="253">
        <f>(F151/Population_Tables!S17)*Population_Tables!G17</f>
        <v>0</v>
      </c>
      <c r="G99" s="253">
        <f>(G151/Population_Tables!T17)*Population_Tables!H17</f>
        <v>0</v>
      </c>
      <c r="H99" s="253">
        <f>(H151/Population_Tables!U17)*Population_Tables!I17</f>
        <v>0</v>
      </c>
      <c r="I99" s="253">
        <f>(I151/Population_Tables!V17)*Population_Tables!J17</f>
        <v>0</v>
      </c>
      <c r="J99" s="253">
        <f>(J151/Population_Tables!W17)*Population_Tables!K17</f>
        <v>0</v>
      </c>
      <c r="K99" s="253">
        <f>(K151/Population_Tables!X17)*Population_Tables!L17</f>
        <v>0</v>
      </c>
      <c r="L99" s="170"/>
      <c r="M99" s="170"/>
      <c r="N99" s="195">
        <f t="shared" si="9"/>
        <v>30803054784632.219</v>
      </c>
      <c r="O99" s="195">
        <f t="shared" si="9"/>
        <v>20417703992257.211</v>
      </c>
      <c r="P99" s="195">
        <f t="shared" si="10"/>
        <v>20263494937855.832</v>
      </c>
      <c r="Q99" s="195">
        <f t="shared" si="11"/>
        <v>71484253714745.25</v>
      </c>
      <c r="R99" s="196">
        <f t="shared" si="12"/>
        <v>0.4309068526832559</v>
      </c>
      <c r="S99" s="170"/>
      <c r="T99" s="170"/>
      <c r="U99" s="195">
        <f t="shared" si="17"/>
        <v>430933373589.67578</v>
      </c>
      <c r="V99" s="195">
        <f t="shared" si="13"/>
        <v>342270022939.33203</v>
      </c>
      <c r="W99" s="195">
        <f t="shared" si="13"/>
        <v>284608355186.20703</v>
      </c>
      <c r="X99" s="195">
        <f t="shared" si="16"/>
        <v>1057811751715.2148</v>
      </c>
      <c r="Y99" s="207">
        <f t="shared" si="15"/>
        <v>0.40738191165954463</v>
      </c>
      <c r="AC99" s="251">
        <f t="shared" si="14"/>
        <v>1.2856784856494761</v>
      </c>
    </row>
    <row r="100" spans="1:29" ht="15.6" x14ac:dyDescent="0.3">
      <c r="A100" s="206">
        <v>2029</v>
      </c>
      <c r="B100" s="253">
        <f>(B152/Population_Tables!O18)*Population_Tables!C18</f>
        <v>85726626917634.719</v>
      </c>
      <c r="C100" s="253">
        <f>(C152/Population_Tables!P18)*Population_Tables!D18</f>
        <v>20486161018834.992</v>
      </c>
      <c r="D100" s="253">
        <f>(D152/Population_Tables!Q18)*Population_Tables!E18</f>
        <v>31967746536644.613</v>
      </c>
      <c r="E100" s="253">
        <f>(E152/Population_Tables!R18)*Population_Tables!F18</f>
        <v>20709915065996.832</v>
      </c>
      <c r="F100" s="253">
        <f>(F152/Population_Tables!S18)*Population_Tables!G18</f>
        <v>0</v>
      </c>
      <c r="G100" s="253">
        <f>(G152/Population_Tables!T18)*Population_Tables!H18</f>
        <v>0</v>
      </c>
      <c r="H100" s="253">
        <f>(H152/Population_Tables!U18)*Population_Tables!I18</f>
        <v>0</v>
      </c>
      <c r="I100" s="253">
        <f>(I152/Population_Tables!V18)*Population_Tables!J18</f>
        <v>0</v>
      </c>
      <c r="J100" s="253">
        <f>(J152/Population_Tables!W18)*Population_Tables!K18</f>
        <v>0</v>
      </c>
      <c r="K100" s="253">
        <f>(K152/Population_Tables!X18)*Population_Tables!L18</f>
        <v>0</v>
      </c>
      <c r="L100" s="170"/>
      <c r="M100" s="170"/>
      <c r="N100" s="195">
        <f t="shared" si="9"/>
        <v>31967746536644.613</v>
      </c>
      <c r="O100" s="195">
        <f t="shared" si="9"/>
        <v>20709915065996.832</v>
      </c>
      <c r="P100" s="195">
        <f t="shared" si="10"/>
        <v>20486161018834.992</v>
      </c>
      <c r="Q100" s="195">
        <f t="shared" si="11"/>
        <v>73163822621476.438</v>
      </c>
      <c r="R100" s="196">
        <f t="shared" si="12"/>
        <v>0.43693379311294805</v>
      </c>
      <c r="S100" s="170"/>
      <c r="T100" s="170"/>
      <c r="U100" s="195">
        <f t="shared" si="17"/>
        <v>522540196324.96484</v>
      </c>
      <c r="V100" s="195">
        <f t="shared" si="13"/>
        <v>406008306032.30469</v>
      </c>
      <c r="W100" s="195">
        <f t="shared" si="13"/>
        <v>336933798375.66406</v>
      </c>
      <c r="X100" s="195">
        <f t="shared" si="16"/>
        <v>1265482300732.9336</v>
      </c>
      <c r="Y100" s="207">
        <f t="shared" si="15"/>
        <v>0.41291782273234756</v>
      </c>
      <c r="AC100" s="251">
        <f t="shared" si="14"/>
        <v>1.294018306810798</v>
      </c>
    </row>
    <row r="101" spans="1:29" ht="15.6" x14ac:dyDescent="0.3">
      <c r="A101" s="206">
        <v>2030</v>
      </c>
      <c r="B101" s="253">
        <f>(B153/Population_Tables!O19)*Population_Tables!C19</f>
        <v>88275886401074.625</v>
      </c>
      <c r="C101" s="253">
        <f>(C153/Population_Tables!P19)*Population_Tables!D19</f>
        <v>20742181066930.602</v>
      </c>
      <c r="D101" s="253">
        <f>(D153/Population_Tables!Q19)*Population_Tables!E19</f>
        <v>33261981756617.934</v>
      </c>
      <c r="E101" s="253">
        <f>(E153/Population_Tables!R19)*Population_Tables!F19</f>
        <v>21075380017571.191</v>
      </c>
      <c r="F101" s="253">
        <f>(F153/Population_Tables!S19)*Population_Tables!G19</f>
        <v>0</v>
      </c>
      <c r="G101" s="253">
        <f>(G153/Population_Tables!T19)*Population_Tables!H19</f>
        <v>0</v>
      </c>
      <c r="H101" s="253">
        <f>(H153/Population_Tables!U19)*Population_Tables!I19</f>
        <v>0</v>
      </c>
      <c r="I101" s="253">
        <f>(I153/Population_Tables!V19)*Population_Tables!J19</f>
        <v>0</v>
      </c>
      <c r="J101" s="253">
        <f>(J153/Population_Tables!W19)*Population_Tables!K19</f>
        <v>0</v>
      </c>
      <c r="K101" s="253">
        <f>(K153/Population_Tables!X19)*Population_Tables!L19</f>
        <v>0</v>
      </c>
      <c r="L101" s="170"/>
      <c r="M101" s="170"/>
      <c r="N101" s="195">
        <f t="shared" si="9"/>
        <v>33261981756617.934</v>
      </c>
      <c r="O101" s="195">
        <f t="shared" si="9"/>
        <v>21075380017571.191</v>
      </c>
      <c r="P101" s="195">
        <f t="shared" si="10"/>
        <v>20742181066930.602</v>
      </c>
      <c r="Q101" s="195">
        <f t="shared" si="11"/>
        <v>75079542841119.719</v>
      </c>
      <c r="R101" s="196">
        <f t="shared" si="12"/>
        <v>0.44302323240041019</v>
      </c>
      <c r="S101" s="170"/>
      <c r="T101" s="170"/>
      <c r="U101" s="195">
        <f t="shared" si="17"/>
        <v>625805591342.86719</v>
      </c>
      <c r="V101" s="195">
        <f t="shared" si="13"/>
        <v>475868656047.42188</v>
      </c>
      <c r="W101" s="195">
        <f t="shared" si="13"/>
        <v>393367445360.46875</v>
      </c>
      <c r="X101" s="195">
        <f t="shared" si="16"/>
        <v>1495041692750.7578</v>
      </c>
      <c r="Y101" s="207">
        <f t="shared" si="15"/>
        <v>0.41858738413604685</v>
      </c>
      <c r="AC101" s="251">
        <f t="shared" si="14"/>
        <v>1.2985462609848539</v>
      </c>
    </row>
    <row r="102" spans="1:29" ht="15.6" x14ac:dyDescent="0.3">
      <c r="A102" s="206">
        <v>2031</v>
      </c>
      <c r="B102" s="253">
        <f>(B154/Population_Tables!O20)*Population_Tables!C20</f>
        <v>90843398193059.719</v>
      </c>
      <c r="C102" s="253">
        <f>(C154/Population_Tables!P20)*Population_Tables!D20</f>
        <v>20948101984815.34</v>
      </c>
      <c r="D102" s="253">
        <f>(D154/Population_Tables!Q20)*Population_Tables!E20</f>
        <v>34374852201270.125</v>
      </c>
      <c r="E102" s="253">
        <f>(E154/Population_Tables!R20)*Population_Tables!F20</f>
        <v>21251600948502.793</v>
      </c>
      <c r="F102" s="253">
        <f>(F154/Population_Tables!S20)*Population_Tables!G20</f>
        <v>0</v>
      </c>
      <c r="G102" s="253">
        <f>(G154/Population_Tables!T20)*Population_Tables!H20</f>
        <v>0</v>
      </c>
      <c r="H102" s="253">
        <f>(H154/Population_Tables!U20)*Population_Tables!I20</f>
        <v>0</v>
      </c>
      <c r="I102" s="253">
        <f>(I154/Population_Tables!V20)*Population_Tables!J20</f>
        <v>0</v>
      </c>
      <c r="J102" s="253">
        <f>(J154/Population_Tables!W20)*Population_Tables!K20</f>
        <v>0</v>
      </c>
      <c r="K102" s="253">
        <f>(K154/Population_Tables!X20)*Population_Tables!L20</f>
        <v>0</v>
      </c>
      <c r="L102" s="170"/>
      <c r="M102" s="170"/>
      <c r="N102" s="195">
        <f t="shared" si="9"/>
        <v>34374852201270.125</v>
      </c>
      <c r="O102" s="195">
        <f t="shared" si="9"/>
        <v>21251600948502.793</v>
      </c>
      <c r="P102" s="195">
        <f t="shared" si="10"/>
        <v>20948101984815.34</v>
      </c>
      <c r="Q102" s="195">
        <f t="shared" si="11"/>
        <v>76574555134588.266</v>
      </c>
      <c r="R102" s="196">
        <f t="shared" si="12"/>
        <v>0.44890697883719355</v>
      </c>
      <c r="S102" s="170"/>
      <c r="T102" s="170"/>
      <c r="U102" s="195">
        <f t="shared" si="17"/>
        <v>735358106371.04688</v>
      </c>
      <c r="V102" s="195">
        <f t="shared" si="13"/>
        <v>545680052684.50391</v>
      </c>
      <c r="W102" s="195">
        <f t="shared" si="13"/>
        <v>452258496025.41016</v>
      </c>
      <c r="X102" s="195">
        <f t="shared" si="16"/>
        <v>1733296655080.9609</v>
      </c>
      <c r="Y102" s="207">
        <f t="shared" si="15"/>
        <v>0.42425403880831863</v>
      </c>
      <c r="AC102" s="251">
        <f t="shared" si="14"/>
        <v>1.3100220597068455</v>
      </c>
    </row>
    <row r="103" spans="1:29" ht="15.6" x14ac:dyDescent="0.3">
      <c r="A103" s="206">
        <v>2032</v>
      </c>
      <c r="B103" s="253">
        <f>(B155/Population_Tables!O21)*Population_Tables!C21</f>
        <v>93497010793185.828</v>
      </c>
      <c r="C103" s="253">
        <f>(C155/Population_Tables!P21)*Population_Tables!D21</f>
        <v>21186604586561.813</v>
      </c>
      <c r="D103" s="253">
        <f>(D155/Population_Tables!Q21)*Population_Tables!E21</f>
        <v>35613336525226.109</v>
      </c>
      <c r="E103" s="253">
        <f>(E155/Population_Tables!R21)*Population_Tables!F21</f>
        <v>21501824889141.094</v>
      </c>
      <c r="F103" s="253">
        <f>(F155/Population_Tables!S21)*Population_Tables!G21</f>
        <v>0</v>
      </c>
      <c r="G103" s="253">
        <f>(G155/Population_Tables!T21)*Population_Tables!H21</f>
        <v>0</v>
      </c>
      <c r="H103" s="253">
        <f>(H155/Population_Tables!U21)*Population_Tables!I21</f>
        <v>0</v>
      </c>
      <c r="I103" s="253">
        <f>(I155/Population_Tables!V21)*Population_Tables!J21</f>
        <v>0</v>
      </c>
      <c r="J103" s="253">
        <f>(J155/Population_Tables!W21)*Population_Tables!K21</f>
        <v>0</v>
      </c>
      <c r="K103" s="253">
        <f>(K155/Population_Tables!X21)*Population_Tables!L21</f>
        <v>0</v>
      </c>
      <c r="L103" s="170"/>
      <c r="M103" s="170"/>
      <c r="N103" s="195">
        <f t="shared" si="9"/>
        <v>35613336525226.109</v>
      </c>
      <c r="O103" s="195">
        <f t="shared" si="9"/>
        <v>21501824889141.094</v>
      </c>
      <c r="P103" s="195">
        <f t="shared" si="10"/>
        <v>21186604586561.813</v>
      </c>
      <c r="Q103" s="195">
        <f t="shared" si="11"/>
        <v>78301766000929.016</v>
      </c>
      <c r="R103" s="196">
        <f t="shared" si="12"/>
        <v>0.45482162592352737</v>
      </c>
      <c r="S103" s="170"/>
      <c r="T103" s="170"/>
      <c r="U103" s="195">
        <f t="shared" si="17"/>
        <v>857161280525.9375</v>
      </c>
      <c r="V103" s="195">
        <f t="shared" si="13"/>
        <v>620751939095.58984</v>
      </c>
      <c r="W103" s="195">
        <f t="shared" si="13"/>
        <v>514818908816.15625</v>
      </c>
      <c r="X103" s="195">
        <f t="shared" si="16"/>
        <v>1992732128437.6836</v>
      </c>
      <c r="Y103" s="207">
        <f t="shared" si="15"/>
        <v>0.43014375504547026</v>
      </c>
      <c r="AC103" s="251">
        <f t="shared" si="14"/>
        <v>1.3178396585618952</v>
      </c>
    </row>
    <row r="104" spans="1:29" ht="15.6" x14ac:dyDescent="0.3">
      <c r="A104" s="206">
        <v>2033</v>
      </c>
      <c r="B104" s="253">
        <f>(B156/Population_Tables!O22)*Population_Tables!C22</f>
        <v>96213152463199.828</v>
      </c>
      <c r="C104" s="253">
        <f>(C156/Population_Tables!P22)*Population_Tables!D22</f>
        <v>21429061033821.43</v>
      </c>
      <c r="D104" s="253">
        <f>(D156/Population_Tables!Q22)*Population_Tables!E22</f>
        <v>36871482668468.5</v>
      </c>
      <c r="E104" s="253">
        <f>(E156/Population_Tables!R22)*Population_Tables!F22</f>
        <v>21738089259870.059</v>
      </c>
      <c r="F104" s="253">
        <f>(F156/Population_Tables!S22)*Population_Tables!G22</f>
        <v>0</v>
      </c>
      <c r="G104" s="253">
        <f>(G156/Population_Tables!T22)*Population_Tables!H22</f>
        <v>0</v>
      </c>
      <c r="H104" s="253">
        <f>(H156/Population_Tables!U22)*Population_Tables!I22</f>
        <v>0</v>
      </c>
      <c r="I104" s="253">
        <f>(I156/Population_Tables!V22)*Population_Tables!J22</f>
        <v>0</v>
      </c>
      <c r="J104" s="253">
        <f>(J156/Population_Tables!W22)*Population_Tables!K22</f>
        <v>0</v>
      </c>
      <c r="K104" s="253">
        <f>(K156/Population_Tables!X22)*Population_Tables!L22</f>
        <v>0</v>
      </c>
      <c r="L104" s="170"/>
      <c r="M104" s="170"/>
      <c r="N104" s="195">
        <f t="shared" si="9"/>
        <v>36871482668468.5</v>
      </c>
      <c r="O104" s="195">
        <f t="shared" si="9"/>
        <v>21738089259870.059</v>
      </c>
      <c r="P104" s="195">
        <f t="shared" si="10"/>
        <v>21429061033821.43</v>
      </c>
      <c r="Q104" s="195">
        <f t="shared" si="11"/>
        <v>80038632962159.984</v>
      </c>
      <c r="R104" s="196">
        <f t="shared" si="12"/>
        <v>0.46067106975578032</v>
      </c>
      <c r="S104" s="170"/>
      <c r="T104" s="170"/>
      <c r="U104" s="195">
        <f t="shared" si="17"/>
        <v>988615875960.46875</v>
      </c>
      <c r="V104" s="195">
        <f t="shared" si="13"/>
        <v>698027125383.72656</v>
      </c>
      <c r="W104" s="195">
        <f t="shared" si="13"/>
        <v>579799424983.20703</v>
      </c>
      <c r="X104" s="195">
        <f t="shared" si="16"/>
        <v>2266442426327.4023</v>
      </c>
      <c r="Y104" s="207">
        <f t="shared" si="15"/>
        <v>0.43619721572298908</v>
      </c>
      <c r="AC104" s="251">
        <f t="shared" si="14"/>
        <v>1.3254690026344722</v>
      </c>
    </row>
    <row r="105" spans="1:29" ht="15.6" x14ac:dyDescent="0.3">
      <c r="A105" s="206">
        <v>2034</v>
      </c>
      <c r="B105" s="253">
        <f>(B157/Population_Tables!O23)*Population_Tables!C23</f>
        <v>98989137746441.25</v>
      </c>
      <c r="C105" s="253">
        <f>(C157/Population_Tables!P23)*Population_Tables!D23</f>
        <v>21674351104399.203</v>
      </c>
      <c r="D105" s="253">
        <f>(D157/Population_Tables!Q23)*Population_Tables!E23</f>
        <v>38145867350553.344</v>
      </c>
      <c r="E105" s="253">
        <f>(E157/Population_Tables!R23)*Population_Tables!F23</f>
        <v>21959851809477.008</v>
      </c>
      <c r="F105" s="253">
        <f>(F157/Population_Tables!S23)*Population_Tables!G23</f>
        <v>0</v>
      </c>
      <c r="G105" s="253">
        <f>(G157/Population_Tables!T23)*Population_Tables!H23</f>
        <v>0</v>
      </c>
      <c r="H105" s="253">
        <f>(H157/Population_Tables!U23)*Population_Tables!I23</f>
        <v>0</v>
      </c>
      <c r="I105" s="253">
        <f>(I157/Population_Tables!V23)*Population_Tables!J23</f>
        <v>0</v>
      </c>
      <c r="J105" s="253">
        <f>(J157/Population_Tables!W23)*Population_Tables!K23</f>
        <v>0</v>
      </c>
      <c r="K105" s="253">
        <f>(K157/Population_Tables!X23)*Population_Tables!L23</f>
        <v>0</v>
      </c>
      <c r="L105" s="170"/>
      <c r="M105" s="170"/>
      <c r="N105" s="195">
        <f t="shared" si="9"/>
        <v>38145867350553.344</v>
      </c>
      <c r="O105" s="195">
        <f t="shared" si="9"/>
        <v>21959851809477.008</v>
      </c>
      <c r="P105" s="195">
        <f t="shared" si="10"/>
        <v>21674351104399.203</v>
      </c>
      <c r="Q105" s="195">
        <f t="shared" si="11"/>
        <v>81780070264429.563</v>
      </c>
      <c r="R105" s="196">
        <f t="shared" si="12"/>
        <v>0.46644454116035383</v>
      </c>
      <c r="S105" s="170"/>
      <c r="T105" s="170"/>
      <c r="U105" s="195">
        <f t="shared" si="17"/>
        <v>1128559449981.3047</v>
      </c>
      <c r="V105" s="195">
        <f t="shared" si="13"/>
        <v>776158005826.18359</v>
      </c>
      <c r="W105" s="195">
        <f t="shared" si="13"/>
        <v>646246543124.16016</v>
      </c>
      <c r="X105" s="195">
        <f t="shared" si="16"/>
        <v>2550963998931.6484</v>
      </c>
      <c r="Y105" s="207">
        <f t="shared" si="15"/>
        <v>0.44240508703923254</v>
      </c>
      <c r="AC105" s="251">
        <f t="shared" si="14"/>
        <v>1.3328734761481769</v>
      </c>
    </row>
    <row r="106" spans="1:29" ht="15.6" x14ac:dyDescent="0.3">
      <c r="A106" s="206">
        <v>2035</v>
      </c>
      <c r="B106" s="253">
        <f>(B158/Population_Tables!O24)*Population_Tables!C24</f>
        <v>101674897500238.64</v>
      </c>
      <c r="C106" s="253">
        <f>(C158/Population_Tables!P24)*Population_Tables!D24</f>
        <v>22068493485072.344</v>
      </c>
      <c r="D106" s="253">
        <f>(D158/Population_Tables!Q24)*Population_Tables!E24</f>
        <v>39412405505644.336</v>
      </c>
      <c r="E106" s="253">
        <f>(E158/Population_Tables!R24)*Population_Tables!F24</f>
        <v>22192092310928.648</v>
      </c>
      <c r="F106" s="253">
        <f>(F158/Population_Tables!S24)*Population_Tables!G24</f>
        <v>0</v>
      </c>
      <c r="G106" s="253">
        <f>(G158/Population_Tables!T24)*Population_Tables!H24</f>
        <v>0</v>
      </c>
      <c r="H106" s="253">
        <f>(H158/Population_Tables!U24)*Population_Tables!I24</f>
        <v>0</v>
      </c>
      <c r="I106" s="253">
        <f>(I158/Population_Tables!V24)*Population_Tables!J24</f>
        <v>0</v>
      </c>
      <c r="J106" s="253">
        <f>(J158/Population_Tables!W24)*Population_Tables!K24</f>
        <v>0</v>
      </c>
      <c r="K106" s="253">
        <f>(K158/Population_Tables!X24)*Population_Tables!L24</f>
        <v>0</v>
      </c>
      <c r="L106" s="170"/>
      <c r="M106" s="170"/>
      <c r="N106" s="195">
        <f t="shared" si="9"/>
        <v>39412405505644.336</v>
      </c>
      <c r="O106" s="195">
        <f t="shared" si="9"/>
        <v>22192092310928.648</v>
      </c>
      <c r="P106" s="195">
        <f t="shared" si="10"/>
        <v>22068493485072.344</v>
      </c>
      <c r="Q106" s="195">
        <f t="shared" si="11"/>
        <v>83672991301645.328</v>
      </c>
      <c r="R106" s="196">
        <f t="shared" si="12"/>
        <v>0.47102900102567913</v>
      </c>
      <c r="S106" s="170"/>
      <c r="T106" s="170"/>
      <c r="U106" s="195">
        <f t="shared" si="17"/>
        <v>1275349349034.0078</v>
      </c>
      <c r="V106" s="195">
        <f t="shared" si="13"/>
        <v>855105891814.00391</v>
      </c>
      <c r="W106" s="195">
        <f t="shared" si="13"/>
        <v>718208540432.82813</v>
      </c>
      <c r="X106" s="195">
        <f t="shared" si="16"/>
        <v>2848663781280.8398</v>
      </c>
      <c r="Y106" s="207">
        <f t="shared" si="15"/>
        <v>0.44770090363580028</v>
      </c>
      <c r="AC106" s="251">
        <f t="shared" si="14"/>
        <v>1.3357876566888425</v>
      </c>
    </row>
    <row r="107" spans="1:29" ht="15.6" x14ac:dyDescent="0.3">
      <c r="A107" s="206">
        <v>2036</v>
      </c>
      <c r="B107" s="253">
        <f>(B159/Population_Tables!O25)*Population_Tables!C25</f>
        <v>104716568704414.61</v>
      </c>
      <c r="C107" s="253">
        <f>(C159/Population_Tables!P25)*Population_Tables!D25</f>
        <v>22170190416961.945</v>
      </c>
      <c r="D107" s="253">
        <f>(D159/Population_Tables!Q25)*Population_Tables!E25</f>
        <v>40730860615849.453</v>
      </c>
      <c r="E107" s="253">
        <f>(E159/Population_Tables!R25)*Population_Tables!F25</f>
        <v>22359585159696.359</v>
      </c>
      <c r="F107" s="253">
        <f>(F159/Population_Tables!S25)*Population_Tables!G25</f>
        <v>0</v>
      </c>
      <c r="G107" s="253">
        <f>(G159/Population_Tables!T25)*Population_Tables!H25</f>
        <v>0</v>
      </c>
      <c r="H107" s="253">
        <f>(H159/Population_Tables!U25)*Population_Tables!I25</f>
        <v>0</v>
      </c>
      <c r="I107" s="253">
        <f>(I159/Population_Tables!V25)*Population_Tables!J25</f>
        <v>0</v>
      </c>
      <c r="J107" s="253">
        <f>(J159/Population_Tables!W25)*Population_Tables!K25</f>
        <v>0</v>
      </c>
      <c r="K107" s="253">
        <f>(K159/Population_Tables!X25)*Population_Tables!L25</f>
        <v>0</v>
      </c>
      <c r="L107" s="170"/>
      <c r="M107" s="170"/>
      <c r="N107" s="195">
        <f t="shared" si="9"/>
        <v>40730860615849.453</v>
      </c>
      <c r="O107" s="195">
        <f t="shared" si="9"/>
        <v>22359585159696.359</v>
      </c>
      <c r="P107" s="195">
        <f t="shared" si="10"/>
        <v>22170190416961.945</v>
      </c>
      <c r="Q107" s="195">
        <f t="shared" si="11"/>
        <v>85260636192507.75</v>
      </c>
      <c r="R107" s="196">
        <f t="shared" si="12"/>
        <v>0.47772175337613376</v>
      </c>
      <c r="S107" s="170"/>
      <c r="T107" s="170"/>
      <c r="U107" s="195">
        <f t="shared" si="17"/>
        <v>1430465169383.4297</v>
      </c>
      <c r="V107" s="195">
        <f t="shared" si="13"/>
        <v>931479145505.35938</v>
      </c>
      <c r="W107" s="195">
        <f t="shared" si="13"/>
        <v>780965769950.85938</v>
      </c>
      <c r="X107" s="195">
        <f t="shared" si="16"/>
        <v>3142910084839.6484</v>
      </c>
      <c r="Y107" s="207">
        <f t="shared" si="15"/>
        <v>0.45514034152090999</v>
      </c>
      <c r="AC107" s="251">
        <f t="shared" si="14"/>
        <v>1.3474052332120647</v>
      </c>
    </row>
    <row r="108" spans="1:29" ht="15.6" x14ac:dyDescent="0.3">
      <c r="A108" s="206">
        <v>2037</v>
      </c>
      <c r="B108" s="253">
        <f>(B160/Population_Tables!O26)*Population_Tables!C26</f>
        <v>107671512760066.31</v>
      </c>
      <c r="C108" s="253">
        <f>(C160/Population_Tables!P26)*Population_Tables!D26</f>
        <v>22420072774466.391</v>
      </c>
      <c r="D108" s="253">
        <f>(D160/Population_Tables!Q26)*Population_Tables!E26</f>
        <v>42036573858417.57</v>
      </c>
      <c r="E108" s="253">
        <f>(E160/Population_Tables!R26)*Population_Tables!F26</f>
        <v>22538777938758.156</v>
      </c>
      <c r="F108" s="253">
        <f>(F160/Population_Tables!S26)*Population_Tables!G26</f>
        <v>0</v>
      </c>
      <c r="G108" s="253">
        <f>(G160/Population_Tables!T26)*Population_Tables!H26</f>
        <v>0</v>
      </c>
      <c r="H108" s="253">
        <f>(H160/Population_Tables!U26)*Population_Tables!I26</f>
        <v>0</v>
      </c>
      <c r="I108" s="253">
        <f>(I160/Population_Tables!V26)*Population_Tables!J26</f>
        <v>0</v>
      </c>
      <c r="J108" s="253">
        <f>(J160/Population_Tables!W26)*Population_Tables!K26</f>
        <v>0</v>
      </c>
      <c r="K108" s="253">
        <f>(K160/Population_Tables!X26)*Population_Tables!L26</f>
        <v>0</v>
      </c>
      <c r="L108" s="170"/>
      <c r="M108" s="170"/>
      <c r="N108" s="195">
        <f t="shared" si="9"/>
        <v>42036573858417.57</v>
      </c>
      <c r="O108" s="195">
        <f t="shared" si="9"/>
        <v>22538777938758.156</v>
      </c>
      <c r="P108" s="195">
        <f t="shared" si="10"/>
        <v>22420072774466.391</v>
      </c>
      <c r="Q108" s="195">
        <f t="shared" si="11"/>
        <v>86995424571642.125</v>
      </c>
      <c r="R108" s="196">
        <f t="shared" si="12"/>
        <v>0.48320442213371556</v>
      </c>
      <c r="S108" s="170"/>
      <c r="T108" s="170"/>
      <c r="U108" s="195">
        <f t="shared" si="17"/>
        <v>1592053649622.7969</v>
      </c>
      <c r="V108" s="195">
        <f t="shared" si="13"/>
        <v>1008280674171.3828</v>
      </c>
      <c r="W108" s="195">
        <f t="shared" si="13"/>
        <v>848904435741.25391</v>
      </c>
      <c r="X108" s="195">
        <f t="shared" si="16"/>
        <v>3449238759535.4336</v>
      </c>
      <c r="Y108" s="207">
        <f t="shared" si="15"/>
        <v>0.46156667039112864</v>
      </c>
      <c r="AC108" s="251">
        <f t="shared" si="14"/>
        <v>1.3548842791889835</v>
      </c>
    </row>
    <row r="109" spans="1:29" ht="15.6" x14ac:dyDescent="0.3">
      <c r="A109" s="206">
        <v>2038</v>
      </c>
      <c r="B109" s="253">
        <f>(B161/Population_Tables!O27)*Population_Tables!C27</f>
        <v>110692395464367.39</v>
      </c>
      <c r="C109" s="253">
        <f>(C161/Population_Tables!P27)*Population_Tables!D27</f>
        <v>22671265476799.297</v>
      </c>
      <c r="D109" s="253">
        <f>(D161/Population_Tables!Q27)*Population_Tables!E27</f>
        <v>43348695754586.461</v>
      </c>
      <c r="E109" s="253">
        <f>(E161/Population_Tables!R27)*Population_Tables!F27</f>
        <v>22705594836876.016</v>
      </c>
      <c r="F109" s="253">
        <f>(F161/Population_Tables!S27)*Population_Tables!G27</f>
        <v>0</v>
      </c>
      <c r="G109" s="253">
        <f>(G161/Population_Tables!T27)*Population_Tables!H27</f>
        <v>0</v>
      </c>
      <c r="H109" s="253">
        <f>(H161/Population_Tables!U27)*Population_Tables!I27</f>
        <v>0</v>
      </c>
      <c r="I109" s="253">
        <f>(I161/Population_Tables!V27)*Population_Tables!J27</f>
        <v>0</v>
      </c>
      <c r="J109" s="253">
        <f>(J161/Population_Tables!W27)*Population_Tables!K27</f>
        <v>0</v>
      </c>
      <c r="K109" s="253">
        <f>(K161/Population_Tables!X27)*Population_Tables!L27</f>
        <v>0</v>
      </c>
      <c r="L109" s="170"/>
      <c r="M109" s="170"/>
      <c r="N109" s="195">
        <f t="shared" si="9"/>
        <v>43348695754586.461</v>
      </c>
      <c r="O109" s="195">
        <f t="shared" si="9"/>
        <v>22705594836876.016</v>
      </c>
      <c r="P109" s="195">
        <f t="shared" si="10"/>
        <v>22671265476799.297</v>
      </c>
      <c r="Q109" s="195">
        <f t="shared" si="11"/>
        <v>88725556068261.781</v>
      </c>
      <c r="R109" s="196">
        <f t="shared" si="12"/>
        <v>0.4885705728486589</v>
      </c>
      <c r="S109" s="170"/>
      <c r="T109" s="170"/>
      <c r="U109" s="195">
        <f t="shared" si="17"/>
        <v>1761344574209.25</v>
      </c>
      <c r="V109" s="195">
        <f t="shared" si="13"/>
        <v>1084842419129.6094</v>
      </c>
      <c r="W109" s="195">
        <f t="shared" si="13"/>
        <v>917453308186.19922</v>
      </c>
      <c r="X109" s="195">
        <f t="shared" si="16"/>
        <v>3763640301525.0586</v>
      </c>
      <c r="Y109" s="207">
        <f t="shared" si="15"/>
        <v>0.46798961460146404</v>
      </c>
      <c r="AC109" s="251">
        <f t="shared" si="14"/>
        <v>1.3626884941378976</v>
      </c>
    </row>
    <row r="110" spans="1:29" ht="15.6" x14ac:dyDescent="0.3">
      <c r="A110" s="206">
        <v>2039</v>
      </c>
      <c r="B110" s="253">
        <f>(B162/Population_Tables!O28)*Population_Tables!C28</f>
        <v>113784848743358.47</v>
      </c>
      <c r="C110" s="253">
        <f>(C162/Population_Tables!P28)*Population_Tables!D28</f>
        <v>22924040552797.176</v>
      </c>
      <c r="D110" s="253">
        <f>(D162/Population_Tables!Q28)*Population_Tables!E28</f>
        <v>44666051474625.516</v>
      </c>
      <c r="E110" s="253">
        <f>(E162/Population_Tables!R28)*Population_Tables!F28</f>
        <v>22861437779545.367</v>
      </c>
      <c r="F110" s="253">
        <f>(F162/Population_Tables!S28)*Population_Tables!G28</f>
        <v>0</v>
      </c>
      <c r="G110" s="253">
        <f>(G162/Population_Tables!T28)*Population_Tables!H28</f>
        <v>0</v>
      </c>
      <c r="H110" s="253">
        <f>(H162/Population_Tables!U28)*Population_Tables!I28</f>
        <v>0</v>
      </c>
      <c r="I110" s="253">
        <f>(I162/Population_Tables!V28)*Population_Tables!J28</f>
        <v>0</v>
      </c>
      <c r="J110" s="253">
        <f>(J162/Population_Tables!W28)*Population_Tables!K28</f>
        <v>0</v>
      </c>
      <c r="K110" s="253">
        <f>(K162/Population_Tables!X28)*Population_Tables!L28</f>
        <v>0</v>
      </c>
      <c r="L110" s="170"/>
      <c r="M110" s="170"/>
      <c r="N110" s="195">
        <f t="shared" si="9"/>
        <v>44666051474625.516</v>
      </c>
      <c r="O110" s="195">
        <f t="shared" si="9"/>
        <v>22861437779545.367</v>
      </c>
      <c r="P110" s="195">
        <f t="shared" si="10"/>
        <v>22924040552797.176</v>
      </c>
      <c r="Q110" s="195">
        <f t="shared" si="11"/>
        <v>90451529806968.063</v>
      </c>
      <c r="R110" s="196">
        <f t="shared" si="12"/>
        <v>0.49381200704893552</v>
      </c>
      <c r="S110" s="170"/>
      <c r="T110" s="170"/>
      <c r="U110" s="195">
        <f t="shared" si="17"/>
        <v>1939423951162.8047</v>
      </c>
      <c r="V110" s="195">
        <f t="shared" si="13"/>
        <v>1161760951365.4258</v>
      </c>
      <c r="W110" s="195">
        <f t="shared" si="13"/>
        <v>987051136914.79688</v>
      </c>
      <c r="X110" s="195">
        <f t="shared" si="16"/>
        <v>4088236039443.0273</v>
      </c>
      <c r="Y110" s="207">
        <f t="shared" si="15"/>
        <v>0.47439138358239896</v>
      </c>
      <c r="AC110" s="251">
        <f t="shared" si="14"/>
        <v>1.3709038567233114</v>
      </c>
    </row>
    <row r="111" spans="1:29" ht="15.6" x14ac:dyDescent="0.3">
      <c r="A111" s="206">
        <v>2040</v>
      </c>
      <c r="B111" s="253">
        <f>(B163/Population_Tables!O29)*Population_Tables!C29</f>
        <v>116828643543699.17</v>
      </c>
      <c r="C111" s="253">
        <f>(C163/Population_Tables!P29)*Population_Tables!D29</f>
        <v>23258222903659.207</v>
      </c>
      <c r="D111" s="253">
        <f>(D163/Population_Tables!Q29)*Population_Tables!E29</f>
        <v>45876336332099.07</v>
      </c>
      <c r="E111" s="253">
        <f>(E163/Population_Tables!R29)*Population_Tables!F29</f>
        <v>22847880130005.383</v>
      </c>
      <c r="F111" s="253">
        <f>(F163/Population_Tables!S29)*Population_Tables!G29</f>
        <v>0</v>
      </c>
      <c r="G111" s="253">
        <f>(G163/Population_Tables!T29)*Population_Tables!H29</f>
        <v>0</v>
      </c>
      <c r="H111" s="253">
        <f>(H163/Population_Tables!U29)*Population_Tables!I29</f>
        <v>0</v>
      </c>
      <c r="I111" s="253">
        <f>(I163/Population_Tables!V29)*Population_Tables!J29</f>
        <v>0</v>
      </c>
      <c r="J111" s="253">
        <f>(J163/Population_Tables!W29)*Population_Tables!K29</f>
        <v>0</v>
      </c>
      <c r="K111" s="253">
        <f>(K163/Population_Tables!X29)*Population_Tables!L29</f>
        <v>0</v>
      </c>
      <c r="L111" s="170"/>
      <c r="M111" s="170"/>
      <c r="N111" s="195">
        <f t="shared" si="9"/>
        <v>45876336332099.07</v>
      </c>
      <c r="O111" s="195">
        <f t="shared" si="9"/>
        <v>22847880130005.383</v>
      </c>
      <c r="P111" s="195">
        <f t="shared" si="10"/>
        <v>23258222903659.207</v>
      </c>
      <c r="Q111" s="195">
        <f t="shared" si="11"/>
        <v>91982439365763.656</v>
      </c>
      <c r="R111" s="196">
        <f>N111/Q111</f>
        <v>0.49875102952721301</v>
      </c>
      <c r="S111" s="170"/>
      <c r="T111" s="170"/>
      <c r="U111" s="195">
        <f t="shared" si="17"/>
        <v>2122095921200.0156</v>
      </c>
      <c r="V111" s="195">
        <f t="shared" si="13"/>
        <v>1230933841954.4414</v>
      </c>
      <c r="W111" s="195">
        <f t="shared" si="13"/>
        <v>1061686957436.0195</v>
      </c>
      <c r="X111" s="195">
        <f t="shared" si="16"/>
        <v>4414716720590.4766</v>
      </c>
      <c r="Y111" s="207">
        <f t="shared" si="15"/>
        <v>0.48068677007121341</v>
      </c>
      <c r="AC111" s="251">
        <f t="shared" si="14"/>
        <v>1.3812781128307257</v>
      </c>
    </row>
    <row r="112" spans="1:29" ht="15.6" x14ac:dyDescent="0.3">
      <c r="A112" s="206">
        <v>2041</v>
      </c>
      <c r="B112" s="253">
        <f>(B164/Population_Tables!O30)*Population_Tables!C30</f>
        <v>120203776629276.33</v>
      </c>
      <c r="C112" s="253">
        <f>(C164/Population_Tables!P30)*Population_Tables!D30</f>
        <v>23434809048521.316</v>
      </c>
      <c r="D112" s="253">
        <f>(D164/Population_Tables!Q30)*Population_Tables!E30</f>
        <v>47310490673590.711</v>
      </c>
      <c r="E112" s="253">
        <f>(E164/Population_Tables!R30)*Population_Tables!F30</f>
        <v>23145013686469.465</v>
      </c>
      <c r="F112" s="253">
        <f>(F164/Population_Tables!S30)*Population_Tables!G30</f>
        <v>0</v>
      </c>
      <c r="G112" s="253">
        <f>(G164/Population_Tables!T30)*Population_Tables!H30</f>
        <v>0</v>
      </c>
      <c r="H112" s="253">
        <f>(H164/Population_Tables!U30)*Population_Tables!I30</f>
        <v>0</v>
      </c>
      <c r="I112" s="253">
        <f>(I164/Population_Tables!V30)*Population_Tables!J30</f>
        <v>0</v>
      </c>
      <c r="J112" s="253">
        <f>(J164/Population_Tables!W30)*Population_Tables!K30</f>
        <v>0</v>
      </c>
      <c r="K112" s="253">
        <f>(K164/Population_Tables!X30)*Population_Tables!L30</f>
        <v>0</v>
      </c>
      <c r="L112" s="170"/>
      <c r="M112" s="170"/>
      <c r="N112" s="195">
        <f t="shared" si="9"/>
        <v>47310490673590.711</v>
      </c>
      <c r="O112" s="195">
        <f t="shared" si="9"/>
        <v>23145013686469.465</v>
      </c>
      <c r="P112" s="195">
        <f t="shared" si="10"/>
        <v>23434809048521.316</v>
      </c>
      <c r="Q112" s="195">
        <f t="shared" si="11"/>
        <v>93890313408581.5</v>
      </c>
      <c r="R112" s="196">
        <f t="shared" si="12"/>
        <v>0.50389107199706684</v>
      </c>
      <c r="S112" s="170"/>
      <c r="T112" s="170"/>
      <c r="U112" s="195">
        <f t="shared" si="17"/>
        <v>2325017700450.25</v>
      </c>
      <c r="V112" s="195">
        <f t="shared" si="13"/>
        <v>1318258847560.5508</v>
      </c>
      <c r="W112" s="195">
        <f t="shared" si="13"/>
        <v>1130531769126.7461</v>
      </c>
      <c r="X112" s="195">
        <f t="shared" si="16"/>
        <v>4773808317137.5469</v>
      </c>
      <c r="Y112" s="207">
        <f t="shared" si="15"/>
        <v>0.48703624988536792</v>
      </c>
      <c r="AC112" s="251">
        <f t="shared" si="14"/>
        <v>1.3888266388323958</v>
      </c>
    </row>
    <row r="113" spans="1:29" ht="15.6" x14ac:dyDescent="0.3">
      <c r="A113" s="206">
        <v>2042</v>
      </c>
      <c r="B113" s="253">
        <f>(B165/Population_Tables!O31)*Population_Tables!C31</f>
        <v>123536469606332.27</v>
      </c>
      <c r="C113" s="253">
        <f>(C165/Population_Tables!P31)*Population_Tables!D31</f>
        <v>23692484879161.902</v>
      </c>
      <c r="D113" s="253">
        <f>(D165/Population_Tables!Q31)*Population_Tables!E31</f>
        <v>48633250559084.109</v>
      </c>
      <c r="E113" s="253">
        <f>(E165/Population_Tables!R31)*Population_Tables!F31</f>
        <v>23274444299907.164</v>
      </c>
      <c r="F113" s="253">
        <f>(F165/Population_Tables!S31)*Population_Tables!G31</f>
        <v>0</v>
      </c>
      <c r="G113" s="253">
        <f>(G165/Population_Tables!T31)*Population_Tables!H31</f>
        <v>0</v>
      </c>
      <c r="H113" s="253">
        <f>(H165/Population_Tables!U31)*Population_Tables!I31</f>
        <v>0</v>
      </c>
      <c r="I113" s="253">
        <f>(I165/Population_Tables!V31)*Population_Tables!J31</f>
        <v>0</v>
      </c>
      <c r="J113" s="253">
        <f>(J165/Population_Tables!W31)*Population_Tables!K31</f>
        <v>0</v>
      </c>
      <c r="K113" s="253">
        <f>(K165/Population_Tables!X31)*Population_Tables!L31</f>
        <v>0</v>
      </c>
      <c r="L113" s="170"/>
      <c r="M113" s="170"/>
      <c r="N113" s="195">
        <f t="shared" si="9"/>
        <v>48633250559084.109</v>
      </c>
      <c r="O113" s="195">
        <f t="shared" si="9"/>
        <v>23274444299907.164</v>
      </c>
      <c r="P113" s="195">
        <f t="shared" si="10"/>
        <v>23692484879161.902</v>
      </c>
      <c r="Q113" s="195">
        <f t="shared" si="11"/>
        <v>95600179738153.188</v>
      </c>
      <c r="R113" s="196">
        <f t="shared" si="12"/>
        <v>0.50871505359393177</v>
      </c>
      <c r="S113" s="170"/>
      <c r="T113" s="170"/>
      <c r="U113" s="195">
        <f t="shared" si="17"/>
        <v>2532730154852.6406</v>
      </c>
      <c r="V113" s="195">
        <f t="shared" si="13"/>
        <v>1397925151682.7148</v>
      </c>
      <c r="W113" s="195">
        <f t="shared" si="13"/>
        <v>1204430425109.5977</v>
      </c>
      <c r="X113" s="195">
        <f t="shared" si="16"/>
        <v>5135085731644.9531</v>
      </c>
      <c r="Y113" s="207">
        <f t="shared" si="15"/>
        <v>0.49322061737834233</v>
      </c>
      <c r="AC113" s="251">
        <f t="shared" si="14"/>
        <v>1.3986354993411774</v>
      </c>
    </row>
    <row r="114" spans="1:29" ht="15.6" x14ac:dyDescent="0.3">
      <c r="A114" s="206">
        <v>2043</v>
      </c>
      <c r="B114" s="253">
        <f>(B166/Population_Tables!O32)*Population_Tables!C32</f>
        <v>126956826119701.66</v>
      </c>
      <c r="C114" s="253">
        <f>(C166/Population_Tables!P32)*Population_Tables!D32</f>
        <v>23951571452095.852</v>
      </c>
      <c r="D114" s="253">
        <f>(D166/Population_Tables!Q32)*Population_Tables!E32</f>
        <v>49953692354849.375</v>
      </c>
      <c r="E114" s="253">
        <f>(E166/Population_Tables!R32)*Population_Tables!F32</f>
        <v>23397098690361.852</v>
      </c>
      <c r="F114" s="253">
        <f>(F166/Population_Tables!S32)*Population_Tables!G32</f>
        <v>0</v>
      </c>
      <c r="G114" s="253">
        <f>(G166/Population_Tables!T32)*Population_Tables!H32</f>
        <v>0</v>
      </c>
      <c r="H114" s="253">
        <f>(H166/Population_Tables!U32)*Population_Tables!I32</f>
        <v>0</v>
      </c>
      <c r="I114" s="253">
        <f>(I166/Population_Tables!V32)*Population_Tables!J32</f>
        <v>0</v>
      </c>
      <c r="J114" s="253">
        <f>(J166/Population_Tables!W32)*Population_Tables!K32</f>
        <v>0</v>
      </c>
      <c r="K114" s="253">
        <f>(K166/Population_Tables!X32)*Population_Tables!L32</f>
        <v>0</v>
      </c>
      <c r="L114" s="170"/>
      <c r="M114" s="170"/>
      <c r="N114" s="195">
        <f t="shared" si="9"/>
        <v>49953692354849.375</v>
      </c>
      <c r="O114" s="195">
        <f t="shared" si="9"/>
        <v>23397098690361.852</v>
      </c>
      <c r="P114" s="195">
        <f t="shared" si="10"/>
        <v>23951571452095.852</v>
      </c>
      <c r="Q114" s="195">
        <f t="shared" si="11"/>
        <v>97302362497307.063</v>
      </c>
      <c r="R114" s="196">
        <f t="shared" si="12"/>
        <v>0.51338622282919277</v>
      </c>
      <c r="S114" s="170"/>
      <c r="T114" s="170"/>
      <c r="U114" s="195">
        <f t="shared" si="17"/>
        <v>2750722499026.2891</v>
      </c>
      <c r="V114" s="195">
        <f t="shared" si="13"/>
        <v>1478924557507.7695</v>
      </c>
      <c r="W114" s="195">
        <f t="shared" si="13"/>
        <v>1279873289174.8398</v>
      </c>
      <c r="X114" s="195">
        <f t="shared" si="16"/>
        <v>5509520345708.8984</v>
      </c>
      <c r="Y114" s="207">
        <f t="shared" si="15"/>
        <v>0.49926714603544303</v>
      </c>
      <c r="AC114" s="251">
        <f t="shared" si="14"/>
        <v>1.4091464103349909</v>
      </c>
    </row>
    <row r="115" spans="1:29" ht="15.6" x14ac:dyDescent="0.3">
      <c r="A115" s="206">
        <v>2044</v>
      </c>
      <c r="B115" s="253">
        <f>(B167/Population_Tables!O33)*Population_Tables!C33</f>
        <v>130469799327699.78</v>
      </c>
      <c r="C115" s="253">
        <f>(C167/Population_Tables!P33)*Population_Tables!D33</f>
        <v>24212032466771.645</v>
      </c>
      <c r="D115" s="253">
        <f>(D167/Population_Tables!Q33)*Population_Tables!E33</f>
        <v>51269905099025.172</v>
      </c>
      <c r="E115" s="253">
        <f>(E167/Population_Tables!R33)*Population_Tables!F33</f>
        <v>23514251561704.824</v>
      </c>
      <c r="F115" s="253">
        <f>(F167/Population_Tables!S33)*Population_Tables!G33</f>
        <v>0</v>
      </c>
      <c r="G115" s="253">
        <f>(G167/Population_Tables!T33)*Population_Tables!H33</f>
        <v>0</v>
      </c>
      <c r="H115" s="253">
        <f>(H167/Population_Tables!U33)*Population_Tables!I33</f>
        <v>0</v>
      </c>
      <c r="I115" s="253">
        <f>(I167/Population_Tables!V33)*Population_Tables!J33</f>
        <v>0</v>
      </c>
      <c r="J115" s="253">
        <f>(J167/Population_Tables!W33)*Population_Tables!K33</f>
        <v>0</v>
      </c>
      <c r="K115" s="253">
        <f>(K167/Population_Tables!X33)*Population_Tables!L33</f>
        <v>0</v>
      </c>
      <c r="L115" s="170"/>
      <c r="M115" s="170"/>
      <c r="N115" s="195">
        <f t="shared" si="9"/>
        <v>51269905099025.172</v>
      </c>
      <c r="O115" s="195">
        <f t="shared" si="9"/>
        <v>23514251561704.824</v>
      </c>
      <c r="P115" s="195">
        <f t="shared" si="10"/>
        <v>24212032466771.645</v>
      </c>
      <c r="Q115" s="195">
        <f t="shared" si="11"/>
        <v>98996189127501.641</v>
      </c>
      <c r="R115" s="196">
        <f t="shared" si="12"/>
        <v>0.51789776506439411</v>
      </c>
      <c r="S115" s="170"/>
      <c r="T115" s="170"/>
      <c r="U115" s="195">
        <f t="shared" si="17"/>
        <v>2979344608860.4844</v>
      </c>
      <c r="V115" s="195">
        <f t="shared" si="13"/>
        <v>1561726414396.9727</v>
      </c>
      <c r="W115" s="195">
        <f t="shared" si="13"/>
        <v>1356990781563.5273</v>
      </c>
      <c r="X115" s="195">
        <f t="shared" si="16"/>
        <v>5898061804820.9844</v>
      </c>
      <c r="Y115" s="207">
        <f t="shared" si="15"/>
        <v>0.50513960474697195</v>
      </c>
      <c r="AC115" s="251">
        <f t="shared" si="14"/>
        <v>1.4204851878103393</v>
      </c>
    </row>
    <row r="116" spans="1:29" ht="15.6" x14ac:dyDescent="0.3">
      <c r="A116" s="206">
        <v>2045</v>
      </c>
      <c r="B116" s="253">
        <f>(B168/Population_Tables!O34)*Population_Tables!C34</f>
        <v>134246708707521.55</v>
      </c>
      <c r="C116" s="253">
        <f>(C168/Population_Tables!P34)*Population_Tables!D34</f>
        <v>24409211002894.484</v>
      </c>
      <c r="D116" s="253">
        <f>(D168/Population_Tables!Q34)*Population_Tables!E34</f>
        <v>52566695760536.82</v>
      </c>
      <c r="E116" s="253">
        <f>(E168/Population_Tables!R34)*Population_Tables!F34</f>
        <v>23657659519200.531</v>
      </c>
      <c r="F116" s="253">
        <f>(F168/Population_Tables!S34)*Population_Tables!G34</f>
        <v>0</v>
      </c>
      <c r="G116" s="253">
        <f>(G168/Population_Tables!T34)*Population_Tables!H34</f>
        <v>0</v>
      </c>
      <c r="H116" s="253">
        <f>(H168/Population_Tables!U34)*Population_Tables!I34</f>
        <v>0</v>
      </c>
      <c r="I116" s="253">
        <f>(I168/Population_Tables!V34)*Population_Tables!J34</f>
        <v>0</v>
      </c>
      <c r="J116" s="253">
        <f>(J168/Population_Tables!W34)*Population_Tables!K34</f>
        <v>0</v>
      </c>
      <c r="K116" s="253">
        <f>(K168/Population_Tables!X34)*Population_Tables!L34</f>
        <v>0</v>
      </c>
      <c r="L116" s="170"/>
      <c r="M116" s="170"/>
      <c r="N116" s="195">
        <f t="shared" si="9"/>
        <v>52566695760536.82</v>
      </c>
      <c r="O116" s="195">
        <f t="shared" si="9"/>
        <v>23657659519200.531</v>
      </c>
      <c r="P116" s="195">
        <f t="shared" si="10"/>
        <v>24409211002894.484</v>
      </c>
      <c r="Q116" s="195">
        <f t="shared" si="11"/>
        <v>100633566282631.84</v>
      </c>
      <c r="R116" s="196">
        <f t="shared" si="12"/>
        <v>0.52235747675782418</v>
      </c>
      <c r="S116" s="170"/>
      <c r="T116" s="170"/>
      <c r="U116" s="195">
        <f t="shared" si="17"/>
        <v>3218130481482.0625</v>
      </c>
      <c r="V116" s="195">
        <f t="shared" si="13"/>
        <v>1648868761630.2031</v>
      </c>
      <c r="W116" s="195">
        <f t="shared" si="13"/>
        <v>1432148587324.5234</v>
      </c>
      <c r="X116" s="195">
        <f t="shared" si="16"/>
        <v>6299147830436.7891</v>
      </c>
      <c r="Y116" s="207">
        <f t="shared" si="15"/>
        <v>0.51088346679727215</v>
      </c>
      <c r="AC116" s="251">
        <f t="shared" si="14"/>
        <v>1.4350699964426468</v>
      </c>
    </row>
    <row r="117" spans="1:29" ht="15.6" x14ac:dyDescent="0.3">
      <c r="A117" s="206">
        <v>2046</v>
      </c>
      <c r="B117" s="253">
        <f>(B169/Population_Tables!O35)*Population_Tables!C35</f>
        <v>137792616644922.92</v>
      </c>
      <c r="C117" s="253">
        <f>(C169/Population_Tables!P35)*Population_Tables!D35</f>
        <v>24737012860114.578</v>
      </c>
      <c r="D117" s="253">
        <f>(D169/Population_Tables!Q35)*Population_Tables!E35</f>
        <v>53881902156528.586</v>
      </c>
      <c r="E117" s="253">
        <f>(E169/Population_Tables!R35)*Population_Tables!F35</f>
        <v>23736725865493.383</v>
      </c>
      <c r="F117" s="253">
        <f>(F169/Population_Tables!S35)*Population_Tables!G35</f>
        <v>0</v>
      </c>
      <c r="G117" s="253">
        <f>(G169/Population_Tables!T35)*Population_Tables!H35</f>
        <v>0</v>
      </c>
      <c r="H117" s="253">
        <f>(H169/Population_Tables!U35)*Population_Tables!I35</f>
        <v>0</v>
      </c>
      <c r="I117" s="253">
        <f>(I169/Population_Tables!V35)*Population_Tables!J35</f>
        <v>0</v>
      </c>
      <c r="J117" s="253">
        <f>(J169/Population_Tables!W35)*Population_Tables!K35</f>
        <v>0</v>
      </c>
      <c r="K117" s="253">
        <f>(K169/Population_Tables!X35)*Population_Tables!L35</f>
        <v>0</v>
      </c>
      <c r="L117" s="170"/>
      <c r="M117" s="170"/>
      <c r="N117" s="195">
        <f t="shared" si="9"/>
        <v>53881902156528.586</v>
      </c>
      <c r="O117" s="195">
        <f t="shared" si="9"/>
        <v>23736725865493.383</v>
      </c>
      <c r="P117" s="195">
        <f t="shared" si="10"/>
        <v>24737012860114.578</v>
      </c>
      <c r="Q117" s="195">
        <f t="shared" si="11"/>
        <v>102355640882136.53</v>
      </c>
      <c r="R117" s="196">
        <f t="shared" si="12"/>
        <v>0.52641849234840021</v>
      </c>
      <c r="S117" s="170"/>
      <c r="T117" s="170"/>
      <c r="U117" s="195">
        <f t="shared" si="17"/>
        <v>3469780200433.1953</v>
      </c>
      <c r="V117" s="195">
        <f t="shared" si="13"/>
        <v>1734189181765.3633</v>
      </c>
      <c r="W117" s="195">
        <f t="shared" si="13"/>
        <v>1516851573247.4141</v>
      </c>
      <c r="X117" s="195">
        <f t="shared" si="16"/>
        <v>6720820955445.9727</v>
      </c>
      <c r="Y117" s="207">
        <f t="shared" si="15"/>
        <v>0.51627326831576803</v>
      </c>
      <c r="AC117" s="251">
        <f t="shared" si="14"/>
        <v>1.4458856989820208</v>
      </c>
    </row>
    <row r="118" spans="1:29" ht="15.6" x14ac:dyDescent="0.3">
      <c r="A118" s="206">
        <v>2047</v>
      </c>
      <c r="B118" s="253">
        <f>(B170/Population_Tables!O36)*Population_Tables!C36</f>
        <v>141611079760615.09</v>
      </c>
      <c r="C118" s="253">
        <f>(C170/Population_Tables!P36)*Population_Tables!D36</f>
        <v>25001516609285.742</v>
      </c>
      <c r="D118" s="253">
        <f>(D170/Population_Tables!Q36)*Population_Tables!E36</f>
        <v>55173659444339.992</v>
      </c>
      <c r="E118" s="253">
        <f>(E170/Population_Tables!R36)*Population_Tables!F36</f>
        <v>23844065695891.785</v>
      </c>
      <c r="F118" s="253">
        <f>(F170/Population_Tables!S36)*Population_Tables!G36</f>
        <v>0</v>
      </c>
      <c r="G118" s="253">
        <f>(G170/Population_Tables!T36)*Population_Tables!H36</f>
        <v>0</v>
      </c>
      <c r="H118" s="253">
        <f>(H170/Population_Tables!U36)*Population_Tables!I36</f>
        <v>0</v>
      </c>
      <c r="I118" s="253">
        <f>(I170/Population_Tables!V36)*Population_Tables!J36</f>
        <v>0</v>
      </c>
      <c r="J118" s="253">
        <f>(J170/Population_Tables!W36)*Population_Tables!K36</f>
        <v>0</v>
      </c>
      <c r="K118" s="253">
        <f>(K170/Population_Tables!X36)*Population_Tables!L36</f>
        <v>0</v>
      </c>
      <c r="L118" s="170"/>
      <c r="M118" s="170"/>
      <c r="N118" s="195">
        <f t="shared" si="9"/>
        <v>55173659444339.992</v>
      </c>
      <c r="O118" s="195">
        <f t="shared" si="9"/>
        <v>23844065695891.785</v>
      </c>
      <c r="P118" s="195">
        <f t="shared" si="10"/>
        <v>25001516609285.742</v>
      </c>
      <c r="Q118" s="195">
        <f t="shared" si="11"/>
        <v>104019241749517.52</v>
      </c>
      <c r="R118" s="196">
        <f t="shared" si="12"/>
        <v>0.5304178199760422</v>
      </c>
      <c r="S118" s="170"/>
      <c r="T118" s="170"/>
      <c r="U118" s="195">
        <f t="shared" si="17"/>
        <v>3732088332156.7266</v>
      </c>
      <c r="V118" s="195">
        <f t="shared" si="13"/>
        <v>1824257781177.2773</v>
      </c>
      <c r="W118" s="195">
        <f t="shared" si="13"/>
        <v>1599912684631.8086</v>
      </c>
      <c r="X118" s="195">
        <f t="shared" si="16"/>
        <v>7156258797965.8125</v>
      </c>
      <c r="Y118" s="207">
        <f t="shared" si="15"/>
        <v>0.52151388560983614</v>
      </c>
      <c r="AC118" s="251">
        <f t="shared" si="14"/>
        <v>1.4599454170838602</v>
      </c>
    </row>
    <row r="119" spans="1:29" ht="15.6" x14ac:dyDescent="0.3">
      <c r="A119" s="206">
        <v>2048</v>
      </c>
      <c r="B119" s="253">
        <f>(B171/Population_Tables!O37)*Population_Tables!C37</f>
        <v>145540614347461.31</v>
      </c>
      <c r="C119" s="253">
        <f>(C171/Population_Tables!P37)*Population_Tables!D37</f>
        <v>25267530682526.66</v>
      </c>
      <c r="D119" s="253">
        <f>(D171/Population_Tables!Q37)*Population_Tables!E37</f>
        <v>56453211688255.242</v>
      </c>
      <c r="E119" s="253">
        <f>(E171/Population_Tables!R37)*Population_Tables!F37</f>
        <v>23950267151409.453</v>
      </c>
      <c r="F119" s="253">
        <f>(F171/Population_Tables!S37)*Population_Tables!G37</f>
        <v>0</v>
      </c>
      <c r="G119" s="253">
        <f>(G171/Population_Tables!T37)*Population_Tables!H37</f>
        <v>0</v>
      </c>
      <c r="H119" s="253">
        <f>(H171/Population_Tables!U37)*Population_Tables!I37</f>
        <v>0</v>
      </c>
      <c r="I119" s="253">
        <f>(I171/Population_Tables!V37)*Population_Tables!J37</f>
        <v>0</v>
      </c>
      <c r="J119" s="253">
        <f>(J171/Population_Tables!W37)*Population_Tables!K37</f>
        <v>0</v>
      </c>
      <c r="K119" s="253">
        <f>(K171/Population_Tables!X37)*Population_Tables!L37</f>
        <v>0</v>
      </c>
      <c r="L119" s="170"/>
      <c r="M119" s="170"/>
      <c r="N119" s="195">
        <f t="shared" si="9"/>
        <v>56453211688255.242</v>
      </c>
      <c r="O119" s="195">
        <f t="shared" si="9"/>
        <v>23950267151409.453</v>
      </c>
      <c r="P119" s="195">
        <f t="shared" si="10"/>
        <v>25267530682526.66</v>
      </c>
      <c r="Q119" s="195">
        <f t="shared" si="11"/>
        <v>105671009522191.36</v>
      </c>
      <c r="R119" s="196">
        <f t="shared" si="12"/>
        <v>0.53423556700667107</v>
      </c>
      <c r="S119" s="170"/>
      <c r="T119" s="170"/>
      <c r="U119" s="195">
        <f t="shared" si="17"/>
        <v>4006093588236.5859</v>
      </c>
      <c r="V119" s="195">
        <f t="shared" si="13"/>
        <v>1917270557844.1211</v>
      </c>
      <c r="W119" s="195">
        <f t="shared" si="13"/>
        <v>1685451189837.9102</v>
      </c>
      <c r="X119" s="195">
        <f t="shared" si="16"/>
        <v>7608815335918.6172</v>
      </c>
      <c r="Y119" s="207">
        <f t="shared" si="15"/>
        <v>0.5265068754297646</v>
      </c>
      <c r="AC119" s="251">
        <f t="shared" si="14"/>
        <v>1.4749190594914068</v>
      </c>
    </row>
    <row r="120" spans="1:29" ht="15.6" x14ac:dyDescent="0.3">
      <c r="A120" s="206">
        <v>2049</v>
      </c>
      <c r="B120" s="253">
        <f>(B172/Population_Tables!O38)*Population_Tables!C38</f>
        <v>149586353085640.91</v>
      </c>
      <c r="C120" s="253">
        <f>(C172/Population_Tables!P38)*Population_Tables!D38</f>
        <v>25535286477554.773</v>
      </c>
      <c r="D120" s="253">
        <f>(D172/Population_Tables!Q38)*Population_Tables!E38</f>
        <v>57718530265956.328</v>
      </c>
      <c r="E120" s="253">
        <f>(E172/Population_Tables!R38)*Population_Tables!F38</f>
        <v>24056475482004.48</v>
      </c>
      <c r="F120" s="253">
        <f>(F172/Population_Tables!S38)*Population_Tables!G38</f>
        <v>0</v>
      </c>
      <c r="G120" s="253">
        <f>(G172/Population_Tables!T38)*Population_Tables!H38</f>
        <v>0</v>
      </c>
      <c r="H120" s="253">
        <f>(H172/Population_Tables!U38)*Population_Tables!I38</f>
        <v>0</v>
      </c>
      <c r="I120" s="253">
        <f>(I172/Population_Tables!V38)*Population_Tables!J38</f>
        <v>0</v>
      </c>
      <c r="J120" s="253">
        <f>(J172/Population_Tables!W38)*Population_Tables!K38</f>
        <v>0</v>
      </c>
      <c r="K120" s="253">
        <f>(K172/Population_Tables!X38)*Population_Tables!L38</f>
        <v>0</v>
      </c>
      <c r="L120" s="170"/>
      <c r="M120" s="170"/>
      <c r="N120" s="195">
        <f t="shared" si="9"/>
        <v>57718530265956.328</v>
      </c>
      <c r="O120" s="195">
        <f t="shared" si="9"/>
        <v>24056475482004.48</v>
      </c>
      <c r="P120" s="195">
        <f t="shared" si="10"/>
        <v>25535286477554.773</v>
      </c>
      <c r="Q120" s="195">
        <f t="shared" si="11"/>
        <v>107310292225515.58</v>
      </c>
      <c r="R120" s="196">
        <f t="shared" si="12"/>
        <v>0.5378657449246268</v>
      </c>
      <c r="S120" s="170"/>
      <c r="T120" s="170"/>
      <c r="U120" s="195">
        <f t="shared" si="17"/>
        <v>4292028184105.3672</v>
      </c>
      <c r="V120" s="195">
        <f t="shared" si="13"/>
        <v>2013567407213.9375</v>
      </c>
      <c r="W120" s="195">
        <f t="shared" si="13"/>
        <v>1773865207375.7422</v>
      </c>
      <c r="X120" s="195">
        <f t="shared" si="16"/>
        <v>8079460798695.0469</v>
      </c>
      <c r="Y120" s="207">
        <f t="shared" si="15"/>
        <v>0.53122705723116992</v>
      </c>
      <c r="AC120" s="251">
        <f t="shared" si="14"/>
        <v>1.4908070127794473</v>
      </c>
    </row>
    <row r="121" spans="1:29" ht="16.2" thickBot="1" x14ac:dyDescent="0.35">
      <c r="A121" s="208">
        <v>2050</v>
      </c>
      <c r="B121" s="253">
        <f>(B173/Population_Tables!O39)*Population_Tables!C39</f>
        <v>153722890934586.19</v>
      </c>
      <c r="C121" s="253">
        <f>(C173/Population_Tables!P39)*Population_Tables!D39</f>
        <v>25739123739581.504</v>
      </c>
      <c r="D121" s="253">
        <f>(D173/Population_Tables!Q39)*Population_Tables!E39</f>
        <v>58988255544307.68</v>
      </c>
      <c r="E121" s="253">
        <f>(E173/Population_Tables!R39)*Population_Tables!F39</f>
        <v>24195112209900.184</v>
      </c>
      <c r="F121" s="253">
        <f>(F173/Population_Tables!S39)*Population_Tables!G39</f>
        <v>0</v>
      </c>
      <c r="G121" s="253">
        <f>(G173/Population_Tables!T39)*Population_Tables!H39</f>
        <v>0</v>
      </c>
      <c r="H121" s="253">
        <f>(H173/Population_Tables!U39)*Population_Tables!I39</f>
        <v>0</v>
      </c>
      <c r="I121" s="253">
        <f>(I173/Population_Tables!V39)*Population_Tables!J39</f>
        <v>0</v>
      </c>
      <c r="J121" s="253">
        <f>(J173/Population_Tables!W39)*Population_Tables!K39</f>
        <v>0</v>
      </c>
      <c r="K121" s="253">
        <f>(K173/Population_Tables!X39)*Population_Tables!L39</f>
        <v>0</v>
      </c>
      <c r="L121" s="209"/>
      <c r="M121" s="209"/>
      <c r="N121" s="195">
        <f t="shared" si="9"/>
        <v>58988255544307.68</v>
      </c>
      <c r="O121" s="195">
        <f t="shared" si="9"/>
        <v>24195112209900.184</v>
      </c>
      <c r="P121" s="195">
        <f t="shared" si="10"/>
        <v>25739123739581.504</v>
      </c>
      <c r="Q121" s="195">
        <f t="shared" si="11"/>
        <v>108922491493789.38</v>
      </c>
      <c r="R121" s="210">
        <f t="shared" si="12"/>
        <v>0.54156175400808859</v>
      </c>
      <c r="S121" s="209"/>
      <c r="T121" s="209"/>
      <c r="U121" s="211">
        <f t="shared" si="17"/>
        <v>4591664872418.625</v>
      </c>
      <c r="V121" s="195">
        <f t="shared" si="13"/>
        <v>2116173347160.6836</v>
      </c>
      <c r="W121" s="211">
        <f t="shared" si="13"/>
        <v>1860740700693.0273</v>
      </c>
      <c r="X121" s="195">
        <f t="shared" si="16"/>
        <v>8568578920272.3359</v>
      </c>
      <c r="Y121" s="212">
        <f t="shared" si="15"/>
        <v>0.53587239087630267</v>
      </c>
      <c r="AC121" s="251">
        <f t="shared" si="14"/>
        <v>1.5073809264350648</v>
      </c>
    </row>
    <row r="122" spans="1:29" ht="15.6" x14ac:dyDescent="0.3">
      <c r="A122" s="213">
        <v>2051</v>
      </c>
      <c r="B122" s="253">
        <f>(B174/Population_Tables!O40)*Population_Tables!C40</f>
        <v>158046188066355.72</v>
      </c>
      <c r="C122" s="253">
        <f>(C174/Population_Tables!P40)*Population_Tables!D40</f>
        <v>26076586700308.379</v>
      </c>
      <c r="D122" s="253">
        <f>(D174/Population_Tables!Q40)*Population_Tables!E40</f>
        <v>60197990452801.141</v>
      </c>
      <c r="E122" s="253">
        <f>(E174/Population_Tables!R40)*Population_Tables!F40</f>
        <v>24273205000684.359</v>
      </c>
      <c r="F122" s="253">
        <f>(F174/Population_Tables!S40)*Population_Tables!G40</f>
        <v>0</v>
      </c>
      <c r="G122" s="253">
        <f>(G174/Population_Tables!T40)*Population_Tables!H40</f>
        <v>0</v>
      </c>
      <c r="H122" s="253">
        <f>(H174/Population_Tables!U40)*Population_Tables!I40</f>
        <v>0</v>
      </c>
      <c r="I122" s="253">
        <f>(I174/Population_Tables!V40)*Population_Tables!J40</f>
        <v>0</v>
      </c>
      <c r="J122" s="253">
        <f>(J174/Population_Tables!W40)*Population_Tables!K40</f>
        <v>0</v>
      </c>
      <c r="K122" s="253">
        <f>(K174/Population_Tables!X40)*Population_Tables!L40</f>
        <v>0</v>
      </c>
      <c r="N122" s="195">
        <f t="shared" si="9"/>
        <v>60197990452801.141</v>
      </c>
      <c r="O122" s="195">
        <f t="shared" si="9"/>
        <v>24273205000684.359</v>
      </c>
      <c r="P122" s="195">
        <f t="shared" si="10"/>
        <v>26076586700308.379</v>
      </c>
      <c r="Q122" s="195">
        <f t="shared" si="11"/>
        <v>110547782153793.88</v>
      </c>
      <c r="R122" s="214">
        <f t="shared" si="12"/>
        <v>0.54454272424076133</v>
      </c>
      <c r="U122" s="215">
        <f t="shared" si="17"/>
        <v>4900252776297.3125</v>
      </c>
      <c r="V122" s="195">
        <f t="shared" si="13"/>
        <v>2217084138280.0703</v>
      </c>
      <c r="W122" s="215">
        <f t="shared" si="13"/>
        <v>1960550129952.7383</v>
      </c>
      <c r="X122" s="195">
        <f t="shared" si="16"/>
        <v>9077887044530.1211</v>
      </c>
      <c r="Y122" s="214">
        <f t="shared" si="15"/>
        <v>0.5398010299379038</v>
      </c>
      <c r="AC122" s="251">
        <f t="shared" si="14"/>
        <v>1.5253212921827275</v>
      </c>
    </row>
    <row r="123" spans="1:29" ht="15.6" x14ac:dyDescent="0.3">
      <c r="A123" s="194">
        <v>2052</v>
      </c>
      <c r="B123" s="253">
        <f>(B175/Population_Tables!O41)*Population_Tables!C41</f>
        <v>162469447007241.13</v>
      </c>
      <c r="C123" s="253">
        <f>(C175/Population_Tables!P41)*Population_Tables!D41</f>
        <v>26350135449450.445</v>
      </c>
      <c r="D123" s="253">
        <f>(D175/Population_Tables!Q41)*Population_Tables!E41</f>
        <v>61407687141325.086</v>
      </c>
      <c r="E123" s="253">
        <f>(E175/Population_Tables!R41)*Population_Tables!F41</f>
        <v>24385681315098.176</v>
      </c>
      <c r="F123" s="253">
        <f>(F175/Population_Tables!S41)*Population_Tables!G41</f>
        <v>0</v>
      </c>
      <c r="G123" s="253">
        <f>(G175/Population_Tables!T41)*Population_Tables!H41</f>
        <v>0</v>
      </c>
      <c r="H123" s="253">
        <f>(H175/Population_Tables!U41)*Population_Tables!I41</f>
        <v>0</v>
      </c>
      <c r="I123" s="253">
        <f>(I175/Population_Tables!V41)*Population_Tables!J41</f>
        <v>0</v>
      </c>
      <c r="J123" s="253">
        <f>(J175/Population_Tables!W41)*Population_Tables!K41</f>
        <v>0</v>
      </c>
      <c r="K123" s="253">
        <f>(K175/Population_Tables!X41)*Population_Tables!L41</f>
        <v>0</v>
      </c>
      <c r="N123" s="195">
        <f t="shared" si="9"/>
        <v>61407687141325.086</v>
      </c>
      <c r="O123" s="195">
        <f t="shared" si="9"/>
        <v>24385681315098.176</v>
      </c>
      <c r="P123" s="195">
        <f t="shared" si="10"/>
        <v>26350135449450.445</v>
      </c>
      <c r="Q123" s="195">
        <f t="shared" si="11"/>
        <v>112143503905873.7</v>
      </c>
      <c r="R123" s="196">
        <f t="shared" si="12"/>
        <v>0.54758131325080484</v>
      </c>
      <c r="U123" s="195">
        <f t="shared" si="17"/>
        <v>5222619527501.9375</v>
      </c>
      <c r="V123" s="195">
        <f t="shared" si="13"/>
        <v>2324648437285.25</v>
      </c>
      <c r="W123" s="195">
        <f t="shared" si="13"/>
        <v>2059158797993.6445</v>
      </c>
      <c r="X123" s="195">
        <f t="shared" si="16"/>
        <v>9606426762780.832</v>
      </c>
      <c r="Y123" s="196">
        <f t="shared" si="15"/>
        <v>0.54365891256637378</v>
      </c>
      <c r="AC123" s="251">
        <f t="shared" si="14"/>
        <v>1.5439382053119124</v>
      </c>
    </row>
    <row r="124" spans="1:29" ht="15.6" x14ac:dyDescent="0.3">
      <c r="A124" s="194">
        <v>2053</v>
      </c>
      <c r="B124" s="253">
        <f>(B176/Population_Tables!O42)*Population_Tables!C42</f>
        <v>167027083371703.5</v>
      </c>
      <c r="C124" s="253">
        <f>(C176/Population_Tables!P42)*Population_Tables!D42</f>
        <v>26625703914684.309</v>
      </c>
      <c r="D124" s="253">
        <f>(D176/Population_Tables!Q42)*Population_Tables!E42</f>
        <v>62594281146418.266</v>
      </c>
      <c r="E124" s="253">
        <f>(E176/Population_Tables!R42)*Population_Tables!F42</f>
        <v>24502092592560.238</v>
      </c>
      <c r="F124" s="253">
        <f>(F176/Population_Tables!S42)*Population_Tables!G42</f>
        <v>0</v>
      </c>
      <c r="G124" s="253">
        <f>(G176/Population_Tables!T42)*Population_Tables!H42</f>
        <v>0</v>
      </c>
      <c r="H124" s="253">
        <f>(H176/Population_Tables!U42)*Population_Tables!I42</f>
        <v>0</v>
      </c>
      <c r="I124" s="253">
        <f>(I176/Population_Tables!V42)*Population_Tables!J42</f>
        <v>0</v>
      </c>
      <c r="J124" s="253">
        <f>(J176/Population_Tables!W42)*Population_Tables!K42</f>
        <v>0</v>
      </c>
      <c r="K124" s="253">
        <f>(K176/Population_Tables!X42)*Population_Tables!L42</f>
        <v>0</v>
      </c>
      <c r="N124" s="195">
        <f t="shared" si="9"/>
        <v>62594281146418.266</v>
      </c>
      <c r="O124" s="195">
        <f t="shared" si="9"/>
        <v>24502092592560.238</v>
      </c>
      <c r="P124" s="195">
        <f t="shared" si="10"/>
        <v>26625703914684.309</v>
      </c>
      <c r="Q124" s="195">
        <f t="shared" si="11"/>
        <v>113722077653662.81</v>
      </c>
      <c r="R124" s="196">
        <f t="shared" si="12"/>
        <v>0.55041450559008676</v>
      </c>
      <c r="U124" s="195">
        <f t="shared" si="17"/>
        <v>5557089952281.3438</v>
      </c>
      <c r="V124" s="195">
        <f t="shared" si="13"/>
        <v>2436203478924.0977</v>
      </c>
      <c r="W124" s="195">
        <f t="shared" si="13"/>
        <v>2161587855841.2305</v>
      </c>
      <c r="X124" s="195">
        <f t="shared" si="16"/>
        <v>10154881287046.672</v>
      </c>
      <c r="Y124" s="196">
        <f t="shared" si="15"/>
        <v>0.54723337429555552</v>
      </c>
      <c r="AC124" s="251">
        <f t="shared" si="14"/>
        <v>1.5634220030733077</v>
      </c>
    </row>
    <row r="125" spans="1:29" ht="15.6" x14ac:dyDescent="0.3">
      <c r="A125" s="194">
        <v>2054</v>
      </c>
      <c r="B125" s="253">
        <f>(B177/Population_Tables!O43)*Population_Tables!C43</f>
        <v>171722775527089.44</v>
      </c>
      <c r="C125" s="253">
        <f>(C177/Population_Tables!P43)*Population_Tables!D43</f>
        <v>26903383325055.57</v>
      </c>
      <c r="D125" s="253">
        <f>(D177/Population_Tables!Q43)*Population_Tables!E43</f>
        <v>63755378573942.141</v>
      </c>
      <c r="E125" s="253">
        <f>(E177/Population_Tables!R43)*Population_Tables!F43</f>
        <v>24623270724325.82</v>
      </c>
      <c r="F125" s="253">
        <f>(F177/Population_Tables!S43)*Population_Tables!G43</f>
        <v>0</v>
      </c>
      <c r="G125" s="253">
        <f>(G177/Population_Tables!T43)*Population_Tables!H43</f>
        <v>0</v>
      </c>
      <c r="H125" s="253">
        <f>(H177/Population_Tables!U43)*Population_Tables!I43</f>
        <v>0</v>
      </c>
      <c r="I125" s="253">
        <f>(I177/Population_Tables!V43)*Population_Tables!J43</f>
        <v>0</v>
      </c>
      <c r="J125" s="253">
        <f>(J177/Population_Tables!W43)*Population_Tables!K43</f>
        <v>0</v>
      </c>
      <c r="K125" s="253">
        <f>(K177/Population_Tables!X43)*Population_Tables!L43</f>
        <v>0</v>
      </c>
      <c r="N125" s="195">
        <f t="shared" si="9"/>
        <v>63755378573942.141</v>
      </c>
      <c r="O125" s="195">
        <f t="shared" si="9"/>
        <v>24623270724325.82</v>
      </c>
      <c r="P125" s="195">
        <f t="shared" si="10"/>
        <v>26903383325055.57</v>
      </c>
      <c r="Q125" s="195">
        <f t="shared" si="11"/>
        <v>115282032623323.53</v>
      </c>
      <c r="R125" s="196">
        <f t="shared" si="12"/>
        <v>0.55303829333282706</v>
      </c>
      <c r="U125" s="195">
        <f t="shared" si="17"/>
        <v>5903530994247.6172</v>
      </c>
      <c r="V125" s="195">
        <f t="shared" si="13"/>
        <v>2551775799941.8438</v>
      </c>
      <c r="W125" s="195">
        <f t="shared" si="13"/>
        <v>2268095253333.6797</v>
      </c>
      <c r="X125" s="195">
        <f t="shared" si="16"/>
        <v>10723402047523.141</v>
      </c>
      <c r="Y125" s="196">
        <f t="shared" si="15"/>
        <v>0.5505278052697089</v>
      </c>
      <c r="AC125" s="251">
        <f t="shared" si="14"/>
        <v>1.583728761609229</v>
      </c>
    </row>
    <row r="126" spans="1:29" ht="15.6" x14ac:dyDescent="0.3">
      <c r="A126" s="194">
        <v>2055</v>
      </c>
      <c r="B126" s="253">
        <f>(B178/Population_Tables!O44)*Population_Tables!C44</f>
        <v>176560289430440.19</v>
      </c>
      <c r="C126" s="253">
        <f>(C178/Population_Tables!P44)*Population_Tables!D44</f>
        <v>27131777052377.27</v>
      </c>
      <c r="D126" s="253">
        <f>(D178/Population_Tables!Q44)*Population_Tables!E44</f>
        <v>65002369929261.805</v>
      </c>
      <c r="E126" s="253">
        <f>(E178/Population_Tables!R44)*Population_Tables!F44</f>
        <v>24809197531865.301</v>
      </c>
      <c r="F126" s="253">
        <f>(F178/Population_Tables!S44)*Population_Tables!G44</f>
        <v>0</v>
      </c>
      <c r="G126" s="253">
        <f>(G178/Population_Tables!T44)*Population_Tables!H44</f>
        <v>0</v>
      </c>
      <c r="H126" s="253">
        <f>(H178/Population_Tables!U44)*Population_Tables!I44</f>
        <v>0</v>
      </c>
      <c r="I126" s="253">
        <f>(I178/Population_Tables!V44)*Population_Tables!J44</f>
        <v>0</v>
      </c>
      <c r="J126" s="253">
        <f>(J178/Population_Tables!W44)*Population_Tables!K44</f>
        <v>0</v>
      </c>
      <c r="K126" s="253">
        <f>(K178/Population_Tables!X44)*Population_Tables!L44</f>
        <v>0</v>
      </c>
      <c r="N126" s="195">
        <f t="shared" si="9"/>
        <v>65002369929261.805</v>
      </c>
      <c r="O126" s="195">
        <f t="shared" si="9"/>
        <v>24809197531865.301</v>
      </c>
      <c r="P126" s="195">
        <f t="shared" si="10"/>
        <v>27131777052377.27</v>
      </c>
      <c r="Q126" s="195">
        <f t="shared" si="11"/>
        <v>116943344513504.38</v>
      </c>
      <c r="R126" s="196">
        <f t="shared" si="12"/>
        <v>0.55584497091029805</v>
      </c>
      <c r="U126" s="195">
        <f t="shared" si="17"/>
        <v>6272711667317.75</v>
      </c>
      <c r="V126" s="195">
        <f t="shared" si="13"/>
        <v>2677790196926.2461</v>
      </c>
      <c r="W126" s="195">
        <f t="shared" si="13"/>
        <v>2374389841915.1328</v>
      </c>
      <c r="X126" s="195">
        <f t="shared" si="16"/>
        <v>11324891706159.129</v>
      </c>
      <c r="Y126" s="196">
        <f t="shared" si="15"/>
        <v>0.55388712140234309</v>
      </c>
      <c r="AC126" s="251">
        <f t="shared" si="14"/>
        <v>1.6030075090377631</v>
      </c>
    </row>
    <row r="127" spans="1:29" ht="15.6" x14ac:dyDescent="0.3">
      <c r="A127" s="194">
        <v>2056</v>
      </c>
      <c r="B127" s="253">
        <f>(B179/Population_Tables!O45)*Population_Tables!C45</f>
        <v>181544071445153.88</v>
      </c>
      <c r="C127" s="253">
        <f>(C179/Population_Tables!P45)*Population_Tables!D45</f>
        <v>27465184045779.941</v>
      </c>
      <c r="D127" s="253">
        <f>(D179/Population_Tables!Q45)*Population_Tables!E45</f>
        <v>65991096576816.781</v>
      </c>
      <c r="E127" s="253">
        <f>(E179/Population_Tables!R45)*Population_Tables!F45</f>
        <v>24883439924289.438</v>
      </c>
      <c r="F127" s="253">
        <f>(F179/Population_Tables!S45)*Population_Tables!G45</f>
        <v>0</v>
      </c>
      <c r="G127" s="253">
        <f>(G179/Population_Tables!T45)*Population_Tables!H45</f>
        <v>0</v>
      </c>
      <c r="H127" s="253">
        <f>(H179/Population_Tables!U45)*Population_Tables!I45</f>
        <v>0</v>
      </c>
      <c r="I127" s="253">
        <f>(I179/Population_Tables!V45)*Population_Tables!J45</f>
        <v>0</v>
      </c>
      <c r="J127" s="253">
        <f>(J179/Population_Tables!W45)*Population_Tables!K45</f>
        <v>0</v>
      </c>
      <c r="K127" s="253">
        <f>(K179/Population_Tables!X45)*Population_Tables!L45</f>
        <v>0</v>
      </c>
      <c r="N127" s="195">
        <f t="shared" si="9"/>
        <v>65991096576816.781</v>
      </c>
      <c r="O127" s="195">
        <f t="shared" si="9"/>
        <v>24883439924289.438</v>
      </c>
      <c r="P127" s="195">
        <f t="shared" si="10"/>
        <v>27465184045779.941</v>
      </c>
      <c r="Q127" s="195">
        <f t="shared" si="11"/>
        <v>118339720546886.16</v>
      </c>
      <c r="R127" s="196">
        <f t="shared" si="12"/>
        <v>0.55764113918683056</v>
      </c>
      <c r="U127" s="195">
        <f t="shared" si="17"/>
        <v>6631381161278.0469</v>
      </c>
      <c r="V127" s="195">
        <f t="shared" si="13"/>
        <v>2795263235595.7383</v>
      </c>
      <c r="W127" s="195">
        <f t="shared" si="13"/>
        <v>2494121014993.1641</v>
      </c>
      <c r="X127" s="195">
        <f t="shared" si="16"/>
        <v>11920765411866.949</v>
      </c>
      <c r="Y127" s="196">
        <f t="shared" si="15"/>
        <v>0.55628820232269671</v>
      </c>
      <c r="AC127" s="251">
        <f t="shared" si="14"/>
        <v>1.6267426026941387</v>
      </c>
    </row>
    <row r="128" spans="1:29" ht="15.6" x14ac:dyDescent="0.3">
      <c r="A128" s="194">
        <v>2057</v>
      </c>
      <c r="B128" s="253">
        <f>(B180/Population_Tables!O46)*Population_Tables!C46</f>
        <v>186678531389800.91</v>
      </c>
      <c r="C128" s="253">
        <f>(C180/Population_Tables!P46)*Population_Tables!D46</f>
        <v>27749164647937.746</v>
      </c>
      <c r="D128" s="253">
        <f>(D180/Population_Tables!Q46)*Population_Tables!E46</f>
        <v>67060522694663.719</v>
      </c>
      <c r="E128" s="253">
        <f>(E180/Population_Tables!R46)*Population_Tables!F46</f>
        <v>25024341305580.699</v>
      </c>
      <c r="F128" s="253">
        <f>(F180/Population_Tables!S46)*Population_Tables!G46</f>
        <v>0</v>
      </c>
      <c r="G128" s="253">
        <f>(G180/Population_Tables!T46)*Population_Tables!H46</f>
        <v>0</v>
      </c>
      <c r="H128" s="253">
        <f>(H180/Population_Tables!U46)*Population_Tables!I46</f>
        <v>0</v>
      </c>
      <c r="I128" s="253">
        <f>(I180/Population_Tables!V46)*Population_Tables!J46</f>
        <v>0</v>
      </c>
      <c r="J128" s="253">
        <f>(J180/Population_Tables!W46)*Population_Tables!K46</f>
        <v>0</v>
      </c>
      <c r="K128" s="253">
        <f>(K180/Population_Tables!X46)*Population_Tables!L46</f>
        <v>0</v>
      </c>
      <c r="N128" s="195">
        <f t="shared" si="9"/>
        <v>67060522694663.719</v>
      </c>
      <c r="O128" s="195">
        <f t="shared" si="9"/>
        <v>25024341305580.699</v>
      </c>
      <c r="P128" s="195">
        <f t="shared" si="10"/>
        <v>27749164647937.746</v>
      </c>
      <c r="Q128" s="195">
        <f t="shared" si="11"/>
        <v>119834028648182.17</v>
      </c>
      <c r="R128" s="196">
        <f t="shared" si="12"/>
        <v>0.55961168502099756</v>
      </c>
      <c r="U128" s="195">
        <f t="shared" si="17"/>
        <v>7012117504339.5938</v>
      </c>
      <c r="V128" s="195">
        <f t="shared" si="13"/>
        <v>2923477954305.0156</v>
      </c>
      <c r="W128" s="195">
        <f t="shared" si="13"/>
        <v>2613832112550.0664</v>
      </c>
      <c r="X128" s="195">
        <f t="shared" si="16"/>
        <v>12549427571194.676</v>
      </c>
      <c r="Y128" s="196">
        <f t="shared" si="15"/>
        <v>0.55875994857604938</v>
      </c>
      <c r="AC128" s="251">
        <f t="shared" si="14"/>
        <v>1.6494793365857887</v>
      </c>
    </row>
    <row r="129" spans="1:29" ht="15.6" x14ac:dyDescent="0.3">
      <c r="A129" s="194">
        <v>2058</v>
      </c>
      <c r="B129" s="253">
        <f>(B181/Population_Tables!O47)*Population_Tables!C47</f>
        <v>191967209778806.09</v>
      </c>
      <c r="C129" s="253">
        <f>(C181/Population_Tables!P47)*Population_Tables!D47</f>
        <v>28034933347450.859</v>
      </c>
      <c r="D129" s="253">
        <f>(D181/Population_Tables!Q47)*Population_Tables!E47</f>
        <v>68093814106845.531</v>
      </c>
      <c r="E129" s="253">
        <f>(E181/Population_Tables!R47)*Population_Tables!F47</f>
        <v>25173545664486.602</v>
      </c>
      <c r="F129" s="253">
        <f>(F181/Population_Tables!S47)*Population_Tables!G47</f>
        <v>0</v>
      </c>
      <c r="G129" s="253">
        <f>(G181/Population_Tables!T47)*Population_Tables!H47</f>
        <v>0</v>
      </c>
      <c r="H129" s="253">
        <f>(H181/Population_Tables!U47)*Population_Tables!I47</f>
        <v>0</v>
      </c>
      <c r="I129" s="253">
        <f>(I181/Population_Tables!V47)*Population_Tables!J47</f>
        <v>0</v>
      </c>
      <c r="J129" s="253">
        <f>(J181/Population_Tables!W47)*Population_Tables!K47</f>
        <v>0</v>
      </c>
      <c r="K129" s="253">
        <f>(K181/Population_Tables!X47)*Population_Tables!L47</f>
        <v>0</v>
      </c>
      <c r="N129" s="195">
        <f t="shared" si="9"/>
        <v>68093814106845.531</v>
      </c>
      <c r="O129" s="195">
        <f t="shared" si="9"/>
        <v>25173545664486.602</v>
      </c>
      <c r="P129" s="195">
        <f t="shared" si="10"/>
        <v>28034933347450.859</v>
      </c>
      <c r="Q129" s="195">
        <f t="shared" si="11"/>
        <v>121302293118783</v>
      </c>
      <c r="R129" s="196">
        <f t="shared" si="12"/>
        <v>0.56135636314942483</v>
      </c>
      <c r="U129" s="195">
        <f t="shared" si="17"/>
        <v>7403229687494.6563</v>
      </c>
      <c r="V129" s="195">
        <f t="shared" si="13"/>
        <v>3056024657664.1211</v>
      </c>
      <c r="W129" s="195">
        <f t="shared" si="13"/>
        <v>2737965585140.0898</v>
      </c>
      <c r="X129" s="195">
        <f t="shared" si="16"/>
        <v>13197219930298.867</v>
      </c>
      <c r="Y129" s="196">
        <f t="shared" si="15"/>
        <v>0.56096888030924863</v>
      </c>
      <c r="AC129" s="251">
        <f t="shared" si="14"/>
        <v>1.6730546360384972</v>
      </c>
    </row>
    <row r="130" spans="1:29" ht="15.6" x14ac:dyDescent="0.3">
      <c r="A130" s="194">
        <v>2059</v>
      </c>
      <c r="B130" s="253">
        <f>(B182/Population_Tables!O48)*Population_Tables!C48</f>
        <v>197413336788916.94</v>
      </c>
      <c r="C130" s="253">
        <f>(C182/Population_Tables!P48)*Population_Tables!D48</f>
        <v>28322182367129.297</v>
      </c>
      <c r="D130" s="253">
        <f>(D182/Population_Tables!Q48)*Population_Tables!E48</f>
        <v>69087846515431.852</v>
      </c>
      <c r="E130" s="253">
        <f>(E182/Population_Tables!R48)*Population_Tables!F48</f>
        <v>25331779760840.887</v>
      </c>
      <c r="F130" s="253">
        <f>(F182/Population_Tables!S48)*Population_Tables!G48</f>
        <v>0</v>
      </c>
      <c r="G130" s="253">
        <f>(G182/Population_Tables!T48)*Population_Tables!H48</f>
        <v>0</v>
      </c>
      <c r="H130" s="253">
        <f>(H182/Population_Tables!U48)*Population_Tables!I48</f>
        <v>0</v>
      </c>
      <c r="I130" s="253">
        <f>(I182/Population_Tables!V48)*Population_Tables!J48</f>
        <v>0</v>
      </c>
      <c r="J130" s="253">
        <f>(J182/Population_Tables!W48)*Population_Tables!K48</f>
        <v>0</v>
      </c>
      <c r="K130" s="253">
        <f>(K182/Population_Tables!X48)*Population_Tables!L48</f>
        <v>0</v>
      </c>
      <c r="N130" s="195">
        <f t="shared" si="9"/>
        <v>69087846515431.852</v>
      </c>
      <c r="O130" s="195">
        <f t="shared" si="9"/>
        <v>25331779760840.887</v>
      </c>
      <c r="P130" s="195">
        <f t="shared" si="10"/>
        <v>28322182367129.297</v>
      </c>
      <c r="Q130" s="195">
        <f t="shared" si="11"/>
        <v>122741808643402.05</v>
      </c>
      <c r="R130" s="196">
        <f t="shared" si="12"/>
        <v>0.56287134171332465</v>
      </c>
      <c r="U130" s="195">
        <f t="shared" si="17"/>
        <v>7803854250563.4766</v>
      </c>
      <c r="V130" s="195">
        <f t="shared" si="13"/>
        <v>3192824750996.7422</v>
      </c>
      <c r="W130" s="195">
        <f t="shared" si="13"/>
        <v>2866380376365.832</v>
      </c>
      <c r="X130" s="195">
        <f t="shared" si="16"/>
        <v>13863059377926.051</v>
      </c>
      <c r="Y130" s="196">
        <f t="shared" si="15"/>
        <v>0.56292439048406884</v>
      </c>
      <c r="AC130" s="251">
        <f t="shared" si="14"/>
        <v>1.6974842149710883</v>
      </c>
    </row>
    <row r="131" spans="1:29" ht="15.6" x14ac:dyDescent="0.3">
      <c r="A131" s="194">
        <v>2060</v>
      </c>
      <c r="B131" s="253">
        <f>(B183/Population_Tables!O49)*Population_Tables!C49</f>
        <v>203020393152975.31</v>
      </c>
      <c r="C131" s="253">
        <f>(C183/Population_Tables!P49)*Population_Tables!D49</f>
        <v>28672189345748.031</v>
      </c>
      <c r="D131" s="253">
        <f>(D183/Population_Tables!Q49)*Population_Tables!E49</f>
        <v>69970035624483.164</v>
      </c>
      <c r="E131" s="253">
        <f>(E183/Population_Tables!R49)*Population_Tables!F49</f>
        <v>25456088778344.711</v>
      </c>
      <c r="F131" s="253">
        <f>(F183/Population_Tables!S49)*Population_Tables!G49</f>
        <v>0</v>
      </c>
      <c r="G131" s="253">
        <f>(G183/Population_Tables!T49)*Population_Tables!H49</f>
        <v>0</v>
      </c>
      <c r="H131" s="253">
        <f>(H183/Population_Tables!U49)*Population_Tables!I49</f>
        <v>0</v>
      </c>
      <c r="I131" s="253">
        <f>(I183/Population_Tables!V49)*Population_Tables!J49</f>
        <v>0</v>
      </c>
      <c r="J131" s="253">
        <f>(J183/Population_Tables!W49)*Population_Tables!K49</f>
        <v>0</v>
      </c>
      <c r="K131" s="253">
        <f>(K183/Population_Tables!X49)*Population_Tables!L49</f>
        <v>0</v>
      </c>
      <c r="N131" s="195">
        <f t="shared" si="9"/>
        <v>69970035624483.164</v>
      </c>
      <c r="O131" s="195">
        <f t="shared" si="9"/>
        <v>25456088778344.711</v>
      </c>
      <c r="P131" s="195">
        <f t="shared" si="10"/>
        <v>28672189345748.031</v>
      </c>
      <c r="Q131" s="195">
        <f t="shared" si="11"/>
        <v>124098313748575.91</v>
      </c>
      <c r="R131" s="196">
        <f>N131/Q131</f>
        <v>0.56382744866495904</v>
      </c>
      <c r="U131" s="195">
        <f t="shared" si="17"/>
        <v>8204910186185.6328</v>
      </c>
      <c r="V131" s="195">
        <f t="shared" si="13"/>
        <v>3328151518919.3594</v>
      </c>
      <c r="W131" s="195">
        <f t="shared" si="13"/>
        <v>3005384128601.9141</v>
      </c>
      <c r="X131" s="195">
        <f t="shared" si="16"/>
        <v>14538445833706.906</v>
      </c>
      <c r="Y131" s="196">
        <f t="shared" si="15"/>
        <v>0.56435951132842688</v>
      </c>
      <c r="AC131" s="251">
        <f t="shared" si="14"/>
        <v>1.7236765515523422</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357</v>
      </c>
      <c r="B135" s="255"/>
      <c r="C135" s="255"/>
      <c r="D135" s="13"/>
      <c r="E135" s="13"/>
      <c r="F135" s="13"/>
      <c r="G135" s="13"/>
      <c r="H135" s="13"/>
      <c r="I135" s="13"/>
      <c r="J135" s="13"/>
      <c r="K135" s="13"/>
      <c r="N135" s="232" t="s">
        <v>637</v>
      </c>
      <c r="O135" s="232"/>
      <c r="P135" s="232"/>
      <c r="Q135" s="232"/>
      <c r="R135" s="232"/>
      <c r="AC135" s="251"/>
    </row>
    <row r="136" spans="1:29" ht="66.599999999999994" thickBot="1" x14ac:dyDescent="0.3">
      <c r="A136" s="194"/>
      <c r="B136" s="218" t="s">
        <v>4</v>
      </c>
      <c r="C136" s="191" t="str">
        <f>A329</f>
        <v>IEA (2017) ETP - Total Mobility RTS Scenario- OECD Region</v>
      </c>
      <c r="D136" s="191" t="str">
        <f>A263</f>
        <v>IEA (2017) ETP - Total Mobility - RTS Scenario - Non OECD Region (less China, Mexico, Brazil, Russia)</v>
      </c>
      <c r="E136" s="191" t="str">
        <f>A398</f>
        <v>IEA (2017) ETP - Total Passenger Mobility - RTS (Only Brazil, Mexico,China, Russia)</v>
      </c>
      <c r="F136" s="191"/>
      <c r="G136" s="191"/>
      <c r="H136" s="191"/>
      <c r="I136" s="191"/>
      <c r="J136" s="191"/>
      <c r="K136" s="192"/>
      <c r="N136" s="219" t="str">
        <f>D136</f>
        <v>IEA (2017) ETP - Total Mobility - RTS Scenario - Non OECD Region (less China, Mexico, Brazil, Russia)</v>
      </c>
      <c r="O136" s="219" t="str">
        <f>E136</f>
        <v>IEA (2017) ETP - Total Passenger Mobility - RTS (Only Brazil, Mexico,China, Russia)</v>
      </c>
      <c r="P136" s="219" t="str">
        <f>C136</f>
        <v>IEA (2017) ETP - Total Mobility RTS Scenario- OECD Region</v>
      </c>
      <c r="Q136" s="219" t="str">
        <f>Q84</f>
        <v>Total</v>
      </c>
      <c r="R136" s="219" t="str">
        <f>R84</f>
        <v>% IEA (2017) ETP - Total Mobility - RTS Scenario - Non OECD Region (less China, Mexico, Brazil, Russia)</v>
      </c>
      <c r="AC136" s="251"/>
    </row>
    <row r="137" spans="1:29" ht="15.6" x14ac:dyDescent="0.3">
      <c r="A137" s="194">
        <v>2014</v>
      </c>
      <c r="B137" s="229">
        <v>53913616479387.047</v>
      </c>
      <c r="C137" s="229">
        <f>H334*10^9</f>
        <v>17944221871904.836</v>
      </c>
      <c r="D137" s="229">
        <f>H268*10^9</f>
        <v>18368056852998.395</v>
      </c>
      <c r="E137" s="229">
        <f>H403*10^9</f>
        <v>14469406876708.885</v>
      </c>
      <c r="F137" s="229"/>
      <c r="G137" s="229"/>
      <c r="H137" s="229"/>
      <c r="I137" s="229"/>
      <c r="J137" s="229"/>
      <c r="K137" s="229"/>
      <c r="N137" s="195">
        <f>D137</f>
        <v>18368056852998.395</v>
      </c>
      <c r="O137" s="195">
        <f>E137</f>
        <v>14469406876708.885</v>
      </c>
      <c r="P137" s="195">
        <f>C137</f>
        <v>17944221871904.836</v>
      </c>
      <c r="Q137" s="195">
        <f>N137+P137+O137</f>
        <v>50781685601612.117</v>
      </c>
      <c r="R137" s="196">
        <f>N137/Q137</f>
        <v>0.36170632454183999</v>
      </c>
      <c r="AC137" s="251"/>
    </row>
    <row r="138" spans="1:29" ht="15.6" x14ac:dyDescent="0.3">
      <c r="A138" s="194">
        <v>2015</v>
      </c>
      <c r="B138" s="229">
        <v>55678286420657.695</v>
      </c>
      <c r="C138" s="229">
        <f t="shared" ref="C138:C183" si="18">H335*10^9</f>
        <v>18025401562858.074</v>
      </c>
      <c r="D138" s="229">
        <f t="shared" ref="D138:D183" si="19">H269*10^9</f>
        <v>18978853431504.145</v>
      </c>
      <c r="E138" s="229">
        <f t="shared" ref="E138:E183" si="20">H404*10^9</f>
        <v>15048168457035.797</v>
      </c>
      <c r="F138" s="229"/>
      <c r="G138" s="229"/>
      <c r="H138" s="229"/>
      <c r="I138" s="229"/>
      <c r="J138" s="229"/>
      <c r="K138" s="229"/>
      <c r="N138" s="195">
        <f t="shared" ref="N138:O183" si="21">D138</f>
        <v>18978853431504.145</v>
      </c>
      <c r="O138" s="195">
        <f t="shared" si="21"/>
        <v>15048168457035.797</v>
      </c>
      <c r="P138" s="195">
        <f t="shared" ref="P138:P183" si="22">C138</f>
        <v>18025401562858.074</v>
      </c>
      <c r="Q138" s="195">
        <f t="shared" ref="Q138:Q183" si="23">N138+P138+O138</f>
        <v>52052423451398.016</v>
      </c>
      <c r="R138" s="196">
        <f t="shared" ref="R138:R182" si="24">N138/Q138</f>
        <v>0.36461037110452565</v>
      </c>
      <c r="AC138" s="251"/>
    </row>
    <row r="139" spans="1:29" ht="15.6" x14ac:dyDescent="0.3">
      <c r="A139" s="194">
        <v>2016</v>
      </c>
      <c r="B139" s="229">
        <v>57692988774069.531</v>
      </c>
      <c r="C139" s="229">
        <f t="shared" si="18"/>
        <v>18154129849832.75</v>
      </c>
      <c r="D139" s="229">
        <f t="shared" si="19"/>
        <v>19627894279113.238</v>
      </c>
      <c r="E139" s="229">
        <f t="shared" si="20"/>
        <v>15591454641211.641</v>
      </c>
      <c r="F139" s="229"/>
      <c r="G139" s="229"/>
      <c r="H139" s="229"/>
      <c r="I139" s="229"/>
      <c r="J139" s="229"/>
      <c r="K139" s="229"/>
      <c r="N139" s="195">
        <f t="shared" si="21"/>
        <v>19627894279113.238</v>
      </c>
      <c r="O139" s="195">
        <f t="shared" si="21"/>
        <v>15591454641211.641</v>
      </c>
      <c r="P139" s="195">
        <f t="shared" si="22"/>
        <v>18154129849832.75</v>
      </c>
      <c r="Q139" s="195">
        <f t="shared" si="23"/>
        <v>53373478770157.625</v>
      </c>
      <c r="R139" s="196">
        <f t="shared" si="24"/>
        <v>0.36774620525742568</v>
      </c>
      <c r="AC139" s="251"/>
    </row>
    <row r="140" spans="1:29" ht="15.6" x14ac:dyDescent="0.3">
      <c r="A140" s="194">
        <v>2017</v>
      </c>
      <c r="B140" s="229">
        <v>59601919354372.109</v>
      </c>
      <c r="C140" s="229">
        <f t="shared" si="18"/>
        <v>18287059411625.629</v>
      </c>
      <c r="D140" s="229">
        <f t="shared" si="19"/>
        <v>20323118928738.949</v>
      </c>
      <c r="E140" s="229">
        <f t="shared" si="20"/>
        <v>16105692283440.336</v>
      </c>
      <c r="F140" s="229"/>
      <c r="G140" s="229"/>
      <c r="H140" s="229"/>
      <c r="I140" s="229"/>
      <c r="J140" s="229"/>
      <c r="K140" s="229"/>
      <c r="N140" s="195">
        <f t="shared" si="21"/>
        <v>20323118928738.949</v>
      </c>
      <c r="O140" s="195">
        <f t="shared" si="21"/>
        <v>16105692283440.336</v>
      </c>
      <c r="P140" s="195">
        <f t="shared" si="22"/>
        <v>18287059411625.629</v>
      </c>
      <c r="Q140" s="195">
        <f t="shared" si="23"/>
        <v>54715870623804.914</v>
      </c>
      <c r="R140" s="196">
        <f t="shared" si="24"/>
        <v>0.37143005671003776</v>
      </c>
      <c r="AC140" s="251"/>
    </row>
    <row r="141" spans="1:29" ht="15.6" x14ac:dyDescent="0.3">
      <c r="A141" s="194">
        <v>2018</v>
      </c>
      <c r="B141" s="229">
        <v>61525567706681.898</v>
      </c>
      <c r="C141" s="229">
        <f t="shared" si="18"/>
        <v>18424023527444.137</v>
      </c>
      <c r="D141" s="229">
        <f t="shared" si="19"/>
        <v>21062266542630.672</v>
      </c>
      <c r="E141" s="229">
        <f t="shared" si="20"/>
        <v>16591686738231.93</v>
      </c>
      <c r="F141" s="229"/>
      <c r="G141" s="229"/>
      <c r="H141" s="229"/>
      <c r="I141" s="229"/>
      <c r="J141" s="229"/>
      <c r="K141" s="229"/>
      <c r="N141" s="195">
        <f t="shared" si="21"/>
        <v>21062266542630.672</v>
      </c>
      <c r="O141" s="195">
        <f t="shared" si="21"/>
        <v>16591686738231.93</v>
      </c>
      <c r="P141" s="195">
        <f t="shared" si="22"/>
        <v>18424023527444.137</v>
      </c>
      <c r="Q141" s="195">
        <f t="shared" si="23"/>
        <v>56077976808306.742</v>
      </c>
      <c r="R141" s="196">
        <f t="shared" si="24"/>
        <v>0.37558891638741776</v>
      </c>
      <c r="AC141" s="251"/>
    </row>
    <row r="142" spans="1:29" ht="16.2" thickBot="1" x14ac:dyDescent="0.35">
      <c r="A142" s="198">
        <v>2019</v>
      </c>
      <c r="B142" s="230">
        <v>63465145659021.469</v>
      </c>
      <c r="C142" s="229">
        <f t="shared" si="18"/>
        <v>18564855476495.68</v>
      </c>
      <c r="D142" s="229">
        <f t="shared" si="19"/>
        <v>21843076283037.773</v>
      </c>
      <c r="E142" s="229">
        <f t="shared" si="20"/>
        <v>17050243360096.473</v>
      </c>
      <c r="F142" s="230"/>
      <c r="G142" s="230"/>
      <c r="H142" s="230"/>
      <c r="I142" s="230"/>
      <c r="J142" s="230"/>
      <c r="K142" s="230"/>
      <c r="N142" s="195">
        <f t="shared" si="21"/>
        <v>21843076283037.773</v>
      </c>
      <c r="O142" s="195">
        <f t="shared" si="21"/>
        <v>17050243360096.473</v>
      </c>
      <c r="P142" s="195">
        <f t="shared" si="22"/>
        <v>18564855476495.68</v>
      </c>
      <c r="Q142" s="195">
        <f t="shared" si="23"/>
        <v>57458175119629.922</v>
      </c>
      <c r="R142" s="199">
        <f t="shared" si="24"/>
        <v>0.38015610898814184</v>
      </c>
      <c r="AC142" s="251"/>
    </row>
    <row r="143" spans="1:29" ht="15.6" x14ac:dyDescent="0.3">
      <c r="A143" s="201">
        <v>2020</v>
      </c>
      <c r="B143" s="228">
        <v>65761741004745.57</v>
      </c>
      <c r="C143" s="229">
        <f t="shared" si="18"/>
        <v>18709388537987.672</v>
      </c>
      <c r="D143" s="229">
        <f t="shared" si="19"/>
        <v>22663287312209.648</v>
      </c>
      <c r="E143" s="229">
        <f t="shared" si="20"/>
        <v>17482167503544.01</v>
      </c>
      <c r="F143" s="228"/>
      <c r="G143" s="228"/>
      <c r="H143" s="228"/>
      <c r="I143" s="228"/>
      <c r="J143" s="228"/>
      <c r="K143" s="228"/>
      <c r="L143" s="202"/>
      <c r="M143" s="202"/>
      <c r="N143" s="195">
        <f t="shared" si="21"/>
        <v>22663287312209.648</v>
      </c>
      <c r="O143" s="195">
        <f t="shared" si="21"/>
        <v>17482167503544.01</v>
      </c>
      <c r="P143" s="195">
        <f t="shared" si="22"/>
        <v>18709388537987.672</v>
      </c>
      <c r="Q143" s="195">
        <f t="shared" si="23"/>
        <v>58854843353741.328</v>
      </c>
      <c r="R143" s="220">
        <f t="shared" si="24"/>
        <v>0.38507089681632756</v>
      </c>
      <c r="AC143" s="251"/>
    </row>
    <row r="144" spans="1:29" ht="15.6" x14ac:dyDescent="0.3">
      <c r="A144" s="206">
        <v>2021</v>
      </c>
      <c r="B144" s="229">
        <v>67397533753010.219</v>
      </c>
      <c r="C144" s="229">
        <f t="shared" si="18"/>
        <v>18857455991127.539</v>
      </c>
      <c r="D144" s="229">
        <f t="shared" si="19"/>
        <v>23520638792395.688</v>
      </c>
      <c r="E144" s="229">
        <f t="shared" si="20"/>
        <v>17888264523084.59</v>
      </c>
      <c r="F144" s="229"/>
      <c r="G144" s="229"/>
      <c r="H144" s="229"/>
      <c r="I144" s="229"/>
      <c r="J144" s="229"/>
      <c r="K144" s="229"/>
      <c r="L144" s="170"/>
      <c r="M144" s="170"/>
      <c r="N144" s="195">
        <f t="shared" si="21"/>
        <v>23520638792395.688</v>
      </c>
      <c r="O144" s="195">
        <f t="shared" si="21"/>
        <v>17888264523084.59</v>
      </c>
      <c r="P144" s="195">
        <f t="shared" si="22"/>
        <v>18857455991127.539</v>
      </c>
      <c r="Q144" s="195">
        <f t="shared" si="23"/>
        <v>60266359306607.813</v>
      </c>
      <c r="R144" s="221">
        <f t="shared" si="24"/>
        <v>0.39027807657557978</v>
      </c>
      <c r="AC144" s="251"/>
    </row>
    <row r="145" spans="1:29" ht="15.6" x14ac:dyDescent="0.3">
      <c r="A145" s="206">
        <v>2022</v>
      </c>
      <c r="B145" s="229">
        <v>69393618284338.953</v>
      </c>
      <c r="C145" s="229">
        <f t="shared" si="18"/>
        <v>19008891115122.68</v>
      </c>
      <c r="D145" s="229">
        <f t="shared" si="19"/>
        <v>24412869885845.258</v>
      </c>
      <c r="E145" s="229">
        <f t="shared" si="20"/>
        <v>18269339773228.262</v>
      </c>
      <c r="F145" s="229"/>
      <c r="G145" s="229"/>
      <c r="H145" s="229"/>
      <c r="I145" s="229"/>
      <c r="J145" s="229"/>
      <c r="K145" s="229"/>
      <c r="L145" s="170"/>
      <c r="M145" s="170"/>
      <c r="N145" s="195">
        <f t="shared" si="21"/>
        <v>24412869885845.258</v>
      </c>
      <c r="O145" s="195">
        <f t="shared" si="21"/>
        <v>18269339773228.262</v>
      </c>
      <c r="P145" s="195">
        <f t="shared" si="22"/>
        <v>19008891115122.68</v>
      </c>
      <c r="Q145" s="195">
        <f t="shared" si="23"/>
        <v>61691100774196.203</v>
      </c>
      <c r="R145" s="221">
        <f t="shared" si="24"/>
        <v>0.39572757787548724</v>
      </c>
      <c r="AC145" s="251"/>
    </row>
    <row r="146" spans="1:29" ht="15.6" x14ac:dyDescent="0.3">
      <c r="A146" s="206">
        <v>2023</v>
      </c>
      <c r="B146" s="229">
        <v>71411950891741.5</v>
      </c>
      <c r="C146" s="229">
        <f t="shared" si="18"/>
        <v>19163527189180.516</v>
      </c>
      <c r="D146" s="229">
        <f t="shared" si="19"/>
        <v>25337719754807.758</v>
      </c>
      <c r="E146" s="229">
        <f t="shared" si="20"/>
        <v>18626198608485.074</v>
      </c>
      <c r="F146" s="229"/>
      <c r="G146" s="229"/>
      <c r="H146" s="229"/>
      <c r="I146" s="229"/>
      <c r="J146" s="229"/>
      <c r="K146" s="229"/>
      <c r="L146" s="170"/>
      <c r="M146" s="170"/>
      <c r="N146" s="195">
        <f t="shared" si="21"/>
        <v>25337719754807.758</v>
      </c>
      <c r="O146" s="195">
        <f t="shared" si="21"/>
        <v>18626198608485.074</v>
      </c>
      <c r="P146" s="195">
        <f t="shared" si="22"/>
        <v>19163527189180.516</v>
      </c>
      <c r="Q146" s="195">
        <f>N146+P146+O146</f>
        <v>63127445552473.344</v>
      </c>
      <c r="R146" s="221">
        <f t="shared" si="24"/>
        <v>0.40137407007458142</v>
      </c>
      <c r="AC146" s="251"/>
    </row>
    <row r="147" spans="1:29" ht="15.6" x14ac:dyDescent="0.3">
      <c r="A147" s="206">
        <v>2024</v>
      </c>
      <c r="B147" s="229">
        <v>73454365324215.75</v>
      </c>
      <c r="C147" s="229">
        <f t="shared" si="18"/>
        <v>19321197492508.465</v>
      </c>
      <c r="D147" s="229">
        <f t="shared" si="19"/>
        <v>26292927561532.559</v>
      </c>
      <c r="E147" s="229">
        <f t="shared" si="20"/>
        <v>18959646383365.07</v>
      </c>
      <c r="F147" s="229"/>
      <c r="G147" s="229"/>
      <c r="H147" s="229"/>
      <c r="I147" s="229"/>
      <c r="J147" s="229"/>
      <c r="K147" s="229"/>
      <c r="L147" s="170"/>
      <c r="M147" s="170"/>
      <c r="N147" s="195">
        <f t="shared" si="21"/>
        <v>26292927561532.559</v>
      </c>
      <c r="O147" s="195">
        <f t="shared" si="21"/>
        <v>18959646383365.07</v>
      </c>
      <c r="P147" s="195">
        <f t="shared" si="22"/>
        <v>19321197492508.465</v>
      </c>
      <c r="Q147" s="195">
        <f t="shared" si="23"/>
        <v>64573771437406.094</v>
      </c>
      <c r="R147" s="221">
        <f t="shared" si="24"/>
        <v>0.40717658232211712</v>
      </c>
      <c r="AC147" s="251"/>
    </row>
    <row r="148" spans="1:29" ht="15.6" x14ac:dyDescent="0.3">
      <c r="A148" s="206">
        <v>2025</v>
      </c>
      <c r="B148" s="229">
        <v>75554478390659.281</v>
      </c>
      <c r="C148" s="229">
        <f t="shared" si="18"/>
        <v>19306940551878.398</v>
      </c>
      <c r="D148" s="229">
        <f t="shared" si="19"/>
        <v>27263068278567.23</v>
      </c>
      <c r="E148" s="229">
        <f t="shared" si="20"/>
        <v>19245593086862.871</v>
      </c>
      <c r="F148" s="229"/>
      <c r="G148" s="229"/>
      <c r="H148" s="229"/>
      <c r="I148" s="229"/>
      <c r="J148" s="229"/>
      <c r="K148" s="229"/>
      <c r="L148" s="170"/>
      <c r="M148" s="170"/>
      <c r="N148" s="195">
        <f t="shared" si="21"/>
        <v>27263068278567.23</v>
      </c>
      <c r="O148" s="195">
        <f t="shared" si="21"/>
        <v>19245593086862.871</v>
      </c>
      <c r="P148" s="195">
        <f t="shared" si="22"/>
        <v>19306940551878.398</v>
      </c>
      <c r="Q148" s="195">
        <f t="shared" si="23"/>
        <v>65815601917308.5</v>
      </c>
      <c r="R148" s="221">
        <f t="shared" si="24"/>
        <v>0.41423412510639757</v>
      </c>
      <c r="AC148" s="251"/>
    </row>
    <row r="149" spans="1:29" ht="15.6" x14ac:dyDescent="0.3">
      <c r="A149" s="206">
        <v>2026</v>
      </c>
      <c r="B149" s="229">
        <v>77618593950524.156</v>
      </c>
      <c r="C149" s="229">
        <f t="shared" si="18"/>
        <v>19644973903804.34</v>
      </c>
      <c r="D149" s="229">
        <f t="shared" si="19"/>
        <v>28285373637266.633</v>
      </c>
      <c r="E149" s="229">
        <f t="shared" si="20"/>
        <v>19559530170034.813</v>
      </c>
      <c r="F149" s="229"/>
      <c r="G149" s="229"/>
      <c r="H149" s="229"/>
      <c r="I149" s="229"/>
      <c r="J149" s="229"/>
      <c r="K149" s="229"/>
      <c r="L149" s="170"/>
      <c r="M149" s="170"/>
      <c r="N149" s="195">
        <f t="shared" si="21"/>
        <v>28285373637266.633</v>
      </c>
      <c r="O149" s="195">
        <f t="shared" si="21"/>
        <v>19559530170034.813</v>
      </c>
      <c r="P149" s="195">
        <f t="shared" si="22"/>
        <v>19644973903804.34</v>
      </c>
      <c r="Q149" s="195">
        <f t="shared" si="23"/>
        <v>67489877711105.781</v>
      </c>
      <c r="R149" s="221">
        <f t="shared" si="24"/>
        <v>0.41910542138398538</v>
      </c>
      <c r="AC149" s="251"/>
    </row>
    <row r="150" spans="1:29" ht="15.6" x14ac:dyDescent="0.3">
      <c r="A150" s="206">
        <v>2027</v>
      </c>
      <c r="B150" s="229">
        <v>79743788218577.156</v>
      </c>
      <c r="C150" s="229">
        <f t="shared" si="18"/>
        <v>19810746570187.098</v>
      </c>
      <c r="D150" s="229">
        <f t="shared" si="19"/>
        <v>29318090230774.664</v>
      </c>
      <c r="E150" s="229">
        <f t="shared" si="20"/>
        <v>19827576890844.66</v>
      </c>
      <c r="F150" s="229"/>
      <c r="G150" s="229"/>
      <c r="H150" s="229"/>
      <c r="I150" s="229"/>
      <c r="J150" s="229"/>
      <c r="K150" s="229"/>
      <c r="L150" s="170"/>
      <c r="M150" s="170"/>
      <c r="N150" s="195">
        <f t="shared" si="21"/>
        <v>29318090230774.664</v>
      </c>
      <c r="O150" s="195">
        <f t="shared" si="21"/>
        <v>19827576890844.66</v>
      </c>
      <c r="P150" s="195">
        <f t="shared" si="22"/>
        <v>19810746570187.098</v>
      </c>
      <c r="Q150" s="195">
        <f t="shared" si="23"/>
        <v>68956413691806.422</v>
      </c>
      <c r="R150" s="221">
        <f t="shared" si="24"/>
        <v>0.42516843120364184</v>
      </c>
      <c r="AC150" s="251"/>
    </row>
    <row r="151" spans="1:29" ht="15.6" x14ac:dyDescent="0.3">
      <c r="A151" s="206">
        <v>2028</v>
      </c>
      <c r="B151" s="229">
        <v>81900020235283.281</v>
      </c>
      <c r="C151" s="229">
        <f t="shared" si="18"/>
        <v>19978886582669.625</v>
      </c>
      <c r="D151" s="229">
        <f t="shared" si="19"/>
        <v>30372121411042.543</v>
      </c>
      <c r="E151" s="229">
        <f t="shared" si="20"/>
        <v>20075433969317.879</v>
      </c>
      <c r="F151" s="229"/>
      <c r="G151" s="229"/>
      <c r="H151" s="229"/>
      <c r="I151" s="229"/>
      <c r="J151" s="229"/>
      <c r="K151" s="229"/>
      <c r="L151" s="170"/>
      <c r="M151" s="170"/>
      <c r="N151" s="195">
        <f t="shared" si="21"/>
        <v>30372121411042.543</v>
      </c>
      <c r="O151" s="195">
        <f t="shared" si="21"/>
        <v>20075433969317.879</v>
      </c>
      <c r="P151" s="195">
        <f t="shared" si="22"/>
        <v>19978886582669.625</v>
      </c>
      <c r="Q151" s="195">
        <f t="shared" si="23"/>
        <v>70426441963030.047</v>
      </c>
      <c r="R151" s="221">
        <f t="shared" si="24"/>
        <v>0.43126019949987265</v>
      </c>
      <c r="AC151" s="251"/>
    </row>
    <row r="152" spans="1:29" ht="15.6" x14ac:dyDescent="0.3">
      <c r="A152" s="206">
        <v>2029</v>
      </c>
      <c r="B152" s="229">
        <v>84089069653541.25</v>
      </c>
      <c r="C152" s="229">
        <f t="shared" si="18"/>
        <v>20149227220459.328</v>
      </c>
      <c r="D152" s="229">
        <f t="shared" si="19"/>
        <v>31445206340319.648</v>
      </c>
      <c r="E152" s="229">
        <f t="shared" si="20"/>
        <v>20303906759964.527</v>
      </c>
      <c r="F152" s="229"/>
      <c r="G152" s="229"/>
      <c r="H152" s="229"/>
      <c r="I152" s="229"/>
      <c r="J152" s="229"/>
      <c r="K152" s="229"/>
      <c r="L152" s="170"/>
      <c r="M152" s="170"/>
      <c r="N152" s="195">
        <f t="shared" si="21"/>
        <v>31445206340319.648</v>
      </c>
      <c r="O152" s="195">
        <f t="shared" si="21"/>
        <v>20303906759964.527</v>
      </c>
      <c r="P152" s="195">
        <f t="shared" si="22"/>
        <v>20149227220459.328</v>
      </c>
      <c r="Q152" s="195">
        <f t="shared" si="23"/>
        <v>71898340320743.5</v>
      </c>
      <c r="R152" s="221">
        <f t="shared" si="24"/>
        <v>0.43735649807826432</v>
      </c>
      <c r="AC152" s="251"/>
    </row>
    <row r="153" spans="1:29" ht="15.6" x14ac:dyDescent="0.3">
      <c r="A153" s="206">
        <v>2030</v>
      </c>
      <c r="B153" s="229">
        <v>86334505600936.672</v>
      </c>
      <c r="C153" s="229">
        <f t="shared" si="18"/>
        <v>20348813621570.133</v>
      </c>
      <c r="D153" s="229">
        <f t="shared" si="19"/>
        <v>32636176165275.066</v>
      </c>
      <c r="E153" s="229">
        <f t="shared" si="20"/>
        <v>20599511361523.77</v>
      </c>
      <c r="F153" s="229"/>
      <c r="G153" s="229"/>
      <c r="H153" s="229"/>
      <c r="I153" s="229"/>
      <c r="J153" s="229"/>
      <c r="K153" s="229"/>
      <c r="L153" s="170"/>
      <c r="M153" s="170"/>
      <c r="N153" s="195">
        <f t="shared" si="21"/>
        <v>32636176165275.066</v>
      </c>
      <c r="O153" s="195">
        <f t="shared" si="21"/>
        <v>20599511361523.77</v>
      </c>
      <c r="P153" s="195">
        <f t="shared" si="22"/>
        <v>20348813621570.133</v>
      </c>
      <c r="Q153" s="195">
        <f t="shared" si="23"/>
        <v>73584501148368.969</v>
      </c>
      <c r="R153" s="221">
        <f t="shared" si="24"/>
        <v>0.44351970395872503</v>
      </c>
      <c r="AC153" s="251"/>
    </row>
    <row r="154" spans="1:29" ht="15.6" x14ac:dyDescent="0.3">
      <c r="A154" s="206">
        <v>2031</v>
      </c>
      <c r="B154" s="229">
        <v>88572741338887.563</v>
      </c>
      <c r="C154" s="229">
        <f t="shared" si="18"/>
        <v>20495843488789.93</v>
      </c>
      <c r="D154" s="229">
        <f t="shared" si="19"/>
        <v>33639494094899.078</v>
      </c>
      <c r="E154" s="229">
        <f t="shared" si="20"/>
        <v>20705920895818.289</v>
      </c>
      <c r="F154" s="229"/>
      <c r="G154" s="229"/>
      <c r="H154" s="229"/>
      <c r="I154" s="229"/>
      <c r="J154" s="229"/>
      <c r="K154" s="229"/>
      <c r="L154" s="170"/>
      <c r="M154" s="170"/>
      <c r="N154" s="195">
        <f t="shared" si="21"/>
        <v>33639494094899.078</v>
      </c>
      <c r="O154" s="195">
        <f t="shared" si="21"/>
        <v>20705920895818.289</v>
      </c>
      <c r="P154" s="195">
        <f t="shared" si="22"/>
        <v>20495843488789.93</v>
      </c>
      <c r="Q154" s="195">
        <f t="shared" si="23"/>
        <v>74841258479507.297</v>
      </c>
      <c r="R154" s="221">
        <f t="shared" si="24"/>
        <v>0.44947793207018422</v>
      </c>
      <c r="AC154" s="251"/>
    </row>
    <row r="155" spans="1:29" ht="15.6" x14ac:dyDescent="0.3">
      <c r="A155" s="206">
        <v>2032</v>
      </c>
      <c r="B155" s="229">
        <v>90870909365440.188</v>
      </c>
      <c r="C155" s="229">
        <f t="shared" si="18"/>
        <v>20671785677745.656</v>
      </c>
      <c r="D155" s="229">
        <f t="shared" si="19"/>
        <v>34756175244700.172</v>
      </c>
      <c r="E155" s="229">
        <f t="shared" si="20"/>
        <v>20881072950045.504</v>
      </c>
      <c r="F155" s="229"/>
      <c r="G155" s="229"/>
      <c r="H155" s="229"/>
      <c r="I155" s="229"/>
      <c r="J155" s="229"/>
      <c r="K155" s="229"/>
      <c r="L155" s="170"/>
      <c r="M155" s="170"/>
      <c r="N155" s="195">
        <f t="shared" si="21"/>
        <v>34756175244700.172</v>
      </c>
      <c r="O155" s="195">
        <f t="shared" si="21"/>
        <v>20881072950045.504</v>
      </c>
      <c r="P155" s="195">
        <f t="shared" si="22"/>
        <v>20671785677745.656</v>
      </c>
      <c r="Q155" s="195">
        <f t="shared" si="23"/>
        <v>76309033872491.328</v>
      </c>
      <c r="R155" s="221">
        <f t="shared" si="24"/>
        <v>0.45546606320263527</v>
      </c>
      <c r="AC155" s="251"/>
    </row>
    <row r="156" spans="1:29" ht="15.6" x14ac:dyDescent="0.3">
      <c r="A156" s="206">
        <v>2033</v>
      </c>
      <c r="B156" s="229">
        <v>93209053280847.188</v>
      </c>
      <c r="C156" s="229">
        <f t="shared" si="18"/>
        <v>20849261608838.223</v>
      </c>
      <c r="D156" s="229">
        <f t="shared" si="19"/>
        <v>35882866792508.031</v>
      </c>
      <c r="E156" s="229">
        <f t="shared" si="20"/>
        <v>21040062134486.332</v>
      </c>
      <c r="F156" s="229"/>
      <c r="G156" s="229"/>
      <c r="H156" s="229"/>
      <c r="I156" s="229"/>
      <c r="J156" s="229"/>
      <c r="K156" s="229"/>
      <c r="L156" s="170"/>
      <c r="M156" s="170"/>
      <c r="N156" s="195">
        <f t="shared" si="21"/>
        <v>35882866792508.031</v>
      </c>
      <c r="O156" s="195">
        <f t="shared" si="21"/>
        <v>21040062134486.332</v>
      </c>
      <c r="P156" s="195">
        <f t="shared" si="22"/>
        <v>20849261608838.223</v>
      </c>
      <c r="Q156" s="195">
        <f t="shared" si="23"/>
        <v>77772190535832.578</v>
      </c>
      <c r="R156" s="221">
        <f t="shared" si="24"/>
        <v>0.46138428846202351</v>
      </c>
      <c r="AC156" s="251"/>
    </row>
    <row r="157" spans="1:29" ht="15.6" x14ac:dyDescent="0.3">
      <c r="A157" s="206">
        <v>2034</v>
      </c>
      <c r="B157" s="229">
        <v>95589025493656.359</v>
      </c>
      <c r="C157" s="229">
        <f t="shared" si="18"/>
        <v>21028104561275.043</v>
      </c>
      <c r="D157" s="229">
        <f t="shared" si="19"/>
        <v>37017307900572.039</v>
      </c>
      <c r="E157" s="229">
        <f t="shared" si="20"/>
        <v>21183693803650.824</v>
      </c>
      <c r="F157" s="229"/>
      <c r="G157" s="229"/>
      <c r="H157" s="229"/>
      <c r="I157" s="229"/>
      <c r="J157" s="229"/>
      <c r="K157" s="229"/>
      <c r="L157" s="170"/>
      <c r="M157" s="170"/>
      <c r="N157" s="195">
        <f t="shared" si="21"/>
        <v>37017307900572.039</v>
      </c>
      <c r="O157" s="195">
        <f t="shared" si="21"/>
        <v>21183693803650.824</v>
      </c>
      <c r="P157" s="195">
        <f t="shared" si="22"/>
        <v>21028104561275.043</v>
      </c>
      <c r="Q157" s="195">
        <f t="shared" si="23"/>
        <v>79229106265497.906</v>
      </c>
      <c r="R157" s="221">
        <f t="shared" si="24"/>
        <v>0.46721854688763614</v>
      </c>
      <c r="AC157" s="251"/>
    </row>
    <row r="158" spans="1:29" ht="15.6" x14ac:dyDescent="0.3">
      <c r="A158" s="206">
        <v>2035</v>
      </c>
      <c r="B158" s="229">
        <v>97869687583147.125</v>
      </c>
      <c r="C158" s="229">
        <f t="shared" si="18"/>
        <v>21350284944639.516</v>
      </c>
      <c r="D158" s="229">
        <f t="shared" si="19"/>
        <v>38137056156610.328</v>
      </c>
      <c r="E158" s="229">
        <f t="shared" si="20"/>
        <v>21336986419114.645</v>
      </c>
      <c r="F158" s="229"/>
      <c r="G158" s="229"/>
      <c r="H158" s="229"/>
      <c r="I158" s="229"/>
      <c r="J158" s="229"/>
      <c r="K158" s="229"/>
      <c r="L158" s="170"/>
      <c r="M158" s="170"/>
      <c r="N158" s="195">
        <f t="shared" si="21"/>
        <v>38137056156610.328</v>
      </c>
      <c r="O158" s="195">
        <f t="shared" si="21"/>
        <v>21336986419114.645</v>
      </c>
      <c r="P158" s="195">
        <f t="shared" si="22"/>
        <v>21350284944639.516</v>
      </c>
      <c r="Q158" s="195">
        <f t="shared" si="23"/>
        <v>80824327520364.484</v>
      </c>
      <c r="R158" s="221">
        <f t="shared" si="24"/>
        <v>0.47185120280773535</v>
      </c>
      <c r="AC158" s="251"/>
    </row>
    <row r="159" spans="1:29" ht="15.6" x14ac:dyDescent="0.3">
      <c r="A159" s="206">
        <v>2036</v>
      </c>
      <c r="B159" s="229">
        <v>100481795208586.7</v>
      </c>
      <c r="C159" s="229">
        <f t="shared" si="18"/>
        <v>21389224647011.086</v>
      </c>
      <c r="D159" s="229">
        <f t="shared" si="19"/>
        <v>39300395446466.023</v>
      </c>
      <c r="E159" s="229">
        <f t="shared" si="20"/>
        <v>21428106014191</v>
      </c>
      <c r="F159" s="229"/>
      <c r="G159" s="229"/>
      <c r="H159" s="229"/>
      <c r="I159" s="229"/>
      <c r="J159" s="229"/>
      <c r="K159" s="229"/>
      <c r="L159" s="170"/>
      <c r="M159" s="170"/>
      <c r="N159" s="195">
        <f t="shared" si="21"/>
        <v>39300395446466.023</v>
      </c>
      <c r="O159" s="195">
        <f t="shared" si="21"/>
        <v>21428106014191</v>
      </c>
      <c r="P159" s="195">
        <f t="shared" si="22"/>
        <v>21389224647011.086</v>
      </c>
      <c r="Q159" s="195">
        <f t="shared" si="23"/>
        <v>82117726107668.109</v>
      </c>
      <c r="R159" s="221">
        <f t="shared" si="24"/>
        <v>0.47858601679907176</v>
      </c>
      <c r="AC159" s="251"/>
    </row>
    <row r="160" spans="1:29" ht="15.6" x14ac:dyDescent="0.3">
      <c r="A160" s="206">
        <v>2037</v>
      </c>
      <c r="B160" s="229">
        <v>102998193389602.44</v>
      </c>
      <c r="C160" s="229">
        <f t="shared" si="18"/>
        <v>21571168338725.137</v>
      </c>
      <c r="D160" s="229">
        <f t="shared" si="19"/>
        <v>40444520208794.773</v>
      </c>
      <c r="E160" s="229">
        <f t="shared" si="20"/>
        <v>21530497264586.773</v>
      </c>
      <c r="F160" s="229"/>
      <c r="G160" s="229"/>
      <c r="H160" s="229"/>
      <c r="I160" s="229"/>
      <c r="J160" s="229"/>
      <c r="K160" s="229"/>
      <c r="L160" s="170"/>
      <c r="M160" s="170"/>
      <c r="N160" s="195">
        <f t="shared" si="21"/>
        <v>40444520208794.773</v>
      </c>
      <c r="O160" s="195">
        <f t="shared" si="21"/>
        <v>21530497264586.773</v>
      </c>
      <c r="P160" s="195">
        <f t="shared" si="22"/>
        <v>21571168338725.137</v>
      </c>
      <c r="Q160" s="195">
        <f t="shared" si="23"/>
        <v>83546185812106.688</v>
      </c>
      <c r="R160" s="221">
        <f t="shared" si="24"/>
        <v>0.48409774564399027</v>
      </c>
      <c r="AC160" s="251"/>
    </row>
    <row r="161" spans="1:29" ht="15.6" x14ac:dyDescent="0.3">
      <c r="A161" s="206">
        <v>2038</v>
      </c>
      <c r="B161" s="229">
        <v>105563726129405.5</v>
      </c>
      <c r="C161" s="229">
        <f t="shared" si="18"/>
        <v>21753812168613.098</v>
      </c>
      <c r="D161" s="229">
        <f t="shared" si="19"/>
        <v>41587351180377.211</v>
      </c>
      <c r="E161" s="229">
        <f t="shared" si="20"/>
        <v>21620752417746.406</v>
      </c>
      <c r="F161" s="229"/>
      <c r="G161" s="229"/>
      <c r="H161" s="229"/>
      <c r="I161" s="229"/>
      <c r="J161" s="229"/>
      <c r="K161" s="229"/>
      <c r="L161" s="170"/>
      <c r="M161" s="170"/>
      <c r="N161" s="195">
        <f t="shared" si="21"/>
        <v>41587351180377.211</v>
      </c>
      <c r="O161" s="195">
        <f t="shared" si="21"/>
        <v>21620752417746.406</v>
      </c>
      <c r="P161" s="195">
        <f t="shared" si="22"/>
        <v>21753812168613.098</v>
      </c>
      <c r="Q161" s="195">
        <f t="shared" si="23"/>
        <v>84961915766736.719</v>
      </c>
      <c r="R161" s="221">
        <f t="shared" si="24"/>
        <v>0.48948226749683293</v>
      </c>
      <c r="AC161" s="251"/>
    </row>
    <row r="162" spans="1:29" ht="15.6" x14ac:dyDescent="0.3">
      <c r="A162" s="206">
        <v>2039</v>
      </c>
      <c r="B162" s="229">
        <v>108180270189690.78</v>
      </c>
      <c r="C162" s="229">
        <f t="shared" si="18"/>
        <v>21936989415882.379</v>
      </c>
      <c r="D162" s="229">
        <f t="shared" si="19"/>
        <v>42726627523462.711</v>
      </c>
      <c r="E162" s="229">
        <f t="shared" si="20"/>
        <v>21699676828179.941</v>
      </c>
      <c r="F162" s="229"/>
      <c r="G162" s="229"/>
      <c r="H162" s="229"/>
      <c r="I162" s="229"/>
      <c r="J162" s="229"/>
      <c r="K162" s="229"/>
      <c r="L162" s="170"/>
      <c r="M162" s="170"/>
      <c r="N162" s="195">
        <f t="shared" si="21"/>
        <v>42726627523462.711</v>
      </c>
      <c r="O162" s="195">
        <f t="shared" si="21"/>
        <v>21699676828179.941</v>
      </c>
      <c r="P162" s="195">
        <f t="shared" si="22"/>
        <v>21936989415882.379</v>
      </c>
      <c r="Q162" s="195">
        <f t="shared" si="23"/>
        <v>86363293767525.031</v>
      </c>
      <c r="R162" s="221">
        <f t="shared" si="24"/>
        <v>0.49473133387519197</v>
      </c>
      <c r="AC162" s="251"/>
    </row>
    <row r="163" spans="1:29" ht="15.6" x14ac:dyDescent="0.3">
      <c r="A163" s="206">
        <v>2040</v>
      </c>
      <c r="B163" s="229">
        <v>110730691963199.72</v>
      </c>
      <c r="C163" s="229">
        <f t="shared" si="18"/>
        <v>22196535946223.188</v>
      </c>
      <c r="D163" s="229">
        <f t="shared" si="19"/>
        <v>43754240410899.055</v>
      </c>
      <c r="E163" s="229">
        <f t="shared" si="20"/>
        <v>21616946288050.941</v>
      </c>
      <c r="F163" s="229"/>
      <c r="G163" s="229"/>
      <c r="H163" s="229"/>
      <c r="I163" s="229"/>
      <c r="J163" s="229"/>
      <c r="K163" s="229"/>
      <c r="L163" s="170"/>
      <c r="M163" s="170"/>
      <c r="N163" s="195">
        <f t="shared" si="21"/>
        <v>43754240410899.055</v>
      </c>
      <c r="O163" s="195">
        <f t="shared" si="21"/>
        <v>21616946288050.941</v>
      </c>
      <c r="P163" s="195">
        <f t="shared" si="22"/>
        <v>22196535946223.188</v>
      </c>
      <c r="Q163" s="195">
        <f t="shared" si="23"/>
        <v>87567722645173.188</v>
      </c>
      <c r="R163" s="221">
        <f t="shared" si="24"/>
        <v>0.49966173710137968</v>
      </c>
      <c r="AC163" s="251"/>
    </row>
    <row r="164" spans="1:29" ht="15.6" x14ac:dyDescent="0.3">
      <c r="A164" s="206">
        <v>2041</v>
      </c>
      <c r="B164" s="229">
        <v>113573784469756.03</v>
      </c>
      <c r="C164" s="229">
        <f t="shared" si="18"/>
        <v>22304277279394.57</v>
      </c>
      <c r="D164" s="229">
        <f t="shared" si="19"/>
        <v>44985472973140.461</v>
      </c>
      <c r="E164" s="229">
        <f t="shared" si="20"/>
        <v>21826754838908.914</v>
      </c>
      <c r="F164" s="229"/>
      <c r="G164" s="229"/>
      <c r="H164" s="229"/>
      <c r="I164" s="229"/>
      <c r="J164" s="229"/>
      <c r="K164" s="229"/>
      <c r="L164" s="170"/>
      <c r="M164" s="170"/>
      <c r="N164" s="195">
        <f t="shared" si="21"/>
        <v>44985472973140.461</v>
      </c>
      <c r="O164" s="195">
        <f t="shared" si="21"/>
        <v>21826754838908.914</v>
      </c>
      <c r="P164" s="195">
        <f t="shared" si="22"/>
        <v>22304277279394.57</v>
      </c>
      <c r="Q164" s="195">
        <f>N164+P164+O164</f>
        <v>89116505091443.938</v>
      </c>
      <c r="R164" s="221">
        <f>N164/Q164</f>
        <v>0.50479395401536575</v>
      </c>
      <c r="AC164" s="251"/>
    </row>
    <row r="165" spans="1:29" ht="15.6" x14ac:dyDescent="0.3">
      <c r="A165" s="206">
        <v>2042</v>
      </c>
      <c r="B165" s="229">
        <v>116354356409893.25</v>
      </c>
      <c r="C165" s="229">
        <f t="shared" si="18"/>
        <v>22488054454052.305</v>
      </c>
      <c r="D165" s="229">
        <f t="shared" si="19"/>
        <v>46100520404231.469</v>
      </c>
      <c r="E165" s="229">
        <f t="shared" si="20"/>
        <v>21876519148224.449</v>
      </c>
      <c r="F165" s="229"/>
      <c r="G165" s="229"/>
      <c r="H165" s="229"/>
      <c r="I165" s="229"/>
      <c r="J165" s="229"/>
      <c r="K165" s="229"/>
      <c r="L165" s="170"/>
      <c r="M165" s="170"/>
      <c r="N165" s="195">
        <f t="shared" si="21"/>
        <v>46100520404231.469</v>
      </c>
      <c r="O165" s="195">
        <f t="shared" si="21"/>
        <v>21876519148224.449</v>
      </c>
      <c r="P165" s="195">
        <f t="shared" si="22"/>
        <v>22488054454052.305</v>
      </c>
      <c r="Q165" s="195">
        <f t="shared" si="23"/>
        <v>90465094006508.219</v>
      </c>
      <c r="R165" s="221">
        <f t="shared" si="24"/>
        <v>0.50959456694882688</v>
      </c>
      <c r="AC165" s="251"/>
    </row>
    <row r="166" spans="1:29" ht="15.6" x14ac:dyDescent="0.3">
      <c r="A166" s="206">
        <v>2043</v>
      </c>
      <c r="B166" s="229">
        <v>119193105301878.38</v>
      </c>
      <c r="C166" s="229">
        <f t="shared" si="18"/>
        <v>22671698162921.012</v>
      </c>
      <c r="D166" s="229">
        <f t="shared" si="19"/>
        <v>47202969855823.086</v>
      </c>
      <c r="E166" s="229">
        <f t="shared" si="20"/>
        <v>21918174132854.082</v>
      </c>
      <c r="F166" s="229"/>
      <c r="G166" s="229"/>
      <c r="H166" s="229"/>
      <c r="I166" s="229"/>
      <c r="J166" s="229"/>
      <c r="K166" s="229"/>
      <c r="L166" s="170"/>
      <c r="M166" s="170"/>
      <c r="N166" s="195">
        <f t="shared" si="21"/>
        <v>47202969855823.086</v>
      </c>
      <c r="O166" s="195">
        <f t="shared" si="21"/>
        <v>21918174132854.082</v>
      </c>
      <c r="P166" s="195">
        <f t="shared" si="22"/>
        <v>22671698162921.012</v>
      </c>
      <c r="Q166" s="195">
        <f t="shared" si="23"/>
        <v>91792842151598.172</v>
      </c>
      <c r="R166" s="221">
        <f t="shared" si="24"/>
        <v>0.51423366734702691</v>
      </c>
      <c r="AC166" s="251"/>
    </row>
    <row r="167" spans="1:29" ht="15.6" x14ac:dyDescent="0.3">
      <c r="A167" s="206">
        <v>2044</v>
      </c>
      <c r="B167" s="229">
        <v>122091689897161.66</v>
      </c>
      <c r="C167" s="229">
        <f t="shared" si="18"/>
        <v>22855041685208.117</v>
      </c>
      <c r="D167" s="229">
        <f t="shared" si="19"/>
        <v>48290560490164.688</v>
      </c>
      <c r="E167" s="229">
        <f t="shared" si="20"/>
        <v>21952525147307.852</v>
      </c>
      <c r="F167" s="229"/>
      <c r="G167" s="229"/>
      <c r="H167" s="229"/>
      <c r="I167" s="229"/>
      <c r="J167" s="229"/>
      <c r="K167" s="229"/>
      <c r="L167" s="170"/>
      <c r="M167" s="170"/>
      <c r="N167" s="195">
        <f t="shared" si="21"/>
        <v>48290560490164.688</v>
      </c>
      <c r="O167" s="195">
        <f t="shared" si="21"/>
        <v>21952525147307.852</v>
      </c>
      <c r="P167" s="195">
        <f t="shared" si="22"/>
        <v>22855041685208.117</v>
      </c>
      <c r="Q167" s="195">
        <f t="shared" si="23"/>
        <v>93098127322680.656</v>
      </c>
      <c r="R167" s="221">
        <f t="shared" si="24"/>
        <v>0.51870603500743129</v>
      </c>
      <c r="AC167" s="251"/>
    </row>
    <row r="168" spans="1:29" ht="15.6" x14ac:dyDescent="0.3">
      <c r="A168" s="206">
        <v>2045</v>
      </c>
      <c r="B168" s="229">
        <v>125206990652904.91</v>
      </c>
      <c r="C168" s="229">
        <f t="shared" si="18"/>
        <v>22977062415569.961</v>
      </c>
      <c r="D168" s="229">
        <f t="shared" si="19"/>
        <v>49348565279054.758</v>
      </c>
      <c r="E168" s="229">
        <f t="shared" si="20"/>
        <v>22008790757570.328</v>
      </c>
      <c r="F168" s="229"/>
      <c r="G168" s="229"/>
      <c r="H168" s="229"/>
      <c r="I168" s="229"/>
      <c r="J168" s="229"/>
      <c r="K168" s="229"/>
      <c r="L168" s="170"/>
      <c r="M168" s="170"/>
      <c r="N168" s="195">
        <f t="shared" si="21"/>
        <v>49348565279054.758</v>
      </c>
      <c r="O168" s="195">
        <f t="shared" si="21"/>
        <v>22008790757570.328</v>
      </c>
      <c r="P168" s="195">
        <f t="shared" si="22"/>
        <v>22977062415569.961</v>
      </c>
      <c r="Q168" s="195">
        <f t="shared" si="23"/>
        <v>94334418452195.047</v>
      </c>
      <c r="R168" s="221">
        <f t="shared" si="24"/>
        <v>0.52312364976376735</v>
      </c>
      <c r="AC168" s="251"/>
    </row>
    <row r="169" spans="1:29" ht="15.6" x14ac:dyDescent="0.3">
      <c r="A169" s="206">
        <v>2046</v>
      </c>
      <c r="B169" s="229">
        <v>128075077740024.94</v>
      </c>
      <c r="C169" s="229">
        <f t="shared" si="18"/>
        <v>23220161286867.164</v>
      </c>
      <c r="D169" s="229">
        <f t="shared" si="19"/>
        <v>50412121956095.391</v>
      </c>
      <c r="E169" s="229">
        <f t="shared" si="20"/>
        <v>22002536683728.02</v>
      </c>
      <c r="F169" s="229"/>
      <c r="G169" s="229"/>
      <c r="H169" s="229"/>
      <c r="I169" s="229"/>
      <c r="J169" s="229"/>
      <c r="K169" s="229"/>
      <c r="L169" s="170"/>
      <c r="M169" s="170"/>
      <c r="N169" s="195">
        <f t="shared" si="21"/>
        <v>50412121956095.391</v>
      </c>
      <c r="O169" s="195">
        <f t="shared" si="21"/>
        <v>22002536683728.02</v>
      </c>
      <c r="P169" s="195">
        <f t="shared" si="22"/>
        <v>23220161286867.164</v>
      </c>
      <c r="Q169" s="195">
        <f t="shared" si="23"/>
        <v>95634819926690.578</v>
      </c>
      <c r="R169" s="221">
        <f t="shared" si="24"/>
        <v>0.52713145687668039</v>
      </c>
      <c r="AC169" s="251"/>
    </row>
    <row r="170" spans="1:29" ht="15.6" x14ac:dyDescent="0.3">
      <c r="A170" s="206">
        <v>2047</v>
      </c>
      <c r="B170" s="229">
        <v>131163332525058.88</v>
      </c>
      <c r="C170" s="229">
        <f t="shared" si="18"/>
        <v>23401603924653.934</v>
      </c>
      <c r="D170" s="229">
        <f t="shared" si="19"/>
        <v>51441571112183.266</v>
      </c>
      <c r="E170" s="229">
        <f t="shared" si="20"/>
        <v>22019807914714.508</v>
      </c>
      <c r="F170" s="229"/>
      <c r="G170" s="229"/>
      <c r="H170" s="229"/>
      <c r="I170" s="229"/>
      <c r="J170" s="229"/>
      <c r="K170" s="229"/>
      <c r="L170" s="170"/>
      <c r="M170" s="170"/>
      <c r="N170" s="195">
        <f t="shared" si="21"/>
        <v>51441571112183.266</v>
      </c>
      <c r="O170" s="195">
        <f t="shared" si="21"/>
        <v>22019807914714.508</v>
      </c>
      <c r="P170" s="195">
        <f t="shared" si="22"/>
        <v>23401603924653.934</v>
      </c>
      <c r="Q170" s="195">
        <f t="shared" si="23"/>
        <v>96862982951551.719</v>
      </c>
      <c r="R170" s="221">
        <f t="shared" si="24"/>
        <v>0.53107564463416301</v>
      </c>
      <c r="AC170" s="251"/>
    </row>
    <row r="171" spans="1:29" ht="15.6" x14ac:dyDescent="0.3">
      <c r="A171" s="206">
        <v>2048</v>
      </c>
      <c r="B171" s="229">
        <v>134318227588364.42</v>
      </c>
      <c r="C171" s="229">
        <f t="shared" si="18"/>
        <v>23582079492688.75</v>
      </c>
      <c r="D171" s="229">
        <f t="shared" si="19"/>
        <v>52447118100018.656</v>
      </c>
      <c r="E171" s="229">
        <f t="shared" si="20"/>
        <v>22032996593565.332</v>
      </c>
      <c r="F171" s="229"/>
      <c r="G171" s="229"/>
      <c r="H171" s="229"/>
      <c r="I171" s="229"/>
      <c r="J171" s="229"/>
      <c r="K171" s="229"/>
      <c r="L171" s="170"/>
      <c r="M171" s="170"/>
      <c r="N171" s="195">
        <f t="shared" si="21"/>
        <v>52447118100018.656</v>
      </c>
      <c r="O171" s="195">
        <f t="shared" si="21"/>
        <v>22032996593565.332</v>
      </c>
      <c r="P171" s="195">
        <f t="shared" si="22"/>
        <v>23582079492688.75</v>
      </c>
      <c r="Q171" s="195">
        <f t="shared" si="23"/>
        <v>98062194186272.734</v>
      </c>
      <c r="R171" s="221">
        <f t="shared" si="24"/>
        <v>0.53483524956002337</v>
      </c>
      <c r="AC171" s="251"/>
    </row>
    <row r="172" spans="1:29" ht="15.6" x14ac:dyDescent="0.3">
      <c r="A172" s="206">
        <v>2049</v>
      </c>
      <c r="B172" s="229">
        <v>137541436267469.72</v>
      </c>
      <c r="C172" s="229">
        <f t="shared" si="18"/>
        <v>23761421270179.031</v>
      </c>
      <c r="D172" s="229">
        <f t="shared" si="19"/>
        <v>53426502081850.961</v>
      </c>
      <c r="E172" s="229">
        <f t="shared" si="20"/>
        <v>22042908074790.543</v>
      </c>
      <c r="F172" s="229"/>
      <c r="G172" s="229"/>
      <c r="H172" s="229"/>
      <c r="I172" s="229"/>
      <c r="J172" s="229"/>
      <c r="K172" s="229"/>
      <c r="L172" s="170"/>
      <c r="M172" s="170"/>
      <c r="N172" s="195">
        <f t="shared" si="21"/>
        <v>53426502081850.961</v>
      </c>
      <c r="O172" s="195">
        <f t="shared" si="21"/>
        <v>22042908074790.543</v>
      </c>
      <c r="P172" s="195">
        <f t="shared" si="22"/>
        <v>23761421270179.031</v>
      </c>
      <c r="Q172" s="195">
        <f t="shared" si="23"/>
        <v>99230831426820.547</v>
      </c>
      <c r="R172" s="221">
        <f t="shared" si="24"/>
        <v>0.53840627266386698</v>
      </c>
      <c r="AC172" s="251"/>
    </row>
    <row r="173" spans="1:29" ht="16.2" thickBot="1" x14ac:dyDescent="0.35">
      <c r="A173" s="208">
        <v>2050</v>
      </c>
      <c r="B173" s="231">
        <v>140806778503514.09</v>
      </c>
      <c r="C173" s="229">
        <f t="shared" si="18"/>
        <v>23878383038888.477</v>
      </c>
      <c r="D173" s="229">
        <f t="shared" si="19"/>
        <v>54396590671889.055</v>
      </c>
      <c r="E173" s="229">
        <f t="shared" si="20"/>
        <v>22078938862739.5</v>
      </c>
      <c r="F173" s="231"/>
      <c r="G173" s="231"/>
      <c r="H173" s="231"/>
      <c r="I173" s="231"/>
      <c r="J173" s="231"/>
      <c r="K173" s="231"/>
      <c r="L173" s="209"/>
      <c r="M173" s="209"/>
      <c r="N173" s="195">
        <f t="shared" si="21"/>
        <v>54396590671889.055</v>
      </c>
      <c r="O173" s="195">
        <f t="shared" si="21"/>
        <v>22078938862739.5</v>
      </c>
      <c r="P173" s="195">
        <f t="shared" si="22"/>
        <v>23878383038888.477</v>
      </c>
      <c r="Q173" s="195">
        <f t="shared" si="23"/>
        <v>100353912573517.03</v>
      </c>
      <c r="R173" s="222">
        <f t="shared" si="24"/>
        <v>0.54204753234747405</v>
      </c>
      <c r="AC173" s="251"/>
    </row>
    <row r="174" spans="1:29" ht="15.6" x14ac:dyDescent="0.3">
      <c r="A174" s="213">
        <v>2051</v>
      </c>
      <c r="B174" s="227">
        <v>144199493669304.19</v>
      </c>
      <c r="C174" s="229">
        <f t="shared" si="18"/>
        <v>24116036570355.641</v>
      </c>
      <c r="D174" s="229">
        <f t="shared" si="19"/>
        <v>55297737676503.828</v>
      </c>
      <c r="E174" s="229">
        <f t="shared" si="20"/>
        <v>22056120862404.289</v>
      </c>
      <c r="F174" s="227"/>
      <c r="G174" s="227"/>
      <c r="H174" s="227"/>
      <c r="I174" s="227"/>
      <c r="J174" s="227"/>
      <c r="K174" s="227"/>
      <c r="N174" s="195">
        <f t="shared" si="21"/>
        <v>55297737676503.828</v>
      </c>
      <c r="O174" s="195">
        <f t="shared" si="21"/>
        <v>22056120862404.289</v>
      </c>
      <c r="P174" s="195">
        <f t="shared" si="22"/>
        <v>24116036570355.641</v>
      </c>
      <c r="Q174" s="195">
        <f t="shared" si="23"/>
        <v>101469895109263.75</v>
      </c>
      <c r="R174" s="214">
        <f t="shared" si="24"/>
        <v>0.54496693444847555</v>
      </c>
      <c r="AC174" s="251"/>
    </row>
    <row r="175" spans="1:29" ht="15.6" x14ac:dyDescent="0.3">
      <c r="A175" s="194">
        <v>2052</v>
      </c>
      <c r="B175" s="229">
        <v>147637717711652.97</v>
      </c>
      <c r="C175" s="229">
        <f t="shared" si="18"/>
        <v>24290976651456.801</v>
      </c>
      <c r="D175" s="229">
        <f t="shared" si="19"/>
        <v>56185067613823.148</v>
      </c>
      <c r="E175" s="229">
        <f t="shared" si="20"/>
        <v>22061032877812.926</v>
      </c>
      <c r="F175" s="229"/>
      <c r="G175" s="229"/>
      <c r="H175" s="229"/>
      <c r="I175" s="229"/>
      <c r="J175" s="229"/>
      <c r="K175" s="229"/>
      <c r="N175" s="195">
        <f t="shared" si="21"/>
        <v>56185067613823.148</v>
      </c>
      <c r="O175" s="195">
        <f t="shared" si="21"/>
        <v>22061032877812.926</v>
      </c>
      <c r="P175" s="195">
        <f t="shared" si="22"/>
        <v>24290976651456.801</v>
      </c>
      <c r="Q175" s="195">
        <f t="shared" si="23"/>
        <v>102537077143092.88</v>
      </c>
      <c r="R175" s="196">
        <f t="shared" si="24"/>
        <v>0.54794879256618145</v>
      </c>
      <c r="AC175" s="251"/>
    </row>
    <row r="176" spans="1:29" ht="15.6" x14ac:dyDescent="0.3">
      <c r="A176" s="194">
        <v>2053</v>
      </c>
      <c r="B176" s="229">
        <v>151150718528937.34</v>
      </c>
      <c r="C176" s="229">
        <f t="shared" si="18"/>
        <v>24464116058843.078</v>
      </c>
      <c r="D176" s="229">
        <f t="shared" si="19"/>
        <v>57037191194136.922</v>
      </c>
      <c r="E176" s="229">
        <f t="shared" si="20"/>
        <v>22065889113636.141</v>
      </c>
      <c r="F176" s="229"/>
      <c r="G176" s="229"/>
      <c r="H176" s="229"/>
      <c r="I176" s="229"/>
      <c r="J176" s="229"/>
      <c r="K176" s="229"/>
      <c r="N176" s="195">
        <f t="shared" si="21"/>
        <v>57037191194136.922</v>
      </c>
      <c r="O176" s="195">
        <f t="shared" si="21"/>
        <v>22065889113636.141</v>
      </c>
      <c r="P176" s="195">
        <f t="shared" si="22"/>
        <v>24464116058843.078</v>
      </c>
      <c r="Q176" s="195">
        <f t="shared" si="23"/>
        <v>103567196366616.14</v>
      </c>
      <c r="R176" s="196">
        <f t="shared" si="24"/>
        <v>0.55072641912823173</v>
      </c>
      <c r="AC176" s="251"/>
    </row>
    <row r="177" spans="1:29" ht="15.6" x14ac:dyDescent="0.3">
      <c r="A177" s="194">
        <v>2054</v>
      </c>
      <c r="B177" s="229">
        <v>154739815282127.72</v>
      </c>
      <c r="C177" s="229">
        <f t="shared" si="18"/>
        <v>24635288071721.891</v>
      </c>
      <c r="D177" s="229">
        <f t="shared" si="19"/>
        <v>57851847579694.523</v>
      </c>
      <c r="E177" s="229">
        <f t="shared" si="20"/>
        <v>22071494924383.977</v>
      </c>
      <c r="F177" s="229"/>
      <c r="G177" s="229"/>
      <c r="H177" s="229"/>
      <c r="I177" s="229"/>
      <c r="J177" s="229"/>
      <c r="K177" s="229"/>
      <c r="N177" s="195">
        <f t="shared" si="21"/>
        <v>57851847579694.523</v>
      </c>
      <c r="O177" s="195">
        <f t="shared" si="21"/>
        <v>22071494924383.977</v>
      </c>
      <c r="P177" s="195">
        <f t="shared" si="22"/>
        <v>24635288071721.891</v>
      </c>
      <c r="Q177" s="195">
        <f t="shared" si="23"/>
        <v>104558630575800.38</v>
      </c>
      <c r="R177" s="196">
        <f t="shared" si="24"/>
        <v>0.55329576584072127</v>
      </c>
      <c r="AC177" s="251"/>
    </row>
    <row r="178" spans="1:29" ht="15.6" x14ac:dyDescent="0.3">
      <c r="A178" s="194">
        <v>2055</v>
      </c>
      <c r="B178" s="229">
        <v>158406402986427.63</v>
      </c>
      <c r="C178" s="229">
        <f t="shared" si="18"/>
        <v>24757387210462.137</v>
      </c>
      <c r="D178" s="229">
        <f t="shared" si="19"/>
        <v>58729658261944.055</v>
      </c>
      <c r="E178" s="229">
        <f t="shared" si="20"/>
        <v>22131407334939.055</v>
      </c>
      <c r="F178" s="229"/>
      <c r="G178" s="229"/>
      <c r="H178" s="229"/>
      <c r="I178" s="229"/>
      <c r="J178" s="229"/>
      <c r="K178" s="229"/>
      <c r="N178" s="195">
        <f t="shared" si="21"/>
        <v>58729658261944.055</v>
      </c>
      <c r="O178" s="195">
        <f t="shared" si="21"/>
        <v>22131407334939.055</v>
      </c>
      <c r="P178" s="195">
        <f t="shared" si="22"/>
        <v>24757387210462.137</v>
      </c>
      <c r="Q178" s="195">
        <f t="shared" si="23"/>
        <v>105618452807345.25</v>
      </c>
      <c r="R178" s="196">
        <f t="shared" si="24"/>
        <v>0.55605490045447525</v>
      </c>
      <c r="AC178" s="251"/>
    </row>
    <row r="179" spans="1:29" ht="15.6" x14ac:dyDescent="0.3">
      <c r="A179" s="194">
        <v>2056</v>
      </c>
      <c r="B179" s="229">
        <v>162152054492947.19</v>
      </c>
      <c r="C179" s="229">
        <f t="shared" si="18"/>
        <v>24971063030786.777</v>
      </c>
      <c r="D179" s="229">
        <f t="shared" si="19"/>
        <v>59359715415538.734</v>
      </c>
      <c r="E179" s="229">
        <f t="shared" si="20"/>
        <v>22088176688693.699</v>
      </c>
      <c r="F179" s="229"/>
      <c r="G179" s="229"/>
      <c r="H179" s="229"/>
      <c r="I179" s="229"/>
      <c r="J179" s="229"/>
      <c r="K179" s="229"/>
      <c r="N179" s="195">
        <f t="shared" si="21"/>
        <v>59359715415538.734</v>
      </c>
      <c r="O179" s="195">
        <f t="shared" si="21"/>
        <v>22088176688693.699</v>
      </c>
      <c r="P179" s="195">
        <f t="shared" si="22"/>
        <v>24971063030786.777</v>
      </c>
      <c r="Q179" s="195">
        <f t="shared" si="23"/>
        <v>106418955135019.22</v>
      </c>
      <c r="R179" s="196">
        <f t="shared" si="24"/>
        <v>0.55779269153907785</v>
      </c>
      <c r="AC179" s="251"/>
    </row>
    <row r="180" spans="1:29" ht="15.6" x14ac:dyDescent="0.3">
      <c r="A180" s="194">
        <v>2057</v>
      </c>
      <c r="B180" s="229">
        <v>165978509925135.31</v>
      </c>
      <c r="C180" s="229">
        <f t="shared" si="18"/>
        <v>25135332535387.68</v>
      </c>
      <c r="D180" s="229">
        <f t="shared" si="19"/>
        <v>60048405190324.125</v>
      </c>
      <c r="E180" s="229">
        <f t="shared" si="20"/>
        <v>22100863351275.684</v>
      </c>
      <c r="F180" s="229"/>
      <c r="G180" s="229"/>
      <c r="H180" s="229"/>
      <c r="I180" s="229"/>
      <c r="J180" s="229"/>
      <c r="K180" s="229"/>
      <c r="N180" s="195">
        <f t="shared" si="21"/>
        <v>60048405190324.125</v>
      </c>
      <c r="O180" s="195">
        <f t="shared" si="21"/>
        <v>22100863351275.684</v>
      </c>
      <c r="P180" s="195">
        <f t="shared" si="22"/>
        <v>25135332535387.68</v>
      </c>
      <c r="Q180" s="195">
        <f t="shared" si="23"/>
        <v>107284601076987.5</v>
      </c>
      <c r="R180" s="196">
        <f t="shared" si="24"/>
        <v>0.55971131539402708</v>
      </c>
      <c r="AC180" s="251"/>
    </row>
    <row r="181" spans="1:29" ht="15.6" x14ac:dyDescent="0.3">
      <c r="A181" s="194">
        <v>2058</v>
      </c>
      <c r="B181" s="229">
        <v>169887539791599.91</v>
      </c>
      <c r="C181" s="229">
        <f t="shared" si="18"/>
        <v>25296967762310.77</v>
      </c>
      <c r="D181" s="229">
        <f t="shared" si="19"/>
        <v>60690584419350.875</v>
      </c>
      <c r="E181" s="229">
        <f t="shared" si="20"/>
        <v>22117521006822.48</v>
      </c>
      <c r="F181" s="229"/>
      <c r="G181" s="229"/>
      <c r="H181" s="229"/>
      <c r="I181" s="229"/>
      <c r="J181" s="229"/>
      <c r="K181" s="229"/>
      <c r="N181" s="195">
        <f t="shared" si="21"/>
        <v>60690584419350.875</v>
      </c>
      <c r="O181" s="195">
        <f t="shared" si="21"/>
        <v>22117521006822.48</v>
      </c>
      <c r="P181" s="195">
        <f t="shared" si="22"/>
        <v>25296967762310.77</v>
      </c>
      <c r="Q181" s="195">
        <f t="shared" si="23"/>
        <v>108105073188484.13</v>
      </c>
      <c r="R181" s="196">
        <f t="shared" si="24"/>
        <v>0.56140366616777726</v>
      </c>
      <c r="AC181" s="251"/>
    </row>
    <row r="182" spans="1:29" ht="15.6" x14ac:dyDescent="0.3">
      <c r="A182" s="194">
        <v>2059</v>
      </c>
      <c r="B182" s="229">
        <v>173881012323680.53</v>
      </c>
      <c r="C182" s="229">
        <f t="shared" si="18"/>
        <v>25455801990763.465</v>
      </c>
      <c r="D182" s="229">
        <f t="shared" si="19"/>
        <v>61283992264868.375</v>
      </c>
      <c r="E182" s="229">
        <f t="shared" si="20"/>
        <v>22138955009844.145</v>
      </c>
      <c r="F182" s="229"/>
      <c r="G182" s="229"/>
      <c r="H182" s="229"/>
      <c r="I182" s="229"/>
      <c r="J182" s="229"/>
      <c r="K182" s="229"/>
      <c r="N182" s="195">
        <f t="shared" si="21"/>
        <v>61283992264868.375</v>
      </c>
      <c r="O182" s="195">
        <f t="shared" si="21"/>
        <v>22138955009844.145</v>
      </c>
      <c r="P182" s="195">
        <f t="shared" si="22"/>
        <v>25455801990763.465</v>
      </c>
      <c r="Q182" s="195">
        <f t="shared" si="23"/>
        <v>108878749265475.98</v>
      </c>
      <c r="R182" s="196">
        <f t="shared" si="24"/>
        <v>0.56286458724320343</v>
      </c>
      <c r="AC182" s="251"/>
    </row>
    <row r="183" spans="1:29" ht="15.6" x14ac:dyDescent="0.3">
      <c r="A183" s="194">
        <v>2060</v>
      </c>
      <c r="B183" s="229">
        <v>177960814973400.88</v>
      </c>
      <c r="C183" s="229">
        <f t="shared" si="18"/>
        <v>25666805217146.117</v>
      </c>
      <c r="D183" s="229">
        <f t="shared" si="19"/>
        <v>61765125438297.531</v>
      </c>
      <c r="E183" s="229">
        <f t="shared" si="20"/>
        <v>22127937259425.352</v>
      </c>
      <c r="F183" s="229"/>
      <c r="G183" s="229"/>
      <c r="H183" s="229"/>
      <c r="I183" s="229"/>
      <c r="J183" s="229"/>
      <c r="K183" s="229"/>
      <c r="N183" s="195">
        <f t="shared" si="21"/>
        <v>61765125438297.531</v>
      </c>
      <c r="O183" s="195">
        <f t="shared" si="21"/>
        <v>22127937259425.352</v>
      </c>
      <c r="P183" s="195">
        <f t="shared" si="22"/>
        <v>25666805217146.117</v>
      </c>
      <c r="Q183" s="195">
        <f t="shared" si="23"/>
        <v>109559867914869</v>
      </c>
      <c r="R183" s="196">
        <f>N183/Q183</f>
        <v>0.56375684467136011</v>
      </c>
      <c r="AC183" s="251"/>
    </row>
    <row r="186" spans="1:29" x14ac:dyDescent="0.25">
      <c r="H186" s="250"/>
      <c r="I186" s="250"/>
      <c r="J186" s="250"/>
      <c r="K186" s="250"/>
    </row>
    <row r="187" spans="1:29" x14ac:dyDescent="0.25">
      <c r="H187" s="250"/>
      <c r="I187" s="250"/>
      <c r="J187" s="250"/>
      <c r="K187" s="250"/>
    </row>
    <row r="188" spans="1:29" x14ac:dyDescent="0.25">
      <c r="H188" s="250"/>
      <c r="I188" s="250"/>
      <c r="J188" s="250"/>
      <c r="K188" s="250"/>
    </row>
    <row r="189" spans="1:29" x14ac:dyDescent="0.25">
      <c r="H189" s="250"/>
      <c r="I189" s="250"/>
      <c r="J189" s="250"/>
      <c r="K189" s="250"/>
    </row>
    <row r="190" spans="1:29" x14ac:dyDescent="0.25">
      <c r="H190" s="250"/>
      <c r="I190" s="250"/>
      <c r="J190" s="250"/>
      <c r="K190" s="250"/>
    </row>
    <row r="191" spans="1:29" x14ac:dyDescent="0.25">
      <c r="H191" s="250"/>
      <c r="I191" s="250"/>
      <c r="J191" s="250"/>
      <c r="K191" s="250"/>
    </row>
    <row r="192" spans="1:29" x14ac:dyDescent="0.25">
      <c r="H192" s="250"/>
      <c r="I192" s="250"/>
      <c r="J192" s="250"/>
      <c r="K192" s="250"/>
    </row>
    <row r="193" spans="1:11" x14ac:dyDescent="0.25">
      <c r="H193" s="250"/>
      <c r="I193" s="250"/>
      <c r="J193" s="250"/>
      <c r="K193" s="250"/>
    </row>
    <row r="194" spans="1:11" x14ac:dyDescent="0.25">
      <c r="H194" s="250"/>
      <c r="I194" s="250"/>
      <c r="J194" s="250"/>
      <c r="K194" s="250"/>
    </row>
    <row r="195" spans="1:11" ht="13.8" thickBot="1" x14ac:dyDescent="0.3">
      <c r="H195" s="250"/>
      <c r="I195" s="250"/>
      <c r="J195" s="250"/>
      <c r="K195" s="250"/>
    </row>
    <row r="196" spans="1:11" ht="13.8" thickBot="1" x14ac:dyDescent="0.3">
      <c r="A196" s="194"/>
      <c r="B196" s="218" t="s">
        <v>4</v>
      </c>
      <c r="C196" s="191" t="s">
        <v>5</v>
      </c>
      <c r="D196" s="191" t="s">
        <v>6</v>
      </c>
      <c r="E196" s="191" t="s">
        <v>7</v>
      </c>
      <c r="F196" s="191" t="s">
        <v>8</v>
      </c>
      <c r="G196" s="191" t="s">
        <v>9</v>
      </c>
      <c r="H196" s="191" t="s">
        <v>10</v>
      </c>
      <c r="I196" s="191" t="s">
        <v>11</v>
      </c>
      <c r="J196" s="191" t="s">
        <v>12</v>
      </c>
      <c r="K196" s="192" t="s">
        <v>13</v>
      </c>
    </row>
    <row r="197" spans="1:11" ht="15.6" x14ac:dyDescent="0.3">
      <c r="A197" s="194">
        <v>2014</v>
      </c>
      <c r="B197" s="229"/>
      <c r="C197" s="229"/>
      <c r="D197" s="229"/>
      <c r="E197" s="229"/>
      <c r="F197" s="229"/>
      <c r="G197" s="229"/>
      <c r="H197" s="229"/>
      <c r="I197" s="229"/>
      <c r="J197" s="229"/>
      <c r="K197" s="229"/>
    </row>
    <row r="198" spans="1:11" ht="15.6" x14ac:dyDescent="0.3">
      <c r="A198" s="194">
        <v>2015</v>
      </c>
      <c r="B198" s="229"/>
      <c r="C198" s="229"/>
      <c r="D198" s="229"/>
      <c r="E198" s="229"/>
      <c r="F198" s="229"/>
      <c r="G198" s="229"/>
      <c r="H198" s="229"/>
      <c r="I198" s="229"/>
      <c r="J198" s="229"/>
      <c r="K198" s="229"/>
    </row>
    <row r="199" spans="1:11" ht="15.6" x14ac:dyDescent="0.3">
      <c r="A199" s="194">
        <v>2016</v>
      </c>
      <c r="B199" s="229"/>
      <c r="C199" s="229"/>
      <c r="D199" s="229"/>
      <c r="E199" s="229"/>
      <c r="F199" s="229"/>
      <c r="G199" s="229"/>
      <c r="H199" s="229"/>
      <c r="I199" s="229"/>
      <c r="J199" s="229"/>
      <c r="K199" s="229"/>
    </row>
    <row r="200" spans="1:11" ht="15.6" x14ac:dyDescent="0.3">
      <c r="A200" s="194">
        <v>2017</v>
      </c>
      <c r="B200" s="229"/>
      <c r="C200" s="229"/>
      <c r="D200" s="229"/>
      <c r="E200" s="229"/>
      <c r="F200" s="229"/>
      <c r="G200" s="229"/>
      <c r="H200" s="229"/>
      <c r="I200" s="229"/>
      <c r="J200" s="229"/>
      <c r="K200" s="229"/>
    </row>
    <row r="201" spans="1:11" ht="15.6" x14ac:dyDescent="0.3">
      <c r="A201" s="194">
        <v>2018</v>
      </c>
      <c r="B201" s="229"/>
      <c r="C201" s="229"/>
      <c r="D201" s="229"/>
      <c r="E201" s="229"/>
      <c r="F201" s="229"/>
      <c r="G201" s="229"/>
      <c r="H201" s="229"/>
      <c r="I201" s="229"/>
      <c r="J201" s="229"/>
      <c r="K201" s="229"/>
    </row>
    <row r="202" spans="1:11" ht="16.2" thickBot="1" x14ac:dyDescent="0.35">
      <c r="A202" s="198">
        <v>2019</v>
      </c>
      <c r="B202" s="230"/>
      <c r="C202" s="230"/>
      <c r="D202" s="230"/>
      <c r="E202" s="230"/>
      <c r="F202" s="230"/>
      <c r="G202" s="230"/>
      <c r="H202" s="230"/>
      <c r="I202" s="230"/>
      <c r="J202" s="230"/>
      <c r="K202" s="230"/>
    </row>
    <row r="203" spans="1:11" ht="15.6" x14ac:dyDescent="0.3">
      <c r="A203" s="201">
        <v>2020</v>
      </c>
      <c r="B203" s="228"/>
      <c r="C203" s="228"/>
      <c r="D203" s="228"/>
      <c r="E203" s="228"/>
      <c r="F203" s="228"/>
      <c r="G203" s="228"/>
      <c r="H203" s="228"/>
      <c r="I203" s="228"/>
      <c r="J203" s="228"/>
      <c r="K203" s="228"/>
    </row>
    <row r="204" spans="1:11" ht="15.6" x14ac:dyDescent="0.3">
      <c r="A204" s="206">
        <v>2021</v>
      </c>
      <c r="B204" s="229"/>
      <c r="C204" s="229"/>
      <c r="D204" s="229"/>
      <c r="E204" s="229"/>
      <c r="F204" s="229"/>
      <c r="G204" s="229"/>
      <c r="H204" s="229"/>
      <c r="I204" s="229"/>
      <c r="J204" s="229"/>
      <c r="K204" s="229"/>
    </row>
    <row r="205" spans="1:11" ht="15.6" x14ac:dyDescent="0.3">
      <c r="A205" s="206">
        <v>2022</v>
      </c>
      <c r="B205" s="229"/>
      <c r="C205" s="229"/>
      <c r="D205" s="229"/>
      <c r="E205" s="229"/>
      <c r="F205" s="229"/>
      <c r="G205" s="229"/>
      <c r="H205" s="229"/>
      <c r="I205" s="229"/>
      <c r="J205" s="229"/>
      <c r="K205" s="229"/>
    </row>
    <row r="206" spans="1:11" ht="15.6" x14ac:dyDescent="0.3">
      <c r="A206" s="206">
        <v>2023</v>
      </c>
      <c r="B206" s="229"/>
      <c r="C206" s="229"/>
      <c r="D206" s="229"/>
      <c r="E206" s="229"/>
      <c r="F206" s="229"/>
      <c r="G206" s="229"/>
      <c r="H206" s="229"/>
      <c r="I206" s="229"/>
      <c r="J206" s="229"/>
      <c r="K206" s="229"/>
    </row>
    <row r="207" spans="1:11" ht="15.6" x14ac:dyDescent="0.3">
      <c r="A207" s="206">
        <v>2024</v>
      </c>
      <c r="B207" s="229"/>
      <c r="C207" s="229"/>
      <c r="D207" s="229"/>
      <c r="E207" s="229"/>
      <c r="F207" s="229"/>
      <c r="G207" s="229"/>
      <c r="H207" s="229"/>
      <c r="I207" s="229"/>
      <c r="J207" s="229"/>
      <c r="K207" s="229"/>
    </row>
    <row r="208" spans="1:11" ht="15.6" x14ac:dyDescent="0.3">
      <c r="A208" s="206">
        <v>2025</v>
      </c>
      <c r="B208" s="229"/>
      <c r="C208" s="229"/>
      <c r="D208" s="229"/>
      <c r="E208" s="229"/>
      <c r="F208" s="229"/>
      <c r="G208" s="229"/>
      <c r="H208" s="229"/>
      <c r="I208" s="229"/>
      <c r="J208" s="229"/>
      <c r="K208" s="229"/>
    </row>
    <row r="209" spans="1:11" ht="15.6" x14ac:dyDescent="0.3">
      <c r="A209" s="206">
        <v>2026</v>
      </c>
      <c r="B209" s="229"/>
      <c r="C209" s="229"/>
      <c r="D209" s="229"/>
      <c r="E209" s="229"/>
      <c r="F209" s="229"/>
      <c r="G209" s="229"/>
      <c r="H209" s="229"/>
      <c r="I209" s="229"/>
      <c r="J209" s="229"/>
      <c r="K209" s="229"/>
    </row>
    <row r="210" spans="1:11" ht="15.6" x14ac:dyDescent="0.3">
      <c r="A210" s="206">
        <v>2027</v>
      </c>
      <c r="B210" s="229"/>
      <c r="C210" s="229"/>
      <c r="D210" s="229"/>
      <c r="E210" s="229"/>
      <c r="F210" s="229"/>
      <c r="G210" s="229"/>
      <c r="H210" s="229"/>
      <c r="I210" s="229"/>
      <c r="J210" s="229"/>
      <c r="K210" s="229"/>
    </row>
    <row r="211" spans="1:11" ht="15.6" x14ac:dyDescent="0.3">
      <c r="A211" s="206">
        <v>2028</v>
      </c>
      <c r="B211" s="229"/>
      <c r="C211" s="229"/>
      <c r="D211" s="229"/>
      <c r="E211" s="229"/>
      <c r="F211" s="229"/>
      <c r="G211" s="229"/>
      <c r="H211" s="229"/>
      <c r="I211" s="229"/>
      <c r="J211" s="229"/>
      <c r="K211" s="229"/>
    </row>
    <row r="212" spans="1:11" ht="15.6" x14ac:dyDescent="0.3">
      <c r="A212" s="206">
        <v>2029</v>
      </c>
      <c r="B212" s="229"/>
      <c r="C212" s="229"/>
      <c r="D212" s="229"/>
      <c r="E212" s="229"/>
      <c r="F212" s="229"/>
      <c r="G212" s="229"/>
      <c r="H212" s="229"/>
      <c r="I212" s="229"/>
      <c r="J212" s="229"/>
      <c r="K212" s="229"/>
    </row>
    <row r="213" spans="1:11" ht="15.6" x14ac:dyDescent="0.3">
      <c r="A213" s="206">
        <v>2030</v>
      </c>
      <c r="B213" s="229"/>
      <c r="C213" s="229"/>
      <c r="D213" s="229"/>
      <c r="E213" s="229"/>
      <c r="F213" s="229"/>
      <c r="G213" s="229"/>
      <c r="H213" s="229"/>
      <c r="I213" s="229"/>
      <c r="J213" s="229"/>
      <c r="K213" s="229"/>
    </row>
    <row r="214" spans="1:11" ht="15.6" x14ac:dyDescent="0.3">
      <c r="A214" s="206">
        <v>2031</v>
      </c>
      <c r="B214" s="229"/>
      <c r="C214" s="229"/>
      <c r="D214" s="229"/>
      <c r="E214" s="229"/>
      <c r="F214" s="229"/>
      <c r="G214" s="229"/>
      <c r="H214" s="229"/>
      <c r="I214" s="229"/>
      <c r="J214" s="229"/>
      <c r="K214" s="229"/>
    </row>
    <row r="215" spans="1:11" ht="15.6" x14ac:dyDescent="0.3">
      <c r="A215" s="206">
        <v>2032</v>
      </c>
      <c r="B215" s="229"/>
      <c r="C215" s="229"/>
      <c r="D215" s="229"/>
      <c r="E215" s="229"/>
      <c r="F215" s="229"/>
      <c r="G215" s="229"/>
      <c r="H215" s="229"/>
      <c r="I215" s="229"/>
      <c r="J215" s="229"/>
      <c r="K215" s="229"/>
    </row>
    <row r="216" spans="1:11" ht="15.6" x14ac:dyDescent="0.3">
      <c r="A216" s="206">
        <v>2033</v>
      </c>
      <c r="B216" s="229"/>
      <c r="C216" s="229"/>
      <c r="D216" s="229"/>
      <c r="E216" s="229"/>
      <c r="F216" s="229"/>
      <c r="G216" s="229"/>
      <c r="H216" s="229"/>
      <c r="I216" s="229"/>
      <c r="J216" s="229"/>
      <c r="K216" s="229"/>
    </row>
    <row r="217" spans="1:11" ht="15.6" x14ac:dyDescent="0.3">
      <c r="A217" s="206">
        <v>2034</v>
      </c>
      <c r="B217" s="229"/>
      <c r="C217" s="229"/>
      <c r="D217" s="229"/>
      <c r="E217" s="229"/>
      <c r="F217" s="229"/>
      <c r="G217" s="229"/>
      <c r="H217" s="229"/>
      <c r="I217" s="229"/>
      <c r="J217" s="229"/>
      <c r="K217" s="229"/>
    </row>
    <row r="218" spans="1:11" ht="15.6" x14ac:dyDescent="0.3">
      <c r="A218" s="206">
        <v>2035</v>
      </c>
      <c r="B218" s="229"/>
      <c r="C218" s="229"/>
      <c r="D218" s="229"/>
      <c r="E218" s="229"/>
      <c r="F218" s="229"/>
      <c r="G218" s="229"/>
      <c r="H218" s="229"/>
      <c r="I218" s="229"/>
      <c r="J218" s="229"/>
      <c r="K218" s="229"/>
    </row>
    <row r="219" spans="1:11" ht="15.6" x14ac:dyDescent="0.3">
      <c r="A219" s="206">
        <v>2036</v>
      </c>
      <c r="B219" s="229"/>
      <c r="C219" s="229"/>
      <c r="D219" s="229"/>
      <c r="E219" s="229"/>
      <c r="F219" s="229"/>
      <c r="G219" s="229"/>
      <c r="H219" s="229"/>
      <c r="I219" s="229"/>
      <c r="J219" s="229"/>
      <c r="K219" s="229"/>
    </row>
    <row r="220" spans="1:11" ht="15.6" x14ac:dyDescent="0.3">
      <c r="A220" s="206">
        <v>2037</v>
      </c>
      <c r="B220" s="229"/>
      <c r="C220" s="229"/>
      <c r="D220" s="229"/>
      <c r="E220" s="229"/>
      <c r="F220" s="229"/>
      <c r="G220" s="229"/>
      <c r="H220" s="229"/>
      <c r="I220" s="229"/>
      <c r="J220" s="229"/>
      <c r="K220" s="229"/>
    </row>
    <row r="221" spans="1:11" ht="15.6" x14ac:dyDescent="0.3">
      <c r="A221" s="206">
        <v>2038</v>
      </c>
      <c r="B221" s="229"/>
      <c r="C221" s="229"/>
      <c r="D221" s="229"/>
      <c r="E221" s="229"/>
      <c r="F221" s="229"/>
      <c r="G221" s="229"/>
      <c r="H221" s="229"/>
      <c r="I221" s="229"/>
      <c r="J221" s="229"/>
      <c r="K221" s="229"/>
    </row>
    <row r="222" spans="1:11" ht="15.6" x14ac:dyDescent="0.3">
      <c r="A222" s="206">
        <v>2039</v>
      </c>
      <c r="B222" s="229"/>
      <c r="C222" s="229"/>
      <c r="D222" s="229"/>
      <c r="E222" s="229"/>
      <c r="F222" s="229"/>
      <c r="G222" s="229"/>
      <c r="H222" s="229"/>
      <c r="I222" s="229"/>
      <c r="J222" s="229"/>
      <c r="K222" s="229"/>
    </row>
    <row r="223" spans="1:11" ht="15.6" x14ac:dyDescent="0.3">
      <c r="A223" s="206">
        <v>2040</v>
      </c>
      <c r="B223" s="229"/>
      <c r="C223" s="229"/>
      <c r="D223" s="229"/>
      <c r="E223" s="229"/>
      <c r="F223" s="229"/>
      <c r="G223" s="229"/>
      <c r="H223" s="229"/>
      <c r="I223" s="229"/>
      <c r="J223" s="229"/>
      <c r="K223" s="229"/>
    </row>
    <row r="224" spans="1:11" ht="15.6" x14ac:dyDescent="0.3">
      <c r="A224" s="206">
        <v>2041</v>
      </c>
      <c r="B224" s="229"/>
      <c r="C224" s="229"/>
      <c r="D224" s="229"/>
      <c r="E224" s="229"/>
      <c r="F224" s="229"/>
      <c r="G224" s="229"/>
      <c r="H224" s="229"/>
      <c r="I224" s="229"/>
      <c r="J224" s="229"/>
      <c r="K224" s="229"/>
    </row>
    <row r="225" spans="1:11" ht="15.6" x14ac:dyDescent="0.3">
      <c r="A225" s="206">
        <v>2042</v>
      </c>
      <c r="B225" s="229"/>
      <c r="C225" s="229"/>
      <c r="D225" s="229"/>
      <c r="E225" s="229"/>
      <c r="F225" s="229"/>
      <c r="G225" s="229"/>
      <c r="H225" s="229"/>
      <c r="I225" s="229"/>
      <c r="J225" s="229"/>
      <c r="K225" s="229"/>
    </row>
    <row r="226" spans="1:11" ht="15.6" x14ac:dyDescent="0.3">
      <c r="A226" s="206">
        <v>2043</v>
      </c>
      <c r="B226" s="229"/>
      <c r="C226" s="229"/>
      <c r="D226" s="229"/>
      <c r="E226" s="229"/>
      <c r="F226" s="229"/>
      <c r="G226" s="229"/>
      <c r="H226" s="229"/>
      <c r="I226" s="229"/>
      <c r="J226" s="229"/>
      <c r="K226" s="229"/>
    </row>
    <row r="227" spans="1:11" ht="15.6" x14ac:dyDescent="0.3">
      <c r="A227" s="206">
        <v>2044</v>
      </c>
      <c r="B227" s="229"/>
      <c r="C227" s="229"/>
      <c r="D227" s="229"/>
      <c r="E227" s="229"/>
      <c r="F227" s="229"/>
      <c r="G227" s="229"/>
      <c r="H227" s="229"/>
      <c r="I227" s="229"/>
      <c r="J227" s="229"/>
      <c r="K227" s="229"/>
    </row>
    <row r="228" spans="1:11" ht="15.6" x14ac:dyDescent="0.3">
      <c r="A228" s="206">
        <v>2045</v>
      </c>
      <c r="B228" s="229"/>
      <c r="C228" s="229"/>
      <c r="D228" s="229"/>
      <c r="E228" s="229"/>
      <c r="F228" s="229"/>
      <c r="G228" s="229"/>
      <c r="H228" s="229"/>
      <c r="I228" s="229"/>
      <c r="J228" s="229"/>
      <c r="K228" s="229"/>
    </row>
    <row r="229" spans="1:11" ht="15.6" x14ac:dyDescent="0.3">
      <c r="A229" s="206">
        <v>2046</v>
      </c>
      <c r="B229" s="229"/>
      <c r="C229" s="229"/>
      <c r="D229" s="229"/>
      <c r="E229" s="229"/>
      <c r="F229" s="229"/>
      <c r="G229" s="229"/>
      <c r="H229" s="229"/>
      <c r="I229" s="229"/>
      <c r="J229" s="229"/>
      <c r="K229" s="229"/>
    </row>
    <row r="230" spans="1:11" ht="15.6" x14ac:dyDescent="0.3">
      <c r="A230" s="206">
        <v>2047</v>
      </c>
      <c r="B230" s="229"/>
      <c r="C230" s="229"/>
      <c r="D230" s="229"/>
      <c r="E230" s="229"/>
      <c r="F230" s="229"/>
      <c r="G230" s="229"/>
      <c r="H230" s="229"/>
      <c r="I230" s="229"/>
      <c r="J230" s="229"/>
      <c r="K230" s="229"/>
    </row>
    <row r="231" spans="1:11" ht="15.6" x14ac:dyDescent="0.3">
      <c r="A231" s="206">
        <v>2048</v>
      </c>
      <c r="B231" s="229"/>
      <c r="C231" s="229"/>
      <c r="D231" s="229"/>
      <c r="E231" s="229"/>
      <c r="F231" s="229"/>
      <c r="G231" s="229"/>
      <c r="H231" s="229"/>
      <c r="I231" s="229"/>
      <c r="J231" s="229"/>
      <c r="K231" s="229"/>
    </row>
    <row r="232" spans="1:11" ht="15.6" x14ac:dyDescent="0.3">
      <c r="A232" s="206">
        <v>2049</v>
      </c>
      <c r="B232" s="229"/>
      <c r="C232" s="229"/>
      <c r="D232" s="229"/>
      <c r="E232" s="229"/>
      <c r="F232" s="229"/>
      <c r="G232" s="229"/>
      <c r="H232" s="229"/>
      <c r="I232" s="229"/>
      <c r="J232" s="229"/>
      <c r="K232" s="229"/>
    </row>
    <row r="233" spans="1:11" ht="16.2" thickBot="1" x14ac:dyDescent="0.35">
      <c r="A233" s="208">
        <v>2050</v>
      </c>
      <c r="B233" s="231"/>
      <c r="C233" s="231"/>
      <c r="D233" s="231"/>
      <c r="E233" s="231"/>
      <c r="F233" s="231"/>
      <c r="G233" s="231"/>
      <c r="H233" s="231"/>
      <c r="I233" s="231"/>
      <c r="J233" s="231"/>
      <c r="K233" s="231"/>
    </row>
    <row r="234" spans="1:11" ht="15.6" x14ac:dyDescent="0.3">
      <c r="A234" s="213">
        <v>2051</v>
      </c>
      <c r="B234" s="227"/>
      <c r="C234" s="227"/>
      <c r="D234" s="227"/>
      <c r="E234" s="227"/>
      <c r="F234" s="227"/>
      <c r="G234" s="227"/>
      <c r="H234" s="227"/>
      <c r="I234" s="227"/>
      <c r="J234" s="227"/>
      <c r="K234" s="227"/>
    </row>
    <row r="235" spans="1:11" ht="15.6" x14ac:dyDescent="0.3">
      <c r="A235" s="194">
        <v>2052</v>
      </c>
      <c r="B235" s="229"/>
      <c r="C235" s="229"/>
      <c r="D235" s="229"/>
      <c r="E235" s="229"/>
      <c r="F235" s="229"/>
      <c r="G235" s="229"/>
      <c r="H235" s="229"/>
      <c r="I235" s="229"/>
      <c r="J235" s="229"/>
      <c r="K235" s="229"/>
    </row>
    <row r="236" spans="1:11" ht="15.6" x14ac:dyDescent="0.3">
      <c r="A236" s="194">
        <v>2053</v>
      </c>
      <c r="B236" s="229"/>
      <c r="C236" s="229"/>
      <c r="D236" s="229"/>
      <c r="E236" s="229"/>
      <c r="F236" s="229"/>
      <c r="G236" s="229"/>
      <c r="H236" s="229"/>
      <c r="I236" s="229"/>
      <c r="J236" s="229"/>
      <c r="K236" s="229"/>
    </row>
    <row r="237" spans="1:11" ht="15.6" x14ac:dyDescent="0.3">
      <c r="A237" s="194">
        <v>2054</v>
      </c>
      <c r="B237" s="229"/>
      <c r="C237" s="229"/>
      <c r="D237" s="229"/>
      <c r="E237" s="229"/>
      <c r="F237" s="229"/>
      <c r="G237" s="229"/>
      <c r="H237" s="229"/>
      <c r="I237" s="229"/>
      <c r="J237" s="229"/>
      <c r="K237" s="229"/>
    </row>
    <row r="238" spans="1:11" ht="15.6" x14ac:dyDescent="0.3">
      <c r="A238" s="194">
        <v>2055</v>
      </c>
      <c r="B238" s="229"/>
      <c r="C238" s="229"/>
      <c r="D238" s="229"/>
      <c r="E238" s="229"/>
      <c r="F238" s="229"/>
      <c r="G238" s="229"/>
      <c r="H238" s="229"/>
      <c r="I238" s="229"/>
      <c r="J238" s="229"/>
      <c r="K238" s="229"/>
    </row>
    <row r="239" spans="1:11" ht="15.6" x14ac:dyDescent="0.3">
      <c r="A239" s="194">
        <v>2056</v>
      </c>
      <c r="B239" s="229"/>
      <c r="C239" s="229"/>
      <c r="D239" s="229"/>
      <c r="E239" s="229"/>
      <c r="F239" s="229"/>
      <c r="G239" s="229"/>
      <c r="H239" s="229"/>
      <c r="I239" s="229"/>
      <c r="J239" s="229"/>
      <c r="K239" s="229"/>
    </row>
    <row r="240" spans="1:11" ht="15.6" x14ac:dyDescent="0.3">
      <c r="A240" s="194">
        <v>2057</v>
      </c>
      <c r="B240" s="229"/>
      <c r="C240" s="229"/>
      <c r="D240" s="229"/>
      <c r="E240" s="229"/>
      <c r="F240" s="229"/>
      <c r="G240" s="229"/>
      <c r="H240" s="229"/>
      <c r="I240" s="229"/>
      <c r="J240" s="229"/>
      <c r="K240" s="229"/>
    </row>
    <row r="241" spans="1:11" ht="15.6" x14ac:dyDescent="0.3">
      <c r="A241" s="194">
        <v>2058</v>
      </c>
      <c r="B241" s="229"/>
      <c r="C241" s="229"/>
      <c r="D241" s="229"/>
      <c r="E241" s="229"/>
      <c r="F241" s="229"/>
      <c r="G241" s="229"/>
      <c r="H241" s="229"/>
      <c r="I241" s="229"/>
      <c r="J241" s="229"/>
      <c r="K241" s="229"/>
    </row>
    <row r="242" spans="1:11" ht="15.6" x14ac:dyDescent="0.3">
      <c r="A242" s="194">
        <v>2059</v>
      </c>
      <c r="B242" s="229"/>
      <c r="C242" s="229"/>
      <c r="D242" s="229"/>
      <c r="E242" s="229"/>
      <c r="F242" s="229"/>
      <c r="G242" s="229"/>
      <c r="H242" s="229"/>
      <c r="I242" s="229"/>
      <c r="J242" s="229"/>
      <c r="K242" s="229"/>
    </row>
    <row r="243" spans="1:11" ht="15.6" x14ac:dyDescent="0.3">
      <c r="A243" s="194">
        <v>2060</v>
      </c>
      <c r="B243" s="229"/>
      <c r="C243" s="229"/>
      <c r="D243" s="229"/>
      <c r="E243" s="229"/>
      <c r="F243" s="229"/>
      <c r="G243" s="229"/>
      <c r="H243" s="229"/>
      <c r="I243" s="229"/>
      <c r="J243" s="229"/>
      <c r="K243" s="229"/>
    </row>
    <row r="244" spans="1:11" x14ac:dyDescent="0.25">
      <c r="H244" s="250"/>
      <c r="I244" s="250"/>
      <c r="J244" s="250"/>
      <c r="K244" s="250"/>
    </row>
    <row r="245" spans="1:11" x14ac:dyDescent="0.25">
      <c r="H245" s="250"/>
      <c r="I245" s="250"/>
      <c r="J245" s="250"/>
      <c r="K245" s="250"/>
    </row>
    <row r="246" spans="1:11" x14ac:dyDescent="0.25">
      <c r="H246" s="250"/>
      <c r="I246" s="250"/>
      <c r="J246" s="250"/>
      <c r="K246" s="250"/>
    </row>
    <row r="247" spans="1:11" x14ac:dyDescent="0.25">
      <c r="H247" s="250"/>
      <c r="I247" s="250"/>
      <c r="J247" s="250"/>
      <c r="K247" s="250"/>
    </row>
    <row r="248" spans="1:11" x14ac:dyDescent="0.25">
      <c r="H248" s="250"/>
      <c r="I248" s="250"/>
      <c r="J248" s="250"/>
      <c r="K248" s="250"/>
    </row>
    <row r="249" spans="1:11" x14ac:dyDescent="0.25">
      <c r="H249" s="250"/>
      <c r="I249" s="250"/>
      <c r="J249" s="250"/>
      <c r="K249" s="250"/>
    </row>
    <row r="250" spans="1:11" x14ac:dyDescent="0.25">
      <c r="H250" s="250"/>
      <c r="I250" s="250"/>
      <c r="J250" s="250"/>
      <c r="K250" s="250"/>
    </row>
    <row r="251" spans="1:11" x14ac:dyDescent="0.25">
      <c r="H251" s="250"/>
      <c r="I251" s="250"/>
      <c r="J251" s="250"/>
      <c r="K251" s="250"/>
    </row>
    <row r="252" spans="1:11" x14ac:dyDescent="0.25">
      <c r="H252" s="250"/>
      <c r="I252" s="250"/>
      <c r="J252" s="250"/>
      <c r="K252" s="250"/>
    </row>
    <row r="253" spans="1:11" x14ac:dyDescent="0.25">
      <c r="H253" s="250"/>
      <c r="I253" s="250"/>
      <c r="J253" s="250"/>
      <c r="K253" s="250"/>
    </row>
    <row r="254" spans="1:11" x14ac:dyDescent="0.25">
      <c r="A254" s="373" t="s">
        <v>358</v>
      </c>
      <c r="B254" s="372"/>
      <c r="C254" s="372"/>
      <c r="D254" s="372"/>
      <c r="E254" s="372"/>
      <c r="F254" s="372"/>
      <c r="H254" s="250"/>
      <c r="I254" s="250"/>
      <c r="J254" s="250"/>
      <c r="K254" s="250"/>
    </row>
    <row r="255" spans="1:11" ht="15.6" x14ac:dyDescent="0.3">
      <c r="A255" s="327">
        <v>1</v>
      </c>
      <c r="B255" s="328" t="s">
        <v>337</v>
      </c>
      <c r="C255" s="329"/>
      <c r="D255" s="329"/>
      <c r="E255" s="329"/>
      <c r="F255" s="329"/>
      <c r="G255" s="329"/>
      <c r="H255" s="329"/>
      <c r="I255" s="250"/>
      <c r="J255" s="250"/>
      <c r="K255" s="250"/>
    </row>
    <row r="256" spans="1:11" ht="15.6" x14ac:dyDescent="0.3">
      <c r="A256" s="330" t="s">
        <v>338</v>
      </c>
      <c r="B256" s="331"/>
      <c r="C256" s="331"/>
      <c r="D256" s="332"/>
      <c r="E256" s="333"/>
      <c r="F256" s="703"/>
      <c r="G256" s="333"/>
      <c r="H256" s="334"/>
      <c r="I256" s="250"/>
      <c r="J256" s="250"/>
      <c r="K256" s="250"/>
    </row>
    <row r="257" spans="1:11" ht="16.2" thickBot="1" x14ac:dyDescent="0.3">
      <c r="A257" s="335" t="s">
        <v>339</v>
      </c>
      <c r="B257" s="336"/>
      <c r="C257" s="336"/>
      <c r="D257" s="337"/>
      <c r="E257" s="338" t="s">
        <v>340</v>
      </c>
      <c r="F257" s="704"/>
      <c r="G257" s="339" t="s">
        <v>341</v>
      </c>
      <c r="H257" s="334"/>
      <c r="I257" s="250"/>
      <c r="J257" s="250"/>
      <c r="K257" s="250"/>
    </row>
    <row r="258" spans="1:11" ht="16.2" thickBot="1" x14ac:dyDescent="0.3">
      <c r="A258" s="340"/>
      <c r="B258" s="340"/>
      <c r="C258" s="340"/>
      <c r="D258" s="341"/>
      <c r="E258" s="339" t="s">
        <v>342</v>
      </c>
      <c r="F258" s="339" t="s">
        <v>343</v>
      </c>
      <c r="G258" s="342" t="s">
        <v>344</v>
      </c>
      <c r="H258" s="339" t="s">
        <v>345</v>
      </c>
      <c r="I258" s="250"/>
      <c r="J258" s="250"/>
      <c r="K258" s="250"/>
    </row>
    <row r="259" spans="1:11" ht="15.6" x14ac:dyDescent="0.3">
      <c r="A259" s="330" t="s">
        <v>346</v>
      </c>
      <c r="B259" s="340"/>
      <c r="C259" s="343">
        <v>2005</v>
      </c>
      <c r="D259" s="344">
        <v>-9</v>
      </c>
      <c r="E259" s="345"/>
      <c r="F259" s="346"/>
      <c r="G259" s="347">
        <v>15525.938371462835</v>
      </c>
      <c r="H259" s="348">
        <v>15525.938371462835</v>
      </c>
      <c r="I259" s="250"/>
      <c r="J259" s="250"/>
      <c r="K259" s="250"/>
    </row>
    <row r="260" spans="1:11" ht="15.6" x14ac:dyDescent="0.3">
      <c r="A260" s="335" t="s">
        <v>347</v>
      </c>
      <c r="B260" s="340"/>
      <c r="C260" s="349">
        <v>2006</v>
      </c>
      <c r="D260" s="350">
        <v>-8</v>
      </c>
      <c r="E260" s="351"/>
      <c r="F260" s="346"/>
      <c r="G260" s="352">
        <v>15588.795122621847</v>
      </c>
      <c r="H260" s="353">
        <v>15588.795122621847</v>
      </c>
      <c r="I260" s="250"/>
      <c r="J260" s="250"/>
      <c r="K260" s="250"/>
    </row>
    <row r="261" spans="1:11" ht="15.6" x14ac:dyDescent="0.3">
      <c r="A261" s="340"/>
      <c r="B261" s="340"/>
      <c r="C261" s="349">
        <v>2007</v>
      </c>
      <c r="D261" s="350">
        <v>-7</v>
      </c>
      <c r="E261" s="351"/>
      <c r="F261" s="346"/>
      <c r="G261" s="352">
        <v>15720.44405330364</v>
      </c>
      <c r="H261" s="353">
        <v>15720.44405330364</v>
      </c>
      <c r="I261" s="250"/>
      <c r="J261" s="250"/>
      <c r="K261" s="250"/>
    </row>
    <row r="262" spans="1:11" ht="15.6" x14ac:dyDescent="0.3">
      <c r="A262" s="354" t="s">
        <v>348</v>
      </c>
      <c r="B262" s="340"/>
      <c r="C262" s="349">
        <v>2008</v>
      </c>
      <c r="D262" s="350">
        <v>-6</v>
      </c>
      <c r="E262" s="351"/>
      <c r="F262" s="346"/>
      <c r="G262" s="352">
        <v>15918.624325757597</v>
      </c>
      <c r="H262" s="353">
        <v>15918.624325757597</v>
      </c>
      <c r="I262" s="250"/>
      <c r="J262" s="250"/>
      <c r="K262" s="250"/>
    </row>
    <row r="263" spans="1:11" ht="15.6" x14ac:dyDescent="0.3">
      <c r="A263" s="700" t="s">
        <v>349</v>
      </c>
      <c r="B263" s="340"/>
      <c r="C263" s="349">
        <v>2009</v>
      </c>
      <c r="D263" s="350">
        <v>-5</v>
      </c>
      <c r="E263" s="351"/>
      <c r="F263" s="346"/>
      <c r="G263" s="352">
        <v>16181.075102233102</v>
      </c>
      <c r="H263" s="353">
        <v>16181.075102233102</v>
      </c>
      <c r="I263" s="250"/>
      <c r="J263" s="250"/>
      <c r="K263" s="250"/>
    </row>
    <row r="264" spans="1:11" ht="15.6" x14ac:dyDescent="0.3">
      <c r="A264" s="701"/>
      <c r="B264" s="340"/>
      <c r="C264" s="349">
        <v>2010</v>
      </c>
      <c r="D264" s="350">
        <v>-4</v>
      </c>
      <c r="E264" s="351"/>
      <c r="F264" s="346"/>
      <c r="G264" s="352">
        <v>16505.535544979539</v>
      </c>
      <c r="H264" s="353">
        <v>16505.535544979539</v>
      </c>
      <c r="I264" s="250"/>
      <c r="J264" s="250"/>
      <c r="K264" s="250"/>
    </row>
    <row r="265" spans="1:11" ht="15.6" x14ac:dyDescent="0.3">
      <c r="A265" s="701"/>
      <c r="B265" s="340"/>
      <c r="C265" s="349">
        <v>2011</v>
      </c>
      <c r="D265" s="350">
        <v>-3</v>
      </c>
      <c r="E265" s="351"/>
      <c r="F265" s="346"/>
      <c r="G265" s="352">
        <v>16889.74481624629</v>
      </c>
      <c r="H265" s="353">
        <v>16889.74481624629</v>
      </c>
      <c r="I265" s="250"/>
      <c r="J265" s="250"/>
      <c r="K265" s="250"/>
    </row>
    <row r="266" spans="1:11" ht="15.6" x14ac:dyDescent="0.3">
      <c r="A266" s="702"/>
      <c r="B266" s="340"/>
      <c r="C266" s="349">
        <v>2012</v>
      </c>
      <c r="D266" s="350">
        <v>-2</v>
      </c>
      <c r="E266" s="351"/>
      <c r="F266" s="346"/>
      <c r="G266" s="355">
        <v>17331.442078282744</v>
      </c>
      <c r="H266" s="356">
        <v>17331.442078282744</v>
      </c>
    </row>
    <row r="267" spans="1:11" ht="15.6" x14ac:dyDescent="0.3">
      <c r="A267" s="340"/>
      <c r="B267" s="340"/>
      <c r="C267" s="349">
        <v>2013</v>
      </c>
      <c r="D267" s="350">
        <v>-1</v>
      </c>
      <c r="E267" s="351"/>
      <c r="F267" s="346"/>
      <c r="G267" s="355">
        <v>17828.366493338282</v>
      </c>
      <c r="H267" s="356">
        <v>17828.366493338282</v>
      </c>
    </row>
    <row r="268" spans="1:11" ht="15.6" x14ac:dyDescent="0.3">
      <c r="A268" s="357" t="s">
        <v>350</v>
      </c>
      <c r="B268" s="340"/>
      <c r="C268" s="349">
        <v>2014</v>
      </c>
      <c r="D268" s="350">
        <v>0</v>
      </c>
      <c r="E268" s="351">
        <v>18368.056852998394</v>
      </c>
      <c r="F268" s="346">
        <v>18368.056852998394</v>
      </c>
      <c r="G268" s="355">
        <v>18368.056852998394</v>
      </c>
      <c r="H268" s="356">
        <v>18368.056852998394</v>
      </c>
    </row>
    <row r="269" spans="1:11" ht="15.6" x14ac:dyDescent="0.3">
      <c r="A269" s="358">
        <v>2017</v>
      </c>
      <c r="B269" s="336"/>
      <c r="C269" s="349">
        <v>2015</v>
      </c>
      <c r="D269" s="350">
        <v>1</v>
      </c>
      <c r="E269" s="351"/>
      <c r="F269" s="346"/>
      <c r="G269" s="355">
        <v>18978.853431504143</v>
      </c>
      <c r="H269" s="356">
        <v>18978.853431504143</v>
      </c>
    </row>
    <row r="270" spans="1:11" ht="15.6" x14ac:dyDescent="0.3">
      <c r="A270" s="359"/>
      <c r="B270" s="336"/>
      <c r="C270" s="349">
        <v>2016</v>
      </c>
      <c r="D270" s="350">
        <v>2</v>
      </c>
      <c r="E270" s="351"/>
      <c r="F270" s="346"/>
      <c r="G270" s="355">
        <v>19627.894279113239</v>
      </c>
      <c r="H270" s="356">
        <v>19627.894279113239</v>
      </c>
    </row>
    <row r="271" spans="1:11" ht="15.6" x14ac:dyDescent="0.3">
      <c r="A271" s="357" t="s">
        <v>351</v>
      </c>
      <c r="B271" s="336"/>
      <c r="C271" s="349">
        <v>2017</v>
      </c>
      <c r="D271" s="350">
        <v>3</v>
      </c>
      <c r="E271" s="351"/>
      <c r="F271" s="346"/>
      <c r="G271" s="355">
        <v>20323.11892873895</v>
      </c>
      <c r="H271" s="356">
        <v>20323.11892873895</v>
      </c>
    </row>
    <row r="272" spans="1:11" ht="15.6" x14ac:dyDescent="0.3">
      <c r="A272" s="358" t="s">
        <v>342</v>
      </c>
      <c r="B272" s="336"/>
      <c r="C272" s="349">
        <v>2018</v>
      </c>
      <c r="D272" s="350">
        <v>4</v>
      </c>
      <c r="E272" s="351"/>
      <c r="F272" s="346"/>
      <c r="G272" s="355">
        <v>21062.26654263067</v>
      </c>
      <c r="H272" s="356">
        <v>21062.26654263067</v>
      </c>
    </row>
    <row r="273" spans="1:8" ht="15.6" x14ac:dyDescent="0.3">
      <c r="A273" s="360"/>
      <c r="B273" s="361"/>
      <c r="C273" s="349">
        <v>2019</v>
      </c>
      <c r="D273" s="350">
        <v>5</v>
      </c>
      <c r="E273" s="351"/>
      <c r="F273" s="346"/>
      <c r="G273" s="355">
        <v>21843.076283037775</v>
      </c>
      <c r="H273" s="356">
        <v>21843.076283037775</v>
      </c>
    </row>
    <row r="274" spans="1:8" ht="15.6" x14ac:dyDescent="0.3">
      <c r="A274" s="362" t="s">
        <v>352</v>
      </c>
      <c r="B274" s="336"/>
      <c r="C274" s="349">
        <v>2020</v>
      </c>
      <c r="D274" s="350">
        <v>6</v>
      </c>
      <c r="E274" s="351"/>
      <c r="F274" s="346"/>
      <c r="G274" s="355">
        <v>22663.28731220965</v>
      </c>
      <c r="H274" s="356">
        <v>22663.28731220965</v>
      </c>
    </row>
    <row r="275" spans="1:8" ht="15.6" x14ac:dyDescent="0.3">
      <c r="A275" s="363"/>
      <c r="B275" s="336"/>
      <c r="C275" s="349">
        <v>2021</v>
      </c>
      <c r="D275" s="350">
        <v>7</v>
      </c>
      <c r="E275" s="351"/>
      <c r="F275" s="346"/>
      <c r="G275" s="355">
        <v>23520.638792395686</v>
      </c>
      <c r="H275" s="356">
        <v>23520.638792395686</v>
      </c>
    </row>
    <row r="276" spans="1:8" ht="15.6" x14ac:dyDescent="0.3">
      <c r="A276" s="364"/>
      <c r="B276" s="336"/>
      <c r="C276" s="349">
        <v>2022</v>
      </c>
      <c r="D276" s="350">
        <v>8</v>
      </c>
      <c r="E276" s="351"/>
      <c r="F276" s="346"/>
      <c r="G276" s="355">
        <v>24412.869885845259</v>
      </c>
      <c r="H276" s="356">
        <v>24412.869885845259</v>
      </c>
    </row>
    <row r="277" spans="1:8" ht="15.6" x14ac:dyDescent="0.3">
      <c r="A277" s="358"/>
      <c r="B277" s="336"/>
      <c r="C277" s="349">
        <v>2023</v>
      </c>
      <c r="D277" s="350">
        <v>9</v>
      </c>
      <c r="E277" s="351"/>
      <c r="F277" s="346"/>
      <c r="G277" s="355">
        <v>25337.719754807757</v>
      </c>
      <c r="H277" s="356">
        <v>25337.719754807757</v>
      </c>
    </row>
    <row r="278" spans="1:8" ht="15.6" x14ac:dyDescent="0.3">
      <c r="A278" s="336"/>
      <c r="B278" s="336"/>
      <c r="C278" s="349">
        <v>2024</v>
      </c>
      <c r="D278" s="350">
        <v>10</v>
      </c>
      <c r="E278" s="351"/>
      <c r="F278" s="346"/>
      <c r="G278" s="355">
        <v>26292.927561532561</v>
      </c>
      <c r="H278" s="356">
        <v>26292.927561532561</v>
      </c>
    </row>
    <row r="279" spans="1:8" ht="15.6" x14ac:dyDescent="0.3">
      <c r="A279" s="336"/>
      <c r="B279" s="336"/>
      <c r="C279" s="349">
        <v>2025</v>
      </c>
      <c r="D279" s="350">
        <v>11</v>
      </c>
      <c r="E279" s="351">
        <v>27263.068278567229</v>
      </c>
      <c r="F279" s="346">
        <v>27263.068278567229</v>
      </c>
      <c r="G279" s="355">
        <v>27263.068278567229</v>
      </c>
      <c r="H279" s="356">
        <v>27263.068278567229</v>
      </c>
    </row>
    <row r="280" spans="1:8" ht="15.6" x14ac:dyDescent="0.3">
      <c r="A280" s="336"/>
      <c r="B280" s="336"/>
      <c r="C280" s="349">
        <v>2026</v>
      </c>
      <c r="D280" s="350">
        <v>12</v>
      </c>
      <c r="E280" s="351"/>
      <c r="F280" s="346"/>
      <c r="G280" s="355">
        <v>28285.373637266632</v>
      </c>
      <c r="H280" s="356">
        <v>28285.373637266632</v>
      </c>
    </row>
    <row r="281" spans="1:8" ht="15.6" x14ac:dyDescent="0.3">
      <c r="A281" s="336"/>
      <c r="B281" s="336"/>
      <c r="C281" s="349">
        <v>2027</v>
      </c>
      <c r="D281" s="350">
        <v>13</v>
      </c>
      <c r="E281" s="351"/>
      <c r="F281" s="346"/>
      <c r="G281" s="355">
        <v>29318.090230774666</v>
      </c>
      <c r="H281" s="356">
        <v>29318.090230774666</v>
      </c>
    </row>
    <row r="282" spans="1:8" ht="15.6" x14ac:dyDescent="0.3">
      <c r="A282" s="336"/>
      <c r="B282" s="336"/>
      <c r="C282" s="349">
        <v>2028</v>
      </c>
      <c r="D282" s="350">
        <v>14</v>
      </c>
      <c r="E282" s="351"/>
      <c r="F282" s="346"/>
      <c r="G282" s="355">
        <v>30372.121411042543</v>
      </c>
      <c r="H282" s="356">
        <v>30372.121411042543</v>
      </c>
    </row>
    <row r="283" spans="1:8" ht="15.6" x14ac:dyDescent="0.3">
      <c r="A283" s="336"/>
      <c r="B283" s="336"/>
      <c r="C283" s="349">
        <v>2029</v>
      </c>
      <c r="D283" s="350">
        <v>15</v>
      </c>
      <c r="E283" s="351"/>
      <c r="F283" s="346"/>
      <c r="G283" s="355">
        <v>31445.206340319648</v>
      </c>
      <c r="H283" s="356">
        <v>31445.206340319648</v>
      </c>
    </row>
    <row r="284" spans="1:8" ht="15.6" x14ac:dyDescent="0.3">
      <c r="A284" s="336"/>
      <c r="B284" s="336"/>
      <c r="C284" s="349">
        <v>2030</v>
      </c>
      <c r="D284" s="350">
        <v>16</v>
      </c>
      <c r="E284" s="351">
        <v>32636.176165275068</v>
      </c>
      <c r="F284" s="346">
        <v>32636.176165275068</v>
      </c>
      <c r="G284" s="355">
        <v>32636.176165275068</v>
      </c>
      <c r="H284" s="356">
        <v>32636.176165275068</v>
      </c>
    </row>
    <row r="285" spans="1:8" ht="15.6" x14ac:dyDescent="0.3">
      <c r="A285" s="336"/>
      <c r="B285" s="336"/>
      <c r="C285" s="349">
        <v>2031</v>
      </c>
      <c r="D285" s="350">
        <v>17</v>
      </c>
      <c r="E285" s="351"/>
      <c r="F285" s="346"/>
      <c r="G285" s="355">
        <v>33639.494094899077</v>
      </c>
      <c r="H285" s="356">
        <v>33639.494094899077</v>
      </c>
    </row>
    <row r="286" spans="1:8" ht="15.6" x14ac:dyDescent="0.3">
      <c r="A286" s="336"/>
      <c r="B286" s="336"/>
      <c r="C286" s="349">
        <v>2032</v>
      </c>
      <c r="D286" s="350">
        <v>18</v>
      </c>
      <c r="E286" s="351"/>
      <c r="F286" s="346"/>
      <c r="G286" s="355">
        <v>34756.175244700171</v>
      </c>
      <c r="H286" s="356">
        <v>34756.175244700171</v>
      </c>
    </row>
    <row r="287" spans="1:8" ht="15.6" x14ac:dyDescent="0.3">
      <c r="A287" s="361"/>
      <c r="B287" s="361"/>
      <c r="C287" s="349">
        <v>2033</v>
      </c>
      <c r="D287" s="350">
        <v>19</v>
      </c>
      <c r="E287" s="351"/>
      <c r="F287" s="346"/>
      <c r="G287" s="355">
        <v>35882.86679250803</v>
      </c>
      <c r="H287" s="356">
        <v>35882.86679250803</v>
      </c>
    </row>
    <row r="288" spans="1:8" ht="15.6" x14ac:dyDescent="0.3">
      <c r="A288" s="361"/>
      <c r="B288" s="361"/>
      <c r="C288" s="349">
        <v>2034</v>
      </c>
      <c r="D288" s="350">
        <v>20</v>
      </c>
      <c r="E288" s="351"/>
      <c r="F288" s="346"/>
      <c r="G288" s="355">
        <v>37017.307900572036</v>
      </c>
      <c r="H288" s="356">
        <v>37017.307900572036</v>
      </c>
    </row>
    <row r="289" spans="1:8" ht="15.6" x14ac:dyDescent="0.3">
      <c r="A289" s="361"/>
      <c r="B289" s="361"/>
      <c r="C289" s="349">
        <v>2035</v>
      </c>
      <c r="D289" s="350">
        <v>21</v>
      </c>
      <c r="E289" s="351">
        <v>38137.056156610328</v>
      </c>
      <c r="F289" s="346">
        <v>38137.056156610328</v>
      </c>
      <c r="G289" s="355">
        <v>38137.056156610328</v>
      </c>
      <c r="H289" s="356">
        <v>38137.056156610328</v>
      </c>
    </row>
    <row r="290" spans="1:8" ht="15.6" x14ac:dyDescent="0.3">
      <c r="A290" s="361"/>
      <c r="B290" s="361"/>
      <c r="C290" s="349">
        <v>2036</v>
      </c>
      <c r="D290" s="350">
        <v>22</v>
      </c>
      <c r="E290" s="351"/>
      <c r="F290" s="346"/>
      <c r="G290" s="355">
        <v>39300.39544646602</v>
      </c>
      <c r="H290" s="356">
        <v>39300.39544646602</v>
      </c>
    </row>
    <row r="291" spans="1:8" ht="15.6" x14ac:dyDescent="0.3">
      <c r="A291" s="361"/>
      <c r="B291" s="361"/>
      <c r="C291" s="349">
        <v>2037</v>
      </c>
      <c r="D291" s="350">
        <v>23</v>
      </c>
      <c r="E291" s="351"/>
      <c r="F291" s="346"/>
      <c r="G291" s="355">
        <v>40444.520208794776</v>
      </c>
      <c r="H291" s="356">
        <v>40444.520208794776</v>
      </c>
    </row>
    <row r="292" spans="1:8" ht="15.6" x14ac:dyDescent="0.3">
      <c r="A292" s="361"/>
      <c r="B292" s="361"/>
      <c r="C292" s="349">
        <v>2038</v>
      </c>
      <c r="D292" s="350">
        <v>24</v>
      </c>
      <c r="E292" s="351"/>
      <c r="F292" s="346"/>
      <c r="G292" s="355">
        <v>41587.351180377213</v>
      </c>
      <c r="H292" s="356">
        <v>41587.351180377213</v>
      </c>
    </row>
    <row r="293" spans="1:8" ht="15.6" x14ac:dyDescent="0.3">
      <c r="A293" s="361"/>
      <c r="B293" s="361"/>
      <c r="C293" s="349">
        <v>2039</v>
      </c>
      <c r="D293" s="350">
        <v>25</v>
      </c>
      <c r="E293" s="351"/>
      <c r="F293" s="346"/>
      <c r="G293" s="355">
        <v>42726.62752346271</v>
      </c>
      <c r="H293" s="356">
        <v>42726.62752346271</v>
      </c>
    </row>
    <row r="294" spans="1:8" ht="15.6" x14ac:dyDescent="0.3">
      <c r="A294" s="361"/>
      <c r="B294" s="361"/>
      <c r="C294" s="349">
        <v>2040</v>
      </c>
      <c r="D294" s="350">
        <v>26</v>
      </c>
      <c r="E294" s="351">
        <v>43754.240410899052</v>
      </c>
      <c r="F294" s="346">
        <v>43754.240410899052</v>
      </c>
      <c r="G294" s="355">
        <v>43754.240410899052</v>
      </c>
      <c r="H294" s="356">
        <v>43754.240410899052</v>
      </c>
    </row>
    <row r="295" spans="1:8" ht="15.6" x14ac:dyDescent="0.3">
      <c r="A295" s="361"/>
      <c r="B295" s="361"/>
      <c r="C295" s="349">
        <v>2041</v>
      </c>
      <c r="D295" s="350">
        <v>27</v>
      </c>
      <c r="E295" s="351"/>
      <c r="F295" s="346"/>
      <c r="G295" s="355">
        <v>44985.472973140459</v>
      </c>
      <c r="H295" s="356">
        <v>44985.472973140459</v>
      </c>
    </row>
    <row r="296" spans="1:8" ht="15.6" x14ac:dyDescent="0.3">
      <c r="A296" s="361"/>
      <c r="B296" s="361"/>
      <c r="C296" s="349">
        <v>2042</v>
      </c>
      <c r="D296" s="350">
        <v>28</v>
      </c>
      <c r="E296" s="351"/>
      <c r="F296" s="346"/>
      <c r="G296" s="355">
        <v>46100.520404231473</v>
      </c>
      <c r="H296" s="356">
        <v>46100.520404231473</v>
      </c>
    </row>
    <row r="297" spans="1:8" ht="15.6" x14ac:dyDescent="0.3">
      <c r="A297" s="361"/>
      <c r="B297" s="361"/>
      <c r="C297" s="349">
        <v>2043</v>
      </c>
      <c r="D297" s="350">
        <v>29</v>
      </c>
      <c r="E297" s="351"/>
      <c r="F297" s="346"/>
      <c r="G297" s="355">
        <v>47202.969855823088</v>
      </c>
      <c r="H297" s="356">
        <v>47202.969855823088</v>
      </c>
    </row>
    <row r="298" spans="1:8" ht="15.6" x14ac:dyDescent="0.3">
      <c r="A298" s="361"/>
      <c r="B298" s="361"/>
      <c r="C298" s="349">
        <v>2044</v>
      </c>
      <c r="D298" s="350">
        <v>30</v>
      </c>
      <c r="E298" s="351"/>
      <c r="F298" s="346"/>
      <c r="G298" s="355">
        <v>48290.560490164688</v>
      </c>
      <c r="H298" s="356">
        <v>48290.560490164688</v>
      </c>
    </row>
    <row r="299" spans="1:8" ht="15.6" x14ac:dyDescent="0.3">
      <c r="A299" s="361"/>
      <c r="B299" s="361"/>
      <c r="C299" s="349">
        <v>2045</v>
      </c>
      <c r="D299" s="350">
        <v>31</v>
      </c>
      <c r="E299" s="351">
        <v>49348.565279054761</v>
      </c>
      <c r="F299" s="346">
        <v>49348.565279054761</v>
      </c>
      <c r="G299" s="355">
        <v>49348.565279054761</v>
      </c>
      <c r="H299" s="356">
        <v>49348.565279054761</v>
      </c>
    </row>
    <row r="300" spans="1:8" ht="15.6" x14ac:dyDescent="0.3">
      <c r="A300" s="361"/>
      <c r="B300" s="361"/>
      <c r="C300" s="349">
        <v>2046</v>
      </c>
      <c r="D300" s="350">
        <v>32</v>
      </c>
      <c r="E300" s="351"/>
      <c r="F300" s="346"/>
      <c r="G300" s="355">
        <v>50412.12195609539</v>
      </c>
      <c r="H300" s="356">
        <v>50412.12195609539</v>
      </c>
    </row>
    <row r="301" spans="1:8" ht="15.6" x14ac:dyDescent="0.3">
      <c r="A301" s="365"/>
      <c r="B301" s="366"/>
      <c r="C301" s="349">
        <v>2047</v>
      </c>
      <c r="D301" s="350">
        <v>33</v>
      </c>
      <c r="E301" s="351"/>
      <c r="F301" s="346"/>
      <c r="G301" s="355">
        <v>51441.571112183265</v>
      </c>
      <c r="H301" s="356">
        <v>51441.571112183265</v>
      </c>
    </row>
    <row r="302" spans="1:8" ht="15.6" x14ac:dyDescent="0.3">
      <c r="A302" s="359"/>
      <c r="B302" s="366"/>
      <c r="C302" s="349">
        <v>2048</v>
      </c>
      <c r="D302" s="350">
        <v>34</v>
      </c>
      <c r="E302" s="351"/>
      <c r="F302" s="346"/>
      <c r="G302" s="355">
        <v>52447.118100018655</v>
      </c>
      <c r="H302" s="356">
        <v>52447.118100018655</v>
      </c>
    </row>
    <row r="303" spans="1:8" ht="15.6" x14ac:dyDescent="0.3">
      <c r="A303" s="359"/>
      <c r="B303" s="359"/>
      <c r="C303" s="349">
        <v>2049</v>
      </c>
      <c r="D303" s="350">
        <v>35</v>
      </c>
      <c r="E303" s="351"/>
      <c r="F303" s="346"/>
      <c r="G303" s="355">
        <v>53426.502081850958</v>
      </c>
      <c r="H303" s="356">
        <v>53426.502081850958</v>
      </c>
    </row>
    <row r="304" spans="1:8" ht="15.6" x14ac:dyDescent="0.3">
      <c r="A304" s="359"/>
      <c r="B304" s="359"/>
      <c r="C304" s="349">
        <v>2050</v>
      </c>
      <c r="D304" s="350">
        <v>36</v>
      </c>
      <c r="E304" s="351">
        <v>54396.590671889055</v>
      </c>
      <c r="F304" s="346">
        <v>54396.590671889055</v>
      </c>
      <c r="G304" s="355">
        <v>54396.590671889055</v>
      </c>
      <c r="H304" s="356">
        <v>54396.590671889055</v>
      </c>
    </row>
    <row r="305" spans="1:8" ht="15.6" x14ac:dyDescent="0.3">
      <c r="A305"/>
      <c r="B305"/>
      <c r="C305" s="349">
        <v>2051</v>
      </c>
      <c r="D305" s="350">
        <v>37</v>
      </c>
      <c r="E305" s="351"/>
      <c r="F305" s="346"/>
      <c r="G305" s="355">
        <v>55297.737676503828</v>
      </c>
      <c r="H305" s="356">
        <v>55297.737676503828</v>
      </c>
    </row>
    <row r="306" spans="1:8" ht="15.6" x14ac:dyDescent="0.3">
      <c r="A306"/>
      <c r="B306"/>
      <c r="C306" s="349">
        <v>2052</v>
      </c>
      <c r="D306" s="350">
        <v>38</v>
      </c>
      <c r="E306" s="351"/>
      <c r="F306" s="346"/>
      <c r="G306" s="355">
        <v>56185.06761382315</v>
      </c>
      <c r="H306" s="356">
        <v>56185.06761382315</v>
      </c>
    </row>
    <row r="307" spans="1:8" ht="15.6" x14ac:dyDescent="0.3">
      <c r="A307"/>
      <c r="B307"/>
      <c r="C307" s="349">
        <v>2053</v>
      </c>
      <c r="D307" s="350">
        <v>39</v>
      </c>
      <c r="E307" s="351"/>
      <c r="F307" s="346"/>
      <c r="G307" s="355">
        <v>57037.191194136918</v>
      </c>
      <c r="H307" s="356">
        <v>57037.191194136918</v>
      </c>
    </row>
    <row r="308" spans="1:8" ht="15.6" x14ac:dyDescent="0.3">
      <c r="A308"/>
      <c r="B308"/>
      <c r="C308" s="349">
        <v>2054</v>
      </c>
      <c r="D308" s="350">
        <v>40</v>
      </c>
      <c r="E308" s="351"/>
      <c r="F308" s="346"/>
      <c r="G308" s="355">
        <v>57851.84757969452</v>
      </c>
      <c r="H308" s="356">
        <v>57851.84757969452</v>
      </c>
    </row>
    <row r="309" spans="1:8" ht="15.6" x14ac:dyDescent="0.3">
      <c r="A309"/>
      <c r="B309"/>
      <c r="C309" s="349">
        <v>2055</v>
      </c>
      <c r="D309" s="350">
        <v>41</v>
      </c>
      <c r="E309" s="351">
        <v>58729.658261944052</v>
      </c>
      <c r="F309" s="346">
        <v>58729.658261944052</v>
      </c>
      <c r="G309" s="355">
        <v>58729.658261944052</v>
      </c>
      <c r="H309" s="356">
        <v>58729.658261944052</v>
      </c>
    </row>
    <row r="310" spans="1:8" ht="15.6" x14ac:dyDescent="0.3">
      <c r="A310"/>
      <c r="B310"/>
      <c r="C310" s="349">
        <v>2056</v>
      </c>
      <c r="D310" s="350">
        <v>42</v>
      </c>
      <c r="E310" s="351"/>
      <c r="F310" s="346"/>
      <c r="G310" s="355">
        <v>59359.715415538732</v>
      </c>
      <c r="H310" s="356">
        <v>59359.715415538732</v>
      </c>
    </row>
    <row r="311" spans="1:8" ht="15.6" x14ac:dyDescent="0.3">
      <c r="A311"/>
      <c r="B311"/>
      <c r="C311" s="349">
        <v>2057</v>
      </c>
      <c r="D311" s="350">
        <v>43</v>
      </c>
      <c r="E311" s="351"/>
      <c r="F311" s="346"/>
      <c r="G311" s="355">
        <v>60048.405190324127</v>
      </c>
      <c r="H311" s="356">
        <v>60048.405190324127</v>
      </c>
    </row>
    <row r="312" spans="1:8" ht="15.6" x14ac:dyDescent="0.3">
      <c r="A312"/>
      <c r="B312"/>
      <c r="C312" s="349">
        <v>2058</v>
      </c>
      <c r="D312" s="350">
        <v>44</v>
      </c>
      <c r="E312" s="351"/>
      <c r="F312" s="346"/>
      <c r="G312" s="355">
        <v>60690.584419350875</v>
      </c>
      <c r="H312" s="356">
        <v>60690.584419350875</v>
      </c>
    </row>
    <row r="313" spans="1:8" ht="15.6" x14ac:dyDescent="0.3">
      <c r="A313"/>
      <c r="B313"/>
      <c r="C313" s="349">
        <v>2059</v>
      </c>
      <c r="D313" s="350">
        <v>45</v>
      </c>
      <c r="E313" s="351"/>
      <c r="F313" s="346"/>
      <c r="G313" s="355">
        <v>61283.992264868371</v>
      </c>
      <c r="H313" s="356">
        <v>61283.992264868371</v>
      </c>
    </row>
    <row r="314" spans="1:8" ht="15.6" x14ac:dyDescent="0.3">
      <c r="A314"/>
      <c r="B314"/>
      <c r="C314" s="367">
        <v>2060</v>
      </c>
      <c r="D314" s="350">
        <v>46</v>
      </c>
      <c r="E314" s="351">
        <v>61765.125438297531</v>
      </c>
      <c r="F314" s="346">
        <v>61765.125438297531</v>
      </c>
      <c r="G314" s="355">
        <v>61765.125438297531</v>
      </c>
      <c r="H314" s="356">
        <v>61765.125438297531</v>
      </c>
    </row>
    <row r="321" spans="1:8" ht="15.6" x14ac:dyDescent="0.3">
      <c r="A321" s="327">
        <v>3</v>
      </c>
      <c r="B321" s="328" t="s">
        <v>353</v>
      </c>
      <c r="C321" s="329"/>
      <c r="D321" s="329"/>
      <c r="E321" s="329"/>
      <c r="F321" s="329"/>
      <c r="G321" s="329"/>
      <c r="H321" s="329"/>
    </row>
    <row r="322" spans="1:8" ht="15.6" x14ac:dyDescent="0.3">
      <c r="A322" s="330" t="s">
        <v>338</v>
      </c>
      <c r="B322" s="331"/>
      <c r="C322" s="331"/>
      <c r="D322" s="332"/>
      <c r="E322" s="333"/>
      <c r="F322" s="703"/>
      <c r="G322" s="333"/>
      <c r="H322" s="334"/>
    </row>
    <row r="323" spans="1:8" ht="16.2" thickBot="1" x14ac:dyDescent="0.3">
      <c r="A323" s="368" t="s">
        <v>339</v>
      </c>
      <c r="B323" s="336"/>
      <c r="C323" s="336"/>
      <c r="D323" s="337"/>
      <c r="E323" s="338" t="s">
        <v>340</v>
      </c>
      <c r="F323" s="704"/>
      <c r="G323" s="369" t="s">
        <v>354</v>
      </c>
      <c r="H323" s="334"/>
    </row>
    <row r="324" spans="1:8" ht="16.2" thickBot="1" x14ac:dyDescent="0.3">
      <c r="A324" s="340"/>
      <c r="B324" s="340"/>
      <c r="C324" s="340"/>
      <c r="D324" s="341"/>
      <c r="E324" s="369" t="s">
        <v>342</v>
      </c>
      <c r="F324" s="369" t="s">
        <v>343</v>
      </c>
      <c r="G324" s="370" t="s">
        <v>344</v>
      </c>
      <c r="H324" s="369" t="s">
        <v>345</v>
      </c>
    </row>
    <row r="325" spans="1:8" ht="15.6" x14ac:dyDescent="0.3">
      <c r="A325" s="330" t="s">
        <v>346</v>
      </c>
      <c r="B325" s="340"/>
      <c r="C325" s="343">
        <v>2005</v>
      </c>
      <c r="D325" s="344">
        <v>-9</v>
      </c>
      <c r="E325" s="345"/>
      <c r="F325" s="346"/>
      <c r="G325" s="347">
        <v>17005.86738248176</v>
      </c>
      <c r="H325" s="348">
        <v>17005.86738248176</v>
      </c>
    </row>
    <row r="326" spans="1:8" ht="15.6" x14ac:dyDescent="0.3">
      <c r="A326" s="368" t="s">
        <v>5</v>
      </c>
      <c r="B326" s="340"/>
      <c r="C326" s="349">
        <v>2006</v>
      </c>
      <c r="D326" s="350">
        <v>-8</v>
      </c>
      <c r="E326" s="351"/>
      <c r="F326" s="346"/>
      <c r="G326" s="352">
        <v>17083.413277682117</v>
      </c>
      <c r="H326" s="353">
        <v>17083.413277682117</v>
      </c>
    </row>
    <row r="327" spans="1:8" ht="15.6" x14ac:dyDescent="0.3">
      <c r="A327" s="340"/>
      <c r="B327" s="340"/>
      <c r="C327" s="349">
        <v>2007</v>
      </c>
      <c r="D327" s="350">
        <v>-7</v>
      </c>
      <c r="E327" s="351"/>
      <c r="F327" s="346"/>
      <c r="G327" s="352">
        <v>17166.827655626541</v>
      </c>
      <c r="H327" s="353">
        <v>17166.827655626541</v>
      </c>
    </row>
    <row r="328" spans="1:8" ht="15.6" x14ac:dyDescent="0.3">
      <c r="A328" s="354" t="s">
        <v>348</v>
      </c>
      <c r="B328" s="340"/>
      <c r="C328" s="349">
        <v>2008</v>
      </c>
      <c r="D328" s="350">
        <v>-6</v>
      </c>
      <c r="E328" s="351"/>
      <c r="F328" s="346"/>
      <c r="G328" s="352">
        <v>17255.943795522449</v>
      </c>
      <c r="H328" s="353">
        <v>17255.943795522449</v>
      </c>
    </row>
    <row r="329" spans="1:8" ht="15.6" x14ac:dyDescent="0.3">
      <c r="A329" s="700" t="s">
        <v>355</v>
      </c>
      <c r="B329" s="340"/>
      <c r="C329" s="349">
        <v>2009</v>
      </c>
      <c r="D329" s="350">
        <v>-5</v>
      </c>
      <c r="E329" s="351"/>
      <c r="F329" s="346"/>
      <c r="G329" s="352">
        <v>17350.594976577249</v>
      </c>
      <c r="H329" s="353">
        <v>17350.594976577249</v>
      </c>
    </row>
    <row r="330" spans="1:8" ht="15.6" x14ac:dyDescent="0.3">
      <c r="A330" s="701"/>
      <c r="B330" s="340"/>
      <c r="C330" s="349">
        <v>2010</v>
      </c>
      <c r="D330" s="350">
        <v>-4</v>
      </c>
      <c r="E330" s="351"/>
      <c r="F330" s="346"/>
      <c r="G330" s="352">
        <v>17450.614477998362</v>
      </c>
      <c r="H330" s="353">
        <v>17450.614477998362</v>
      </c>
    </row>
    <row r="331" spans="1:8" ht="15.6" x14ac:dyDescent="0.3">
      <c r="A331" s="701"/>
      <c r="B331" s="340"/>
      <c r="C331" s="349">
        <v>2011</v>
      </c>
      <c r="D331" s="350">
        <v>-3</v>
      </c>
      <c r="E331" s="351"/>
      <c r="F331" s="346"/>
      <c r="G331" s="352">
        <v>17555.835578993199</v>
      </c>
      <c r="H331" s="353">
        <v>17555.835578993199</v>
      </c>
    </row>
    <row r="332" spans="1:8" ht="15.6" x14ac:dyDescent="0.3">
      <c r="A332" s="702"/>
      <c r="B332" s="340"/>
      <c r="C332" s="349">
        <v>2012</v>
      </c>
      <c r="D332" s="350">
        <v>-2</v>
      </c>
      <c r="E332" s="351"/>
      <c r="F332" s="346"/>
      <c r="G332" s="355">
        <v>17666.091558769174</v>
      </c>
      <c r="H332" s="356">
        <v>17666.091558769174</v>
      </c>
    </row>
    <row r="333" spans="1:8" ht="15.6" x14ac:dyDescent="0.3">
      <c r="A333" s="340"/>
      <c r="B333" s="340"/>
      <c r="C333" s="349">
        <v>2013</v>
      </c>
      <c r="D333" s="350">
        <v>-1</v>
      </c>
      <c r="E333" s="351"/>
      <c r="F333" s="346"/>
      <c r="G333" s="355">
        <v>17781.215696533705</v>
      </c>
      <c r="H333" s="356">
        <v>17781.215696533705</v>
      </c>
    </row>
    <row r="334" spans="1:8" ht="15.6" x14ac:dyDescent="0.3">
      <c r="A334" s="357" t="s">
        <v>350</v>
      </c>
      <c r="B334" s="340"/>
      <c r="C334" s="349">
        <v>2014</v>
      </c>
      <c r="D334" s="350">
        <v>0</v>
      </c>
      <c r="E334" s="351">
        <v>17944.221871904836</v>
      </c>
      <c r="F334" s="346">
        <v>17944.221871904836</v>
      </c>
      <c r="G334" s="355">
        <v>17944.221871904836</v>
      </c>
      <c r="H334" s="356">
        <v>17944.221871904836</v>
      </c>
    </row>
    <row r="335" spans="1:8" ht="15.6" x14ac:dyDescent="0.3">
      <c r="A335" s="358">
        <v>2017</v>
      </c>
      <c r="B335" s="336"/>
      <c r="C335" s="349">
        <v>2015</v>
      </c>
      <c r="D335" s="350">
        <v>1</v>
      </c>
      <c r="E335" s="351"/>
      <c r="F335" s="346"/>
      <c r="G335" s="355">
        <v>18025.401562858075</v>
      </c>
      <c r="H335" s="356">
        <v>18025.401562858075</v>
      </c>
    </row>
    <row r="336" spans="1:8" ht="15.6" x14ac:dyDescent="0.3">
      <c r="A336" s="359"/>
      <c r="B336" s="336"/>
      <c r="C336" s="349">
        <v>2016</v>
      </c>
      <c r="D336" s="350">
        <v>2</v>
      </c>
      <c r="E336" s="351"/>
      <c r="F336" s="346"/>
      <c r="G336" s="355">
        <v>18154.129849832749</v>
      </c>
      <c r="H336" s="356">
        <v>18154.129849832749</v>
      </c>
    </row>
    <row r="337" spans="1:8" ht="15.6" x14ac:dyDescent="0.3">
      <c r="A337" s="357" t="s">
        <v>351</v>
      </c>
      <c r="B337" s="336"/>
      <c r="C337" s="349">
        <v>2017</v>
      </c>
      <c r="D337" s="350">
        <v>3</v>
      </c>
      <c r="E337" s="351"/>
      <c r="F337" s="346"/>
      <c r="G337" s="355">
        <v>18287.059411625629</v>
      </c>
      <c r="H337" s="356">
        <v>18287.059411625629</v>
      </c>
    </row>
    <row r="338" spans="1:8" ht="15.6" x14ac:dyDescent="0.3">
      <c r="A338" s="358" t="s">
        <v>342</v>
      </c>
      <c r="B338" s="336"/>
      <c r="C338" s="349">
        <v>2018</v>
      </c>
      <c r="D338" s="350">
        <v>4</v>
      </c>
      <c r="E338" s="351"/>
      <c r="F338" s="346"/>
      <c r="G338" s="355">
        <v>18424.023527444137</v>
      </c>
      <c r="H338" s="356">
        <v>18424.023527444137</v>
      </c>
    </row>
    <row r="339" spans="1:8" ht="15.6" x14ac:dyDescent="0.3">
      <c r="A339" s="360"/>
      <c r="B339" s="361"/>
      <c r="C339" s="349">
        <v>2019</v>
      </c>
      <c r="D339" s="350">
        <v>5</v>
      </c>
      <c r="E339" s="351"/>
      <c r="F339" s="346"/>
      <c r="G339" s="355">
        <v>18564.855476495679</v>
      </c>
      <c r="H339" s="356">
        <v>18564.855476495679</v>
      </c>
    </row>
    <row r="340" spans="1:8" ht="15.6" x14ac:dyDescent="0.3">
      <c r="A340" s="362" t="s">
        <v>352</v>
      </c>
      <c r="B340" s="336"/>
      <c r="C340" s="349">
        <v>2020</v>
      </c>
      <c r="D340" s="350">
        <v>6</v>
      </c>
      <c r="E340" s="351"/>
      <c r="F340" s="346"/>
      <c r="G340" s="355">
        <v>18709.388537987674</v>
      </c>
      <c r="H340" s="356">
        <v>18709.388537987674</v>
      </c>
    </row>
    <row r="341" spans="1:8" ht="15.6" x14ac:dyDescent="0.3">
      <c r="A341" s="363"/>
      <c r="B341" s="336"/>
      <c r="C341" s="349">
        <v>2021</v>
      </c>
      <c r="D341" s="350">
        <v>7</v>
      </c>
      <c r="E341" s="351"/>
      <c r="F341" s="346"/>
      <c r="G341" s="355">
        <v>18857.455991127539</v>
      </c>
      <c r="H341" s="356">
        <v>18857.455991127539</v>
      </c>
    </row>
    <row r="342" spans="1:8" ht="15.6" x14ac:dyDescent="0.3">
      <c r="A342" s="364"/>
      <c r="B342" s="336"/>
      <c r="C342" s="349">
        <v>2022</v>
      </c>
      <c r="D342" s="350">
        <v>8</v>
      </c>
      <c r="E342" s="351"/>
      <c r="F342" s="346"/>
      <c r="G342" s="355">
        <v>19008.891115122678</v>
      </c>
      <c r="H342" s="356">
        <v>19008.891115122678</v>
      </c>
    </row>
    <row r="343" spans="1:8" ht="15.6" x14ac:dyDescent="0.3">
      <c r="A343" s="358"/>
      <c r="B343" s="336"/>
      <c r="C343" s="349">
        <v>2023</v>
      </c>
      <c r="D343" s="350">
        <v>9</v>
      </c>
      <c r="E343" s="351"/>
      <c r="F343" s="346"/>
      <c r="G343" s="355">
        <v>19163.527189180517</v>
      </c>
      <c r="H343" s="356">
        <v>19163.527189180517</v>
      </c>
    </row>
    <row r="344" spans="1:8" ht="15.6" x14ac:dyDescent="0.3">
      <c r="A344" s="336"/>
      <c r="B344" s="336"/>
      <c r="C344" s="349">
        <v>2024</v>
      </c>
      <c r="D344" s="350">
        <v>10</v>
      </c>
      <c r="E344" s="351"/>
      <c r="F344" s="346"/>
      <c r="G344" s="355">
        <v>19321.197492508465</v>
      </c>
      <c r="H344" s="356">
        <v>19321.197492508465</v>
      </c>
    </row>
    <row r="345" spans="1:8" ht="15.6" x14ac:dyDescent="0.3">
      <c r="A345" s="336"/>
      <c r="B345" s="336"/>
      <c r="C345" s="349">
        <v>2025</v>
      </c>
      <c r="D345" s="350">
        <v>11</v>
      </c>
      <c r="E345" s="351">
        <v>19306.940551878397</v>
      </c>
      <c r="F345" s="346">
        <v>19306.940551878397</v>
      </c>
      <c r="G345" s="355">
        <v>19306.940551878397</v>
      </c>
      <c r="H345" s="356">
        <v>19306.940551878397</v>
      </c>
    </row>
    <row r="346" spans="1:8" ht="15.6" x14ac:dyDescent="0.3">
      <c r="A346" s="336"/>
      <c r="B346" s="336"/>
      <c r="C346" s="349">
        <v>2026</v>
      </c>
      <c r="D346" s="350">
        <v>12</v>
      </c>
      <c r="E346" s="351"/>
      <c r="F346" s="346"/>
      <c r="G346" s="355">
        <v>19644.973903804341</v>
      </c>
      <c r="H346" s="356">
        <v>19644.973903804341</v>
      </c>
    </row>
    <row r="347" spans="1:8" ht="15.6" x14ac:dyDescent="0.3">
      <c r="A347" s="336"/>
      <c r="B347" s="336"/>
      <c r="C347" s="349">
        <v>2027</v>
      </c>
      <c r="D347" s="350">
        <v>13</v>
      </c>
      <c r="E347" s="351"/>
      <c r="F347" s="346"/>
      <c r="G347" s="355">
        <v>19810.746570187097</v>
      </c>
      <c r="H347" s="356">
        <v>19810.746570187097</v>
      </c>
    </row>
    <row r="348" spans="1:8" ht="15.6" x14ac:dyDescent="0.3">
      <c r="A348" s="336"/>
      <c r="B348" s="336"/>
      <c r="C348" s="349">
        <v>2028</v>
      </c>
      <c r="D348" s="350">
        <v>14</v>
      </c>
      <c r="E348" s="351"/>
      <c r="F348" s="346"/>
      <c r="G348" s="355">
        <v>19978.886582669624</v>
      </c>
      <c r="H348" s="356">
        <v>19978.886582669624</v>
      </c>
    </row>
    <row r="349" spans="1:8" ht="15.6" x14ac:dyDescent="0.3">
      <c r="A349" s="336"/>
      <c r="B349" s="336"/>
      <c r="C349" s="349">
        <v>2029</v>
      </c>
      <c r="D349" s="350">
        <v>15</v>
      </c>
      <c r="E349" s="351"/>
      <c r="F349" s="346"/>
      <c r="G349" s="355">
        <v>20149.227220459328</v>
      </c>
      <c r="H349" s="356">
        <v>20149.227220459328</v>
      </c>
    </row>
    <row r="350" spans="1:8" ht="15.6" x14ac:dyDescent="0.3">
      <c r="A350" s="336"/>
      <c r="B350" s="336"/>
      <c r="C350" s="349">
        <v>2030</v>
      </c>
      <c r="D350" s="350">
        <v>16</v>
      </c>
      <c r="E350" s="351">
        <v>20348.813621570134</v>
      </c>
      <c r="F350" s="346">
        <v>20348.813621570134</v>
      </c>
      <c r="G350" s="355">
        <v>20348.813621570134</v>
      </c>
      <c r="H350" s="356">
        <v>20348.813621570134</v>
      </c>
    </row>
    <row r="351" spans="1:8" ht="15.6" x14ac:dyDescent="0.3">
      <c r="A351" s="336"/>
      <c r="B351" s="336"/>
      <c r="C351" s="349">
        <v>2031</v>
      </c>
      <c r="D351" s="350">
        <v>17</v>
      </c>
      <c r="E351" s="351"/>
      <c r="F351" s="346"/>
      <c r="G351" s="355">
        <v>20495.843488789931</v>
      </c>
      <c r="H351" s="356">
        <v>20495.843488789931</v>
      </c>
    </row>
    <row r="352" spans="1:8" ht="15.6" x14ac:dyDescent="0.3">
      <c r="A352" s="336"/>
      <c r="B352" s="336"/>
      <c r="C352" s="349">
        <v>2032</v>
      </c>
      <c r="D352" s="350">
        <v>18</v>
      </c>
      <c r="E352" s="351"/>
      <c r="F352" s="346"/>
      <c r="G352" s="355">
        <v>20671.785677745658</v>
      </c>
      <c r="H352" s="356">
        <v>20671.785677745658</v>
      </c>
    </row>
    <row r="353" spans="1:8" ht="15.6" x14ac:dyDescent="0.3">
      <c r="A353" s="361"/>
      <c r="B353" s="361"/>
      <c r="C353" s="349">
        <v>2033</v>
      </c>
      <c r="D353" s="350">
        <v>19</v>
      </c>
      <c r="E353" s="351"/>
      <c r="F353" s="346"/>
      <c r="G353" s="355">
        <v>20849.261608838224</v>
      </c>
      <c r="H353" s="356">
        <v>20849.261608838224</v>
      </c>
    </row>
    <row r="354" spans="1:8" ht="15.6" x14ac:dyDescent="0.3">
      <c r="A354" s="361"/>
      <c r="B354" s="361"/>
      <c r="C354" s="349">
        <v>2034</v>
      </c>
      <c r="D354" s="350">
        <v>20</v>
      </c>
      <c r="E354" s="351"/>
      <c r="F354" s="346"/>
      <c r="G354" s="355">
        <v>21028.104561275042</v>
      </c>
      <c r="H354" s="356">
        <v>21028.104561275042</v>
      </c>
    </row>
    <row r="355" spans="1:8" ht="15.6" x14ac:dyDescent="0.3">
      <c r="A355" s="361"/>
      <c r="B355" s="361"/>
      <c r="C355" s="349">
        <v>2035</v>
      </c>
      <c r="D355" s="350">
        <v>21</v>
      </c>
      <c r="E355" s="351">
        <v>21350.284944639516</v>
      </c>
      <c r="F355" s="346">
        <v>21350.284944639516</v>
      </c>
      <c r="G355" s="355">
        <v>21350.284944639516</v>
      </c>
      <c r="H355" s="356">
        <v>21350.284944639516</v>
      </c>
    </row>
    <row r="356" spans="1:8" ht="15.6" x14ac:dyDescent="0.3">
      <c r="A356" s="361"/>
      <c r="B356" s="361"/>
      <c r="C356" s="349">
        <v>2036</v>
      </c>
      <c r="D356" s="350">
        <v>22</v>
      </c>
      <c r="E356" s="351"/>
      <c r="F356" s="346"/>
      <c r="G356" s="355">
        <v>21389.224647011084</v>
      </c>
      <c r="H356" s="356">
        <v>21389.224647011084</v>
      </c>
    </row>
    <row r="357" spans="1:8" ht="15.6" x14ac:dyDescent="0.3">
      <c r="A357" s="361"/>
      <c r="B357" s="361"/>
      <c r="C357" s="349">
        <v>2037</v>
      </c>
      <c r="D357" s="350">
        <v>23</v>
      </c>
      <c r="E357" s="351"/>
      <c r="F357" s="346"/>
      <c r="G357" s="355">
        <v>21571.168338725136</v>
      </c>
      <c r="H357" s="356">
        <v>21571.168338725136</v>
      </c>
    </row>
    <row r="358" spans="1:8" ht="15.6" x14ac:dyDescent="0.3">
      <c r="A358" s="361"/>
      <c r="B358" s="361"/>
      <c r="C358" s="349">
        <v>2038</v>
      </c>
      <c r="D358" s="350">
        <v>24</v>
      </c>
      <c r="E358" s="351"/>
      <c r="F358" s="346"/>
      <c r="G358" s="355">
        <v>21753.812168613098</v>
      </c>
      <c r="H358" s="356">
        <v>21753.812168613098</v>
      </c>
    </row>
    <row r="359" spans="1:8" ht="15.6" x14ac:dyDescent="0.3">
      <c r="A359" s="361"/>
      <c r="B359" s="361"/>
      <c r="C359" s="349">
        <v>2039</v>
      </c>
      <c r="D359" s="350">
        <v>25</v>
      </c>
      <c r="E359" s="351"/>
      <c r="F359" s="346"/>
      <c r="G359" s="355">
        <v>21936.989415882381</v>
      </c>
      <c r="H359" s="356">
        <v>21936.989415882381</v>
      </c>
    </row>
    <row r="360" spans="1:8" ht="15.6" x14ac:dyDescent="0.3">
      <c r="A360" s="361"/>
      <c r="B360" s="361"/>
      <c r="C360" s="349">
        <v>2040</v>
      </c>
      <c r="D360" s="350">
        <v>26</v>
      </c>
      <c r="E360" s="351">
        <v>22196.535946223186</v>
      </c>
      <c r="F360" s="346">
        <v>22196.535946223186</v>
      </c>
      <c r="G360" s="355">
        <v>22196.535946223186</v>
      </c>
      <c r="H360" s="356">
        <v>22196.535946223186</v>
      </c>
    </row>
    <row r="361" spans="1:8" ht="15.6" x14ac:dyDescent="0.3">
      <c r="A361" s="361"/>
      <c r="B361" s="361"/>
      <c r="C361" s="349">
        <v>2041</v>
      </c>
      <c r="D361" s="350">
        <v>27</v>
      </c>
      <c r="E361" s="351"/>
      <c r="F361" s="346"/>
      <c r="G361" s="355">
        <v>22304.27727939457</v>
      </c>
      <c r="H361" s="356">
        <v>22304.27727939457</v>
      </c>
    </row>
    <row r="362" spans="1:8" ht="15.6" x14ac:dyDescent="0.3">
      <c r="A362" s="361"/>
      <c r="B362" s="361"/>
      <c r="C362" s="349">
        <v>2042</v>
      </c>
      <c r="D362" s="350">
        <v>28</v>
      </c>
      <c r="E362" s="351"/>
      <c r="F362" s="346"/>
      <c r="G362" s="355">
        <v>22488.054454052304</v>
      </c>
      <c r="H362" s="356">
        <v>22488.054454052304</v>
      </c>
    </row>
    <row r="363" spans="1:8" ht="15.6" x14ac:dyDescent="0.3">
      <c r="A363" s="361"/>
      <c r="B363" s="361"/>
      <c r="C363" s="349">
        <v>2043</v>
      </c>
      <c r="D363" s="350">
        <v>29</v>
      </c>
      <c r="E363" s="351"/>
      <c r="F363" s="346"/>
      <c r="G363" s="355">
        <v>22671.698162921013</v>
      </c>
      <c r="H363" s="356">
        <v>22671.698162921013</v>
      </c>
    </row>
    <row r="364" spans="1:8" ht="15.6" x14ac:dyDescent="0.3">
      <c r="A364" s="361"/>
      <c r="B364" s="361"/>
      <c r="C364" s="349">
        <v>2044</v>
      </c>
      <c r="D364" s="350">
        <v>30</v>
      </c>
      <c r="E364" s="351"/>
      <c r="F364" s="346"/>
      <c r="G364" s="355">
        <v>22855.041685208118</v>
      </c>
      <c r="H364" s="356">
        <v>22855.041685208118</v>
      </c>
    </row>
    <row r="365" spans="1:8" ht="15.6" x14ac:dyDescent="0.3">
      <c r="A365" s="361"/>
      <c r="B365" s="361"/>
      <c r="C365" s="349">
        <v>2045</v>
      </c>
      <c r="D365" s="350">
        <v>31</v>
      </c>
      <c r="E365" s="351">
        <v>22977.062415569962</v>
      </c>
      <c r="F365" s="346">
        <v>22977.062415569962</v>
      </c>
      <c r="G365" s="355">
        <v>22977.062415569962</v>
      </c>
      <c r="H365" s="356">
        <v>22977.062415569962</v>
      </c>
    </row>
    <row r="366" spans="1:8" ht="15.6" x14ac:dyDescent="0.3">
      <c r="A366" s="361"/>
      <c r="B366" s="361"/>
      <c r="C366" s="349">
        <v>2046</v>
      </c>
      <c r="D366" s="350">
        <v>32</v>
      </c>
      <c r="E366" s="351"/>
      <c r="F366" s="346"/>
      <c r="G366" s="355">
        <v>23220.161286867165</v>
      </c>
      <c r="H366" s="356">
        <v>23220.161286867165</v>
      </c>
    </row>
    <row r="367" spans="1:8" ht="15.6" x14ac:dyDescent="0.3">
      <c r="A367" s="365"/>
      <c r="B367" s="366"/>
      <c r="C367" s="349">
        <v>2047</v>
      </c>
      <c r="D367" s="350">
        <v>33</v>
      </c>
      <c r="E367" s="351"/>
      <c r="F367" s="346"/>
      <c r="G367" s="355">
        <v>23401.603924653933</v>
      </c>
      <c r="H367" s="356">
        <v>23401.603924653933</v>
      </c>
    </row>
    <row r="368" spans="1:8" ht="15.6" x14ac:dyDescent="0.3">
      <c r="A368" s="359"/>
      <c r="B368" s="366"/>
      <c r="C368" s="349">
        <v>2048</v>
      </c>
      <c r="D368" s="350">
        <v>34</v>
      </c>
      <c r="E368" s="351"/>
      <c r="F368" s="346"/>
      <c r="G368" s="355">
        <v>23582.07949268875</v>
      </c>
      <c r="H368" s="356">
        <v>23582.07949268875</v>
      </c>
    </row>
    <row r="369" spans="1:8" ht="15.6" x14ac:dyDescent="0.3">
      <c r="A369" s="359"/>
      <c r="B369" s="359"/>
      <c r="C369" s="349">
        <v>2049</v>
      </c>
      <c r="D369" s="350">
        <v>35</v>
      </c>
      <c r="E369" s="351"/>
      <c r="F369" s="346"/>
      <c r="G369" s="355">
        <v>23761.421270179031</v>
      </c>
      <c r="H369" s="356">
        <v>23761.421270179031</v>
      </c>
    </row>
    <row r="370" spans="1:8" ht="15.6" x14ac:dyDescent="0.3">
      <c r="A370" s="359"/>
      <c r="B370" s="359"/>
      <c r="C370" s="349">
        <v>2050</v>
      </c>
      <c r="D370" s="350">
        <v>36</v>
      </c>
      <c r="E370" s="351">
        <v>23878.383038888478</v>
      </c>
      <c r="F370" s="346">
        <v>23878.383038888478</v>
      </c>
      <c r="G370" s="355">
        <v>23878.383038888478</v>
      </c>
      <c r="H370" s="356">
        <v>23878.383038888478</v>
      </c>
    </row>
    <row r="371" spans="1:8" ht="15.6" x14ac:dyDescent="0.3">
      <c r="A371"/>
      <c r="B371"/>
      <c r="C371" s="349">
        <v>2051</v>
      </c>
      <c r="D371" s="350">
        <v>37</v>
      </c>
      <c r="E371" s="351"/>
      <c r="F371" s="346"/>
      <c r="G371" s="355">
        <v>24116.036570355642</v>
      </c>
      <c r="H371" s="356">
        <v>24116.036570355642</v>
      </c>
    </row>
    <row r="372" spans="1:8" ht="15.6" x14ac:dyDescent="0.3">
      <c r="A372"/>
      <c r="B372"/>
      <c r="C372" s="349">
        <v>2052</v>
      </c>
      <c r="D372" s="350">
        <v>38</v>
      </c>
      <c r="E372" s="351"/>
      <c r="F372" s="346"/>
      <c r="G372" s="355">
        <v>24290.9766514568</v>
      </c>
      <c r="H372" s="356">
        <v>24290.9766514568</v>
      </c>
    </row>
    <row r="373" spans="1:8" ht="15.6" x14ac:dyDescent="0.3">
      <c r="A373"/>
      <c r="B373"/>
      <c r="C373" s="349">
        <v>2053</v>
      </c>
      <c r="D373" s="350">
        <v>39</v>
      </c>
      <c r="E373" s="351"/>
      <c r="F373" s="346"/>
      <c r="G373" s="355">
        <v>24464.116058843079</v>
      </c>
      <c r="H373" s="356">
        <v>24464.116058843079</v>
      </c>
    </row>
    <row r="374" spans="1:8" ht="15.6" x14ac:dyDescent="0.3">
      <c r="A374"/>
      <c r="B374"/>
      <c r="C374" s="349">
        <v>2054</v>
      </c>
      <c r="D374" s="350">
        <v>40</v>
      </c>
      <c r="E374" s="351"/>
      <c r="F374" s="346"/>
      <c r="G374" s="355">
        <v>24635.28807172189</v>
      </c>
      <c r="H374" s="356">
        <v>24635.28807172189</v>
      </c>
    </row>
    <row r="375" spans="1:8" ht="15.6" x14ac:dyDescent="0.3">
      <c r="A375"/>
      <c r="B375"/>
      <c r="C375" s="349">
        <v>2055</v>
      </c>
      <c r="D375" s="350">
        <v>41</v>
      </c>
      <c r="E375" s="351">
        <v>24757.387210462137</v>
      </c>
      <c r="F375" s="346">
        <v>24757.387210462137</v>
      </c>
      <c r="G375" s="355">
        <v>24757.387210462137</v>
      </c>
      <c r="H375" s="356">
        <v>24757.387210462137</v>
      </c>
    </row>
    <row r="376" spans="1:8" ht="15.6" x14ac:dyDescent="0.3">
      <c r="A376"/>
      <c r="B376"/>
      <c r="C376" s="349">
        <v>2056</v>
      </c>
      <c r="D376" s="350">
        <v>42</v>
      </c>
      <c r="E376" s="351"/>
      <c r="F376" s="346"/>
      <c r="G376" s="355">
        <v>24971.063030786776</v>
      </c>
      <c r="H376" s="356">
        <v>24971.063030786776</v>
      </c>
    </row>
    <row r="377" spans="1:8" ht="15.6" x14ac:dyDescent="0.3">
      <c r="A377"/>
      <c r="B377"/>
      <c r="C377" s="349">
        <v>2057</v>
      </c>
      <c r="D377" s="350">
        <v>43</v>
      </c>
      <c r="E377" s="351"/>
      <c r="F377" s="346"/>
      <c r="G377" s="355">
        <v>25135.332535387679</v>
      </c>
      <c r="H377" s="356">
        <v>25135.332535387679</v>
      </c>
    </row>
    <row r="378" spans="1:8" ht="15.6" x14ac:dyDescent="0.3">
      <c r="A378"/>
      <c r="B378"/>
      <c r="C378" s="349">
        <v>2058</v>
      </c>
      <c r="D378" s="350">
        <v>44</v>
      </c>
      <c r="E378" s="351"/>
      <c r="F378" s="346"/>
      <c r="G378" s="355">
        <v>25296.967762310771</v>
      </c>
      <c r="H378" s="356">
        <v>25296.967762310771</v>
      </c>
    </row>
    <row r="379" spans="1:8" ht="15.6" x14ac:dyDescent="0.3">
      <c r="A379"/>
      <c r="B379"/>
      <c r="C379" s="349">
        <v>2059</v>
      </c>
      <c r="D379" s="350">
        <v>45</v>
      </c>
      <c r="E379" s="351"/>
      <c r="F379" s="346"/>
      <c r="G379" s="355">
        <v>25455.801990763466</v>
      </c>
      <c r="H379" s="356">
        <v>25455.801990763466</v>
      </c>
    </row>
    <row r="380" spans="1:8" ht="15.6" x14ac:dyDescent="0.3">
      <c r="A380"/>
      <c r="B380"/>
      <c r="C380" s="367">
        <v>2060</v>
      </c>
      <c r="D380" s="350">
        <v>46</v>
      </c>
      <c r="E380" s="351">
        <v>25666.805217146117</v>
      </c>
      <c r="F380" s="346">
        <v>25666.805217146117</v>
      </c>
      <c r="G380" s="355">
        <v>25666.805217146117</v>
      </c>
      <c r="H380" s="356">
        <v>25666.805217146117</v>
      </c>
    </row>
    <row r="390" spans="1:8" ht="15.6" x14ac:dyDescent="0.3">
      <c r="A390" s="327">
        <v>9</v>
      </c>
      <c r="B390" s="328" t="s">
        <v>439</v>
      </c>
      <c r="C390" s="329"/>
      <c r="D390" s="329"/>
      <c r="E390" s="329"/>
      <c r="F390" s="329"/>
      <c r="G390" s="329"/>
      <c r="H390" s="329"/>
    </row>
    <row r="391" spans="1:8" ht="15.6" x14ac:dyDescent="0.3">
      <c r="A391" s="330" t="s">
        <v>338</v>
      </c>
      <c r="B391" s="331"/>
      <c r="C391" s="331"/>
      <c r="D391" s="332"/>
      <c r="E391" s="333"/>
      <c r="F391" s="703"/>
      <c r="G391" s="333"/>
      <c r="H391" s="334"/>
    </row>
    <row r="392" spans="1:8" ht="16.2" thickBot="1" x14ac:dyDescent="0.3">
      <c r="A392" s="368" t="s">
        <v>339</v>
      </c>
      <c r="B392" s="336"/>
      <c r="C392" s="336"/>
      <c r="D392" s="337"/>
      <c r="E392" s="338" t="s">
        <v>340</v>
      </c>
      <c r="F392" s="704"/>
      <c r="G392" s="369" t="s">
        <v>440</v>
      </c>
      <c r="H392" s="334"/>
    </row>
    <row r="393" spans="1:8" ht="16.2" thickBot="1" x14ac:dyDescent="0.3">
      <c r="A393" s="340"/>
      <c r="B393" s="340"/>
      <c r="C393" s="340"/>
      <c r="D393" s="341"/>
      <c r="E393" s="369" t="s">
        <v>390</v>
      </c>
      <c r="F393" s="369" t="s">
        <v>343</v>
      </c>
      <c r="G393" s="370" t="s">
        <v>344</v>
      </c>
      <c r="H393" s="369" t="s">
        <v>345</v>
      </c>
    </row>
    <row r="394" spans="1:8" ht="15.6" x14ac:dyDescent="0.3">
      <c r="A394" s="330" t="s">
        <v>346</v>
      </c>
      <c r="B394" s="340"/>
      <c r="C394" s="343">
        <v>2005</v>
      </c>
      <c r="D394" s="344">
        <v>-9</v>
      </c>
      <c r="E394" s="378"/>
      <c r="F394" s="346"/>
      <c r="G394" s="347">
        <v>7840.4588159737004</v>
      </c>
      <c r="H394" s="348">
        <v>7840.4588159737004</v>
      </c>
    </row>
    <row r="395" spans="1:8" ht="15.6" x14ac:dyDescent="0.3">
      <c r="A395" s="368" t="s">
        <v>347</v>
      </c>
      <c r="B395" s="340"/>
      <c r="C395" s="349">
        <v>2006</v>
      </c>
      <c r="D395" s="350">
        <v>-8</v>
      </c>
      <c r="E395" s="351"/>
      <c r="F395" s="346"/>
      <c r="G395" s="352">
        <v>8718.5249176736543</v>
      </c>
      <c r="H395" s="353">
        <v>8718.5249176736543</v>
      </c>
    </row>
    <row r="396" spans="1:8" ht="15.6" x14ac:dyDescent="0.3">
      <c r="A396" s="340"/>
      <c r="B396" s="340"/>
      <c r="C396" s="349">
        <v>2007</v>
      </c>
      <c r="D396" s="350">
        <v>-7</v>
      </c>
      <c r="E396" s="351"/>
      <c r="F396" s="346"/>
      <c r="G396" s="352">
        <v>9559.4889323259849</v>
      </c>
      <c r="H396" s="353">
        <v>9559.4889323259849</v>
      </c>
    </row>
    <row r="397" spans="1:8" ht="15.6" x14ac:dyDescent="0.3">
      <c r="A397" s="354" t="s">
        <v>348</v>
      </c>
      <c r="B397" s="340"/>
      <c r="C397" s="349">
        <v>2008</v>
      </c>
      <c r="D397" s="350">
        <v>-6</v>
      </c>
      <c r="E397" s="351"/>
      <c r="F397" s="346"/>
      <c r="G397" s="352">
        <v>10364.156214440733</v>
      </c>
      <c r="H397" s="353">
        <v>10364.156214440733</v>
      </c>
    </row>
    <row r="398" spans="1:8" ht="15.6" x14ac:dyDescent="0.3">
      <c r="A398" s="700" t="s">
        <v>441</v>
      </c>
      <c r="B398" s="340"/>
      <c r="C398" s="349">
        <v>2009</v>
      </c>
      <c r="D398" s="350">
        <v>-5</v>
      </c>
      <c r="E398" s="351"/>
      <c r="F398" s="346"/>
      <c r="G398" s="352">
        <v>11133.332118527951</v>
      </c>
      <c r="H398" s="353">
        <v>11133.332118527951</v>
      </c>
    </row>
    <row r="399" spans="1:8" ht="15.6" x14ac:dyDescent="0.3">
      <c r="A399" s="701"/>
      <c r="B399" s="340"/>
      <c r="C399" s="349">
        <v>2010</v>
      </c>
      <c r="D399" s="350">
        <v>-4</v>
      </c>
      <c r="E399" s="351"/>
      <c r="F399" s="346"/>
      <c r="G399" s="352">
        <v>11867.821999097687</v>
      </c>
      <c r="H399" s="353">
        <v>11867.821999097687</v>
      </c>
    </row>
    <row r="400" spans="1:8" ht="15.6" x14ac:dyDescent="0.3">
      <c r="A400" s="701"/>
      <c r="B400" s="340"/>
      <c r="C400" s="349">
        <v>2011</v>
      </c>
      <c r="D400" s="350">
        <v>-3</v>
      </c>
      <c r="E400" s="351"/>
      <c r="F400" s="346"/>
      <c r="G400" s="352">
        <v>12568.431210659988</v>
      </c>
      <c r="H400" s="353">
        <v>12568.431210659988</v>
      </c>
    </row>
    <row r="401" spans="1:8" ht="15.6" x14ac:dyDescent="0.3">
      <c r="A401" s="702"/>
      <c r="B401" s="340"/>
      <c r="C401" s="349">
        <v>2012</v>
      </c>
      <c r="D401" s="350">
        <v>-2</v>
      </c>
      <c r="E401" s="351"/>
      <c r="F401" s="346"/>
      <c r="G401" s="355">
        <v>13235.965107724902</v>
      </c>
      <c r="H401" s="356">
        <v>13235.965107724902</v>
      </c>
    </row>
    <row r="402" spans="1:8" ht="15.6" x14ac:dyDescent="0.3">
      <c r="A402" s="340"/>
      <c r="B402" s="340"/>
      <c r="C402" s="349">
        <v>2013</v>
      </c>
      <c r="D402" s="350">
        <v>-1</v>
      </c>
      <c r="E402" s="351"/>
      <c r="F402" s="346"/>
      <c r="G402" s="355">
        <v>13871.229044802476</v>
      </c>
      <c r="H402" s="356">
        <v>13871.229044802476</v>
      </c>
    </row>
    <row r="403" spans="1:8" ht="15.6" x14ac:dyDescent="0.3">
      <c r="A403" s="357" t="s">
        <v>350</v>
      </c>
      <c r="B403" s="340"/>
      <c r="C403" s="349">
        <v>2014</v>
      </c>
      <c r="D403" s="350">
        <v>0</v>
      </c>
      <c r="E403" s="351">
        <v>14469.406876708885</v>
      </c>
      <c r="F403" s="346">
        <v>14469.406876708885</v>
      </c>
      <c r="G403" s="355">
        <v>14469.406876708885</v>
      </c>
      <c r="H403" s="356">
        <v>14469.406876708885</v>
      </c>
    </row>
    <row r="404" spans="1:8" ht="15.6" x14ac:dyDescent="0.3">
      <c r="A404" s="358">
        <v>2017</v>
      </c>
      <c r="B404" s="336"/>
      <c r="C404" s="349">
        <v>2015</v>
      </c>
      <c r="D404" s="350">
        <v>1</v>
      </c>
      <c r="E404" s="351"/>
      <c r="F404" s="346"/>
      <c r="G404" s="355">
        <v>15048.168457035797</v>
      </c>
      <c r="H404" s="356">
        <v>15048.168457035797</v>
      </c>
    </row>
    <row r="405" spans="1:8" ht="15.6" x14ac:dyDescent="0.3">
      <c r="A405" s="359"/>
      <c r="B405" s="336"/>
      <c r="C405" s="349">
        <v>2016</v>
      </c>
      <c r="D405" s="350">
        <v>2</v>
      </c>
      <c r="E405" s="351"/>
      <c r="F405" s="346"/>
      <c r="G405" s="355">
        <v>15591.454641211642</v>
      </c>
      <c r="H405" s="356">
        <v>15591.454641211642</v>
      </c>
    </row>
    <row r="406" spans="1:8" ht="15.6" x14ac:dyDescent="0.3">
      <c r="A406" s="357" t="s">
        <v>351</v>
      </c>
      <c r="B406" s="336"/>
      <c r="C406" s="349">
        <v>2017</v>
      </c>
      <c r="D406" s="350">
        <v>3</v>
      </c>
      <c r="E406" s="351"/>
      <c r="F406" s="346"/>
      <c r="G406" s="355">
        <v>16105.692283440336</v>
      </c>
      <c r="H406" s="356">
        <v>16105.692283440336</v>
      </c>
    </row>
    <row r="407" spans="1:8" ht="15.6" x14ac:dyDescent="0.3">
      <c r="A407" s="358" t="s">
        <v>442</v>
      </c>
      <c r="B407" s="336"/>
      <c r="C407" s="349">
        <v>2018</v>
      </c>
      <c r="D407" s="350">
        <v>4</v>
      </c>
      <c r="E407" s="351"/>
      <c r="F407" s="346"/>
      <c r="G407" s="355">
        <v>16591.686738231929</v>
      </c>
      <c r="H407" s="356">
        <v>16591.686738231929</v>
      </c>
    </row>
    <row r="408" spans="1:8" ht="15.6" x14ac:dyDescent="0.3">
      <c r="A408" s="360"/>
      <c r="B408" s="361"/>
      <c r="C408" s="349">
        <v>2019</v>
      </c>
      <c r="D408" s="350">
        <v>5</v>
      </c>
      <c r="E408" s="351"/>
      <c r="F408" s="346"/>
      <c r="G408" s="355">
        <v>17050.243360096472</v>
      </c>
      <c r="H408" s="356">
        <v>17050.243360096472</v>
      </c>
    </row>
    <row r="409" spans="1:8" ht="15.6" x14ac:dyDescent="0.3">
      <c r="A409" s="362" t="s">
        <v>352</v>
      </c>
      <c r="B409" s="336"/>
      <c r="C409" s="349">
        <v>2020</v>
      </c>
      <c r="D409" s="350">
        <v>6</v>
      </c>
      <c r="E409" s="351"/>
      <c r="F409" s="346"/>
      <c r="G409" s="355">
        <v>17482.167503544009</v>
      </c>
      <c r="H409" s="356">
        <v>17482.167503544009</v>
      </c>
    </row>
    <row r="410" spans="1:8" ht="15.6" x14ac:dyDescent="0.3">
      <c r="A410" s="363"/>
      <c r="B410" s="336"/>
      <c r="C410" s="349">
        <v>2021</v>
      </c>
      <c r="D410" s="350">
        <v>7</v>
      </c>
      <c r="E410" s="351"/>
      <c r="F410" s="346"/>
      <c r="G410" s="355">
        <v>17888.264523084588</v>
      </c>
      <c r="H410" s="356">
        <v>17888.264523084588</v>
      </c>
    </row>
    <row r="411" spans="1:8" ht="15.6" x14ac:dyDescent="0.3">
      <c r="A411" s="364"/>
      <c r="B411" s="336"/>
      <c r="C411" s="349">
        <v>2022</v>
      </c>
      <c r="D411" s="350">
        <v>8</v>
      </c>
      <c r="E411" s="351"/>
      <c r="F411" s="346"/>
      <c r="G411" s="355">
        <v>18269.339773228261</v>
      </c>
      <c r="H411" s="356">
        <v>18269.339773228261</v>
      </c>
    </row>
    <row r="412" spans="1:8" ht="15.6" x14ac:dyDescent="0.3">
      <c r="A412" s="358"/>
      <c r="B412" s="336"/>
      <c r="C412" s="349">
        <v>2023</v>
      </c>
      <c r="D412" s="350">
        <v>9</v>
      </c>
      <c r="E412" s="351"/>
      <c r="F412" s="346"/>
      <c r="G412" s="355">
        <v>18626.198608485072</v>
      </c>
      <c r="H412" s="356">
        <v>18626.198608485072</v>
      </c>
    </row>
    <row r="413" spans="1:8" ht="15.6" x14ac:dyDescent="0.3">
      <c r="A413" s="336"/>
      <c r="B413" s="336"/>
      <c r="C413" s="349">
        <v>2024</v>
      </c>
      <c r="D413" s="350">
        <v>10</v>
      </c>
      <c r="E413" s="351"/>
      <c r="F413" s="346"/>
      <c r="G413" s="355">
        <v>18959.646383365071</v>
      </c>
      <c r="H413" s="356">
        <v>18959.646383365071</v>
      </c>
    </row>
    <row r="414" spans="1:8" ht="15.6" x14ac:dyDescent="0.3">
      <c r="A414" s="336"/>
      <c r="B414" s="336"/>
      <c r="C414" s="349">
        <v>2025</v>
      </c>
      <c r="D414" s="350">
        <v>11</v>
      </c>
      <c r="E414" s="351">
        <v>19245.593086862871</v>
      </c>
      <c r="F414" s="346">
        <v>19245.593086862871</v>
      </c>
      <c r="G414" s="355">
        <v>19245.593086862871</v>
      </c>
      <c r="H414" s="356">
        <v>19245.593086862871</v>
      </c>
    </row>
    <row r="415" spans="1:8" ht="15.6" x14ac:dyDescent="0.3">
      <c r="A415" s="336"/>
      <c r="B415" s="336"/>
      <c r="C415" s="349">
        <v>2026</v>
      </c>
      <c r="D415" s="350">
        <v>12</v>
      </c>
      <c r="E415" s="351"/>
      <c r="F415" s="346"/>
      <c r="G415" s="355">
        <v>19559.530170034814</v>
      </c>
      <c r="H415" s="356">
        <v>19559.530170034814</v>
      </c>
    </row>
    <row r="416" spans="1:8" ht="15.6" x14ac:dyDescent="0.3">
      <c r="A416" s="336"/>
      <c r="B416" s="336"/>
      <c r="C416" s="349">
        <v>2027</v>
      </c>
      <c r="D416" s="350">
        <v>13</v>
      </c>
      <c r="E416" s="351"/>
      <c r="F416" s="346"/>
      <c r="G416" s="355">
        <v>19827.576890844659</v>
      </c>
      <c r="H416" s="356">
        <v>19827.576890844659</v>
      </c>
    </row>
    <row r="417" spans="1:8" ht="15.6" x14ac:dyDescent="0.3">
      <c r="A417" s="336"/>
      <c r="B417" s="336"/>
      <c r="C417" s="349">
        <v>2028</v>
      </c>
      <c r="D417" s="350">
        <v>14</v>
      </c>
      <c r="E417" s="351"/>
      <c r="F417" s="346"/>
      <c r="G417" s="355">
        <v>20075.433969317877</v>
      </c>
      <c r="H417" s="356">
        <v>20075.433969317877</v>
      </c>
    </row>
    <row r="418" spans="1:8" ht="15.6" x14ac:dyDescent="0.3">
      <c r="A418" s="336"/>
      <c r="B418" s="336"/>
      <c r="C418" s="349">
        <v>2029</v>
      </c>
      <c r="D418" s="350">
        <v>15</v>
      </c>
      <c r="E418" s="351"/>
      <c r="F418" s="346"/>
      <c r="G418" s="355">
        <v>20303.906759964528</v>
      </c>
      <c r="H418" s="356">
        <v>20303.906759964528</v>
      </c>
    </row>
    <row r="419" spans="1:8" ht="15.6" x14ac:dyDescent="0.3">
      <c r="A419" s="336"/>
      <c r="B419" s="336"/>
      <c r="C419" s="349">
        <v>2030</v>
      </c>
      <c r="D419" s="350">
        <v>16</v>
      </c>
      <c r="E419" s="351">
        <v>20599.511361523768</v>
      </c>
      <c r="F419" s="346">
        <v>20599.511361523768</v>
      </c>
      <c r="G419" s="355">
        <v>20599.511361523768</v>
      </c>
      <c r="H419" s="356">
        <v>20599.511361523768</v>
      </c>
    </row>
    <row r="420" spans="1:8" ht="15.6" x14ac:dyDescent="0.3">
      <c r="A420" s="336"/>
      <c r="B420" s="336"/>
      <c r="C420" s="349">
        <v>2031</v>
      </c>
      <c r="D420" s="350">
        <v>17</v>
      </c>
      <c r="E420" s="351"/>
      <c r="F420" s="346"/>
      <c r="G420" s="355">
        <v>20705.92089581829</v>
      </c>
      <c r="H420" s="356">
        <v>20705.92089581829</v>
      </c>
    </row>
    <row r="421" spans="1:8" ht="15.6" x14ac:dyDescent="0.3">
      <c r="A421" s="336"/>
      <c r="B421" s="336"/>
      <c r="C421" s="349">
        <v>2032</v>
      </c>
      <c r="D421" s="350">
        <v>18</v>
      </c>
      <c r="E421" s="351"/>
      <c r="F421" s="346"/>
      <c r="G421" s="355">
        <v>20881.072950045505</v>
      </c>
      <c r="H421" s="356">
        <v>20881.072950045505</v>
      </c>
    </row>
    <row r="422" spans="1:8" ht="15.6" x14ac:dyDescent="0.3">
      <c r="A422" s="361"/>
      <c r="B422" s="361"/>
      <c r="C422" s="349">
        <v>2033</v>
      </c>
      <c r="D422" s="350">
        <v>19</v>
      </c>
      <c r="E422" s="351"/>
      <c r="F422" s="346"/>
      <c r="G422" s="355">
        <v>21040.062134486332</v>
      </c>
      <c r="H422" s="356">
        <v>21040.062134486332</v>
      </c>
    </row>
    <row r="423" spans="1:8" ht="15.6" x14ac:dyDescent="0.3">
      <c r="A423" s="361"/>
      <c r="B423" s="361"/>
      <c r="C423" s="349">
        <v>2034</v>
      </c>
      <c r="D423" s="350">
        <v>20</v>
      </c>
      <c r="E423" s="351"/>
      <c r="F423" s="346"/>
      <c r="G423" s="355">
        <v>21183.693803650825</v>
      </c>
      <c r="H423" s="356">
        <v>21183.693803650825</v>
      </c>
    </row>
    <row r="424" spans="1:8" ht="15.6" x14ac:dyDescent="0.3">
      <c r="A424" s="361"/>
      <c r="B424" s="361"/>
      <c r="C424" s="349">
        <v>2035</v>
      </c>
      <c r="D424" s="350">
        <v>21</v>
      </c>
      <c r="E424" s="351">
        <v>21336.986419114644</v>
      </c>
      <c r="F424" s="346">
        <v>21336.986419114644</v>
      </c>
      <c r="G424" s="355">
        <v>21336.986419114644</v>
      </c>
      <c r="H424" s="356">
        <v>21336.986419114644</v>
      </c>
    </row>
    <row r="425" spans="1:8" ht="15.6" x14ac:dyDescent="0.3">
      <c r="A425" s="361"/>
      <c r="B425" s="361"/>
      <c r="C425" s="349">
        <v>2036</v>
      </c>
      <c r="D425" s="350">
        <v>22</v>
      </c>
      <c r="E425" s="351"/>
      <c r="F425" s="346"/>
      <c r="G425" s="355">
        <v>21428.106014190998</v>
      </c>
      <c r="H425" s="356">
        <v>21428.106014190998</v>
      </c>
    </row>
    <row r="426" spans="1:8" ht="15.6" x14ac:dyDescent="0.3">
      <c r="A426" s="361"/>
      <c r="B426" s="361"/>
      <c r="C426" s="349">
        <v>2037</v>
      </c>
      <c r="D426" s="350">
        <v>23</v>
      </c>
      <c r="E426" s="351"/>
      <c r="F426" s="346"/>
      <c r="G426" s="355">
        <v>21530.497264586775</v>
      </c>
      <c r="H426" s="356">
        <v>21530.497264586775</v>
      </c>
    </row>
    <row r="427" spans="1:8" ht="15.6" x14ac:dyDescent="0.3">
      <c r="A427" s="361"/>
      <c r="B427" s="361"/>
      <c r="C427" s="349">
        <v>2038</v>
      </c>
      <c r="D427" s="350">
        <v>24</v>
      </c>
      <c r="E427" s="351"/>
      <c r="F427" s="346"/>
      <c r="G427" s="355">
        <v>21620.752417746407</v>
      </c>
      <c r="H427" s="356">
        <v>21620.752417746407</v>
      </c>
    </row>
    <row r="428" spans="1:8" ht="15.6" x14ac:dyDescent="0.3">
      <c r="A428" s="361"/>
      <c r="B428" s="361"/>
      <c r="C428" s="349">
        <v>2039</v>
      </c>
      <c r="D428" s="350">
        <v>25</v>
      </c>
      <c r="E428" s="351"/>
      <c r="F428" s="346"/>
      <c r="G428" s="355">
        <v>21699.676828179941</v>
      </c>
      <c r="H428" s="356">
        <v>21699.676828179941</v>
      </c>
    </row>
    <row r="429" spans="1:8" ht="15.6" x14ac:dyDescent="0.3">
      <c r="A429" s="361"/>
      <c r="B429" s="361"/>
      <c r="C429" s="349">
        <v>2040</v>
      </c>
      <c r="D429" s="350">
        <v>26</v>
      </c>
      <c r="E429" s="351">
        <v>21616.946288050942</v>
      </c>
      <c r="F429" s="346">
        <v>21616.946288050942</v>
      </c>
      <c r="G429" s="355">
        <v>21616.946288050942</v>
      </c>
      <c r="H429" s="356">
        <v>21616.946288050942</v>
      </c>
    </row>
    <row r="430" spans="1:8" ht="15.6" x14ac:dyDescent="0.3">
      <c r="A430" s="361"/>
      <c r="B430" s="361"/>
      <c r="C430" s="349">
        <v>2041</v>
      </c>
      <c r="D430" s="350">
        <v>27</v>
      </c>
      <c r="E430" s="351"/>
      <c r="F430" s="346"/>
      <c r="G430" s="355">
        <v>21826.754838908913</v>
      </c>
      <c r="H430" s="356">
        <v>21826.754838908913</v>
      </c>
    </row>
    <row r="431" spans="1:8" ht="15.6" x14ac:dyDescent="0.3">
      <c r="A431" s="361"/>
      <c r="B431" s="361"/>
      <c r="C431" s="349">
        <v>2042</v>
      </c>
      <c r="D431" s="350">
        <v>28</v>
      </c>
      <c r="E431" s="351"/>
      <c r="F431" s="346"/>
      <c r="G431" s="355">
        <v>21876.519148224448</v>
      </c>
      <c r="H431" s="356">
        <v>21876.519148224448</v>
      </c>
    </row>
    <row r="432" spans="1:8" ht="15.6" x14ac:dyDescent="0.3">
      <c r="A432" s="361"/>
      <c r="B432" s="361"/>
      <c r="C432" s="349">
        <v>2043</v>
      </c>
      <c r="D432" s="350">
        <v>29</v>
      </c>
      <c r="E432" s="351"/>
      <c r="F432" s="346"/>
      <c r="G432" s="355">
        <v>21918.174132854081</v>
      </c>
      <c r="H432" s="356">
        <v>21918.174132854081</v>
      </c>
    </row>
    <row r="433" spans="1:8" ht="15.6" x14ac:dyDescent="0.3">
      <c r="A433" s="361"/>
      <c r="B433" s="361"/>
      <c r="C433" s="349">
        <v>2044</v>
      </c>
      <c r="D433" s="350">
        <v>30</v>
      </c>
      <c r="E433" s="351"/>
      <c r="F433" s="346"/>
      <c r="G433" s="355">
        <v>21952.525147307853</v>
      </c>
      <c r="H433" s="356">
        <v>21952.525147307853</v>
      </c>
    </row>
    <row r="434" spans="1:8" ht="15.6" x14ac:dyDescent="0.3">
      <c r="A434" s="361"/>
      <c r="B434" s="361"/>
      <c r="C434" s="349">
        <v>2045</v>
      </c>
      <c r="D434" s="350">
        <v>31</v>
      </c>
      <c r="E434" s="351">
        <v>22008.790757570328</v>
      </c>
      <c r="F434" s="346">
        <v>22008.790757570328</v>
      </c>
      <c r="G434" s="355">
        <v>22008.790757570328</v>
      </c>
      <c r="H434" s="356">
        <v>22008.790757570328</v>
      </c>
    </row>
    <row r="435" spans="1:8" ht="15.6" x14ac:dyDescent="0.3">
      <c r="A435" s="361"/>
      <c r="B435" s="361"/>
      <c r="C435" s="349">
        <v>2046</v>
      </c>
      <c r="D435" s="350">
        <v>32</v>
      </c>
      <c r="E435" s="351"/>
      <c r="F435" s="346"/>
      <c r="G435" s="355">
        <v>22002.53668372802</v>
      </c>
      <c r="H435" s="356">
        <v>22002.53668372802</v>
      </c>
    </row>
    <row r="436" spans="1:8" ht="15.6" x14ac:dyDescent="0.3">
      <c r="A436" s="365"/>
      <c r="B436" s="366"/>
      <c r="C436" s="349">
        <v>2047</v>
      </c>
      <c r="D436" s="350">
        <v>33</v>
      </c>
      <c r="E436" s="351"/>
      <c r="F436" s="346"/>
      <c r="G436" s="355">
        <v>22019.807914714507</v>
      </c>
      <c r="H436" s="356">
        <v>22019.807914714507</v>
      </c>
    </row>
    <row r="437" spans="1:8" ht="15.6" x14ac:dyDescent="0.3">
      <c r="A437" s="359"/>
      <c r="B437" s="366"/>
      <c r="C437" s="349">
        <v>2048</v>
      </c>
      <c r="D437" s="350">
        <v>34</v>
      </c>
      <c r="E437" s="351"/>
      <c r="F437" s="346"/>
      <c r="G437" s="355">
        <v>22032.996593565331</v>
      </c>
      <c r="H437" s="356">
        <v>22032.996593565331</v>
      </c>
    </row>
    <row r="438" spans="1:8" ht="15.6" x14ac:dyDescent="0.3">
      <c r="A438" s="359"/>
      <c r="B438" s="359"/>
      <c r="C438" s="349">
        <v>2049</v>
      </c>
      <c r="D438" s="350">
        <v>35</v>
      </c>
      <c r="E438" s="351"/>
      <c r="F438" s="346"/>
      <c r="G438" s="355">
        <v>22042.908074790543</v>
      </c>
      <c r="H438" s="356">
        <v>22042.908074790543</v>
      </c>
    </row>
    <row r="439" spans="1:8" ht="15.6" x14ac:dyDescent="0.3">
      <c r="A439" s="359"/>
      <c r="B439" s="359"/>
      <c r="C439" s="349">
        <v>2050</v>
      </c>
      <c r="D439" s="350">
        <v>36</v>
      </c>
      <c r="E439" s="351">
        <v>22078.938862739502</v>
      </c>
      <c r="F439" s="346">
        <v>22078.938862739502</v>
      </c>
      <c r="G439" s="355">
        <v>22078.938862739502</v>
      </c>
      <c r="H439" s="356">
        <v>22078.938862739502</v>
      </c>
    </row>
    <row r="440" spans="1:8" ht="15.6" x14ac:dyDescent="0.3">
      <c r="A440"/>
      <c r="B440"/>
      <c r="C440" s="349">
        <v>2051</v>
      </c>
      <c r="D440" s="350">
        <v>37</v>
      </c>
      <c r="E440" s="351"/>
      <c r="F440" s="346"/>
      <c r="G440" s="355">
        <v>22056.120862404288</v>
      </c>
      <c r="H440" s="356">
        <v>22056.120862404288</v>
      </c>
    </row>
    <row r="441" spans="1:8" ht="15.6" x14ac:dyDescent="0.3">
      <c r="A441"/>
      <c r="B441"/>
      <c r="C441" s="349">
        <v>2052</v>
      </c>
      <c r="D441" s="350">
        <v>38</v>
      </c>
      <c r="E441" s="351"/>
      <c r="F441" s="346"/>
      <c r="G441" s="355">
        <v>22061.032877812926</v>
      </c>
      <c r="H441" s="356">
        <v>22061.032877812926</v>
      </c>
    </row>
    <row r="442" spans="1:8" ht="15.6" x14ac:dyDescent="0.3">
      <c r="A442"/>
      <c r="B442"/>
      <c r="C442" s="349">
        <v>2053</v>
      </c>
      <c r="D442" s="350">
        <v>39</v>
      </c>
      <c r="E442" s="351"/>
      <c r="F442" s="346"/>
      <c r="G442" s="355">
        <v>22065.889113636142</v>
      </c>
      <c r="H442" s="356">
        <v>22065.889113636142</v>
      </c>
    </row>
    <row r="443" spans="1:8" ht="15.6" x14ac:dyDescent="0.3">
      <c r="A443"/>
      <c r="B443"/>
      <c r="C443" s="349">
        <v>2054</v>
      </c>
      <c r="D443" s="350">
        <v>40</v>
      </c>
      <c r="E443" s="351"/>
      <c r="F443" s="346"/>
      <c r="G443" s="355">
        <v>22071.494924383976</v>
      </c>
      <c r="H443" s="356">
        <v>22071.494924383976</v>
      </c>
    </row>
    <row r="444" spans="1:8" ht="15.6" x14ac:dyDescent="0.3">
      <c r="A444"/>
      <c r="B444"/>
      <c r="C444" s="349">
        <v>2055</v>
      </c>
      <c r="D444" s="350">
        <v>41</v>
      </c>
      <c r="E444" s="351">
        <v>22131.407334939056</v>
      </c>
      <c r="F444" s="346">
        <v>22131.407334939056</v>
      </c>
      <c r="G444" s="355">
        <v>22131.407334939056</v>
      </c>
      <c r="H444" s="356">
        <v>22131.407334939056</v>
      </c>
    </row>
    <row r="445" spans="1:8" ht="15.6" x14ac:dyDescent="0.3">
      <c r="A445"/>
      <c r="B445"/>
      <c r="C445" s="349">
        <v>2056</v>
      </c>
      <c r="D445" s="350">
        <v>42</v>
      </c>
      <c r="E445" s="351"/>
      <c r="F445" s="346"/>
      <c r="G445" s="355">
        <v>22088.1766886937</v>
      </c>
      <c r="H445" s="356">
        <v>22088.1766886937</v>
      </c>
    </row>
    <row r="446" spans="1:8" ht="15.6" x14ac:dyDescent="0.3">
      <c r="A446"/>
      <c r="B446"/>
      <c r="C446" s="349">
        <v>2057</v>
      </c>
      <c r="D446" s="350">
        <v>43</v>
      </c>
      <c r="E446" s="351"/>
      <c r="F446" s="346"/>
      <c r="G446" s="355">
        <v>22100.863351275682</v>
      </c>
      <c r="H446" s="356">
        <v>22100.863351275682</v>
      </c>
    </row>
    <row r="447" spans="1:8" ht="15.6" x14ac:dyDescent="0.3">
      <c r="A447"/>
      <c r="B447"/>
      <c r="C447" s="349">
        <v>2058</v>
      </c>
      <c r="D447" s="350">
        <v>44</v>
      </c>
      <c r="E447" s="351"/>
      <c r="F447" s="346"/>
      <c r="G447" s="355">
        <v>22117.521006822481</v>
      </c>
      <c r="H447" s="356">
        <v>22117.521006822481</v>
      </c>
    </row>
    <row r="448" spans="1:8" ht="15.6" x14ac:dyDescent="0.3">
      <c r="A448"/>
      <c r="B448"/>
      <c r="C448" s="349">
        <v>2059</v>
      </c>
      <c r="D448" s="350">
        <v>45</v>
      </c>
      <c r="E448" s="351"/>
      <c r="F448" s="346"/>
      <c r="G448" s="355">
        <v>22138.955009844143</v>
      </c>
      <c r="H448" s="356">
        <v>22138.955009844143</v>
      </c>
    </row>
    <row r="449" spans="1:8" ht="15.6" x14ac:dyDescent="0.3">
      <c r="A449"/>
      <c r="B449"/>
      <c r="C449" s="367">
        <v>2060</v>
      </c>
      <c r="D449" s="350">
        <v>46</v>
      </c>
      <c r="E449" s="351">
        <v>22127.937259425351</v>
      </c>
      <c r="F449" s="346">
        <v>22127.937259425351</v>
      </c>
      <c r="G449" s="355">
        <v>22127.937259425351</v>
      </c>
      <c r="H449" s="356">
        <v>22127.937259425351</v>
      </c>
    </row>
  </sheetData>
  <mergeCells count="20">
    <mergeCell ref="C1:G1"/>
    <mergeCell ref="I1:T1"/>
    <mergeCell ref="D2:E2"/>
    <mergeCell ref="I2:L3"/>
    <mergeCell ref="S3:W5"/>
    <mergeCell ref="I5:L6"/>
    <mergeCell ref="O22:R22"/>
    <mergeCell ref="B23:D23"/>
    <mergeCell ref="E23:H23"/>
    <mergeCell ref="J23:M23"/>
    <mergeCell ref="O23:R23"/>
    <mergeCell ref="F391:F392"/>
    <mergeCell ref="A398:A401"/>
    <mergeCell ref="Y23:Z23"/>
    <mergeCell ref="J24:M24"/>
    <mergeCell ref="F256:F257"/>
    <mergeCell ref="A263:A266"/>
    <mergeCell ref="F322:F323"/>
    <mergeCell ref="A329:A332"/>
    <mergeCell ref="U23:V23"/>
  </mergeCells>
  <conditionalFormatting sqref="A263">
    <cfRule type="cellIs" dxfId="14" priority="3" operator="equal">
      <formula>#REF!</formula>
    </cfRule>
  </conditionalFormatting>
  <conditionalFormatting sqref="A329">
    <cfRule type="cellIs" dxfId="13" priority="2" operator="equal">
      <formula>#REF!</formula>
    </cfRule>
  </conditionalFormatting>
  <conditionalFormatting sqref="A398">
    <cfRule type="cellIs" dxfId="12" priority="1" operator="equal">
      <formula>#REF!</formula>
    </cfRule>
  </conditionalFormatting>
  <dataValidations count="1">
    <dataValidation type="list" allowBlank="1" showInputMessage="1" showErrorMessage="1" sqref="C83:G83 F17 O24:R24 F3:G15">
      <formula1>"Y,N"</formula1>
    </dataValidation>
  </dataValidation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sheetPr>
  <dimension ref="A1:EG380"/>
  <sheetViews>
    <sheetView showGridLines="0" topLeftCell="D1" zoomScale="96" zoomScaleNormal="96" zoomScalePageLayoutView="80" workbookViewId="0">
      <selection activeCell="H33" sqref="H33"/>
    </sheetView>
  </sheetViews>
  <sheetFormatPr defaultColWidth="8.796875" defaultRowHeight="13.2" x14ac:dyDescent="0.25"/>
  <cols>
    <col min="1" max="1" width="24.69921875" style="153" customWidth="1"/>
    <col min="2" max="2" width="37.5" style="153" bestFit="1" customWidth="1"/>
    <col min="3" max="3" width="21.5" style="153" customWidth="1"/>
    <col min="4" max="4" width="28.19921875" style="153" customWidth="1"/>
    <col min="5" max="5" width="37.5" style="153" bestFit="1" customWidth="1"/>
    <col min="6" max="6" width="28.296875" style="153" bestFit="1" customWidth="1"/>
    <col min="7" max="7" width="18.296875" style="153" bestFit="1" customWidth="1"/>
    <col min="8" max="8" width="45.5" style="153" bestFit="1" customWidth="1"/>
    <col min="9" max="11" width="7.296875" style="153" bestFit="1" customWidth="1"/>
    <col min="12" max="12" width="10.796875" style="153" bestFit="1" customWidth="1"/>
    <col min="13" max="13" width="7.19921875" style="153" bestFit="1" customWidth="1"/>
    <col min="14" max="14" width="19.5" style="153" customWidth="1"/>
    <col min="15" max="15" width="24.5" style="153" customWidth="1"/>
    <col min="16" max="16" width="23.19921875" style="153" customWidth="1"/>
    <col min="17" max="17" width="18.796875" style="153" customWidth="1"/>
    <col min="18" max="18" width="19" style="153" bestFit="1" customWidth="1"/>
    <col min="19" max="19" width="8.796875" style="153"/>
    <col min="20" max="20" width="14" style="153" customWidth="1"/>
    <col min="21" max="21" width="90.5" style="153" bestFit="1" customWidth="1"/>
    <col min="22" max="22" width="6" style="153" bestFit="1" customWidth="1"/>
    <col min="23" max="23" width="19" style="153" bestFit="1" customWidth="1"/>
    <col min="24" max="24" width="21.19921875" style="153" customWidth="1"/>
    <col min="25" max="25" width="16.296875" style="153" bestFit="1" customWidth="1"/>
    <col min="26" max="28" width="8.796875" style="153"/>
    <col min="29" max="29" width="41.69921875" style="153" bestFit="1" customWidth="1"/>
    <col min="30" max="31" width="8.796875" style="153"/>
    <col min="32" max="33" width="7" style="153" bestFit="1" customWidth="1"/>
    <col min="34" max="34" width="7.5" style="153" bestFit="1" customWidth="1"/>
    <col min="35" max="35" width="5.296875" style="153" bestFit="1" customWidth="1"/>
    <col min="36" max="16384" width="8.796875" style="153"/>
  </cols>
  <sheetData>
    <row r="1" spans="1:137" s="160" customFormat="1" ht="21.6" thickBot="1" x14ac:dyDescent="0.45">
      <c r="A1" s="155" t="str">
        <f ca="1">MID(CELL("filename",A1),FIND("]",CELL("filename",A1))+1,256)</f>
        <v>Passenger-km_cluster_mdc(test)</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331</v>
      </c>
      <c r="E3" s="249">
        <v>0.40415742038366426</v>
      </c>
      <c r="F3" s="167" t="s">
        <v>211</v>
      </c>
      <c r="G3" s="167" t="s">
        <v>213</v>
      </c>
      <c r="I3" s="618"/>
      <c r="J3" s="618"/>
      <c r="K3" s="618"/>
      <c r="L3" s="618"/>
      <c r="M3" s="166"/>
      <c r="N3" s="164">
        <f ca="1">SUM(OFFSET(O27,B3-2015,0,B4-B3+1,4))/1000</f>
        <v>1.6135162018139451</v>
      </c>
      <c r="O3" s="165" t="s">
        <v>209</v>
      </c>
      <c r="Q3" s="165"/>
      <c r="S3" s="671" t="s">
        <v>210</v>
      </c>
      <c r="T3" s="671"/>
      <c r="U3" s="671"/>
      <c r="V3" s="671"/>
      <c r="W3" s="671"/>
    </row>
    <row r="4" spans="1:137" ht="13.8" x14ac:dyDescent="0.25">
      <c r="A4" s="153" t="s">
        <v>215</v>
      </c>
      <c r="B4" s="234">
        <v>2050</v>
      </c>
      <c r="D4" s="248" t="s">
        <v>332</v>
      </c>
      <c r="E4" s="249">
        <v>1.6985083453728733E-2</v>
      </c>
      <c r="F4" s="167" t="s">
        <v>211</v>
      </c>
      <c r="G4" s="167" t="s">
        <v>211</v>
      </c>
      <c r="I4" s="168"/>
      <c r="J4" s="168"/>
      <c r="K4" s="168"/>
      <c r="L4" s="168"/>
      <c r="M4" s="168"/>
      <c r="N4" s="168"/>
      <c r="S4" s="671"/>
      <c r="T4" s="671"/>
      <c r="U4" s="671"/>
      <c r="V4" s="671"/>
      <c r="W4" s="671"/>
    </row>
    <row r="5" spans="1:137" ht="12.75" customHeight="1" x14ac:dyDescent="0.25">
      <c r="D5" s="248" t="s">
        <v>333</v>
      </c>
      <c r="E5" s="249">
        <v>0.14513944480504376</v>
      </c>
      <c r="F5" s="167" t="s">
        <v>211</v>
      </c>
      <c r="G5" s="167" t="s">
        <v>213</v>
      </c>
      <c r="I5" s="618" t="s">
        <v>214</v>
      </c>
      <c r="J5" s="618"/>
      <c r="K5" s="618"/>
      <c r="L5" s="618"/>
      <c r="M5" s="169"/>
      <c r="N5" s="164">
        <f>SUM(J27:M72)/1000</f>
        <v>0</v>
      </c>
      <c r="O5" s="165" t="s">
        <v>208</v>
      </c>
      <c r="S5" s="671"/>
      <c r="T5" s="671"/>
      <c r="U5" s="671"/>
      <c r="V5" s="671"/>
      <c r="W5" s="671"/>
    </row>
    <row r="6" spans="1:137" ht="13.8" x14ac:dyDescent="0.25">
      <c r="D6" s="248" t="s">
        <v>334</v>
      </c>
      <c r="E6" s="249">
        <v>1.9861517260187814E-2</v>
      </c>
      <c r="F6" s="167" t="s">
        <v>213</v>
      </c>
      <c r="G6" s="167" t="s">
        <v>211</v>
      </c>
      <c r="I6" s="618"/>
      <c r="J6" s="618"/>
      <c r="K6" s="618"/>
      <c r="L6" s="618"/>
      <c r="M6" s="163"/>
      <c r="N6" s="164">
        <f>SUM(O27:R72)/1000</f>
        <v>3.4223023071721919</v>
      </c>
      <c r="O6" s="165" t="s">
        <v>209</v>
      </c>
    </row>
    <row r="7" spans="1:137" ht="13.8" x14ac:dyDescent="0.25">
      <c r="D7" s="248" t="s">
        <v>335</v>
      </c>
      <c r="E7" s="249">
        <v>3.0451742986984762E-2</v>
      </c>
      <c r="F7" s="167" t="s">
        <v>213</v>
      </c>
      <c r="G7" s="167" t="s">
        <v>211</v>
      </c>
      <c r="I7" s="172"/>
      <c r="J7" s="172"/>
      <c r="K7" s="172"/>
      <c r="L7" s="172"/>
      <c r="M7" s="172"/>
      <c r="N7" s="172"/>
      <c r="O7" s="172"/>
      <c r="P7" s="165"/>
    </row>
    <row r="8" spans="1:137" ht="13.8" x14ac:dyDescent="0.25">
      <c r="D8" s="248" t="s">
        <v>336</v>
      </c>
      <c r="E8" s="249">
        <v>5.3347973294520422E-2</v>
      </c>
      <c r="F8" s="167" t="s">
        <v>213</v>
      </c>
      <c r="G8" s="167" t="s">
        <v>211</v>
      </c>
    </row>
    <row r="9" spans="1:137" ht="13.8" x14ac:dyDescent="0.25">
      <c r="D9" s="248" t="s">
        <v>359</v>
      </c>
      <c r="E9" s="249">
        <v>0.35170000000000001</v>
      </c>
      <c r="F9" s="167" t="s">
        <v>213</v>
      </c>
      <c r="G9" s="167" t="s">
        <v>211</v>
      </c>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c r="H14" s="377" t="s">
        <v>367</v>
      </c>
    </row>
    <row r="15" spans="1:137" ht="13.8" x14ac:dyDescent="0.25">
      <c r="H15" s="153" t="s">
        <v>363</v>
      </c>
      <c r="O15" s="260" t="s">
        <v>322</v>
      </c>
      <c r="P15" s="260" t="s">
        <v>268</v>
      </c>
    </row>
    <row r="16" spans="1:137" ht="13.8" x14ac:dyDescent="0.25">
      <c r="F16" s="153" t="s">
        <v>217</v>
      </c>
      <c r="H16" s="374">
        <v>14.162003603585898</v>
      </c>
      <c r="O16" s="261"/>
      <c r="P16" s="371">
        <v>5.2900000000000003E-2</v>
      </c>
    </row>
    <row r="17" spans="1:26" x14ac:dyDescent="0.25">
      <c r="D17" s="171" t="s">
        <v>216</v>
      </c>
      <c r="E17" s="233">
        <v>1</v>
      </c>
      <c r="F17" s="167" t="s">
        <v>211</v>
      </c>
      <c r="H17" s="153" t="s">
        <v>364</v>
      </c>
    </row>
    <row r="18" spans="1:26" ht="13.8" x14ac:dyDescent="0.25">
      <c r="H18" s="374">
        <v>14.162003603585898</v>
      </c>
    </row>
    <row r="20" spans="1:26" ht="13.8" x14ac:dyDescent="0.25">
      <c r="H20" s="375" t="s">
        <v>365</v>
      </c>
    </row>
    <row r="21" spans="1:26" ht="13.8" x14ac:dyDescent="0.25">
      <c r="H21" s="376">
        <v>3.0976734580770767E-5</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213</v>
      </c>
      <c r="Q24" s="167" t="s">
        <v>211</v>
      </c>
      <c r="R24" s="167" t="s">
        <v>211</v>
      </c>
    </row>
    <row r="25" spans="1:26" ht="38.25" customHeight="1" x14ac:dyDescent="0.25">
      <c r="B25" s="223" t="s">
        <v>500</v>
      </c>
      <c r="C25" s="223" t="s">
        <v>500</v>
      </c>
      <c r="D25" s="225" t="s">
        <v>513</v>
      </c>
      <c r="E25" s="174" t="s">
        <v>362</v>
      </c>
      <c r="F25" s="174" t="s">
        <v>362</v>
      </c>
      <c r="G25" s="174" t="s">
        <v>249</v>
      </c>
      <c r="H25" s="174" t="s">
        <v>366</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IFERROR(IF($F$17="Y",$E$17,1-$Y85)*(SUMIF($G$3:$G$14,"Y",$E$3:$E$14))*(B85-B137),0)</f>
        <v>-25640581.555460088</v>
      </c>
      <c r="F26" s="183" t="str">
        <f>IFERROR(E26-E25,"")</f>
        <v/>
      </c>
      <c r="G26" s="247">
        <f t="shared" ref="G26:G72" si="1">IFERROR(E26/(B85-B137),"")</f>
        <v>0.54929686518870802</v>
      </c>
      <c r="H26" s="245">
        <v>0</v>
      </c>
      <c r="J26" s="182"/>
      <c r="K26" s="182"/>
      <c r="L26" s="182"/>
      <c r="M26" s="182"/>
      <c r="N26" s="163"/>
      <c r="O26" s="259" t="str">
        <f>IF($O$24="Y",IFERROR(E26*$E$6*$O$16*'Emissions Factors'!B12,""),"")</f>
        <v/>
      </c>
      <c r="P26" s="259">
        <f>IF($P$24="Y",IFERROR($E26*('Emissions Factors'!$R$21*$P$16)/10^6,""),"")</f>
        <v>-3.0843442794997078E-3</v>
      </c>
      <c r="Q26" s="259"/>
      <c r="R26" s="245" t="str">
        <f>IF($R$24="Y",IFERROR(H26*$H$21/10^6,""),"")</f>
        <v/>
      </c>
      <c r="T26" s="180" t="str">
        <f t="shared" ref="T26:T72" si="2">IF(AND(A26&gt;=$B$3,A26&lt;=$B$4),SUM(O26:R26),"")</f>
        <v/>
      </c>
      <c r="U26" s="180" t="str">
        <f t="shared" ref="U26:U72" si="3">IF(AND(A26&gt;=$B$3,A26&lt;=$B$4),SUM(J26:M26),"")</f>
        <v/>
      </c>
      <c r="V26" s="177"/>
      <c r="X26" s="180">
        <f t="shared" ref="X26:X72" si="4">SUM(O26:R26)</f>
        <v>-3.0843442794997078E-3</v>
      </c>
      <c r="Y26" s="180">
        <f t="shared" ref="Y26:Y72" si="5">SUM(J26:M26)</f>
        <v>0</v>
      </c>
    </row>
    <row r="27" spans="1:26" ht="15.6" x14ac:dyDescent="0.3">
      <c r="A27" s="152">
        <v>2015</v>
      </c>
      <c r="B27" s="178">
        <f t="shared" si="0"/>
        <v>0</v>
      </c>
      <c r="C27" s="182">
        <f>IFERROR(B27-B26,"")</f>
        <v>0</v>
      </c>
      <c r="D27" s="183"/>
      <c r="E27" s="179">
        <f t="shared" ref="E27:E72" si="6">IFERROR(IF($F$17="Y",$E$17,1-$Y86)*(SUMIF($G$3:$G$14,"Y",$E$3:$E$14))*(B86-B138),0)</f>
        <v>-26556735.901846398</v>
      </c>
      <c r="F27" s="183">
        <f>IFERROR(E27-E26,"")</f>
        <v>-916154.34638630971</v>
      </c>
      <c r="G27" s="247">
        <f t="shared" si="1"/>
        <v>0.54929686518870802</v>
      </c>
      <c r="H27" s="246">
        <f t="shared" ref="H27:H72" ca="1" si="7">IFERROR(F27/$H$16+IF($A27-2014&gt;($H$16/$H$18),OFFSET($H26,1-ROUND(($H$16/$H$18),0),0)),"")</f>
        <v>-64691.012093397178</v>
      </c>
      <c r="J27" s="182"/>
      <c r="K27" s="182"/>
      <c r="L27" s="182"/>
      <c r="M27" s="182"/>
      <c r="N27" s="163"/>
      <c r="O27" s="259" t="str">
        <f>IF($O$24="Y",IFERROR(E27*$E$6*$O$16*'Emissions Factors'!B12,""),"")</f>
        <v/>
      </c>
      <c r="P27" s="259">
        <f>IF($P$24="Y",IFERROR($E27*('Emissions Factors'!$R$21*$P$16)/10^6,""),"")</f>
        <v>-3.1945498694666667E-3</v>
      </c>
      <c r="Q27" s="259"/>
      <c r="R27" s="245" t="str">
        <f t="shared" ref="R27:R72" si="8">IF($R$24="Y",IFERROR(H27*$H$21/10^6,""),"")</f>
        <v/>
      </c>
      <c r="T27" s="180" t="str">
        <f t="shared" si="2"/>
        <v/>
      </c>
      <c r="U27" s="180" t="str">
        <f t="shared" si="3"/>
        <v/>
      </c>
      <c r="V27" s="177"/>
      <c r="X27" s="180">
        <f t="shared" si="4"/>
        <v>-3.1945498694666667E-3</v>
      </c>
      <c r="Y27" s="180">
        <f t="shared" si="5"/>
        <v>0</v>
      </c>
    </row>
    <row r="28" spans="1:26" ht="15.6" x14ac:dyDescent="0.3">
      <c r="A28" s="152">
        <v>2016</v>
      </c>
      <c r="B28" s="178">
        <f t="shared" si="0"/>
        <v>0</v>
      </c>
      <c r="C28" s="182">
        <f t="shared" ref="C28:C72" si="9">IFERROR(B28-B27,"")</f>
        <v>0</v>
      </c>
      <c r="D28" s="183"/>
      <c r="E28" s="179">
        <f>IFERROR(IF($F$17="Y",$E$17,1-$Y87)*(SUMIF($G$3:$G$14,"Y",$E$3:$E$14))*(B87-B139),0)</f>
        <v>0</v>
      </c>
      <c r="F28" s="183">
        <f t="shared" ref="F28:F72" si="10">IFERROR(E28-E27,"")</f>
        <v>26556735.901846398</v>
      </c>
      <c r="G28" s="247">
        <f t="shared" si="1"/>
        <v>0</v>
      </c>
      <c r="H28" s="246">
        <f t="shared" ca="1" si="7"/>
        <v>1810519.3497456638</v>
      </c>
      <c r="J28" s="182"/>
      <c r="K28" s="182"/>
      <c r="L28" s="182"/>
      <c r="M28" s="182"/>
      <c r="N28" s="163"/>
      <c r="O28" s="259" t="str">
        <f>IF($O$24="Y",IFERROR(E28*$E$6*$O$16*'Emissions Factors'!B13,""),"")</f>
        <v/>
      </c>
      <c r="P28" s="259">
        <f>IF($P$24="Y",IFERROR($E28*('Emissions Factors'!$R$21*$P$16)/10^6,""),"")</f>
        <v>0</v>
      </c>
      <c r="Q28" s="259"/>
      <c r="R28" s="245" t="str">
        <f t="shared" si="8"/>
        <v/>
      </c>
      <c r="T28" s="180" t="str">
        <f t="shared" si="2"/>
        <v/>
      </c>
      <c r="U28" s="180" t="str">
        <f t="shared" si="3"/>
        <v/>
      </c>
      <c r="V28" s="177"/>
      <c r="X28" s="180">
        <f t="shared" si="4"/>
        <v>0</v>
      </c>
      <c r="Y28" s="180">
        <f t="shared" si="5"/>
        <v>0</v>
      </c>
    </row>
    <row r="29" spans="1:26" ht="15.6" x14ac:dyDescent="0.3">
      <c r="A29" s="152">
        <v>2017</v>
      </c>
      <c r="B29" s="178">
        <f t="shared" si="0"/>
        <v>0</v>
      </c>
      <c r="C29" s="182">
        <f>IFERROR(B29-B28,"")</f>
        <v>0</v>
      </c>
      <c r="D29" s="183"/>
      <c r="E29" s="179">
        <f t="shared" si="6"/>
        <v>0</v>
      </c>
      <c r="F29" s="183">
        <f>IFERROR(E29-E28,"")</f>
        <v>0</v>
      </c>
      <c r="G29" s="247">
        <f t="shared" si="1"/>
        <v>0</v>
      </c>
      <c r="H29" s="246">
        <f t="shared" ca="1" si="7"/>
        <v>1810519.3497456638</v>
      </c>
      <c r="J29" s="182"/>
      <c r="K29" s="182"/>
      <c r="L29" s="182"/>
      <c r="M29" s="182"/>
      <c r="N29" s="163"/>
      <c r="O29" s="259" t="str">
        <f>IF($O$24="Y",IFERROR(E29*$E$6*$O$16*'Emissions Factors'!B14,""),"")</f>
        <v/>
      </c>
      <c r="P29" s="259">
        <f>IF($P$24="Y",IFERROR($E29*('Emissions Factors'!$R$21*$P$16)/10^6,""),"")</f>
        <v>0</v>
      </c>
      <c r="Q29" s="259"/>
      <c r="R29" s="245" t="str">
        <f t="shared" si="8"/>
        <v/>
      </c>
      <c r="T29" s="180" t="str">
        <f t="shared" si="2"/>
        <v/>
      </c>
      <c r="U29" s="180" t="str">
        <f t="shared" si="3"/>
        <v/>
      </c>
      <c r="V29" s="177"/>
      <c r="X29" s="180">
        <f t="shared" si="4"/>
        <v>0</v>
      </c>
      <c r="Y29" s="180">
        <f t="shared" si="5"/>
        <v>0</v>
      </c>
    </row>
    <row r="30" spans="1:26" ht="15.6" x14ac:dyDescent="0.3">
      <c r="A30" s="152">
        <v>2018</v>
      </c>
      <c r="B30" s="178">
        <f t="shared" si="0"/>
        <v>0</v>
      </c>
      <c r="C30" s="182">
        <f t="shared" si="9"/>
        <v>0</v>
      </c>
      <c r="D30" s="183"/>
      <c r="E30" s="179">
        <f t="shared" si="6"/>
        <v>0</v>
      </c>
      <c r="F30" s="183">
        <f t="shared" si="10"/>
        <v>0</v>
      </c>
      <c r="G30" s="247">
        <f t="shared" si="1"/>
        <v>0</v>
      </c>
      <c r="H30" s="246">
        <f t="shared" ca="1" si="7"/>
        <v>1810519.3497456638</v>
      </c>
      <c r="J30" s="182"/>
      <c r="K30" s="182"/>
      <c r="L30" s="182"/>
      <c r="M30" s="182"/>
      <c r="N30" s="163"/>
      <c r="O30" s="259" t="str">
        <f>IF($O$24="Y",IFERROR(E30*$E$6*$O$16*'Emissions Factors'!B15,""),"")</f>
        <v/>
      </c>
      <c r="P30" s="259">
        <f>IF($P$24="Y",IFERROR($E30*('Emissions Factors'!$R$21*$P$16)/10^6,""),"")</f>
        <v>0</v>
      </c>
      <c r="Q30" s="259"/>
      <c r="R30" s="245" t="str">
        <f t="shared" si="8"/>
        <v/>
      </c>
      <c r="T30" s="180" t="str">
        <f t="shared" si="2"/>
        <v/>
      </c>
      <c r="U30" s="180" t="str">
        <f t="shared" si="3"/>
        <v/>
      </c>
      <c r="V30" s="177"/>
      <c r="X30" s="180">
        <f t="shared" si="4"/>
        <v>0</v>
      </c>
      <c r="Y30" s="180">
        <f t="shared" si="5"/>
        <v>0</v>
      </c>
    </row>
    <row r="31" spans="1:26" ht="15.6" x14ac:dyDescent="0.3">
      <c r="A31" s="152">
        <v>2019</v>
      </c>
      <c r="B31" s="178">
        <f t="shared" si="0"/>
        <v>0</v>
      </c>
      <c r="C31" s="182">
        <f t="shared" si="9"/>
        <v>0</v>
      </c>
      <c r="D31" s="183"/>
      <c r="E31" s="179">
        <f t="shared" si="6"/>
        <v>0</v>
      </c>
      <c r="F31" s="183">
        <f t="shared" si="10"/>
        <v>0</v>
      </c>
      <c r="G31" s="247">
        <f t="shared" si="1"/>
        <v>0</v>
      </c>
      <c r="H31" s="246">
        <f t="shared" ca="1" si="7"/>
        <v>1810519.3497456638</v>
      </c>
      <c r="J31" s="182"/>
      <c r="K31" s="182"/>
      <c r="L31" s="182"/>
      <c r="M31" s="182"/>
      <c r="N31" s="163"/>
      <c r="O31" s="259" t="str">
        <f>IF($O$24="Y",IFERROR(E31*$E$6*$O$16*'Emissions Factors'!B16,""),"")</f>
        <v/>
      </c>
      <c r="P31" s="259">
        <f>IF($P$24="Y",IFERROR($E31*('Emissions Factors'!$R$21*$P$16)/10^6,""),"")</f>
        <v>0</v>
      </c>
      <c r="Q31" s="259"/>
      <c r="R31" s="245" t="str">
        <f t="shared" si="8"/>
        <v/>
      </c>
      <c r="T31" s="180" t="str">
        <f t="shared" si="2"/>
        <v/>
      </c>
      <c r="U31" s="180" t="str">
        <f t="shared" si="3"/>
        <v/>
      </c>
      <c r="V31" s="177"/>
      <c r="X31" s="180">
        <f t="shared" si="4"/>
        <v>0</v>
      </c>
      <c r="Y31" s="180">
        <f t="shared" si="5"/>
        <v>0</v>
      </c>
    </row>
    <row r="32" spans="1:26" ht="15.6" x14ac:dyDescent="0.3">
      <c r="A32" s="152">
        <v>2020</v>
      </c>
      <c r="B32" s="178">
        <f t="shared" si="0"/>
        <v>0</v>
      </c>
      <c r="C32" s="182">
        <f t="shared" si="9"/>
        <v>0</v>
      </c>
      <c r="D32" s="183"/>
      <c r="E32" s="179">
        <f t="shared" si="6"/>
        <v>0</v>
      </c>
      <c r="F32" s="183">
        <f t="shared" si="10"/>
        <v>0</v>
      </c>
      <c r="G32" s="247">
        <f t="shared" si="1"/>
        <v>0</v>
      </c>
      <c r="H32" s="246">
        <f t="shared" ca="1" si="7"/>
        <v>1810519.3497456638</v>
      </c>
      <c r="J32" s="182"/>
      <c r="K32" s="182"/>
      <c r="L32" s="182"/>
      <c r="M32" s="182"/>
      <c r="N32" s="163"/>
      <c r="O32" s="259" t="str">
        <f>IF($O$24="Y",IFERROR(E32*$E$6*$O$16*'Emissions Factors'!B17,""),"")</f>
        <v/>
      </c>
      <c r="P32" s="259">
        <f>IF($P$24="Y",IFERROR($E32*('Emissions Factors'!$R$21*$P$16)/10^6,""),"")</f>
        <v>0</v>
      </c>
      <c r="Q32" s="259"/>
      <c r="R32" s="245" t="str">
        <f t="shared" si="8"/>
        <v/>
      </c>
      <c r="T32" s="180">
        <f t="shared" si="2"/>
        <v>0</v>
      </c>
      <c r="U32" s="180">
        <f t="shared" si="3"/>
        <v>0</v>
      </c>
      <c r="V32" s="177"/>
      <c r="X32" s="180">
        <f t="shared" si="4"/>
        <v>0</v>
      </c>
      <c r="Y32" s="180">
        <f t="shared" si="5"/>
        <v>0</v>
      </c>
    </row>
    <row r="33" spans="1:25" ht="15.6" x14ac:dyDescent="0.3">
      <c r="A33" s="152">
        <v>2021</v>
      </c>
      <c r="B33" s="178">
        <f t="shared" si="0"/>
        <v>11986828199.841969</v>
      </c>
      <c r="C33" s="182">
        <f t="shared" si="9"/>
        <v>11986828199.841969</v>
      </c>
      <c r="D33" s="183"/>
      <c r="E33" s="179">
        <f>IFERROR(IF($F$17="Y",$E$17,1-$Y92)*(SUMIF($G$3:$G$14,"Y",$E$3:$E$14))*(B92-B144),0)</f>
        <v>10135526291.571278</v>
      </c>
      <c r="F33" s="183">
        <f t="shared" si="10"/>
        <v>10135526291.571278</v>
      </c>
      <c r="G33" s="247">
        <f t="shared" si="1"/>
        <v>0.22636272656103959</v>
      </c>
      <c r="H33" s="246">
        <f t="shared" ca="1" si="7"/>
        <v>717495006.88969409</v>
      </c>
      <c r="J33" s="182"/>
      <c r="K33" s="182"/>
      <c r="L33" s="182"/>
      <c r="M33" s="182"/>
      <c r="N33" s="163"/>
      <c r="O33" s="259" t="str">
        <f>IF($O$24="Y",IFERROR(E33*$E$6*$O$16*'Emissions Factors'!B18,""),"")</f>
        <v/>
      </c>
      <c r="P33" s="259">
        <f>IF($P$24="Y",IFERROR($E33*('Emissions Factors'!$R$21*$P$16)/10^6,""),"")</f>
        <v>1.2192177649913607</v>
      </c>
      <c r="Q33" s="259"/>
      <c r="R33" s="245" t="str">
        <f t="shared" si="8"/>
        <v/>
      </c>
      <c r="T33" s="180">
        <f t="shared" si="2"/>
        <v>1.2192177649913607</v>
      </c>
      <c r="U33" s="180">
        <f t="shared" si="3"/>
        <v>0</v>
      </c>
      <c r="V33" s="177"/>
      <c r="X33" s="180">
        <f t="shared" si="4"/>
        <v>1.2192177649913607</v>
      </c>
      <c r="Y33" s="180">
        <f t="shared" si="5"/>
        <v>0</v>
      </c>
    </row>
    <row r="34" spans="1:25" ht="15.6" x14ac:dyDescent="0.3">
      <c r="A34" s="152">
        <v>2022</v>
      </c>
      <c r="B34" s="178">
        <f t="shared" si="0"/>
        <v>27401752307.492706</v>
      </c>
      <c r="C34" s="182">
        <f t="shared" si="9"/>
        <v>15414924107.650738</v>
      </c>
      <c r="D34" s="183"/>
      <c r="E34" s="179">
        <f t="shared" si="6"/>
        <v>23600330000.500755</v>
      </c>
      <c r="F34" s="183">
        <f t="shared" si="10"/>
        <v>13464803708.929478</v>
      </c>
      <c r="G34" s="247">
        <f t="shared" si="1"/>
        <v>0.22881734911243762</v>
      </c>
      <c r="H34" s="246">
        <f t="shared" ca="1" si="7"/>
        <v>1668264692.1565523</v>
      </c>
      <c r="J34" s="182"/>
      <c r="K34" s="182"/>
      <c r="L34" s="182"/>
      <c r="M34" s="182"/>
      <c r="N34" s="163"/>
      <c r="O34" s="259" t="str">
        <f>IF($O$24="Y",IFERROR(E34*$E$6*$O$16*'Emissions Factors'!B19,""),"")</f>
        <v/>
      </c>
      <c r="P34" s="259">
        <f>IF($P$24="Y",IFERROR($E34*('Emissions Factors'!$R$21*$P$16)/10^6,""),"")</f>
        <v>2.8389193386235454</v>
      </c>
      <c r="Q34" s="259"/>
      <c r="R34" s="245" t="str">
        <f t="shared" si="8"/>
        <v/>
      </c>
      <c r="T34" s="180">
        <f t="shared" si="2"/>
        <v>2.8389193386235454</v>
      </c>
      <c r="U34" s="180">
        <f t="shared" si="3"/>
        <v>0</v>
      </c>
      <c r="V34" s="177"/>
      <c r="X34" s="180">
        <f t="shared" si="4"/>
        <v>2.8389193386235454</v>
      </c>
      <c r="Y34" s="180">
        <f t="shared" si="5"/>
        <v>0</v>
      </c>
    </row>
    <row r="35" spans="1:25" ht="15.6" x14ac:dyDescent="0.3">
      <c r="A35" s="152">
        <v>2023</v>
      </c>
      <c r="B35" s="178">
        <f t="shared" si="0"/>
        <v>46203349906.506485</v>
      </c>
      <c r="C35" s="182">
        <f t="shared" si="9"/>
        <v>18801597599.013779</v>
      </c>
      <c r="D35" s="183"/>
      <c r="E35" s="179">
        <f t="shared" si="6"/>
        <v>39910296420.429146</v>
      </c>
      <c r="F35" s="183">
        <f t="shared" si="10"/>
        <v>16309966419.928391</v>
      </c>
      <c r="G35" s="247">
        <f t="shared" si="1"/>
        <v>0.22920837466785021</v>
      </c>
      <c r="H35" s="246">
        <f t="shared" ca="1" si="7"/>
        <v>2819935520.4141173</v>
      </c>
      <c r="J35" s="182"/>
      <c r="K35" s="182"/>
      <c r="L35" s="182"/>
      <c r="M35" s="182"/>
      <c r="N35" s="163"/>
      <c r="O35" s="259" t="str">
        <f>IF($O$24="Y",IFERROR(E35*$E$6*$O$16*'Emissions Factors'!B20,""),"")</f>
        <v/>
      </c>
      <c r="P35" s="259">
        <f>IF($P$24="Y",IFERROR($E35*('Emissions Factors'!$R$21*$P$16)/10^6,""),"")</f>
        <v>4.8008698317248246</v>
      </c>
      <c r="Q35" s="259"/>
      <c r="R35" s="245" t="str">
        <f t="shared" si="8"/>
        <v/>
      </c>
      <c r="T35" s="180">
        <f t="shared" si="2"/>
        <v>4.8008698317248246</v>
      </c>
      <c r="U35" s="180">
        <f t="shared" si="3"/>
        <v>0</v>
      </c>
      <c r="V35" s="177"/>
      <c r="X35" s="180">
        <f t="shared" si="4"/>
        <v>4.8008698317248246</v>
      </c>
      <c r="Y35" s="180">
        <f t="shared" si="5"/>
        <v>0</v>
      </c>
    </row>
    <row r="36" spans="1:25" ht="15.6" x14ac:dyDescent="0.3">
      <c r="A36" s="152">
        <v>2024</v>
      </c>
      <c r="B36" s="178">
        <f t="shared" si="0"/>
        <v>68499580248.485039</v>
      </c>
      <c r="C36" s="182">
        <f t="shared" si="9"/>
        <v>22296230341.978554</v>
      </c>
      <c r="D36" s="183"/>
      <c r="E36" s="179">
        <f t="shared" si="6"/>
        <v>58807874443.343109</v>
      </c>
      <c r="F36" s="183">
        <f t="shared" si="10"/>
        <v>18897578022.913963</v>
      </c>
      <c r="G36" s="247">
        <f t="shared" si="1"/>
        <v>0.22838951771199351</v>
      </c>
      <c r="H36" s="246">
        <f t="shared" ca="1" si="7"/>
        <v>4154321427.3721547</v>
      </c>
      <c r="J36" s="182"/>
      <c r="K36" s="182"/>
      <c r="L36" s="182"/>
      <c r="M36" s="182"/>
      <c r="N36" s="163"/>
      <c r="O36" s="259" t="str">
        <f>IF($O$24="Y",IFERROR(E36*$E$6*$O$16*'Emissions Factors'!B21,""),"")</f>
        <v/>
      </c>
      <c r="P36" s="259">
        <f>IF($P$24="Y",IFERROR($E36*('Emissions Factors'!$R$21*$P$16)/10^6,""),"")</f>
        <v>7.0740880325406366</v>
      </c>
      <c r="Q36" s="259"/>
      <c r="R36" s="245" t="str">
        <f t="shared" si="8"/>
        <v/>
      </c>
      <c r="T36" s="180">
        <f t="shared" si="2"/>
        <v>7.0740880325406366</v>
      </c>
      <c r="U36" s="180">
        <f t="shared" si="3"/>
        <v>0</v>
      </c>
      <c r="V36" s="177"/>
      <c r="X36" s="180">
        <f t="shared" si="4"/>
        <v>7.0740880325406366</v>
      </c>
      <c r="Y36" s="180">
        <f t="shared" si="5"/>
        <v>0</v>
      </c>
    </row>
    <row r="37" spans="1:25" ht="15.6" x14ac:dyDescent="0.3">
      <c r="A37" s="152">
        <v>2025</v>
      </c>
      <c r="B37" s="178">
        <f t="shared" si="0"/>
        <v>94757913663.67485</v>
      </c>
      <c r="C37" s="182">
        <f t="shared" si="9"/>
        <v>26258333415.189812</v>
      </c>
      <c r="D37" s="183"/>
      <c r="E37" s="179">
        <f t="shared" si="6"/>
        <v>79685117788.807312</v>
      </c>
      <c r="F37" s="183">
        <f t="shared" si="10"/>
        <v>20877243345.464203</v>
      </c>
      <c r="G37" s="247">
        <f t="shared" si="1"/>
        <v>0.22563369234557001</v>
      </c>
      <c r="H37" s="246">
        <f t="shared" ca="1" si="7"/>
        <v>5628494427.8773918</v>
      </c>
      <c r="J37" s="182"/>
      <c r="K37" s="182"/>
      <c r="L37" s="182"/>
      <c r="M37" s="182"/>
      <c r="N37" s="163"/>
      <c r="O37" s="259" t="str">
        <f>IF($O$24="Y",IFERROR(E37*$E$6*$O$16*'Emissions Factors'!B22,""),"")</f>
        <v/>
      </c>
      <c r="P37" s="259">
        <f>IF($P$24="Y",IFERROR($E37*('Emissions Factors'!$R$21*$P$16)/10^6,""),"")</f>
        <v>9.5854431648345706</v>
      </c>
      <c r="Q37" s="259"/>
      <c r="R37" s="245" t="str">
        <f t="shared" si="8"/>
        <v/>
      </c>
      <c r="T37" s="180">
        <f t="shared" si="2"/>
        <v>9.5854431648345706</v>
      </c>
      <c r="U37" s="180">
        <f t="shared" si="3"/>
        <v>0</v>
      </c>
      <c r="V37" s="177"/>
      <c r="X37" s="180">
        <f t="shared" si="4"/>
        <v>9.5854431648345706</v>
      </c>
      <c r="Y37" s="180">
        <f t="shared" si="5"/>
        <v>0</v>
      </c>
    </row>
    <row r="38" spans="1:25" ht="15.6" x14ac:dyDescent="0.3">
      <c r="A38" s="152">
        <v>2026</v>
      </c>
      <c r="B38" s="178">
        <f t="shared" si="0"/>
        <v>124143086960.40097</v>
      </c>
      <c r="C38" s="182">
        <f t="shared" si="9"/>
        <v>29385173296.72612</v>
      </c>
      <c r="D38" s="183"/>
      <c r="E38" s="179">
        <f t="shared" si="6"/>
        <v>103469498343.46222</v>
      </c>
      <c r="F38" s="183">
        <f t="shared" si="10"/>
        <v>23784380554.654907</v>
      </c>
      <c r="G38" s="247">
        <f t="shared" si="1"/>
        <v>0.22444932998262787</v>
      </c>
      <c r="H38" s="246">
        <f t="shared" ca="1" si="7"/>
        <v>7307944682.2631884</v>
      </c>
      <c r="J38" s="182"/>
      <c r="K38" s="182"/>
      <c r="L38" s="182"/>
      <c r="M38" s="182"/>
      <c r="N38" s="163"/>
      <c r="O38" s="259" t="str">
        <f>IF($O$24="Y",IFERROR(E38*$E$6*$O$16*'Emissions Factors'!B23,""),"")</f>
        <v/>
      </c>
      <c r="P38" s="259">
        <f>IF($P$24="Y",IFERROR($E38*('Emissions Factors'!$R$21*$P$16)/10^6,""),"")</f>
        <v>12.446502222583295</v>
      </c>
      <c r="Q38" s="259"/>
      <c r="R38" s="245" t="str">
        <f t="shared" si="8"/>
        <v/>
      </c>
      <c r="T38" s="180">
        <f t="shared" si="2"/>
        <v>12.446502222583295</v>
      </c>
      <c r="U38" s="180">
        <f t="shared" si="3"/>
        <v>0</v>
      </c>
      <c r="V38" s="177"/>
      <c r="X38" s="180">
        <f t="shared" si="4"/>
        <v>12.446502222583295</v>
      </c>
      <c r="Y38" s="180">
        <f t="shared" si="5"/>
        <v>0</v>
      </c>
    </row>
    <row r="39" spans="1:25" ht="15.6" x14ac:dyDescent="0.3">
      <c r="A39" s="152">
        <v>2027</v>
      </c>
      <c r="B39" s="178">
        <f t="shared" si="0"/>
        <v>157795321655.59799</v>
      </c>
      <c r="C39" s="182">
        <f t="shared" si="9"/>
        <v>33652234695.197021</v>
      </c>
      <c r="D39" s="183"/>
      <c r="E39" s="179">
        <f t="shared" si="6"/>
        <v>128711480789.87451</v>
      </c>
      <c r="F39" s="183">
        <f t="shared" si="10"/>
        <v>25241982446.412292</v>
      </c>
      <c r="G39" s="247">
        <f t="shared" si="1"/>
        <v>0.22159227697539471</v>
      </c>
      <c r="H39" s="246">
        <f t="shared" ca="1" si="7"/>
        <v>9090318359.9552975</v>
      </c>
      <c r="J39" s="182"/>
      <c r="K39" s="182"/>
      <c r="L39" s="182"/>
      <c r="M39" s="182"/>
      <c r="N39" s="163"/>
      <c r="O39" s="259" t="str">
        <f>IF($O$24="Y",IFERROR(E39*$E$6*$O$16*'Emissions Factors'!B24,""),"")</f>
        <v/>
      </c>
      <c r="P39" s="259">
        <f>IF($P$24="Y",IFERROR($E39*('Emissions Factors'!$R$21*$P$16)/10^6,""),"")</f>
        <v>15.482898413263484</v>
      </c>
      <c r="Q39" s="259"/>
      <c r="R39" s="245" t="str">
        <f t="shared" si="8"/>
        <v/>
      </c>
      <c r="T39" s="180">
        <f t="shared" si="2"/>
        <v>15.482898413263484</v>
      </c>
      <c r="U39" s="180">
        <f t="shared" si="3"/>
        <v>0</v>
      </c>
      <c r="V39" s="177"/>
      <c r="X39" s="180">
        <f t="shared" si="4"/>
        <v>15.482898413263484</v>
      </c>
      <c r="Y39" s="180">
        <f t="shared" si="5"/>
        <v>0</v>
      </c>
    </row>
    <row r="40" spans="1:25" ht="15.6" x14ac:dyDescent="0.3">
      <c r="A40" s="152">
        <v>2028</v>
      </c>
      <c r="B40" s="178">
        <f t="shared" si="0"/>
        <v>195539993760.98337</v>
      </c>
      <c r="C40" s="182">
        <f t="shared" si="9"/>
        <v>37744672105.385376</v>
      </c>
      <c r="D40" s="183"/>
      <c r="E40" s="179">
        <f t="shared" si="6"/>
        <v>155784476342.17859</v>
      </c>
      <c r="F40" s="183">
        <f t="shared" si="10"/>
        <v>27072995552.304077</v>
      </c>
      <c r="G40" s="247">
        <f t="shared" si="1"/>
        <v>0.21848408139347517</v>
      </c>
      <c r="H40" s="246">
        <f t="shared" ca="1" si="7"/>
        <v>11001982578.530207</v>
      </c>
      <c r="J40" s="182"/>
      <c r="K40" s="182"/>
      <c r="L40" s="182"/>
      <c r="M40" s="182"/>
      <c r="N40" s="163"/>
      <c r="O40" s="259" t="str">
        <f>IF($O$24="Y",IFERROR(E40*$E$6*$O$16*'Emissions Factors'!B25,""),"")</f>
        <v/>
      </c>
      <c r="P40" s="259">
        <f>IF($P$24="Y",IFERROR($E40*('Emissions Factors'!$R$21*$P$16)/10^6,""),"")</f>
        <v>18.739549935775013</v>
      </c>
      <c r="Q40" s="259"/>
      <c r="R40" s="245" t="str">
        <f t="shared" si="8"/>
        <v/>
      </c>
      <c r="T40" s="180">
        <f t="shared" si="2"/>
        <v>18.739549935775013</v>
      </c>
      <c r="U40" s="180">
        <f t="shared" si="3"/>
        <v>0</v>
      </c>
      <c r="V40" s="177"/>
      <c r="X40" s="180">
        <f t="shared" si="4"/>
        <v>18.739549935775013</v>
      </c>
      <c r="Y40" s="180">
        <f t="shared" si="5"/>
        <v>0</v>
      </c>
    </row>
    <row r="41" spans="1:25" ht="15.6" x14ac:dyDescent="0.3">
      <c r="A41" s="152">
        <v>2029</v>
      </c>
      <c r="B41" s="178">
        <f t="shared" si="0"/>
        <v>237528956950.1875</v>
      </c>
      <c r="C41" s="182">
        <f t="shared" si="9"/>
        <v>41988963189.204132</v>
      </c>
      <c r="D41" s="183"/>
      <c r="E41" s="179">
        <f t="shared" si="6"/>
        <v>184753426259.70941</v>
      </c>
      <c r="F41" s="183">
        <f t="shared" si="10"/>
        <v>28968949917.530823</v>
      </c>
      <c r="G41" s="247">
        <f t="shared" si="1"/>
        <v>0.21533714849434415</v>
      </c>
      <c r="H41" s="246">
        <f t="shared" ca="1" si="7"/>
        <v>13047522936.265726</v>
      </c>
      <c r="J41" s="182"/>
      <c r="K41" s="182"/>
      <c r="L41" s="182"/>
      <c r="M41" s="182"/>
      <c r="N41" s="163"/>
      <c r="O41" s="259" t="str">
        <f>IF($O$24="Y",IFERROR(E41*$E$6*$O$16*'Emissions Factors'!B26,""),"")</f>
        <v/>
      </c>
      <c r="P41" s="259">
        <f>IF($P$24="Y",IFERROR($E41*('Emissions Factors'!$R$21*$P$16)/10^6,""),"")</f>
        <v>22.224268672282097</v>
      </c>
      <c r="Q41" s="259"/>
      <c r="R41" s="245" t="str">
        <f t="shared" si="8"/>
        <v/>
      </c>
      <c r="T41" s="180">
        <f t="shared" si="2"/>
        <v>22.224268672282097</v>
      </c>
      <c r="U41" s="180">
        <f t="shared" si="3"/>
        <v>0</v>
      </c>
      <c r="V41" s="177"/>
      <c r="X41" s="180">
        <f t="shared" si="4"/>
        <v>22.224268672282097</v>
      </c>
      <c r="Y41" s="180">
        <f t="shared" si="5"/>
        <v>0</v>
      </c>
    </row>
    <row r="42" spans="1:25" ht="15.6" x14ac:dyDescent="0.3">
      <c r="A42" s="152">
        <v>2030</v>
      </c>
      <c r="B42" s="178">
        <f t="shared" si="0"/>
        <v>284135707194.58295</v>
      </c>
      <c r="C42" s="182">
        <f t="shared" si="9"/>
        <v>46606750244.395447</v>
      </c>
      <c r="D42" s="183"/>
      <c r="E42" s="179">
        <f t="shared" si="6"/>
        <v>215444720763.48578</v>
      </c>
      <c r="F42" s="183">
        <f t="shared" si="10"/>
        <v>30691294503.776367</v>
      </c>
      <c r="G42" s="247">
        <f t="shared" si="1"/>
        <v>0.21201061725761861</v>
      </c>
      <c r="H42" s="246">
        <f t="shared" ca="1" si="7"/>
        <v>15214680590.144953</v>
      </c>
      <c r="J42" s="182"/>
      <c r="K42" s="182"/>
      <c r="L42" s="182"/>
      <c r="M42" s="182"/>
      <c r="N42" s="163"/>
      <c r="O42" s="259" t="str">
        <f>IF($O$24="Y",IFERROR(E42*$E$6*$O$16*'Emissions Factors'!B27,""),"")</f>
        <v/>
      </c>
      <c r="P42" s="259">
        <f>IF($P$24="Y",IFERROR($E42*('Emissions Factors'!$R$21*$P$16)/10^6,""),"")</f>
        <v>25.916170840273498</v>
      </c>
      <c r="Q42" s="259"/>
      <c r="R42" s="245" t="str">
        <f t="shared" si="8"/>
        <v/>
      </c>
      <c r="T42" s="180">
        <f t="shared" si="2"/>
        <v>25.916170840273498</v>
      </c>
      <c r="U42" s="180">
        <f t="shared" si="3"/>
        <v>0</v>
      </c>
      <c r="V42" s="177"/>
      <c r="X42" s="180">
        <f t="shared" si="4"/>
        <v>25.916170840273498</v>
      </c>
      <c r="Y42" s="180">
        <f t="shared" si="5"/>
        <v>0</v>
      </c>
    </row>
    <row r="43" spans="1:25" ht="15.6" x14ac:dyDescent="0.3">
      <c r="A43" s="152">
        <v>2031</v>
      </c>
      <c r="B43" s="178">
        <f t="shared" si="0"/>
        <v>334966080430.27863</v>
      </c>
      <c r="C43" s="182">
        <f t="shared" si="9"/>
        <v>50830373235.695679</v>
      </c>
      <c r="D43" s="183"/>
      <c r="E43" s="179">
        <f t="shared" si="6"/>
        <v>248507641095.96985</v>
      </c>
      <c r="F43" s="183">
        <f t="shared" si="10"/>
        <v>33062920332.48407</v>
      </c>
      <c r="G43" s="247">
        <f t="shared" si="1"/>
        <v>0.20917876494857821</v>
      </c>
      <c r="H43" s="246">
        <f t="shared" ca="1" si="7"/>
        <v>17549302248.065754</v>
      </c>
      <c r="J43" s="182"/>
      <c r="K43" s="182"/>
      <c r="L43" s="182"/>
      <c r="M43" s="182"/>
      <c r="N43" s="163"/>
      <c r="O43" s="259" t="str">
        <f>IF($O$24="Y",IFERROR(E43*$E$6*$O$16*'Emissions Factors'!B28,""),"")</f>
        <v/>
      </c>
      <c r="P43" s="259">
        <f>IF($P$24="Y",IFERROR($E43*('Emissions Factors'!$R$21*$P$16)/10^6,""),"")</f>
        <v>29.89335946099478</v>
      </c>
      <c r="Q43" s="259"/>
      <c r="R43" s="245" t="str">
        <f t="shared" si="8"/>
        <v/>
      </c>
      <c r="T43" s="180">
        <f t="shared" si="2"/>
        <v>29.89335946099478</v>
      </c>
      <c r="U43" s="180">
        <f t="shared" si="3"/>
        <v>0</v>
      </c>
      <c r="V43" s="177"/>
      <c r="X43" s="180">
        <f t="shared" si="4"/>
        <v>29.89335946099478</v>
      </c>
      <c r="Y43" s="180">
        <f t="shared" si="5"/>
        <v>0</v>
      </c>
    </row>
    <row r="44" spans="1:25" ht="15.6" x14ac:dyDescent="0.3">
      <c r="A44" s="152">
        <v>2032</v>
      </c>
      <c r="B44" s="178">
        <f t="shared" si="0"/>
        <v>390612419323.29456</v>
      </c>
      <c r="C44" s="182">
        <f t="shared" si="9"/>
        <v>55646338893.01593</v>
      </c>
      <c r="D44" s="183"/>
      <c r="E44" s="179">
        <f t="shared" si="6"/>
        <v>283001708748.4223</v>
      </c>
      <c r="F44" s="183">
        <f t="shared" si="10"/>
        <v>34494067652.452454</v>
      </c>
      <c r="G44" s="247">
        <f t="shared" si="1"/>
        <v>0.20611697963961972</v>
      </c>
      <c r="H44" s="246">
        <f t="shared" ca="1" si="7"/>
        <v>19984979332.889992</v>
      </c>
      <c r="J44" s="182"/>
      <c r="K44" s="182"/>
      <c r="L44" s="182"/>
      <c r="M44" s="182"/>
      <c r="N44" s="163"/>
      <c r="O44" s="259" t="str">
        <f>IF($O$24="Y",IFERROR(E44*$E$6*$O$16*'Emissions Factors'!B29,""),"")</f>
        <v/>
      </c>
      <c r="P44" s="259">
        <f>IF($P$24="Y",IFERROR($E44*('Emissions Factors'!$R$21*$P$16)/10^6,""),"")</f>
        <v>34.042702954253492</v>
      </c>
      <c r="Q44" s="259"/>
      <c r="R44" s="245" t="str">
        <f t="shared" si="8"/>
        <v/>
      </c>
      <c r="T44" s="180">
        <f t="shared" si="2"/>
        <v>34.042702954253492</v>
      </c>
      <c r="U44" s="180">
        <f t="shared" si="3"/>
        <v>0</v>
      </c>
      <c r="V44" s="177"/>
      <c r="X44" s="180">
        <f t="shared" si="4"/>
        <v>34.042702954253492</v>
      </c>
      <c r="Y44" s="180">
        <f t="shared" si="5"/>
        <v>0</v>
      </c>
    </row>
    <row r="45" spans="1:25" ht="15.6" x14ac:dyDescent="0.3">
      <c r="A45" s="152">
        <v>2033</v>
      </c>
      <c r="B45" s="178">
        <f t="shared" si="0"/>
        <v>450504101359.52222</v>
      </c>
      <c r="C45" s="182">
        <f t="shared" si="9"/>
        <v>59891682036.227661</v>
      </c>
      <c r="D45" s="183"/>
      <c r="E45" s="179">
        <f t="shared" si="6"/>
        <v>318713173461.62958</v>
      </c>
      <c r="F45" s="183">
        <f t="shared" si="10"/>
        <v>35711464713.207275</v>
      </c>
      <c r="G45" s="247">
        <f t="shared" si="1"/>
        <v>0.20305974214219191</v>
      </c>
      <c r="H45" s="246">
        <f t="shared" ca="1" si="7"/>
        <v>22506618622.980621</v>
      </c>
      <c r="J45" s="182"/>
      <c r="K45" s="182"/>
      <c r="L45" s="182"/>
      <c r="M45" s="182"/>
      <c r="N45" s="163"/>
      <c r="O45" s="259" t="str">
        <f>IF($O$24="Y",IFERROR(E45*$E$6*$O$16*'Emissions Factors'!B30,""),"")</f>
        <v/>
      </c>
      <c r="P45" s="259">
        <f>IF($P$24="Y",IFERROR($E45*('Emissions Factors'!$R$21*$P$16)/10^6,""),"")</f>
        <v>38.338488978548298</v>
      </c>
      <c r="Q45" s="259"/>
      <c r="R45" s="245" t="str">
        <f t="shared" si="8"/>
        <v/>
      </c>
      <c r="T45" s="180">
        <f t="shared" si="2"/>
        <v>38.338488978548298</v>
      </c>
      <c r="U45" s="180">
        <f t="shared" si="3"/>
        <v>0</v>
      </c>
      <c r="V45" s="177"/>
      <c r="X45" s="180">
        <f t="shared" si="4"/>
        <v>38.338488978548298</v>
      </c>
      <c r="Y45" s="180">
        <f t="shared" si="5"/>
        <v>0</v>
      </c>
    </row>
    <row r="46" spans="1:25" ht="15.6" x14ac:dyDescent="0.3">
      <c r="A46" s="152">
        <v>2034</v>
      </c>
      <c r="B46" s="178">
        <f t="shared" si="0"/>
        <v>514034940282.72412</v>
      </c>
      <c r="C46" s="182">
        <f t="shared" si="9"/>
        <v>63530838923.201904</v>
      </c>
      <c r="D46" s="183"/>
      <c r="E46" s="179">
        <f t="shared" si="6"/>
        <v>355072875391.25781</v>
      </c>
      <c r="F46" s="183">
        <f t="shared" si="10"/>
        <v>36359701929.628235</v>
      </c>
      <c r="G46" s="247">
        <f t="shared" si="1"/>
        <v>0.20001126977040029</v>
      </c>
      <c r="H46" s="246">
        <f t="shared" ca="1" si="7"/>
        <v>25074030900.747711</v>
      </c>
      <c r="J46" s="182"/>
      <c r="K46" s="182"/>
      <c r="L46" s="182"/>
      <c r="M46" s="182"/>
      <c r="N46" s="163"/>
      <c r="O46" s="259" t="str">
        <f>IF($O$24="Y",IFERROR(E46*$E$6*$O$16*'Emissions Factors'!B31,""),"")</f>
        <v/>
      </c>
      <c r="P46" s="259">
        <f>IF($P$24="Y",IFERROR($E46*('Emissions Factors'!$R$21*$P$16)/10^6,""),"")</f>
        <v>42.712252436619401</v>
      </c>
      <c r="Q46" s="259"/>
      <c r="R46" s="245" t="str">
        <f t="shared" si="8"/>
        <v/>
      </c>
      <c r="T46" s="180">
        <f t="shared" si="2"/>
        <v>42.712252436619401</v>
      </c>
      <c r="U46" s="180">
        <f t="shared" si="3"/>
        <v>0</v>
      </c>
      <c r="V46" s="177"/>
      <c r="X46" s="180">
        <f t="shared" si="4"/>
        <v>42.712252436619401</v>
      </c>
      <c r="Y46" s="180">
        <f t="shared" si="5"/>
        <v>0</v>
      </c>
    </row>
    <row r="47" spans="1:25" ht="15.6" x14ac:dyDescent="0.3">
      <c r="A47" s="152">
        <v>2035</v>
      </c>
      <c r="B47" s="178">
        <f t="shared" si="0"/>
        <v>579242895431.91858</v>
      </c>
      <c r="C47" s="182">
        <f t="shared" si="9"/>
        <v>65207955149.194458</v>
      </c>
      <c r="D47" s="183"/>
      <c r="E47" s="179">
        <f t="shared" si="6"/>
        <v>393489530560.04797</v>
      </c>
      <c r="F47" s="183">
        <f t="shared" si="10"/>
        <v>38416655168.790161</v>
      </c>
      <c r="G47" s="247">
        <f t="shared" si="1"/>
        <v>0.19789227185021399</v>
      </c>
      <c r="H47" s="246">
        <f t="shared" ca="1" si="7"/>
        <v>27786687686.053349</v>
      </c>
      <c r="J47" s="182"/>
      <c r="K47" s="182"/>
      <c r="L47" s="182"/>
      <c r="M47" s="182"/>
      <c r="N47" s="163"/>
      <c r="O47" s="259" t="str">
        <f>IF($O$24="Y",IFERROR(E47*$E$6*$O$16*'Emissions Factors'!B32,""),"")</f>
        <v/>
      </c>
      <c r="P47" s="259">
        <f>IF($P$24="Y",IFERROR($E47*('Emissions Factors'!$R$21*$P$16)/10^6,""),"")</f>
        <v>47.33344990638345</v>
      </c>
      <c r="Q47" s="259"/>
      <c r="R47" s="245" t="str">
        <f t="shared" si="8"/>
        <v/>
      </c>
      <c r="T47" s="180">
        <f t="shared" si="2"/>
        <v>47.33344990638345</v>
      </c>
      <c r="U47" s="180">
        <f t="shared" si="3"/>
        <v>0</v>
      </c>
      <c r="V47" s="177"/>
      <c r="X47" s="180">
        <f t="shared" si="4"/>
        <v>47.33344990638345</v>
      </c>
      <c r="Y47" s="180">
        <f t="shared" si="5"/>
        <v>0</v>
      </c>
    </row>
    <row r="48" spans="1:25" ht="15.6" x14ac:dyDescent="0.3">
      <c r="A48" s="152">
        <v>2036</v>
      </c>
      <c r="B48" s="178">
        <f t="shared" si="0"/>
        <v>650462023490.19592</v>
      </c>
      <c r="C48" s="182">
        <f t="shared" si="9"/>
        <v>71219128058.277344</v>
      </c>
      <c r="D48" s="183"/>
      <c r="E48" s="179">
        <f t="shared" si="6"/>
        <v>428378556340.03876</v>
      </c>
      <c r="F48" s="183">
        <f t="shared" si="10"/>
        <v>34889025779.990784</v>
      </c>
      <c r="G48" s="247">
        <f t="shared" si="1"/>
        <v>0.19398392308955845</v>
      </c>
      <c r="H48" s="246">
        <f t="shared" ca="1" si="7"/>
        <v>30250253347.846901</v>
      </c>
      <c r="J48" s="182"/>
      <c r="K48" s="182"/>
      <c r="L48" s="182"/>
      <c r="M48" s="182"/>
      <c r="N48" s="163"/>
      <c r="O48" s="259" t="str">
        <f>IF($O$24="Y",IFERROR(E48*$E$6*$O$16*'Emissions Factors'!B33,""),"")</f>
        <v/>
      </c>
      <c r="P48" s="259">
        <f>IF($P$24="Y",IFERROR($E48*('Emissions Factors'!$R$21*$P$16)/10^6,""),"")</f>
        <v>51.530303509297035</v>
      </c>
      <c r="Q48" s="259"/>
      <c r="R48" s="245" t="str">
        <f t="shared" si="8"/>
        <v/>
      </c>
      <c r="T48" s="180">
        <f t="shared" si="2"/>
        <v>51.530303509297035</v>
      </c>
      <c r="U48" s="180">
        <f t="shared" si="3"/>
        <v>0</v>
      </c>
      <c r="V48" s="177"/>
      <c r="X48" s="180">
        <f t="shared" si="4"/>
        <v>51.530303509297035</v>
      </c>
      <c r="Y48" s="180">
        <f t="shared" si="5"/>
        <v>0</v>
      </c>
    </row>
    <row r="49" spans="1:25" ht="15.6" x14ac:dyDescent="0.3">
      <c r="A49" s="152">
        <v>2037</v>
      </c>
      <c r="B49" s="178">
        <f t="shared" si="0"/>
        <v>723390288257.01721</v>
      </c>
      <c r="C49" s="182">
        <f t="shared" si="9"/>
        <v>72928264766.821289</v>
      </c>
      <c r="D49" s="183"/>
      <c r="E49" s="179">
        <f t="shared" si="6"/>
        <v>465291205299.82556</v>
      </c>
      <c r="F49" s="183">
        <f t="shared" si="10"/>
        <v>36912648959.786804</v>
      </c>
      <c r="G49" s="247">
        <f t="shared" si="1"/>
        <v>0.19103177075976482</v>
      </c>
      <c r="H49" s="246">
        <f t="shared" ca="1" si="7"/>
        <v>32856710032.439209</v>
      </c>
      <c r="J49" s="182"/>
      <c r="K49" s="182"/>
      <c r="L49" s="182"/>
      <c r="M49" s="182"/>
      <c r="N49" s="163"/>
      <c r="O49" s="259" t="str">
        <f>IF($O$24="Y",IFERROR(E49*$E$6*$O$16*'Emissions Factors'!B34,""),"")</f>
        <v/>
      </c>
      <c r="P49" s="259">
        <f>IF($P$24="Y",IFERROR($E49*('Emissions Factors'!$R$21*$P$16)/10^6,""),"")</f>
        <v>55.970581800725057</v>
      </c>
      <c r="Q49" s="259"/>
      <c r="R49" s="245" t="str">
        <f t="shared" si="8"/>
        <v/>
      </c>
      <c r="T49" s="180">
        <f t="shared" si="2"/>
        <v>55.970581800725057</v>
      </c>
      <c r="U49" s="180">
        <f t="shared" si="3"/>
        <v>0</v>
      </c>
      <c r="V49" s="177"/>
      <c r="X49" s="180">
        <f t="shared" si="4"/>
        <v>55.970581800725057</v>
      </c>
      <c r="Y49" s="180">
        <f t="shared" si="5"/>
        <v>0</v>
      </c>
    </row>
    <row r="50" spans="1:25" ht="15.6" x14ac:dyDescent="0.3">
      <c r="A50" s="152">
        <v>2038</v>
      </c>
      <c r="B50" s="178">
        <f t="shared" si="0"/>
        <v>799918712770.63049</v>
      </c>
      <c r="C50" s="182">
        <f t="shared" si="9"/>
        <v>76528424513.613281</v>
      </c>
      <c r="D50" s="183"/>
      <c r="E50" s="179">
        <f t="shared" si="6"/>
        <v>502616298240.00952</v>
      </c>
      <c r="F50" s="183">
        <f t="shared" si="10"/>
        <v>37325092940.18396</v>
      </c>
      <c r="G50" s="247">
        <f t="shared" si="1"/>
        <v>0.18812700631711718</v>
      </c>
      <c r="H50" s="246">
        <f t="shared" ca="1" si="7"/>
        <v>35492289995.908012</v>
      </c>
      <c r="J50" s="182"/>
      <c r="K50" s="182"/>
      <c r="L50" s="182"/>
      <c r="M50" s="182"/>
      <c r="N50" s="163"/>
      <c r="O50" s="259" t="str">
        <f>IF($O$24="Y",IFERROR(E50*$E$6*$O$16*'Emissions Factors'!B35,""),"")</f>
        <v/>
      </c>
      <c r="P50" s="259">
        <f>IF($P$24="Y",IFERROR($E50*('Emissions Factors'!$R$21*$P$16)/10^6,""),"")</f>
        <v>60.460473601456712</v>
      </c>
      <c r="Q50" s="259"/>
      <c r="R50" s="245" t="str">
        <f t="shared" si="8"/>
        <v/>
      </c>
      <c r="T50" s="180">
        <f t="shared" si="2"/>
        <v>60.460473601456712</v>
      </c>
      <c r="U50" s="180">
        <f t="shared" si="3"/>
        <v>0</v>
      </c>
      <c r="V50" s="177"/>
      <c r="X50" s="180">
        <f t="shared" si="4"/>
        <v>60.460473601456712</v>
      </c>
      <c r="Y50" s="180">
        <f t="shared" si="5"/>
        <v>0</v>
      </c>
    </row>
    <row r="51" spans="1:25" ht="15.6" x14ac:dyDescent="0.3">
      <c r="A51" s="152">
        <v>2039</v>
      </c>
      <c r="B51" s="178">
        <f t="shared" si="0"/>
        <v>880688313422.26514</v>
      </c>
      <c r="C51" s="182">
        <f t="shared" si="9"/>
        <v>80769600651.634644</v>
      </c>
      <c r="D51" s="183"/>
      <c r="E51" s="179">
        <f t="shared" si="6"/>
        <v>540679865914.72601</v>
      </c>
      <c r="F51" s="183">
        <f t="shared" si="10"/>
        <v>38063567674.716492</v>
      </c>
      <c r="G51" s="247">
        <f t="shared" si="1"/>
        <v>0.18526865220793945</v>
      </c>
      <c r="H51" s="246">
        <f t="shared" ca="1" si="7"/>
        <v>38180014751.540657</v>
      </c>
      <c r="J51" s="182"/>
      <c r="K51" s="182"/>
      <c r="L51" s="182"/>
      <c r="M51" s="182"/>
      <c r="N51" s="163"/>
      <c r="O51" s="259" t="str">
        <f>IF($O$24="Y",IFERROR(E51*$E$6*$O$16*'Emissions Factors'!B36,""),"")</f>
        <v/>
      </c>
      <c r="P51" s="259">
        <f>IF($P$24="Y",IFERROR($E51*('Emissions Factors'!$R$21*$P$16)/10^6,""),"")</f>
        <v>65.039197643301293</v>
      </c>
      <c r="Q51" s="259"/>
      <c r="R51" s="245" t="str">
        <f t="shared" si="8"/>
        <v/>
      </c>
      <c r="T51" s="180">
        <f t="shared" si="2"/>
        <v>65.039197643301293</v>
      </c>
      <c r="U51" s="180">
        <f t="shared" si="3"/>
        <v>0</v>
      </c>
      <c r="V51" s="177"/>
      <c r="X51" s="180">
        <f t="shared" si="4"/>
        <v>65.039197643301293</v>
      </c>
      <c r="Y51" s="180">
        <f t="shared" si="5"/>
        <v>0</v>
      </c>
    </row>
    <row r="52" spans="1:25" ht="15.6" x14ac:dyDescent="0.3">
      <c r="A52" s="152">
        <v>2040</v>
      </c>
      <c r="B52" s="178">
        <f t="shared" si="0"/>
        <v>964423904255.71973</v>
      </c>
      <c r="C52" s="182">
        <f t="shared" si="9"/>
        <v>83735590833.45459</v>
      </c>
      <c r="D52" s="183"/>
      <c r="E52" s="179">
        <f t="shared" si="6"/>
        <v>582036879301.28503</v>
      </c>
      <c r="F52" s="183">
        <f t="shared" si="10"/>
        <v>41357013386.559021</v>
      </c>
      <c r="G52" s="247">
        <f t="shared" si="1"/>
        <v>0.18317245231910526</v>
      </c>
      <c r="H52" s="246">
        <f t="shared" ca="1" si="7"/>
        <v>41100294575.229393</v>
      </c>
      <c r="J52" s="182"/>
      <c r="K52" s="182"/>
      <c r="L52" s="182"/>
      <c r="M52" s="182"/>
      <c r="N52" s="163"/>
      <c r="O52" s="259" t="str">
        <f>IF($O$24="Y",IFERROR(E52*$E$6*$O$16*'Emissions Factors'!B37,""),"")</f>
        <v/>
      </c>
      <c r="P52" s="259">
        <f>IF($P$24="Y",IFERROR($E52*('Emissions Factors'!$R$21*$P$16)/10^6,""),"")</f>
        <v>70.01409524381468</v>
      </c>
      <c r="Q52" s="259"/>
      <c r="R52" s="245" t="str">
        <f t="shared" si="8"/>
        <v/>
      </c>
      <c r="T52" s="180">
        <f t="shared" si="2"/>
        <v>70.01409524381468</v>
      </c>
      <c r="U52" s="180">
        <f t="shared" si="3"/>
        <v>0</v>
      </c>
      <c r="V52" s="177"/>
      <c r="X52" s="180">
        <f t="shared" si="4"/>
        <v>70.01409524381468</v>
      </c>
      <c r="Y52" s="180">
        <f t="shared" si="5"/>
        <v>0</v>
      </c>
    </row>
    <row r="53" spans="1:25" ht="15.6" x14ac:dyDescent="0.3">
      <c r="A53" s="152">
        <v>2041</v>
      </c>
      <c r="B53" s="178">
        <f t="shared" si="0"/>
        <v>1057049022412.8865</v>
      </c>
      <c r="C53" s="182">
        <f t="shared" si="9"/>
        <v>92625118157.166748</v>
      </c>
      <c r="D53" s="183"/>
      <c r="E53" s="179">
        <f t="shared" si="6"/>
        <v>620015721677.91187</v>
      </c>
      <c r="F53" s="183">
        <f t="shared" si="10"/>
        <v>37978842376.626831</v>
      </c>
      <c r="G53" s="247">
        <f t="shared" si="1"/>
        <v>0.17971022039906839</v>
      </c>
      <c r="H53" s="246">
        <f t="shared" ca="1" si="7"/>
        <v>43782036752.375175</v>
      </c>
      <c r="J53" s="182"/>
      <c r="K53" s="182"/>
      <c r="L53" s="182"/>
      <c r="M53" s="182"/>
      <c r="N53" s="163"/>
      <c r="O53" s="259" t="str">
        <f>IF($O$24="Y",IFERROR(E53*$E$6*$O$16*'Emissions Factors'!B38,""),"")</f>
        <v/>
      </c>
      <c r="P53" s="259">
        <f>IF($P$24="Y",IFERROR($E53*('Emissions Factors'!$R$21*$P$16)/10^6,""),"")</f>
        <v>74.582627551593987</v>
      </c>
      <c r="Q53" s="259"/>
      <c r="R53" s="245" t="str">
        <f t="shared" si="8"/>
        <v/>
      </c>
      <c r="T53" s="180">
        <f t="shared" si="2"/>
        <v>74.582627551593987</v>
      </c>
      <c r="U53" s="180">
        <f t="shared" si="3"/>
        <v>0</v>
      </c>
      <c r="V53" s="177"/>
      <c r="X53" s="180">
        <f t="shared" si="4"/>
        <v>74.582627551593987</v>
      </c>
      <c r="Y53" s="180">
        <f t="shared" si="5"/>
        <v>0</v>
      </c>
    </row>
    <row r="54" spans="1:25" ht="15.6" x14ac:dyDescent="0.3">
      <c r="A54" s="152">
        <v>2042</v>
      </c>
      <c r="B54" s="178">
        <f t="shared" si="0"/>
        <v>1153144743013.9739</v>
      </c>
      <c r="C54" s="182">
        <f t="shared" si="9"/>
        <v>96095720601.087402</v>
      </c>
      <c r="D54" s="183"/>
      <c r="E54" s="179">
        <f t="shared" si="6"/>
        <v>661496705638.71423</v>
      </c>
      <c r="F54" s="183">
        <f t="shared" si="10"/>
        <v>41480983960.802368</v>
      </c>
      <c r="G54" s="247">
        <f t="shared" si="1"/>
        <v>0.17703008546057444</v>
      </c>
      <c r="H54" s="246">
        <f t="shared" ca="1" si="7"/>
        <v>46711070321.488174</v>
      </c>
      <c r="J54" s="182"/>
      <c r="K54" s="182"/>
      <c r="L54" s="182"/>
      <c r="M54" s="182"/>
      <c r="N54" s="163"/>
      <c r="O54" s="259" t="str">
        <f>IF($O$24="Y",IFERROR(E54*$E$6*$O$16*'Emissions Factors'!B39,""),"")</f>
        <v/>
      </c>
      <c r="P54" s="259">
        <f>IF($P$24="Y",IFERROR($E54*('Emissions Factors'!$R$21*$P$16)/10^6,""),"")</f>
        <v>79.572437759712116</v>
      </c>
      <c r="Q54" s="259"/>
      <c r="R54" s="245" t="str">
        <f t="shared" si="8"/>
        <v/>
      </c>
      <c r="T54" s="180">
        <f t="shared" si="2"/>
        <v>79.572437759712116</v>
      </c>
      <c r="U54" s="180">
        <f t="shared" si="3"/>
        <v>0</v>
      </c>
      <c r="V54" s="177"/>
      <c r="X54" s="180">
        <f t="shared" si="4"/>
        <v>79.572437759712116</v>
      </c>
      <c r="Y54" s="180">
        <f t="shared" si="5"/>
        <v>0</v>
      </c>
    </row>
    <row r="55" spans="1:25" ht="15.6" x14ac:dyDescent="0.3">
      <c r="A55" s="152">
        <v>2043</v>
      </c>
      <c r="B55" s="178">
        <f t="shared" si="0"/>
        <v>1255104506491.8213</v>
      </c>
      <c r="C55" s="182">
        <f t="shared" si="9"/>
        <v>101959763477.84741</v>
      </c>
      <c r="D55" s="183"/>
      <c r="E55" s="179">
        <f t="shared" si="6"/>
        <v>704451584584.8634</v>
      </c>
      <c r="F55" s="183">
        <f t="shared" si="10"/>
        <v>42954878946.14917</v>
      </c>
      <c r="G55" s="247">
        <f t="shared" si="1"/>
        <v>0.17442344073312935</v>
      </c>
      <c r="H55" s="246">
        <f t="shared" ca="1" si="7"/>
        <v>49744177793.320251</v>
      </c>
      <c r="J55" s="182"/>
      <c r="K55" s="182"/>
      <c r="L55" s="182"/>
      <c r="M55" s="182"/>
      <c r="N55" s="163"/>
      <c r="O55" s="259" t="str">
        <f>IF($O$24="Y",IFERROR(E55*$E$6*$O$16*'Emissions Factors'!B40,""),"")</f>
        <v/>
      </c>
      <c r="P55" s="259">
        <f>IF($P$24="Y",IFERROR($E55*('Emissions Factors'!$R$21*$P$16)/10^6,""),"")</f>
        <v>84.739545021596541</v>
      </c>
      <c r="Q55" s="259"/>
      <c r="R55" s="245" t="str">
        <f t="shared" si="8"/>
        <v/>
      </c>
      <c r="T55" s="180">
        <f t="shared" si="2"/>
        <v>84.739545021596541</v>
      </c>
      <c r="U55" s="180">
        <f t="shared" si="3"/>
        <v>0</v>
      </c>
      <c r="V55" s="177"/>
      <c r="X55" s="180">
        <f t="shared" si="4"/>
        <v>84.739545021596541</v>
      </c>
      <c r="Y55" s="180">
        <f t="shared" si="5"/>
        <v>0</v>
      </c>
    </row>
    <row r="56" spans="1:25" ht="15.6" x14ac:dyDescent="0.3">
      <c r="A56" s="152">
        <v>2044</v>
      </c>
      <c r="B56" s="178">
        <f t="shared" si="0"/>
        <v>1363524472237.4727</v>
      </c>
      <c r="C56" s="182">
        <f t="shared" si="9"/>
        <v>108419965745.65137</v>
      </c>
      <c r="D56" s="183"/>
      <c r="E56" s="179">
        <f t="shared" si="6"/>
        <v>749152375169.21497</v>
      </c>
      <c r="F56" s="183">
        <f t="shared" si="10"/>
        <v>44700790584.351563</v>
      </c>
      <c r="G56" s="247">
        <f t="shared" si="1"/>
        <v>0.17189417221944525</v>
      </c>
      <c r="H56" s="246">
        <f t="shared" ca="1" si="7"/>
        <v>52900566665.657005</v>
      </c>
      <c r="J56" s="182"/>
      <c r="K56" s="182"/>
      <c r="L56" s="182"/>
      <c r="M56" s="182"/>
      <c r="N56" s="163"/>
      <c r="O56" s="259" t="str">
        <f>IF($O$24="Y",IFERROR(E56*$E$6*$O$16*'Emissions Factors'!B41,""),"")</f>
        <v/>
      </c>
      <c r="P56" s="259">
        <f>IF($P$24="Y",IFERROR($E56*('Emissions Factors'!$R$21*$P$16)/10^6,""),"")</f>
        <v>90.116670631237781</v>
      </c>
      <c r="Q56" s="259"/>
      <c r="R56" s="245" t="str">
        <f t="shared" si="8"/>
        <v/>
      </c>
      <c r="T56" s="180">
        <f t="shared" si="2"/>
        <v>90.116670631237781</v>
      </c>
      <c r="U56" s="180">
        <f t="shared" si="3"/>
        <v>0</v>
      </c>
      <c r="V56" s="177"/>
      <c r="X56" s="180">
        <f t="shared" si="4"/>
        <v>90.116670631237781</v>
      </c>
      <c r="Y56" s="180">
        <f t="shared" si="5"/>
        <v>0</v>
      </c>
    </row>
    <row r="57" spans="1:25" ht="15.6" x14ac:dyDescent="0.3">
      <c r="A57" s="152">
        <v>2045</v>
      </c>
      <c r="B57" s="178">
        <f t="shared" si="0"/>
        <v>1480084937339.1462</v>
      </c>
      <c r="C57" s="182">
        <f t="shared" si="9"/>
        <v>116560465101.67358</v>
      </c>
      <c r="D57" s="183"/>
      <c r="E57" s="179">
        <f t="shared" si="6"/>
        <v>794551651271.35461</v>
      </c>
      <c r="F57" s="183">
        <f t="shared" si="10"/>
        <v>45399276102.139648</v>
      </c>
      <c r="G57" s="247">
        <f t="shared" si="1"/>
        <v>0.1691672086474767</v>
      </c>
      <c r="H57" s="246">
        <f t="shared" ca="1" si="7"/>
        <v>56106276632.475845</v>
      </c>
      <c r="J57" s="182"/>
      <c r="K57" s="182"/>
      <c r="L57" s="182"/>
      <c r="M57" s="182"/>
      <c r="N57" s="163"/>
      <c r="O57" s="259" t="str">
        <f>IF($O$24="Y",IFERROR(E57*$E$6*$O$16*'Emissions Factors'!B42,""),"")</f>
        <v/>
      </c>
      <c r="P57" s="259">
        <f>IF($P$24="Y",IFERROR($E57*('Emissions Factors'!$R$21*$P$16)/10^6,""),"")</f>
        <v>95.577818118715257</v>
      </c>
      <c r="Q57" s="259"/>
      <c r="R57" s="245" t="str">
        <f t="shared" si="8"/>
        <v/>
      </c>
      <c r="T57" s="180">
        <f t="shared" si="2"/>
        <v>95.577818118715257</v>
      </c>
      <c r="U57" s="180">
        <f t="shared" si="3"/>
        <v>0</v>
      </c>
      <c r="V57" s="177"/>
      <c r="X57" s="180">
        <f t="shared" si="4"/>
        <v>95.577818118715257</v>
      </c>
      <c r="Y57" s="180">
        <f t="shared" si="5"/>
        <v>0</v>
      </c>
    </row>
    <row r="58" spans="1:25" ht="15.6" x14ac:dyDescent="0.3">
      <c r="A58" s="152">
        <v>2046</v>
      </c>
      <c r="B58" s="178">
        <f t="shared" si="0"/>
        <v>1602009221028.6038</v>
      </c>
      <c r="C58" s="182">
        <f t="shared" si="9"/>
        <v>121924283689.45752</v>
      </c>
      <c r="D58" s="183"/>
      <c r="E58" s="179">
        <f t="shared" si="6"/>
        <v>844806407272.30151</v>
      </c>
      <c r="F58" s="183">
        <f t="shared" si="10"/>
        <v>50254756000.946899</v>
      </c>
      <c r="G58" s="247">
        <f t="shared" si="1"/>
        <v>0.16708709444699626</v>
      </c>
      <c r="H58" s="246">
        <f t="shared" ca="1" si="7"/>
        <v>59654839209.329178</v>
      </c>
      <c r="J58" s="182"/>
      <c r="K58" s="182"/>
      <c r="L58" s="182"/>
      <c r="M58" s="182"/>
      <c r="N58" s="163"/>
      <c r="O58" s="259" t="str">
        <f>IF($O$24="Y",IFERROR(E58*$E$6*$O$16*'Emissions Factors'!B43,""),"")</f>
        <v/>
      </c>
      <c r="P58" s="259">
        <f>IF($P$24="Y",IFERROR($E58*('Emissions Factors'!$R$21*$P$16)/10^6,""),"")</f>
        <v>101.62303861630443</v>
      </c>
      <c r="Q58" s="259"/>
      <c r="R58" s="245" t="str">
        <f t="shared" si="8"/>
        <v/>
      </c>
      <c r="T58" s="180">
        <f t="shared" si="2"/>
        <v>101.62303861630443</v>
      </c>
      <c r="U58" s="180">
        <f t="shared" si="3"/>
        <v>0</v>
      </c>
      <c r="V58" s="177"/>
      <c r="X58" s="180">
        <f t="shared" si="4"/>
        <v>101.62303861630443</v>
      </c>
      <c r="Y58" s="180">
        <f t="shared" si="5"/>
        <v>0</v>
      </c>
    </row>
    <row r="59" spans="1:25" ht="15.6" x14ac:dyDescent="0.3">
      <c r="A59" s="152">
        <v>2047</v>
      </c>
      <c r="B59" s="178">
        <f t="shared" si="0"/>
        <v>1733041428474.7368</v>
      </c>
      <c r="C59" s="182">
        <f t="shared" si="9"/>
        <v>131032207446.13306</v>
      </c>
      <c r="D59" s="183"/>
      <c r="E59" s="179">
        <f t="shared" si="6"/>
        <v>896198840666.86267</v>
      </c>
      <c r="F59" s="183">
        <f t="shared" si="10"/>
        <v>51392433394.561157</v>
      </c>
      <c r="G59" s="247">
        <f t="shared" si="1"/>
        <v>0.16482124055805605</v>
      </c>
      <c r="H59" s="246">
        <f t="shared" ca="1" si="7"/>
        <v>63283734867.959595</v>
      </c>
      <c r="J59" s="182"/>
      <c r="K59" s="182"/>
      <c r="L59" s="182"/>
      <c r="M59" s="182"/>
      <c r="N59" s="163"/>
      <c r="O59" s="259" t="str">
        <f>IF($O$24="Y",IFERROR(E59*$E$6*$O$16*'Emissions Factors'!B44,""),"")</f>
        <v/>
      </c>
      <c r="P59" s="259">
        <f>IF($P$24="Y",IFERROR($E59*('Emissions Factors'!$R$21*$P$16)/10^6,""),"")</f>
        <v>107.80511204577115</v>
      </c>
      <c r="Q59" s="259"/>
      <c r="R59" s="245" t="str">
        <f t="shared" si="8"/>
        <v/>
      </c>
      <c r="T59" s="180">
        <f t="shared" si="2"/>
        <v>107.80511204577115</v>
      </c>
      <c r="U59" s="180">
        <f t="shared" si="3"/>
        <v>0</v>
      </c>
      <c r="V59" s="177"/>
      <c r="X59" s="180">
        <f t="shared" si="4"/>
        <v>107.80511204577115</v>
      </c>
      <c r="Y59" s="180">
        <f t="shared" si="5"/>
        <v>0</v>
      </c>
    </row>
    <row r="60" spans="1:25" ht="15.6" x14ac:dyDescent="0.3">
      <c r="A60" s="152">
        <v>2048</v>
      </c>
      <c r="B60" s="178">
        <f t="shared" si="0"/>
        <v>1872640631719.7844</v>
      </c>
      <c r="C60" s="182">
        <f t="shared" si="9"/>
        <v>139599203245.04761</v>
      </c>
      <c r="D60" s="183"/>
      <c r="E60" s="179">
        <f t="shared" si="6"/>
        <v>950387240666.87793</v>
      </c>
      <c r="F60" s="183">
        <f t="shared" si="10"/>
        <v>54188400000.015259</v>
      </c>
      <c r="G60" s="247">
        <f t="shared" si="1"/>
        <v>0.16266463519237273</v>
      </c>
      <c r="H60" s="246">
        <f t="shared" ca="1" si="7"/>
        <v>67110057859.876816</v>
      </c>
      <c r="J60" s="182"/>
      <c r="K60" s="182"/>
      <c r="L60" s="182"/>
      <c r="M60" s="182"/>
      <c r="N60" s="163"/>
      <c r="O60" s="259" t="str">
        <f>IF($O$24="Y",IFERROR(E60*$E$6*$O$16*'Emissions Factors'!B45,""),"")</f>
        <v/>
      </c>
      <c r="P60" s="259">
        <f>IF($P$24="Y",IFERROR($E60*('Emissions Factors'!$R$21*$P$16)/10^6,""),"")</f>
        <v>114.32351652087159</v>
      </c>
      <c r="Q60" s="259"/>
      <c r="R60" s="245" t="str">
        <f t="shared" si="8"/>
        <v/>
      </c>
      <c r="T60" s="180">
        <f t="shared" si="2"/>
        <v>114.32351652087159</v>
      </c>
      <c r="U60" s="180">
        <f t="shared" si="3"/>
        <v>0</v>
      </c>
      <c r="V60" s="177"/>
      <c r="X60" s="180">
        <f t="shared" si="4"/>
        <v>114.32351652087159</v>
      </c>
      <c r="Y60" s="180">
        <f t="shared" si="5"/>
        <v>0</v>
      </c>
    </row>
    <row r="61" spans="1:25" ht="15.6" x14ac:dyDescent="0.3">
      <c r="A61" s="152">
        <v>2049</v>
      </c>
      <c r="B61" s="178">
        <f t="shared" si="0"/>
        <v>2021377108845.0962</v>
      </c>
      <c r="C61" s="182">
        <f t="shared" si="9"/>
        <v>148736477125.31177</v>
      </c>
      <c r="D61" s="183"/>
      <c r="E61" s="179">
        <f t="shared" si="6"/>
        <v>1007758475243.1272</v>
      </c>
      <c r="F61" s="183">
        <f t="shared" si="10"/>
        <v>57371234576.249268</v>
      </c>
      <c r="G61" s="247">
        <f t="shared" si="1"/>
        <v>0.16063233142989652</v>
      </c>
      <c r="H61" s="246">
        <f t="shared" ca="1" si="7"/>
        <v>71161125504.127563</v>
      </c>
      <c r="J61" s="182"/>
      <c r="K61" s="182"/>
      <c r="L61" s="182"/>
      <c r="M61" s="182"/>
      <c r="N61" s="163"/>
      <c r="O61" s="259" t="str">
        <f>IF($O$24="Y",IFERROR(E61*$E$6*$O$16*'Emissions Factors'!B46,""),"")</f>
        <v/>
      </c>
      <c r="P61" s="259">
        <f>IF($P$24="Y",IFERROR($E61*('Emissions Factors'!$R$21*$P$16)/10^6,""),"")</f>
        <v>121.22478897408585</v>
      </c>
      <c r="Q61" s="259"/>
      <c r="R61" s="245" t="str">
        <f t="shared" si="8"/>
        <v/>
      </c>
      <c r="T61" s="180">
        <f t="shared" si="2"/>
        <v>121.22478897408585</v>
      </c>
      <c r="U61" s="180">
        <f t="shared" si="3"/>
        <v>0</v>
      </c>
      <c r="V61" s="177"/>
      <c r="X61" s="180">
        <f t="shared" si="4"/>
        <v>121.22478897408585</v>
      </c>
      <c r="Y61" s="180">
        <f t="shared" si="5"/>
        <v>0</v>
      </c>
    </row>
    <row r="62" spans="1:25" ht="15.6" x14ac:dyDescent="0.3">
      <c r="A62" s="152">
        <v>2050</v>
      </c>
      <c r="B62" s="178">
        <f t="shared" si="0"/>
        <v>2181642993423.0642</v>
      </c>
      <c r="C62" s="182">
        <f t="shared" si="9"/>
        <v>160265884577.96802</v>
      </c>
      <c r="D62" s="183"/>
      <c r="E62" s="179">
        <f t="shared" si="6"/>
        <v>1066474371584.0088</v>
      </c>
      <c r="F62" s="183">
        <f t="shared" si="10"/>
        <v>58715896340.881592</v>
      </c>
      <c r="G62" s="247">
        <f t="shared" si="1"/>
        <v>0.15840588788761087</v>
      </c>
      <c r="H62" s="246">
        <f t="shared" ca="1" si="7"/>
        <v>75307141702.429779</v>
      </c>
      <c r="J62" s="182"/>
      <c r="K62" s="182"/>
      <c r="L62" s="182"/>
      <c r="M62" s="182"/>
      <c r="N62" s="163"/>
      <c r="O62" s="259" t="str">
        <f>IF($O$24="Y",IFERROR(E62*$E$6*$O$16*'Emissions Factors'!B47,""),"")</f>
        <v/>
      </c>
      <c r="P62" s="259">
        <f>IF($P$24="Y",IFERROR($E62*('Emissions Factors'!$R$21*$P$16)/10^6,""),"")</f>
        <v>128.28781282176965</v>
      </c>
      <c r="Q62" s="259"/>
      <c r="R62" s="245" t="str">
        <f t="shared" si="8"/>
        <v/>
      </c>
      <c r="T62" s="180">
        <f t="shared" si="2"/>
        <v>128.28781282176965</v>
      </c>
      <c r="U62" s="180">
        <f t="shared" si="3"/>
        <v>0</v>
      </c>
      <c r="V62" s="177"/>
      <c r="X62" s="180">
        <f t="shared" si="4"/>
        <v>128.28781282176965</v>
      </c>
      <c r="Y62" s="180">
        <f t="shared" si="5"/>
        <v>0</v>
      </c>
    </row>
    <row r="63" spans="1:25" ht="15.6" x14ac:dyDescent="0.3">
      <c r="A63" s="152">
        <v>2051</v>
      </c>
      <c r="B63" s="178">
        <f t="shared" si="0"/>
        <v>2348514398026.3384</v>
      </c>
      <c r="C63" s="182">
        <f t="shared" si="9"/>
        <v>166871404603.27417</v>
      </c>
      <c r="D63" s="183"/>
      <c r="E63" s="179">
        <f t="shared" si="6"/>
        <v>1133453637887.2969</v>
      </c>
      <c r="F63" s="183">
        <f t="shared" si="10"/>
        <v>66979266303.288086</v>
      </c>
      <c r="G63" s="247">
        <f t="shared" si="1"/>
        <v>0.1569676399605209</v>
      </c>
      <c r="H63" s="246">
        <f t="shared" ca="1" si="7"/>
        <v>80036646663.601273</v>
      </c>
      <c r="J63" s="182"/>
      <c r="K63" s="182"/>
      <c r="L63" s="182"/>
      <c r="M63" s="182"/>
      <c r="N63" s="163"/>
      <c r="O63" s="259" t="str">
        <f>IF($O$24="Y",IFERROR(E63*$E$6*$O$16*'Emissions Factors'!B48,""),"")</f>
        <v/>
      </c>
      <c r="P63" s="259">
        <f>IF($P$24="Y",IFERROR($E63*('Emissions Factors'!$R$21*$P$16)/10^6,""),"")</f>
        <v>136.34484992214863</v>
      </c>
      <c r="Q63" s="259"/>
      <c r="R63" s="245" t="str">
        <f t="shared" si="8"/>
        <v/>
      </c>
      <c r="T63" s="180" t="str">
        <f t="shared" si="2"/>
        <v/>
      </c>
      <c r="U63" s="180" t="str">
        <f t="shared" si="3"/>
        <v/>
      </c>
      <c r="V63" s="177"/>
      <c r="X63" s="180">
        <f t="shared" si="4"/>
        <v>136.34484992214863</v>
      </c>
      <c r="Y63" s="180">
        <f t="shared" si="5"/>
        <v>0</v>
      </c>
    </row>
    <row r="64" spans="1:25" ht="15.6" x14ac:dyDescent="0.3">
      <c r="A64" s="152">
        <v>2052</v>
      </c>
      <c r="B64" s="178">
        <f t="shared" si="0"/>
        <v>2527998864763.8706</v>
      </c>
      <c r="C64" s="182">
        <f t="shared" si="9"/>
        <v>179484466737.53223</v>
      </c>
      <c r="D64" s="183"/>
      <c r="E64" s="179">
        <f t="shared" si="6"/>
        <v>1202345803090.4556</v>
      </c>
      <c r="F64" s="183">
        <f t="shared" si="10"/>
        <v>68892165203.158691</v>
      </c>
      <c r="G64" s="247">
        <f t="shared" si="1"/>
        <v>0.15533148938404101</v>
      </c>
      <c r="H64" s="246">
        <f t="shared" ca="1" si="7"/>
        <v>84901224242.561554</v>
      </c>
      <c r="J64" s="182"/>
      <c r="K64" s="182"/>
      <c r="L64" s="182"/>
      <c r="M64" s="182"/>
      <c r="N64" s="163"/>
      <c r="O64" s="259" t="str">
        <f>IF($O$24="Y",IFERROR(E64*$E$6*$O$16*'Emissions Factors'!B49,""),"")</f>
        <v/>
      </c>
      <c r="P64" s="259">
        <f>IF($P$24="Y",IFERROR($E64*('Emissions Factors'!$R$21*$P$16)/10^6,""),"")</f>
        <v>144.63199252018626</v>
      </c>
      <c r="Q64" s="259"/>
      <c r="R64" s="245" t="str">
        <f t="shared" si="8"/>
        <v/>
      </c>
      <c r="T64" s="180" t="str">
        <f t="shared" si="2"/>
        <v/>
      </c>
      <c r="U64" s="180" t="str">
        <f t="shared" si="3"/>
        <v/>
      </c>
      <c r="V64" s="177"/>
      <c r="X64" s="180">
        <f t="shared" si="4"/>
        <v>144.63199252018626</v>
      </c>
      <c r="Y64" s="180">
        <f t="shared" si="5"/>
        <v>0</v>
      </c>
    </row>
    <row r="65" spans="1:25" ht="15.6" x14ac:dyDescent="0.3">
      <c r="A65" s="152">
        <v>2053</v>
      </c>
      <c r="B65" s="178">
        <f t="shared" si="0"/>
        <v>2718725544600.4575</v>
      </c>
      <c r="C65" s="182">
        <f t="shared" si="9"/>
        <v>190726679836.58691</v>
      </c>
      <c r="D65" s="183"/>
      <c r="E65" s="179">
        <f t="shared" si="6"/>
        <v>1275680445512.0664</v>
      </c>
      <c r="F65" s="183">
        <f t="shared" si="10"/>
        <v>73334642421.61084</v>
      </c>
      <c r="G65" s="247">
        <f t="shared" si="1"/>
        <v>0.1538286041417721</v>
      </c>
      <c r="H65" s="246">
        <f t="shared" ca="1" si="7"/>
        <v>90079491702.050278</v>
      </c>
      <c r="J65" s="182"/>
      <c r="K65" s="182"/>
      <c r="L65" s="182"/>
      <c r="M65" s="182"/>
      <c r="N65" s="163"/>
      <c r="O65" s="259" t="str">
        <f>IF($O$24="Y",IFERROR(E65*$E$6*$O$16*'Emissions Factors'!B50,""),"")</f>
        <v/>
      </c>
      <c r="P65" s="259">
        <f>IF($P$24="Y",IFERROR($E65*('Emissions Factors'!$R$21*$P$16)/10^6,""),"")</f>
        <v>153.45352741217019</v>
      </c>
      <c r="Q65" s="259"/>
      <c r="R65" s="245" t="str">
        <f t="shared" si="8"/>
        <v/>
      </c>
      <c r="T65" s="180" t="str">
        <f t="shared" si="2"/>
        <v/>
      </c>
      <c r="U65" s="180" t="str">
        <f t="shared" si="3"/>
        <v/>
      </c>
      <c r="V65" s="177"/>
      <c r="X65" s="180">
        <f t="shared" si="4"/>
        <v>153.45352741217019</v>
      </c>
      <c r="Y65" s="180">
        <f t="shared" si="5"/>
        <v>0</v>
      </c>
    </row>
    <row r="66" spans="1:25" ht="15.6" x14ac:dyDescent="0.3">
      <c r="A66" s="152">
        <v>2054</v>
      </c>
      <c r="B66" s="178">
        <f t="shared" si="0"/>
        <v>2921109922323.6646</v>
      </c>
      <c r="C66" s="182">
        <f t="shared" si="9"/>
        <v>202384377723.20703</v>
      </c>
      <c r="D66" s="183"/>
      <c r="E66" s="179">
        <f t="shared" si="6"/>
        <v>1353780978207.7024</v>
      </c>
      <c r="F66" s="183">
        <f t="shared" si="10"/>
        <v>78100532695.635986</v>
      </c>
      <c r="G66" s="247">
        <f t="shared" si="1"/>
        <v>0.15246140423692747</v>
      </c>
      <c r="H66" s="246">
        <f t="shared" ca="1" si="7"/>
        <v>95594285715.791412</v>
      </c>
      <c r="J66" s="182"/>
      <c r="K66" s="182"/>
      <c r="L66" s="182"/>
      <c r="M66" s="182"/>
      <c r="N66" s="163"/>
      <c r="O66" s="259" t="str">
        <f>IF($O$24="Y",IFERROR(E66*$E$6*$O$16*'Emissions Factors'!B51,""),"")</f>
        <v/>
      </c>
      <c r="P66" s="259">
        <f>IF($P$24="Y",IFERROR($E66*('Emissions Factors'!$R$21*$P$16)/10^6,""),"")</f>
        <v>162.84835844299636</v>
      </c>
      <c r="Q66" s="259"/>
      <c r="R66" s="245" t="str">
        <f t="shared" si="8"/>
        <v/>
      </c>
      <c r="T66" s="180" t="str">
        <f t="shared" si="2"/>
        <v/>
      </c>
      <c r="U66" s="180" t="str">
        <f t="shared" si="3"/>
        <v/>
      </c>
      <c r="V66" s="177"/>
      <c r="X66" s="180">
        <f t="shared" si="4"/>
        <v>162.84835844299636</v>
      </c>
      <c r="Y66" s="180">
        <f t="shared" si="5"/>
        <v>0</v>
      </c>
    </row>
    <row r="67" spans="1:25" ht="15.6" x14ac:dyDescent="0.3">
      <c r="A67" s="152">
        <v>2055</v>
      </c>
      <c r="B67" s="178">
        <f t="shared" si="0"/>
        <v>3138722173215.0029</v>
      </c>
      <c r="C67" s="182">
        <f t="shared" si="9"/>
        <v>217612250891.33838</v>
      </c>
      <c r="D67" s="183"/>
      <c r="E67" s="179">
        <f t="shared" si="6"/>
        <v>1433179678588.5996</v>
      </c>
      <c r="F67" s="183">
        <f t="shared" si="10"/>
        <v>79398700380.897217</v>
      </c>
      <c r="G67" s="247">
        <f t="shared" si="1"/>
        <v>0.15083029793362504</v>
      </c>
      <c r="H67" s="246">
        <f t="shared" ca="1" si="7"/>
        <v>101200745267.94073</v>
      </c>
      <c r="J67" s="182"/>
      <c r="K67" s="182"/>
      <c r="L67" s="182"/>
      <c r="M67" s="182"/>
      <c r="N67" s="163"/>
      <c r="O67" s="259" t="str">
        <f>IF($O$24="Y",IFERROR(E67*$E$6*$O$16*'Emissions Factors'!B52,""),"")</f>
        <v/>
      </c>
      <c r="P67" s="259">
        <f>IF($P$24="Y",IFERROR($E67*('Emissions Factors'!$R$21*$P$16)/10^6,""),"")</f>
        <v>172.39934802526588</v>
      </c>
      <c r="Q67" s="259"/>
      <c r="R67" s="245" t="str">
        <f t="shared" si="8"/>
        <v/>
      </c>
      <c r="T67" s="180" t="str">
        <f t="shared" si="2"/>
        <v/>
      </c>
      <c r="U67" s="180" t="str">
        <f t="shared" si="3"/>
        <v/>
      </c>
      <c r="V67" s="177"/>
      <c r="X67" s="180">
        <f t="shared" si="4"/>
        <v>172.39934802526588</v>
      </c>
      <c r="Y67" s="180">
        <f t="shared" si="5"/>
        <v>0</v>
      </c>
    </row>
    <row r="68" spans="1:25" ht="15.6" x14ac:dyDescent="0.3">
      <c r="A68" s="152">
        <v>2056</v>
      </c>
      <c r="B68" s="178">
        <f t="shared" si="0"/>
        <v>3362649175251.2227</v>
      </c>
      <c r="C68" s="182">
        <f t="shared" si="9"/>
        <v>223927002036.21973</v>
      </c>
      <c r="D68" s="183"/>
      <c r="E68" s="179">
        <f t="shared" si="6"/>
        <v>1525619235926.3833</v>
      </c>
      <c r="F68" s="183">
        <f t="shared" si="10"/>
        <v>92439557337.783691</v>
      </c>
      <c r="G68" s="247">
        <f t="shared" si="1"/>
        <v>0.15013013294757954</v>
      </c>
      <c r="H68" s="246">
        <f t="shared" ca="1" si="7"/>
        <v>107728038998.7782</v>
      </c>
      <c r="J68" s="182"/>
      <c r="K68" s="182"/>
      <c r="L68" s="182"/>
      <c r="M68" s="182"/>
      <c r="N68" s="163"/>
      <c r="O68" s="259" t="str">
        <f>IF($O$24="Y",IFERROR(E68*$E$6*$O$16*'Emissions Factors'!B53,""),"")</f>
        <v/>
      </c>
      <c r="P68" s="259">
        <f>IF($P$24="Y",IFERROR($E68*('Emissions Factors'!$R$21*$P$16)/10^6,""),"")</f>
        <v>183.51904198609043</v>
      </c>
      <c r="Q68" s="259"/>
      <c r="R68" s="245" t="str">
        <f t="shared" si="8"/>
        <v/>
      </c>
      <c r="T68" s="180" t="str">
        <f t="shared" si="2"/>
        <v/>
      </c>
      <c r="U68" s="180" t="str">
        <f t="shared" si="3"/>
        <v/>
      </c>
      <c r="V68" s="177"/>
      <c r="X68" s="180">
        <f t="shared" si="4"/>
        <v>183.51904198609043</v>
      </c>
      <c r="Y68" s="180">
        <f t="shared" si="5"/>
        <v>0</v>
      </c>
    </row>
    <row r="69" spans="1:25" ht="15.6" x14ac:dyDescent="0.3">
      <c r="A69" s="152">
        <v>2057</v>
      </c>
      <c r="B69" s="178">
        <f t="shared" si="0"/>
        <v>3602841318871.6743</v>
      </c>
      <c r="C69" s="182">
        <f t="shared" si="9"/>
        <v>240192143620.45166</v>
      </c>
      <c r="D69" s="183"/>
      <c r="E69" s="179">
        <f t="shared" si="6"/>
        <v>1620036145989.4182</v>
      </c>
      <c r="F69" s="183">
        <f t="shared" si="10"/>
        <v>94416910063.034912</v>
      </c>
      <c r="G69" s="247">
        <f t="shared" si="1"/>
        <v>0.1491561708399276</v>
      </c>
      <c r="H69" s="246">
        <f t="shared" ca="1" si="7"/>
        <v>114394956527.25052</v>
      </c>
      <c r="J69" s="182"/>
      <c r="K69" s="182"/>
      <c r="L69" s="182"/>
      <c r="M69" s="182"/>
      <c r="N69" s="163"/>
      <c r="O69" s="259" t="str">
        <f>IF($O$24="Y",IFERROR(E69*$E$6*$O$16*'Emissions Factors'!B54,""),"")</f>
        <v/>
      </c>
      <c r="P69" s="259">
        <f>IF($P$24="Y",IFERROR($E69*('Emissions Factors'!$R$21*$P$16)/10^6,""),"")</f>
        <v>194.8765946925713</v>
      </c>
      <c r="Q69" s="259"/>
      <c r="R69" s="245" t="str">
        <f t="shared" si="8"/>
        <v/>
      </c>
      <c r="T69" s="180" t="str">
        <f t="shared" si="2"/>
        <v/>
      </c>
      <c r="U69" s="180" t="str">
        <f t="shared" si="3"/>
        <v/>
      </c>
      <c r="V69" s="177"/>
      <c r="X69" s="180">
        <f t="shared" si="4"/>
        <v>194.8765946925713</v>
      </c>
      <c r="Y69" s="180">
        <f t="shared" si="5"/>
        <v>0</v>
      </c>
    </row>
    <row r="70" spans="1:25" ht="15.6" x14ac:dyDescent="0.3">
      <c r="A70" s="152">
        <v>2058</v>
      </c>
      <c r="B70" s="178">
        <f t="shared" si="0"/>
        <v>3856506864837.2495</v>
      </c>
      <c r="C70" s="182">
        <f t="shared" si="9"/>
        <v>253665545965.5752</v>
      </c>
      <c r="D70" s="183"/>
      <c r="E70" s="179">
        <f t="shared" si="6"/>
        <v>1720489140193.1804</v>
      </c>
      <c r="F70" s="183">
        <f t="shared" si="10"/>
        <v>100452994203.76221</v>
      </c>
      <c r="G70" s="247">
        <f t="shared" si="1"/>
        <v>0.14830164221078854</v>
      </c>
      <c r="H70" s="246">
        <f t="shared" ca="1" si="7"/>
        <v>121488090875.72131</v>
      </c>
      <c r="J70" s="182"/>
      <c r="K70" s="182"/>
      <c r="L70" s="182"/>
      <c r="M70" s="182"/>
      <c r="N70" s="163"/>
      <c r="O70" s="259" t="str">
        <f>IF($O$24="Y",IFERROR(E70*$E$6*$O$16*'Emissions Factors'!B55,""),"")</f>
        <v/>
      </c>
      <c r="P70" s="259">
        <f>IF($P$24="Y",IFERROR($E70*('Emissions Factors'!$R$21*$P$16)/10^6,""),"")</f>
        <v>206.96023707645529</v>
      </c>
      <c r="Q70" s="259"/>
      <c r="R70" s="245" t="str">
        <f t="shared" si="8"/>
        <v/>
      </c>
      <c r="T70" s="180" t="str">
        <f t="shared" si="2"/>
        <v/>
      </c>
      <c r="U70" s="180" t="str">
        <f t="shared" si="3"/>
        <v/>
      </c>
      <c r="V70" s="177"/>
      <c r="X70" s="180">
        <f t="shared" si="4"/>
        <v>206.96023707645529</v>
      </c>
      <c r="Y70" s="180">
        <f t="shared" si="5"/>
        <v>0</v>
      </c>
    </row>
    <row r="71" spans="1:25" ht="15.6" x14ac:dyDescent="0.3">
      <c r="A71" s="152">
        <v>2059</v>
      </c>
      <c r="B71" s="178">
        <f t="shared" si="0"/>
        <v>4123937013592.4629</v>
      </c>
      <c r="C71" s="182">
        <f t="shared" si="9"/>
        <v>267430148755.21338</v>
      </c>
      <c r="D71" s="183"/>
      <c r="E71" s="179">
        <f t="shared" si="6"/>
        <v>1827207046713.5317</v>
      </c>
      <c r="F71" s="183">
        <f t="shared" si="10"/>
        <v>106717906520.35132</v>
      </c>
      <c r="G71" s="247">
        <f t="shared" si="1"/>
        <v>0.14755943146765554</v>
      </c>
      <c r="H71" s="246">
        <f t="shared" ca="1" si="7"/>
        <v>129023599939.80104</v>
      </c>
      <c r="J71" s="182"/>
      <c r="K71" s="182"/>
      <c r="L71" s="182"/>
      <c r="M71" s="182"/>
      <c r="N71" s="163"/>
      <c r="O71" s="259" t="str">
        <f>IF($O$24="Y",IFERROR(E71*$E$6*$O$16*'Emissions Factors'!B56,""),"")</f>
        <v/>
      </c>
      <c r="P71" s="259">
        <f>IF($P$24="Y",IFERROR($E71*('Emissions Factors'!$R$21*$P$16)/10^6,""),"")</f>
        <v>219.79749522460901</v>
      </c>
      <c r="Q71" s="259"/>
      <c r="R71" s="245" t="str">
        <f t="shared" si="8"/>
        <v/>
      </c>
      <c r="T71" s="180" t="str">
        <f t="shared" si="2"/>
        <v/>
      </c>
      <c r="U71" s="180" t="str">
        <f t="shared" si="3"/>
        <v/>
      </c>
      <c r="V71" s="177"/>
      <c r="X71" s="180">
        <f t="shared" si="4"/>
        <v>219.79749522460901</v>
      </c>
      <c r="Y71" s="180">
        <f t="shared" si="5"/>
        <v>0</v>
      </c>
    </row>
    <row r="72" spans="1:25" ht="15.6" x14ac:dyDescent="0.3">
      <c r="A72" s="152">
        <v>2060</v>
      </c>
      <c r="B72" s="178">
        <f t="shared" si="0"/>
        <v>4401750578226.999</v>
      </c>
      <c r="C72" s="182">
        <f t="shared" si="9"/>
        <v>277813564634.53613</v>
      </c>
      <c r="D72" s="183"/>
      <c r="E72" s="179">
        <f t="shared" si="6"/>
        <v>1944924077194.4524</v>
      </c>
      <c r="F72" s="183">
        <f t="shared" si="10"/>
        <v>117717030480.92065</v>
      </c>
      <c r="G72" s="247">
        <f t="shared" si="1"/>
        <v>0.14726179653921198</v>
      </c>
      <c r="H72" s="246">
        <f t="shared" ca="1" si="7"/>
        <v>137335773398.86682</v>
      </c>
      <c r="J72" s="182"/>
      <c r="K72" s="182"/>
      <c r="L72" s="182"/>
      <c r="M72" s="182"/>
      <c r="N72" s="163"/>
      <c r="O72" s="259" t="str">
        <f>IF($O$24="Y",IFERROR(E72*$E$6*$O$16*'Emissions Factors'!B57,""),"")</f>
        <v/>
      </c>
      <c r="P72" s="259">
        <f>IF($P$24="Y",IFERROR($E72*('Emissions Factors'!$R$21*$P$16)/10^6,""),"")</f>
        <v>233.95785460562328</v>
      </c>
      <c r="Q72" s="259"/>
      <c r="R72" s="245" t="str">
        <f t="shared" si="8"/>
        <v/>
      </c>
      <c r="T72" s="180" t="str">
        <f t="shared" si="2"/>
        <v/>
      </c>
      <c r="U72" s="180" t="str">
        <f t="shared" si="3"/>
        <v/>
      </c>
      <c r="V72" s="177"/>
      <c r="X72" s="180">
        <f t="shared" si="4"/>
        <v>233.95785460562328</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53.4" thickBot="1" x14ac:dyDescent="0.3">
      <c r="A84" s="189"/>
      <c r="B84" s="190" t="s">
        <v>4</v>
      </c>
      <c r="C84" s="191" t="s">
        <v>5</v>
      </c>
      <c r="D84" s="191" t="str">
        <f>D136</f>
        <v>Non OECD Region (less China, Mexico, Brazil, Russia)</v>
      </c>
      <c r="E84" s="191"/>
      <c r="F84" s="191"/>
      <c r="G84" s="191"/>
      <c r="H84" s="191"/>
      <c r="I84" s="191"/>
      <c r="J84" s="191"/>
      <c r="K84" s="192"/>
      <c r="N84" s="193" t="str">
        <f>D84</f>
        <v>Non OECD Region (less China, Mexico, Brazil, Russia)</v>
      </c>
      <c r="O84" s="193"/>
      <c r="P84" s="193" t="str">
        <f>C84</f>
        <v>OECD90</v>
      </c>
      <c r="Q84" s="193" t="s">
        <v>235</v>
      </c>
      <c r="R84" s="193" t="str">
        <f>CONCATENATE("% ",$N$84)</f>
        <v>% Non OECD Region (less China, Mexico, Brazil, Russia)</v>
      </c>
      <c r="U84" s="193" t="str">
        <f>N84</f>
        <v>Non OECD Region (less China, Mexico, Brazil, Russia)</v>
      </c>
      <c r="V84" s="193" t="s">
        <v>10</v>
      </c>
      <c r="W84" s="193" t="str">
        <f>P84</f>
        <v>OECD90</v>
      </c>
      <c r="X84" s="193" t="s">
        <v>235</v>
      </c>
      <c r="Y84" s="193" t="str">
        <f>R84</f>
        <v>% Non OECD Region (less China, Mexico, Brazil, Russia)</v>
      </c>
    </row>
    <row r="85" spans="1:35" ht="15.6" x14ac:dyDescent="0.3">
      <c r="A85" s="194">
        <v>2014</v>
      </c>
      <c r="B85" s="253">
        <f>(B137/Population_Tables!O3)*Population_Tables!C3</f>
        <v>27598183977088.492</v>
      </c>
      <c r="C85" s="253">
        <f>(C137/Population_Tables!P3)*Population_Tables!D3</f>
        <v>17944221871904.836</v>
      </c>
      <c r="D85" s="253">
        <f>(D137/Population_Tables!Q3)*Population_Tables!E3</f>
        <v>18368056852998.395</v>
      </c>
      <c r="E85" s="253">
        <f>(E137/Population_Tables!R3)*Population_Tables!F3</f>
        <v>0</v>
      </c>
      <c r="F85" s="253">
        <f>(F137/Population_Tables!S3)*Population_Tables!G3</f>
        <v>0</v>
      </c>
      <c r="G85" s="253">
        <f>(G137/Population_Tables!T3)*Population_Tables!H3</f>
        <v>0</v>
      </c>
      <c r="H85" s="253">
        <f>(H137/Population_Tables!U3)*Population_Tables!I3</f>
        <v>0</v>
      </c>
      <c r="I85" s="253">
        <f>(I137/Population_Tables!V3)*Population_Tables!J3</f>
        <v>0</v>
      </c>
      <c r="J85" s="253">
        <f>(J137/Population_Tables!W3)*Population_Tables!K3</f>
        <v>0</v>
      </c>
      <c r="K85" s="253">
        <f>(K137/Population_Tables!X3)*Population_Tables!L3</f>
        <v>0</v>
      </c>
      <c r="N85" s="195">
        <f>D85</f>
        <v>18368056852998.395</v>
      </c>
      <c r="O85" s="195">
        <f>H85</f>
        <v>0</v>
      </c>
      <c r="P85" s="195">
        <f>C85</f>
        <v>17944221871904.836</v>
      </c>
      <c r="Q85" s="195">
        <f>N85+P85+O85</f>
        <v>36312278724903.234</v>
      </c>
      <c r="R85" s="196">
        <f>N85/Q85</f>
        <v>0.50583597333982355</v>
      </c>
      <c r="U85" s="197">
        <v>0</v>
      </c>
      <c r="V85" s="195">
        <f>O85-O137</f>
        <v>0</v>
      </c>
      <c r="W85" s="197">
        <v>0</v>
      </c>
      <c r="X85" s="195">
        <f>U85+V85+W85</f>
        <v>0</v>
      </c>
      <c r="Y85" s="196">
        <v>0</v>
      </c>
      <c r="AC85" s="251" t="e">
        <f>(B85-B137)/((SUM(C85:G85)-SUM(C137:G137)))</f>
        <v>#DIV/0!</v>
      </c>
      <c r="AF85" s="250">
        <f>B85</f>
        <v>27598183977088.492</v>
      </c>
      <c r="AG85" s="250">
        <f>SUM(C85:G85)</f>
        <v>36312278724903.234</v>
      </c>
      <c r="AH85" s="250">
        <f>AG85-AF85</f>
        <v>8714094747814.7422</v>
      </c>
      <c r="AI85" s="251">
        <f>AH85/AG85</f>
        <v>0.23997653283704695</v>
      </c>
    </row>
    <row r="86" spans="1:35" ht="15.6" x14ac:dyDescent="0.3">
      <c r="A86" s="194">
        <v>2015</v>
      </c>
      <c r="B86" s="253">
        <f>(B138/Population_Tables!O4)*Population_Tables!C4</f>
        <v>29094641201077.613</v>
      </c>
      <c r="C86" s="253">
        <f>(C138/Population_Tables!P4)*Population_Tables!D4</f>
        <v>18025401562858.074</v>
      </c>
      <c r="D86" s="253">
        <f>(D138/Population_Tables!Q4)*Population_Tables!E4</f>
        <v>18978853431504.145</v>
      </c>
      <c r="E86" s="253">
        <f>(E138/Population_Tables!R4)*Population_Tables!F4</f>
        <v>0</v>
      </c>
      <c r="F86" s="253">
        <f>(F138/Population_Tables!S4)*Population_Tables!G4</f>
        <v>0</v>
      </c>
      <c r="G86" s="253">
        <f>(G138/Population_Tables!T4)*Population_Tables!H4</f>
        <v>0</v>
      </c>
      <c r="H86" s="253">
        <f>(H138/Population_Tables!U4)*Population_Tables!I4</f>
        <v>0</v>
      </c>
      <c r="I86" s="253">
        <f>(I138/Population_Tables!V4)*Population_Tables!J4</f>
        <v>0</v>
      </c>
      <c r="J86" s="253">
        <f>(J138/Population_Tables!W4)*Population_Tables!K4</f>
        <v>0</v>
      </c>
      <c r="K86" s="253">
        <f>(K138/Population_Tables!X4)*Population_Tables!L4</f>
        <v>0</v>
      </c>
      <c r="N86" s="195">
        <f t="shared" ref="N86:N131" si="11">D86</f>
        <v>18978853431504.145</v>
      </c>
      <c r="O86" s="195">
        <f t="shared" ref="O86:O131" si="12">H86</f>
        <v>0</v>
      </c>
      <c r="P86" s="195">
        <f t="shared" ref="P86:P131" si="13">C86</f>
        <v>18025401562858.074</v>
      </c>
      <c r="Q86" s="195">
        <f t="shared" ref="Q86:Q131" si="14">N86+P86+O86</f>
        <v>37004254994362.219</v>
      </c>
      <c r="R86" s="196">
        <f t="shared" ref="R86:R130" si="15">N86/Q86</f>
        <v>0.51288300316803204</v>
      </c>
      <c r="U86" s="197">
        <v>0</v>
      </c>
      <c r="V86" s="195">
        <f t="shared" ref="V86:W131" si="16">O86-O138</f>
        <v>0</v>
      </c>
      <c r="W86" s="197">
        <v>0</v>
      </c>
      <c r="X86" s="195">
        <f>U86+V86+W86</f>
        <v>0</v>
      </c>
      <c r="Y86" s="196">
        <v>0</v>
      </c>
      <c r="AC86" s="251" t="e">
        <f t="shared" ref="AC86:AC131" si="17">(B86-B138)/((SUM(C86:G86)-SUM(C138:G138)))</f>
        <v>#DIV/0!</v>
      </c>
    </row>
    <row r="87" spans="1:35" ht="15.6" x14ac:dyDescent="0.3">
      <c r="A87" s="194">
        <v>2016</v>
      </c>
      <c r="B87" s="253">
        <f>(B139/Population_Tables!O5)*Population_Tables!C5</f>
        <v>30152871661233.938</v>
      </c>
      <c r="C87" s="253">
        <f>(C139/Population_Tables!P5)*Population_Tables!D5</f>
        <v>18154129849832.75</v>
      </c>
      <c r="D87" s="253">
        <f>(D139/Population_Tables!Q5)*Population_Tables!E5</f>
        <v>19627894279113.238</v>
      </c>
      <c r="E87" s="253">
        <f>(E139/Population_Tables!R5)*Population_Tables!F5</f>
        <v>0</v>
      </c>
      <c r="F87" s="253">
        <f>(F139/Population_Tables!S5)*Population_Tables!G5</f>
        <v>0</v>
      </c>
      <c r="G87" s="253">
        <f>(G139/Population_Tables!T5)*Population_Tables!H5</f>
        <v>0</v>
      </c>
      <c r="H87" s="253">
        <f>(H139/Population_Tables!U5)*Population_Tables!I5</f>
        <v>0</v>
      </c>
      <c r="I87" s="253">
        <f>(I139/Population_Tables!V5)*Population_Tables!J5</f>
        <v>0</v>
      </c>
      <c r="J87" s="253">
        <f>(J139/Population_Tables!W5)*Population_Tables!K5</f>
        <v>0</v>
      </c>
      <c r="K87" s="253">
        <f>(K139/Population_Tables!X5)*Population_Tables!L5</f>
        <v>0</v>
      </c>
      <c r="N87" s="195">
        <f t="shared" si="11"/>
        <v>19627894279113.238</v>
      </c>
      <c r="O87" s="195">
        <f t="shared" si="12"/>
        <v>0</v>
      </c>
      <c r="P87" s="195">
        <f t="shared" si="13"/>
        <v>18154129849832.75</v>
      </c>
      <c r="Q87" s="195">
        <f t="shared" si="14"/>
        <v>37782024128945.984</v>
      </c>
      <c r="R87" s="196">
        <f t="shared" si="15"/>
        <v>0.51950351342017431</v>
      </c>
      <c r="U87" s="195">
        <f>N87-N139</f>
        <v>0</v>
      </c>
      <c r="V87" s="195">
        <f>O87-O139</f>
        <v>0</v>
      </c>
      <c r="W87" s="195">
        <f>P87-P139</f>
        <v>0</v>
      </c>
      <c r="X87" s="195">
        <f>U87+V87+W87</f>
        <v>0</v>
      </c>
      <c r="Y87" s="196" t="e">
        <f t="shared" ref="Y87:Y131" si="18">U87/X87</f>
        <v>#DIV/0!</v>
      </c>
      <c r="AC87" s="251" t="e">
        <f>(B87-B139)/((SUM(C87:G87)-SUM(C139:G139)))</f>
        <v>#DIV/0!</v>
      </c>
    </row>
    <row r="88" spans="1:35" ht="15.6" x14ac:dyDescent="0.3">
      <c r="A88" s="194">
        <v>2017</v>
      </c>
      <c r="B88" s="253">
        <f>(B140/Population_Tables!O6)*Population_Tables!C6</f>
        <v>31206669828913.449</v>
      </c>
      <c r="C88" s="253">
        <f>(C140/Population_Tables!P6)*Population_Tables!D6</f>
        <v>18287059411625.629</v>
      </c>
      <c r="D88" s="253">
        <f>(D140/Population_Tables!Q6)*Population_Tables!E6</f>
        <v>20323118928738.949</v>
      </c>
      <c r="E88" s="253">
        <f>(E140/Population_Tables!R6)*Population_Tables!F6</f>
        <v>0</v>
      </c>
      <c r="F88" s="253">
        <f>(F140/Population_Tables!S6)*Population_Tables!G6</f>
        <v>0</v>
      </c>
      <c r="G88" s="253">
        <f>(G140/Population_Tables!T6)*Population_Tables!H6</f>
        <v>0</v>
      </c>
      <c r="H88" s="253">
        <f>(H140/Population_Tables!U6)*Population_Tables!I6</f>
        <v>0</v>
      </c>
      <c r="I88" s="253">
        <f>(I140/Population_Tables!V6)*Population_Tables!J6</f>
        <v>0</v>
      </c>
      <c r="J88" s="253">
        <f>(J140/Population_Tables!W6)*Population_Tables!K6</f>
        <v>0</v>
      </c>
      <c r="K88" s="253">
        <f>(K140/Population_Tables!X6)*Population_Tables!L6</f>
        <v>0</v>
      </c>
      <c r="N88" s="195">
        <f t="shared" si="11"/>
        <v>20323118928738.949</v>
      </c>
      <c r="O88" s="195">
        <f>H88</f>
        <v>0</v>
      </c>
      <c r="P88" s="195">
        <f t="shared" si="13"/>
        <v>18287059411625.629</v>
      </c>
      <c r="Q88" s="195">
        <f t="shared" si="14"/>
        <v>38610178340364.578</v>
      </c>
      <c r="R88" s="196">
        <f t="shared" si="15"/>
        <v>0.52636687532448856</v>
      </c>
      <c r="U88" s="195">
        <f>N88-N140</f>
        <v>0</v>
      </c>
      <c r="V88" s="195">
        <f t="shared" si="16"/>
        <v>0</v>
      </c>
      <c r="W88" s="195">
        <f t="shared" si="16"/>
        <v>0</v>
      </c>
      <c r="X88" s="195">
        <f t="shared" ref="X88:X131" si="19">U88+V88+W88</f>
        <v>0</v>
      </c>
      <c r="Y88" s="196" t="e">
        <f t="shared" si="18"/>
        <v>#DIV/0!</v>
      </c>
      <c r="AC88" s="251" t="e">
        <f t="shared" si="17"/>
        <v>#DIV/0!</v>
      </c>
    </row>
    <row r="89" spans="1:35" ht="15.6" x14ac:dyDescent="0.3">
      <c r="A89" s="194">
        <v>2018</v>
      </c>
      <c r="B89" s="253">
        <f>(B141/Population_Tables!O7)*Population_Tables!C7</f>
        <v>32257548349485.918</v>
      </c>
      <c r="C89" s="253">
        <f>(C141/Population_Tables!P7)*Population_Tables!D7</f>
        <v>18424023527444.137</v>
      </c>
      <c r="D89" s="253">
        <f>(D141/Population_Tables!Q7)*Population_Tables!E7</f>
        <v>21062266542630.672</v>
      </c>
      <c r="E89" s="253">
        <f>(E141/Population_Tables!R7)*Population_Tables!F7</f>
        <v>0</v>
      </c>
      <c r="F89" s="253">
        <f>(F141/Population_Tables!S7)*Population_Tables!G7</f>
        <v>0</v>
      </c>
      <c r="G89" s="253">
        <f>(G141/Population_Tables!T7)*Population_Tables!H7</f>
        <v>0</v>
      </c>
      <c r="H89" s="253">
        <f>(H141/Population_Tables!U7)*Population_Tables!I7</f>
        <v>0</v>
      </c>
      <c r="I89" s="253">
        <f>(I141/Population_Tables!V7)*Population_Tables!J7</f>
        <v>0</v>
      </c>
      <c r="J89" s="253">
        <f>(J141/Population_Tables!W7)*Population_Tables!K7</f>
        <v>0</v>
      </c>
      <c r="K89" s="253">
        <f>(K141/Population_Tables!X7)*Population_Tables!L7</f>
        <v>0</v>
      </c>
      <c r="N89" s="195">
        <f t="shared" si="11"/>
        <v>21062266542630.672</v>
      </c>
      <c r="O89" s="195">
        <f t="shared" si="12"/>
        <v>0</v>
      </c>
      <c r="P89" s="195">
        <f t="shared" si="13"/>
        <v>18424023527444.137</v>
      </c>
      <c r="Q89" s="195">
        <f t="shared" si="14"/>
        <v>39486290070074.813</v>
      </c>
      <c r="R89" s="196">
        <f t="shared" si="15"/>
        <v>0.53340707636124518</v>
      </c>
      <c r="U89" s="195">
        <f t="shared" ref="U89:U131" si="20">N89-N141</f>
        <v>0</v>
      </c>
      <c r="V89" s="195">
        <f t="shared" si="16"/>
        <v>0</v>
      </c>
      <c r="W89" s="195">
        <f t="shared" si="16"/>
        <v>0</v>
      </c>
      <c r="X89" s="195">
        <f t="shared" si="19"/>
        <v>0</v>
      </c>
      <c r="Y89" s="196" t="e">
        <f t="shared" si="18"/>
        <v>#DIV/0!</v>
      </c>
      <c r="AC89" s="251" t="e">
        <f t="shared" si="17"/>
        <v>#DIV/0!</v>
      </c>
    </row>
    <row r="90" spans="1:35" ht="16.2" thickBot="1" x14ac:dyDescent="0.35">
      <c r="A90" s="198">
        <v>2019</v>
      </c>
      <c r="B90" s="253">
        <f>(B142/Population_Tables!O8)*Population_Tables!C8</f>
        <v>33307019616508.184</v>
      </c>
      <c r="C90" s="253">
        <f>(C142/Population_Tables!P8)*Population_Tables!D8</f>
        <v>18564855476495.68</v>
      </c>
      <c r="D90" s="253">
        <f>(D142/Population_Tables!Q8)*Population_Tables!E8</f>
        <v>21843076283037.773</v>
      </c>
      <c r="E90" s="253">
        <f>(E142/Population_Tables!R8)*Population_Tables!F8</f>
        <v>0</v>
      </c>
      <c r="F90" s="253">
        <f>(F142/Population_Tables!S8)*Population_Tables!G8</f>
        <v>0</v>
      </c>
      <c r="G90" s="253">
        <f>(G142/Population_Tables!T8)*Population_Tables!H8</f>
        <v>0</v>
      </c>
      <c r="H90" s="253">
        <f>(H142/Population_Tables!U8)*Population_Tables!I8</f>
        <v>0</v>
      </c>
      <c r="I90" s="253">
        <f>(I142/Population_Tables!V8)*Population_Tables!J8</f>
        <v>0</v>
      </c>
      <c r="J90" s="253">
        <f>(J142/Population_Tables!W8)*Population_Tables!K8</f>
        <v>0</v>
      </c>
      <c r="K90" s="253">
        <f>(K142/Population_Tables!X8)*Population_Tables!L8</f>
        <v>0</v>
      </c>
      <c r="N90" s="195">
        <f t="shared" si="11"/>
        <v>21843076283037.773</v>
      </c>
      <c r="O90" s="195">
        <f t="shared" si="12"/>
        <v>0</v>
      </c>
      <c r="P90" s="195">
        <f t="shared" si="13"/>
        <v>18564855476495.68</v>
      </c>
      <c r="Q90" s="195">
        <f t="shared" si="14"/>
        <v>40407931759533.453</v>
      </c>
      <c r="R90" s="199">
        <f t="shared" si="15"/>
        <v>0.54056407571229703</v>
      </c>
      <c r="U90" s="200">
        <f t="shared" si="20"/>
        <v>0</v>
      </c>
      <c r="V90" s="195">
        <f t="shared" si="16"/>
        <v>0</v>
      </c>
      <c r="W90" s="200">
        <f t="shared" si="16"/>
        <v>0</v>
      </c>
      <c r="X90" s="195">
        <f t="shared" si="19"/>
        <v>0</v>
      </c>
      <c r="Y90" s="199" t="e">
        <f t="shared" si="18"/>
        <v>#DIV/0!</v>
      </c>
      <c r="AC90" s="251" t="e">
        <f t="shared" si="17"/>
        <v>#DIV/0!</v>
      </c>
    </row>
    <row r="91" spans="1:35" ht="15.6" x14ac:dyDescent="0.3">
      <c r="A91" s="201">
        <v>2020</v>
      </c>
      <c r="B91" s="253">
        <f>(B143/Population_Tables!O9)*Population_Tables!C9</f>
        <v>34356596261817.32</v>
      </c>
      <c r="C91" s="253">
        <f>(C143/Population_Tables!P9)*Population_Tables!D9</f>
        <v>18709388537987.672</v>
      </c>
      <c r="D91" s="253">
        <f>(D143/Population_Tables!Q9)*Population_Tables!E9</f>
        <v>22663287312209.648</v>
      </c>
      <c r="E91" s="253">
        <f>(E143/Population_Tables!R9)*Population_Tables!F9</f>
        <v>0</v>
      </c>
      <c r="F91" s="253">
        <f>(F143/Population_Tables!S9)*Population_Tables!G9</f>
        <v>0</v>
      </c>
      <c r="G91" s="253">
        <f>(G143/Population_Tables!T9)*Population_Tables!H9</f>
        <v>0</v>
      </c>
      <c r="H91" s="253">
        <f>(H143/Population_Tables!U9)*Population_Tables!I9</f>
        <v>0</v>
      </c>
      <c r="I91" s="253">
        <f>(I143/Population_Tables!V9)*Population_Tables!J9</f>
        <v>0</v>
      </c>
      <c r="J91" s="253">
        <f>(J143/Population_Tables!W9)*Population_Tables!K9</f>
        <v>0</v>
      </c>
      <c r="K91" s="253">
        <f>(K143/Population_Tables!X9)*Population_Tables!L9</f>
        <v>0</v>
      </c>
      <c r="L91" s="202"/>
      <c r="M91" s="202"/>
      <c r="N91" s="195">
        <f t="shared" si="11"/>
        <v>22663287312209.648</v>
      </c>
      <c r="O91" s="195">
        <f t="shared" si="12"/>
        <v>0</v>
      </c>
      <c r="P91" s="195">
        <f t="shared" si="13"/>
        <v>18709388537987.672</v>
      </c>
      <c r="Q91" s="195">
        <f t="shared" si="14"/>
        <v>41372675850197.32</v>
      </c>
      <c r="R91" s="203">
        <f t="shared" si="15"/>
        <v>0.54778393822698701</v>
      </c>
      <c r="S91" s="202"/>
      <c r="T91" s="202"/>
      <c r="U91" s="204">
        <f>N91-N143</f>
        <v>0</v>
      </c>
      <c r="V91" s="195">
        <f t="shared" si="16"/>
        <v>0</v>
      </c>
      <c r="W91" s="204">
        <f t="shared" si="16"/>
        <v>0</v>
      </c>
      <c r="X91" s="195">
        <f t="shared" si="19"/>
        <v>0</v>
      </c>
      <c r="Y91" s="205" t="e">
        <f>U91/X91</f>
        <v>#DIV/0!</v>
      </c>
      <c r="AC91" s="251" t="e">
        <f t="shared" si="17"/>
        <v>#DIV/0!</v>
      </c>
    </row>
    <row r="92" spans="1:35" ht="15.6" x14ac:dyDescent="0.3">
      <c r="A92" s="206">
        <v>2021</v>
      </c>
      <c r="B92" s="253">
        <f>(B144/Population_Tables!O10)*Population_Tables!C10</f>
        <v>35452616348167.305</v>
      </c>
      <c r="C92" s="253">
        <f>(C144/Population_Tables!P10)*Population_Tables!D10</f>
        <v>18877015491428.137</v>
      </c>
      <c r="D92" s="253">
        <f>(D144/Population_Tables!Q10)*Population_Tables!E10</f>
        <v>23548542813863.895</v>
      </c>
      <c r="E92" s="253">
        <f>(E144/Population_Tables!R10)*Population_Tables!F10</f>
        <v>0</v>
      </c>
      <c r="F92" s="253">
        <f>(F144/Population_Tables!S10)*Population_Tables!G10</f>
        <v>0</v>
      </c>
      <c r="G92" s="253">
        <f>(G144/Population_Tables!T10)*Population_Tables!H10</f>
        <v>0</v>
      </c>
      <c r="H92" s="253">
        <f>(H144/Population_Tables!U10)*Population_Tables!I10</f>
        <v>0</v>
      </c>
      <c r="I92" s="253">
        <f>(I144/Population_Tables!V10)*Population_Tables!J10</f>
        <v>0</v>
      </c>
      <c r="J92" s="253">
        <f>(J144/Population_Tables!W10)*Population_Tables!K10</f>
        <v>0</v>
      </c>
      <c r="K92" s="253">
        <f>(K144/Population_Tables!X10)*Population_Tables!L10</f>
        <v>0</v>
      </c>
      <c r="L92" s="170"/>
      <c r="M92" s="170"/>
      <c r="N92" s="195">
        <f t="shared" si="11"/>
        <v>23548542813863.895</v>
      </c>
      <c r="O92" s="195">
        <f t="shared" si="12"/>
        <v>0</v>
      </c>
      <c r="P92" s="195">
        <f t="shared" si="13"/>
        <v>18877015491428.137</v>
      </c>
      <c r="Q92" s="195">
        <f t="shared" si="14"/>
        <v>42425558305292.031</v>
      </c>
      <c r="R92" s="196">
        <f t="shared" si="15"/>
        <v>0.55505557863045307</v>
      </c>
      <c r="S92" s="170"/>
      <c r="T92" s="170"/>
      <c r="U92" s="195">
        <f t="shared" si="20"/>
        <v>27904021468.207031</v>
      </c>
      <c r="V92" s="195">
        <f t="shared" si="16"/>
        <v>0</v>
      </c>
      <c r="W92" s="195">
        <f t="shared" si="16"/>
        <v>19559500300.597656</v>
      </c>
      <c r="X92" s="195">
        <f t="shared" si="19"/>
        <v>47463521768.804688</v>
      </c>
      <c r="Y92" s="207">
        <f t="shared" si="18"/>
        <v>0.58790457236038685</v>
      </c>
      <c r="AC92" s="251">
        <f t="shared" si="17"/>
        <v>0.94336862597082116</v>
      </c>
    </row>
    <row r="93" spans="1:35" ht="15.6" x14ac:dyDescent="0.3">
      <c r="A93" s="206">
        <v>2022</v>
      </c>
      <c r="B93" s="253">
        <f>(B145/Population_Tables!O11)*Population_Tables!C11</f>
        <v>36565306891536.242</v>
      </c>
      <c r="C93" s="253">
        <f>(C145/Population_Tables!P11)*Population_Tables!D11</f>
        <v>19053771978529</v>
      </c>
      <c r="D93" s="253">
        <f>(D145/Population_Tables!Q11)*Population_Tables!E11</f>
        <v>24475729618471.891</v>
      </c>
      <c r="E93" s="253">
        <f>(E145/Population_Tables!R11)*Population_Tables!F11</f>
        <v>0</v>
      </c>
      <c r="F93" s="253">
        <f>(F145/Population_Tables!S11)*Population_Tables!G11</f>
        <v>0</v>
      </c>
      <c r="G93" s="253">
        <f>(G145/Population_Tables!T11)*Population_Tables!H11</f>
        <v>0</v>
      </c>
      <c r="H93" s="253">
        <f>(H145/Population_Tables!U11)*Population_Tables!I11</f>
        <v>0</v>
      </c>
      <c r="I93" s="253">
        <f>(I145/Population_Tables!V11)*Population_Tables!J11</f>
        <v>0</v>
      </c>
      <c r="J93" s="253">
        <f>(J145/Population_Tables!W11)*Population_Tables!K11</f>
        <v>0</v>
      </c>
      <c r="K93" s="253">
        <f>(K145/Population_Tables!X11)*Population_Tables!L11</f>
        <v>0</v>
      </c>
      <c r="L93" s="170"/>
      <c r="M93" s="170"/>
      <c r="N93" s="195">
        <f t="shared" si="11"/>
        <v>24475729618471.891</v>
      </c>
      <c r="O93" s="195">
        <f t="shared" si="12"/>
        <v>0</v>
      </c>
      <c r="P93" s="195">
        <f t="shared" si="13"/>
        <v>19053771978529</v>
      </c>
      <c r="Q93" s="195">
        <f t="shared" si="14"/>
        <v>43529501597000.891</v>
      </c>
      <c r="R93" s="196">
        <f t="shared" si="15"/>
        <v>0.56227911463517022</v>
      </c>
      <c r="S93" s="170"/>
      <c r="T93" s="170"/>
      <c r="U93" s="195">
        <f t="shared" si="20"/>
        <v>62859732626.632813</v>
      </c>
      <c r="V93" s="195">
        <f t="shared" si="16"/>
        <v>0</v>
      </c>
      <c r="W93" s="195">
        <f t="shared" si="16"/>
        <v>44880863406.320313</v>
      </c>
      <c r="X93" s="195">
        <f t="shared" si="19"/>
        <v>107740596032.95313</v>
      </c>
      <c r="Y93" s="207">
        <f t="shared" si="18"/>
        <v>0.58343590940787793</v>
      </c>
      <c r="AC93" s="251">
        <f t="shared" si="17"/>
        <v>0.95730373201036534</v>
      </c>
    </row>
    <row r="94" spans="1:35" ht="15.6" x14ac:dyDescent="0.3">
      <c r="A94" s="206">
        <v>2023</v>
      </c>
      <c r="B94" s="253">
        <f>(B146/Population_Tables!O12)*Population_Tables!C12</f>
        <v>37695257812009.195</v>
      </c>
      <c r="C94" s="253">
        <f>(C146/Population_Tables!P12)*Population_Tables!D12</f>
        <v>19238702483678.504</v>
      </c>
      <c r="D94" s="253">
        <f>(D146/Population_Tables!Q12)*Population_Tables!E12</f>
        <v>25442701724053.828</v>
      </c>
      <c r="E94" s="253">
        <f>(E146/Population_Tables!R12)*Population_Tables!F12</f>
        <v>0</v>
      </c>
      <c r="F94" s="253">
        <f>(F146/Population_Tables!S12)*Population_Tables!G12</f>
        <v>0</v>
      </c>
      <c r="G94" s="253">
        <f>(G146/Population_Tables!T12)*Population_Tables!H12</f>
        <v>0</v>
      </c>
      <c r="H94" s="253">
        <f>(H146/Population_Tables!U12)*Population_Tables!I12</f>
        <v>0</v>
      </c>
      <c r="I94" s="253">
        <f>(I146/Population_Tables!V12)*Population_Tables!J12</f>
        <v>0</v>
      </c>
      <c r="J94" s="253">
        <f>(J146/Population_Tables!W12)*Population_Tables!K12</f>
        <v>0</v>
      </c>
      <c r="K94" s="253">
        <f>(K146/Population_Tables!X12)*Population_Tables!L12</f>
        <v>0</v>
      </c>
      <c r="L94" s="170"/>
      <c r="M94" s="170"/>
      <c r="N94" s="195">
        <f t="shared" si="11"/>
        <v>25442701724053.828</v>
      </c>
      <c r="O94" s="195">
        <f t="shared" si="12"/>
        <v>0</v>
      </c>
      <c r="P94" s="195">
        <f t="shared" si="13"/>
        <v>19238702483678.504</v>
      </c>
      <c r="Q94" s="195">
        <f t="shared" si="14"/>
        <v>44681404207732.328</v>
      </c>
      <c r="R94" s="196">
        <f t="shared" si="15"/>
        <v>0.56942484631337631</v>
      </c>
      <c r="S94" s="170"/>
      <c r="T94" s="170"/>
      <c r="U94" s="195">
        <f>N94-N146</f>
        <v>104981969246.07031</v>
      </c>
      <c r="V94" s="195">
        <f t="shared" si="16"/>
        <v>0</v>
      </c>
      <c r="W94" s="195">
        <f t="shared" si="16"/>
        <v>75175294497.988281</v>
      </c>
      <c r="X94" s="195">
        <f t="shared" si="19"/>
        <v>180157263744.05859</v>
      </c>
      <c r="Y94" s="207">
        <f t="shared" si="18"/>
        <v>0.58272404378439902</v>
      </c>
      <c r="AC94" s="251">
        <f t="shared" si="17"/>
        <v>0.96650186128070203</v>
      </c>
    </row>
    <row r="95" spans="1:35" ht="15.6" x14ac:dyDescent="0.3">
      <c r="A95" s="206">
        <v>2024</v>
      </c>
      <c r="B95" s="253">
        <f>(B147/Population_Tables!O13)*Population_Tables!C13</f>
        <v>38843749973372.063</v>
      </c>
      <c r="C95" s="253">
        <f>(C147/Population_Tables!P13)*Population_Tables!D13</f>
        <v>19431006432775.359</v>
      </c>
      <c r="D95" s="253">
        <f>(D147/Population_Tables!Q13)*Population_Tables!E13</f>
        <v>26447218774646.441</v>
      </c>
      <c r="E95" s="253">
        <f>(E147/Population_Tables!R13)*Population_Tables!F13</f>
        <v>0</v>
      </c>
      <c r="F95" s="253">
        <f>(F147/Population_Tables!S13)*Population_Tables!G13</f>
        <v>0</v>
      </c>
      <c r="G95" s="253">
        <f>(G147/Population_Tables!T13)*Population_Tables!H13</f>
        <v>0</v>
      </c>
      <c r="H95" s="253">
        <f>(H147/Population_Tables!U13)*Population_Tables!I13</f>
        <v>0</v>
      </c>
      <c r="I95" s="253">
        <f>(I147/Population_Tables!V13)*Population_Tables!J13</f>
        <v>0</v>
      </c>
      <c r="J95" s="253">
        <f>(J147/Population_Tables!W13)*Population_Tables!K13</f>
        <v>0</v>
      </c>
      <c r="K95" s="253">
        <f>(K147/Population_Tables!X13)*Population_Tables!L13</f>
        <v>0</v>
      </c>
      <c r="L95" s="170"/>
      <c r="M95" s="170"/>
      <c r="N95" s="195">
        <f t="shared" si="11"/>
        <v>26447218774646.441</v>
      </c>
      <c r="O95" s="195">
        <f t="shared" si="12"/>
        <v>0</v>
      </c>
      <c r="P95" s="195">
        <f t="shared" si="13"/>
        <v>19431006432775.359</v>
      </c>
      <c r="Q95" s="195">
        <f t="shared" si="14"/>
        <v>45878225207421.797</v>
      </c>
      <c r="R95" s="196">
        <f t="shared" si="15"/>
        <v>0.57646560334613883</v>
      </c>
      <c r="S95" s="170"/>
      <c r="T95" s="170"/>
      <c r="U95" s="195">
        <f t="shared" si="20"/>
        <v>154291213113.88281</v>
      </c>
      <c r="V95" s="195">
        <f t="shared" si="16"/>
        <v>0</v>
      </c>
      <c r="W95" s="195">
        <f t="shared" si="16"/>
        <v>109808940266.89453</v>
      </c>
      <c r="X95" s="195">
        <f t="shared" si="19"/>
        <v>264100153380.77734</v>
      </c>
      <c r="Y95" s="207">
        <f t="shared" si="18"/>
        <v>0.58421478041107788</v>
      </c>
      <c r="AC95" s="251">
        <f t="shared" si="17"/>
        <v>0.97496867340284521</v>
      </c>
    </row>
    <row r="96" spans="1:35" ht="15.6" x14ac:dyDescent="0.3">
      <c r="A96" s="206">
        <v>2025</v>
      </c>
      <c r="B96" s="253">
        <f>(B148/Population_Tables!O14)*Population_Tables!C14</f>
        <v>40012215849206.688</v>
      </c>
      <c r="C96" s="253">
        <f>(C148/Population_Tables!P14)*Population_Tables!D14</f>
        <v>19453911576684.234</v>
      </c>
      <c r="D96" s="253">
        <f>(D148/Population_Tables!Q14)*Population_Tables!E14</f>
        <v>27473892768962.086</v>
      </c>
      <c r="E96" s="253">
        <f>(E148/Population_Tables!R14)*Population_Tables!F14</f>
        <v>0</v>
      </c>
      <c r="F96" s="253">
        <f>(F148/Population_Tables!S14)*Population_Tables!G14</f>
        <v>0</v>
      </c>
      <c r="G96" s="253">
        <f>(G148/Population_Tables!T14)*Population_Tables!H14</f>
        <v>0</v>
      </c>
      <c r="H96" s="253">
        <f>(H148/Population_Tables!U14)*Population_Tables!I14</f>
        <v>0</v>
      </c>
      <c r="I96" s="253">
        <f>(I148/Population_Tables!V14)*Population_Tables!J14</f>
        <v>0</v>
      </c>
      <c r="J96" s="253">
        <f>(J148/Population_Tables!W14)*Population_Tables!K14</f>
        <v>0</v>
      </c>
      <c r="K96" s="253">
        <f>(K148/Population_Tables!X14)*Population_Tables!L14</f>
        <v>0</v>
      </c>
      <c r="L96" s="170"/>
      <c r="M96" s="170"/>
      <c r="N96" s="195">
        <f t="shared" si="11"/>
        <v>27473892768962.086</v>
      </c>
      <c r="O96" s="195">
        <f t="shared" si="12"/>
        <v>0</v>
      </c>
      <c r="P96" s="195">
        <f t="shared" si="13"/>
        <v>19453911576684.234</v>
      </c>
      <c r="Q96" s="195">
        <f t="shared" si="14"/>
        <v>46927804345646.32</v>
      </c>
      <c r="R96" s="196">
        <f t="shared" si="15"/>
        <v>0.58545020701593831</v>
      </c>
      <c r="S96" s="170"/>
      <c r="T96" s="170"/>
      <c r="U96" s="195">
        <f t="shared" si="20"/>
        <v>210824490394.85547</v>
      </c>
      <c r="V96" s="195">
        <f t="shared" si="16"/>
        <v>0</v>
      </c>
      <c r="W96" s="195">
        <f t="shared" si="16"/>
        <v>146971024805.83594</v>
      </c>
      <c r="X96" s="195">
        <f t="shared" si="19"/>
        <v>357795515200.69141</v>
      </c>
      <c r="Y96" s="207">
        <f t="shared" si="18"/>
        <v>0.5892317858612669</v>
      </c>
      <c r="AC96" s="251">
        <f t="shared" si="17"/>
        <v>0.98704823431312172</v>
      </c>
    </row>
    <row r="97" spans="1:29" ht="15.6" x14ac:dyDescent="0.3">
      <c r="A97" s="206">
        <v>2026</v>
      </c>
      <c r="B97" s="253">
        <f>(B149/Population_Tables!O15)*Population_Tables!C15</f>
        <v>41202022276714.664</v>
      </c>
      <c r="C97" s="253">
        <f>(C149/Population_Tables!P15)*Population_Tables!D15</f>
        <v>19835315547102.723</v>
      </c>
      <c r="D97" s="253">
        <f>(D149/Population_Tables!Q15)*Population_Tables!E15</f>
        <v>28560856810583.926</v>
      </c>
      <c r="E97" s="253">
        <f>(E149/Population_Tables!R15)*Population_Tables!F15</f>
        <v>0</v>
      </c>
      <c r="F97" s="253">
        <f>(F149/Population_Tables!S15)*Population_Tables!G15</f>
        <v>0</v>
      </c>
      <c r="G97" s="253">
        <f>(G149/Population_Tables!T15)*Population_Tables!H15</f>
        <v>0</v>
      </c>
      <c r="H97" s="253">
        <f>(H149/Population_Tables!U15)*Population_Tables!I15</f>
        <v>0</v>
      </c>
      <c r="I97" s="253">
        <f>(I149/Population_Tables!V15)*Population_Tables!J15</f>
        <v>0</v>
      </c>
      <c r="J97" s="253">
        <f>(J149/Population_Tables!W15)*Population_Tables!K15</f>
        <v>0</v>
      </c>
      <c r="K97" s="253">
        <f>(K149/Population_Tables!X15)*Population_Tables!L15</f>
        <v>0</v>
      </c>
      <c r="L97" s="170"/>
      <c r="M97" s="170"/>
      <c r="N97" s="195">
        <f t="shared" si="11"/>
        <v>28560856810583.926</v>
      </c>
      <c r="O97" s="195">
        <f t="shared" si="12"/>
        <v>0</v>
      </c>
      <c r="P97" s="195">
        <f t="shared" si="13"/>
        <v>19835315547102.723</v>
      </c>
      <c r="Q97" s="195">
        <f t="shared" si="14"/>
        <v>48396172357686.648</v>
      </c>
      <c r="R97" s="196">
        <f t="shared" si="15"/>
        <v>0.59014701822896687</v>
      </c>
      <c r="S97" s="170"/>
      <c r="T97" s="170"/>
      <c r="U97" s="195">
        <f>N97-N149</f>
        <v>275483173317.29297</v>
      </c>
      <c r="V97" s="195">
        <f t="shared" si="16"/>
        <v>0</v>
      </c>
      <c r="W97" s="195">
        <f t="shared" si="16"/>
        <v>190341643298.38281</v>
      </c>
      <c r="X97" s="195">
        <f t="shared" si="19"/>
        <v>465824816615.67578</v>
      </c>
      <c r="Y97" s="207">
        <f t="shared" si="18"/>
        <v>0.59138792844645216</v>
      </c>
      <c r="AC97" s="251">
        <f t="shared" si="17"/>
        <v>0.98962671031194271</v>
      </c>
    </row>
    <row r="98" spans="1:29" ht="15.6" x14ac:dyDescent="0.3">
      <c r="A98" s="206">
        <v>2027</v>
      </c>
      <c r="B98" s="253">
        <f>(B150/Population_Tables!O16)*Population_Tables!C16</f>
        <v>42414547009986.758</v>
      </c>
      <c r="C98" s="253">
        <f>(C150/Population_Tables!P16)*Population_Tables!D16</f>
        <v>20046524214362.012</v>
      </c>
      <c r="D98" s="253">
        <f>(D150/Population_Tables!Q16)*Population_Tables!E16</f>
        <v>29666773031677.625</v>
      </c>
      <c r="E98" s="253">
        <f>(E150/Population_Tables!R16)*Population_Tables!F16</f>
        <v>0</v>
      </c>
      <c r="F98" s="253">
        <f>(F150/Population_Tables!S16)*Population_Tables!G16</f>
        <v>0</v>
      </c>
      <c r="G98" s="253">
        <f>(G150/Population_Tables!T16)*Population_Tables!H16</f>
        <v>0</v>
      </c>
      <c r="H98" s="253">
        <f>(H150/Population_Tables!U16)*Population_Tables!I16</f>
        <v>0</v>
      </c>
      <c r="I98" s="253">
        <f>(I150/Population_Tables!V16)*Population_Tables!J16</f>
        <v>0</v>
      </c>
      <c r="J98" s="253">
        <f>(J150/Population_Tables!W16)*Population_Tables!K16</f>
        <v>0</v>
      </c>
      <c r="K98" s="253">
        <f>(K150/Population_Tables!X16)*Population_Tables!L16</f>
        <v>0</v>
      </c>
      <c r="L98" s="170"/>
      <c r="M98" s="170"/>
      <c r="N98" s="195">
        <f t="shared" si="11"/>
        <v>29666773031677.625</v>
      </c>
      <c r="O98" s="195">
        <f t="shared" si="12"/>
        <v>0</v>
      </c>
      <c r="P98" s="195">
        <f t="shared" si="13"/>
        <v>20046524214362.012</v>
      </c>
      <c r="Q98" s="195">
        <f t="shared" si="14"/>
        <v>49713297246039.641</v>
      </c>
      <c r="R98" s="196">
        <f t="shared" si="15"/>
        <v>0.59675729985986792</v>
      </c>
      <c r="S98" s="170"/>
      <c r="T98" s="170"/>
      <c r="U98" s="195">
        <f t="shared" si="20"/>
        <v>348682800902.96094</v>
      </c>
      <c r="V98" s="195">
        <f t="shared" si="16"/>
        <v>0</v>
      </c>
      <c r="W98" s="195">
        <f t="shared" si="16"/>
        <v>235777644174.91406</v>
      </c>
      <c r="X98" s="195">
        <f t="shared" si="19"/>
        <v>584460445077.875</v>
      </c>
      <c r="Y98" s="207">
        <f t="shared" si="18"/>
        <v>0.59658921974865475</v>
      </c>
      <c r="AC98" s="251">
        <f t="shared" si="17"/>
        <v>0.9938195647792567</v>
      </c>
    </row>
    <row r="99" spans="1:29" ht="15.6" x14ac:dyDescent="0.3">
      <c r="A99" s="206">
        <v>2028</v>
      </c>
      <c r="B99" s="253">
        <f>(B151/Population_Tables!O17)*Population_Tables!C17</f>
        <v>43651599016141.766</v>
      </c>
      <c r="C99" s="253">
        <f>(C151/Population_Tables!P17)*Population_Tables!D17</f>
        <v>20263494937855.832</v>
      </c>
      <c r="D99" s="253">
        <f>(D151/Population_Tables!Q17)*Population_Tables!E17</f>
        <v>30803054784632.219</v>
      </c>
      <c r="E99" s="253">
        <f>(E151/Population_Tables!R17)*Population_Tables!F17</f>
        <v>0</v>
      </c>
      <c r="F99" s="253">
        <f>(F151/Population_Tables!S17)*Population_Tables!G17</f>
        <v>0</v>
      </c>
      <c r="G99" s="253">
        <f>(G151/Population_Tables!T17)*Population_Tables!H17</f>
        <v>0</v>
      </c>
      <c r="H99" s="253">
        <f>(H151/Population_Tables!U17)*Population_Tables!I17</f>
        <v>0</v>
      </c>
      <c r="I99" s="253">
        <f>(I151/Population_Tables!V17)*Population_Tables!J17</f>
        <v>0</v>
      </c>
      <c r="J99" s="253">
        <f>(J151/Population_Tables!W17)*Population_Tables!K17</f>
        <v>0</v>
      </c>
      <c r="K99" s="253">
        <f>(K151/Population_Tables!X17)*Population_Tables!L17</f>
        <v>0</v>
      </c>
      <c r="L99" s="170"/>
      <c r="M99" s="170"/>
      <c r="N99" s="195">
        <f t="shared" si="11"/>
        <v>30803054784632.219</v>
      </c>
      <c r="O99" s="195">
        <f t="shared" si="12"/>
        <v>0</v>
      </c>
      <c r="P99" s="195">
        <f t="shared" si="13"/>
        <v>20263494937855.832</v>
      </c>
      <c r="Q99" s="195">
        <f t="shared" si="14"/>
        <v>51066549722488.047</v>
      </c>
      <c r="R99" s="196">
        <f t="shared" si="15"/>
        <v>0.60319436014427963</v>
      </c>
      <c r="S99" s="170"/>
      <c r="T99" s="170"/>
      <c r="U99" s="195">
        <f t="shared" si="20"/>
        <v>430933373589.67578</v>
      </c>
      <c r="V99" s="195">
        <f t="shared" si="16"/>
        <v>0</v>
      </c>
      <c r="W99" s="195">
        <f t="shared" si="16"/>
        <v>284608355186.20703</v>
      </c>
      <c r="X99" s="195">
        <f t="shared" si="19"/>
        <v>715541728775.88281</v>
      </c>
      <c r="Y99" s="207">
        <f t="shared" si="18"/>
        <v>0.6022477184201368</v>
      </c>
      <c r="AC99" s="251">
        <f t="shared" si="17"/>
        <v>0.99648189588387492</v>
      </c>
    </row>
    <row r="100" spans="1:29" ht="15.6" x14ac:dyDescent="0.3">
      <c r="A100" s="206">
        <v>2029</v>
      </c>
      <c r="B100" s="253">
        <f>(B152/Population_Tables!O18)*Population_Tables!C18</f>
        <v>44915142654016.758</v>
      </c>
      <c r="C100" s="253">
        <f>(C152/Population_Tables!P18)*Population_Tables!D18</f>
        <v>20486161018834.992</v>
      </c>
      <c r="D100" s="253">
        <f>(D152/Population_Tables!Q18)*Population_Tables!E18</f>
        <v>31967746536644.613</v>
      </c>
      <c r="E100" s="253">
        <f>(E152/Population_Tables!R18)*Population_Tables!F18</f>
        <v>0</v>
      </c>
      <c r="F100" s="253">
        <f>(F152/Population_Tables!S18)*Population_Tables!G18</f>
        <v>0</v>
      </c>
      <c r="G100" s="253">
        <f>(G152/Population_Tables!T18)*Population_Tables!H18</f>
        <v>0</v>
      </c>
      <c r="H100" s="253">
        <f>(H152/Population_Tables!U18)*Population_Tables!I18</f>
        <v>0</v>
      </c>
      <c r="I100" s="253">
        <f>(I152/Population_Tables!V18)*Population_Tables!J18</f>
        <v>0</v>
      </c>
      <c r="J100" s="253">
        <f>(J152/Population_Tables!W18)*Population_Tables!K18</f>
        <v>0</v>
      </c>
      <c r="K100" s="253">
        <f>(K152/Population_Tables!X18)*Population_Tables!L18</f>
        <v>0</v>
      </c>
      <c r="L100" s="170"/>
      <c r="M100" s="170"/>
      <c r="N100" s="195">
        <f t="shared" si="11"/>
        <v>31967746536644.613</v>
      </c>
      <c r="O100" s="195">
        <f t="shared" si="12"/>
        <v>0</v>
      </c>
      <c r="P100" s="195">
        <f t="shared" si="13"/>
        <v>20486161018834.992</v>
      </c>
      <c r="Q100" s="195">
        <f t="shared" si="14"/>
        <v>52453907555479.609</v>
      </c>
      <c r="R100" s="196">
        <f t="shared" si="15"/>
        <v>0.60944452046461683</v>
      </c>
      <c r="S100" s="170"/>
      <c r="T100" s="170"/>
      <c r="U100" s="195">
        <f t="shared" si="20"/>
        <v>522540196324.96484</v>
      </c>
      <c r="V100" s="195">
        <f t="shared" si="16"/>
        <v>0</v>
      </c>
      <c r="W100" s="195">
        <f t="shared" si="16"/>
        <v>336933798375.66406</v>
      </c>
      <c r="X100" s="195">
        <f t="shared" si="19"/>
        <v>859473994700.62891</v>
      </c>
      <c r="Y100" s="207">
        <f t="shared" si="18"/>
        <v>0.60797673873422486</v>
      </c>
      <c r="AC100" s="251">
        <f t="shared" si="17"/>
        <v>0.9982534106105454</v>
      </c>
    </row>
    <row r="101" spans="1:29" ht="15.6" x14ac:dyDescent="0.3">
      <c r="A101" s="206">
        <v>2030</v>
      </c>
      <c r="B101" s="253">
        <f>(B153/Population_Tables!O19)*Population_Tables!C19</f>
        <v>46207194737584.367</v>
      </c>
      <c r="C101" s="253">
        <f>(C153/Population_Tables!P19)*Population_Tables!D19</f>
        <v>20742181066930.602</v>
      </c>
      <c r="D101" s="253">
        <f>(D153/Population_Tables!Q19)*Population_Tables!E19</f>
        <v>33261981756617.934</v>
      </c>
      <c r="E101" s="253">
        <f>(E153/Population_Tables!R19)*Population_Tables!F19</f>
        <v>0</v>
      </c>
      <c r="F101" s="253">
        <f>(F153/Population_Tables!S19)*Population_Tables!G19</f>
        <v>0</v>
      </c>
      <c r="G101" s="253">
        <f>(G153/Population_Tables!T19)*Population_Tables!H19</f>
        <v>0</v>
      </c>
      <c r="H101" s="253">
        <f>(H153/Population_Tables!U19)*Population_Tables!I19</f>
        <v>0</v>
      </c>
      <c r="I101" s="253">
        <f>(I153/Population_Tables!V19)*Population_Tables!J19</f>
        <v>0</v>
      </c>
      <c r="J101" s="253">
        <f>(J153/Population_Tables!W19)*Population_Tables!K19</f>
        <v>0</v>
      </c>
      <c r="K101" s="253">
        <f>(K153/Population_Tables!X19)*Population_Tables!L19</f>
        <v>0</v>
      </c>
      <c r="L101" s="170"/>
      <c r="M101" s="170"/>
      <c r="N101" s="195">
        <f t="shared" si="11"/>
        <v>33261981756617.934</v>
      </c>
      <c r="O101" s="195">
        <f t="shared" si="12"/>
        <v>0</v>
      </c>
      <c r="P101" s="195">
        <f t="shared" si="13"/>
        <v>20742181066930.602</v>
      </c>
      <c r="Q101" s="195">
        <f t="shared" si="14"/>
        <v>54004162823548.531</v>
      </c>
      <c r="R101" s="196">
        <f t="shared" si="15"/>
        <v>0.61591514463981356</v>
      </c>
      <c r="S101" s="170"/>
      <c r="T101" s="170"/>
      <c r="U101" s="195">
        <f t="shared" si="20"/>
        <v>625805591342.86719</v>
      </c>
      <c r="V101" s="195">
        <f t="shared" si="16"/>
        <v>0</v>
      </c>
      <c r="W101" s="195">
        <f t="shared" si="16"/>
        <v>393367445360.46875</v>
      </c>
      <c r="X101" s="195">
        <f t="shared" si="19"/>
        <v>1019173036703.3359</v>
      </c>
      <c r="Y101" s="207">
        <f t="shared" si="18"/>
        <v>0.61403271947531779</v>
      </c>
      <c r="AC101" s="251">
        <f t="shared" si="17"/>
        <v>0.99708072490000643</v>
      </c>
    </row>
    <row r="102" spans="1:29" ht="15.6" x14ac:dyDescent="0.3">
      <c r="A102" s="206">
        <v>2031</v>
      </c>
      <c r="B102" s="253">
        <f>(B154/Population_Tables!O20)*Population_Tables!C20</f>
        <v>47529584334995.945</v>
      </c>
      <c r="C102" s="253">
        <f>(C154/Population_Tables!P20)*Population_Tables!D20</f>
        <v>20948101984815.34</v>
      </c>
      <c r="D102" s="253">
        <f>(D154/Population_Tables!Q20)*Population_Tables!E20</f>
        <v>34374852201270.125</v>
      </c>
      <c r="E102" s="253">
        <f>(E154/Population_Tables!R20)*Population_Tables!F20</f>
        <v>0</v>
      </c>
      <c r="F102" s="253">
        <f>(F154/Population_Tables!S20)*Population_Tables!G20</f>
        <v>0</v>
      </c>
      <c r="G102" s="253">
        <f>(G154/Population_Tables!T20)*Population_Tables!H20</f>
        <v>0</v>
      </c>
      <c r="H102" s="253">
        <f>(H154/Population_Tables!U20)*Population_Tables!I20</f>
        <v>0</v>
      </c>
      <c r="I102" s="253">
        <f>(I154/Population_Tables!V20)*Population_Tables!J20</f>
        <v>0</v>
      </c>
      <c r="J102" s="253">
        <f>(J154/Population_Tables!W20)*Population_Tables!K20</f>
        <v>0</v>
      </c>
      <c r="K102" s="253">
        <f>(K154/Population_Tables!X20)*Population_Tables!L20</f>
        <v>0</v>
      </c>
      <c r="L102" s="170"/>
      <c r="M102" s="170"/>
      <c r="N102" s="195">
        <f t="shared" si="11"/>
        <v>34374852201270.125</v>
      </c>
      <c r="O102" s="195">
        <f t="shared" si="12"/>
        <v>0</v>
      </c>
      <c r="P102" s="195">
        <f t="shared" si="13"/>
        <v>20948101984815.34</v>
      </c>
      <c r="Q102" s="195">
        <f t="shared" si="14"/>
        <v>55322954186085.469</v>
      </c>
      <c r="R102" s="196">
        <f t="shared" si="15"/>
        <v>0.62134881817131704</v>
      </c>
      <c r="S102" s="170"/>
      <c r="T102" s="170"/>
      <c r="U102" s="195">
        <f t="shared" si="20"/>
        <v>735358106371.04688</v>
      </c>
      <c r="V102" s="195">
        <f t="shared" si="16"/>
        <v>0</v>
      </c>
      <c r="W102" s="195">
        <f t="shared" si="16"/>
        <v>452258496025.41016</v>
      </c>
      <c r="X102" s="195">
        <f t="shared" si="19"/>
        <v>1187616602396.457</v>
      </c>
      <c r="Y102" s="207">
        <f t="shared" si="18"/>
        <v>0.61918813267445838</v>
      </c>
      <c r="AC102" s="251">
        <f t="shared" si="17"/>
        <v>1.000335985716956</v>
      </c>
    </row>
    <row r="103" spans="1:29" ht="15.6" x14ac:dyDescent="0.3">
      <c r="A103" s="206">
        <v>2032</v>
      </c>
      <c r="B103" s="253">
        <f>(B155/Population_Tables!O21)*Population_Tables!C21</f>
        <v>48883412768830.102</v>
      </c>
      <c r="C103" s="253">
        <f>(C155/Population_Tables!P21)*Population_Tables!D21</f>
        <v>21186604586561.813</v>
      </c>
      <c r="D103" s="253">
        <f>(D155/Population_Tables!Q21)*Population_Tables!E21</f>
        <v>35613336525226.109</v>
      </c>
      <c r="E103" s="253">
        <f>(E155/Population_Tables!R21)*Population_Tables!F21</f>
        <v>0</v>
      </c>
      <c r="F103" s="253">
        <f>(F155/Population_Tables!S21)*Population_Tables!G21</f>
        <v>0</v>
      </c>
      <c r="G103" s="253">
        <f>(G155/Population_Tables!T21)*Population_Tables!H21</f>
        <v>0</v>
      </c>
      <c r="H103" s="253">
        <f>(H155/Population_Tables!U21)*Population_Tables!I21</f>
        <v>0</v>
      </c>
      <c r="I103" s="253">
        <f>(I155/Population_Tables!V21)*Population_Tables!J21</f>
        <v>0</v>
      </c>
      <c r="J103" s="253">
        <f>(J155/Population_Tables!W21)*Population_Tables!K21</f>
        <v>0</v>
      </c>
      <c r="K103" s="253">
        <f>(K155/Population_Tables!X21)*Population_Tables!L21</f>
        <v>0</v>
      </c>
      <c r="L103" s="170"/>
      <c r="M103" s="170"/>
      <c r="N103" s="195">
        <f t="shared" si="11"/>
        <v>35613336525226.109</v>
      </c>
      <c r="O103" s="195">
        <f t="shared" si="12"/>
        <v>0</v>
      </c>
      <c r="P103" s="195">
        <f t="shared" si="13"/>
        <v>21186604586561.813</v>
      </c>
      <c r="Q103" s="195">
        <f t="shared" si="14"/>
        <v>56799941111787.922</v>
      </c>
      <c r="R103" s="196">
        <f t="shared" si="15"/>
        <v>0.6269960114066937</v>
      </c>
      <c r="S103" s="170"/>
      <c r="T103" s="170"/>
      <c r="U103" s="195">
        <f t="shared" si="20"/>
        <v>857161280525.9375</v>
      </c>
      <c r="V103" s="195">
        <f t="shared" si="16"/>
        <v>0</v>
      </c>
      <c r="W103" s="195">
        <f t="shared" si="16"/>
        <v>514818908816.15625</v>
      </c>
      <c r="X103" s="195">
        <f t="shared" si="19"/>
        <v>1371980189342.0938</v>
      </c>
      <c r="Y103" s="207">
        <f t="shared" si="18"/>
        <v>0.62476214101675365</v>
      </c>
      <c r="AC103" s="251">
        <f t="shared" si="17"/>
        <v>1.0007542600269941</v>
      </c>
    </row>
    <row r="104" spans="1:29" ht="15.6" x14ac:dyDescent="0.3">
      <c r="A104" s="206">
        <v>2033</v>
      </c>
      <c r="B104" s="253">
        <f>(B156/Population_Tables!O22)*Population_Tables!C22</f>
        <v>50268550437328.82</v>
      </c>
      <c r="C104" s="253">
        <f>(C156/Population_Tables!P22)*Population_Tables!D22</f>
        <v>21429061033821.43</v>
      </c>
      <c r="D104" s="253">
        <f>(D156/Population_Tables!Q22)*Population_Tables!E22</f>
        <v>36871482668468.5</v>
      </c>
      <c r="E104" s="253">
        <f>(E156/Population_Tables!R22)*Population_Tables!F22</f>
        <v>0</v>
      </c>
      <c r="F104" s="253">
        <f>(F156/Population_Tables!S22)*Population_Tables!G22</f>
        <v>0</v>
      </c>
      <c r="G104" s="253">
        <f>(G156/Population_Tables!T22)*Population_Tables!H22</f>
        <v>0</v>
      </c>
      <c r="H104" s="253">
        <f>(H156/Population_Tables!U22)*Population_Tables!I22</f>
        <v>0</v>
      </c>
      <c r="I104" s="253">
        <f>(I156/Population_Tables!V22)*Population_Tables!J22</f>
        <v>0</v>
      </c>
      <c r="J104" s="253">
        <f>(J156/Population_Tables!W22)*Population_Tables!K22</f>
        <v>0</v>
      </c>
      <c r="K104" s="253">
        <f>(K156/Population_Tables!X22)*Population_Tables!L22</f>
        <v>0</v>
      </c>
      <c r="L104" s="170"/>
      <c r="M104" s="170"/>
      <c r="N104" s="195">
        <f t="shared" si="11"/>
        <v>36871482668468.5</v>
      </c>
      <c r="O104" s="195">
        <f t="shared" si="12"/>
        <v>0</v>
      </c>
      <c r="P104" s="195">
        <f t="shared" si="13"/>
        <v>21429061033821.43</v>
      </c>
      <c r="Q104" s="195">
        <f t="shared" si="14"/>
        <v>58300543702289.93</v>
      </c>
      <c r="R104" s="196">
        <f t="shared" si="15"/>
        <v>0.63243805849824797</v>
      </c>
      <c r="S104" s="170"/>
      <c r="T104" s="170"/>
      <c r="U104" s="195">
        <f t="shared" si="20"/>
        <v>988615875960.46875</v>
      </c>
      <c r="V104" s="195">
        <f t="shared" si="16"/>
        <v>0</v>
      </c>
      <c r="W104" s="195">
        <f t="shared" si="16"/>
        <v>579799424983.20703</v>
      </c>
      <c r="X104" s="195">
        <f t="shared" si="19"/>
        <v>1568415300943.6758</v>
      </c>
      <c r="Y104" s="207">
        <f t="shared" si="18"/>
        <v>0.63032787002628932</v>
      </c>
      <c r="AC104" s="251">
        <f t="shared" si="17"/>
        <v>1.0007258396875194</v>
      </c>
    </row>
    <row r="105" spans="1:29" ht="15.6" x14ac:dyDescent="0.3">
      <c r="A105" s="206">
        <v>2034</v>
      </c>
      <c r="B105" s="253">
        <f>(B157/Population_Tables!O23)*Population_Tables!C23</f>
        <v>51684142612246.961</v>
      </c>
      <c r="C105" s="253">
        <f>(C157/Population_Tables!P23)*Population_Tables!D23</f>
        <v>21674351104399.203</v>
      </c>
      <c r="D105" s="253">
        <f>(D157/Population_Tables!Q23)*Population_Tables!E23</f>
        <v>38145867350553.344</v>
      </c>
      <c r="E105" s="253">
        <f>(E157/Population_Tables!R23)*Population_Tables!F23</f>
        <v>0</v>
      </c>
      <c r="F105" s="253">
        <f>(F157/Population_Tables!S23)*Population_Tables!G23</f>
        <v>0</v>
      </c>
      <c r="G105" s="253">
        <f>(G157/Population_Tables!T23)*Population_Tables!H23</f>
        <v>0</v>
      </c>
      <c r="H105" s="253">
        <f>(H157/Population_Tables!U23)*Population_Tables!I23</f>
        <v>0</v>
      </c>
      <c r="I105" s="253">
        <f>(I157/Population_Tables!V23)*Population_Tables!J23</f>
        <v>0</v>
      </c>
      <c r="J105" s="253">
        <f>(J157/Population_Tables!W23)*Population_Tables!K23</f>
        <v>0</v>
      </c>
      <c r="K105" s="253">
        <f>(K157/Population_Tables!X23)*Population_Tables!L23</f>
        <v>0</v>
      </c>
      <c r="L105" s="170"/>
      <c r="M105" s="170"/>
      <c r="N105" s="195">
        <f t="shared" si="11"/>
        <v>38145867350553.344</v>
      </c>
      <c r="O105" s="195">
        <f t="shared" si="12"/>
        <v>0</v>
      </c>
      <c r="P105" s="195">
        <f t="shared" si="13"/>
        <v>21674351104399.203</v>
      </c>
      <c r="Q105" s="195">
        <f t="shared" si="14"/>
        <v>59820218454952.547</v>
      </c>
      <c r="R105" s="196">
        <f t="shared" si="15"/>
        <v>0.63767515959974275</v>
      </c>
      <c r="S105" s="170"/>
      <c r="T105" s="170"/>
      <c r="U105" s="195">
        <f t="shared" si="20"/>
        <v>1128559449981.3047</v>
      </c>
      <c r="V105" s="195">
        <f t="shared" si="16"/>
        <v>0</v>
      </c>
      <c r="W105" s="195">
        <f t="shared" si="16"/>
        <v>646246543124.16016</v>
      </c>
      <c r="X105" s="195">
        <f t="shared" si="19"/>
        <v>1774805993105.4648</v>
      </c>
      <c r="Y105" s="207">
        <f t="shared" si="18"/>
        <v>0.63587764204391095</v>
      </c>
      <c r="AC105" s="251">
        <f t="shared" si="17"/>
        <v>1.0002582534343933</v>
      </c>
    </row>
    <row r="106" spans="1:29" ht="15.6" x14ac:dyDescent="0.3">
      <c r="A106" s="206">
        <v>2035</v>
      </c>
      <c r="B106" s="253">
        <f>(B158/Population_Tables!O24)*Population_Tables!C24</f>
        <v>53129957770698.352</v>
      </c>
      <c r="C106" s="253">
        <f>(C158/Population_Tables!P24)*Population_Tables!D24</f>
        <v>22068493485072.344</v>
      </c>
      <c r="D106" s="253">
        <f>(D158/Population_Tables!Q24)*Population_Tables!E24</f>
        <v>39412405505644.336</v>
      </c>
      <c r="E106" s="253">
        <f>(E158/Population_Tables!R24)*Population_Tables!F24</f>
        <v>0</v>
      </c>
      <c r="F106" s="253">
        <f>(F158/Population_Tables!S24)*Population_Tables!G24</f>
        <v>0</v>
      </c>
      <c r="G106" s="253">
        <f>(G158/Population_Tables!T24)*Population_Tables!H24</f>
        <v>0</v>
      </c>
      <c r="H106" s="253">
        <f>(H158/Population_Tables!U24)*Population_Tables!I24</f>
        <v>0</v>
      </c>
      <c r="I106" s="253">
        <f>(I158/Population_Tables!V24)*Population_Tables!J24</f>
        <v>0</v>
      </c>
      <c r="J106" s="253">
        <f>(J158/Population_Tables!W24)*Population_Tables!K24</f>
        <v>0</v>
      </c>
      <c r="K106" s="253">
        <f>(K158/Population_Tables!X24)*Population_Tables!L24</f>
        <v>0</v>
      </c>
      <c r="L106" s="170"/>
      <c r="M106" s="170"/>
      <c r="N106" s="195">
        <f t="shared" si="11"/>
        <v>39412405505644.336</v>
      </c>
      <c r="O106" s="195">
        <f t="shared" si="12"/>
        <v>0</v>
      </c>
      <c r="P106" s="195">
        <f t="shared" si="13"/>
        <v>22068493485072.344</v>
      </c>
      <c r="Q106" s="195">
        <f t="shared" si="14"/>
        <v>61480898990716.68</v>
      </c>
      <c r="R106" s="196">
        <f t="shared" si="15"/>
        <v>0.64105122326847275</v>
      </c>
      <c r="S106" s="170"/>
      <c r="T106" s="170"/>
      <c r="U106" s="195">
        <f t="shared" si="20"/>
        <v>1275349349034.0078</v>
      </c>
      <c r="V106" s="195">
        <f t="shared" si="16"/>
        <v>0</v>
      </c>
      <c r="W106" s="195">
        <f t="shared" si="16"/>
        <v>718208540432.82813</v>
      </c>
      <c r="X106" s="195">
        <f t="shared" si="19"/>
        <v>1993557889466.8359</v>
      </c>
      <c r="Y106" s="207">
        <f t="shared" si="18"/>
        <v>0.63973529726547929</v>
      </c>
      <c r="AC106" s="251">
        <f t="shared" si="17"/>
        <v>0.99741408322292358</v>
      </c>
    </row>
    <row r="107" spans="1:29" ht="15.6" x14ac:dyDescent="0.3">
      <c r="A107" s="206">
        <v>2036</v>
      </c>
      <c r="B107" s="253">
        <f>(B159/Population_Tables!O25)*Population_Tables!C25</f>
        <v>54606859624590.039</v>
      </c>
      <c r="C107" s="253">
        <f>(C159/Population_Tables!P25)*Population_Tables!D25</f>
        <v>22170190416961.945</v>
      </c>
      <c r="D107" s="253">
        <f>(D159/Population_Tables!Q25)*Population_Tables!E25</f>
        <v>40730860615849.453</v>
      </c>
      <c r="E107" s="253">
        <f>(E159/Population_Tables!R25)*Population_Tables!F25</f>
        <v>0</v>
      </c>
      <c r="F107" s="253">
        <f>(F159/Population_Tables!S25)*Population_Tables!G25</f>
        <v>0</v>
      </c>
      <c r="G107" s="253">
        <f>(G159/Population_Tables!T25)*Population_Tables!H25</f>
        <v>0</v>
      </c>
      <c r="H107" s="253">
        <f>(H159/Population_Tables!U25)*Population_Tables!I25</f>
        <v>0</v>
      </c>
      <c r="I107" s="253">
        <f>(I159/Population_Tables!V25)*Population_Tables!J25</f>
        <v>0</v>
      </c>
      <c r="J107" s="253">
        <f>(J159/Population_Tables!W25)*Population_Tables!K25</f>
        <v>0</v>
      </c>
      <c r="K107" s="253">
        <f>(K159/Population_Tables!X25)*Population_Tables!L25</f>
        <v>0</v>
      </c>
      <c r="L107" s="170"/>
      <c r="M107" s="170"/>
      <c r="N107" s="195">
        <f t="shared" si="11"/>
        <v>40730860615849.453</v>
      </c>
      <c r="O107" s="195">
        <f t="shared" si="12"/>
        <v>0</v>
      </c>
      <c r="P107" s="195">
        <f t="shared" si="13"/>
        <v>22170190416961.945</v>
      </c>
      <c r="Q107" s="195">
        <f t="shared" si="14"/>
        <v>62901051032811.398</v>
      </c>
      <c r="R107" s="196">
        <f t="shared" si="15"/>
        <v>0.64753863325118055</v>
      </c>
      <c r="S107" s="170"/>
      <c r="T107" s="170"/>
      <c r="U107" s="195">
        <f t="shared" si="20"/>
        <v>1430465169383.4297</v>
      </c>
      <c r="V107" s="195">
        <f t="shared" si="16"/>
        <v>0</v>
      </c>
      <c r="W107" s="195">
        <f t="shared" si="16"/>
        <v>780965769950.85938</v>
      </c>
      <c r="X107" s="195">
        <f t="shared" si="19"/>
        <v>2211430939334.2891</v>
      </c>
      <c r="Y107" s="207">
        <f t="shared" si="18"/>
        <v>0.64685048216520169</v>
      </c>
      <c r="AC107" s="251">
        <f t="shared" si="17"/>
        <v>0.99859319774637678</v>
      </c>
    </row>
    <row r="108" spans="1:29" ht="15.6" x14ac:dyDescent="0.3">
      <c r="A108" s="206">
        <v>2037</v>
      </c>
      <c r="B108" s="253">
        <f>(B160/Population_Tables!O26)*Population_Tables!C26</f>
        <v>56117019409384.477</v>
      </c>
      <c r="C108" s="253">
        <f>(C160/Population_Tables!P26)*Population_Tables!D26</f>
        <v>22420072774466.391</v>
      </c>
      <c r="D108" s="253">
        <f>(D160/Population_Tables!Q26)*Population_Tables!E26</f>
        <v>42036573858417.57</v>
      </c>
      <c r="E108" s="253">
        <f>(E160/Population_Tables!R26)*Population_Tables!F26</f>
        <v>0</v>
      </c>
      <c r="F108" s="253">
        <f>(F160/Population_Tables!S26)*Population_Tables!G26</f>
        <v>0</v>
      </c>
      <c r="G108" s="253">
        <f>(G160/Population_Tables!T26)*Population_Tables!H26</f>
        <v>0</v>
      </c>
      <c r="H108" s="253">
        <f>(H160/Population_Tables!U26)*Population_Tables!I26</f>
        <v>0</v>
      </c>
      <c r="I108" s="253">
        <f>(I160/Population_Tables!V26)*Population_Tables!J26</f>
        <v>0</v>
      </c>
      <c r="J108" s="253">
        <f>(J160/Population_Tables!W26)*Population_Tables!K26</f>
        <v>0</v>
      </c>
      <c r="K108" s="253">
        <f>(K160/Population_Tables!X26)*Population_Tables!L26</f>
        <v>0</v>
      </c>
      <c r="L108" s="170"/>
      <c r="M108" s="170"/>
      <c r="N108" s="195">
        <f t="shared" si="11"/>
        <v>42036573858417.57</v>
      </c>
      <c r="O108" s="195">
        <f t="shared" si="12"/>
        <v>0</v>
      </c>
      <c r="P108" s="195">
        <f t="shared" si="13"/>
        <v>22420072774466.391</v>
      </c>
      <c r="Q108" s="195">
        <f t="shared" si="14"/>
        <v>64456646632883.961</v>
      </c>
      <c r="R108" s="196">
        <f t="shared" si="15"/>
        <v>0.65216817899074042</v>
      </c>
      <c r="S108" s="170"/>
      <c r="T108" s="170"/>
      <c r="U108" s="195">
        <f t="shared" si="20"/>
        <v>1592053649622.7969</v>
      </c>
      <c r="V108" s="195">
        <f t="shared" si="16"/>
        <v>0</v>
      </c>
      <c r="W108" s="195">
        <f t="shared" si="16"/>
        <v>848904435741.25391</v>
      </c>
      <c r="X108" s="195">
        <f t="shared" si="19"/>
        <v>2440958085364.0508</v>
      </c>
      <c r="Y108" s="207">
        <f t="shared" si="18"/>
        <v>0.65222490265962674</v>
      </c>
      <c r="AC108" s="251">
        <f t="shared" si="17"/>
        <v>0.99783543015851572</v>
      </c>
    </row>
    <row r="109" spans="1:29" ht="15.6" x14ac:dyDescent="0.3">
      <c r="A109" s="206">
        <v>2038</v>
      </c>
      <c r="B109" s="253">
        <f>(B161/Population_Tables!O27)*Population_Tables!C27</f>
        <v>57663169409212.406</v>
      </c>
      <c r="C109" s="253">
        <f>(C161/Population_Tables!P27)*Population_Tables!D27</f>
        <v>22671265476799.297</v>
      </c>
      <c r="D109" s="253">
        <f>(D161/Population_Tables!Q27)*Population_Tables!E27</f>
        <v>43348695754586.461</v>
      </c>
      <c r="E109" s="253">
        <f>(E161/Population_Tables!R27)*Population_Tables!F27</f>
        <v>0</v>
      </c>
      <c r="F109" s="253">
        <f>(F161/Population_Tables!S27)*Population_Tables!G27</f>
        <v>0</v>
      </c>
      <c r="G109" s="253">
        <f>(G161/Population_Tables!T27)*Population_Tables!H27</f>
        <v>0</v>
      </c>
      <c r="H109" s="253">
        <f>(H161/Population_Tables!U27)*Population_Tables!I27</f>
        <v>0</v>
      </c>
      <c r="I109" s="253">
        <f>(I161/Population_Tables!V27)*Population_Tables!J27</f>
        <v>0</v>
      </c>
      <c r="J109" s="253">
        <f>(J161/Population_Tables!W27)*Population_Tables!K27</f>
        <v>0</v>
      </c>
      <c r="K109" s="253">
        <f>(K161/Population_Tables!X27)*Population_Tables!L27</f>
        <v>0</v>
      </c>
      <c r="L109" s="170"/>
      <c r="M109" s="170"/>
      <c r="N109" s="195">
        <f t="shared" si="11"/>
        <v>43348695754586.461</v>
      </c>
      <c r="O109" s="195">
        <f t="shared" si="12"/>
        <v>0</v>
      </c>
      <c r="P109" s="195">
        <f t="shared" si="13"/>
        <v>22671265476799.297</v>
      </c>
      <c r="Q109" s="195">
        <f t="shared" si="14"/>
        <v>66019961231385.758</v>
      </c>
      <c r="R109" s="196">
        <f t="shared" si="15"/>
        <v>0.65659983656546861</v>
      </c>
      <c r="S109" s="170"/>
      <c r="T109" s="170"/>
      <c r="U109" s="195">
        <f t="shared" si="20"/>
        <v>1761344574209.25</v>
      </c>
      <c r="V109" s="195">
        <f t="shared" si="16"/>
        <v>0</v>
      </c>
      <c r="W109" s="195">
        <f t="shared" si="16"/>
        <v>917453308186.19922</v>
      </c>
      <c r="X109" s="195">
        <f t="shared" si="19"/>
        <v>2678797882395.4492</v>
      </c>
      <c r="Y109" s="207">
        <f t="shared" si="18"/>
        <v>0.65751305306924124</v>
      </c>
      <c r="AC109" s="251">
        <f t="shared" si="17"/>
        <v>0.99734514002607633</v>
      </c>
    </row>
    <row r="110" spans="1:29" ht="15.6" x14ac:dyDescent="0.3">
      <c r="A110" s="206">
        <v>2039</v>
      </c>
      <c r="B110" s="253">
        <f>(B162/Population_Tables!O28)*Population_Tables!C28</f>
        <v>59248823528783.07</v>
      </c>
      <c r="C110" s="253">
        <f>(C162/Population_Tables!P28)*Population_Tables!D28</f>
        <v>22924040552797.176</v>
      </c>
      <c r="D110" s="253">
        <f>(D162/Population_Tables!Q28)*Population_Tables!E28</f>
        <v>44666051474625.516</v>
      </c>
      <c r="E110" s="253">
        <f>(E162/Population_Tables!R28)*Population_Tables!F28</f>
        <v>0</v>
      </c>
      <c r="F110" s="253">
        <f>(F162/Population_Tables!S28)*Population_Tables!G28</f>
        <v>0</v>
      </c>
      <c r="G110" s="253">
        <f>(G162/Population_Tables!T28)*Population_Tables!H28</f>
        <v>0</v>
      </c>
      <c r="H110" s="253">
        <f>(H162/Population_Tables!U28)*Population_Tables!I28</f>
        <v>0</v>
      </c>
      <c r="I110" s="253">
        <f>(I162/Population_Tables!V28)*Population_Tables!J28</f>
        <v>0</v>
      </c>
      <c r="J110" s="253">
        <f>(J162/Population_Tables!W28)*Population_Tables!K28</f>
        <v>0</v>
      </c>
      <c r="K110" s="253">
        <f>(K162/Population_Tables!X28)*Population_Tables!L28</f>
        <v>0</v>
      </c>
      <c r="L110" s="170"/>
      <c r="M110" s="170"/>
      <c r="N110" s="195">
        <f t="shared" si="11"/>
        <v>44666051474625.516</v>
      </c>
      <c r="O110" s="195">
        <f t="shared" si="12"/>
        <v>0</v>
      </c>
      <c r="P110" s="195">
        <f t="shared" si="13"/>
        <v>22924040552797.176</v>
      </c>
      <c r="Q110" s="195">
        <f t="shared" si="14"/>
        <v>67590092027422.688</v>
      </c>
      <c r="R110" s="196">
        <f t="shared" si="15"/>
        <v>0.66083726378865681</v>
      </c>
      <c r="S110" s="170"/>
      <c r="T110" s="170"/>
      <c r="U110" s="195">
        <f t="shared" si="20"/>
        <v>1939423951162.8047</v>
      </c>
      <c r="V110" s="195">
        <f t="shared" si="16"/>
        <v>0</v>
      </c>
      <c r="W110" s="195">
        <f t="shared" si="16"/>
        <v>987051136914.79688</v>
      </c>
      <c r="X110" s="195">
        <f t="shared" si="19"/>
        <v>2926475088077.6016</v>
      </c>
      <c r="Y110" s="207">
        <f t="shared" si="18"/>
        <v>0.66271671303951207</v>
      </c>
      <c r="AC110" s="251">
        <f t="shared" si="17"/>
        <v>0.99722561139916699</v>
      </c>
    </row>
    <row r="111" spans="1:29" ht="15.6" x14ac:dyDescent="0.3">
      <c r="A111" s="206">
        <v>2040</v>
      </c>
      <c r="B111" s="253">
        <f>(B163/Population_Tables!O29)*Population_Tables!C29</f>
        <v>60877345386159.945</v>
      </c>
      <c r="C111" s="253">
        <f>(C163/Population_Tables!P29)*Population_Tables!D29</f>
        <v>23258222903659.207</v>
      </c>
      <c r="D111" s="253">
        <f>(D163/Population_Tables!Q29)*Population_Tables!E29</f>
        <v>45876336332099.07</v>
      </c>
      <c r="E111" s="253">
        <f>(E163/Population_Tables!R29)*Population_Tables!F29</f>
        <v>0</v>
      </c>
      <c r="F111" s="253">
        <f>(F163/Population_Tables!S29)*Population_Tables!G29</f>
        <v>0</v>
      </c>
      <c r="G111" s="253">
        <f>(G163/Population_Tables!T29)*Population_Tables!H29</f>
        <v>0</v>
      </c>
      <c r="H111" s="253">
        <f>(H163/Population_Tables!U29)*Population_Tables!I29</f>
        <v>0</v>
      </c>
      <c r="I111" s="253">
        <f>(I163/Population_Tables!V29)*Population_Tables!J29</f>
        <v>0</v>
      </c>
      <c r="J111" s="253">
        <f>(J163/Population_Tables!W29)*Population_Tables!K29</f>
        <v>0</v>
      </c>
      <c r="K111" s="253">
        <f>(K163/Population_Tables!X29)*Population_Tables!L29</f>
        <v>0</v>
      </c>
      <c r="L111" s="170"/>
      <c r="M111" s="170"/>
      <c r="N111" s="195">
        <f t="shared" si="11"/>
        <v>45876336332099.07</v>
      </c>
      <c r="O111" s="195">
        <f t="shared" si="12"/>
        <v>0</v>
      </c>
      <c r="P111" s="195">
        <f t="shared" si="13"/>
        <v>23258222903659.207</v>
      </c>
      <c r="Q111" s="195">
        <f t="shared" si="14"/>
        <v>69134559235758.281</v>
      </c>
      <c r="R111" s="196">
        <f>N111/Q111</f>
        <v>0.6635803690547083</v>
      </c>
      <c r="S111" s="170"/>
      <c r="T111" s="170"/>
      <c r="U111" s="195">
        <f t="shared" si="20"/>
        <v>2122095921200.0156</v>
      </c>
      <c r="V111" s="195">
        <f t="shared" si="16"/>
        <v>0</v>
      </c>
      <c r="W111" s="195">
        <f t="shared" si="16"/>
        <v>1061686957436.0195</v>
      </c>
      <c r="X111" s="195">
        <f t="shared" si="19"/>
        <v>3183782878636.0352</v>
      </c>
      <c r="Y111" s="207">
        <f t="shared" si="18"/>
        <v>0.66653286423512115</v>
      </c>
      <c r="AC111" s="251">
        <f t="shared" si="17"/>
        <v>0.99803759449136165</v>
      </c>
    </row>
    <row r="112" spans="1:29" ht="15.6" x14ac:dyDescent="0.3">
      <c r="A112" s="206">
        <v>2041</v>
      </c>
      <c r="B112" s="253">
        <f>(B164/Population_Tables!O30)*Population_Tables!C30</f>
        <v>62551110330069.906</v>
      </c>
      <c r="C112" s="253">
        <f>(C164/Population_Tables!P30)*Population_Tables!D30</f>
        <v>23434809048521.316</v>
      </c>
      <c r="D112" s="253">
        <f>(D164/Population_Tables!Q30)*Population_Tables!E30</f>
        <v>47310490673590.711</v>
      </c>
      <c r="E112" s="253">
        <f>(E164/Population_Tables!R30)*Population_Tables!F30</f>
        <v>0</v>
      </c>
      <c r="F112" s="253">
        <f>(F164/Population_Tables!S30)*Population_Tables!G30</f>
        <v>0</v>
      </c>
      <c r="G112" s="253">
        <f>(G164/Population_Tables!T30)*Population_Tables!H30</f>
        <v>0</v>
      </c>
      <c r="H112" s="253">
        <f>(H164/Population_Tables!U30)*Population_Tables!I30</f>
        <v>0</v>
      </c>
      <c r="I112" s="253">
        <f>(I164/Population_Tables!V30)*Population_Tables!J30</f>
        <v>0</v>
      </c>
      <c r="J112" s="253">
        <f>(J164/Population_Tables!W30)*Population_Tables!K30</f>
        <v>0</v>
      </c>
      <c r="K112" s="253">
        <f>(K164/Population_Tables!X30)*Population_Tables!L30</f>
        <v>0</v>
      </c>
      <c r="L112" s="170"/>
      <c r="M112" s="170"/>
      <c r="N112" s="195">
        <f t="shared" si="11"/>
        <v>47310490673590.711</v>
      </c>
      <c r="O112" s="195">
        <f t="shared" si="12"/>
        <v>0</v>
      </c>
      <c r="P112" s="195">
        <f t="shared" si="13"/>
        <v>23434809048521.316</v>
      </c>
      <c r="Q112" s="195">
        <f t="shared" si="14"/>
        <v>70745299722112.031</v>
      </c>
      <c r="R112" s="196">
        <f t="shared" si="15"/>
        <v>0.66874394284039518</v>
      </c>
      <c r="S112" s="170"/>
      <c r="T112" s="170"/>
      <c r="U112" s="195">
        <f t="shared" si="20"/>
        <v>2325017700450.25</v>
      </c>
      <c r="V112" s="195">
        <f t="shared" si="16"/>
        <v>0</v>
      </c>
      <c r="W112" s="195">
        <f t="shared" si="16"/>
        <v>1130531769126.7461</v>
      </c>
      <c r="X112" s="195">
        <f t="shared" si="19"/>
        <v>3455549469576.9961</v>
      </c>
      <c r="Y112" s="207">
        <f t="shared" si="18"/>
        <v>0.67283588931946681</v>
      </c>
      <c r="AC112" s="251">
        <f t="shared" si="17"/>
        <v>0.9984189388686977</v>
      </c>
    </row>
    <row r="113" spans="1:29" ht="15.6" x14ac:dyDescent="0.3">
      <c r="A113" s="206">
        <v>2042</v>
      </c>
      <c r="B113" s="253">
        <f>(B165/Population_Tables!O31)*Population_Tables!C31</f>
        <v>64272256408882.898</v>
      </c>
      <c r="C113" s="253">
        <f>(C165/Population_Tables!P31)*Population_Tables!D31</f>
        <v>23692484879161.902</v>
      </c>
      <c r="D113" s="253">
        <f>(D165/Population_Tables!Q31)*Population_Tables!E31</f>
        <v>48633250559084.109</v>
      </c>
      <c r="E113" s="253">
        <f>(E165/Population_Tables!R31)*Population_Tables!F31</f>
        <v>0</v>
      </c>
      <c r="F113" s="253">
        <f>(F165/Population_Tables!S31)*Population_Tables!G31</f>
        <v>0</v>
      </c>
      <c r="G113" s="253">
        <f>(G165/Population_Tables!T31)*Population_Tables!H31</f>
        <v>0</v>
      </c>
      <c r="H113" s="253">
        <f>(H165/Population_Tables!U31)*Population_Tables!I31</f>
        <v>0</v>
      </c>
      <c r="I113" s="253">
        <f>(I165/Population_Tables!V31)*Population_Tables!J31</f>
        <v>0</v>
      </c>
      <c r="J113" s="253">
        <f>(J165/Population_Tables!W31)*Population_Tables!K31</f>
        <v>0</v>
      </c>
      <c r="K113" s="253">
        <f>(K165/Population_Tables!X31)*Population_Tables!L31</f>
        <v>0</v>
      </c>
      <c r="L113" s="170"/>
      <c r="M113" s="170"/>
      <c r="N113" s="195">
        <f t="shared" si="11"/>
        <v>48633250559084.109</v>
      </c>
      <c r="O113" s="195">
        <f t="shared" si="12"/>
        <v>0</v>
      </c>
      <c r="P113" s="195">
        <f t="shared" si="13"/>
        <v>23692484879161.902</v>
      </c>
      <c r="Q113" s="195">
        <f t="shared" si="14"/>
        <v>72325735438246.016</v>
      </c>
      <c r="R113" s="196">
        <f t="shared" si="15"/>
        <v>0.67241971705367176</v>
      </c>
      <c r="S113" s="170"/>
      <c r="T113" s="170"/>
      <c r="U113" s="195">
        <f t="shared" si="20"/>
        <v>2532730154852.6406</v>
      </c>
      <c r="V113" s="195">
        <f t="shared" si="16"/>
        <v>0</v>
      </c>
      <c r="W113" s="195">
        <f t="shared" si="16"/>
        <v>1204430425109.5977</v>
      </c>
      <c r="X113" s="195">
        <f t="shared" si="19"/>
        <v>3737160579962.2383</v>
      </c>
      <c r="Y113" s="207">
        <f t="shared" si="18"/>
        <v>0.67771509964879062</v>
      </c>
      <c r="AC113" s="251">
        <f t="shared" si="17"/>
        <v>0.99985920096729586</v>
      </c>
    </row>
    <row r="114" spans="1:29" ht="15.6" x14ac:dyDescent="0.3">
      <c r="A114" s="206">
        <v>2043</v>
      </c>
      <c r="B114" s="253">
        <f>(B166/Population_Tables!O32)*Population_Tables!C32</f>
        <v>66043859969781.398</v>
      </c>
      <c r="C114" s="253">
        <f>(C166/Population_Tables!P32)*Population_Tables!D32</f>
        <v>23951571452095.852</v>
      </c>
      <c r="D114" s="253">
        <f>(D166/Population_Tables!Q32)*Population_Tables!E32</f>
        <v>49953692354849.375</v>
      </c>
      <c r="E114" s="253">
        <f>(E166/Population_Tables!R32)*Population_Tables!F32</f>
        <v>0</v>
      </c>
      <c r="F114" s="253">
        <f>(F166/Population_Tables!S32)*Population_Tables!G32</f>
        <v>0</v>
      </c>
      <c r="G114" s="253">
        <f>(G166/Population_Tables!T32)*Population_Tables!H32</f>
        <v>0</v>
      </c>
      <c r="H114" s="253">
        <f>(H166/Population_Tables!U32)*Population_Tables!I32</f>
        <v>0</v>
      </c>
      <c r="I114" s="253">
        <f>(I166/Population_Tables!V32)*Population_Tables!J32</f>
        <v>0</v>
      </c>
      <c r="J114" s="253">
        <f>(J166/Population_Tables!W32)*Population_Tables!K32</f>
        <v>0</v>
      </c>
      <c r="K114" s="253">
        <f>(K166/Population_Tables!X32)*Population_Tables!L32</f>
        <v>0</v>
      </c>
      <c r="L114" s="170"/>
      <c r="M114" s="170"/>
      <c r="N114" s="195">
        <f t="shared" si="11"/>
        <v>49953692354849.375</v>
      </c>
      <c r="O114" s="195">
        <f t="shared" si="12"/>
        <v>0</v>
      </c>
      <c r="P114" s="195">
        <f t="shared" si="13"/>
        <v>23951571452095.852</v>
      </c>
      <c r="Q114" s="195">
        <f t="shared" si="14"/>
        <v>73905263806945.219</v>
      </c>
      <c r="R114" s="196">
        <f t="shared" si="15"/>
        <v>0.67591521607091531</v>
      </c>
      <c r="S114" s="170"/>
      <c r="T114" s="170"/>
      <c r="U114" s="195">
        <f t="shared" si="20"/>
        <v>2750722499026.2891</v>
      </c>
      <c r="V114" s="195">
        <f t="shared" si="16"/>
        <v>0</v>
      </c>
      <c r="W114" s="195">
        <f t="shared" si="16"/>
        <v>1279873289174.8398</v>
      </c>
      <c r="X114" s="195">
        <f t="shared" si="19"/>
        <v>4030595788201.1289</v>
      </c>
      <c r="Y114" s="207">
        <f t="shared" si="18"/>
        <v>0.68246052037233618</v>
      </c>
      <c r="AC114" s="251">
        <f t="shared" si="17"/>
        <v>1.0020215328263318</v>
      </c>
    </row>
    <row r="115" spans="1:29" ht="15.6" x14ac:dyDescent="0.3">
      <c r="A115" s="206">
        <v>2044</v>
      </c>
      <c r="B115" s="253">
        <f>(B167/Population_Tables!O33)*Population_Tables!C33</f>
        <v>67869238075700.359</v>
      </c>
      <c r="C115" s="253">
        <f>(C167/Population_Tables!P33)*Population_Tables!D33</f>
        <v>24212032466771.645</v>
      </c>
      <c r="D115" s="253">
        <f>(D167/Population_Tables!Q33)*Population_Tables!E33</f>
        <v>51269905099025.172</v>
      </c>
      <c r="E115" s="253">
        <f>(E167/Population_Tables!R33)*Population_Tables!F33</f>
        <v>0</v>
      </c>
      <c r="F115" s="253">
        <f>(F167/Population_Tables!S33)*Population_Tables!G33</f>
        <v>0</v>
      </c>
      <c r="G115" s="253">
        <f>(G167/Population_Tables!T33)*Population_Tables!H33</f>
        <v>0</v>
      </c>
      <c r="H115" s="253">
        <f>(H167/Population_Tables!U33)*Population_Tables!I33</f>
        <v>0</v>
      </c>
      <c r="I115" s="253">
        <f>(I167/Population_Tables!V33)*Population_Tables!J33</f>
        <v>0</v>
      </c>
      <c r="J115" s="253">
        <f>(J167/Population_Tables!W33)*Population_Tables!K33</f>
        <v>0</v>
      </c>
      <c r="K115" s="253">
        <f>(K167/Population_Tables!X33)*Population_Tables!L33</f>
        <v>0</v>
      </c>
      <c r="L115" s="170"/>
      <c r="M115" s="170"/>
      <c r="N115" s="195">
        <f t="shared" si="11"/>
        <v>51269905099025.172</v>
      </c>
      <c r="O115" s="195">
        <f t="shared" si="12"/>
        <v>0</v>
      </c>
      <c r="P115" s="195">
        <f t="shared" si="13"/>
        <v>24212032466771.645</v>
      </c>
      <c r="Q115" s="195">
        <f t="shared" si="14"/>
        <v>75481937565796.813</v>
      </c>
      <c r="R115" s="196">
        <f t="shared" si="15"/>
        <v>0.67923408900750237</v>
      </c>
      <c r="S115" s="170"/>
      <c r="T115" s="170"/>
      <c r="U115" s="195">
        <f t="shared" si="20"/>
        <v>2979344608860.4844</v>
      </c>
      <c r="V115" s="195">
        <f t="shared" si="16"/>
        <v>0</v>
      </c>
      <c r="W115" s="195">
        <f t="shared" si="16"/>
        <v>1356990781563.5273</v>
      </c>
      <c r="X115" s="195">
        <f t="shared" si="19"/>
        <v>4336335390424.0117</v>
      </c>
      <c r="Y115" s="207">
        <f t="shared" si="18"/>
        <v>0.68706507698639074</v>
      </c>
      <c r="AC115" s="251">
        <f t="shared" si="17"/>
        <v>1.00504647073079</v>
      </c>
    </row>
    <row r="116" spans="1:29" ht="15.6" x14ac:dyDescent="0.3">
      <c r="A116" s="206">
        <v>2045</v>
      </c>
      <c r="B116" s="253">
        <f>(B168/Population_Tables!O34)*Population_Tables!C34</f>
        <v>69751686561884.281</v>
      </c>
      <c r="C116" s="253">
        <f>(C168/Population_Tables!P34)*Population_Tables!D34</f>
        <v>24409211002894.484</v>
      </c>
      <c r="D116" s="253">
        <f>(D168/Population_Tables!Q34)*Population_Tables!E34</f>
        <v>52566695760536.82</v>
      </c>
      <c r="E116" s="253">
        <f>(E168/Population_Tables!R34)*Population_Tables!F34</f>
        <v>0</v>
      </c>
      <c r="F116" s="253">
        <f>(F168/Population_Tables!S34)*Population_Tables!G34</f>
        <v>0</v>
      </c>
      <c r="G116" s="253">
        <f>(G168/Population_Tables!T34)*Population_Tables!H34</f>
        <v>0</v>
      </c>
      <c r="H116" s="253">
        <f>(H168/Population_Tables!U34)*Population_Tables!I34</f>
        <v>0</v>
      </c>
      <c r="I116" s="253">
        <f>(I168/Population_Tables!V34)*Population_Tables!J34</f>
        <v>0</v>
      </c>
      <c r="J116" s="253">
        <f>(J168/Population_Tables!W34)*Population_Tables!K34</f>
        <v>0</v>
      </c>
      <c r="K116" s="253">
        <f>(K168/Population_Tables!X34)*Population_Tables!L34</f>
        <v>0</v>
      </c>
      <c r="L116" s="170"/>
      <c r="M116" s="170"/>
      <c r="N116" s="195">
        <f t="shared" si="11"/>
        <v>52566695760536.82</v>
      </c>
      <c r="O116" s="195">
        <f t="shared" si="12"/>
        <v>0</v>
      </c>
      <c r="P116" s="195">
        <f t="shared" si="13"/>
        <v>24409211002894.484</v>
      </c>
      <c r="Q116" s="195">
        <f t="shared" si="14"/>
        <v>76975906763431.313</v>
      </c>
      <c r="R116" s="196">
        <f t="shared" si="15"/>
        <v>0.68289803876022026</v>
      </c>
      <c r="S116" s="170"/>
      <c r="T116" s="170"/>
      <c r="U116" s="195">
        <f t="shared" si="20"/>
        <v>3218130481482.0625</v>
      </c>
      <c r="V116" s="195">
        <f t="shared" si="16"/>
        <v>0</v>
      </c>
      <c r="W116" s="195">
        <f t="shared" si="16"/>
        <v>1432148587324.5234</v>
      </c>
      <c r="X116" s="195">
        <f t="shared" si="19"/>
        <v>4650279068806.5859</v>
      </c>
      <c r="Y116" s="207">
        <f t="shared" si="18"/>
        <v>0.69202953927406774</v>
      </c>
      <c r="AC116" s="251">
        <f t="shared" si="17"/>
        <v>1.0100129335215133</v>
      </c>
    </row>
    <row r="117" spans="1:29" ht="15.6" x14ac:dyDescent="0.3">
      <c r="A117" s="206">
        <v>2046</v>
      </c>
      <c r="B117" s="253">
        <f>(B169/Population_Tables!O35)*Population_Tables!C35</f>
        <v>71694188174001.859</v>
      </c>
      <c r="C117" s="253">
        <f>(C169/Population_Tables!P35)*Population_Tables!D35</f>
        <v>24737012860114.578</v>
      </c>
      <c r="D117" s="253">
        <f>(D169/Population_Tables!Q35)*Population_Tables!E35</f>
        <v>53881902156528.586</v>
      </c>
      <c r="E117" s="253">
        <f>(E169/Population_Tables!R35)*Population_Tables!F35</f>
        <v>0</v>
      </c>
      <c r="F117" s="253">
        <f>(F169/Population_Tables!S35)*Population_Tables!G35</f>
        <v>0</v>
      </c>
      <c r="G117" s="253">
        <f>(G169/Population_Tables!T35)*Population_Tables!H35</f>
        <v>0</v>
      </c>
      <c r="H117" s="253">
        <f>(H169/Population_Tables!U35)*Population_Tables!I35</f>
        <v>0</v>
      </c>
      <c r="I117" s="253">
        <f>(I169/Population_Tables!V35)*Population_Tables!J35</f>
        <v>0</v>
      </c>
      <c r="J117" s="253">
        <f>(J169/Population_Tables!W35)*Population_Tables!K35</f>
        <v>0</v>
      </c>
      <c r="K117" s="253">
        <f>(K169/Population_Tables!X35)*Population_Tables!L35</f>
        <v>0</v>
      </c>
      <c r="L117" s="170"/>
      <c r="M117" s="170"/>
      <c r="N117" s="195">
        <f t="shared" si="11"/>
        <v>53881902156528.586</v>
      </c>
      <c r="O117" s="195">
        <f t="shared" si="12"/>
        <v>0</v>
      </c>
      <c r="P117" s="195">
        <f t="shared" si="13"/>
        <v>24737012860114.578</v>
      </c>
      <c r="Q117" s="195">
        <f t="shared" si="14"/>
        <v>78618915016643.156</v>
      </c>
      <c r="R117" s="196">
        <f t="shared" si="15"/>
        <v>0.68535545352059501</v>
      </c>
      <c r="S117" s="170"/>
      <c r="T117" s="170"/>
      <c r="U117" s="195">
        <f t="shared" si="20"/>
        <v>3469780200433.1953</v>
      </c>
      <c r="V117" s="195">
        <f t="shared" si="16"/>
        <v>0</v>
      </c>
      <c r="W117" s="195">
        <f t="shared" si="16"/>
        <v>1516851573247.4141</v>
      </c>
      <c r="X117" s="195">
        <f t="shared" si="19"/>
        <v>4986631773680.6094</v>
      </c>
      <c r="Y117" s="207">
        <f t="shared" si="18"/>
        <v>0.69581640632594111</v>
      </c>
      <c r="AC117" s="251">
        <f t="shared" si="17"/>
        <v>1.0139277098705055</v>
      </c>
    </row>
    <row r="118" spans="1:29" ht="15.6" x14ac:dyDescent="0.3">
      <c r="A118" s="206">
        <v>2047</v>
      </c>
      <c r="B118" s="253">
        <f>(B170/Population_Tables!O36)*Population_Tables!C36</f>
        <v>73699709546202.359</v>
      </c>
      <c r="C118" s="253">
        <f>(C170/Population_Tables!P36)*Population_Tables!D36</f>
        <v>25001516609285.742</v>
      </c>
      <c r="D118" s="253">
        <f>(D170/Population_Tables!Q36)*Population_Tables!E36</f>
        <v>55173659444339.992</v>
      </c>
      <c r="E118" s="253">
        <f>(E170/Population_Tables!R36)*Population_Tables!F36</f>
        <v>0</v>
      </c>
      <c r="F118" s="253">
        <f>(F170/Population_Tables!S36)*Population_Tables!G36</f>
        <v>0</v>
      </c>
      <c r="G118" s="253">
        <f>(G170/Population_Tables!T36)*Population_Tables!H36</f>
        <v>0</v>
      </c>
      <c r="H118" s="253">
        <f>(H170/Population_Tables!U36)*Population_Tables!I36</f>
        <v>0</v>
      </c>
      <c r="I118" s="253">
        <f>(I170/Population_Tables!V36)*Population_Tables!J36</f>
        <v>0</v>
      </c>
      <c r="J118" s="253">
        <f>(J170/Population_Tables!W36)*Population_Tables!K36</f>
        <v>0</v>
      </c>
      <c r="K118" s="253">
        <f>(K170/Population_Tables!X36)*Population_Tables!L36</f>
        <v>0</v>
      </c>
      <c r="L118" s="170"/>
      <c r="M118" s="170"/>
      <c r="N118" s="195">
        <f t="shared" si="11"/>
        <v>55173659444339.992</v>
      </c>
      <c r="O118" s="195">
        <f t="shared" si="12"/>
        <v>0</v>
      </c>
      <c r="P118" s="195">
        <f t="shared" si="13"/>
        <v>25001516609285.742</v>
      </c>
      <c r="Q118" s="195">
        <f t="shared" si="14"/>
        <v>80175176053625.734</v>
      </c>
      <c r="R118" s="196">
        <f t="shared" si="15"/>
        <v>0.6881638701664553</v>
      </c>
      <c r="S118" s="170"/>
      <c r="T118" s="170"/>
      <c r="U118" s="195">
        <f t="shared" si="20"/>
        <v>3732088332156.7266</v>
      </c>
      <c r="V118" s="195">
        <f t="shared" si="16"/>
        <v>0</v>
      </c>
      <c r="W118" s="195">
        <f t="shared" si="16"/>
        <v>1599912684631.8086</v>
      </c>
      <c r="X118" s="195">
        <f t="shared" si="19"/>
        <v>5332001016788.5352</v>
      </c>
      <c r="Y118" s="207">
        <f t="shared" si="18"/>
        <v>0.69994141419060785</v>
      </c>
      <c r="AC118" s="251">
        <f t="shared" si="17"/>
        <v>1.0197670508339689</v>
      </c>
    </row>
    <row r="119" spans="1:29" ht="15.6" x14ac:dyDescent="0.3">
      <c r="A119" s="206">
        <v>2048</v>
      </c>
      <c r="B119" s="253">
        <f>(B171/Population_Tables!O37)*Population_Tables!C37</f>
        <v>75771594352808.031</v>
      </c>
      <c r="C119" s="253">
        <f>(C171/Population_Tables!P37)*Population_Tables!D37</f>
        <v>25267530682526.66</v>
      </c>
      <c r="D119" s="253">
        <f>(D171/Population_Tables!Q37)*Population_Tables!E37</f>
        <v>56453211688255.242</v>
      </c>
      <c r="E119" s="253">
        <f>(E171/Population_Tables!R37)*Population_Tables!F37</f>
        <v>0</v>
      </c>
      <c r="F119" s="253">
        <f>(F171/Population_Tables!S37)*Population_Tables!G37</f>
        <v>0</v>
      </c>
      <c r="G119" s="253">
        <f>(G171/Population_Tables!T37)*Population_Tables!H37</f>
        <v>0</v>
      </c>
      <c r="H119" s="253">
        <f>(H171/Population_Tables!U37)*Population_Tables!I37</f>
        <v>0</v>
      </c>
      <c r="I119" s="253">
        <f>(I171/Population_Tables!V37)*Population_Tables!J37</f>
        <v>0</v>
      </c>
      <c r="J119" s="253">
        <f>(J171/Population_Tables!W37)*Population_Tables!K37</f>
        <v>0</v>
      </c>
      <c r="K119" s="253">
        <f>(K171/Population_Tables!X37)*Population_Tables!L37</f>
        <v>0</v>
      </c>
      <c r="L119" s="170"/>
      <c r="M119" s="170"/>
      <c r="N119" s="195">
        <f t="shared" si="11"/>
        <v>56453211688255.242</v>
      </c>
      <c r="O119" s="195">
        <f t="shared" si="12"/>
        <v>0</v>
      </c>
      <c r="P119" s="195">
        <f t="shared" si="13"/>
        <v>25267530682526.66</v>
      </c>
      <c r="Q119" s="195">
        <f t="shared" si="14"/>
        <v>81720742370781.906</v>
      </c>
      <c r="R119" s="196">
        <f t="shared" si="15"/>
        <v>0.69080639811269373</v>
      </c>
      <c r="S119" s="170"/>
      <c r="T119" s="170"/>
      <c r="U119" s="195">
        <f t="shared" si="20"/>
        <v>4006093588236.5859</v>
      </c>
      <c r="V119" s="195">
        <f t="shared" si="16"/>
        <v>0</v>
      </c>
      <c r="W119" s="195">
        <f t="shared" si="16"/>
        <v>1685451189837.9102</v>
      </c>
      <c r="X119" s="195">
        <f t="shared" si="19"/>
        <v>5691544778074.4961</v>
      </c>
      <c r="Y119" s="207">
        <f t="shared" si="18"/>
        <v>0.70386753411292424</v>
      </c>
      <c r="AC119" s="251">
        <f t="shared" si="17"/>
        <v>1.0265433561640172</v>
      </c>
    </row>
    <row r="120" spans="1:29" ht="15.6" x14ac:dyDescent="0.3">
      <c r="A120" s="206">
        <v>2049</v>
      </c>
      <c r="B120" s="253">
        <f>(B172/Population_Tables!O38)*Population_Tables!C38</f>
        <v>77913311907760.047</v>
      </c>
      <c r="C120" s="253">
        <f>(C172/Population_Tables!P38)*Population_Tables!D38</f>
        <v>25535286477554.773</v>
      </c>
      <c r="D120" s="253">
        <f>(D172/Population_Tables!Q38)*Population_Tables!E38</f>
        <v>57718530265956.328</v>
      </c>
      <c r="E120" s="253">
        <f>(E172/Population_Tables!R38)*Population_Tables!F38</f>
        <v>0</v>
      </c>
      <c r="F120" s="253">
        <f>(F172/Population_Tables!S38)*Population_Tables!G38</f>
        <v>0</v>
      </c>
      <c r="G120" s="253">
        <f>(G172/Population_Tables!T38)*Population_Tables!H38</f>
        <v>0</v>
      </c>
      <c r="H120" s="253">
        <f>(H172/Population_Tables!U38)*Population_Tables!I38</f>
        <v>0</v>
      </c>
      <c r="I120" s="253">
        <f>(I172/Population_Tables!V38)*Population_Tables!J38</f>
        <v>0</v>
      </c>
      <c r="J120" s="253">
        <f>(J172/Population_Tables!W38)*Population_Tables!K38</f>
        <v>0</v>
      </c>
      <c r="K120" s="253">
        <f>(K172/Population_Tables!X38)*Population_Tables!L38</f>
        <v>0</v>
      </c>
      <c r="L120" s="170"/>
      <c r="M120" s="170"/>
      <c r="N120" s="195">
        <f t="shared" si="11"/>
        <v>57718530265956.328</v>
      </c>
      <c r="O120" s="195">
        <f t="shared" si="12"/>
        <v>0</v>
      </c>
      <c r="P120" s="195">
        <f t="shared" si="13"/>
        <v>25535286477554.773</v>
      </c>
      <c r="Q120" s="195">
        <f t="shared" si="14"/>
        <v>83253816743511.094</v>
      </c>
      <c r="R120" s="196">
        <f t="shared" si="15"/>
        <v>0.69328389404387258</v>
      </c>
      <c r="S120" s="170"/>
      <c r="T120" s="170"/>
      <c r="U120" s="195">
        <f t="shared" si="20"/>
        <v>4292028184105.3672</v>
      </c>
      <c r="V120" s="195">
        <f t="shared" si="16"/>
        <v>0</v>
      </c>
      <c r="W120" s="195">
        <f t="shared" si="16"/>
        <v>1773865207375.7422</v>
      </c>
      <c r="X120" s="195">
        <f t="shared" si="19"/>
        <v>6065893391481.1094</v>
      </c>
      <c r="Y120" s="207">
        <f t="shared" si="18"/>
        <v>0.70756736182225954</v>
      </c>
      <c r="AC120" s="251">
        <f t="shared" si="17"/>
        <v>1.0342576054562729</v>
      </c>
    </row>
    <row r="121" spans="1:29" ht="16.2" thickBot="1" x14ac:dyDescent="0.35">
      <c r="A121" s="208">
        <v>2050</v>
      </c>
      <c r="B121" s="253">
        <f>(B173/Population_Tables!O39)*Population_Tables!C39</f>
        <v>80128281719378.141</v>
      </c>
      <c r="C121" s="253">
        <f>(C173/Population_Tables!P39)*Population_Tables!D39</f>
        <v>25739123739581.504</v>
      </c>
      <c r="D121" s="253">
        <f>(D173/Population_Tables!Q39)*Population_Tables!E39</f>
        <v>58988255544307.68</v>
      </c>
      <c r="E121" s="253">
        <f>(E173/Population_Tables!R39)*Population_Tables!F39</f>
        <v>0</v>
      </c>
      <c r="F121" s="253">
        <f>(F173/Population_Tables!S39)*Population_Tables!G39</f>
        <v>0</v>
      </c>
      <c r="G121" s="253">
        <f>(G173/Population_Tables!T39)*Population_Tables!H39</f>
        <v>0</v>
      </c>
      <c r="H121" s="253">
        <f>(H173/Population_Tables!U39)*Population_Tables!I39</f>
        <v>0</v>
      </c>
      <c r="I121" s="253">
        <f>(I173/Population_Tables!V39)*Population_Tables!J39</f>
        <v>0</v>
      </c>
      <c r="J121" s="253">
        <f>(J173/Population_Tables!W39)*Population_Tables!K39</f>
        <v>0</v>
      </c>
      <c r="K121" s="253">
        <f>(K173/Population_Tables!X39)*Population_Tables!L39</f>
        <v>0</v>
      </c>
      <c r="L121" s="209"/>
      <c r="M121" s="209"/>
      <c r="N121" s="195">
        <f t="shared" si="11"/>
        <v>58988255544307.68</v>
      </c>
      <c r="O121" s="195">
        <f t="shared" si="12"/>
        <v>0</v>
      </c>
      <c r="P121" s="195">
        <f t="shared" si="13"/>
        <v>25739123739581.504</v>
      </c>
      <c r="Q121" s="195">
        <f t="shared" si="14"/>
        <v>84727379283889.188</v>
      </c>
      <c r="R121" s="210">
        <f t="shared" si="15"/>
        <v>0.69621244092373602</v>
      </c>
      <c r="S121" s="209"/>
      <c r="T121" s="209"/>
      <c r="U121" s="211">
        <f t="shared" si="20"/>
        <v>4591664872418.625</v>
      </c>
      <c r="V121" s="195">
        <f t="shared" si="16"/>
        <v>0</v>
      </c>
      <c r="W121" s="211">
        <f t="shared" si="16"/>
        <v>1860740700693.0273</v>
      </c>
      <c r="X121" s="195">
        <f t="shared" si="19"/>
        <v>6452405573111.6523</v>
      </c>
      <c r="Y121" s="212">
        <f t="shared" si="18"/>
        <v>0.71162062278802307</v>
      </c>
      <c r="AC121" s="251">
        <f t="shared" si="17"/>
        <v>1.0434158885743701</v>
      </c>
    </row>
    <row r="122" spans="1:29" ht="15.6" x14ac:dyDescent="0.3">
      <c r="A122" s="213">
        <v>2051</v>
      </c>
      <c r="B122" s="253">
        <f>(B174/Population_Tables!O40)*Population_Tables!C40</f>
        <v>82419798866888.016</v>
      </c>
      <c r="C122" s="253">
        <f>(C174/Population_Tables!P40)*Population_Tables!D40</f>
        <v>26076586700308.379</v>
      </c>
      <c r="D122" s="253">
        <f>(D174/Population_Tables!Q40)*Population_Tables!E40</f>
        <v>60197990452801.141</v>
      </c>
      <c r="E122" s="253">
        <f>(E174/Population_Tables!R40)*Population_Tables!F40</f>
        <v>0</v>
      </c>
      <c r="F122" s="253">
        <f>(F174/Population_Tables!S40)*Population_Tables!G40</f>
        <v>0</v>
      </c>
      <c r="G122" s="253">
        <f>(G174/Population_Tables!T40)*Population_Tables!H40</f>
        <v>0</v>
      </c>
      <c r="H122" s="253">
        <f>(H174/Population_Tables!U40)*Population_Tables!I40</f>
        <v>0</v>
      </c>
      <c r="I122" s="253">
        <f>(I174/Population_Tables!V40)*Population_Tables!J40</f>
        <v>0</v>
      </c>
      <c r="J122" s="253">
        <f>(J174/Population_Tables!W40)*Population_Tables!K40</f>
        <v>0</v>
      </c>
      <c r="K122" s="253">
        <f>(K174/Population_Tables!X40)*Population_Tables!L40</f>
        <v>0</v>
      </c>
      <c r="N122" s="195">
        <f t="shared" si="11"/>
        <v>60197990452801.141</v>
      </c>
      <c r="O122" s="195">
        <f t="shared" si="12"/>
        <v>0</v>
      </c>
      <c r="P122" s="195">
        <f t="shared" si="13"/>
        <v>26076586700308.379</v>
      </c>
      <c r="Q122" s="195">
        <f t="shared" si="14"/>
        <v>86274577153109.516</v>
      </c>
      <c r="R122" s="214">
        <f t="shared" si="15"/>
        <v>0.69774889010431362</v>
      </c>
      <c r="U122" s="215">
        <f t="shared" si="20"/>
        <v>4900252776297.3125</v>
      </c>
      <c r="V122" s="195">
        <f t="shared" si="16"/>
        <v>0</v>
      </c>
      <c r="W122" s="215">
        <f t="shared" si="16"/>
        <v>1960550129952.7383</v>
      </c>
      <c r="X122" s="195">
        <f t="shared" si="19"/>
        <v>6860802906250.0508</v>
      </c>
      <c r="Y122" s="214">
        <f t="shared" si="18"/>
        <v>0.7142389663800548</v>
      </c>
      <c r="AC122" s="251">
        <f t="shared" si="17"/>
        <v>1.0524917221055432</v>
      </c>
    </row>
    <row r="123" spans="1:29" ht="15.6" x14ac:dyDescent="0.3">
      <c r="A123" s="194">
        <v>2052</v>
      </c>
      <c r="B123" s="253">
        <f>(B175/Population_Tables!O41)*Population_Tables!C41</f>
        <v>84791007827484.75</v>
      </c>
      <c r="C123" s="253">
        <f>(C175/Population_Tables!P41)*Population_Tables!D41</f>
        <v>26350135449450.445</v>
      </c>
      <c r="D123" s="253">
        <f>(D175/Population_Tables!Q41)*Population_Tables!E41</f>
        <v>61407687141325.086</v>
      </c>
      <c r="E123" s="253">
        <f>(E175/Population_Tables!R41)*Population_Tables!F41</f>
        <v>0</v>
      </c>
      <c r="F123" s="253">
        <f>(F175/Population_Tables!S41)*Population_Tables!G41</f>
        <v>0</v>
      </c>
      <c r="G123" s="253">
        <f>(G175/Population_Tables!T41)*Population_Tables!H41</f>
        <v>0</v>
      </c>
      <c r="H123" s="253">
        <f>(H175/Population_Tables!U41)*Population_Tables!I41</f>
        <v>0</v>
      </c>
      <c r="I123" s="253">
        <f>(I175/Population_Tables!V41)*Population_Tables!J41</f>
        <v>0</v>
      </c>
      <c r="J123" s="253">
        <f>(J175/Population_Tables!W41)*Population_Tables!K41</f>
        <v>0</v>
      </c>
      <c r="K123" s="253">
        <f>(K175/Population_Tables!X41)*Population_Tables!L41</f>
        <v>0</v>
      </c>
      <c r="N123" s="195">
        <f t="shared" si="11"/>
        <v>61407687141325.086</v>
      </c>
      <c r="O123" s="195">
        <f t="shared" si="12"/>
        <v>0</v>
      </c>
      <c r="P123" s="195">
        <f t="shared" si="13"/>
        <v>26350135449450.445</v>
      </c>
      <c r="Q123" s="195">
        <f t="shared" si="14"/>
        <v>87757822590775.531</v>
      </c>
      <c r="R123" s="196">
        <f t="shared" si="15"/>
        <v>0.69974032318094248</v>
      </c>
      <c r="U123" s="195">
        <f t="shared" si="20"/>
        <v>5222619527501.9375</v>
      </c>
      <c r="V123" s="195">
        <f t="shared" si="16"/>
        <v>0</v>
      </c>
      <c r="W123" s="195">
        <f t="shared" si="16"/>
        <v>2059158797993.6445</v>
      </c>
      <c r="X123" s="195">
        <f t="shared" si="19"/>
        <v>7281778325495.582</v>
      </c>
      <c r="Y123" s="196">
        <f t="shared" si="18"/>
        <v>0.71721759356722758</v>
      </c>
      <c r="AC123" s="251">
        <f t="shared" si="17"/>
        <v>1.0629979609473283</v>
      </c>
    </row>
    <row r="124" spans="1:29" ht="15.6" x14ac:dyDescent="0.3">
      <c r="A124" s="194">
        <v>2053</v>
      </c>
      <c r="B124" s="253">
        <f>(B176/Population_Tables!O42)*Population_Tables!C42</f>
        <v>87245015909925.594</v>
      </c>
      <c r="C124" s="253">
        <f>(C176/Population_Tables!P42)*Population_Tables!D42</f>
        <v>26625703914684.309</v>
      </c>
      <c r="D124" s="253">
        <f>(D176/Population_Tables!Q42)*Population_Tables!E42</f>
        <v>62594281146418.266</v>
      </c>
      <c r="E124" s="253">
        <f>(E176/Population_Tables!R42)*Population_Tables!F42</f>
        <v>0</v>
      </c>
      <c r="F124" s="253">
        <f>(F176/Population_Tables!S42)*Population_Tables!G42</f>
        <v>0</v>
      </c>
      <c r="G124" s="253">
        <f>(G176/Population_Tables!T42)*Population_Tables!H42</f>
        <v>0</v>
      </c>
      <c r="H124" s="253">
        <f>(H176/Population_Tables!U42)*Population_Tables!I42</f>
        <v>0</v>
      </c>
      <c r="I124" s="253">
        <f>(I176/Population_Tables!V42)*Population_Tables!J42</f>
        <v>0</v>
      </c>
      <c r="J124" s="253">
        <f>(J176/Population_Tables!W42)*Population_Tables!K42</f>
        <v>0</v>
      </c>
      <c r="K124" s="253">
        <f>(K176/Population_Tables!X42)*Population_Tables!L42</f>
        <v>0</v>
      </c>
      <c r="N124" s="195">
        <f t="shared" si="11"/>
        <v>62594281146418.266</v>
      </c>
      <c r="O124" s="195">
        <f t="shared" si="12"/>
        <v>0</v>
      </c>
      <c r="P124" s="195">
        <f t="shared" si="13"/>
        <v>26625703914684.309</v>
      </c>
      <c r="Q124" s="195">
        <f t="shared" si="14"/>
        <v>89219985061102.578</v>
      </c>
      <c r="R124" s="196">
        <f t="shared" si="15"/>
        <v>0.70157242352764781</v>
      </c>
      <c r="U124" s="195">
        <f t="shared" si="20"/>
        <v>5557089952281.3438</v>
      </c>
      <c r="V124" s="195">
        <f t="shared" si="16"/>
        <v>0</v>
      </c>
      <c r="W124" s="195">
        <f t="shared" si="16"/>
        <v>2161587855841.2305</v>
      </c>
      <c r="X124" s="195">
        <f t="shared" si="19"/>
        <v>7718677808122.5742</v>
      </c>
      <c r="Y124" s="196">
        <f t="shared" si="18"/>
        <v>0.71995360998660507</v>
      </c>
      <c r="AC124" s="251">
        <f t="shared" si="17"/>
        <v>1.0743898236282405</v>
      </c>
    </row>
    <row r="125" spans="1:29" ht="15.6" x14ac:dyDescent="0.3">
      <c r="A125" s="194">
        <v>2054</v>
      </c>
      <c r="B125" s="253">
        <f>(B177/Population_Tables!O43)*Population_Tables!C43</f>
        <v>89784836972734.438</v>
      </c>
      <c r="C125" s="253">
        <f>(C177/Population_Tables!P43)*Population_Tables!D43</f>
        <v>26903383325055.57</v>
      </c>
      <c r="D125" s="253">
        <f>(D177/Population_Tables!Q43)*Population_Tables!E43</f>
        <v>63755378573942.141</v>
      </c>
      <c r="E125" s="253">
        <f>(E177/Population_Tables!R43)*Population_Tables!F43</f>
        <v>0</v>
      </c>
      <c r="F125" s="253">
        <f>(F177/Population_Tables!S43)*Population_Tables!G43</f>
        <v>0</v>
      </c>
      <c r="G125" s="253">
        <f>(G177/Population_Tables!T43)*Population_Tables!H43</f>
        <v>0</v>
      </c>
      <c r="H125" s="253">
        <f>(H177/Population_Tables!U43)*Population_Tables!I43</f>
        <v>0</v>
      </c>
      <c r="I125" s="253">
        <f>(I177/Population_Tables!V43)*Population_Tables!J43</f>
        <v>0</v>
      </c>
      <c r="J125" s="253">
        <f>(J177/Population_Tables!W43)*Population_Tables!K43</f>
        <v>0</v>
      </c>
      <c r="K125" s="253">
        <f>(K177/Population_Tables!X43)*Population_Tables!L43</f>
        <v>0</v>
      </c>
      <c r="N125" s="195">
        <f t="shared" si="11"/>
        <v>63755378573942.141</v>
      </c>
      <c r="O125" s="195">
        <f t="shared" si="12"/>
        <v>0</v>
      </c>
      <c r="P125" s="195">
        <f t="shared" si="13"/>
        <v>26903383325055.57</v>
      </c>
      <c r="Q125" s="195">
        <f t="shared" si="14"/>
        <v>90658761898997.719</v>
      </c>
      <c r="R125" s="196">
        <f t="shared" si="15"/>
        <v>0.70324563493346126</v>
      </c>
      <c r="U125" s="195">
        <f t="shared" si="20"/>
        <v>5903530994247.6172</v>
      </c>
      <c r="V125" s="195">
        <f t="shared" si="16"/>
        <v>0</v>
      </c>
      <c r="W125" s="195">
        <f t="shared" si="16"/>
        <v>2268095253333.6797</v>
      </c>
      <c r="X125" s="195">
        <f t="shared" si="19"/>
        <v>8171626247581.2969</v>
      </c>
      <c r="Y125" s="196">
        <f t="shared" si="18"/>
        <v>0.7224426100000586</v>
      </c>
      <c r="AC125" s="251">
        <f t="shared" si="17"/>
        <v>1.0866257624548368</v>
      </c>
    </row>
    <row r="126" spans="1:29" ht="15.6" x14ac:dyDescent="0.3">
      <c r="A126" s="194">
        <v>2055</v>
      </c>
      <c r="B126" s="253">
        <f>(B178/Population_Tables!O44)*Population_Tables!C44</f>
        <v>92413510962607.719</v>
      </c>
      <c r="C126" s="253">
        <f>(C178/Population_Tables!P44)*Population_Tables!D44</f>
        <v>27131777052377.27</v>
      </c>
      <c r="D126" s="253">
        <f>(D178/Population_Tables!Q44)*Population_Tables!E44</f>
        <v>65002369929261.805</v>
      </c>
      <c r="E126" s="253">
        <f>(E178/Population_Tables!R44)*Population_Tables!F44</f>
        <v>0</v>
      </c>
      <c r="F126" s="253">
        <f>(F178/Population_Tables!S44)*Population_Tables!G44</f>
        <v>0</v>
      </c>
      <c r="G126" s="253">
        <f>(G178/Population_Tables!T44)*Population_Tables!H44</f>
        <v>0</v>
      </c>
      <c r="H126" s="253">
        <f>(H178/Population_Tables!U44)*Population_Tables!I44</f>
        <v>0</v>
      </c>
      <c r="I126" s="253">
        <f>(I178/Population_Tables!V44)*Population_Tables!J44</f>
        <v>0</v>
      </c>
      <c r="J126" s="253">
        <f>(J178/Population_Tables!W44)*Population_Tables!K44</f>
        <v>0</v>
      </c>
      <c r="K126" s="253">
        <f>(K178/Population_Tables!X44)*Population_Tables!L44</f>
        <v>0</v>
      </c>
      <c r="N126" s="195">
        <f t="shared" si="11"/>
        <v>65002369929261.805</v>
      </c>
      <c r="O126" s="195">
        <f t="shared" si="12"/>
        <v>0</v>
      </c>
      <c r="P126" s="195">
        <f t="shared" si="13"/>
        <v>27131777052377.27</v>
      </c>
      <c r="Q126" s="195">
        <f t="shared" si="14"/>
        <v>92134146981639.078</v>
      </c>
      <c r="R126" s="196">
        <f t="shared" si="15"/>
        <v>0.70551876865171148</v>
      </c>
      <c r="U126" s="195">
        <f t="shared" si="20"/>
        <v>6272711667317.75</v>
      </c>
      <c r="V126" s="195">
        <f t="shared" si="16"/>
        <v>0</v>
      </c>
      <c r="W126" s="195">
        <f t="shared" si="16"/>
        <v>2374389841915.1328</v>
      </c>
      <c r="X126" s="195">
        <f t="shared" si="19"/>
        <v>8647101509232.8828</v>
      </c>
      <c r="Y126" s="196">
        <f t="shared" si="18"/>
        <v>0.72541205404147335</v>
      </c>
      <c r="AC126" s="251">
        <f t="shared" si="17"/>
        <v>1.0988578003986627</v>
      </c>
    </row>
    <row r="127" spans="1:29" ht="15.6" x14ac:dyDescent="0.3">
      <c r="A127" s="194">
        <v>2056</v>
      </c>
      <c r="B127" s="253">
        <f>(B179/Population_Tables!O45)*Population_Tables!C45</f>
        <v>95134354467373.266</v>
      </c>
      <c r="C127" s="253">
        <f>(C179/Population_Tables!P45)*Population_Tables!D45</f>
        <v>27465184045779.941</v>
      </c>
      <c r="D127" s="253">
        <f>(D179/Population_Tables!Q45)*Population_Tables!E45</f>
        <v>65991096576816.781</v>
      </c>
      <c r="E127" s="253">
        <f>(E179/Population_Tables!R45)*Population_Tables!F45</f>
        <v>0</v>
      </c>
      <c r="F127" s="253">
        <f>(F179/Population_Tables!S45)*Population_Tables!G45</f>
        <v>0</v>
      </c>
      <c r="G127" s="253">
        <f>(G179/Population_Tables!T45)*Population_Tables!H45</f>
        <v>0</v>
      </c>
      <c r="H127" s="253">
        <f>(H179/Population_Tables!U45)*Population_Tables!I45</f>
        <v>0</v>
      </c>
      <c r="I127" s="253">
        <f>(I179/Population_Tables!V45)*Population_Tables!J45</f>
        <v>0</v>
      </c>
      <c r="J127" s="253">
        <f>(J179/Population_Tables!W45)*Population_Tables!K45</f>
        <v>0</v>
      </c>
      <c r="K127" s="253">
        <f>(K179/Population_Tables!X45)*Population_Tables!L45</f>
        <v>0</v>
      </c>
      <c r="N127" s="195">
        <f t="shared" si="11"/>
        <v>65991096576816.781</v>
      </c>
      <c r="O127" s="195">
        <f t="shared" si="12"/>
        <v>0</v>
      </c>
      <c r="P127" s="195">
        <f t="shared" si="13"/>
        <v>27465184045779.941</v>
      </c>
      <c r="Q127" s="195">
        <f t="shared" si="14"/>
        <v>93456280622596.719</v>
      </c>
      <c r="R127" s="196">
        <f t="shared" si="15"/>
        <v>0.70611730038035392</v>
      </c>
      <c r="U127" s="195">
        <f t="shared" si="20"/>
        <v>6631381161278.0469</v>
      </c>
      <c r="V127" s="195">
        <f t="shared" si="16"/>
        <v>0</v>
      </c>
      <c r="W127" s="195">
        <f t="shared" si="16"/>
        <v>2494121014993.1641</v>
      </c>
      <c r="X127" s="195">
        <f t="shared" si="19"/>
        <v>9125502176271.2109</v>
      </c>
      <c r="Y127" s="196">
        <f t="shared" si="18"/>
        <v>0.72668671084441172</v>
      </c>
      <c r="AC127" s="251">
        <f t="shared" si="17"/>
        <v>1.1135802342500751</v>
      </c>
    </row>
    <row r="128" spans="1:29" ht="15.6" x14ac:dyDescent="0.3">
      <c r="A128" s="194">
        <v>2057</v>
      </c>
      <c r="B128" s="253">
        <f>(B180/Population_Tables!O46)*Population_Tables!C46</f>
        <v>97950590570344</v>
      </c>
      <c r="C128" s="253">
        <f>(C180/Population_Tables!P46)*Population_Tables!D46</f>
        <v>27749164647937.746</v>
      </c>
      <c r="D128" s="253">
        <f>(D180/Population_Tables!Q46)*Population_Tables!E46</f>
        <v>67060522694663.719</v>
      </c>
      <c r="E128" s="253">
        <f>(E180/Population_Tables!R46)*Population_Tables!F46</f>
        <v>0</v>
      </c>
      <c r="F128" s="253">
        <f>(F180/Population_Tables!S46)*Population_Tables!G46</f>
        <v>0</v>
      </c>
      <c r="G128" s="253">
        <f>(G180/Population_Tables!T46)*Population_Tables!H46</f>
        <v>0</v>
      </c>
      <c r="H128" s="253">
        <f>(H180/Population_Tables!U46)*Population_Tables!I46</f>
        <v>0</v>
      </c>
      <c r="I128" s="253">
        <f>(I180/Population_Tables!V46)*Population_Tables!J46</f>
        <v>0</v>
      </c>
      <c r="J128" s="253">
        <f>(J180/Population_Tables!W46)*Population_Tables!K46</f>
        <v>0</v>
      </c>
      <c r="K128" s="253">
        <f>(K180/Population_Tables!X46)*Population_Tables!L46</f>
        <v>0</v>
      </c>
      <c r="N128" s="195">
        <f t="shared" si="11"/>
        <v>67060522694663.719</v>
      </c>
      <c r="O128" s="195">
        <f t="shared" si="12"/>
        <v>0</v>
      </c>
      <c r="P128" s="195">
        <f t="shared" si="13"/>
        <v>27749164647937.746</v>
      </c>
      <c r="Q128" s="195">
        <f t="shared" si="14"/>
        <v>94809687342601.469</v>
      </c>
      <c r="R128" s="196">
        <f t="shared" si="15"/>
        <v>0.70731720116675212</v>
      </c>
      <c r="U128" s="195">
        <f t="shared" si="20"/>
        <v>7012117504339.5938</v>
      </c>
      <c r="V128" s="195">
        <f t="shared" si="16"/>
        <v>0</v>
      </c>
      <c r="W128" s="195">
        <f t="shared" si="16"/>
        <v>2613832112550.0664</v>
      </c>
      <c r="X128" s="195">
        <f t="shared" si="19"/>
        <v>9625949616889.6602</v>
      </c>
      <c r="Y128" s="196">
        <f t="shared" si="18"/>
        <v>0.72845981782785929</v>
      </c>
      <c r="AC128" s="251">
        <f t="shared" si="17"/>
        <v>1.1283397674823439</v>
      </c>
    </row>
    <row r="129" spans="1:29" ht="15.6" x14ac:dyDescent="0.3">
      <c r="A129" s="194">
        <v>2058</v>
      </c>
      <c r="B129" s="253">
        <f>(B181/Population_Tables!O47)*Population_Tables!C47</f>
        <v>100864990059269.22</v>
      </c>
      <c r="C129" s="253">
        <f>(C181/Population_Tables!P47)*Population_Tables!D47</f>
        <v>28034933347450.859</v>
      </c>
      <c r="D129" s="253">
        <f>(D181/Population_Tables!Q47)*Population_Tables!E47</f>
        <v>68093814106845.531</v>
      </c>
      <c r="E129" s="253">
        <f>(E181/Population_Tables!R47)*Population_Tables!F47</f>
        <v>0</v>
      </c>
      <c r="F129" s="253">
        <f>(F181/Population_Tables!S47)*Population_Tables!G47</f>
        <v>0</v>
      </c>
      <c r="G129" s="253">
        <f>(G181/Population_Tables!T47)*Population_Tables!H47</f>
        <v>0</v>
      </c>
      <c r="H129" s="253">
        <f>(H181/Population_Tables!U47)*Population_Tables!I47</f>
        <v>0</v>
      </c>
      <c r="I129" s="253">
        <f>(I181/Population_Tables!V47)*Population_Tables!J47</f>
        <v>0</v>
      </c>
      <c r="J129" s="253">
        <f>(J181/Population_Tables!W47)*Population_Tables!K47</f>
        <v>0</v>
      </c>
      <c r="K129" s="253">
        <f>(K181/Population_Tables!X47)*Population_Tables!L47</f>
        <v>0</v>
      </c>
      <c r="N129" s="195">
        <f t="shared" si="11"/>
        <v>68093814106845.531</v>
      </c>
      <c r="O129" s="195">
        <f t="shared" si="12"/>
        <v>0</v>
      </c>
      <c r="P129" s="195">
        <f t="shared" si="13"/>
        <v>28034933347450.859</v>
      </c>
      <c r="Q129" s="195">
        <f t="shared" si="14"/>
        <v>96128747454296.391</v>
      </c>
      <c r="R129" s="196">
        <f t="shared" si="15"/>
        <v>0.70836056757340116</v>
      </c>
      <c r="U129" s="195">
        <f t="shared" si="20"/>
        <v>7403229687494.6563</v>
      </c>
      <c r="V129" s="195">
        <f t="shared" si="16"/>
        <v>0</v>
      </c>
      <c r="W129" s="195">
        <f t="shared" si="16"/>
        <v>2737965585140.0898</v>
      </c>
      <c r="X129" s="195">
        <f t="shared" si="19"/>
        <v>10141195272634.746</v>
      </c>
      <c r="Y129" s="196">
        <f t="shared" si="18"/>
        <v>0.73001549506414842</v>
      </c>
      <c r="AC129" s="251">
        <f t="shared" si="17"/>
        <v>1.1439757810864957</v>
      </c>
    </row>
    <row r="130" spans="1:29" ht="15.6" x14ac:dyDescent="0.3">
      <c r="A130" s="194">
        <v>2059</v>
      </c>
      <c r="B130" s="253">
        <f>(B182/Population_Tables!O48)*Population_Tables!C48</f>
        <v>103880121664315.28</v>
      </c>
      <c r="C130" s="253">
        <f>(C182/Population_Tables!P48)*Population_Tables!D48</f>
        <v>28322182367129.297</v>
      </c>
      <c r="D130" s="253">
        <f>(D182/Population_Tables!Q48)*Population_Tables!E48</f>
        <v>69087846515431.852</v>
      </c>
      <c r="E130" s="253">
        <f>(E182/Population_Tables!R48)*Population_Tables!F48</f>
        <v>0</v>
      </c>
      <c r="F130" s="253">
        <f>(F182/Population_Tables!S48)*Population_Tables!G48</f>
        <v>0</v>
      </c>
      <c r="G130" s="253">
        <f>(G182/Population_Tables!T48)*Population_Tables!H48</f>
        <v>0</v>
      </c>
      <c r="H130" s="253">
        <f>(H182/Population_Tables!U48)*Population_Tables!I48</f>
        <v>0</v>
      </c>
      <c r="I130" s="253">
        <f>(I182/Population_Tables!V48)*Population_Tables!J48</f>
        <v>0</v>
      </c>
      <c r="J130" s="253">
        <f>(J182/Population_Tables!W48)*Population_Tables!K48</f>
        <v>0</v>
      </c>
      <c r="K130" s="253">
        <f>(K182/Population_Tables!X48)*Population_Tables!L48</f>
        <v>0</v>
      </c>
      <c r="N130" s="195">
        <f t="shared" si="11"/>
        <v>69087846515431.852</v>
      </c>
      <c r="O130" s="195">
        <f t="shared" si="12"/>
        <v>0</v>
      </c>
      <c r="P130" s="195">
        <f t="shared" si="13"/>
        <v>28322182367129.297</v>
      </c>
      <c r="Q130" s="195">
        <f t="shared" si="14"/>
        <v>97410028882561.156</v>
      </c>
      <c r="R130" s="196">
        <f t="shared" si="15"/>
        <v>0.70924777774909697</v>
      </c>
      <c r="U130" s="195">
        <f t="shared" si="20"/>
        <v>7803854250563.4766</v>
      </c>
      <c r="V130" s="195">
        <f t="shared" si="16"/>
        <v>0</v>
      </c>
      <c r="W130" s="195">
        <f t="shared" si="16"/>
        <v>2866380376365.832</v>
      </c>
      <c r="X130" s="195">
        <f t="shared" si="19"/>
        <v>10670234626929.309</v>
      </c>
      <c r="Y130" s="196">
        <f t="shared" si="18"/>
        <v>0.73136669655494524</v>
      </c>
      <c r="AC130" s="251">
        <f t="shared" si="17"/>
        <v>1.1605044737119792</v>
      </c>
    </row>
    <row r="131" spans="1:29" ht="15.6" x14ac:dyDescent="0.3">
      <c r="A131" s="194">
        <v>2060</v>
      </c>
      <c r="B131" s="253">
        <f>(B183/Population_Tables!O49)*Population_Tables!C49</f>
        <v>106998691429517.64</v>
      </c>
      <c r="C131" s="253">
        <f>(C183/Population_Tables!P49)*Population_Tables!D49</f>
        <v>28672189345748.031</v>
      </c>
      <c r="D131" s="253">
        <f>(D183/Population_Tables!Q49)*Population_Tables!E49</f>
        <v>69970035624483.164</v>
      </c>
      <c r="E131" s="253">
        <f>(E183/Population_Tables!R49)*Population_Tables!F49</f>
        <v>0</v>
      </c>
      <c r="F131" s="253">
        <f>(F183/Population_Tables!S49)*Population_Tables!G49</f>
        <v>0</v>
      </c>
      <c r="G131" s="253">
        <f>(G183/Population_Tables!T49)*Population_Tables!H49</f>
        <v>0</v>
      </c>
      <c r="H131" s="253">
        <f>(H183/Population_Tables!U49)*Population_Tables!I49</f>
        <v>0</v>
      </c>
      <c r="I131" s="253">
        <f>(I183/Population_Tables!V49)*Population_Tables!J49</f>
        <v>0</v>
      </c>
      <c r="J131" s="253">
        <f>(J183/Population_Tables!W49)*Population_Tables!K49</f>
        <v>0</v>
      </c>
      <c r="K131" s="253">
        <f>(K183/Population_Tables!X49)*Population_Tables!L49</f>
        <v>0</v>
      </c>
      <c r="N131" s="195">
        <f t="shared" si="11"/>
        <v>69970035624483.164</v>
      </c>
      <c r="O131" s="195">
        <f t="shared" si="12"/>
        <v>0</v>
      </c>
      <c r="P131" s="195">
        <f t="shared" si="13"/>
        <v>28672189345748.031</v>
      </c>
      <c r="Q131" s="195">
        <f t="shared" si="14"/>
        <v>98642224970231.188</v>
      </c>
      <c r="R131" s="196">
        <f>N131/Q131</f>
        <v>0.7093314819855201</v>
      </c>
      <c r="U131" s="195">
        <f t="shared" si="20"/>
        <v>8204910186185.6328</v>
      </c>
      <c r="V131" s="195">
        <f t="shared" si="16"/>
        <v>0</v>
      </c>
      <c r="W131" s="195">
        <f t="shared" si="16"/>
        <v>3005384128601.9141</v>
      </c>
      <c r="X131" s="195">
        <f t="shared" si="19"/>
        <v>11210294314787.547</v>
      </c>
      <c r="Y131" s="196">
        <f t="shared" si="18"/>
        <v>0.73190854368225644</v>
      </c>
      <c r="AC131" s="251">
        <f t="shared" si="17"/>
        <v>1.1781363168022736</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357</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356</v>
      </c>
      <c r="E136" s="191"/>
      <c r="F136" s="191"/>
      <c r="G136" s="191"/>
      <c r="H136" s="191"/>
      <c r="I136" s="191"/>
      <c r="J136" s="191"/>
      <c r="K136" s="192"/>
      <c r="N136" s="219" t="str">
        <f>D136</f>
        <v>Non OECD Region (less China, Mexico, Brazil, Russia)</v>
      </c>
      <c r="O136" s="219"/>
      <c r="P136" s="219" t="str">
        <f>C136</f>
        <v>OECD90</v>
      </c>
      <c r="Q136" s="219" t="str">
        <f>Q84</f>
        <v>Total</v>
      </c>
      <c r="R136" s="219" t="str">
        <f>R84</f>
        <v>% Non OECD Region (less China, Mexico, Brazil, Russia)</v>
      </c>
      <c r="AC136" s="251"/>
    </row>
    <row r="137" spans="1:29" ht="15.6" x14ac:dyDescent="0.3">
      <c r="A137" s="194">
        <v>2014</v>
      </c>
      <c r="B137" s="229">
        <v>27598230656003.266</v>
      </c>
      <c r="C137" s="229">
        <f>H334*10^9</f>
        <v>17944221871904.836</v>
      </c>
      <c r="D137" s="229">
        <f>H268*10^9</f>
        <v>18368056852998.395</v>
      </c>
      <c r="E137" s="229"/>
      <c r="F137" s="229"/>
      <c r="G137" s="229"/>
      <c r="H137" s="229"/>
      <c r="I137" s="229"/>
      <c r="J137" s="229"/>
      <c r="K137" s="229"/>
      <c r="N137" s="195">
        <f>D137</f>
        <v>18368056852998.395</v>
      </c>
      <c r="O137" s="195">
        <f>H137</f>
        <v>0</v>
      </c>
      <c r="P137" s="195">
        <f>C137</f>
        <v>17944221871904.836</v>
      </c>
      <c r="Q137" s="195">
        <f>N137+P137+O137</f>
        <v>36312278724903.234</v>
      </c>
      <c r="R137" s="196">
        <f>N137/Q137</f>
        <v>0.50583597333982355</v>
      </c>
      <c r="AC137" s="251"/>
    </row>
    <row r="138" spans="1:29" ht="15.6" x14ac:dyDescent="0.3">
      <c r="A138" s="194">
        <v>2015</v>
      </c>
      <c r="B138" s="229">
        <v>29094689547859.809</v>
      </c>
      <c r="C138" s="229">
        <f t="shared" ref="C138:C183" si="21">H335*10^9</f>
        <v>18025401562858.074</v>
      </c>
      <c r="D138" s="229">
        <f t="shared" ref="D138:D183" si="22">H269*10^9</f>
        <v>18978853431504.145</v>
      </c>
      <c r="E138" s="229"/>
      <c r="F138" s="229"/>
      <c r="G138" s="229"/>
      <c r="H138" s="229"/>
      <c r="I138" s="229"/>
      <c r="J138" s="229"/>
      <c r="K138" s="229"/>
      <c r="N138" s="195">
        <f t="shared" ref="N138:N183" si="23">D138</f>
        <v>18978853431504.145</v>
      </c>
      <c r="O138" s="195">
        <f t="shared" ref="O138:O183" si="24">H138</f>
        <v>0</v>
      </c>
      <c r="P138" s="195">
        <f t="shared" ref="P138:P183" si="25">C138</f>
        <v>18025401562858.074</v>
      </c>
      <c r="Q138" s="195">
        <f t="shared" ref="Q138:Q183" si="26">N138+P138+O138</f>
        <v>37004254994362.219</v>
      </c>
      <c r="R138" s="196">
        <f t="shared" ref="R138:R182" si="27">N138/Q138</f>
        <v>0.51288300316803204</v>
      </c>
      <c r="AC138" s="251"/>
    </row>
    <row r="139" spans="1:29" ht="15.6" x14ac:dyDescent="0.3">
      <c r="A139" s="194">
        <v>2016</v>
      </c>
      <c r="B139" s="229">
        <v>30152920538466.883</v>
      </c>
      <c r="C139" s="229">
        <f t="shared" si="21"/>
        <v>18154129849832.75</v>
      </c>
      <c r="D139" s="229">
        <f t="shared" si="22"/>
        <v>19627894279113.238</v>
      </c>
      <c r="E139" s="229"/>
      <c r="F139" s="229"/>
      <c r="G139" s="229"/>
      <c r="H139" s="229"/>
      <c r="I139" s="229"/>
      <c r="J139" s="229"/>
      <c r="K139" s="229"/>
      <c r="N139" s="195">
        <f t="shared" si="23"/>
        <v>19627894279113.238</v>
      </c>
      <c r="O139" s="195">
        <f t="shared" si="24"/>
        <v>0</v>
      </c>
      <c r="P139" s="195">
        <f t="shared" si="25"/>
        <v>18154129849832.75</v>
      </c>
      <c r="Q139" s="195">
        <f t="shared" si="26"/>
        <v>37782024128945.984</v>
      </c>
      <c r="R139" s="196">
        <f t="shared" si="27"/>
        <v>0.51950351342017431</v>
      </c>
      <c r="AC139" s="251"/>
    </row>
    <row r="140" spans="1:29" ht="15.6" x14ac:dyDescent="0.3">
      <c r="A140" s="194">
        <v>2017</v>
      </c>
      <c r="B140" s="229">
        <v>31206719008903.949</v>
      </c>
      <c r="C140" s="229">
        <f t="shared" si="21"/>
        <v>18287059411625.629</v>
      </c>
      <c r="D140" s="229">
        <f t="shared" si="22"/>
        <v>20323118928738.949</v>
      </c>
      <c r="E140" s="229"/>
      <c r="F140" s="229"/>
      <c r="G140" s="229"/>
      <c r="H140" s="229"/>
      <c r="I140" s="229"/>
      <c r="J140" s="229"/>
      <c r="K140" s="229"/>
      <c r="N140" s="195">
        <f t="shared" si="23"/>
        <v>20323118928738.949</v>
      </c>
      <c r="O140" s="195">
        <f t="shared" si="24"/>
        <v>0</v>
      </c>
      <c r="P140" s="195">
        <f t="shared" si="25"/>
        <v>18287059411625.629</v>
      </c>
      <c r="Q140" s="195">
        <f t="shared" si="26"/>
        <v>38610178340364.578</v>
      </c>
      <c r="R140" s="196">
        <f t="shared" si="27"/>
        <v>0.52636687532448856</v>
      </c>
      <c r="AC140" s="251"/>
    </row>
    <row r="141" spans="1:29" ht="15.6" x14ac:dyDescent="0.3">
      <c r="A141" s="194">
        <v>2018</v>
      </c>
      <c r="B141" s="229">
        <v>32257597612266.023</v>
      </c>
      <c r="C141" s="229">
        <f t="shared" si="21"/>
        <v>18424023527444.137</v>
      </c>
      <c r="D141" s="229">
        <f t="shared" si="22"/>
        <v>21062266542630.672</v>
      </c>
      <c r="E141" s="229"/>
      <c r="F141" s="229"/>
      <c r="G141" s="229"/>
      <c r="H141" s="229"/>
      <c r="I141" s="229"/>
      <c r="J141" s="229"/>
      <c r="K141" s="229"/>
      <c r="N141" s="195">
        <f t="shared" si="23"/>
        <v>21062266542630.672</v>
      </c>
      <c r="O141" s="195">
        <f t="shared" si="24"/>
        <v>0</v>
      </c>
      <c r="P141" s="195">
        <f t="shared" si="25"/>
        <v>18424023527444.137</v>
      </c>
      <c r="Q141" s="195">
        <f t="shared" si="26"/>
        <v>39486290070074.813</v>
      </c>
      <c r="R141" s="196">
        <f t="shared" si="27"/>
        <v>0.53340707636124518</v>
      </c>
      <c r="AC141" s="251"/>
    </row>
    <row r="142" spans="1:29" ht="16.2" thickBot="1" x14ac:dyDescent="0.35">
      <c r="A142" s="198">
        <v>2019</v>
      </c>
      <c r="B142" s="230">
        <v>33307069001648.133</v>
      </c>
      <c r="C142" s="229">
        <f t="shared" si="21"/>
        <v>18564855476495.68</v>
      </c>
      <c r="D142" s="229">
        <f t="shared" si="22"/>
        <v>21843076283037.773</v>
      </c>
      <c r="E142" s="230"/>
      <c r="F142" s="230"/>
      <c r="G142" s="230"/>
      <c r="H142" s="230"/>
      <c r="I142" s="230"/>
      <c r="J142" s="230"/>
      <c r="K142" s="230"/>
      <c r="N142" s="195">
        <f t="shared" si="23"/>
        <v>21843076283037.773</v>
      </c>
      <c r="O142" s="195">
        <f t="shared" si="24"/>
        <v>0</v>
      </c>
      <c r="P142" s="195">
        <f t="shared" si="25"/>
        <v>18564855476495.68</v>
      </c>
      <c r="Q142" s="195">
        <f t="shared" si="26"/>
        <v>40407931759533.453</v>
      </c>
      <c r="R142" s="199">
        <f t="shared" si="27"/>
        <v>0.54056407571229703</v>
      </c>
      <c r="AC142" s="251"/>
    </row>
    <row r="143" spans="1:29" ht="15.6" x14ac:dyDescent="0.3">
      <c r="A143" s="201">
        <v>2020</v>
      </c>
      <c r="B143" s="228">
        <v>34356645830145.297</v>
      </c>
      <c r="C143" s="229">
        <f t="shared" si="21"/>
        <v>18709388537987.672</v>
      </c>
      <c r="D143" s="229">
        <f t="shared" si="22"/>
        <v>22663287312209.648</v>
      </c>
      <c r="E143" s="228"/>
      <c r="F143" s="228"/>
      <c r="G143" s="228"/>
      <c r="H143" s="228"/>
      <c r="I143" s="228"/>
      <c r="J143" s="228"/>
      <c r="K143" s="228"/>
      <c r="L143" s="202"/>
      <c r="M143" s="202"/>
      <c r="N143" s="195">
        <f t="shared" si="23"/>
        <v>22663287312209.648</v>
      </c>
      <c r="O143" s="195">
        <f t="shared" si="24"/>
        <v>0</v>
      </c>
      <c r="P143" s="195">
        <f t="shared" si="25"/>
        <v>18709388537987.672</v>
      </c>
      <c r="Q143" s="195">
        <f t="shared" si="26"/>
        <v>41372675850197.32</v>
      </c>
      <c r="R143" s="220">
        <f t="shared" si="27"/>
        <v>0.54778393822698701</v>
      </c>
      <c r="AC143" s="251"/>
    </row>
    <row r="144" spans="1:29" ht="15.6" x14ac:dyDescent="0.3">
      <c r="A144" s="206">
        <v>2021</v>
      </c>
      <c r="B144" s="229">
        <v>35407840750852.531</v>
      </c>
      <c r="C144" s="229">
        <f t="shared" si="21"/>
        <v>18857455991127.539</v>
      </c>
      <c r="D144" s="229">
        <f t="shared" si="22"/>
        <v>23520638792395.688</v>
      </c>
      <c r="E144" s="229"/>
      <c r="F144" s="229"/>
      <c r="G144" s="229"/>
      <c r="H144" s="229"/>
      <c r="I144" s="229"/>
      <c r="J144" s="229"/>
      <c r="K144" s="229"/>
      <c r="L144" s="170"/>
      <c r="M144" s="170"/>
      <c r="N144" s="195">
        <f t="shared" si="23"/>
        <v>23520638792395.688</v>
      </c>
      <c r="O144" s="195">
        <f t="shared" si="24"/>
        <v>0</v>
      </c>
      <c r="P144" s="195">
        <f t="shared" si="25"/>
        <v>18857455991127.539</v>
      </c>
      <c r="Q144" s="195">
        <f t="shared" si="26"/>
        <v>42378094783523.227</v>
      </c>
      <c r="R144" s="221">
        <f t="shared" si="27"/>
        <v>0.55501878771436908</v>
      </c>
      <c r="AC144" s="251"/>
    </row>
    <row r="145" spans="1:29" ht="15.6" x14ac:dyDescent="0.3">
      <c r="A145" s="206">
        <v>2022</v>
      </c>
      <c r="B145" s="229">
        <v>36462166416864.875</v>
      </c>
      <c r="C145" s="229">
        <f t="shared" si="21"/>
        <v>19008891115122.68</v>
      </c>
      <c r="D145" s="229">
        <f t="shared" si="22"/>
        <v>24412869885845.258</v>
      </c>
      <c r="E145" s="229"/>
      <c r="F145" s="229"/>
      <c r="G145" s="229"/>
      <c r="H145" s="229"/>
      <c r="I145" s="229"/>
      <c r="J145" s="229"/>
      <c r="K145" s="229"/>
      <c r="L145" s="170"/>
      <c r="M145" s="170"/>
      <c r="N145" s="195">
        <f t="shared" si="23"/>
        <v>24412869885845.258</v>
      </c>
      <c r="O145" s="195">
        <f t="shared" si="24"/>
        <v>0</v>
      </c>
      <c r="P145" s="195">
        <f t="shared" si="25"/>
        <v>19008891115122.68</v>
      </c>
      <c r="Q145" s="195">
        <f t="shared" si="26"/>
        <v>43421761000967.938</v>
      </c>
      <c r="R145" s="221">
        <f t="shared" si="27"/>
        <v>0.56222661916685179</v>
      </c>
      <c r="AC145" s="251"/>
    </row>
    <row r="146" spans="1:29" ht="15.6" x14ac:dyDescent="0.3">
      <c r="A146" s="206">
        <v>2023</v>
      </c>
      <c r="B146" s="229">
        <v>37521135481277.328</v>
      </c>
      <c r="C146" s="229">
        <f t="shared" si="21"/>
        <v>19163527189180.516</v>
      </c>
      <c r="D146" s="229">
        <f t="shared" si="22"/>
        <v>25337719754807.758</v>
      </c>
      <c r="E146" s="229"/>
      <c r="F146" s="229"/>
      <c r="G146" s="229"/>
      <c r="H146" s="229"/>
      <c r="I146" s="229"/>
      <c r="J146" s="229"/>
      <c r="K146" s="229"/>
      <c r="L146" s="170"/>
      <c r="M146" s="170"/>
      <c r="N146" s="195">
        <f t="shared" si="23"/>
        <v>25337719754807.758</v>
      </c>
      <c r="O146" s="195">
        <f t="shared" si="24"/>
        <v>0</v>
      </c>
      <c r="P146" s="195">
        <f t="shared" si="25"/>
        <v>19163527189180.516</v>
      </c>
      <c r="Q146" s="195">
        <f>N146+P146+O146</f>
        <v>44501246943988.273</v>
      </c>
      <c r="R146" s="221">
        <f t="shared" si="27"/>
        <v>0.56937100631582771</v>
      </c>
      <c r="AC146" s="251"/>
    </row>
    <row r="147" spans="1:29" ht="15.6" x14ac:dyDescent="0.3">
      <c r="A147" s="206">
        <v>2024</v>
      </c>
      <c r="B147" s="229">
        <v>38586260597184.922</v>
      </c>
      <c r="C147" s="229">
        <f t="shared" si="21"/>
        <v>19321197492508.465</v>
      </c>
      <c r="D147" s="229">
        <f t="shared" si="22"/>
        <v>26292927561532.559</v>
      </c>
      <c r="E147" s="229"/>
      <c r="F147" s="229"/>
      <c r="G147" s="229"/>
      <c r="H147" s="229"/>
      <c r="I147" s="229"/>
      <c r="J147" s="229"/>
      <c r="K147" s="229"/>
      <c r="L147" s="170"/>
      <c r="M147" s="170"/>
      <c r="N147" s="195">
        <f t="shared" si="23"/>
        <v>26292927561532.559</v>
      </c>
      <c r="O147" s="195">
        <f t="shared" si="24"/>
        <v>0</v>
      </c>
      <c r="P147" s="195">
        <f t="shared" si="25"/>
        <v>19321197492508.465</v>
      </c>
      <c r="Q147" s="195">
        <f t="shared" si="26"/>
        <v>45614125054041.023</v>
      </c>
      <c r="R147" s="221">
        <f t="shared" si="27"/>
        <v>0.57642073656750381</v>
      </c>
      <c r="AC147" s="251"/>
    </row>
    <row r="148" spans="1:29" ht="15.6" x14ac:dyDescent="0.3">
      <c r="A148" s="206">
        <v>2025</v>
      </c>
      <c r="B148" s="229">
        <v>39659054417682.688</v>
      </c>
      <c r="C148" s="229">
        <f t="shared" si="21"/>
        <v>19306940551878.398</v>
      </c>
      <c r="D148" s="229">
        <f t="shared" si="22"/>
        <v>27263068278567.23</v>
      </c>
      <c r="E148" s="229"/>
      <c r="F148" s="229"/>
      <c r="G148" s="229"/>
      <c r="H148" s="229"/>
      <c r="I148" s="229"/>
      <c r="J148" s="229"/>
      <c r="K148" s="229"/>
      <c r="L148" s="170"/>
      <c r="M148" s="170"/>
      <c r="N148" s="195">
        <f t="shared" si="23"/>
        <v>27263068278567.23</v>
      </c>
      <c r="O148" s="195">
        <f t="shared" si="24"/>
        <v>0</v>
      </c>
      <c r="P148" s="195">
        <f t="shared" si="25"/>
        <v>19306940551878.398</v>
      </c>
      <c r="Q148" s="195">
        <f t="shared" si="26"/>
        <v>46570008830445.625</v>
      </c>
      <c r="R148" s="221">
        <f t="shared" si="27"/>
        <v>0.58542115329692013</v>
      </c>
      <c r="AC148" s="251"/>
    </row>
    <row r="149" spans="1:29" ht="15.6" x14ac:dyDescent="0.3">
      <c r="A149" s="206">
        <v>2026</v>
      </c>
      <c r="B149" s="229">
        <v>40741029595865.625</v>
      </c>
      <c r="C149" s="229">
        <f t="shared" si="21"/>
        <v>19644973903804.34</v>
      </c>
      <c r="D149" s="229">
        <f t="shared" si="22"/>
        <v>28285373637266.633</v>
      </c>
      <c r="E149" s="229"/>
      <c r="F149" s="229"/>
      <c r="G149" s="229"/>
      <c r="H149" s="229"/>
      <c r="I149" s="229"/>
      <c r="J149" s="229"/>
      <c r="K149" s="229"/>
      <c r="L149" s="170"/>
      <c r="M149" s="170"/>
      <c r="N149" s="195">
        <f t="shared" si="23"/>
        <v>28285373637266.633</v>
      </c>
      <c r="O149" s="195">
        <f t="shared" si="24"/>
        <v>0</v>
      </c>
      <c r="P149" s="195">
        <f t="shared" si="25"/>
        <v>19644973903804.34</v>
      </c>
      <c r="Q149" s="195">
        <f t="shared" si="26"/>
        <v>47930347541070.969</v>
      </c>
      <c r="R149" s="221">
        <f t="shared" si="27"/>
        <v>0.59013495808744587</v>
      </c>
      <c r="AC149" s="251"/>
    </row>
    <row r="150" spans="1:29" ht="15.6" x14ac:dyDescent="0.3">
      <c r="A150" s="206">
        <v>2027</v>
      </c>
      <c r="B150" s="229">
        <v>41833698784828.773</v>
      </c>
      <c r="C150" s="229">
        <f t="shared" si="21"/>
        <v>19810746570187.098</v>
      </c>
      <c r="D150" s="229">
        <f t="shared" si="22"/>
        <v>29318090230774.664</v>
      </c>
      <c r="E150" s="229"/>
      <c r="F150" s="229"/>
      <c r="G150" s="229"/>
      <c r="H150" s="229"/>
      <c r="I150" s="229"/>
      <c r="J150" s="229"/>
      <c r="K150" s="229"/>
      <c r="L150" s="170"/>
      <c r="M150" s="170"/>
      <c r="N150" s="195">
        <f t="shared" si="23"/>
        <v>29318090230774.664</v>
      </c>
      <c r="O150" s="195">
        <f t="shared" si="24"/>
        <v>0</v>
      </c>
      <c r="P150" s="195">
        <f t="shared" si="25"/>
        <v>19810746570187.098</v>
      </c>
      <c r="Q150" s="195">
        <f t="shared" si="26"/>
        <v>49128836800961.766</v>
      </c>
      <c r="R150" s="221">
        <f t="shared" si="27"/>
        <v>0.59675929942230432</v>
      </c>
      <c r="AC150" s="251"/>
    </row>
    <row r="151" spans="1:29" ht="15.6" x14ac:dyDescent="0.3">
      <c r="A151" s="206">
        <v>2028</v>
      </c>
      <c r="B151" s="229">
        <v>42938574637667.156</v>
      </c>
      <c r="C151" s="229">
        <f t="shared" si="21"/>
        <v>19978886582669.625</v>
      </c>
      <c r="D151" s="229">
        <f t="shared" si="22"/>
        <v>30372121411042.543</v>
      </c>
      <c r="E151" s="229"/>
      <c r="F151" s="229"/>
      <c r="G151" s="229"/>
      <c r="H151" s="229"/>
      <c r="I151" s="229"/>
      <c r="J151" s="229"/>
      <c r="K151" s="229"/>
      <c r="L151" s="170"/>
      <c r="M151" s="170"/>
      <c r="N151" s="195">
        <f t="shared" si="23"/>
        <v>30372121411042.543</v>
      </c>
      <c r="O151" s="195">
        <f t="shared" si="24"/>
        <v>0</v>
      </c>
      <c r="P151" s="195">
        <f t="shared" si="25"/>
        <v>19978886582669.625</v>
      </c>
      <c r="Q151" s="195">
        <f t="shared" si="26"/>
        <v>50351007993712.172</v>
      </c>
      <c r="R151" s="221">
        <f t="shared" si="27"/>
        <v>0.60320781293664294</v>
      </c>
      <c r="AC151" s="251"/>
    </row>
    <row r="152" spans="1:29" ht="15.6" x14ac:dyDescent="0.3">
      <c r="A152" s="206">
        <v>2029</v>
      </c>
      <c r="B152" s="229">
        <v>44057169807475.781</v>
      </c>
      <c r="C152" s="229">
        <f t="shared" si="21"/>
        <v>20149227220459.328</v>
      </c>
      <c r="D152" s="229">
        <f t="shared" si="22"/>
        <v>31445206340319.648</v>
      </c>
      <c r="E152" s="229"/>
      <c r="F152" s="229"/>
      <c r="G152" s="229"/>
      <c r="H152" s="229"/>
      <c r="I152" s="229"/>
      <c r="J152" s="229"/>
      <c r="K152" s="229"/>
      <c r="L152" s="170"/>
      <c r="M152" s="170"/>
      <c r="N152" s="195">
        <f t="shared" si="23"/>
        <v>31445206340319.648</v>
      </c>
      <c r="O152" s="195">
        <f t="shared" si="24"/>
        <v>0</v>
      </c>
      <c r="P152" s="195">
        <f t="shared" si="25"/>
        <v>20149227220459.328</v>
      </c>
      <c r="Q152" s="195">
        <f t="shared" si="26"/>
        <v>51594433560778.977</v>
      </c>
      <c r="R152" s="221">
        <f t="shared" si="27"/>
        <v>0.60946897116869692</v>
      </c>
      <c r="AC152" s="251"/>
    </row>
    <row r="153" spans="1:29" ht="15.6" x14ac:dyDescent="0.3">
      <c r="A153" s="206">
        <v>2030</v>
      </c>
      <c r="B153" s="229">
        <v>45190996947349.672</v>
      </c>
      <c r="C153" s="229">
        <f t="shared" si="21"/>
        <v>20348813621570.133</v>
      </c>
      <c r="D153" s="229">
        <f t="shared" si="22"/>
        <v>32636176165275.066</v>
      </c>
      <c r="E153" s="229"/>
      <c r="F153" s="229"/>
      <c r="G153" s="229"/>
      <c r="H153" s="229"/>
      <c r="I153" s="229"/>
      <c r="J153" s="229"/>
      <c r="K153" s="229"/>
      <c r="L153" s="170"/>
      <c r="M153" s="170"/>
      <c r="N153" s="195">
        <f t="shared" si="23"/>
        <v>32636176165275.066</v>
      </c>
      <c r="O153" s="195">
        <f t="shared" si="24"/>
        <v>0</v>
      </c>
      <c r="P153" s="195">
        <f t="shared" si="25"/>
        <v>20348813621570.133</v>
      </c>
      <c r="Q153" s="195">
        <f t="shared" si="26"/>
        <v>52984989786845.203</v>
      </c>
      <c r="R153" s="221">
        <f t="shared" si="27"/>
        <v>0.61595135332795292</v>
      </c>
      <c r="AC153" s="251"/>
    </row>
    <row r="154" spans="1:29" ht="15.6" x14ac:dyDescent="0.3">
      <c r="A154" s="206">
        <v>2031</v>
      </c>
      <c r="B154" s="229">
        <v>46341568710383.859</v>
      </c>
      <c r="C154" s="229">
        <f t="shared" si="21"/>
        <v>20495843488789.93</v>
      </c>
      <c r="D154" s="229">
        <f t="shared" si="22"/>
        <v>33639494094899.078</v>
      </c>
      <c r="E154" s="229"/>
      <c r="F154" s="229"/>
      <c r="G154" s="229"/>
      <c r="H154" s="229"/>
      <c r="I154" s="229"/>
      <c r="J154" s="229"/>
      <c r="K154" s="229"/>
      <c r="L154" s="170"/>
      <c r="M154" s="170"/>
      <c r="N154" s="195">
        <f t="shared" si="23"/>
        <v>33639494094899.078</v>
      </c>
      <c r="O154" s="195">
        <f t="shared" si="24"/>
        <v>0</v>
      </c>
      <c r="P154" s="195">
        <f t="shared" si="25"/>
        <v>20495843488789.93</v>
      </c>
      <c r="Q154" s="195">
        <f t="shared" si="26"/>
        <v>54135337583689.008</v>
      </c>
      <c r="R154" s="221">
        <f t="shared" si="27"/>
        <v>0.62139621911279386</v>
      </c>
      <c r="AC154" s="251"/>
    </row>
    <row r="155" spans="1:29" ht="15.6" x14ac:dyDescent="0.3">
      <c r="A155" s="206">
        <v>2032</v>
      </c>
      <c r="B155" s="229">
        <v>47510397749673.359</v>
      </c>
      <c r="C155" s="229">
        <f t="shared" si="21"/>
        <v>20671785677745.656</v>
      </c>
      <c r="D155" s="229">
        <f t="shared" si="22"/>
        <v>34756175244700.172</v>
      </c>
      <c r="E155" s="229"/>
      <c r="F155" s="229"/>
      <c r="G155" s="229"/>
      <c r="H155" s="229"/>
      <c r="I155" s="229"/>
      <c r="J155" s="229"/>
      <c r="K155" s="229"/>
      <c r="L155" s="170"/>
      <c r="M155" s="170"/>
      <c r="N155" s="195">
        <f t="shared" si="23"/>
        <v>34756175244700.172</v>
      </c>
      <c r="O155" s="195">
        <f t="shared" si="24"/>
        <v>0</v>
      </c>
      <c r="P155" s="195">
        <f t="shared" si="25"/>
        <v>20671785677745.656</v>
      </c>
      <c r="Q155" s="195">
        <f t="shared" si="26"/>
        <v>55427960922445.828</v>
      </c>
      <c r="R155" s="221">
        <f t="shared" si="27"/>
        <v>0.62705130526686015</v>
      </c>
      <c r="AC155" s="251"/>
    </row>
    <row r="156" spans="1:29" ht="15.6" x14ac:dyDescent="0.3">
      <c r="A156" s="206">
        <v>2033</v>
      </c>
      <c r="B156" s="229">
        <v>48698996718313.203</v>
      </c>
      <c r="C156" s="229">
        <f t="shared" si="21"/>
        <v>20849261608838.223</v>
      </c>
      <c r="D156" s="229">
        <f t="shared" si="22"/>
        <v>35882866792508.031</v>
      </c>
      <c r="E156" s="229"/>
      <c r="F156" s="229"/>
      <c r="G156" s="229"/>
      <c r="H156" s="229"/>
      <c r="I156" s="229"/>
      <c r="J156" s="229"/>
      <c r="K156" s="229"/>
      <c r="L156" s="170"/>
      <c r="M156" s="170"/>
      <c r="N156" s="195">
        <f t="shared" si="23"/>
        <v>35882866792508.031</v>
      </c>
      <c r="O156" s="195">
        <f t="shared" si="24"/>
        <v>0</v>
      </c>
      <c r="P156" s="195">
        <f t="shared" si="25"/>
        <v>20849261608838.223</v>
      </c>
      <c r="Q156" s="195">
        <f t="shared" si="26"/>
        <v>56732128401346.25</v>
      </c>
      <c r="R156" s="221">
        <f t="shared" si="27"/>
        <v>0.63249639672705338</v>
      </c>
      <c r="AC156" s="251"/>
    </row>
    <row r="157" spans="1:29" ht="15.6" x14ac:dyDescent="0.3">
      <c r="A157" s="206">
        <v>2034</v>
      </c>
      <c r="B157" s="229">
        <v>49908878269398.391</v>
      </c>
      <c r="C157" s="229">
        <f t="shared" si="21"/>
        <v>21028104561275.043</v>
      </c>
      <c r="D157" s="229">
        <f t="shared" si="22"/>
        <v>37017307900572.039</v>
      </c>
      <c r="E157" s="229"/>
      <c r="F157" s="229"/>
      <c r="G157" s="229"/>
      <c r="H157" s="229"/>
      <c r="I157" s="229"/>
      <c r="J157" s="229"/>
      <c r="K157" s="229"/>
      <c r="L157" s="170"/>
      <c r="M157" s="170"/>
      <c r="N157" s="195">
        <f t="shared" si="23"/>
        <v>37017307900572.039</v>
      </c>
      <c r="O157" s="195">
        <f t="shared" si="24"/>
        <v>0</v>
      </c>
      <c r="P157" s="195">
        <f t="shared" si="25"/>
        <v>21028104561275.043</v>
      </c>
      <c r="Q157" s="195">
        <f t="shared" si="26"/>
        <v>58045412461847.078</v>
      </c>
      <c r="R157" s="221">
        <f t="shared" si="27"/>
        <v>0.63773012078953362</v>
      </c>
      <c r="AC157" s="251"/>
    </row>
    <row r="158" spans="1:29" ht="15.6" x14ac:dyDescent="0.3">
      <c r="A158" s="206">
        <v>2035</v>
      </c>
      <c r="B158" s="229">
        <v>51141555056023.961</v>
      </c>
      <c r="C158" s="229">
        <f t="shared" si="21"/>
        <v>21350284944639.516</v>
      </c>
      <c r="D158" s="229">
        <f t="shared" si="22"/>
        <v>38137056156610.328</v>
      </c>
      <c r="E158" s="229"/>
      <c r="F158" s="229"/>
      <c r="G158" s="229"/>
      <c r="H158" s="229"/>
      <c r="I158" s="229"/>
      <c r="J158" s="229"/>
      <c r="K158" s="229"/>
      <c r="L158" s="170"/>
      <c r="M158" s="170"/>
      <c r="N158" s="195">
        <f t="shared" si="23"/>
        <v>38137056156610.328</v>
      </c>
      <c r="O158" s="195">
        <f t="shared" si="24"/>
        <v>0</v>
      </c>
      <c r="P158" s="195">
        <f t="shared" si="25"/>
        <v>21350284944639.516</v>
      </c>
      <c r="Q158" s="195">
        <f t="shared" si="26"/>
        <v>59487341101249.844</v>
      </c>
      <c r="R158" s="221">
        <f t="shared" si="27"/>
        <v>0.64109532298139749</v>
      </c>
      <c r="AC158" s="251"/>
    </row>
    <row r="159" spans="1:29" ht="15.6" x14ac:dyDescent="0.3">
      <c r="A159" s="206">
        <v>2036</v>
      </c>
      <c r="B159" s="229">
        <v>52398539731284.938</v>
      </c>
      <c r="C159" s="229">
        <f t="shared" si="21"/>
        <v>21389224647011.086</v>
      </c>
      <c r="D159" s="229">
        <f t="shared" si="22"/>
        <v>39300395446466.023</v>
      </c>
      <c r="E159" s="229"/>
      <c r="F159" s="229"/>
      <c r="G159" s="229"/>
      <c r="H159" s="229"/>
      <c r="I159" s="229"/>
      <c r="J159" s="229"/>
      <c r="K159" s="229"/>
      <c r="L159" s="170"/>
      <c r="M159" s="170"/>
      <c r="N159" s="195">
        <f t="shared" si="23"/>
        <v>39300395446466.023</v>
      </c>
      <c r="O159" s="195">
        <f t="shared" si="24"/>
        <v>0</v>
      </c>
      <c r="P159" s="195">
        <f t="shared" si="25"/>
        <v>21389224647011.086</v>
      </c>
      <c r="Q159" s="195">
        <f t="shared" si="26"/>
        <v>60689620093477.109</v>
      </c>
      <c r="R159" s="221">
        <f t="shared" si="27"/>
        <v>0.64756370835628296</v>
      </c>
      <c r="AC159" s="251"/>
    </row>
    <row r="160" spans="1:29" ht="15.6" x14ac:dyDescent="0.3">
      <c r="A160" s="206">
        <v>2037</v>
      </c>
      <c r="B160" s="229">
        <v>53681344948276.328</v>
      </c>
      <c r="C160" s="229">
        <f t="shared" si="21"/>
        <v>21571168338725.137</v>
      </c>
      <c r="D160" s="229">
        <f t="shared" si="22"/>
        <v>40444520208794.773</v>
      </c>
      <c r="E160" s="229"/>
      <c r="F160" s="229"/>
      <c r="G160" s="229"/>
      <c r="H160" s="229"/>
      <c r="I160" s="229"/>
      <c r="J160" s="229"/>
      <c r="K160" s="229"/>
      <c r="L160" s="170"/>
      <c r="M160" s="170"/>
      <c r="N160" s="195">
        <f t="shared" si="23"/>
        <v>40444520208794.773</v>
      </c>
      <c r="O160" s="195">
        <f t="shared" si="24"/>
        <v>0</v>
      </c>
      <c r="P160" s="195">
        <f t="shared" si="25"/>
        <v>21571168338725.137</v>
      </c>
      <c r="Q160" s="195">
        <f t="shared" si="26"/>
        <v>62015688547519.906</v>
      </c>
      <c r="R160" s="221">
        <f t="shared" si="27"/>
        <v>0.65216594632830549</v>
      </c>
      <c r="AC160" s="251"/>
    </row>
    <row r="161" spans="1:29" ht="15.6" x14ac:dyDescent="0.3">
      <c r="A161" s="206">
        <v>2038</v>
      </c>
      <c r="B161" s="229">
        <v>54991483360093.164</v>
      </c>
      <c r="C161" s="229">
        <f t="shared" si="21"/>
        <v>21753812168613.098</v>
      </c>
      <c r="D161" s="229">
        <f t="shared" si="22"/>
        <v>41587351180377.211</v>
      </c>
      <c r="E161" s="229"/>
      <c r="F161" s="229"/>
      <c r="G161" s="229"/>
      <c r="H161" s="229"/>
      <c r="I161" s="229"/>
      <c r="J161" s="229"/>
      <c r="K161" s="229"/>
      <c r="L161" s="170"/>
      <c r="M161" s="170"/>
      <c r="N161" s="195">
        <f t="shared" si="23"/>
        <v>41587351180377.211</v>
      </c>
      <c r="O161" s="195">
        <f t="shared" si="24"/>
        <v>0</v>
      </c>
      <c r="P161" s="195">
        <f t="shared" si="25"/>
        <v>21753812168613.098</v>
      </c>
      <c r="Q161" s="195">
        <f t="shared" si="26"/>
        <v>63341163348990.313</v>
      </c>
      <c r="R161" s="221">
        <f t="shared" si="27"/>
        <v>0.65656121519656507</v>
      </c>
      <c r="AC161" s="251"/>
    </row>
    <row r="162" spans="1:29" ht="15.6" x14ac:dyDescent="0.3">
      <c r="A162" s="206">
        <v>2039</v>
      </c>
      <c r="B162" s="229">
        <v>56330467619830.461</v>
      </c>
      <c r="C162" s="229">
        <f t="shared" si="21"/>
        <v>21936989415882.379</v>
      </c>
      <c r="D162" s="229">
        <f t="shared" si="22"/>
        <v>42726627523462.711</v>
      </c>
      <c r="E162" s="229"/>
      <c r="F162" s="229"/>
      <c r="G162" s="229"/>
      <c r="H162" s="229"/>
      <c r="I162" s="229"/>
      <c r="J162" s="229"/>
      <c r="K162" s="229"/>
      <c r="L162" s="170"/>
      <c r="M162" s="170"/>
      <c r="N162" s="195">
        <f t="shared" si="23"/>
        <v>42726627523462.711</v>
      </c>
      <c r="O162" s="195">
        <f t="shared" si="24"/>
        <v>0</v>
      </c>
      <c r="P162" s="195">
        <f t="shared" si="25"/>
        <v>21936989415882.379</v>
      </c>
      <c r="Q162" s="195">
        <f t="shared" si="26"/>
        <v>64663616939345.094</v>
      </c>
      <c r="R162" s="221">
        <f t="shared" si="27"/>
        <v>0.66075220573480409</v>
      </c>
      <c r="AC162" s="251"/>
    </row>
    <row r="163" spans="1:29" ht="15.6" x14ac:dyDescent="0.3">
      <c r="A163" s="206">
        <v>2040</v>
      </c>
      <c r="B163" s="229">
        <v>57699810380583.25</v>
      </c>
      <c r="C163" s="229">
        <f t="shared" si="21"/>
        <v>22196535946223.188</v>
      </c>
      <c r="D163" s="229">
        <f t="shared" si="22"/>
        <v>43754240410899.055</v>
      </c>
      <c r="E163" s="229"/>
      <c r="F163" s="229"/>
      <c r="G163" s="229"/>
      <c r="H163" s="229"/>
      <c r="I163" s="229"/>
      <c r="J163" s="229"/>
      <c r="K163" s="229"/>
      <c r="L163" s="170"/>
      <c r="M163" s="170"/>
      <c r="N163" s="195">
        <f t="shared" si="23"/>
        <v>43754240410899.055</v>
      </c>
      <c r="O163" s="195">
        <f t="shared" si="24"/>
        <v>0</v>
      </c>
      <c r="P163" s="195">
        <f t="shared" si="25"/>
        <v>22196535946223.188</v>
      </c>
      <c r="Q163" s="195">
        <f t="shared" si="26"/>
        <v>65950776357122.242</v>
      </c>
      <c r="R163" s="221">
        <f t="shared" si="27"/>
        <v>0.66343783694024538</v>
      </c>
      <c r="AC163" s="251"/>
    </row>
    <row r="164" spans="1:29" ht="15.6" x14ac:dyDescent="0.3">
      <c r="A164" s="206">
        <v>2041</v>
      </c>
      <c r="B164" s="229">
        <v>59101024295446.547</v>
      </c>
      <c r="C164" s="229">
        <f t="shared" si="21"/>
        <v>22304277279394.57</v>
      </c>
      <c r="D164" s="229">
        <f t="shared" si="22"/>
        <v>44985472973140.461</v>
      </c>
      <c r="E164" s="229"/>
      <c r="F164" s="229"/>
      <c r="G164" s="229"/>
      <c r="H164" s="229"/>
      <c r="I164" s="229"/>
      <c r="J164" s="229"/>
      <c r="K164" s="229"/>
      <c r="L164" s="170"/>
      <c r="M164" s="170"/>
      <c r="N164" s="195">
        <f t="shared" si="23"/>
        <v>44985472973140.461</v>
      </c>
      <c r="O164" s="195">
        <f t="shared" si="24"/>
        <v>0</v>
      </c>
      <c r="P164" s="195">
        <f t="shared" si="25"/>
        <v>22304277279394.57</v>
      </c>
      <c r="Q164" s="195">
        <f>N164+P164+O164</f>
        <v>67289750252535.031</v>
      </c>
      <c r="R164" s="221">
        <f>N164/Q164</f>
        <v>0.66853380796201878</v>
      </c>
      <c r="AC164" s="251"/>
    </row>
    <row r="165" spans="1:29" ht="15.6" x14ac:dyDescent="0.3">
      <c r="A165" s="206">
        <v>2042</v>
      </c>
      <c r="B165" s="229">
        <v>60535622017515.375</v>
      </c>
      <c r="C165" s="229">
        <f t="shared" si="21"/>
        <v>22488054454052.305</v>
      </c>
      <c r="D165" s="229">
        <f t="shared" si="22"/>
        <v>46100520404231.469</v>
      </c>
      <c r="E165" s="229"/>
      <c r="F165" s="229"/>
      <c r="G165" s="229"/>
      <c r="H165" s="229"/>
      <c r="I165" s="229"/>
      <c r="J165" s="229"/>
      <c r="K165" s="229"/>
      <c r="L165" s="170"/>
      <c r="M165" s="170"/>
      <c r="N165" s="195">
        <f t="shared" si="23"/>
        <v>46100520404231.469</v>
      </c>
      <c r="O165" s="195">
        <f t="shared" si="24"/>
        <v>0</v>
      </c>
      <c r="P165" s="195">
        <f t="shared" si="25"/>
        <v>22488054454052.305</v>
      </c>
      <c r="Q165" s="195">
        <f t="shared" si="26"/>
        <v>68588574858283.773</v>
      </c>
      <c r="R165" s="221">
        <f t="shared" si="27"/>
        <v>0.67213118947992967</v>
      </c>
      <c r="AC165" s="251"/>
    </row>
    <row r="166" spans="1:29" ht="15.6" x14ac:dyDescent="0.3">
      <c r="A166" s="206">
        <v>2043</v>
      </c>
      <c r="B166" s="229">
        <v>62005116199884.75</v>
      </c>
      <c r="C166" s="229">
        <f t="shared" si="21"/>
        <v>22671698162921.012</v>
      </c>
      <c r="D166" s="229">
        <f t="shared" si="22"/>
        <v>47202969855823.086</v>
      </c>
      <c r="E166" s="229"/>
      <c r="F166" s="229"/>
      <c r="G166" s="229"/>
      <c r="H166" s="229"/>
      <c r="I166" s="229"/>
      <c r="J166" s="229"/>
      <c r="K166" s="229"/>
      <c r="L166" s="170"/>
      <c r="M166" s="170"/>
      <c r="N166" s="195">
        <f t="shared" si="23"/>
        <v>47202969855823.086</v>
      </c>
      <c r="O166" s="195">
        <f t="shared" si="24"/>
        <v>0</v>
      </c>
      <c r="P166" s="195">
        <f t="shared" si="25"/>
        <v>22671698162921.012</v>
      </c>
      <c r="Q166" s="195">
        <f t="shared" si="26"/>
        <v>69874668018744.094</v>
      </c>
      <c r="R166" s="221">
        <f t="shared" si="27"/>
        <v>0.67553766184850772</v>
      </c>
      <c r="AC166" s="251"/>
    </row>
    <row r="167" spans="1:29" ht="15.6" x14ac:dyDescent="0.3">
      <c r="A167" s="206">
        <v>2044</v>
      </c>
      <c r="B167" s="229">
        <v>63511019495649.695</v>
      </c>
      <c r="C167" s="229">
        <f t="shared" si="21"/>
        <v>22855041685208.117</v>
      </c>
      <c r="D167" s="229">
        <f t="shared" si="22"/>
        <v>48290560490164.688</v>
      </c>
      <c r="E167" s="229"/>
      <c r="F167" s="229"/>
      <c r="G167" s="229"/>
      <c r="H167" s="229"/>
      <c r="I167" s="229"/>
      <c r="J167" s="229"/>
      <c r="K167" s="229"/>
      <c r="L167" s="170"/>
      <c r="M167" s="170"/>
      <c r="N167" s="195">
        <f t="shared" si="23"/>
        <v>48290560490164.688</v>
      </c>
      <c r="O167" s="195">
        <f t="shared" si="24"/>
        <v>0</v>
      </c>
      <c r="P167" s="195">
        <f t="shared" si="25"/>
        <v>22855041685208.117</v>
      </c>
      <c r="Q167" s="195">
        <f t="shared" si="26"/>
        <v>71145602175372.813</v>
      </c>
      <c r="R167" s="221">
        <f t="shared" si="27"/>
        <v>0.6787567890862628</v>
      </c>
      <c r="AC167" s="251"/>
    </row>
    <row r="168" spans="1:29" ht="15.6" x14ac:dyDescent="0.3">
      <c r="A168" s="206">
        <v>2045</v>
      </c>
      <c r="B168" s="229">
        <v>65054844557905.242</v>
      </c>
      <c r="C168" s="229">
        <f t="shared" si="21"/>
        <v>22977062415569.961</v>
      </c>
      <c r="D168" s="229">
        <f t="shared" si="22"/>
        <v>49348565279054.758</v>
      </c>
      <c r="E168" s="229"/>
      <c r="F168" s="229"/>
      <c r="G168" s="229"/>
      <c r="H168" s="229"/>
      <c r="I168" s="229"/>
      <c r="J168" s="229"/>
      <c r="K168" s="229"/>
      <c r="L168" s="170"/>
      <c r="M168" s="170"/>
      <c r="N168" s="195">
        <f t="shared" si="23"/>
        <v>49348565279054.758</v>
      </c>
      <c r="O168" s="195">
        <f t="shared" si="24"/>
        <v>0</v>
      </c>
      <c r="P168" s="195">
        <f t="shared" si="25"/>
        <v>22977062415569.961</v>
      </c>
      <c r="Q168" s="195">
        <f t="shared" si="26"/>
        <v>72325627694624.719</v>
      </c>
      <c r="R168" s="221">
        <f t="shared" si="27"/>
        <v>0.68231091595106019</v>
      </c>
      <c r="AC168" s="251"/>
    </row>
    <row r="169" spans="1:29" ht="15.6" x14ac:dyDescent="0.3">
      <c r="A169" s="206">
        <v>2046</v>
      </c>
      <c r="B169" s="229">
        <v>66638104039746.398</v>
      </c>
      <c r="C169" s="229">
        <f t="shared" si="21"/>
        <v>23220161286867.164</v>
      </c>
      <c r="D169" s="229">
        <f t="shared" si="22"/>
        <v>50412121956095.391</v>
      </c>
      <c r="E169" s="229"/>
      <c r="F169" s="229"/>
      <c r="G169" s="229"/>
      <c r="H169" s="229"/>
      <c r="I169" s="229"/>
      <c r="J169" s="229"/>
      <c r="K169" s="229"/>
      <c r="L169" s="170"/>
      <c r="M169" s="170"/>
      <c r="N169" s="195">
        <f t="shared" si="23"/>
        <v>50412121956095.391</v>
      </c>
      <c r="O169" s="195">
        <f t="shared" si="24"/>
        <v>0</v>
      </c>
      <c r="P169" s="195">
        <f t="shared" si="25"/>
        <v>23220161286867.164</v>
      </c>
      <c r="Q169" s="195">
        <f t="shared" si="26"/>
        <v>73632283242962.563</v>
      </c>
      <c r="R169" s="221">
        <f t="shared" si="27"/>
        <v>0.68464700177436844</v>
      </c>
      <c r="AC169" s="251"/>
    </row>
    <row r="170" spans="1:29" ht="15.6" x14ac:dyDescent="0.3">
      <c r="A170" s="206">
        <v>2047</v>
      </c>
      <c r="B170" s="229">
        <v>68262310594268.195</v>
      </c>
      <c r="C170" s="229">
        <f t="shared" si="21"/>
        <v>23401603924653.934</v>
      </c>
      <c r="D170" s="229">
        <f t="shared" si="22"/>
        <v>51441571112183.266</v>
      </c>
      <c r="E170" s="229"/>
      <c r="F170" s="229"/>
      <c r="G170" s="229"/>
      <c r="H170" s="229"/>
      <c r="I170" s="229"/>
      <c r="J170" s="229"/>
      <c r="K170" s="229"/>
      <c r="L170" s="170"/>
      <c r="M170" s="170"/>
      <c r="N170" s="195">
        <f t="shared" si="23"/>
        <v>51441571112183.266</v>
      </c>
      <c r="O170" s="195">
        <f t="shared" si="24"/>
        <v>0</v>
      </c>
      <c r="P170" s="195">
        <f t="shared" si="25"/>
        <v>23401603924653.934</v>
      </c>
      <c r="Q170" s="195">
        <f t="shared" si="26"/>
        <v>74843175036837.203</v>
      </c>
      <c r="R170" s="221">
        <f t="shared" si="27"/>
        <v>0.68732481067063422</v>
      </c>
      <c r="AC170" s="251"/>
    </row>
    <row r="171" spans="1:29" ht="15.6" x14ac:dyDescent="0.3">
      <c r="A171" s="206">
        <v>2048</v>
      </c>
      <c r="B171" s="229">
        <v>69928976874565.648</v>
      </c>
      <c r="C171" s="229">
        <f t="shared" si="21"/>
        <v>23582079492688.75</v>
      </c>
      <c r="D171" s="229">
        <f t="shared" si="22"/>
        <v>52447118100018.656</v>
      </c>
      <c r="E171" s="229"/>
      <c r="F171" s="229"/>
      <c r="G171" s="229"/>
      <c r="H171" s="229"/>
      <c r="I171" s="229"/>
      <c r="J171" s="229"/>
      <c r="K171" s="229"/>
      <c r="L171" s="170"/>
      <c r="M171" s="170"/>
      <c r="N171" s="195">
        <f t="shared" si="23"/>
        <v>52447118100018.656</v>
      </c>
      <c r="O171" s="195">
        <f t="shared" si="24"/>
        <v>0</v>
      </c>
      <c r="P171" s="195">
        <f t="shared" si="25"/>
        <v>23582079492688.75</v>
      </c>
      <c r="Q171" s="195">
        <f t="shared" si="26"/>
        <v>76029197592707.406</v>
      </c>
      <c r="R171" s="221">
        <f t="shared" si="27"/>
        <v>0.68982864163555624</v>
      </c>
      <c r="AC171" s="251"/>
    </row>
    <row r="172" spans="1:29" ht="15.6" x14ac:dyDescent="0.3">
      <c r="A172" s="206">
        <v>2049</v>
      </c>
      <c r="B172" s="229">
        <v>71639615533733.781</v>
      </c>
      <c r="C172" s="229">
        <f t="shared" si="21"/>
        <v>23761421270179.031</v>
      </c>
      <c r="D172" s="229">
        <f t="shared" si="22"/>
        <v>53426502081850.961</v>
      </c>
      <c r="E172" s="229"/>
      <c r="F172" s="229"/>
      <c r="G172" s="229"/>
      <c r="H172" s="229"/>
      <c r="I172" s="229"/>
      <c r="J172" s="229"/>
      <c r="K172" s="229"/>
      <c r="L172" s="170"/>
      <c r="M172" s="170"/>
      <c r="N172" s="195">
        <f t="shared" si="23"/>
        <v>53426502081850.961</v>
      </c>
      <c r="O172" s="195">
        <f t="shared" si="24"/>
        <v>0</v>
      </c>
      <c r="P172" s="195">
        <f t="shared" si="25"/>
        <v>23761421270179.031</v>
      </c>
      <c r="Q172" s="195">
        <f t="shared" si="26"/>
        <v>77187923352030</v>
      </c>
      <c r="R172" s="221">
        <f t="shared" si="27"/>
        <v>0.69216141284420074</v>
      </c>
      <c r="AC172" s="251"/>
    </row>
    <row r="173" spans="1:29" ht="16.2" thickBot="1" x14ac:dyDescent="0.35">
      <c r="A173" s="208">
        <v>2050</v>
      </c>
      <c r="B173" s="231">
        <v>73395739224867.625</v>
      </c>
      <c r="C173" s="229">
        <f t="shared" si="21"/>
        <v>23878383038888.477</v>
      </c>
      <c r="D173" s="229">
        <f t="shared" si="22"/>
        <v>54396590671889.055</v>
      </c>
      <c r="E173" s="231"/>
      <c r="F173" s="231"/>
      <c r="G173" s="231"/>
      <c r="H173" s="231"/>
      <c r="I173" s="231"/>
      <c r="J173" s="231"/>
      <c r="K173" s="231"/>
      <c r="L173" s="209"/>
      <c r="M173" s="209"/>
      <c r="N173" s="195">
        <f t="shared" si="23"/>
        <v>54396590671889.055</v>
      </c>
      <c r="O173" s="195">
        <f t="shared" si="24"/>
        <v>0</v>
      </c>
      <c r="P173" s="195">
        <f t="shared" si="25"/>
        <v>23878383038888.477</v>
      </c>
      <c r="Q173" s="195">
        <f t="shared" si="26"/>
        <v>78274973710777.531</v>
      </c>
      <c r="R173" s="222">
        <f t="shared" si="27"/>
        <v>0.69494230522365918</v>
      </c>
      <c r="AC173" s="251"/>
    </row>
    <row r="174" spans="1:29" ht="15.6" x14ac:dyDescent="0.3">
      <c r="A174" s="213">
        <v>2051</v>
      </c>
      <c r="B174" s="227">
        <v>75198860601062.188</v>
      </c>
      <c r="C174" s="229">
        <f t="shared" si="21"/>
        <v>24116036570355.641</v>
      </c>
      <c r="D174" s="229">
        <f t="shared" si="22"/>
        <v>55297737676503.828</v>
      </c>
      <c r="E174" s="227"/>
      <c r="F174" s="227"/>
      <c r="G174" s="227"/>
      <c r="H174" s="227"/>
      <c r="I174" s="227"/>
      <c r="J174" s="227"/>
      <c r="K174" s="227"/>
      <c r="N174" s="195">
        <f t="shared" si="23"/>
        <v>55297737676503.828</v>
      </c>
      <c r="O174" s="195">
        <f t="shared" si="24"/>
        <v>0</v>
      </c>
      <c r="P174" s="195">
        <f t="shared" si="25"/>
        <v>24116036570355.641</v>
      </c>
      <c r="Q174" s="195">
        <f t="shared" si="26"/>
        <v>79413774246859.469</v>
      </c>
      <c r="R174" s="214">
        <f t="shared" si="27"/>
        <v>0.69632426113648238</v>
      </c>
      <c r="AC174" s="251"/>
    </row>
    <row r="175" spans="1:29" ht="15.6" x14ac:dyDescent="0.3">
      <c r="A175" s="194">
        <v>2052</v>
      </c>
      <c r="B175" s="229">
        <v>77050492315412.5</v>
      </c>
      <c r="C175" s="229">
        <f t="shared" si="21"/>
        <v>24290976651456.801</v>
      </c>
      <c r="D175" s="229">
        <f t="shared" si="22"/>
        <v>56185067613823.148</v>
      </c>
      <c r="E175" s="229"/>
      <c r="F175" s="229"/>
      <c r="G175" s="229"/>
      <c r="H175" s="229"/>
      <c r="I175" s="229"/>
      <c r="J175" s="229"/>
      <c r="K175" s="229"/>
      <c r="N175" s="195">
        <f t="shared" si="23"/>
        <v>56185067613823.148</v>
      </c>
      <c r="O175" s="195">
        <f t="shared" si="24"/>
        <v>0</v>
      </c>
      <c r="P175" s="195">
        <f t="shared" si="25"/>
        <v>24290976651456.801</v>
      </c>
      <c r="Q175" s="195">
        <f t="shared" si="26"/>
        <v>80476044265279.953</v>
      </c>
      <c r="R175" s="196">
        <f t="shared" si="27"/>
        <v>0.6981589133359436</v>
      </c>
      <c r="AC175" s="251"/>
    </row>
    <row r="176" spans="1:29" ht="15.6" x14ac:dyDescent="0.3">
      <c r="A176" s="194">
        <v>2053</v>
      </c>
      <c r="B176" s="229">
        <v>78952147021013.563</v>
      </c>
      <c r="C176" s="229">
        <f t="shared" si="21"/>
        <v>24464116058843.078</v>
      </c>
      <c r="D176" s="229">
        <f t="shared" si="22"/>
        <v>57037191194136.922</v>
      </c>
      <c r="E176" s="229"/>
      <c r="F176" s="229"/>
      <c r="G176" s="229"/>
      <c r="H176" s="229"/>
      <c r="I176" s="229"/>
      <c r="J176" s="229"/>
      <c r="K176" s="229"/>
      <c r="N176" s="195">
        <f t="shared" si="23"/>
        <v>57037191194136.922</v>
      </c>
      <c r="O176" s="195">
        <f t="shared" si="24"/>
        <v>0</v>
      </c>
      <c r="P176" s="195">
        <f t="shared" si="25"/>
        <v>24464116058843.078</v>
      </c>
      <c r="Q176" s="195">
        <f t="shared" si="26"/>
        <v>81501307252980</v>
      </c>
      <c r="R176" s="196">
        <f t="shared" si="27"/>
        <v>0.69983161149910789</v>
      </c>
      <c r="AC176" s="251"/>
    </row>
    <row r="177" spans="1:29" ht="15.6" x14ac:dyDescent="0.3">
      <c r="A177" s="194">
        <v>2054</v>
      </c>
      <c r="B177" s="229">
        <v>80905337370960.438</v>
      </c>
      <c r="C177" s="229">
        <f t="shared" si="21"/>
        <v>24635288071721.891</v>
      </c>
      <c r="D177" s="229">
        <f t="shared" si="22"/>
        <v>57851847579694.523</v>
      </c>
      <c r="E177" s="229"/>
      <c r="F177" s="229"/>
      <c r="G177" s="229"/>
      <c r="H177" s="229"/>
      <c r="I177" s="229"/>
      <c r="J177" s="229"/>
      <c r="K177" s="229"/>
      <c r="N177" s="195">
        <f t="shared" si="23"/>
        <v>57851847579694.523</v>
      </c>
      <c r="O177" s="195">
        <f t="shared" si="24"/>
        <v>0</v>
      </c>
      <c r="P177" s="195">
        <f t="shared" si="25"/>
        <v>24635288071721.891</v>
      </c>
      <c r="Q177" s="195">
        <f t="shared" si="26"/>
        <v>82487135651416.406</v>
      </c>
      <c r="R177" s="196">
        <f t="shared" si="27"/>
        <v>0.70134387771896323</v>
      </c>
      <c r="AC177" s="251"/>
    </row>
    <row r="178" spans="1:29" ht="15.6" x14ac:dyDescent="0.3">
      <c r="A178" s="194">
        <v>2055</v>
      </c>
      <c r="B178" s="229">
        <v>82911576018348.109</v>
      </c>
      <c r="C178" s="229">
        <f t="shared" si="21"/>
        <v>24757387210462.137</v>
      </c>
      <c r="D178" s="229">
        <f t="shared" si="22"/>
        <v>58729658261944.055</v>
      </c>
      <c r="E178" s="229"/>
      <c r="F178" s="229"/>
      <c r="G178" s="229"/>
      <c r="H178" s="229"/>
      <c r="I178" s="229"/>
      <c r="J178" s="229"/>
      <c r="K178" s="229"/>
      <c r="N178" s="195">
        <f t="shared" si="23"/>
        <v>58729658261944.055</v>
      </c>
      <c r="O178" s="195">
        <f t="shared" si="24"/>
        <v>0</v>
      </c>
      <c r="P178" s="195">
        <f t="shared" si="25"/>
        <v>24757387210462.137</v>
      </c>
      <c r="Q178" s="195">
        <f t="shared" si="26"/>
        <v>83487045472406.188</v>
      </c>
      <c r="R178" s="196">
        <f t="shared" si="27"/>
        <v>0.70345833811252967</v>
      </c>
      <c r="AC178" s="251"/>
    </row>
    <row r="179" spans="1:29" ht="15.6" x14ac:dyDescent="0.3">
      <c r="A179" s="194">
        <v>2056</v>
      </c>
      <c r="B179" s="229">
        <v>84972375616271.609</v>
      </c>
      <c r="C179" s="229">
        <f t="shared" si="21"/>
        <v>24971063030786.777</v>
      </c>
      <c r="D179" s="229">
        <f t="shared" si="22"/>
        <v>59359715415538.734</v>
      </c>
      <c r="E179" s="229"/>
      <c r="F179" s="229"/>
      <c r="G179" s="229"/>
      <c r="H179" s="229"/>
      <c r="I179" s="229"/>
      <c r="J179" s="229"/>
      <c r="K179" s="229"/>
      <c r="N179" s="195">
        <f t="shared" si="23"/>
        <v>59359715415538.734</v>
      </c>
      <c r="O179" s="195">
        <f t="shared" si="24"/>
        <v>0</v>
      </c>
      <c r="P179" s="195">
        <f t="shared" si="25"/>
        <v>24971063030786.777</v>
      </c>
      <c r="Q179" s="195">
        <f t="shared" si="26"/>
        <v>84330778446325.516</v>
      </c>
      <c r="R179" s="196">
        <f t="shared" si="27"/>
        <v>0.70389146773167455</v>
      </c>
      <c r="AC179" s="251"/>
    </row>
    <row r="180" spans="1:29" ht="15.6" x14ac:dyDescent="0.3">
      <c r="A180" s="194">
        <v>2057</v>
      </c>
      <c r="B180" s="229">
        <v>87089248817825.969</v>
      </c>
      <c r="C180" s="229">
        <f t="shared" si="21"/>
        <v>25135332535387.68</v>
      </c>
      <c r="D180" s="229">
        <f t="shared" si="22"/>
        <v>60048405190324.125</v>
      </c>
      <c r="E180" s="229"/>
      <c r="F180" s="229"/>
      <c r="G180" s="229"/>
      <c r="H180" s="229"/>
      <c r="I180" s="229"/>
      <c r="J180" s="229"/>
      <c r="K180" s="229"/>
      <c r="N180" s="195">
        <f t="shared" si="23"/>
        <v>60048405190324.125</v>
      </c>
      <c r="O180" s="195">
        <f t="shared" si="24"/>
        <v>0</v>
      </c>
      <c r="P180" s="195">
        <f t="shared" si="25"/>
        <v>25135332535387.68</v>
      </c>
      <c r="Q180" s="195">
        <f t="shared" si="26"/>
        <v>85183737725711.813</v>
      </c>
      <c r="R180" s="196">
        <f t="shared" si="27"/>
        <v>0.70492803900760448</v>
      </c>
      <c r="AC180" s="251"/>
    </row>
    <row r="181" spans="1:29" ht="15.6" x14ac:dyDescent="0.3">
      <c r="A181" s="194">
        <v>2058</v>
      </c>
      <c r="B181" s="229">
        <v>89263708276106.203</v>
      </c>
      <c r="C181" s="229">
        <f t="shared" si="21"/>
        <v>25296967762310.77</v>
      </c>
      <c r="D181" s="229">
        <f t="shared" si="22"/>
        <v>60690584419350.875</v>
      </c>
      <c r="E181" s="229"/>
      <c r="F181" s="229"/>
      <c r="G181" s="229"/>
      <c r="H181" s="229"/>
      <c r="I181" s="229"/>
      <c r="J181" s="229"/>
      <c r="K181" s="229"/>
      <c r="N181" s="195">
        <f t="shared" si="23"/>
        <v>60690584419350.875</v>
      </c>
      <c r="O181" s="195">
        <f t="shared" si="24"/>
        <v>0</v>
      </c>
      <c r="P181" s="195">
        <f t="shared" si="25"/>
        <v>25296967762310.77</v>
      </c>
      <c r="Q181" s="195">
        <f t="shared" si="26"/>
        <v>85987552181661.641</v>
      </c>
      <c r="R181" s="196">
        <f t="shared" si="27"/>
        <v>0.70580662990769738</v>
      </c>
      <c r="AC181" s="251"/>
    </row>
    <row r="182" spans="1:29" ht="15.6" x14ac:dyDescent="0.3">
      <c r="A182" s="194">
        <v>2059</v>
      </c>
      <c r="B182" s="229">
        <v>91497266644207.344</v>
      </c>
      <c r="C182" s="229">
        <f t="shared" si="21"/>
        <v>25455801990763.465</v>
      </c>
      <c r="D182" s="229">
        <f t="shared" si="22"/>
        <v>61283992264868.375</v>
      </c>
      <c r="E182" s="229"/>
      <c r="F182" s="229"/>
      <c r="G182" s="229"/>
      <c r="H182" s="229"/>
      <c r="I182" s="229"/>
      <c r="J182" s="229"/>
      <c r="K182" s="229"/>
      <c r="N182" s="195">
        <f t="shared" si="23"/>
        <v>61283992264868.375</v>
      </c>
      <c r="O182" s="195">
        <f t="shared" si="24"/>
        <v>0</v>
      </c>
      <c r="P182" s="195">
        <f t="shared" si="25"/>
        <v>25455801990763.465</v>
      </c>
      <c r="Q182" s="195">
        <f t="shared" si="26"/>
        <v>86739794255631.844</v>
      </c>
      <c r="R182" s="196">
        <f t="shared" si="27"/>
        <v>0.70652683454906084</v>
      </c>
      <c r="AC182" s="251"/>
    </row>
    <row r="183" spans="1:29" ht="15.6" x14ac:dyDescent="0.3">
      <c r="A183" s="194">
        <v>2060</v>
      </c>
      <c r="B183" s="229">
        <v>93791436575224.391</v>
      </c>
      <c r="C183" s="229">
        <f t="shared" si="21"/>
        <v>25666805217146.117</v>
      </c>
      <c r="D183" s="229">
        <f t="shared" si="22"/>
        <v>61765125438297.531</v>
      </c>
      <c r="E183" s="229"/>
      <c r="F183" s="229"/>
      <c r="G183" s="229"/>
      <c r="H183" s="229"/>
      <c r="I183" s="229"/>
      <c r="J183" s="229"/>
      <c r="K183" s="229"/>
      <c r="N183" s="195">
        <f t="shared" si="23"/>
        <v>61765125438297.531</v>
      </c>
      <c r="O183" s="195">
        <f t="shared" si="24"/>
        <v>0</v>
      </c>
      <c r="P183" s="195">
        <f t="shared" si="25"/>
        <v>25666805217146.117</v>
      </c>
      <c r="Q183" s="195">
        <f t="shared" si="26"/>
        <v>87431930655443.656</v>
      </c>
      <c r="R183" s="196">
        <f>N183/Q183</f>
        <v>0.70643670996703456</v>
      </c>
      <c r="AC183" s="251"/>
    </row>
    <row r="186" spans="1:29" x14ac:dyDescent="0.25">
      <c r="H186" s="250"/>
      <c r="I186" s="250"/>
      <c r="J186" s="250"/>
      <c r="K186" s="250"/>
    </row>
    <row r="187" spans="1:29" x14ac:dyDescent="0.25">
      <c r="H187" s="250"/>
      <c r="I187" s="250"/>
      <c r="J187" s="250"/>
      <c r="K187" s="250"/>
    </row>
    <row r="188" spans="1:29" x14ac:dyDescent="0.25">
      <c r="H188" s="250"/>
      <c r="I188" s="250"/>
      <c r="J188" s="250"/>
      <c r="K188" s="250"/>
    </row>
    <row r="189" spans="1:29" x14ac:dyDescent="0.25">
      <c r="H189" s="250"/>
      <c r="I189" s="250"/>
      <c r="J189" s="250"/>
      <c r="K189" s="250"/>
    </row>
    <row r="190" spans="1:29" x14ac:dyDescent="0.25">
      <c r="H190" s="250"/>
      <c r="I190" s="250"/>
      <c r="J190" s="250"/>
      <c r="K190" s="250"/>
    </row>
    <row r="191" spans="1:29" x14ac:dyDescent="0.25">
      <c r="H191" s="250"/>
      <c r="I191" s="250"/>
      <c r="J191" s="250"/>
      <c r="K191" s="250"/>
    </row>
    <row r="192" spans="1:29" x14ac:dyDescent="0.25">
      <c r="H192" s="250"/>
      <c r="I192" s="250"/>
      <c r="J192" s="250"/>
      <c r="K192" s="250"/>
    </row>
    <row r="193" spans="1:11" x14ac:dyDescent="0.25">
      <c r="H193" s="250"/>
      <c r="I193" s="250"/>
      <c r="J193" s="250"/>
      <c r="K193" s="250"/>
    </row>
    <row r="194" spans="1:11" x14ac:dyDescent="0.25">
      <c r="H194" s="250"/>
      <c r="I194" s="250"/>
      <c r="J194" s="250"/>
      <c r="K194" s="250"/>
    </row>
    <row r="195" spans="1:11" ht="13.8" thickBot="1" x14ac:dyDescent="0.3">
      <c r="H195" s="250"/>
      <c r="I195" s="250"/>
      <c r="J195" s="250"/>
      <c r="K195" s="250"/>
    </row>
    <row r="196" spans="1:11" ht="13.8" thickBot="1" x14ac:dyDescent="0.3">
      <c r="A196" s="194"/>
      <c r="B196" s="218" t="s">
        <v>4</v>
      </c>
      <c r="C196" s="191" t="s">
        <v>5</v>
      </c>
      <c r="D196" s="191" t="s">
        <v>6</v>
      </c>
      <c r="E196" s="191" t="s">
        <v>7</v>
      </c>
      <c r="F196" s="191" t="s">
        <v>8</v>
      </c>
      <c r="G196" s="191" t="s">
        <v>9</v>
      </c>
      <c r="H196" s="191" t="s">
        <v>10</v>
      </c>
      <c r="I196" s="191" t="s">
        <v>11</v>
      </c>
      <c r="J196" s="191" t="s">
        <v>12</v>
      </c>
      <c r="K196" s="192" t="s">
        <v>13</v>
      </c>
    </row>
    <row r="197" spans="1:11" ht="15.6" x14ac:dyDescent="0.3">
      <c r="A197" s="194">
        <v>2014</v>
      </c>
      <c r="B197" s="229">
        <v>27598230656003.266</v>
      </c>
      <c r="C197" s="229">
        <v>4775207995508.0684</v>
      </c>
      <c r="D197" s="229">
        <v>648449133437.50562</v>
      </c>
      <c r="E197" s="229">
        <v>4590029241387.7539</v>
      </c>
      <c r="F197" s="229">
        <v>1356124910906.158</v>
      </c>
      <c r="G197" s="229">
        <v>1322614093000.885</v>
      </c>
      <c r="H197" s="229">
        <v>5080201579240.791</v>
      </c>
      <c r="I197" s="229">
        <v>1945703673207.5781</v>
      </c>
      <c r="J197" s="229">
        <v>4088501510241.9819</v>
      </c>
      <c r="K197" s="229">
        <v>3271517347075.1802</v>
      </c>
    </row>
    <row r="198" spans="1:11" ht="15.6" x14ac:dyDescent="0.3">
      <c r="A198" s="194">
        <v>2015</v>
      </c>
      <c r="B198" s="229">
        <v>29094689547859.809</v>
      </c>
      <c r="C198" s="229">
        <v>4772735225253.2002</v>
      </c>
      <c r="D198" s="229">
        <v>646491011132.0249</v>
      </c>
      <c r="E198" s="229">
        <v>4774544635848.2363</v>
      </c>
      <c r="F198" s="229">
        <v>1407073412550.541</v>
      </c>
      <c r="G198" s="229">
        <v>1360983423838.7126</v>
      </c>
      <c r="H198" s="229">
        <v>5320474744362.8076</v>
      </c>
      <c r="I198" s="229">
        <v>2017584948928.9631</v>
      </c>
      <c r="J198" s="229">
        <v>4098120650906.0396</v>
      </c>
      <c r="K198" s="229">
        <v>3271082673373.5894</v>
      </c>
    </row>
    <row r="199" spans="1:11" ht="15.6" x14ac:dyDescent="0.3">
      <c r="A199" s="194">
        <v>2016</v>
      </c>
      <c r="B199" s="229">
        <v>30152920538466.883</v>
      </c>
      <c r="C199" s="229">
        <v>4778277068058.1494</v>
      </c>
      <c r="D199" s="229">
        <v>646915756501.32056</v>
      </c>
      <c r="E199" s="229">
        <v>4966979154751.4355</v>
      </c>
      <c r="F199" s="229">
        <v>1455314743278.4561</v>
      </c>
      <c r="G199" s="229">
        <v>1400119344290.2698</v>
      </c>
      <c r="H199" s="229">
        <v>5571271892911.75</v>
      </c>
      <c r="I199" s="229">
        <v>2093604609020.3354</v>
      </c>
      <c r="J199" s="229">
        <v>4106216679707.2495</v>
      </c>
      <c r="K199" s="229">
        <v>3289916418371.6387</v>
      </c>
    </row>
    <row r="200" spans="1:11" ht="15.6" x14ac:dyDescent="0.3">
      <c r="A200" s="194">
        <v>2017</v>
      </c>
      <c r="B200" s="229">
        <v>31206719008903.949</v>
      </c>
      <c r="C200" s="229">
        <v>4783462324418.4609</v>
      </c>
      <c r="D200" s="229">
        <v>647366806941.1886</v>
      </c>
      <c r="E200" s="229">
        <v>5160442655933.6836</v>
      </c>
      <c r="F200" s="229">
        <v>1504872005275.061</v>
      </c>
      <c r="G200" s="229">
        <v>1439243628642.1294</v>
      </c>
      <c r="H200" s="229">
        <v>5814788363092.3047</v>
      </c>
      <c r="I200" s="229">
        <v>2175527853136.1509</v>
      </c>
      <c r="J200" s="229">
        <v>4114073926153.4517</v>
      </c>
      <c r="K200" s="229">
        <v>3307996922636.834</v>
      </c>
    </row>
    <row r="201" spans="1:11" ht="15.6" x14ac:dyDescent="0.3">
      <c r="A201" s="194">
        <v>2018</v>
      </c>
      <c r="B201" s="229">
        <v>32257597612266.023</v>
      </c>
      <c r="C201" s="229">
        <v>4788268958417.7607</v>
      </c>
      <c r="D201" s="229">
        <v>647837250153.01733</v>
      </c>
      <c r="E201" s="229">
        <v>5354767798588.5352</v>
      </c>
      <c r="F201" s="229">
        <v>1555879106904.5657</v>
      </c>
      <c r="G201" s="229">
        <v>1478316884557.0444</v>
      </c>
      <c r="H201" s="229">
        <v>6051134338324.7871</v>
      </c>
      <c r="I201" s="229">
        <v>2263049797691.5581</v>
      </c>
      <c r="J201" s="229">
        <v>4121698725087.8848</v>
      </c>
      <c r="K201" s="229">
        <v>3325329976087.3813</v>
      </c>
    </row>
    <row r="202" spans="1:11" ht="16.2" thickBot="1" x14ac:dyDescent="0.35">
      <c r="A202" s="198">
        <v>2019</v>
      </c>
      <c r="B202" s="230">
        <v>33307069001648.133</v>
      </c>
      <c r="C202" s="230">
        <v>4792674934139.6777</v>
      </c>
      <c r="D202" s="230">
        <v>648320173838.19495</v>
      </c>
      <c r="E202" s="230">
        <v>5549787241909.543</v>
      </c>
      <c r="F202" s="230">
        <v>1608469956531.1792</v>
      </c>
      <c r="G202" s="230">
        <v>1517299719697.7668</v>
      </c>
      <c r="H202" s="230">
        <v>6280420002029.5186</v>
      </c>
      <c r="I202" s="230">
        <v>2355865559101.7036</v>
      </c>
      <c r="J202" s="230">
        <v>4129097411353.7861</v>
      </c>
      <c r="K202" s="230">
        <v>3341921368641.4854</v>
      </c>
    </row>
    <row r="203" spans="1:11" ht="15.6" x14ac:dyDescent="0.3">
      <c r="A203" s="201">
        <v>2020</v>
      </c>
      <c r="B203" s="228">
        <v>34356645830145.297</v>
      </c>
      <c r="C203" s="228">
        <v>4796658215667.8389</v>
      </c>
      <c r="D203" s="228">
        <v>648808665698.10962</v>
      </c>
      <c r="E203" s="228">
        <v>5745333645090.2598</v>
      </c>
      <c r="F203" s="228">
        <v>1662778462519.1113</v>
      </c>
      <c r="G203" s="228">
        <v>1556152741727.0488</v>
      </c>
      <c r="H203" s="228">
        <v>6502755537626.8174</v>
      </c>
      <c r="I203" s="228">
        <v>2453670253781.7363</v>
      </c>
      <c r="J203" s="228">
        <v>4136276319794.395</v>
      </c>
      <c r="K203" s="228">
        <v>3357776890217.3516</v>
      </c>
    </row>
    <row r="204" spans="1:11" ht="15.6" x14ac:dyDescent="0.3">
      <c r="A204" s="206">
        <v>2021</v>
      </c>
      <c r="B204" s="229">
        <v>35407840750852.531</v>
      </c>
      <c r="C204" s="229">
        <v>4800196767085.874</v>
      </c>
      <c r="D204" s="229">
        <v>649295813434.14954</v>
      </c>
      <c r="E204" s="229">
        <v>5941239667324.2393</v>
      </c>
      <c r="F204" s="229">
        <v>1718938533232.572</v>
      </c>
      <c r="G204" s="229">
        <v>1594836558307.6433</v>
      </c>
      <c r="H204" s="229">
        <v>6718251128537.0029</v>
      </c>
      <c r="I204" s="229">
        <v>2556158998146.8037</v>
      </c>
      <c r="J204" s="229">
        <v>4143241785252.9517</v>
      </c>
      <c r="K204" s="229">
        <v>3372902330733.1851</v>
      </c>
    </row>
    <row r="205" spans="1:11" ht="15.6" x14ac:dyDescent="0.3">
      <c r="A205" s="206">
        <v>2022</v>
      </c>
      <c r="B205" s="229">
        <v>36462166416864.875</v>
      </c>
      <c r="C205" s="229">
        <v>4803268552477.4102</v>
      </c>
      <c r="D205" s="229">
        <v>649774704747.70276</v>
      </c>
      <c r="E205" s="229">
        <v>6137337967805.0342</v>
      </c>
      <c r="F205" s="229">
        <v>1777084077035.7705</v>
      </c>
      <c r="G205" s="229">
        <v>1633311777102.3022</v>
      </c>
      <c r="H205" s="229">
        <v>6927016958180.3926</v>
      </c>
      <c r="I205" s="229">
        <v>2663026908612.0537</v>
      </c>
      <c r="J205" s="229">
        <v>4150000142572.6943</v>
      </c>
      <c r="K205" s="229">
        <v>3387303480107.1914</v>
      </c>
    </row>
    <row r="206" spans="1:11" ht="15.6" x14ac:dyDescent="0.3">
      <c r="A206" s="206">
        <v>2023</v>
      </c>
      <c r="B206" s="229">
        <v>37521135481277.328</v>
      </c>
      <c r="C206" s="229">
        <v>4805851535926.0752</v>
      </c>
      <c r="D206" s="229">
        <v>650238427340.15759</v>
      </c>
      <c r="E206" s="229">
        <v>6333461205726.1973</v>
      </c>
      <c r="F206" s="229">
        <v>1837349002292.9167</v>
      </c>
      <c r="G206" s="229">
        <v>1671539005773.7783</v>
      </c>
      <c r="H206" s="229">
        <v>7129163209977.3076</v>
      </c>
      <c r="I206" s="229">
        <v>2773969101592.6348</v>
      </c>
      <c r="J206" s="229">
        <v>4156557726596.8604</v>
      </c>
      <c r="K206" s="229">
        <v>3400986128257.5752</v>
      </c>
    </row>
    <row r="207" spans="1:11" ht="15.6" x14ac:dyDescent="0.3">
      <c r="A207" s="206">
        <v>2024</v>
      </c>
      <c r="B207" s="229">
        <v>38586260597184.922</v>
      </c>
      <c r="C207" s="229">
        <v>4807923681515.4971</v>
      </c>
      <c r="D207" s="229">
        <v>650680068912.90222</v>
      </c>
      <c r="E207" s="229">
        <v>6529442040281.2822</v>
      </c>
      <c r="F207" s="229">
        <v>1899867217368.22</v>
      </c>
      <c r="G207" s="229">
        <v>1709478851984.8237</v>
      </c>
      <c r="H207" s="229">
        <v>7324800067348.0645</v>
      </c>
      <c r="I207" s="229">
        <v>2888680693503.6938</v>
      </c>
      <c r="J207" s="229">
        <v>4162920872168.6899</v>
      </c>
      <c r="K207" s="229">
        <v>3413956065102.542</v>
      </c>
    </row>
    <row r="208" spans="1:11" ht="15.6" x14ac:dyDescent="0.3">
      <c r="A208" s="206">
        <v>2025</v>
      </c>
      <c r="B208" s="229">
        <v>39659054417682.688</v>
      </c>
      <c r="C208" s="229">
        <v>4809462953329.3037</v>
      </c>
      <c r="D208" s="229">
        <v>651092717167.32471</v>
      </c>
      <c r="E208" s="229">
        <v>6725113130663.8418</v>
      </c>
      <c r="F208" s="229">
        <v>1964772630625.8901</v>
      </c>
      <c r="G208" s="229">
        <v>1747091923398.1909</v>
      </c>
      <c r="H208" s="229">
        <v>7514037713712.9834</v>
      </c>
      <c r="I208" s="229">
        <v>3006856800760.3799</v>
      </c>
      <c r="J208" s="229">
        <v>4169095914131.4224</v>
      </c>
      <c r="K208" s="229">
        <v>3426219080560.2979</v>
      </c>
    </row>
    <row r="209" spans="1:11" ht="15.6" x14ac:dyDescent="0.3">
      <c r="A209" s="206">
        <v>2026</v>
      </c>
      <c r="B209" s="229">
        <v>40741029595865.625</v>
      </c>
      <c r="C209" s="229">
        <v>4810447315451.123</v>
      </c>
      <c r="D209" s="229">
        <v>651469459804.81348</v>
      </c>
      <c r="E209" s="229">
        <v>6920307136067.4297</v>
      </c>
      <c r="F209" s="229">
        <v>2032199150430.1367</v>
      </c>
      <c r="G209" s="229">
        <v>1784338827676.6323</v>
      </c>
      <c r="H209" s="229">
        <v>7696986332492.3828</v>
      </c>
      <c r="I209" s="229">
        <v>3128192539777.8394</v>
      </c>
      <c r="J209" s="229">
        <v>4175089187328.2964</v>
      </c>
      <c r="K209" s="229">
        <v>3437780964549.0469</v>
      </c>
    </row>
    <row r="210" spans="1:11" ht="15.6" x14ac:dyDescent="0.3">
      <c r="A210" s="206">
        <v>2027</v>
      </c>
      <c r="B210" s="229">
        <v>41833698784828.773</v>
      </c>
      <c r="C210" s="229">
        <v>4810854731964.584</v>
      </c>
      <c r="D210" s="229">
        <v>651803384526.75647</v>
      </c>
      <c r="E210" s="229">
        <v>7114856715685.5996</v>
      </c>
      <c r="F210" s="229">
        <v>2102280685145.1692</v>
      </c>
      <c r="G210" s="229">
        <v>1821180172482.9001</v>
      </c>
      <c r="H210" s="229">
        <v>7873756107106.5811</v>
      </c>
      <c r="I210" s="229">
        <v>3252383026971.2222</v>
      </c>
      <c r="J210" s="229">
        <v>4180907026602.5503</v>
      </c>
      <c r="K210" s="229">
        <v>3448647506986.9951</v>
      </c>
    </row>
    <row r="211" spans="1:11" ht="15.6" x14ac:dyDescent="0.3">
      <c r="A211" s="206">
        <v>2028</v>
      </c>
      <c r="B211" s="229">
        <v>42938574637667.156</v>
      </c>
      <c r="C211" s="229">
        <v>4810663166953.3125</v>
      </c>
      <c r="D211" s="229">
        <v>652087579034.54187</v>
      </c>
      <c r="E211" s="229">
        <v>7308594528711.9023</v>
      </c>
      <c r="F211" s="229">
        <v>2175151143135.1973</v>
      </c>
      <c r="G211" s="229">
        <v>1857576565479.7468</v>
      </c>
      <c r="H211" s="229">
        <v>8044457220975.8975</v>
      </c>
      <c r="I211" s="229">
        <v>3379123378755.6743</v>
      </c>
      <c r="J211" s="229">
        <v>4186555766797.4219</v>
      </c>
      <c r="K211" s="229">
        <v>3458824497792.3477</v>
      </c>
    </row>
    <row r="212" spans="1:11" ht="15.6" x14ac:dyDescent="0.3">
      <c r="A212" s="206">
        <v>2029</v>
      </c>
      <c r="B212" s="229">
        <v>44057169807475.781</v>
      </c>
      <c r="C212" s="229">
        <v>4809850584500.9375</v>
      </c>
      <c r="D212" s="229">
        <v>652315131029.55811</v>
      </c>
      <c r="E212" s="229">
        <v>7501353234339.8926</v>
      </c>
      <c r="F212" s="229">
        <v>2250944432764.4307</v>
      </c>
      <c r="G212" s="229">
        <v>1893488614329.925</v>
      </c>
      <c r="H212" s="229">
        <v>8209199857520.6504</v>
      </c>
      <c r="I212" s="229">
        <v>3508108711546.3447</v>
      </c>
      <c r="J212" s="229">
        <v>4192041742756.1523</v>
      </c>
      <c r="K212" s="229">
        <v>3468317726883.3091</v>
      </c>
    </row>
    <row r="213" spans="1:11" ht="15.6" x14ac:dyDescent="0.3">
      <c r="A213" s="206">
        <v>2030</v>
      </c>
      <c r="B213" s="229">
        <v>45190996947349.672</v>
      </c>
      <c r="C213" s="229">
        <v>4808394948691.0879</v>
      </c>
      <c r="D213" s="229">
        <v>652479128213.19312</v>
      </c>
      <c r="E213" s="229">
        <v>7692965491763.123</v>
      </c>
      <c r="F213" s="229">
        <v>2329794462397.0791</v>
      </c>
      <c r="G213" s="229">
        <v>1928876926696.1865</v>
      </c>
      <c r="H213" s="229">
        <v>8368094200161.1602</v>
      </c>
      <c r="I213" s="229">
        <v>3639034141758.3813</v>
      </c>
      <c r="J213" s="229">
        <v>4197371289321.979</v>
      </c>
      <c r="K213" s="229">
        <v>3477132984178.0859</v>
      </c>
    </row>
    <row r="214" spans="1:11" ht="15.6" x14ac:dyDescent="0.3">
      <c r="A214" s="206">
        <v>2031</v>
      </c>
      <c r="B214" s="229">
        <v>46341568710383.859</v>
      </c>
      <c r="C214" s="229">
        <v>4806274223607.3896</v>
      </c>
      <c r="D214" s="229">
        <v>652572658286.83521</v>
      </c>
      <c r="E214" s="229">
        <v>7883263960175.1484</v>
      </c>
      <c r="F214" s="229">
        <v>2411835140397.3521</v>
      </c>
      <c r="G214" s="229">
        <v>1963702110241.2844</v>
      </c>
      <c r="H214" s="229">
        <v>8521250432317.7432</v>
      </c>
      <c r="I214" s="229">
        <v>3771594785806.9312</v>
      </c>
      <c r="J214" s="229">
        <v>4202550741338.1411</v>
      </c>
      <c r="K214" s="229">
        <v>3485276059594.8823</v>
      </c>
    </row>
    <row r="215" spans="1:11" ht="15.6" x14ac:dyDescent="0.3">
      <c r="A215" s="206">
        <v>2032</v>
      </c>
      <c r="B215" s="229">
        <v>47510397749673.359</v>
      </c>
      <c r="C215" s="229">
        <v>4803466373333.4727</v>
      </c>
      <c r="D215" s="229">
        <v>652588808951.87256</v>
      </c>
      <c r="E215" s="229">
        <v>8072081298769.5195</v>
      </c>
      <c r="F215" s="229">
        <v>2497200375129.459</v>
      </c>
      <c r="G215" s="229">
        <v>1997924772627.9707</v>
      </c>
      <c r="H215" s="229">
        <v>8668778737410.7207</v>
      </c>
      <c r="I215" s="229">
        <v>3905485760107.1436</v>
      </c>
      <c r="J215" s="229">
        <v>4207586433647.8779</v>
      </c>
      <c r="K215" s="229">
        <v>3492752743051.9033</v>
      </c>
    </row>
    <row r="216" spans="1:11" ht="15.6" x14ac:dyDescent="0.3">
      <c r="A216" s="206">
        <v>2033</v>
      </c>
      <c r="B216" s="229">
        <v>48698996718313.203</v>
      </c>
      <c r="C216" s="229">
        <v>4799949361952.9639</v>
      </c>
      <c r="D216" s="229">
        <v>652520667909.69324</v>
      </c>
      <c r="E216" s="229">
        <v>8259250166739.791</v>
      </c>
      <c r="F216" s="229">
        <v>2586024074957.6104</v>
      </c>
      <c r="G216" s="229">
        <v>2031505521518.9976</v>
      </c>
      <c r="H216" s="229">
        <v>8810789298860.4102</v>
      </c>
      <c r="I216" s="229">
        <v>4040402181074.1646</v>
      </c>
      <c r="J216" s="229">
        <v>4212484701094.4277</v>
      </c>
      <c r="K216" s="229">
        <v>3499568824467.3555</v>
      </c>
    </row>
    <row r="217" spans="1:11" ht="15.6" x14ac:dyDescent="0.3">
      <c r="A217" s="206">
        <v>2034</v>
      </c>
      <c r="B217" s="229">
        <v>49908878269398.391</v>
      </c>
      <c r="C217" s="229">
        <v>4795701153549.4912</v>
      </c>
      <c r="D217" s="229">
        <v>652361322861.68555</v>
      </c>
      <c r="E217" s="229">
        <v>8444603223279.5146</v>
      </c>
      <c r="F217" s="229">
        <v>2678440148246.0137</v>
      </c>
      <c r="G217" s="229">
        <v>2064404964577.1182</v>
      </c>
      <c r="H217" s="229">
        <v>8947392300087.1328</v>
      </c>
      <c r="I217" s="229">
        <v>4176039165123.144</v>
      </c>
      <c r="J217" s="229">
        <v>4217251878521.0288</v>
      </c>
      <c r="K217" s="229">
        <v>3505730093759.4438</v>
      </c>
    </row>
    <row r="218" spans="1:11" ht="15.6" x14ac:dyDescent="0.3">
      <c r="A218" s="206">
        <v>2035</v>
      </c>
      <c r="B218" s="229">
        <v>51141555056023.961</v>
      </c>
      <c r="C218" s="229">
        <v>4790699712206.6826</v>
      </c>
      <c r="D218" s="229">
        <v>652103861509.23767</v>
      </c>
      <c r="E218" s="229">
        <v>8627973127582.2461</v>
      </c>
      <c r="F218" s="229">
        <v>2774582503358.8813</v>
      </c>
      <c r="G218" s="229">
        <v>2096583709465.084</v>
      </c>
      <c r="H218" s="229">
        <v>9078697924511.2031</v>
      </c>
      <c r="I218" s="229">
        <v>4312091828669.2285</v>
      </c>
      <c r="J218" s="229">
        <v>4221894300770.9214</v>
      </c>
      <c r="K218" s="229">
        <v>3511242340846.3726</v>
      </c>
    </row>
    <row r="219" spans="1:11" ht="15.6" x14ac:dyDescent="0.3">
      <c r="A219" s="206">
        <v>2036</v>
      </c>
      <c r="B219" s="229">
        <v>52398539731284.938</v>
      </c>
      <c r="C219" s="229">
        <v>4784923002008.167</v>
      </c>
      <c r="D219" s="229">
        <v>651741371553.73767</v>
      </c>
      <c r="E219" s="229">
        <v>8809192538841.5352</v>
      </c>
      <c r="F219" s="229">
        <v>2874585048660.4209</v>
      </c>
      <c r="G219" s="229">
        <v>2128002363845.6479</v>
      </c>
      <c r="H219" s="229">
        <v>9204816355552.9434</v>
      </c>
      <c r="I219" s="229">
        <v>4448255288127.5664</v>
      </c>
      <c r="J219" s="229">
        <v>4226418302687.3442</v>
      </c>
      <c r="K219" s="229">
        <v>3516111355646.3472</v>
      </c>
    </row>
    <row r="220" spans="1:11" ht="15.6" x14ac:dyDescent="0.3">
      <c r="A220" s="206">
        <v>2037</v>
      </c>
      <c r="B220" s="229">
        <v>53681344948276.328</v>
      </c>
      <c r="C220" s="229">
        <v>4778348987037.5703</v>
      </c>
      <c r="D220" s="229">
        <v>651266940696.57385</v>
      </c>
      <c r="E220" s="229">
        <v>8988094116250.9375</v>
      </c>
      <c r="F220" s="229">
        <v>2978581692514.8428</v>
      </c>
      <c r="G220" s="229">
        <v>2158621535381.562</v>
      </c>
      <c r="H220" s="229">
        <v>9325857776632.6699</v>
      </c>
      <c r="I220" s="229">
        <v>4584224659913.3057</v>
      </c>
      <c r="J220" s="229">
        <v>4230830219113.5352</v>
      </c>
      <c r="K220" s="229">
        <v>3520342928077.5737</v>
      </c>
    </row>
    <row r="221" spans="1:11" ht="15.6" x14ac:dyDescent="0.3">
      <c r="A221" s="206">
        <v>2038</v>
      </c>
      <c r="B221" s="229">
        <v>54991483360093.164</v>
      </c>
      <c r="C221" s="229">
        <v>4770955631378.5225</v>
      </c>
      <c r="D221" s="229">
        <v>650673656639.1344</v>
      </c>
      <c r="E221" s="229">
        <v>9164510519004.0039</v>
      </c>
      <c r="F221" s="229">
        <v>3086706343286.3564</v>
      </c>
      <c r="G221" s="229">
        <v>2188401831735.5789</v>
      </c>
      <c r="H221" s="229">
        <v>9441932371170.7031</v>
      </c>
      <c r="I221" s="229">
        <v>4719695060441.5947</v>
      </c>
      <c r="J221" s="229">
        <v>4235136384892.7339</v>
      </c>
      <c r="K221" s="229">
        <v>3523942848058.2568</v>
      </c>
    </row>
    <row r="222" spans="1:11" ht="15.6" x14ac:dyDescent="0.3">
      <c r="A222" s="206">
        <v>2039</v>
      </c>
      <c r="B222" s="229">
        <v>56330467619830.461</v>
      </c>
      <c r="C222" s="229">
        <v>4762720899114.6514</v>
      </c>
      <c r="D222" s="229">
        <v>649954607082.8075</v>
      </c>
      <c r="E222" s="229">
        <v>9338274406294.291</v>
      </c>
      <c r="F222" s="229">
        <v>3199092909339.1719</v>
      </c>
      <c r="G222" s="229">
        <v>2217303860570.4512</v>
      </c>
      <c r="H222" s="229">
        <v>9553150322587.3633</v>
      </c>
      <c r="I222" s="229">
        <v>4854361606127.5801</v>
      </c>
      <c r="J222" s="229">
        <v>4239343134868.1787</v>
      </c>
      <c r="K222" s="229">
        <v>3526916905506.6021</v>
      </c>
    </row>
    <row r="223" spans="1:11" ht="15.6" x14ac:dyDescent="0.3">
      <c r="A223" s="206">
        <v>2040</v>
      </c>
      <c r="B223" s="229">
        <v>57699810380583.25</v>
      </c>
      <c r="C223" s="229">
        <v>4753622754329.583</v>
      </c>
      <c r="D223" s="229">
        <v>649102879728.9812</v>
      </c>
      <c r="E223" s="229">
        <v>9509218437315.3477</v>
      </c>
      <c r="F223" s="229">
        <v>3315875299037.498</v>
      </c>
      <c r="G223" s="229">
        <v>2245288229548.9307</v>
      </c>
      <c r="H223" s="229">
        <v>9659621814302.9688</v>
      </c>
      <c r="I223" s="229">
        <v>4987919413386.4102</v>
      </c>
      <c r="J223" s="229">
        <v>4243456803883.1084</v>
      </c>
      <c r="K223" s="229">
        <v>3529270890340.8149</v>
      </c>
    </row>
    <row r="224" spans="1:11" ht="15.6" x14ac:dyDescent="0.3">
      <c r="A224" s="206">
        <v>2041</v>
      </c>
      <c r="B224" s="229">
        <v>59101024295446.547</v>
      </c>
      <c r="C224" s="229">
        <v>4743639161106.9473</v>
      </c>
      <c r="D224" s="229">
        <v>648111562279.04382</v>
      </c>
      <c r="E224" s="229">
        <v>9677175271260.7305</v>
      </c>
      <c r="F224" s="229">
        <v>3437187420745.5449</v>
      </c>
      <c r="G224" s="229">
        <v>2272315546333.77</v>
      </c>
      <c r="H224" s="229">
        <v>9761457029737.834</v>
      </c>
      <c r="I224" s="229">
        <v>5120063598633.2334</v>
      </c>
      <c r="J224" s="229">
        <v>4247483726780.7627</v>
      </c>
      <c r="K224" s="229">
        <v>3531010592479.0996</v>
      </c>
    </row>
    <row r="225" spans="1:11" ht="15.6" x14ac:dyDescent="0.3">
      <c r="A225" s="206">
        <v>2042</v>
      </c>
      <c r="B225" s="229">
        <v>60535622017515.375</v>
      </c>
      <c r="C225" s="229">
        <v>4732748083530.3711</v>
      </c>
      <c r="D225" s="229">
        <v>646973742434.38342</v>
      </c>
      <c r="E225" s="229">
        <v>9841977567323.9922</v>
      </c>
      <c r="F225" s="229">
        <v>3563163182827.5225</v>
      </c>
      <c r="G225" s="229">
        <v>2298346418587.7217</v>
      </c>
      <c r="H225" s="229">
        <v>9858766152312.2852</v>
      </c>
      <c r="I225" s="229">
        <v>5250489278283.1973</v>
      </c>
      <c r="J225" s="229">
        <v>4251430238404.3794</v>
      </c>
      <c r="K225" s="229">
        <v>3532141801839.6626</v>
      </c>
    </row>
    <row r="226" spans="1:11" ht="15.6" x14ac:dyDescent="0.3">
      <c r="A226" s="206">
        <v>2043</v>
      </c>
      <c r="B226" s="229">
        <v>62005116199884.75</v>
      </c>
      <c r="C226" s="229">
        <v>4720927485683.4824</v>
      </c>
      <c r="D226" s="229">
        <v>645682507896.38831</v>
      </c>
      <c r="E226" s="229">
        <v>10003457984698.684</v>
      </c>
      <c r="F226" s="229">
        <v>3693936493647.6396</v>
      </c>
      <c r="G226" s="229">
        <v>2323341453973.5381</v>
      </c>
      <c r="H226" s="229">
        <v>9951659365446.6348</v>
      </c>
      <c r="I226" s="229">
        <v>5378891568751.4512</v>
      </c>
      <c r="J226" s="229">
        <v>4255302673597.1987</v>
      </c>
      <c r="K226" s="229">
        <v>3532670308340.7085</v>
      </c>
    </row>
    <row r="227" spans="1:11" ht="15.6" x14ac:dyDescent="0.3">
      <c r="A227" s="206">
        <v>2044</v>
      </c>
      <c r="B227" s="229">
        <v>63511019495649.695</v>
      </c>
      <c r="C227" s="229">
        <v>4708155331649.9102</v>
      </c>
      <c r="D227" s="229">
        <v>644230946366.44666</v>
      </c>
      <c r="E227" s="229">
        <v>10161449182578.361</v>
      </c>
      <c r="F227" s="229">
        <v>3829641261570.1064</v>
      </c>
      <c r="G227" s="229">
        <v>2347261260153.9717</v>
      </c>
      <c r="H227" s="229">
        <v>10040246852561.201</v>
      </c>
      <c r="I227" s="229">
        <v>5504965586453.1396</v>
      </c>
      <c r="J227" s="229">
        <v>4259107367202.4575</v>
      </c>
      <c r="K227" s="229">
        <v>3532601901900.4424</v>
      </c>
    </row>
    <row r="228" spans="1:11" ht="15.6" x14ac:dyDescent="0.3">
      <c r="A228" s="206">
        <v>2045</v>
      </c>
      <c r="B228" s="229">
        <v>65054844557905.242</v>
      </c>
      <c r="C228" s="229">
        <v>4694409585513.2813</v>
      </c>
      <c r="D228" s="229">
        <v>642612145545.94666</v>
      </c>
      <c r="E228" s="229">
        <v>10315783820156.574</v>
      </c>
      <c r="F228" s="229">
        <v>3970411394959.1318</v>
      </c>
      <c r="G228" s="229">
        <v>2370066444791.7744</v>
      </c>
      <c r="H228" s="229">
        <v>10124638797076.311</v>
      </c>
      <c r="I228" s="229">
        <v>5628406447803.4141</v>
      </c>
      <c r="J228" s="229">
        <v>4262850654063.397</v>
      </c>
      <c r="K228" s="229">
        <v>3531942372437.0698</v>
      </c>
    </row>
    <row r="229" spans="1:11" ht="15.6" x14ac:dyDescent="0.3">
      <c r="A229" s="206">
        <v>2046</v>
      </c>
      <c r="B229" s="229">
        <v>66638104039746.398</v>
      </c>
      <c r="C229" s="229">
        <v>4679668211357.2236</v>
      </c>
      <c r="D229" s="229">
        <v>640819193136.27637</v>
      </c>
      <c r="E229" s="229">
        <v>10466294556626.879</v>
      </c>
      <c r="F229" s="229">
        <v>4116380802178.9268</v>
      </c>
      <c r="G229" s="229">
        <v>2391717615549.6992</v>
      </c>
      <c r="H229" s="229">
        <v>10204945382412.275</v>
      </c>
      <c r="I229" s="229">
        <v>5748909269217.4199</v>
      </c>
      <c r="J229" s="229">
        <v>4266538869023.2549</v>
      </c>
      <c r="K229" s="229">
        <v>3530697509868.7969</v>
      </c>
    </row>
    <row r="230" spans="1:11" ht="15.6" x14ac:dyDescent="0.3">
      <c r="A230" s="206">
        <v>2047</v>
      </c>
      <c r="B230" s="229">
        <v>68262310594268.195</v>
      </c>
      <c r="C230" s="229">
        <v>4663909173265.3662</v>
      </c>
      <c r="D230" s="229">
        <v>638845176838.82397</v>
      </c>
      <c r="E230" s="229">
        <v>10612814051182.828</v>
      </c>
      <c r="F230" s="229">
        <v>4267683391593.6992</v>
      </c>
      <c r="G230" s="229">
        <v>2412175380090.4985</v>
      </c>
      <c r="H230" s="229">
        <v>10281276791989.418</v>
      </c>
      <c r="I230" s="229">
        <v>5866169167110.3076</v>
      </c>
      <c r="J230" s="229">
        <v>4270178346925.2695</v>
      </c>
      <c r="K230" s="229">
        <v>3528873104113.8271</v>
      </c>
    </row>
    <row r="231" spans="1:11" ht="15.6" x14ac:dyDescent="0.3">
      <c r="A231" s="206">
        <v>2048</v>
      </c>
      <c r="B231" s="229">
        <v>69928976874565.648</v>
      </c>
      <c r="C231" s="229">
        <v>4647110435321.3359</v>
      </c>
      <c r="D231" s="229">
        <v>636683184354.97791</v>
      </c>
      <c r="E231" s="229">
        <v>10755174963017.973</v>
      </c>
      <c r="F231" s="229">
        <v>4424453071567.6602</v>
      </c>
      <c r="G231" s="229">
        <v>2431400346076.9238</v>
      </c>
      <c r="H231" s="229">
        <v>10353743209228.055</v>
      </c>
      <c r="I231" s="229">
        <v>5979881257897.2217</v>
      </c>
      <c r="J231" s="229">
        <v>4273775422612.6797</v>
      </c>
      <c r="K231" s="229">
        <v>3526474945090.3667</v>
      </c>
    </row>
    <row r="232" spans="1:11" ht="15.6" x14ac:dyDescent="0.3">
      <c r="A232" s="206">
        <v>2049</v>
      </c>
      <c r="B232" s="229">
        <v>71639615533733.781</v>
      </c>
      <c r="C232" s="229">
        <v>4629249961608.7617</v>
      </c>
      <c r="D232" s="229">
        <v>634326303386.1261</v>
      </c>
      <c r="E232" s="229">
        <v>10893209951325.867</v>
      </c>
      <c r="F232" s="229">
        <v>4586823750465.0186</v>
      </c>
      <c r="G232" s="229">
        <v>2449353121171.7285</v>
      </c>
      <c r="H232" s="229">
        <v>10422454817548.504</v>
      </c>
      <c r="I232" s="229">
        <v>6089740657993.3125</v>
      </c>
      <c r="J232" s="229">
        <v>4277336430928.7256</v>
      </c>
      <c r="K232" s="229">
        <v>3523508822716.6216</v>
      </c>
    </row>
    <row r="233" spans="1:11" ht="16.2" thickBot="1" x14ac:dyDescent="0.35">
      <c r="A233" s="208">
        <v>2050</v>
      </c>
      <c r="B233" s="231">
        <v>73395739224867.625</v>
      </c>
      <c r="C233" s="231">
        <v>4610305716211.2705</v>
      </c>
      <c r="D233" s="231">
        <v>631767621633.65674</v>
      </c>
      <c r="E233" s="231">
        <v>11026751675300.064</v>
      </c>
      <c r="F233" s="231">
        <v>4754929336649.9844</v>
      </c>
      <c r="G233" s="231">
        <v>2465994313037.6641</v>
      </c>
      <c r="H233" s="231">
        <v>10487521800371.088</v>
      </c>
      <c r="I233" s="231">
        <v>6195442483813.7275</v>
      </c>
      <c r="J233" s="231">
        <v>4280867706716.6455</v>
      </c>
      <c r="K233" s="231">
        <v>3519980526910.7959</v>
      </c>
    </row>
    <row r="234" spans="1:11" ht="15.6" x14ac:dyDescent="0.3">
      <c r="A234" s="213">
        <v>2051</v>
      </c>
      <c r="B234" s="227">
        <v>75198860601062.188</v>
      </c>
      <c r="C234" s="227">
        <v>4590255663212.4902</v>
      </c>
      <c r="D234" s="227">
        <v>629000226798.95825</v>
      </c>
      <c r="E234" s="227">
        <v>11155632794134.117</v>
      </c>
      <c r="F234" s="227">
        <v>4928903738486.7676</v>
      </c>
      <c r="G234" s="227">
        <v>2481284529337.4834</v>
      </c>
      <c r="H234" s="227">
        <v>10549054341116.123</v>
      </c>
      <c r="I234" s="227">
        <v>6296681851773.6152</v>
      </c>
      <c r="J234" s="227">
        <v>4284375584819.6777</v>
      </c>
      <c r="K234" s="227">
        <v>3515895847591.0952</v>
      </c>
    </row>
    <row r="235" spans="1:11" ht="15.6" x14ac:dyDescent="0.3">
      <c r="A235" s="194">
        <v>2052</v>
      </c>
      <c r="B235" s="229">
        <v>77050492315412.5</v>
      </c>
      <c r="C235" s="229">
        <v>4569077766696.0498</v>
      </c>
      <c r="D235" s="229">
        <v>626017206583.41858</v>
      </c>
      <c r="E235" s="229">
        <v>11279685967021.582</v>
      </c>
      <c r="F235" s="229">
        <v>5108880864339.5762</v>
      </c>
      <c r="G235" s="229">
        <v>2495184377733.9395</v>
      </c>
      <c r="H235" s="229">
        <v>10607162623203.926</v>
      </c>
      <c r="I235" s="229">
        <v>6393153878288.1221</v>
      </c>
      <c r="J235" s="229">
        <v>4287866400081.0615</v>
      </c>
      <c r="K235" s="229">
        <v>3511260574675.7256</v>
      </c>
    </row>
    <row r="236" spans="1:11" ht="15.6" x14ac:dyDescent="0.3">
      <c r="A236" s="194">
        <v>2053</v>
      </c>
      <c r="B236" s="229">
        <v>78952147021013.563</v>
      </c>
      <c r="C236" s="229">
        <v>4546749990745.5762</v>
      </c>
      <c r="D236" s="229">
        <v>622811648688.4259</v>
      </c>
      <c r="E236" s="229">
        <v>11398743853156.008</v>
      </c>
      <c r="F236" s="229">
        <v>5294994622572.6221</v>
      </c>
      <c r="G236" s="229">
        <v>2507654465889.7832</v>
      </c>
      <c r="H236" s="229">
        <v>10661956830054.82</v>
      </c>
      <c r="I236" s="229">
        <v>6484553679772.3965</v>
      </c>
      <c r="J236" s="229">
        <v>4291346487344.0352</v>
      </c>
      <c r="K236" s="229">
        <v>3506080498082.8906</v>
      </c>
    </row>
    <row r="237" spans="1:11" ht="15.6" x14ac:dyDescent="0.3">
      <c r="A237" s="194">
        <v>2054</v>
      </c>
      <c r="B237" s="229">
        <v>80905337370960.438</v>
      </c>
      <c r="C237" s="229">
        <v>4523250299444.6982</v>
      </c>
      <c r="D237" s="229">
        <v>619376640815.36853</v>
      </c>
      <c r="E237" s="229">
        <v>11512639111730.949</v>
      </c>
      <c r="F237" s="229">
        <v>5487378921550.1123</v>
      </c>
      <c r="G237" s="229">
        <v>2518655401467.7686</v>
      </c>
      <c r="H237" s="229">
        <v>10713547145089.123</v>
      </c>
      <c r="I237" s="229">
        <v>6570576372641.5859</v>
      </c>
      <c r="J237" s="229">
        <v>4294822181451.8394</v>
      </c>
      <c r="K237" s="229">
        <v>3500361407730.7964</v>
      </c>
    </row>
    <row r="238" spans="1:11" ht="15.6" x14ac:dyDescent="0.3">
      <c r="A238" s="194">
        <v>2055</v>
      </c>
      <c r="B238" s="229">
        <v>82911576018348.109</v>
      </c>
      <c r="C238" s="229">
        <v>4498556656877.043</v>
      </c>
      <c r="D238" s="229">
        <v>615705270665.63464</v>
      </c>
      <c r="E238" s="229">
        <v>11621204401939.959</v>
      </c>
      <c r="F238" s="229">
        <v>5686167669636.2588</v>
      </c>
      <c r="G238" s="229">
        <v>2528147792130.6465</v>
      </c>
      <c r="H238" s="229">
        <v>10762043751727.152</v>
      </c>
      <c r="I238" s="229">
        <v>6650917073310.8408</v>
      </c>
      <c r="J238" s="229">
        <v>4298299817247.71</v>
      </c>
      <c r="K238" s="229">
        <v>3494109093537.6494</v>
      </c>
    </row>
    <row r="239" spans="1:11" ht="15.6" x14ac:dyDescent="0.3">
      <c r="A239" s="194">
        <v>2056</v>
      </c>
      <c r="B239" s="229">
        <v>84972375616271.609</v>
      </c>
      <c r="C239" s="229">
        <v>4472647027126.2393</v>
      </c>
      <c r="D239" s="229">
        <v>611790625940.6123</v>
      </c>
      <c r="E239" s="229">
        <v>11724272382976.59</v>
      </c>
      <c r="F239" s="229">
        <v>5891494775195.2705</v>
      </c>
      <c r="G239" s="229">
        <v>2536092245541.1709</v>
      </c>
      <c r="H239" s="229">
        <v>10807556833389.23</v>
      </c>
      <c r="I239" s="229">
        <v>6725270898195.3057</v>
      </c>
      <c r="J239" s="229">
        <v>4301785729574.8892</v>
      </c>
      <c r="K239" s="229">
        <v>3487329345421.6528</v>
      </c>
    </row>
    <row r="240" spans="1:11" ht="15.6" x14ac:dyDescent="0.3">
      <c r="A240" s="194">
        <v>2057</v>
      </c>
      <c r="B240" s="229">
        <v>87089248817825.969</v>
      </c>
      <c r="C240" s="229">
        <v>4445499374275.9141</v>
      </c>
      <c r="D240" s="229">
        <v>607625794341.68982</v>
      </c>
      <c r="E240" s="229">
        <v>11821675714034.398</v>
      </c>
      <c r="F240" s="229">
        <v>6103494146591.3564</v>
      </c>
      <c r="G240" s="229">
        <v>2542449369362.0928</v>
      </c>
      <c r="H240" s="229">
        <v>10850196573495.668</v>
      </c>
      <c r="I240" s="229">
        <v>6793332963710.1309</v>
      </c>
      <c r="J240" s="229">
        <v>4305286253276.6138</v>
      </c>
      <c r="K240" s="229">
        <v>3480027953301.0137</v>
      </c>
    </row>
    <row r="241" spans="1:11" ht="15.6" x14ac:dyDescent="0.3">
      <c r="A241" s="194">
        <v>2058</v>
      </c>
      <c r="B241" s="229">
        <v>89263708276106.203</v>
      </c>
      <c r="C241" s="229">
        <v>4417091662409.6963</v>
      </c>
      <c r="D241" s="229">
        <v>603203863570.25537</v>
      </c>
      <c r="E241" s="229">
        <v>11913247054306.934</v>
      </c>
      <c r="F241" s="229">
        <v>6322299692188.7256</v>
      </c>
      <c r="G241" s="229">
        <v>2547179771256.165</v>
      </c>
      <c r="H241" s="229">
        <v>10890073155466.791</v>
      </c>
      <c r="I241" s="229">
        <v>6854798386270.4619</v>
      </c>
      <c r="J241" s="229">
        <v>4308807723196.1226</v>
      </c>
      <c r="K241" s="229">
        <v>3472210707093.936</v>
      </c>
    </row>
    <row r="242" spans="1:11" ht="15.6" x14ac:dyDescent="0.3">
      <c r="A242" s="194">
        <v>2059</v>
      </c>
      <c r="B242" s="229">
        <v>91497266644207.344</v>
      </c>
      <c r="C242" s="229">
        <v>4387401855611.2129</v>
      </c>
      <c r="D242" s="229">
        <v>598517921327.69702</v>
      </c>
      <c r="E242" s="229">
        <v>11998819062987.75</v>
      </c>
      <c r="F242" s="229">
        <v>6548045320351.5889</v>
      </c>
      <c r="G242" s="229">
        <v>2550244058886.1401</v>
      </c>
      <c r="H242" s="229">
        <v>10927296762722.918</v>
      </c>
      <c r="I242" s="229">
        <v>6909362282291.4473</v>
      </c>
      <c r="J242" s="229">
        <v>4312356474176.6548</v>
      </c>
      <c r="K242" s="229">
        <v>3463883396718.6255</v>
      </c>
    </row>
    <row r="243" spans="1:11" ht="15.6" x14ac:dyDescent="0.3">
      <c r="A243" s="194">
        <v>2060</v>
      </c>
      <c r="B243" s="229">
        <v>93791436575224.391</v>
      </c>
      <c r="C243" s="229">
        <v>4356407917964.0928</v>
      </c>
      <c r="D243" s="229">
        <v>593561055315.40308</v>
      </c>
      <c r="E243" s="229">
        <v>12078224399270.4</v>
      </c>
      <c r="F243" s="229">
        <v>6780864939444.1563</v>
      </c>
      <c r="G243" s="229">
        <v>2551602839914.7705</v>
      </c>
      <c r="H243" s="229">
        <v>10961977578684.361</v>
      </c>
      <c r="I243" s="229">
        <v>6956719768188.2393</v>
      </c>
      <c r="J243" s="229">
        <v>4315938841061.4502</v>
      </c>
      <c r="K243" s="229">
        <v>3455051812093.2876</v>
      </c>
    </row>
    <row r="244" spans="1:11" x14ac:dyDescent="0.25">
      <c r="H244" s="250"/>
      <c r="I244" s="250"/>
      <c r="J244" s="250"/>
      <c r="K244" s="250"/>
    </row>
    <row r="245" spans="1:11" x14ac:dyDescent="0.25">
      <c r="H245" s="250"/>
      <c r="I245" s="250"/>
      <c r="J245" s="250"/>
      <c r="K245" s="250"/>
    </row>
    <row r="246" spans="1:11" x14ac:dyDescent="0.25">
      <c r="H246" s="250"/>
      <c r="I246" s="250"/>
      <c r="J246" s="250"/>
      <c r="K246" s="250"/>
    </row>
    <row r="247" spans="1:11" x14ac:dyDescent="0.25">
      <c r="H247" s="250"/>
      <c r="I247" s="250"/>
      <c r="J247" s="250"/>
      <c r="K247" s="250"/>
    </row>
    <row r="248" spans="1:11" x14ac:dyDescent="0.25">
      <c r="H248" s="250"/>
      <c r="I248" s="250"/>
      <c r="J248" s="250"/>
      <c r="K248" s="250"/>
    </row>
    <row r="249" spans="1:11" x14ac:dyDescent="0.25">
      <c r="H249" s="250"/>
      <c r="I249" s="250"/>
      <c r="J249" s="250"/>
      <c r="K249" s="250"/>
    </row>
    <row r="250" spans="1:11" x14ac:dyDescent="0.25">
      <c r="H250" s="250"/>
      <c r="I250" s="250"/>
      <c r="J250" s="250"/>
      <c r="K250" s="250"/>
    </row>
    <row r="251" spans="1:11" x14ac:dyDescent="0.25">
      <c r="H251" s="250"/>
      <c r="I251" s="250"/>
      <c r="J251" s="250"/>
      <c r="K251" s="250"/>
    </row>
    <row r="252" spans="1:11" x14ac:dyDescent="0.25">
      <c r="H252" s="250"/>
      <c r="I252" s="250"/>
      <c r="J252" s="250"/>
      <c r="K252" s="250"/>
    </row>
    <row r="253" spans="1:11" x14ac:dyDescent="0.25">
      <c r="H253" s="250"/>
      <c r="I253" s="250"/>
      <c r="J253" s="250"/>
      <c r="K253" s="250"/>
    </row>
    <row r="254" spans="1:11" x14ac:dyDescent="0.25">
      <c r="A254" s="373" t="s">
        <v>358</v>
      </c>
      <c r="B254" s="372"/>
      <c r="C254" s="372"/>
      <c r="D254" s="372"/>
      <c r="E254" s="372"/>
      <c r="F254" s="372"/>
      <c r="H254" s="250"/>
      <c r="I254" s="250"/>
      <c r="J254" s="250"/>
      <c r="K254" s="250"/>
    </row>
    <row r="255" spans="1:11" ht="15.6" x14ac:dyDescent="0.3">
      <c r="A255" s="327">
        <v>1</v>
      </c>
      <c r="B255" s="328" t="s">
        <v>337</v>
      </c>
      <c r="C255" s="329"/>
      <c r="D255" s="329"/>
      <c r="E255" s="329"/>
      <c r="F255" s="329"/>
      <c r="G255" s="329"/>
      <c r="H255" s="329"/>
      <c r="I255" s="250"/>
      <c r="J255" s="250"/>
      <c r="K255" s="250"/>
    </row>
    <row r="256" spans="1:11" ht="15.6" x14ac:dyDescent="0.3">
      <c r="A256" s="330" t="s">
        <v>338</v>
      </c>
      <c r="B256" s="331"/>
      <c r="C256" s="331"/>
      <c r="D256" s="332"/>
      <c r="E256" s="333"/>
      <c r="F256" s="703"/>
      <c r="G256" s="333"/>
      <c r="H256" s="334"/>
      <c r="I256" s="250"/>
      <c r="J256" s="250"/>
      <c r="K256" s="250"/>
    </row>
    <row r="257" spans="1:11" ht="16.2" thickBot="1" x14ac:dyDescent="0.3">
      <c r="A257" s="335" t="s">
        <v>339</v>
      </c>
      <c r="B257" s="336"/>
      <c r="C257" s="336"/>
      <c r="D257" s="337"/>
      <c r="E257" s="338" t="s">
        <v>340</v>
      </c>
      <c r="F257" s="704"/>
      <c r="G257" s="339" t="s">
        <v>341</v>
      </c>
      <c r="H257" s="334"/>
      <c r="I257" s="250"/>
      <c r="J257" s="250"/>
      <c r="K257" s="250"/>
    </row>
    <row r="258" spans="1:11" ht="16.2" thickBot="1" x14ac:dyDescent="0.3">
      <c r="A258" s="340"/>
      <c r="B258" s="340"/>
      <c r="C258" s="340"/>
      <c r="D258" s="341"/>
      <c r="E258" s="339" t="s">
        <v>342</v>
      </c>
      <c r="F258" s="339" t="s">
        <v>343</v>
      </c>
      <c r="G258" s="342" t="s">
        <v>344</v>
      </c>
      <c r="H258" s="339" t="s">
        <v>345</v>
      </c>
      <c r="I258" s="250"/>
      <c r="J258" s="250"/>
      <c r="K258" s="250"/>
    </row>
    <row r="259" spans="1:11" ht="15.6" x14ac:dyDescent="0.3">
      <c r="A259" s="330" t="s">
        <v>346</v>
      </c>
      <c r="B259" s="340"/>
      <c r="C259" s="343">
        <v>2005</v>
      </c>
      <c r="D259" s="344">
        <v>-9</v>
      </c>
      <c r="E259" s="345"/>
      <c r="F259" s="346"/>
      <c r="G259" s="347">
        <v>15525.938371462835</v>
      </c>
      <c r="H259" s="348">
        <v>15525.938371462835</v>
      </c>
      <c r="I259" s="250"/>
      <c r="J259" s="250"/>
      <c r="K259" s="250"/>
    </row>
    <row r="260" spans="1:11" ht="15.6" x14ac:dyDescent="0.3">
      <c r="A260" s="335" t="s">
        <v>347</v>
      </c>
      <c r="B260" s="340"/>
      <c r="C260" s="349">
        <v>2006</v>
      </c>
      <c r="D260" s="350">
        <v>-8</v>
      </c>
      <c r="E260" s="351"/>
      <c r="F260" s="346"/>
      <c r="G260" s="352">
        <v>15588.795122621847</v>
      </c>
      <c r="H260" s="353">
        <v>15588.795122621847</v>
      </c>
      <c r="I260" s="250"/>
      <c r="J260" s="250"/>
      <c r="K260" s="250"/>
    </row>
    <row r="261" spans="1:11" ht="15.6" x14ac:dyDescent="0.3">
      <c r="A261" s="340"/>
      <c r="B261" s="340"/>
      <c r="C261" s="349">
        <v>2007</v>
      </c>
      <c r="D261" s="350">
        <v>-7</v>
      </c>
      <c r="E261" s="351"/>
      <c r="F261" s="346"/>
      <c r="G261" s="352">
        <v>15720.44405330364</v>
      </c>
      <c r="H261" s="353">
        <v>15720.44405330364</v>
      </c>
      <c r="I261" s="250"/>
      <c r="J261" s="250"/>
      <c r="K261" s="250"/>
    </row>
    <row r="262" spans="1:11" ht="15.6" x14ac:dyDescent="0.3">
      <c r="A262" s="354" t="s">
        <v>348</v>
      </c>
      <c r="B262" s="340"/>
      <c r="C262" s="349">
        <v>2008</v>
      </c>
      <c r="D262" s="350">
        <v>-6</v>
      </c>
      <c r="E262" s="351"/>
      <c r="F262" s="346"/>
      <c r="G262" s="352">
        <v>15918.624325757597</v>
      </c>
      <c r="H262" s="353">
        <v>15918.624325757597</v>
      </c>
      <c r="I262" s="250"/>
      <c r="J262" s="250"/>
      <c r="K262" s="250"/>
    </row>
    <row r="263" spans="1:11" ht="15.6" x14ac:dyDescent="0.3">
      <c r="A263" s="700" t="s">
        <v>349</v>
      </c>
      <c r="B263" s="340"/>
      <c r="C263" s="349">
        <v>2009</v>
      </c>
      <c r="D263" s="350">
        <v>-5</v>
      </c>
      <c r="E263" s="351"/>
      <c r="F263" s="346"/>
      <c r="G263" s="352">
        <v>16181.075102233102</v>
      </c>
      <c r="H263" s="353">
        <v>16181.075102233102</v>
      </c>
      <c r="I263" s="250"/>
      <c r="J263" s="250"/>
      <c r="K263" s="250"/>
    </row>
    <row r="264" spans="1:11" ht="15.6" x14ac:dyDescent="0.3">
      <c r="A264" s="701"/>
      <c r="B264" s="340"/>
      <c r="C264" s="349">
        <v>2010</v>
      </c>
      <c r="D264" s="350">
        <v>-4</v>
      </c>
      <c r="E264" s="351"/>
      <c r="F264" s="346"/>
      <c r="G264" s="352">
        <v>16505.535544979539</v>
      </c>
      <c r="H264" s="353">
        <v>16505.535544979539</v>
      </c>
      <c r="I264" s="250"/>
      <c r="J264" s="250"/>
      <c r="K264" s="250"/>
    </row>
    <row r="265" spans="1:11" ht="15.6" x14ac:dyDescent="0.3">
      <c r="A265" s="701"/>
      <c r="B265" s="340"/>
      <c r="C265" s="349">
        <v>2011</v>
      </c>
      <c r="D265" s="350">
        <v>-3</v>
      </c>
      <c r="E265" s="351"/>
      <c r="F265" s="346"/>
      <c r="G265" s="352">
        <v>16889.74481624629</v>
      </c>
      <c r="H265" s="353">
        <v>16889.74481624629</v>
      </c>
      <c r="I265" s="250"/>
      <c r="J265" s="250"/>
      <c r="K265" s="250"/>
    </row>
    <row r="266" spans="1:11" ht="15.6" x14ac:dyDescent="0.3">
      <c r="A266" s="702"/>
      <c r="B266" s="340"/>
      <c r="C266" s="349">
        <v>2012</v>
      </c>
      <c r="D266" s="350">
        <v>-2</v>
      </c>
      <c r="E266" s="351"/>
      <c r="F266" s="346"/>
      <c r="G266" s="355">
        <v>17331.442078282744</v>
      </c>
      <c r="H266" s="356">
        <v>17331.442078282744</v>
      </c>
    </row>
    <row r="267" spans="1:11" ht="15.6" x14ac:dyDescent="0.3">
      <c r="A267" s="340"/>
      <c r="B267" s="340"/>
      <c r="C267" s="349">
        <v>2013</v>
      </c>
      <c r="D267" s="350">
        <v>-1</v>
      </c>
      <c r="E267" s="351"/>
      <c r="F267" s="346"/>
      <c r="G267" s="355">
        <v>17828.366493338282</v>
      </c>
      <c r="H267" s="356">
        <v>17828.366493338282</v>
      </c>
    </row>
    <row r="268" spans="1:11" ht="15.6" x14ac:dyDescent="0.3">
      <c r="A268" s="357" t="s">
        <v>350</v>
      </c>
      <c r="B268" s="340"/>
      <c r="C268" s="349">
        <v>2014</v>
      </c>
      <c r="D268" s="350">
        <v>0</v>
      </c>
      <c r="E268" s="351">
        <v>18368.056852998394</v>
      </c>
      <c r="F268" s="346">
        <v>18368.056852998394</v>
      </c>
      <c r="G268" s="355">
        <v>18368.056852998394</v>
      </c>
      <c r="H268" s="356">
        <v>18368.056852998394</v>
      </c>
    </row>
    <row r="269" spans="1:11" ht="15.6" x14ac:dyDescent="0.3">
      <c r="A269" s="358">
        <v>2017</v>
      </c>
      <c r="B269" s="336"/>
      <c r="C269" s="349">
        <v>2015</v>
      </c>
      <c r="D269" s="350">
        <v>1</v>
      </c>
      <c r="E269" s="351"/>
      <c r="F269" s="346"/>
      <c r="G269" s="355">
        <v>18978.853431504143</v>
      </c>
      <c r="H269" s="356">
        <v>18978.853431504143</v>
      </c>
    </row>
    <row r="270" spans="1:11" ht="15.6" x14ac:dyDescent="0.3">
      <c r="A270" s="359"/>
      <c r="B270" s="336"/>
      <c r="C270" s="349">
        <v>2016</v>
      </c>
      <c r="D270" s="350">
        <v>2</v>
      </c>
      <c r="E270" s="351"/>
      <c r="F270" s="346"/>
      <c r="G270" s="355">
        <v>19627.894279113239</v>
      </c>
      <c r="H270" s="356">
        <v>19627.894279113239</v>
      </c>
    </row>
    <row r="271" spans="1:11" ht="15.6" x14ac:dyDescent="0.3">
      <c r="A271" s="357" t="s">
        <v>351</v>
      </c>
      <c r="B271" s="336"/>
      <c r="C271" s="349">
        <v>2017</v>
      </c>
      <c r="D271" s="350">
        <v>3</v>
      </c>
      <c r="E271" s="351"/>
      <c r="F271" s="346"/>
      <c r="G271" s="355">
        <v>20323.11892873895</v>
      </c>
      <c r="H271" s="356">
        <v>20323.11892873895</v>
      </c>
    </row>
    <row r="272" spans="1:11" ht="15.6" x14ac:dyDescent="0.3">
      <c r="A272" s="358" t="s">
        <v>342</v>
      </c>
      <c r="B272" s="336"/>
      <c r="C272" s="349">
        <v>2018</v>
      </c>
      <c r="D272" s="350">
        <v>4</v>
      </c>
      <c r="E272" s="351"/>
      <c r="F272" s="346"/>
      <c r="G272" s="355">
        <v>21062.26654263067</v>
      </c>
      <c r="H272" s="356">
        <v>21062.26654263067</v>
      </c>
    </row>
    <row r="273" spans="1:8" ht="15.6" x14ac:dyDescent="0.3">
      <c r="A273" s="360"/>
      <c r="B273" s="361"/>
      <c r="C273" s="349">
        <v>2019</v>
      </c>
      <c r="D273" s="350">
        <v>5</v>
      </c>
      <c r="E273" s="351"/>
      <c r="F273" s="346"/>
      <c r="G273" s="355">
        <v>21843.076283037775</v>
      </c>
      <c r="H273" s="356">
        <v>21843.076283037775</v>
      </c>
    </row>
    <row r="274" spans="1:8" ht="15.6" x14ac:dyDescent="0.3">
      <c r="A274" s="362" t="s">
        <v>352</v>
      </c>
      <c r="B274" s="336"/>
      <c r="C274" s="349">
        <v>2020</v>
      </c>
      <c r="D274" s="350">
        <v>6</v>
      </c>
      <c r="E274" s="351"/>
      <c r="F274" s="346"/>
      <c r="G274" s="355">
        <v>22663.28731220965</v>
      </c>
      <c r="H274" s="356">
        <v>22663.28731220965</v>
      </c>
    </row>
    <row r="275" spans="1:8" ht="15.6" x14ac:dyDescent="0.3">
      <c r="A275" s="363"/>
      <c r="B275" s="336"/>
      <c r="C275" s="349">
        <v>2021</v>
      </c>
      <c r="D275" s="350">
        <v>7</v>
      </c>
      <c r="E275" s="351"/>
      <c r="F275" s="346"/>
      <c r="G275" s="355">
        <v>23520.638792395686</v>
      </c>
      <c r="H275" s="356">
        <v>23520.638792395686</v>
      </c>
    </row>
    <row r="276" spans="1:8" ht="15.6" x14ac:dyDescent="0.3">
      <c r="A276" s="364"/>
      <c r="B276" s="336"/>
      <c r="C276" s="349">
        <v>2022</v>
      </c>
      <c r="D276" s="350">
        <v>8</v>
      </c>
      <c r="E276" s="351"/>
      <c r="F276" s="346"/>
      <c r="G276" s="355">
        <v>24412.869885845259</v>
      </c>
      <c r="H276" s="356">
        <v>24412.869885845259</v>
      </c>
    </row>
    <row r="277" spans="1:8" ht="15.6" x14ac:dyDescent="0.3">
      <c r="A277" s="358"/>
      <c r="B277" s="336"/>
      <c r="C277" s="349">
        <v>2023</v>
      </c>
      <c r="D277" s="350">
        <v>9</v>
      </c>
      <c r="E277" s="351"/>
      <c r="F277" s="346"/>
      <c r="G277" s="355">
        <v>25337.719754807757</v>
      </c>
      <c r="H277" s="356">
        <v>25337.719754807757</v>
      </c>
    </row>
    <row r="278" spans="1:8" ht="15.6" x14ac:dyDescent="0.3">
      <c r="A278" s="336"/>
      <c r="B278" s="336"/>
      <c r="C278" s="349">
        <v>2024</v>
      </c>
      <c r="D278" s="350">
        <v>10</v>
      </c>
      <c r="E278" s="351"/>
      <c r="F278" s="346"/>
      <c r="G278" s="355">
        <v>26292.927561532561</v>
      </c>
      <c r="H278" s="356">
        <v>26292.927561532561</v>
      </c>
    </row>
    <row r="279" spans="1:8" ht="15.6" x14ac:dyDescent="0.3">
      <c r="A279" s="336"/>
      <c r="B279" s="336"/>
      <c r="C279" s="349">
        <v>2025</v>
      </c>
      <c r="D279" s="350">
        <v>11</v>
      </c>
      <c r="E279" s="351">
        <v>27263.068278567229</v>
      </c>
      <c r="F279" s="346">
        <v>27263.068278567229</v>
      </c>
      <c r="G279" s="355">
        <v>27263.068278567229</v>
      </c>
      <c r="H279" s="356">
        <v>27263.068278567229</v>
      </c>
    </row>
    <row r="280" spans="1:8" ht="15.6" x14ac:dyDescent="0.3">
      <c r="A280" s="336"/>
      <c r="B280" s="336"/>
      <c r="C280" s="349">
        <v>2026</v>
      </c>
      <c r="D280" s="350">
        <v>12</v>
      </c>
      <c r="E280" s="351"/>
      <c r="F280" s="346"/>
      <c r="G280" s="355">
        <v>28285.373637266632</v>
      </c>
      <c r="H280" s="356">
        <v>28285.373637266632</v>
      </c>
    </row>
    <row r="281" spans="1:8" ht="15.6" x14ac:dyDescent="0.3">
      <c r="A281" s="336"/>
      <c r="B281" s="336"/>
      <c r="C281" s="349">
        <v>2027</v>
      </c>
      <c r="D281" s="350">
        <v>13</v>
      </c>
      <c r="E281" s="351"/>
      <c r="F281" s="346"/>
      <c r="G281" s="355">
        <v>29318.090230774666</v>
      </c>
      <c r="H281" s="356">
        <v>29318.090230774666</v>
      </c>
    </row>
    <row r="282" spans="1:8" ht="15.6" x14ac:dyDescent="0.3">
      <c r="A282" s="336"/>
      <c r="B282" s="336"/>
      <c r="C282" s="349">
        <v>2028</v>
      </c>
      <c r="D282" s="350">
        <v>14</v>
      </c>
      <c r="E282" s="351"/>
      <c r="F282" s="346"/>
      <c r="G282" s="355">
        <v>30372.121411042543</v>
      </c>
      <c r="H282" s="356">
        <v>30372.121411042543</v>
      </c>
    </row>
    <row r="283" spans="1:8" ht="15.6" x14ac:dyDescent="0.3">
      <c r="A283" s="336"/>
      <c r="B283" s="336"/>
      <c r="C283" s="349">
        <v>2029</v>
      </c>
      <c r="D283" s="350">
        <v>15</v>
      </c>
      <c r="E283" s="351"/>
      <c r="F283" s="346"/>
      <c r="G283" s="355">
        <v>31445.206340319648</v>
      </c>
      <c r="H283" s="356">
        <v>31445.206340319648</v>
      </c>
    </row>
    <row r="284" spans="1:8" ht="15.6" x14ac:dyDescent="0.3">
      <c r="A284" s="336"/>
      <c r="B284" s="336"/>
      <c r="C284" s="349">
        <v>2030</v>
      </c>
      <c r="D284" s="350">
        <v>16</v>
      </c>
      <c r="E284" s="351">
        <v>32636.176165275068</v>
      </c>
      <c r="F284" s="346">
        <v>32636.176165275068</v>
      </c>
      <c r="G284" s="355">
        <v>32636.176165275068</v>
      </c>
      <c r="H284" s="356">
        <v>32636.176165275068</v>
      </c>
    </row>
    <row r="285" spans="1:8" ht="15.6" x14ac:dyDescent="0.3">
      <c r="A285" s="336"/>
      <c r="B285" s="336"/>
      <c r="C285" s="349">
        <v>2031</v>
      </c>
      <c r="D285" s="350">
        <v>17</v>
      </c>
      <c r="E285" s="351"/>
      <c r="F285" s="346"/>
      <c r="G285" s="355">
        <v>33639.494094899077</v>
      </c>
      <c r="H285" s="356">
        <v>33639.494094899077</v>
      </c>
    </row>
    <row r="286" spans="1:8" ht="15.6" x14ac:dyDescent="0.3">
      <c r="A286" s="336"/>
      <c r="B286" s="336"/>
      <c r="C286" s="349">
        <v>2032</v>
      </c>
      <c r="D286" s="350">
        <v>18</v>
      </c>
      <c r="E286" s="351"/>
      <c r="F286" s="346"/>
      <c r="G286" s="355">
        <v>34756.175244700171</v>
      </c>
      <c r="H286" s="356">
        <v>34756.175244700171</v>
      </c>
    </row>
    <row r="287" spans="1:8" ht="15.6" x14ac:dyDescent="0.3">
      <c r="A287" s="361"/>
      <c r="B287" s="361"/>
      <c r="C287" s="349">
        <v>2033</v>
      </c>
      <c r="D287" s="350">
        <v>19</v>
      </c>
      <c r="E287" s="351"/>
      <c r="F287" s="346"/>
      <c r="G287" s="355">
        <v>35882.86679250803</v>
      </c>
      <c r="H287" s="356">
        <v>35882.86679250803</v>
      </c>
    </row>
    <row r="288" spans="1:8" ht="15.6" x14ac:dyDescent="0.3">
      <c r="A288" s="361"/>
      <c r="B288" s="361"/>
      <c r="C288" s="349">
        <v>2034</v>
      </c>
      <c r="D288" s="350">
        <v>20</v>
      </c>
      <c r="E288" s="351"/>
      <c r="F288" s="346"/>
      <c r="G288" s="355">
        <v>37017.307900572036</v>
      </c>
      <c r="H288" s="356">
        <v>37017.307900572036</v>
      </c>
    </row>
    <row r="289" spans="1:8" ht="15.6" x14ac:dyDescent="0.3">
      <c r="A289" s="361"/>
      <c r="B289" s="361"/>
      <c r="C289" s="349">
        <v>2035</v>
      </c>
      <c r="D289" s="350">
        <v>21</v>
      </c>
      <c r="E289" s="351">
        <v>38137.056156610328</v>
      </c>
      <c r="F289" s="346">
        <v>38137.056156610328</v>
      </c>
      <c r="G289" s="355">
        <v>38137.056156610328</v>
      </c>
      <c r="H289" s="356">
        <v>38137.056156610328</v>
      </c>
    </row>
    <row r="290" spans="1:8" ht="15.6" x14ac:dyDescent="0.3">
      <c r="A290" s="361"/>
      <c r="B290" s="361"/>
      <c r="C290" s="349">
        <v>2036</v>
      </c>
      <c r="D290" s="350">
        <v>22</v>
      </c>
      <c r="E290" s="351"/>
      <c r="F290" s="346"/>
      <c r="G290" s="355">
        <v>39300.39544646602</v>
      </c>
      <c r="H290" s="356">
        <v>39300.39544646602</v>
      </c>
    </row>
    <row r="291" spans="1:8" ht="15.6" x14ac:dyDescent="0.3">
      <c r="A291" s="361"/>
      <c r="B291" s="361"/>
      <c r="C291" s="349">
        <v>2037</v>
      </c>
      <c r="D291" s="350">
        <v>23</v>
      </c>
      <c r="E291" s="351"/>
      <c r="F291" s="346"/>
      <c r="G291" s="355">
        <v>40444.520208794776</v>
      </c>
      <c r="H291" s="356">
        <v>40444.520208794776</v>
      </c>
    </row>
    <row r="292" spans="1:8" ht="15.6" x14ac:dyDescent="0.3">
      <c r="A292" s="361"/>
      <c r="B292" s="361"/>
      <c r="C292" s="349">
        <v>2038</v>
      </c>
      <c r="D292" s="350">
        <v>24</v>
      </c>
      <c r="E292" s="351"/>
      <c r="F292" s="346"/>
      <c r="G292" s="355">
        <v>41587.351180377213</v>
      </c>
      <c r="H292" s="356">
        <v>41587.351180377213</v>
      </c>
    </row>
    <row r="293" spans="1:8" ht="15.6" x14ac:dyDescent="0.3">
      <c r="A293" s="361"/>
      <c r="B293" s="361"/>
      <c r="C293" s="349">
        <v>2039</v>
      </c>
      <c r="D293" s="350">
        <v>25</v>
      </c>
      <c r="E293" s="351"/>
      <c r="F293" s="346"/>
      <c r="G293" s="355">
        <v>42726.62752346271</v>
      </c>
      <c r="H293" s="356">
        <v>42726.62752346271</v>
      </c>
    </row>
    <row r="294" spans="1:8" ht="15.6" x14ac:dyDescent="0.3">
      <c r="A294" s="361"/>
      <c r="B294" s="361"/>
      <c r="C294" s="349">
        <v>2040</v>
      </c>
      <c r="D294" s="350">
        <v>26</v>
      </c>
      <c r="E294" s="351">
        <v>43754.240410899052</v>
      </c>
      <c r="F294" s="346">
        <v>43754.240410899052</v>
      </c>
      <c r="G294" s="355">
        <v>43754.240410899052</v>
      </c>
      <c r="H294" s="356">
        <v>43754.240410899052</v>
      </c>
    </row>
    <row r="295" spans="1:8" ht="15.6" x14ac:dyDescent="0.3">
      <c r="A295" s="361"/>
      <c r="B295" s="361"/>
      <c r="C295" s="349">
        <v>2041</v>
      </c>
      <c r="D295" s="350">
        <v>27</v>
      </c>
      <c r="E295" s="351"/>
      <c r="F295" s="346"/>
      <c r="G295" s="355">
        <v>44985.472973140459</v>
      </c>
      <c r="H295" s="356">
        <v>44985.472973140459</v>
      </c>
    </row>
    <row r="296" spans="1:8" ht="15.6" x14ac:dyDescent="0.3">
      <c r="A296" s="361"/>
      <c r="B296" s="361"/>
      <c r="C296" s="349">
        <v>2042</v>
      </c>
      <c r="D296" s="350">
        <v>28</v>
      </c>
      <c r="E296" s="351"/>
      <c r="F296" s="346"/>
      <c r="G296" s="355">
        <v>46100.520404231473</v>
      </c>
      <c r="H296" s="356">
        <v>46100.520404231473</v>
      </c>
    </row>
    <row r="297" spans="1:8" ht="15.6" x14ac:dyDescent="0.3">
      <c r="A297" s="361"/>
      <c r="B297" s="361"/>
      <c r="C297" s="349">
        <v>2043</v>
      </c>
      <c r="D297" s="350">
        <v>29</v>
      </c>
      <c r="E297" s="351"/>
      <c r="F297" s="346"/>
      <c r="G297" s="355">
        <v>47202.969855823088</v>
      </c>
      <c r="H297" s="356">
        <v>47202.969855823088</v>
      </c>
    </row>
    <row r="298" spans="1:8" ht="15.6" x14ac:dyDescent="0.3">
      <c r="A298" s="361"/>
      <c r="B298" s="361"/>
      <c r="C298" s="349">
        <v>2044</v>
      </c>
      <c r="D298" s="350">
        <v>30</v>
      </c>
      <c r="E298" s="351"/>
      <c r="F298" s="346"/>
      <c r="G298" s="355">
        <v>48290.560490164688</v>
      </c>
      <c r="H298" s="356">
        <v>48290.560490164688</v>
      </c>
    </row>
    <row r="299" spans="1:8" ht="15.6" x14ac:dyDescent="0.3">
      <c r="A299" s="361"/>
      <c r="B299" s="361"/>
      <c r="C299" s="349">
        <v>2045</v>
      </c>
      <c r="D299" s="350">
        <v>31</v>
      </c>
      <c r="E299" s="351">
        <v>49348.565279054761</v>
      </c>
      <c r="F299" s="346">
        <v>49348.565279054761</v>
      </c>
      <c r="G299" s="355">
        <v>49348.565279054761</v>
      </c>
      <c r="H299" s="356">
        <v>49348.565279054761</v>
      </c>
    </row>
    <row r="300" spans="1:8" ht="15.6" x14ac:dyDescent="0.3">
      <c r="A300" s="361"/>
      <c r="B300" s="361"/>
      <c r="C300" s="349">
        <v>2046</v>
      </c>
      <c r="D300" s="350">
        <v>32</v>
      </c>
      <c r="E300" s="351"/>
      <c r="F300" s="346"/>
      <c r="G300" s="355">
        <v>50412.12195609539</v>
      </c>
      <c r="H300" s="356">
        <v>50412.12195609539</v>
      </c>
    </row>
    <row r="301" spans="1:8" ht="15.6" x14ac:dyDescent="0.3">
      <c r="A301" s="365"/>
      <c r="B301" s="366"/>
      <c r="C301" s="349">
        <v>2047</v>
      </c>
      <c r="D301" s="350">
        <v>33</v>
      </c>
      <c r="E301" s="351"/>
      <c r="F301" s="346"/>
      <c r="G301" s="355">
        <v>51441.571112183265</v>
      </c>
      <c r="H301" s="356">
        <v>51441.571112183265</v>
      </c>
    </row>
    <row r="302" spans="1:8" ht="15.6" x14ac:dyDescent="0.3">
      <c r="A302" s="359"/>
      <c r="B302" s="366"/>
      <c r="C302" s="349">
        <v>2048</v>
      </c>
      <c r="D302" s="350">
        <v>34</v>
      </c>
      <c r="E302" s="351"/>
      <c r="F302" s="346"/>
      <c r="G302" s="355">
        <v>52447.118100018655</v>
      </c>
      <c r="H302" s="356">
        <v>52447.118100018655</v>
      </c>
    </row>
    <row r="303" spans="1:8" ht="15.6" x14ac:dyDescent="0.3">
      <c r="A303" s="359"/>
      <c r="B303" s="359"/>
      <c r="C303" s="349">
        <v>2049</v>
      </c>
      <c r="D303" s="350">
        <v>35</v>
      </c>
      <c r="E303" s="351"/>
      <c r="F303" s="346"/>
      <c r="G303" s="355">
        <v>53426.502081850958</v>
      </c>
      <c r="H303" s="356">
        <v>53426.502081850958</v>
      </c>
    </row>
    <row r="304" spans="1:8" ht="15.6" x14ac:dyDescent="0.3">
      <c r="A304" s="359"/>
      <c r="B304" s="359"/>
      <c r="C304" s="349">
        <v>2050</v>
      </c>
      <c r="D304" s="350">
        <v>36</v>
      </c>
      <c r="E304" s="351">
        <v>54396.590671889055</v>
      </c>
      <c r="F304" s="346">
        <v>54396.590671889055</v>
      </c>
      <c r="G304" s="355">
        <v>54396.590671889055</v>
      </c>
      <c r="H304" s="356">
        <v>54396.590671889055</v>
      </c>
    </row>
    <row r="305" spans="1:8" ht="15.6" x14ac:dyDescent="0.3">
      <c r="A305"/>
      <c r="B305"/>
      <c r="C305" s="349">
        <v>2051</v>
      </c>
      <c r="D305" s="350">
        <v>37</v>
      </c>
      <c r="E305" s="351"/>
      <c r="F305" s="346"/>
      <c r="G305" s="355">
        <v>55297.737676503828</v>
      </c>
      <c r="H305" s="356">
        <v>55297.737676503828</v>
      </c>
    </row>
    <row r="306" spans="1:8" ht="15.6" x14ac:dyDescent="0.3">
      <c r="A306"/>
      <c r="B306"/>
      <c r="C306" s="349">
        <v>2052</v>
      </c>
      <c r="D306" s="350">
        <v>38</v>
      </c>
      <c r="E306" s="351"/>
      <c r="F306" s="346"/>
      <c r="G306" s="355">
        <v>56185.06761382315</v>
      </c>
      <c r="H306" s="356">
        <v>56185.06761382315</v>
      </c>
    </row>
    <row r="307" spans="1:8" ht="15.6" x14ac:dyDescent="0.3">
      <c r="A307"/>
      <c r="B307"/>
      <c r="C307" s="349">
        <v>2053</v>
      </c>
      <c r="D307" s="350">
        <v>39</v>
      </c>
      <c r="E307" s="351"/>
      <c r="F307" s="346"/>
      <c r="G307" s="355">
        <v>57037.191194136918</v>
      </c>
      <c r="H307" s="356">
        <v>57037.191194136918</v>
      </c>
    </row>
    <row r="308" spans="1:8" ht="15.6" x14ac:dyDescent="0.3">
      <c r="A308"/>
      <c r="B308"/>
      <c r="C308" s="349">
        <v>2054</v>
      </c>
      <c r="D308" s="350">
        <v>40</v>
      </c>
      <c r="E308" s="351"/>
      <c r="F308" s="346"/>
      <c r="G308" s="355">
        <v>57851.84757969452</v>
      </c>
      <c r="H308" s="356">
        <v>57851.84757969452</v>
      </c>
    </row>
    <row r="309" spans="1:8" ht="15.6" x14ac:dyDescent="0.3">
      <c r="A309"/>
      <c r="B309"/>
      <c r="C309" s="349">
        <v>2055</v>
      </c>
      <c r="D309" s="350">
        <v>41</v>
      </c>
      <c r="E309" s="351">
        <v>58729.658261944052</v>
      </c>
      <c r="F309" s="346">
        <v>58729.658261944052</v>
      </c>
      <c r="G309" s="355">
        <v>58729.658261944052</v>
      </c>
      <c r="H309" s="356">
        <v>58729.658261944052</v>
      </c>
    </row>
    <row r="310" spans="1:8" ht="15.6" x14ac:dyDescent="0.3">
      <c r="A310"/>
      <c r="B310"/>
      <c r="C310" s="349">
        <v>2056</v>
      </c>
      <c r="D310" s="350">
        <v>42</v>
      </c>
      <c r="E310" s="351"/>
      <c r="F310" s="346"/>
      <c r="G310" s="355">
        <v>59359.715415538732</v>
      </c>
      <c r="H310" s="356">
        <v>59359.715415538732</v>
      </c>
    </row>
    <row r="311" spans="1:8" ht="15.6" x14ac:dyDescent="0.3">
      <c r="A311"/>
      <c r="B311"/>
      <c r="C311" s="349">
        <v>2057</v>
      </c>
      <c r="D311" s="350">
        <v>43</v>
      </c>
      <c r="E311" s="351"/>
      <c r="F311" s="346"/>
      <c r="G311" s="355">
        <v>60048.405190324127</v>
      </c>
      <c r="H311" s="356">
        <v>60048.405190324127</v>
      </c>
    </row>
    <row r="312" spans="1:8" ht="15.6" x14ac:dyDescent="0.3">
      <c r="A312"/>
      <c r="B312"/>
      <c r="C312" s="349">
        <v>2058</v>
      </c>
      <c r="D312" s="350">
        <v>44</v>
      </c>
      <c r="E312" s="351"/>
      <c r="F312" s="346"/>
      <c r="G312" s="355">
        <v>60690.584419350875</v>
      </c>
      <c r="H312" s="356">
        <v>60690.584419350875</v>
      </c>
    </row>
    <row r="313" spans="1:8" ht="15.6" x14ac:dyDescent="0.3">
      <c r="A313"/>
      <c r="B313"/>
      <c r="C313" s="349">
        <v>2059</v>
      </c>
      <c r="D313" s="350">
        <v>45</v>
      </c>
      <c r="E313" s="351"/>
      <c r="F313" s="346"/>
      <c r="G313" s="355">
        <v>61283.992264868371</v>
      </c>
      <c r="H313" s="356">
        <v>61283.992264868371</v>
      </c>
    </row>
    <row r="314" spans="1:8" ht="15.6" x14ac:dyDescent="0.3">
      <c r="A314"/>
      <c r="B314"/>
      <c r="C314" s="367">
        <v>2060</v>
      </c>
      <c r="D314" s="350">
        <v>46</v>
      </c>
      <c r="E314" s="351">
        <v>61765.125438297531</v>
      </c>
      <c r="F314" s="346">
        <v>61765.125438297531</v>
      </c>
      <c r="G314" s="355">
        <v>61765.125438297531</v>
      </c>
      <c r="H314" s="356">
        <v>61765.125438297531</v>
      </c>
    </row>
    <row r="321" spans="1:8" ht="15.6" x14ac:dyDescent="0.3">
      <c r="A321" s="327">
        <v>3</v>
      </c>
      <c r="B321" s="328" t="s">
        <v>353</v>
      </c>
      <c r="C321" s="329"/>
      <c r="D321" s="329"/>
      <c r="E321" s="329"/>
      <c r="F321" s="329"/>
      <c r="G321" s="329"/>
      <c r="H321" s="329"/>
    </row>
    <row r="322" spans="1:8" ht="15.6" x14ac:dyDescent="0.3">
      <c r="A322" s="330" t="s">
        <v>338</v>
      </c>
      <c r="B322" s="331"/>
      <c r="C322" s="331"/>
      <c r="D322" s="332"/>
      <c r="E322" s="333"/>
      <c r="F322" s="703"/>
      <c r="G322" s="333"/>
      <c r="H322" s="334"/>
    </row>
    <row r="323" spans="1:8" ht="16.2" thickBot="1" x14ac:dyDescent="0.3">
      <c r="A323" s="368" t="s">
        <v>339</v>
      </c>
      <c r="B323" s="336"/>
      <c r="C323" s="336"/>
      <c r="D323" s="337"/>
      <c r="E323" s="338" t="s">
        <v>340</v>
      </c>
      <c r="F323" s="704"/>
      <c r="G323" s="369" t="s">
        <v>354</v>
      </c>
      <c r="H323" s="334"/>
    </row>
    <row r="324" spans="1:8" ht="16.2" thickBot="1" x14ac:dyDescent="0.3">
      <c r="A324" s="340"/>
      <c r="B324" s="340"/>
      <c r="C324" s="340"/>
      <c r="D324" s="341"/>
      <c r="E324" s="369" t="s">
        <v>342</v>
      </c>
      <c r="F324" s="369" t="s">
        <v>343</v>
      </c>
      <c r="G324" s="370" t="s">
        <v>344</v>
      </c>
      <c r="H324" s="369" t="s">
        <v>345</v>
      </c>
    </row>
    <row r="325" spans="1:8" ht="15.6" x14ac:dyDescent="0.3">
      <c r="A325" s="330" t="s">
        <v>346</v>
      </c>
      <c r="B325" s="340"/>
      <c r="C325" s="343">
        <v>2005</v>
      </c>
      <c r="D325" s="344">
        <v>-9</v>
      </c>
      <c r="E325" s="345"/>
      <c r="F325" s="346"/>
      <c r="G325" s="347">
        <v>17005.86738248176</v>
      </c>
      <c r="H325" s="348">
        <v>17005.86738248176</v>
      </c>
    </row>
    <row r="326" spans="1:8" ht="15.6" x14ac:dyDescent="0.3">
      <c r="A326" s="368" t="s">
        <v>5</v>
      </c>
      <c r="B326" s="340"/>
      <c r="C326" s="349">
        <v>2006</v>
      </c>
      <c r="D326" s="350">
        <v>-8</v>
      </c>
      <c r="E326" s="351"/>
      <c r="F326" s="346"/>
      <c r="G326" s="352">
        <v>17083.413277682117</v>
      </c>
      <c r="H326" s="353">
        <v>17083.413277682117</v>
      </c>
    </row>
    <row r="327" spans="1:8" ht="15.6" x14ac:dyDescent="0.3">
      <c r="A327" s="340"/>
      <c r="B327" s="340"/>
      <c r="C327" s="349">
        <v>2007</v>
      </c>
      <c r="D327" s="350">
        <v>-7</v>
      </c>
      <c r="E327" s="351"/>
      <c r="F327" s="346"/>
      <c r="G327" s="352">
        <v>17166.827655626541</v>
      </c>
      <c r="H327" s="353">
        <v>17166.827655626541</v>
      </c>
    </row>
    <row r="328" spans="1:8" ht="15.6" x14ac:dyDescent="0.3">
      <c r="A328" s="354" t="s">
        <v>348</v>
      </c>
      <c r="B328" s="340"/>
      <c r="C328" s="349">
        <v>2008</v>
      </c>
      <c r="D328" s="350">
        <v>-6</v>
      </c>
      <c r="E328" s="351"/>
      <c r="F328" s="346"/>
      <c r="G328" s="352">
        <v>17255.943795522449</v>
      </c>
      <c r="H328" s="353">
        <v>17255.943795522449</v>
      </c>
    </row>
    <row r="329" spans="1:8" ht="15.6" x14ac:dyDescent="0.3">
      <c r="A329" s="700" t="s">
        <v>355</v>
      </c>
      <c r="B329" s="340"/>
      <c r="C329" s="349">
        <v>2009</v>
      </c>
      <c r="D329" s="350">
        <v>-5</v>
      </c>
      <c r="E329" s="351"/>
      <c r="F329" s="346"/>
      <c r="G329" s="352">
        <v>17350.594976577249</v>
      </c>
      <c r="H329" s="353">
        <v>17350.594976577249</v>
      </c>
    </row>
    <row r="330" spans="1:8" ht="15.6" x14ac:dyDescent="0.3">
      <c r="A330" s="701"/>
      <c r="B330" s="340"/>
      <c r="C330" s="349">
        <v>2010</v>
      </c>
      <c r="D330" s="350">
        <v>-4</v>
      </c>
      <c r="E330" s="351"/>
      <c r="F330" s="346"/>
      <c r="G330" s="352">
        <v>17450.614477998362</v>
      </c>
      <c r="H330" s="353">
        <v>17450.614477998362</v>
      </c>
    </row>
    <row r="331" spans="1:8" ht="15.6" x14ac:dyDescent="0.3">
      <c r="A331" s="701"/>
      <c r="B331" s="340"/>
      <c r="C331" s="349">
        <v>2011</v>
      </c>
      <c r="D331" s="350">
        <v>-3</v>
      </c>
      <c r="E331" s="351"/>
      <c r="F331" s="346"/>
      <c r="G331" s="352">
        <v>17555.835578993199</v>
      </c>
      <c r="H331" s="353">
        <v>17555.835578993199</v>
      </c>
    </row>
    <row r="332" spans="1:8" ht="15.6" x14ac:dyDescent="0.3">
      <c r="A332" s="702"/>
      <c r="B332" s="340"/>
      <c r="C332" s="349">
        <v>2012</v>
      </c>
      <c r="D332" s="350">
        <v>-2</v>
      </c>
      <c r="E332" s="351"/>
      <c r="F332" s="346"/>
      <c r="G332" s="355">
        <v>17666.091558769174</v>
      </c>
      <c r="H332" s="356">
        <v>17666.091558769174</v>
      </c>
    </row>
    <row r="333" spans="1:8" ht="15.6" x14ac:dyDescent="0.3">
      <c r="A333" s="340"/>
      <c r="B333" s="340"/>
      <c r="C333" s="349">
        <v>2013</v>
      </c>
      <c r="D333" s="350">
        <v>-1</v>
      </c>
      <c r="E333" s="351"/>
      <c r="F333" s="346"/>
      <c r="G333" s="355">
        <v>17781.215696533705</v>
      </c>
      <c r="H333" s="356">
        <v>17781.215696533705</v>
      </c>
    </row>
    <row r="334" spans="1:8" ht="15.6" x14ac:dyDescent="0.3">
      <c r="A334" s="357" t="s">
        <v>350</v>
      </c>
      <c r="B334" s="340"/>
      <c r="C334" s="349">
        <v>2014</v>
      </c>
      <c r="D334" s="350">
        <v>0</v>
      </c>
      <c r="E334" s="351">
        <v>17944.221871904836</v>
      </c>
      <c r="F334" s="346">
        <v>17944.221871904836</v>
      </c>
      <c r="G334" s="355">
        <v>17944.221871904836</v>
      </c>
      <c r="H334" s="356">
        <v>17944.221871904836</v>
      </c>
    </row>
    <row r="335" spans="1:8" ht="15.6" x14ac:dyDescent="0.3">
      <c r="A335" s="358">
        <v>2017</v>
      </c>
      <c r="B335" s="336"/>
      <c r="C335" s="349">
        <v>2015</v>
      </c>
      <c r="D335" s="350">
        <v>1</v>
      </c>
      <c r="E335" s="351"/>
      <c r="F335" s="346"/>
      <c r="G335" s="355">
        <v>18025.401562858075</v>
      </c>
      <c r="H335" s="356">
        <v>18025.401562858075</v>
      </c>
    </row>
    <row r="336" spans="1:8" ht="15.6" x14ac:dyDescent="0.3">
      <c r="A336" s="359"/>
      <c r="B336" s="336"/>
      <c r="C336" s="349">
        <v>2016</v>
      </c>
      <c r="D336" s="350">
        <v>2</v>
      </c>
      <c r="E336" s="351"/>
      <c r="F336" s="346"/>
      <c r="G336" s="355">
        <v>18154.129849832749</v>
      </c>
      <c r="H336" s="356">
        <v>18154.129849832749</v>
      </c>
    </row>
    <row r="337" spans="1:8" ht="15.6" x14ac:dyDescent="0.3">
      <c r="A337" s="357" t="s">
        <v>351</v>
      </c>
      <c r="B337" s="336"/>
      <c r="C337" s="349">
        <v>2017</v>
      </c>
      <c r="D337" s="350">
        <v>3</v>
      </c>
      <c r="E337" s="351"/>
      <c r="F337" s="346"/>
      <c r="G337" s="355">
        <v>18287.059411625629</v>
      </c>
      <c r="H337" s="356">
        <v>18287.059411625629</v>
      </c>
    </row>
    <row r="338" spans="1:8" ht="15.6" x14ac:dyDescent="0.3">
      <c r="A338" s="358" t="s">
        <v>342</v>
      </c>
      <c r="B338" s="336"/>
      <c r="C338" s="349">
        <v>2018</v>
      </c>
      <c r="D338" s="350">
        <v>4</v>
      </c>
      <c r="E338" s="351"/>
      <c r="F338" s="346"/>
      <c r="G338" s="355">
        <v>18424.023527444137</v>
      </c>
      <c r="H338" s="356">
        <v>18424.023527444137</v>
      </c>
    </row>
    <row r="339" spans="1:8" ht="15.6" x14ac:dyDescent="0.3">
      <c r="A339" s="360"/>
      <c r="B339" s="361"/>
      <c r="C339" s="349">
        <v>2019</v>
      </c>
      <c r="D339" s="350">
        <v>5</v>
      </c>
      <c r="E339" s="351"/>
      <c r="F339" s="346"/>
      <c r="G339" s="355">
        <v>18564.855476495679</v>
      </c>
      <c r="H339" s="356">
        <v>18564.855476495679</v>
      </c>
    </row>
    <row r="340" spans="1:8" ht="15.6" x14ac:dyDescent="0.3">
      <c r="A340" s="362" t="s">
        <v>352</v>
      </c>
      <c r="B340" s="336"/>
      <c r="C340" s="349">
        <v>2020</v>
      </c>
      <c r="D340" s="350">
        <v>6</v>
      </c>
      <c r="E340" s="351"/>
      <c r="F340" s="346"/>
      <c r="G340" s="355">
        <v>18709.388537987674</v>
      </c>
      <c r="H340" s="356">
        <v>18709.388537987674</v>
      </c>
    </row>
    <row r="341" spans="1:8" ht="15.6" x14ac:dyDescent="0.3">
      <c r="A341" s="363"/>
      <c r="B341" s="336"/>
      <c r="C341" s="349">
        <v>2021</v>
      </c>
      <c r="D341" s="350">
        <v>7</v>
      </c>
      <c r="E341" s="351"/>
      <c r="F341" s="346"/>
      <c r="G341" s="355">
        <v>18857.455991127539</v>
      </c>
      <c r="H341" s="356">
        <v>18857.455991127539</v>
      </c>
    </row>
    <row r="342" spans="1:8" ht="15.6" x14ac:dyDescent="0.3">
      <c r="A342" s="364"/>
      <c r="B342" s="336"/>
      <c r="C342" s="349">
        <v>2022</v>
      </c>
      <c r="D342" s="350">
        <v>8</v>
      </c>
      <c r="E342" s="351"/>
      <c r="F342" s="346"/>
      <c r="G342" s="355">
        <v>19008.891115122678</v>
      </c>
      <c r="H342" s="356">
        <v>19008.891115122678</v>
      </c>
    </row>
    <row r="343" spans="1:8" ht="15.6" x14ac:dyDescent="0.3">
      <c r="A343" s="358"/>
      <c r="B343" s="336"/>
      <c r="C343" s="349">
        <v>2023</v>
      </c>
      <c r="D343" s="350">
        <v>9</v>
      </c>
      <c r="E343" s="351"/>
      <c r="F343" s="346"/>
      <c r="G343" s="355">
        <v>19163.527189180517</v>
      </c>
      <c r="H343" s="356">
        <v>19163.527189180517</v>
      </c>
    </row>
    <row r="344" spans="1:8" ht="15.6" x14ac:dyDescent="0.3">
      <c r="A344" s="336"/>
      <c r="B344" s="336"/>
      <c r="C344" s="349">
        <v>2024</v>
      </c>
      <c r="D344" s="350">
        <v>10</v>
      </c>
      <c r="E344" s="351"/>
      <c r="F344" s="346"/>
      <c r="G344" s="355">
        <v>19321.197492508465</v>
      </c>
      <c r="H344" s="356">
        <v>19321.197492508465</v>
      </c>
    </row>
    <row r="345" spans="1:8" ht="15.6" x14ac:dyDescent="0.3">
      <c r="A345" s="336"/>
      <c r="B345" s="336"/>
      <c r="C345" s="349">
        <v>2025</v>
      </c>
      <c r="D345" s="350">
        <v>11</v>
      </c>
      <c r="E345" s="351">
        <v>19306.940551878397</v>
      </c>
      <c r="F345" s="346">
        <v>19306.940551878397</v>
      </c>
      <c r="G345" s="355">
        <v>19306.940551878397</v>
      </c>
      <c r="H345" s="356">
        <v>19306.940551878397</v>
      </c>
    </row>
    <row r="346" spans="1:8" ht="15.6" x14ac:dyDescent="0.3">
      <c r="A346" s="336"/>
      <c r="B346" s="336"/>
      <c r="C346" s="349">
        <v>2026</v>
      </c>
      <c r="D346" s="350">
        <v>12</v>
      </c>
      <c r="E346" s="351"/>
      <c r="F346" s="346"/>
      <c r="G346" s="355">
        <v>19644.973903804341</v>
      </c>
      <c r="H346" s="356">
        <v>19644.973903804341</v>
      </c>
    </row>
    <row r="347" spans="1:8" ht="15.6" x14ac:dyDescent="0.3">
      <c r="A347" s="336"/>
      <c r="B347" s="336"/>
      <c r="C347" s="349">
        <v>2027</v>
      </c>
      <c r="D347" s="350">
        <v>13</v>
      </c>
      <c r="E347" s="351"/>
      <c r="F347" s="346"/>
      <c r="G347" s="355">
        <v>19810.746570187097</v>
      </c>
      <c r="H347" s="356">
        <v>19810.746570187097</v>
      </c>
    </row>
    <row r="348" spans="1:8" ht="15.6" x14ac:dyDescent="0.3">
      <c r="A348" s="336"/>
      <c r="B348" s="336"/>
      <c r="C348" s="349">
        <v>2028</v>
      </c>
      <c r="D348" s="350">
        <v>14</v>
      </c>
      <c r="E348" s="351"/>
      <c r="F348" s="346"/>
      <c r="G348" s="355">
        <v>19978.886582669624</v>
      </c>
      <c r="H348" s="356">
        <v>19978.886582669624</v>
      </c>
    </row>
    <row r="349" spans="1:8" ht="15.6" x14ac:dyDescent="0.3">
      <c r="A349" s="336"/>
      <c r="B349" s="336"/>
      <c r="C349" s="349">
        <v>2029</v>
      </c>
      <c r="D349" s="350">
        <v>15</v>
      </c>
      <c r="E349" s="351"/>
      <c r="F349" s="346"/>
      <c r="G349" s="355">
        <v>20149.227220459328</v>
      </c>
      <c r="H349" s="356">
        <v>20149.227220459328</v>
      </c>
    </row>
    <row r="350" spans="1:8" ht="15.6" x14ac:dyDescent="0.3">
      <c r="A350" s="336"/>
      <c r="B350" s="336"/>
      <c r="C350" s="349">
        <v>2030</v>
      </c>
      <c r="D350" s="350">
        <v>16</v>
      </c>
      <c r="E350" s="351">
        <v>20348.813621570134</v>
      </c>
      <c r="F350" s="346">
        <v>20348.813621570134</v>
      </c>
      <c r="G350" s="355">
        <v>20348.813621570134</v>
      </c>
      <c r="H350" s="356">
        <v>20348.813621570134</v>
      </c>
    </row>
    <row r="351" spans="1:8" ht="15.6" x14ac:dyDescent="0.3">
      <c r="A351" s="336"/>
      <c r="B351" s="336"/>
      <c r="C351" s="349">
        <v>2031</v>
      </c>
      <c r="D351" s="350">
        <v>17</v>
      </c>
      <c r="E351" s="351"/>
      <c r="F351" s="346"/>
      <c r="G351" s="355">
        <v>20495.843488789931</v>
      </c>
      <c r="H351" s="356">
        <v>20495.843488789931</v>
      </c>
    </row>
    <row r="352" spans="1:8" ht="15.6" x14ac:dyDescent="0.3">
      <c r="A352" s="336"/>
      <c r="B352" s="336"/>
      <c r="C352" s="349">
        <v>2032</v>
      </c>
      <c r="D352" s="350">
        <v>18</v>
      </c>
      <c r="E352" s="351"/>
      <c r="F352" s="346"/>
      <c r="G352" s="355">
        <v>20671.785677745658</v>
      </c>
      <c r="H352" s="356">
        <v>20671.785677745658</v>
      </c>
    </row>
    <row r="353" spans="1:8" ht="15.6" x14ac:dyDescent="0.3">
      <c r="A353" s="361"/>
      <c r="B353" s="361"/>
      <c r="C353" s="349">
        <v>2033</v>
      </c>
      <c r="D353" s="350">
        <v>19</v>
      </c>
      <c r="E353" s="351"/>
      <c r="F353" s="346"/>
      <c r="G353" s="355">
        <v>20849.261608838224</v>
      </c>
      <c r="H353" s="356">
        <v>20849.261608838224</v>
      </c>
    </row>
    <row r="354" spans="1:8" ht="15.6" x14ac:dyDescent="0.3">
      <c r="A354" s="361"/>
      <c r="B354" s="361"/>
      <c r="C354" s="349">
        <v>2034</v>
      </c>
      <c r="D354" s="350">
        <v>20</v>
      </c>
      <c r="E354" s="351"/>
      <c r="F354" s="346"/>
      <c r="G354" s="355">
        <v>21028.104561275042</v>
      </c>
      <c r="H354" s="356">
        <v>21028.104561275042</v>
      </c>
    </row>
    <row r="355" spans="1:8" ht="15.6" x14ac:dyDescent="0.3">
      <c r="A355" s="361"/>
      <c r="B355" s="361"/>
      <c r="C355" s="349">
        <v>2035</v>
      </c>
      <c r="D355" s="350">
        <v>21</v>
      </c>
      <c r="E355" s="351">
        <v>21350.284944639516</v>
      </c>
      <c r="F355" s="346">
        <v>21350.284944639516</v>
      </c>
      <c r="G355" s="355">
        <v>21350.284944639516</v>
      </c>
      <c r="H355" s="356">
        <v>21350.284944639516</v>
      </c>
    </row>
    <row r="356" spans="1:8" ht="15.6" x14ac:dyDescent="0.3">
      <c r="A356" s="361"/>
      <c r="B356" s="361"/>
      <c r="C356" s="349">
        <v>2036</v>
      </c>
      <c r="D356" s="350">
        <v>22</v>
      </c>
      <c r="E356" s="351"/>
      <c r="F356" s="346"/>
      <c r="G356" s="355">
        <v>21389.224647011084</v>
      </c>
      <c r="H356" s="356">
        <v>21389.224647011084</v>
      </c>
    </row>
    <row r="357" spans="1:8" ht="15.6" x14ac:dyDescent="0.3">
      <c r="A357" s="361"/>
      <c r="B357" s="361"/>
      <c r="C357" s="349">
        <v>2037</v>
      </c>
      <c r="D357" s="350">
        <v>23</v>
      </c>
      <c r="E357" s="351"/>
      <c r="F357" s="346"/>
      <c r="G357" s="355">
        <v>21571.168338725136</v>
      </c>
      <c r="H357" s="356">
        <v>21571.168338725136</v>
      </c>
    </row>
    <row r="358" spans="1:8" ht="15.6" x14ac:dyDescent="0.3">
      <c r="A358" s="361"/>
      <c r="B358" s="361"/>
      <c r="C358" s="349">
        <v>2038</v>
      </c>
      <c r="D358" s="350">
        <v>24</v>
      </c>
      <c r="E358" s="351"/>
      <c r="F358" s="346"/>
      <c r="G358" s="355">
        <v>21753.812168613098</v>
      </c>
      <c r="H358" s="356">
        <v>21753.812168613098</v>
      </c>
    </row>
    <row r="359" spans="1:8" ht="15.6" x14ac:dyDescent="0.3">
      <c r="A359" s="361"/>
      <c r="B359" s="361"/>
      <c r="C359" s="349">
        <v>2039</v>
      </c>
      <c r="D359" s="350">
        <v>25</v>
      </c>
      <c r="E359" s="351"/>
      <c r="F359" s="346"/>
      <c r="G359" s="355">
        <v>21936.989415882381</v>
      </c>
      <c r="H359" s="356">
        <v>21936.989415882381</v>
      </c>
    </row>
    <row r="360" spans="1:8" ht="15.6" x14ac:dyDescent="0.3">
      <c r="A360" s="361"/>
      <c r="B360" s="361"/>
      <c r="C360" s="349">
        <v>2040</v>
      </c>
      <c r="D360" s="350">
        <v>26</v>
      </c>
      <c r="E360" s="351">
        <v>22196.535946223186</v>
      </c>
      <c r="F360" s="346">
        <v>22196.535946223186</v>
      </c>
      <c r="G360" s="355">
        <v>22196.535946223186</v>
      </c>
      <c r="H360" s="356">
        <v>22196.535946223186</v>
      </c>
    </row>
    <row r="361" spans="1:8" ht="15.6" x14ac:dyDescent="0.3">
      <c r="A361" s="361"/>
      <c r="B361" s="361"/>
      <c r="C361" s="349">
        <v>2041</v>
      </c>
      <c r="D361" s="350">
        <v>27</v>
      </c>
      <c r="E361" s="351"/>
      <c r="F361" s="346"/>
      <c r="G361" s="355">
        <v>22304.27727939457</v>
      </c>
      <c r="H361" s="356">
        <v>22304.27727939457</v>
      </c>
    </row>
    <row r="362" spans="1:8" ht="15.6" x14ac:dyDescent="0.3">
      <c r="A362" s="361"/>
      <c r="B362" s="361"/>
      <c r="C362" s="349">
        <v>2042</v>
      </c>
      <c r="D362" s="350">
        <v>28</v>
      </c>
      <c r="E362" s="351"/>
      <c r="F362" s="346"/>
      <c r="G362" s="355">
        <v>22488.054454052304</v>
      </c>
      <c r="H362" s="356">
        <v>22488.054454052304</v>
      </c>
    </row>
    <row r="363" spans="1:8" ht="15.6" x14ac:dyDescent="0.3">
      <c r="A363" s="361"/>
      <c r="B363" s="361"/>
      <c r="C363" s="349">
        <v>2043</v>
      </c>
      <c r="D363" s="350">
        <v>29</v>
      </c>
      <c r="E363" s="351"/>
      <c r="F363" s="346"/>
      <c r="G363" s="355">
        <v>22671.698162921013</v>
      </c>
      <c r="H363" s="356">
        <v>22671.698162921013</v>
      </c>
    </row>
    <row r="364" spans="1:8" ht="15.6" x14ac:dyDescent="0.3">
      <c r="A364" s="361"/>
      <c r="B364" s="361"/>
      <c r="C364" s="349">
        <v>2044</v>
      </c>
      <c r="D364" s="350">
        <v>30</v>
      </c>
      <c r="E364" s="351"/>
      <c r="F364" s="346"/>
      <c r="G364" s="355">
        <v>22855.041685208118</v>
      </c>
      <c r="H364" s="356">
        <v>22855.041685208118</v>
      </c>
    </row>
    <row r="365" spans="1:8" ht="15.6" x14ac:dyDescent="0.3">
      <c r="A365" s="361"/>
      <c r="B365" s="361"/>
      <c r="C365" s="349">
        <v>2045</v>
      </c>
      <c r="D365" s="350">
        <v>31</v>
      </c>
      <c r="E365" s="351">
        <v>22977.062415569962</v>
      </c>
      <c r="F365" s="346">
        <v>22977.062415569962</v>
      </c>
      <c r="G365" s="355">
        <v>22977.062415569962</v>
      </c>
      <c r="H365" s="356">
        <v>22977.062415569962</v>
      </c>
    </row>
    <row r="366" spans="1:8" ht="15.6" x14ac:dyDescent="0.3">
      <c r="A366" s="361"/>
      <c r="B366" s="361"/>
      <c r="C366" s="349">
        <v>2046</v>
      </c>
      <c r="D366" s="350">
        <v>32</v>
      </c>
      <c r="E366" s="351"/>
      <c r="F366" s="346"/>
      <c r="G366" s="355">
        <v>23220.161286867165</v>
      </c>
      <c r="H366" s="356">
        <v>23220.161286867165</v>
      </c>
    </row>
    <row r="367" spans="1:8" ht="15.6" x14ac:dyDescent="0.3">
      <c r="A367" s="365"/>
      <c r="B367" s="366"/>
      <c r="C367" s="349">
        <v>2047</v>
      </c>
      <c r="D367" s="350">
        <v>33</v>
      </c>
      <c r="E367" s="351"/>
      <c r="F367" s="346"/>
      <c r="G367" s="355">
        <v>23401.603924653933</v>
      </c>
      <c r="H367" s="356">
        <v>23401.603924653933</v>
      </c>
    </row>
    <row r="368" spans="1:8" ht="15.6" x14ac:dyDescent="0.3">
      <c r="A368" s="359"/>
      <c r="B368" s="366"/>
      <c r="C368" s="349">
        <v>2048</v>
      </c>
      <c r="D368" s="350">
        <v>34</v>
      </c>
      <c r="E368" s="351"/>
      <c r="F368" s="346"/>
      <c r="G368" s="355">
        <v>23582.07949268875</v>
      </c>
      <c r="H368" s="356">
        <v>23582.07949268875</v>
      </c>
    </row>
    <row r="369" spans="1:8" ht="15.6" x14ac:dyDescent="0.3">
      <c r="A369" s="359"/>
      <c r="B369" s="359"/>
      <c r="C369" s="349">
        <v>2049</v>
      </c>
      <c r="D369" s="350">
        <v>35</v>
      </c>
      <c r="E369" s="351"/>
      <c r="F369" s="346"/>
      <c r="G369" s="355">
        <v>23761.421270179031</v>
      </c>
      <c r="H369" s="356">
        <v>23761.421270179031</v>
      </c>
    </row>
    <row r="370" spans="1:8" ht="15.6" x14ac:dyDescent="0.3">
      <c r="A370" s="359"/>
      <c r="B370" s="359"/>
      <c r="C370" s="349">
        <v>2050</v>
      </c>
      <c r="D370" s="350">
        <v>36</v>
      </c>
      <c r="E370" s="351">
        <v>23878.383038888478</v>
      </c>
      <c r="F370" s="346">
        <v>23878.383038888478</v>
      </c>
      <c r="G370" s="355">
        <v>23878.383038888478</v>
      </c>
      <c r="H370" s="356">
        <v>23878.383038888478</v>
      </c>
    </row>
    <row r="371" spans="1:8" ht="15.6" x14ac:dyDescent="0.3">
      <c r="A371"/>
      <c r="B371"/>
      <c r="C371" s="349">
        <v>2051</v>
      </c>
      <c r="D371" s="350">
        <v>37</v>
      </c>
      <c r="E371" s="351"/>
      <c r="F371" s="346"/>
      <c r="G371" s="355">
        <v>24116.036570355642</v>
      </c>
      <c r="H371" s="356">
        <v>24116.036570355642</v>
      </c>
    </row>
    <row r="372" spans="1:8" ht="15.6" x14ac:dyDescent="0.3">
      <c r="A372"/>
      <c r="B372"/>
      <c r="C372" s="349">
        <v>2052</v>
      </c>
      <c r="D372" s="350">
        <v>38</v>
      </c>
      <c r="E372" s="351"/>
      <c r="F372" s="346"/>
      <c r="G372" s="355">
        <v>24290.9766514568</v>
      </c>
      <c r="H372" s="356">
        <v>24290.9766514568</v>
      </c>
    </row>
    <row r="373" spans="1:8" ht="15.6" x14ac:dyDescent="0.3">
      <c r="A373"/>
      <c r="B373"/>
      <c r="C373" s="349">
        <v>2053</v>
      </c>
      <c r="D373" s="350">
        <v>39</v>
      </c>
      <c r="E373" s="351"/>
      <c r="F373" s="346"/>
      <c r="G373" s="355">
        <v>24464.116058843079</v>
      </c>
      <c r="H373" s="356">
        <v>24464.116058843079</v>
      </c>
    </row>
    <row r="374" spans="1:8" ht="15.6" x14ac:dyDescent="0.3">
      <c r="A374"/>
      <c r="B374"/>
      <c r="C374" s="349">
        <v>2054</v>
      </c>
      <c r="D374" s="350">
        <v>40</v>
      </c>
      <c r="E374" s="351"/>
      <c r="F374" s="346"/>
      <c r="G374" s="355">
        <v>24635.28807172189</v>
      </c>
      <c r="H374" s="356">
        <v>24635.28807172189</v>
      </c>
    </row>
    <row r="375" spans="1:8" ht="15.6" x14ac:dyDescent="0.3">
      <c r="A375"/>
      <c r="B375"/>
      <c r="C375" s="349">
        <v>2055</v>
      </c>
      <c r="D375" s="350">
        <v>41</v>
      </c>
      <c r="E375" s="351">
        <v>24757.387210462137</v>
      </c>
      <c r="F375" s="346">
        <v>24757.387210462137</v>
      </c>
      <c r="G375" s="355">
        <v>24757.387210462137</v>
      </c>
      <c r="H375" s="356">
        <v>24757.387210462137</v>
      </c>
    </row>
    <row r="376" spans="1:8" ht="15.6" x14ac:dyDescent="0.3">
      <c r="A376"/>
      <c r="B376"/>
      <c r="C376" s="349">
        <v>2056</v>
      </c>
      <c r="D376" s="350">
        <v>42</v>
      </c>
      <c r="E376" s="351"/>
      <c r="F376" s="346"/>
      <c r="G376" s="355">
        <v>24971.063030786776</v>
      </c>
      <c r="H376" s="356">
        <v>24971.063030786776</v>
      </c>
    </row>
    <row r="377" spans="1:8" ht="15.6" x14ac:dyDescent="0.3">
      <c r="A377"/>
      <c r="B377"/>
      <c r="C377" s="349">
        <v>2057</v>
      </c>
      <c r="D377" s="350">
        <v>43</v>
      </c>
      <c r="E377" s="351"/>
      <c r="F377" s="346"/>
      <c r="G377" s="355">
        <v>25135.332535387679</v>
      </c>
      <c r="H377" s="356">
        <v>25135.332535387679</v>
      </c>
    </row>
    <row r="378" spans="1:8" ht="15.6" x14ac:dyDescent="0.3">
      <c r="A378"/>
      <c r="B378"/>
      <c r="C378" s="349">
        <v>2058</v>
      </c>
      <c r="D378" s="350">
        <v>44</v>
      </c>
      <c r="E378" s="351"/>
      <c r="F378" s="346"/>
      <c r="G378" s="355">
        <v>25296.967762310771</v>
      </c>
      <c r="H378" s="356">
        <v>25296.967762310771</v>
      </c>
    </row>
    <row r="379" spans="1:8" ht="15.6" x14ac:dyDescent="0.3">
      <c r="A379"/>
      <c r="B379"/>
      <c r="C379" s="349">
        <v>2059</v>
      </c>
      <c r="D379" s="350">
        <v>45</v>
      </c>
      <c r="E379" s="351"/>
      <c r="F379" s="346"/>
      <c r="G379" s="355">
        <v>25455.801990763466</v>
      </c>
      <c r="H379" s="356">
        <v>25455.801990763466</v>
      </c>
    </row>
    <row r="380" spans="1:8" ht="15.6" x14ac:dyDescent="0.3">
      <c r="A380"/>
      <c r="B380"/>
      <c r="C380" s="367">
        <v>2060</v>
      </c>
      <c r="D380" s="350">
        <v>46</v>
      </c>
      <c r="E380" s="351">
        <v>25666.805217146117</v>
      </c>
      <c r="F380" s="346">
        <v>25666.805217146117</v>
      </c>
      <c r="G380" s="355">
        <v>25666.805217146117</v>
      </c>
      <c r="H380" s="356">
        <v>25666.805217146117</v>
      </c>
    </row>
  </sheetData>
  <mergeCells count="18">
    <mergeCell ref="Y23:Z23"/>
    <mergeCell ref="J24:M24"/>
    <mergeCell ref="F256:F257"/>
    <mergeCell ref="A263:A266"/>
    <mergeCell ref="F322:F323"/>
    <mergeCell ref="U23:V23"/>
    <mergeCell ref="A329:A332"/>
    <mergeCell ref="O22:R22"/>
    <mergeCell ref="B23:D23"/>
    <mergeCell ref="E23:H23"/>
    <mergeCell ref="J23:M23"/>
    <mergeCell ref="O23:R23"/>
    <mergeCell ref="C1:G1"/>
    <mergeCell ref="I1:T1"/>
    <mergeCell ref="D2:E2"/>
    <mergeCell ref="I2:L3"/>
    <mergeCell ref="S3:W5"/>
    <mergeCell ref="I5:L6"/>
  </mergeCells>
  <conditionalFormatting sqref="A263">
    <cfRule type="cellIs" dxfId="11" priority="2" operator="equal">
      <formula>#REF!</formula>
    </cfRule>
  </conditionalFormatting>
  <conditionalFormatting sqref="A329">
    <cfRule type="cellIs" dxfId="10" priority="1" operator="equal">
      <formula>#REF!</formula>
    </cfRule>
  </conditionalFormatting>
  <dataValidations count="1">
    <dataValidation type="list" allowBlank="1" showInputMessage="1" showErrorMessage="1" sqref="C83:G83 F17 O24:R24 F3:G14">
      <formula1>"Y,N"</formula1>
    </dataValidation>
  </dataValidation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sheetPr>
  <dimension ref="A1:EG380"/>
  <sheetViews>
    <sheetView showGridLines="0" topLeftCell="N134" zoomScale="96" zoomScaleNormal="96" zoomScalePageLayoutView="80" workbookViewId="0">
      <selection activeCell="B154" sqref="B154"/>
    </sheetView>
  </sheetViews>
  <sheetFormatPr defaultColWidth="8.796875" defaultRowHeight="13.2" x14ac:dyDescent="0.25"/>
  <cols>
    <col min="1" max="1" width="24.69921875" style="153" customWidth="1"/>
    <col min="2" max="2" width="37.5" style="153" bestFit="1" customWidth="1"/>
    <col min="3" max="3" width="21.5" style="153" customWidth="1"/>
    <col min="4" max="4" width="28.19921875" style="153" customWidth="1"/>
    <col min="5" max="5" width="37.5" style="153" bestFit="1" customWidth="1"/>
    <col min="6" max="6" width="28.296875" style="153" bestFit="1" customWidth="1"/>
    <col min="7" max="7" width="18.296875" style="153" bestFit="1" customWidth="1"/>
    <col min="8" max="8" width="45.5" style="153" bestFit="1" customWidth="1"/>
    <col min="9" max="11" width="7.296875" style="153" bestFit="1" customWidth="1"/>
    <col min="12" max="12" width="10.796875" style="153" bestFit="1" customWidth="1"/>
    <col min="13" max="13" width="7.19921875" style="153" bestFit="1" customWidth="1"/>
    <col min="14" max="14" width="19.5" style="153" customWidth="1"/>
    <col min="15" max="15" width="24.5" style="153" customWidth="1"/>
    <col min="16" max="16" width="23.19921875" style="153" customWidth="1"/>
    <col min="17" max="17" width="18.796875" style="153" customWidth="1"/>
    <col min="18" max="18" width="19" style="153" bestFit="1" customWidth="1"/>
    <col min="19" max="19" width="8.796875" style="153"/>
    <col min="20" max="20" width="10.19921875" style="153" bestFit="1" customWidth="1"/>
    <col min="21" max="21" width="24.5" style="153" customWidth="1"/>
    <col min="22" max="22" width="6" style="153" bestFit="1" customWidth="1"/>
    <col min="23" max="23" width="19" style="153" bestFit="1" customWidth="1"/>
    <col min="24" max="24" width="21.19921875" style="153" customWidth="1"/>
    <col min="25" max="25" width="16.296875" style="153" bestFit="1" customWidth="1"/>
    <col min="26" max="28" width="8.796875" style="153"/>
    <col min="29" max="29" width="41.69921875" style="153" bestFit="1" customWidth="1"/>
    <col min="30" max="31" width="8.796875" style="153"/>
    <col min="32" max="33" width="7" style="153" bestFit="1" customWidth="1"/>
    <col min="34" max="34" width="7.5" style="153" bestFit="1" customWidth="1"/>
    <col min="35" max="35" width="5.296875" style="153" bestFit="1" customWidth="1"/>
    <col min="36" max="16384" width="8.796875" style="153"/>
  </cols>
  <sheetData>
    <row r="1" spans="1:137" s="160" customFormat="1" ht="21.6" thickBot="1" x14ac:dyDescent="0.45">
      <c r="A1" s="155" t="str">
        <f ca="1">MID(CELL("filename",A1),FIND("]",CELL("filename",A1))+1,256)</f>
        <v>NFreight-km_cluster_all</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374</v>
      </c>
      <c r="E3" s="249">
        <v>0.7</v>
      </c>
      <c r="F3" s="167" t="s">
        <v>211</v>
      </c>
      <c r="G3" s="167" t="s">
        <v>213</v>
      </c>
      <c r="I3" s="618"/>
      <c r="J3" s="618"/>
      <c r="K3" s="618"/>
      <c r="L3" s="618"/>
      <c r="M3" s="166"/>
      <c r="N3" s="164">
        <f ca="1">SUM(OFFSET(O27,B3-2015,0,B4-B3+1,4))/1000</f>
        <v>1.1857421605824445</v>
      </c>
      <c r="O3" s="165" t="s">
        <v>209</v>
      </c>
      <c r="Q3" s="165"/>
      <c r="S3" s="671" t="s">
        <v>210</v>
      </c>
      <c r="T3" s="671"/>
      <c r="U3" s="671"/>
      <c r="V3" s="671"/>
      <c r="W3" s="671"/>
    </row>
    <row r="4" spans="1:137" ht="13.8" x14ac:dyDescent="0.25">
      <c r="A4" s="153" t="s">
        <v>215</v>
      </c>
      <c r="B4" s="234">
        <v>2050</v>
      </c>
      <c r="D4" s="248"/>
      <c r="E4" s="249"/>
      <c r="F4" s="167"/>
      <c r="G4" s="167"/>
      <c r="I4" s="168"/>
      <c r="J4" s="168"/>
      <c r="K4" s="168"/>
      <c r="L4" s="168"/>
      <c r="M4" s="168"/>
      <c r="N4" s="168"/>
      <c r="S4" s="671"/>
      <c r="T4" s="671"/>
      <c r="U4" s="671"/>
      <c r="V4" s="671"/>
      <c r="W4" s="671"/>
    </row>
    <row r="5" spans="1:137" ht="12.75" customHeight="1" x14ac:dyDescent="0.25">
      <c r="D5" s="248"/>
      <c r="E5" s="249"/>
      <c r="F5" s="167"/>
      <c r="G5" s="167"/>
      <c r="I5" s="618" t="s">
        <v>214</v>
      </c>
      <c r="J5" s="618"/>
      <c r="K5" s="618"/>
      <c r="L5" s="618"/>
      <c r="M5" s="169"/>
      <c r="N5" s="164">
        <f>SUM(J27:M72)/1000</f>
        <v>0</v>
      </c>
      <c r="O5" s="165" t="s">
        <v>208</v>
      </c>
      <c r="S5" s="671"/>
      <c r="T5" s="671"/>
      <c r="U5" s="671"/>
      <c r="V5" s="671"/>
      <c r="W5" s="671"/>
    </row>
    <row r="6" spans="1:137" ht="13.8" x14ac:dyDescent="0.25">
      <c r="D6" s="248"/>
      <c r="E6" s="249"/>
      <c r="F6" s="167"/>
      <c r="G6" s="167"/>
      <c r="I6" s="618"/>
      <c r="J6" s="618"/>
      <c r="K6" s="618"/>
      <c r="L6" s="618"/>
      <c r="M6" s="163"/>
      <c r="N6" s="164">
        <f>SUM(O27:R72)/1000</f>
        <v>3.1449927332614815</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322</v>
      </c>
      <c r="P15" s="260" t="s">
        <v>373</v>
      </c>
    </row>
    <row r="16" spans="1:137" ht="13.8" x14ac:dyDescent="0.25">
      <c r="F16" s="153" t="s">
        <v>217</v>
      </c>
      <c r="O16" s="261"/>
      <c r="P16" s="371">
        <v>3663130.5135886758</v>
      </c>
    </row>
    <row r="17" spans="1:26" x14ac:dyDescent="0.25">
      <c r="D17" s="171" t="s">
        <v>216</v>
      </c>
      <c r="E17" s="233">
        <v>1</v>
      </c>
      <c r="F17" s="167" t="s">
        <v>213</v>
      </c>
      <c r="P17" s="153" t="s">
        <v>279</v>
      </c>
    </row>
    <row r="22" spans="1:26" x14ac:dyDescent="0.25">
      <c r="D22" s="170"/>
      <c r="I22" s="172"/>
      <c r="J22" s="172"/>
      <c r="K22" s="172"/>
      <c r="L22" s="172"/>
      <c r="M22" s="172"/>
      <c r="N22" s="172"/>
      <c r="O22" s="667" t="s">
        <v>378</v>
      </c>
      <c r="P22" s="667"/>
      <c r="Q22" s="667"/>
      <c r="R22" s="667"/>
    </row>
    <row r="23" spans="1:26" ht="67.5" customHeight="1" x14ac:dyDescent="0.25">
      <c r="B23" s="665" t="s">
        <v>376</v>
      </c>
      <c r="C23" s="665"/>
      <c r="D23" s="665"/>
      <c r="E23" s="666" t="s">
        <v>375</v>
      </c>
      <c r="F23" s="666"/>
      <c r="G23" s="666"/>
      <c r="H23" s="666"/>
      <c r="J23" s="665" t="s">
        <v>377</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-5.985433722744346E-2</v>
      </c>
      <c r="F26" s="183" t="str">
        <f>IFERROR(E26-E25,"")</f>
        <v/>
      </c>
      <c r="G26" s="247">
        <f t="shared" ref="G26:G72" si="1">IFERROR(E26/(B85-B137),"")</f>
        <v>0.7</v>
      </c>
      <c r="H26" s="245" t="s">
        <v>264</v>
      </c>
      <c r="J26" s="182"/>
      <c r="K26" s="182"/>
      <c r="L26" s="182"/>
      <c r="M26" s="182"/>
      <c r="N26" s="163"/>
      <c r="O26" s="259" t="str">
        <f>IF($O$24="Y",IFERROR(E26*$E$6*$O$16*'Emissions Factors'!B12,""),"")</f>
        <v/>
      </c>
      <c r="P26" s="259">
        <f>IF($P$24="Y",IFERROR($E26*('Emissions Factors'!$R$41*$P$16)/10^6,""),"")</f>
        <v>-6.3496469038728436E-4</v>
      </c>
      <c r="Q26" s="259"/>
      <c r="R26" s="245" t="s">
        <v>264</v>
      </c>
      <c r="T26" s="180" t="str">
        <f t="shared" ref="T26:T72" si="2">IF(AND(A26&gt;=$B$3,A26&lt;=$B$4),SUM(O26:R26),"")</f>
        <v/>
      </c>
      <c r="U26" s="180" t="str">
        <f t="shared" ref="U26:U72" si="3">IF(AND(A26&gt;=$B$3,A26&lt;=$B$4),SUM(J26:M26),"")</f>
        <v/>
      </c>
      <c r="V26" s="177"/>
      <c r="X26" s="180">
        <f t="shared" ref="X26:X72" si="4">SUM(O26:R26)</f>
        <v>-6.3496469038728436E-4</v>
      </c>
      <c r="Y26" s="180">
        <f t="shared" ref="Y26:Y72" si="5">SUM(J26:M26)</f>
        <v>0</v>
      </c>
    </row>
    <row r="27" spans="1:26" ht="15.6" x14ac:dyDescent="0.3">
      <c r="A27" s="152">
        <v>2015</v>
      </c>
      <c r="B27" s="178">
        <f t="shared" si="0"/>
        <v>0</v>
      </c>
      <c r="C27" s="182">
        <f>IFERROR(B27-B26,"")</f>
        <v>0</v>
      </c>
      <c r="D27" s="183"/>
      <c r="E27" s="179">
        <f t="shared" ref="E27:E72" si="6">IFERROR(IF($F$17="Y",$E$17,$Y86)*(SUMIF($G$3:$G$14,"Y",$E$3:$E$14))*(B86-B138),0)</f>
        <v>-5.903929663036251E-2</v>
      </c>
      <c r="F27" s="183">
        <f>IFERROR(E27-E26,"")</f>
        <v>8.1504059708095017E-4</v>
      </c>
      <c r="G27" s="247">
        <f t="shared" si="1"/>
        <v>0.7</v>
      </c>
      <c r="H27" s="246"/>
      <c r="J27" s="182"/>
      <c r="K27" s="182"/>
      <c r="L27" s="182"/>
      <c r="M27" s="182"/>
      <c r="N27" s="163"/>
      <c r="O27" s="259" t="str">
        <f>IF($O$24="Y",IFERROR(E27*$E$6*$O$16*'Emissions Factors'!B12,""),"")</f>
        <v/>
      </c>
      <c r="P27" s="259">
        <f>IF($P$24="Y",IFERROR($E27*('Emissions Factors'!$R$41*$P$16)/10^6,""),"")</f>
        <v>-6.2631833284076239E-4</v>
      </c>
      <c r="Q27" s="259"/>
      <c r="R27" s="258"/>
      <c r="T27" s="180" t="str">
        <f t="shared" si="2"/>
        <v/>
      </c>
      <c r="U27" s="180" t="str">
        <f t="shared" si="3"/>
        <v/>
      </c>
      <c r="V27" s="177"/>
      <c r="X27" s="180">
        <f t="shared" si="4"/>
        <v>-6.2631833284076239E-4</v>
      </c>
      <c r="Y27" s="180">
        <f t="shared" si="5"/>
        <v>0</v>
      </c>
    </row>
    <row r="28" spans="1:26" ht="15.6" x14ac:dyDescent="0.3">
      <c r="A28" s="152">
        <v>2016</v>
      </c>
      <c r="B28" s="178">
        <f t="shared" si="0"/>
        <v>0</v>
      </c>
      <c r="C28" s="182">
        <f t="shared" ref="C28:C72" si="7">IFERROR(B28-B27,"")</f>
        <v>0</v>
      </c>
      <c r="D28" s="183"/>
      <c r="E28" s="179">
        <f t="shared" si="6"/>
        <v>-5.9156574089138297E-2</v>
      </c>
      <c r="F28" s="183">
        <f t="shared" ref="F28:F72" si="8">IFERROR(E28-E27,"")</f>
        <v>-1.1727745877578716E-4</v>
      </c>
      <c r="G28" s="247">
        <f t="shared" si="1"/>
        <v>0.7</v>
      </c>
      <c r="H28" s="246"/>
      <c r="J28" s="182"/>
      <c r="K28" s="182"/>
      <c r="L28" s="182"/>
      <c r="M28" s="182"/>
      <c r="N28" s="163"/>
      <c r="O28" s="259" t="str">
        <f>IF($O$24="Y",IFERROR(E28*$E$6*$O$16*'Emissions Factors'!B13,""),"")</f>
        <v/>
      </c>
      <c r="P28" s="259">
        <f>IF($P$24="Y",IFERROR($E28*('Emissions Factors'!$R$41*$P$16)/10^6,""),"")</f>
        <v>-6.2756247067187736E-4</v>
      </c>
      <c r="Q28" s="259"/>
      <c r="R28" s="258"/>
      <c r="T28" s="180" t="str">
        <f t="shared" si="2"/>
        <v/>
      </c>
      <c r="U28" s="180" t="str">
        <f t="shared" si="3"/>
        <v/>
      </c>
      <c r="V28" s="177"/>
      <c r="X28" s="180">
        <f t="shared" si="4"/>
        <v>-6.2756247067187736E-4</v>
      </c>
      <c r="Y28" s="180">
        <f t="shared" si="5"/>
        <v>0</v>
      </c>
    </row>
    <row r="29" spans="1:26" ht="15.6" x14ac:dyDescent="0.3">
      <c r="A29" s="152">
        <v>2017</v>
      </c>
      <c r="B29" s="178">
        <f t="shared" si="0"/>
        <v>0</v>
      </c>
      <c r="C29" s="182">
        <f>IFERROR(B29-B28,"")</f>
        <v>0</v>
      </c>
      <c r="D29" s="183"/>
      <c r="E29" s="179">
        <f t="shared" si="6"/>
        <v>-5.9086896498774875E-2</v>
      </c>
      <c r="F29" s="183">
        <f>IFERROR(E29-E28,"")</f>
        <v>6.9677590363421971E-5</v>
      </c>
      <c r="G29" s="247">
        <f t="shared" si="1"/>
        <v>0.7</v>
      </c>
      <c r="H29" s="246"/>
      <c r="J29" s="182"/>
      <c r="K29" s="182"/>
      <c r="L29" s="182"/>
      <c r="M29" s="182"/>
      <c r="N29" s="163"/>
      <c r="O29" s="259" t="str">
        <f>IF($O$24="Y",IFERROR(E29*$E$6*$O$16*'Emissions Factors'!B14,""),"")</f>
        <v/>
      </c>
      <c r="P29" s="259">
        <f>IF($P$24="Y",IFERROR($E29*('Emissions Factors'!$R$41*$P$16)/10^6,""),"")</f>
        <v>-6.2682329600816133E-4</v>
      </c>
      <c r="Q29" s="259"/>
      <c r="R29" s="258"/>
      <c r="T29" s="180" t="str">
        <f t="shared" si="2"/>
        <v/>
      </c>
      <c r="U29" s="180" t="str">
        <f t="shared" si="3"/>
        <v/>
      </c>
      <c r="V29" s="177"/>
      <c r="X29" s="180">
        <f t="shared" si="4"/>
        <v>-6.2682329600816133E-4</v>
      </c>
      <c r="Y29" s="180">
        <f t="shared" si="5"/>
        <v>0</v>
      </c>
    </row>
    <row r="30" spans="1:26" ht="15.6" x14ac:dyDescent="0.3">
      <c r="A30" s="152">
        <v>2018</v>
      </c>
      <c r="B30" s="178">
        <f t="shared" si="0"/>
        <v>0</v>
      </c>
      <c r="C30" s="182">
        <f t="shared" si="7"/>
        <v>0</v>
      </c>
      <c r="D30" s="183"/>
      <c r="E30" s="179">
        <f>IFERROR(IF($F$17="Y",$E$17,$Y89)*(SUMIF($G$3:$G$14,"Y",$E$3:$E$14))*(B89-B141),0)</f>
        <v>-5.8842603128869082E-2</v>
      </c>
      <c r="F30" s="183">
        <f t="shared" si="8"/>
        <v>2.4429336990579309E-4</v>
      </c>
      <c r="G30" s="247">
        <f t="shared" si="1"/>
        <v>0.7</v>
      </c>
      <c r="H30" s="246"/>
      <c r="J30" s="182"/>
      <c r="K30" s="182"/>
      <c r="L30" s="182"/>
      <c r="M30" s="182"/>
      <c r="N30" s="163"/>
      <c r="O30" s="259" t="str">
        <f>IF($O$24="Y",IFERROR(E30*$E$6*$O$16*'Emissions Factors'!B15,""),"")</f>
        <v/>
      </c>
      <c r="P30" s="259">
        <f>IF($P$24="Y",IFERROR($E30*('Emissions Factors'!$R$41*$P$16)/10^6,""),"")</f>
        <v>-6.2423170998163061E-4</v>
      </c>
      <c r="Q30" s="259"/>
      <c r="R30" s="258"/>
      <c r="T30" s="180" t="str">
        <f t="shared" si="2"/>
        <v/>
      </c>
      <c r="U30" s="180" t="str">
        <f t="shared" si="3"/>
        <v/>
      </c>
      <c r="V30" s="177"/>
      <c r="X30" s="180">
        <f t="shared" si="4"/>
        <v>-6.2423170998163061E-4</v>
      </c>
      <c r="Y30" s="180">
        <f t="shared" si="5"/>
        <v>0</v>
      </c>
    </row>
    <row r="31" spans="1:26" ht="15.6" x14ac:dyDescent="0.3">
      <c r="A31" s="152">
        <v>2019</v>
      </c>
      <c r="B31" s="178">
        <f t="shared" si="0"/>
        <v>0</v>
      </c>
      <c r="C31" s="182">
        <f t="shared" si="7"/>
        <v>0</v>
      </c>
      <c r="D31" s="183"/>
      <c r="E31" s="179">
        <f t="shared" si="6"/>
        <v>-5.8733416996255977E-2</v>
      </c>
      <c r="F31" s="183">
        <f t="shared" si="8"/>
        <v>1.0918613261310522E-4</v>
      </c>
      <c r="G31" s="247">
        <f t="shared" si="1"/>
        <v>0.7</v>
      </c>
      <c r="H31" s="246"/>
      <c r="J31" s="182"/>
      <c r="K31" s="182"/>
      <c r="L31" s="182"/>
      <c r="M31" s="182"/>
      <c r="N31" s="163"/>
      <c r="O31" s="259" t="str">
        <f>IF($O$24="Y",IFERROR(E31*$E$6*$O$16*'Emissions Factors'!B16,""),"")</f>
        <v/>
      </c>
      <c r="P31" s="259">
        <f>IF($P$24="Y",IFERROR($E31*('Emissions Factors'!$R$41*$P$16)/10^6,""),"")</f>
        <v>-6.2307340897788186E-4</v>
      </c>
      <c r="Q31" s="259"/>
      <c r="R31" s="258"/>
      <c r="T31" s="180" t="str">
        <f t="shared" si="2"/>
        <v/>
      </c>
      <c r="U31" s="180" t="str">
        <f t="shared" si="3"/>
        <v/>
      </c>
      <c r="V31" s="177"/>
      <c r="X31" s="180">
        <f t="shared" si="4"/>
        <v>-6.2307340897788186E-4</v>
      </c>
      <c r="Y31" s="180">
        <f t="shared" si="5"/>
        <v>0</v>
      </c>
    </row>
    <row r="32" spans="1:26" ht="15.6" x14ac:dyDescent="0.3">
      <c r="A32" s="152">
        <v>2020</v>
      </c>
      <c r="B32" s="178">
        <f t="shared" si="0"/>
        <v>0</v>
      </c>
      <c r="C32" s="182">
        <f t="shared" si="7"/>
        <v>0</v>
      </c>
      <c r="D32" s="183"/>
      <c r="E32" s="179">
        <f t="shared" si="6"/>
        <v>-5.8781115071178641E-2</v>
      </c>
      <c r="F32" s="183">
        <f t="shared" si="8"/>
        <v>-4.7698074922664091E-5</v>
      </c>
      <c r="G32" s="247">
        <f t="shared" si="1"/>
        <v>0.7</v>
      </c>
      <c r="H32" s="246"/>
      <c r="J32" s="182"/>
      <c r="K32" s="182"/>
      <c r="L32" s="182"/>
      <c r="M32" s="182"/>
      <c r="N32" s="163"/>
      <c r="O32" s="259" t="str">
        <f>IF($O$24="Y",IFERROR(E32*$E$6*$O$16*'Emissions Factors'!B17,""),"")</f>
        <v/>
      </c>
      <c r="P32" s="259">
        <f>IF($P$24="Y",IFERROR($E32*('Emissions Factors'!$R$41*$P$16)/10^6,""),"")</f>
        <v>-6.2357941396896965E-4</v>
      </c>
      <c r="Q32" s="259"/>
      <c r="R32" s="258"/>
      <c r="T32" s="180">
        <f t="shared" si="2"/>
        <v>-6.2357941396896965E-4</v>
      </c>
      <c r="U32" s="180">
        <f t="shared" si="3"/>
        <v>0</v>
      </c>
      <c r="V32" s="177"/>
      <c r="X32" s="180">
        <f t="shared" si="4"/>
        <v>-6.2357941396896965E-4</v>
      </c>
      <c r="Y32" s="180">
        <f t="shared" si="5"/>
        <v>0</v>
      </c>
    </row>
    <row r="33" spans="1:25" ht="15.6" x14ac:dyDescent="0.3">
      <c r="A33" s="152">
        <v>2021</v>
      </c>
      <c r="B33" s="178">
        <f t="shared" si="0"/>
        <v>0</v>
      </c>
      <c r="C33" s="182">
        <f t="shared" si="7"/>
        <v>0</v>
      </c>
      <c r="D33" s="183"/>
      <c r="E33" s="179">
        <f t="shared" si="6"/>
        <v>53.018945621430611</v>
      </c>
      <c r="F33" s="183">
        <f t="shared" si="8"/>
        <v>53.077726736501788</v>
      </c>
      <c r="G33" s="247">
        <f t="shared" si="1"/>
        <v>0.7</v>
      </c>
      <c r="H33" s="246"/>
      <c r="J33" s="182"/>
      <c r="K33" s="182"/>
      <c r="L33" s="182"/>
      <c r="M33" s="182"/>
      <c r="N33" s="163"/>
      <c r="O33" s="259" t="str">
        <f>IF($O$24="Y",IFERROR(E33*$E$6*$O$16*'Emissions Factors'!B18,""),"")</f>
        <v/>
      </c>
      <c r="P33" s="259">
        <f>IF($P$24="Y",IFERROR($E33*('Emissions Factors'!$R$41*$P$16)/10^6,""),"")</f>
        <v>0.56245144379840095</v>
      </c>
      <c r="Q33" s="259"/>
      <c r="R33" s="258"/>
      <c r="T33" s="180">
        <f t="shared" si="2"/>
        <v>0.56245144379840095</v>
      </c>
      <c r="U33" s="180">
        <f t="shared" si="3"/>
        <v>0</v>
      </c>
      <c r="V33" s="177"/>
      <c r="X33" s="180">
        <f t="shared" si="4"/>
        <v>0.56245144379840095</v>
      </c>
      <c r="Y33" s="180">
        <f t="shared" si="5"/>
        <v>0</v>
      </c>
    </row>
    <row r="34" spans="1:25" ht="15.6" x14ac:dyDescent="0.3">
      <c r="A34" s="152">
        <v>2022</v>
      </c>
      <c r="B34" s="178">
        <f t="shared" si="0"/>
        <v>0</v>
      </c>
      <c r="C34" s="182">
        <f t="shared" si="7"/>
        <v>0</v>
      </c>
      <c r="D34" s="183"/>
      <c r="E34" s="179">
        <f t="shared" si="6"/>
        <v>122.11510829175967</v>
      </c>
      <c r="F34" s="183">
        <f t="shared" si="8"/>
        <v>69.096162670329051</v>
      </c>
      <c r="G34" s="247">
        <f>IFERROR(E34/(B93-B145),"")</f>
        <v>0.7</v>
      </c>
      <c r="H34" s="246"/>
      <c r="J34" s="182"/>
      <c r="K34" s="182"/>
      <c r="L34" s="182"/>
      <c r="M34" s="182"/>
      <c r="N34" s="163"/>
      <c r="O34" s="259" t="str">
        <f>IF($O$24="Y",IFERROR(E34*$E$6*$O$16*'Emissions Factors'!B19,""),"")</f>
        <v/>
      </c>
      <c r="P34" s="259">
        <f>IF($P$24="Y",IFERROR($E34*('Emissions Factors'!$R$41*$P$16)/10^6,""),"")</f>
        <v>1.2954580322799905</v>
      </c>
      <c r="Q34" s="259"/>
      <c r="R34" s="258"/>
      <c r="T34" s="180">
        <f t="shared" si="2"/>
        <v>1.2954580322799905</v>
      </c>
      <c r="U34" s="180">
        <f t="shared" si="3"/>
        <v>0</v>
      </c>
      <c r="V34" s="177"/>
      <c r="X34" s="180">
        <f t="shared" si="4"/>
        <v>1.2954580322799905</v>
      </c>
      <c r="Y34" s="180">
        <f t="shared" si="5"/>
        <v>0</v>
      </c>
    </row>
    <row r="35" spans="1:25" ht="15.6" x14ac:dyDescent="0.3">
      <c r="A35" s="152">
        <v>2023</v>
      </c>
      <c r="B35" s="178">
        <f t="shared" si="0"/>
        <v>0</v>
      </c>
      <c r="C35" s="182">
        <f t="shared" si="7"/>
        <v>0</v>
      </c>
      <c r="D35" s="183"/>
      <c r="E35" s="179">
        <f t="shared" si="6"/>
        <v>206.4058896961389</v>
      </c>
      <c r="F35" s="183">
        <f t="shared" si="8"/>
        <v>84.290781404379231</v>
      </c>
      <c r="G35" s="247">
        <f t="shared" si="1"/>
        <v>0.7</v>
      </c>
      <c r="H35" s="246"/>
      <c r="J35" s="182"/>
      <c r="K35" s="182"/>
      <c r="L35" s="182"/>
      <c r="M35" s="182"/>
      <c r="N35" s="163"/>
      <c r="O35" s="259" t="str">
        <f>IF($O$24="Y",IFERROR(E35*$E$6*$O$16*'Emissions Factors'!B20,""),"")</f>
        <v/>
      </c>
      <c r="P35" s="259">
        <f>IF($P$24="Y",IFERROR($E35*('Emissions Factors'!$R$41*$P$16)/10^6,""),"")</f>
        <v>2.1896567219013336</v>
      </c>
      <c r="Q35" s="259"/>
      <c r="R35" s="258"/>
      <c r="T35" s="180">
        <f t="shared" si="2"/>
        <v>2.1896567219013336</v>
      </c>
      <c r="U35" s="180">
        <f t="shared" si="3"/>
        <v>0</v>
      </c>
      <c r="V35" s="177"/>
      <c r="X35" s="180">
        <f t="shared" si="4"/>
        <v>2.1896567219013336</v>
      </c>
      <c r="Y35" s="180">
        <f t="shared" si="5"/>
        <v>0</v>
      </c>
    </row>
    <row r="36" spans="1:25" ht="15.6" x14ac:dyDescent="0.3">
      <c r="A36" s="152">
        <v>2024</v>
      </c>
      <c r="B36" s="178">
        <f t="shared" si="0"/>
        <v>0</v>
      </c>
      <c r="C36" s="182">
        <f t="shared" si="7"/>
        <v>0</v>
      </c>
      <c r="D36" s="183"/>
      <c r="E36" s="179">
        <f t="shared" si="6"/>
        <v>305.99379555839255</v>
      </c>
      <c r="F36" s="183">
        <f t="shared" si="8"/>
        <v>99.587905862253649</v>
      </c>
      <c r="G36" s="247">
        <f t="shared" si="1"/>
        <v>0.69999999999999984</v>
      </c>
      <c r="H36" s="246"/>
      <c r="J36" s="182"/>
      <c r="K36" s="182"/>
      <c r="L36" s="182"/>
      <c r="M36" s="182"/>
      <c r="N36" s="163"/>
      <c r="O36" s="259" t="str">
        <f>IF($O$24="Y",IFERROR(E36*$E$6*$O$16*'Emissions Factors'!B21,""),"")</f>
        <v/>
      </c>
      <c r="P36" s="259">
        <f>IF($P$24="Y",IFERROR($E36*('Emissions Factors'!$R$41*$P$16)/10^6,""),"")</f>
        <v>3.2461349445546865</v>
      </c>
      <c r="Q36" s="259"/>
      <c r="R36" s="258"/>
      <c r="T36" s="180">
        <f t="shared" si="2"/>
        <v>3.2461349445546865</v>
      </c>
      <c r="U36" s="180">
        <f t="shared" si="3"/>
        <v>0</v>
      </c>
      <c r="V36" s="177"/>
      <c r="X36" s="180">
        <f t="shared" si="4"/>
        <v>3.2461349445546865</v>
      </c>
      <c r="Y36" s="180">
        <f t="shared" si="5"/>
        <v>0</v>
      </c>
    </row>
    <row r="37" spans="1:25" ht="15.6" x14ac:dyDescent="0.3">
      <c r="A37" s="152">
        <v>2025</v>
      </c>
      <c r="B37" s="178">
        <f t="shared" si="0"/>
        <v>0</v>
      </c>
      <c r="C37" s="182">
        <f t="shared" si="7"/>
        <v>0</v>
      </c>
      <c r="D37" s="183"/>
      <c r="E37" s="179">
        <f t="shared" si="6"/>
        <v>421.26103083835329</v>
      </c>
      <c r="F37" s="183">
        <f t="shared" si="8"/>
        <v>115.26723527996074</v>
      </c>
      <c r="G37" s="247">
        <f t="shared" si="1"/>
        <v>0.7</v>
      </c>
      <c r="H37" s="246"/>
      <c r="J37" s="182"/>
      <c r="K37" s="182"/>
      <c r="L37" s="182"/>
      <c r="M37" s="182"/>
      <c r="N37" s="163"/>
      <c r="O37" s="259" t="str">
        <f>IF($O$24="Y",IFERROR(E37*$E$6*$O$16*'Emissions Factors'!B22,""),"")</f>
        <v/>
      </c>
      <c r="P37" s="259">
        <f>IF($P$24="Y",IFERROR($E37*('Emissions Factors'!$R$41*$P$16)/10^6,""),"")</f>
        <v>4.4689473212621227</v>
      </c>
      <c r="Q37" s="259"/>
      <c r="R37" s="258"/>
      <c r="T37" s="180">
        <f t="shared" si="2"/>
        <v>4.4689473212621227</v>
      </c>
      <c r="U37" s="180">
        <f t="shared" si="3"/>
        <v>0</v>
      </c>
      <c r="V37" s="177"/>
      <c r="X37" s="180">
        <f t="shared" si="4"/>
        <v>4.4689473212621227</v>
      </c>
      <c r="Y37" s="180">
        <f t="shared" si="5"/>
        <v>0</v>
      </c>
    </row>
    <row r="38" spans="1:25" ht="15.6" x14ac:dyDescent="0.3">
      <c r="A38" s="152">
        <v>2026</v>
      </c>
      <c r="B38" s="178">
        <f t="shared" si="0"/>
        <v>0</v>
      </c>
      <c r="C38" s="182">
        <f t="shared" si="7"/>
        <v>0</v>
      </c>
      <c r="D38" s="183"/>
      <c r="E38" s="179">
        <f t="shared" si="6"/>
        <v>552.60580224950536</v>
      </c>
      <c r="F38" s="183">
        <f t="shared" si="8"/>
        <v>131.34477141115207</v>
      </c>
      <c r="G38" s="247">
        <f t="shared" si="1"/>
        <v>0.7</v>
      </c>
      <c r="H38" s="246"/>
      <c r="J38" s="182"/>
      <c r="K38" s="182"/>
      <c r="L38" s="182"/>
      <c r="M38" s="182"/>
      <c r="N38" s="163"/>
      <c r="O38" s="259" t="str">
        <f>IF($O$24="Y",IFERROR(E38*$E$6*$O$16*'Emissions Factors'!B23,""),"")</f>
        <v/>
      </c>
      <c r="P38" s="259">
        <f>IF($P$24="Y",IFERROR($E38*('Emissions Factors'!$R$41*$P$16)/10^6,""),"")</f>
        <v>5.8623182276370063</v>
      </c>
      <c r="Q38" s="259"/>
      <c r="R38" s="258"/>
      <c r="T38" s="180">
        <f t="shared" si="2"/>
        <v>5.8623182276370063</v>
      </c>
      <c r="U38" s="180">
        <f t="shared" si="3"/>
        <v>0</v>
      </c>
      <c r="V38" s="177"/>
      <c r="X38" s="180">
        <f t="shared" si="4"/>
        <v>5.8623182276370063</v>
      </c>
      <c r="Y38" s="180">
        <f t="shared" si="5"/>
        <v>0</v>
      </c>
    </row>
    <row r="39" spans="1:25" ht="15.6" x14ac:dyDescent="0.3">
      <c r="A39" s="152">
        <v>2027</v>
      </c>
      <c r="B39" s="178">
        <f t="shared" si="0"/>
        <v>0</v>
      </c>
      <c r="C39" s="182">
        <f t="shared" si="7"/>
        <v>0</v>
      </c>
      <c r="D39" s="183"/>
      <c r="E39" s="179">
        <f t="shared" si="6"/>
        <v>700.52682776473659</v>
      </c>
      <c r="F39" s="183">
        <f t="shared" si="8"/>
        <v>147.92102551523124</v>
      </c>
      <c r="G39" s="247">
        <f t="shared" si="1"/>
        <v>0.7</v>
      </c>
      <c r="H39" s="246"/>
      <c r="J39" s="182"/>
      <c r="K39" s="182"/>
      <c r="L39" s="182"/>
      <c r="M39" s="182"/>
      <c r="N39" s="163"/>
      <c r="O39" s="259" t="str">
        <f>IF($O$24="Y",IFERROR(E39*$E$6*$O$16*'Emissions Factors'!B24,""),"")</f>
        <v/>
      </c>
      <c r="P39" s="259">
        <f>IF($P$24="Y",IFERROR($E39*('Emissions Factors'!$R$41*$P$16)/10^6,""),"")</f>
        <v>7.4315383129106856</v>
      </c>
      <c r="Q39" s="259"/>
      <c r="R39" s="258"/>
      <c r="T39" s="180">
        <f t="shared" si="2"/>
        <v>7.4315383129106856</v>
      </c>
      <c r="U39" s="180">
        <f t="shared" si="3"/>
        <v>0</v>
      </c>
      <c r="V39" s="177"/>
      <c r="X39" s="180">
        <f t="shared" si="4"/>
        <v>7.4315383129106856</v>
      </c>
      <c r="Y39" s="180">
        <f t="shared" si="5"/>
        <v>0</v>
      </c>
    </row>
    <row r="40" spans="1:25" ht="15.6" x14ac:dyDescent="0.3">
      <c r="A40" s="152">
        <v>2028</v>
      </c>
      <c r="B40" s="178">
        <f t="shared" si="0"/>
        <v>0</v>
      </c>
      <c r="C40" s="182">
        <f t="shared" si="7"/>
        <v>0</v>
      </c>
      <c r="D40" s="183"/>
      <c r="E40" s="179">
        <f t="shared" si="6"/>
        <v>866.1280094847184</v>
      </c>
      <c r="F40" s="183">
        <f t="shared" si="8"/>
        <v>165.60118171998181</v>
      </c>
      <c r="G40" s="247">
        <f t="shared" si="1"/>
        <v>0.7</v>
      </c>
      <c r="H40" s="246"/>
      <c r="J40" s="182"/>
      <c r="K40" s="182"/>
      <c r="L40" s="182"/>
      <c r="M40" s="182"/>
      <c r="N40" s="163"/>
      <c r="O40" s="259" t="str">
        <f>IF($O$24="Y",IFERROR(E40*$E$6*$O$16*'Emissions Factors'!B25,""),"")</f>
        <v/>
      </c>
      <c r="P40" s="259">
        <f>IF($P$24="Y",IFERROR($E40*('Emissions Factors'!$R$41*$P$16)/10^6,""),"")</f>
        <v>9.1883183216680884</v>
      </c>
      <c r="Q40" s="259"/>
      <c r="R40" s="258"/>
      <c r="T40" s="180">
        <f t="shared" si="2"/>
        <v>9.1883183216680884</v>
      </c>
      <c r="U40" s="180">
        <f t="shared" si="3"/>
        <v>0</v>
      </c>
      <c r="V40" s="177"/>
      <c r="X40" s="180">
        <f t="shared" si="4"/>
        <v>9.1883183216680884</v>
      </c>
      <c r="Y40" s="180">
        <f t="shared" si="5"/>
        <v>0</v>
      </c>
    </row>
    <row r="41" spans="1:25" ht="15.6" x14ac:dyDescent="0.3">
      <c r="A41" s="152">
        <v>2029</v>
      </c>
      <c r="B41" s="178">
        <f t="shared" si="0"/>
        <v>0</v>
      </c>
      <c r="C41" s="182">
        <f t="shared" si="7"/>
        <v>0</v>
      </c>
      <c r="D41" s="183"/>
      <c r="E41" s="179">
        <f t="shared" si="6"/>
        <v>1050.7959727003224</v>
      </c>
      <c r="F41" s="183">
        <f t="shared" si="8"/>
        <v>184.667963215604</v>
      </c>
      <c r="G41" s="247">
        <f t="shared" si="1"/>
        <v>0.7</v>
      </c>
      <c r="H41" s="246"/>
      <c r="J41" s="182"/>
      <c r="K41" s="182"/>
      <c r="L41" s="182"/>
      <c r="M41" s="182"/>
      <c r="N41" s="163"/>
      <c r="O41" s="259" t="str">
        <f>IF($O$24="Y",IFERROR(E41*$E$6*$O$16*'Emissions Factors'!B26,""),"")</f>
        <v/>
      </c>
      <c r="P41" s="259">
        <f>IF($P$24="Y",IFERROR($E41*('Emissions Factors'!$R$41*$P$16)/10^6,""),"")</f>
        <v>11.147368267239672</v>
      </c>
      <c r="Q41" s="259"/>
      <c r="R41" s="258"/>
      <c r="T41" s="180">
        <f t="shared" si="2"/>
        <v>11.147368267239672</v>
      </c>
      <c r="U41" s="180">
        <f t="shared" si="3"/>
        <v>0</v>
      </c>
      <c r="V41" s="177"/>
      <c r="X41" s="180">
        <f t="shared" si="4"/>
        <v>11.147368267239672</v>
      </c>
      <c r="Y41" s="180">
        <f t="shared" si="5"/>
        <v>0</v>
      </c>
    </row>
    <row r="42" spans="1:25" ht="15.6" x14ac:dyDescent="0.3">
      <c r="A42" s="152">
        <v>2030</v>
      </c>
      <c r="B42" s="178">
        <f t="shared" si="0"/>
        <v>0</v>
      </c>
      <c r="C42" s="182">
        <f t="shared" si="7"/>
        <v>0</v>
      </c>
      <c r="D42" s="183"/>
      <c r="E42" s="179">
        <f t="shared" si="6"/>
        <v>1256.0808617553091</v>
      </c>
      <c r="F42" s="183">
        <f t="shared" si="8"/>
        <v>205.28488905498671</v>
      </c>
      <c r="G42" s="247">
        <f t="shared" si="1"/>
        <v>0.7</v>
      </c>
      <c r="H42" s="246"/>
      <c r="J42" s="182"/>
      <c r="K42" s="182"/>
      <c r="L42" s="182"/>
      <c r="M42" s="182"/>
      <c r="N42" s="163"/>
      <c r="O42" s="259" t="str">
        <f>IF($O$24="Y",IFERROR(E42*$E$6*$O$16*'Emissions Factors'!B27,""),"")</f>
        <v/>
      </c>
      <c r="P42" s="259">
        <f>IF($P$24="Y",IFERROR($E42*('Emissions Factors'!$R$41*$P$16)/10^6,""),"")</f>
        <v>13.325132854702556</v>
      </c>
      <c r="Q42" s="259"/>
      <c r="R42" s="258"/>
      <c r="T42" s="180">
        <f t="shared" si="2"/>
        <v>13.325132854702556</v>
      </c>
      <c r="U42" s="180">
        <f t="shared" si="3"/>
        <v>0</v>
      </c>
      <c r="V42" s="177"/>
      <c r="X42" s="180">
        <f t="shared" si="4"/>
        <v>13.325132854702556</v>
      </c>
      <c r="Y42" s="180">
        <f t="shared" si="5"/>
        <v>0</v>
      </c>
    </row>
    <row r="43" spans="1:25" ht="15.6" x14ac:dyDescent="0.3">
      <c r="A43" s="152">
        <v>2031</v>
      </c>
      <c r="B43" s="178">
        <f t="shared" si="0"/>
        <v>0</v>
      </c>
      <c r="C43" s="182">
        <f t="shared" si="7"/>
        <v>0</v>
      </c>
      <c r="D43" s="183"/>
      <c r="E43" s="179">
        <f t="shared" si="6"/>
        <v>1483.4004566176925</v>
      </c>
      <c r="F43" s="183">
        <f t="shared" si="8"/>
        <v>227.31959486238338</v>
      </c>
      <c r="G43" s="247">
        <f t="shared" si="1"/>
        <v>0.7</v>
      </c>
      <c r="H43" s="246"/>
      <c r="J43" s="182"/>
      <c r="K43" s="182"/>
      <c r="L43" s="182"/>
      <c r="M43" s="182"/>
      <c r="N43" s="163"/>
      <c r="O43" s="259" t="str">
        <f>IF($O$24="Y",IFERROR(E43*$E$6*$O$16*'Emissions Factors'!B28,""),"")</f>
        <v/>
      </c>
      <c r="P43" s="259">
        <f>IF($P$24="Y",IFERROR($E43*('Emissions Factors'!$R$41*$P$16)/10^6,""),"")</f>
        <v>15.736652601755669</v>
      </c>
      <c r="Q43" s="259"/>
      <c r="R43" s="258"/>
      <c r="T43" s="180">
        <f t="shared" si="2"/>
        <v>15.736652601755669</v>
      </c>
      <c r="U43" s="180">
        <f t="shared" si="3"/>
        <v>0</v>
      </c>
      <c r="V43" s="177"/>
      <c r="X43" s="180">
        <f t="shared" si="4"/>
        <v>15.736652601755669</v>
      </c>
      <c r="Y43" s="180">
        <f t="shared" si="5"/>
        <v>0</v>
      </c>
    </row>
    <row r="44" spans="1:25" ht="15.6" x14ac:dyDescent="0.3">
      <c r="A44" s="152">
        <v>2032</v>
      </c>
      <c r="B44" s="178">
        <f t="shared" si="0"/>
        <v>0</v>
      </c>
      <c r="C44" s="182">
        <f t="shared" si="7"/>
        <v>0</v>
      </c>
      <c r="D44" s="183"/>
      <c r="E44" s="179">
        <f t="shared" si="6"/>
        <v>1733.3462917750003</v>
      </c>
      <c r="F44" s="183">
        <f t="shared" si="8"/>
        <v>249.94583515730778</v>
      </c>
      <c r="G44" s="247">
        <f t="shared" si="1"/>
        <v>0.7</v>
      </c>
      <c r="H44" s="246"/>
      <c r="J44" s="182"/>
      <c r="K44" s="182"/>
      <c r="L44" s="182"/>
      <c r="M44" s="182"/>
      <c r="N44" s="163"/>
      <c r="O44" s="259" t="str">
        <f>IF($O$24="Y",IFERROR(E44*$E$6*$O$16*'Emissions Factors'!B29,""),"")</f>
        <v/>
      </c>
      <c r="P44" s="259">
        <f>IF($P$24="Y",IFERROR($E44*('Emissions Factors'!$R$41*$P$16)/10^6,""),"")</f>
        <v>18.388202801554446</v>
      </c>
      <c r="Q44" s="259"/>
      <c r="R44" s="258"/>
      <c r="T44" s="180">
        <f t="shared" si="2"/>
        <v>18.388202801554446</v>
      </c>
      <c r="U44" s="180">
        <f t="shared" si="3"/>
        <v>0</v>
      </c>
      <c r="V44" s="177"/>
      <c r="X44" s="180">
        <f t="shared" si="4"/>
        <v>18.388202801554446</v>
      </c>
      <c r="Y44" s="180">
        <f t="shared" si="5"/>
        <v>0</v>
      </c>
    </row>
    <row r="45" spans="1:25" ht="15.6" x14ac:dyDescent="0.3">
      <c r="A45" s="152">
        <v>2033</v>
      </c>
      <c r="B45" s="178">
        <f t="shared" si="0"/>
        <v>0</v>
      </c>
      <c r="C45" s="182">
        <f t="shared" si="7"/>
        <v>0</v>
      </c>
      <c r="D45" s="183"/>
      <c r="E45" s="179">
        <f t="shared" si="6"/>
        <v>2004.9842778963355</v>
      </c>
      <c r="F45" s="183">
        <f t="shared" si="8"/>
        <v>271.63798612133519</v>
      </c>
      <c r="G45" s="247">
        <f t="shared" si="1"/>
        <v>0.7</v>
      </c>
      <c r="H45" s="246"/>
      <c r="J45" s="182"/>
      <c r="K45" s="182"/>
      <c r="L45" s="182"/>
      <c r="M45" s="182"/>
      <c r="N45" s="163"/>
      <c r="O45" s="259" t="str">
        <f>IF($O$24="Y",IFERROR(E45*$E$6*$O$16*'Emissions Factors'!B30,""),"")</f>
        <v/>
      </c>
      <c r="P45" s="259">
        <f>IF($P$24="Y",IFERROR($E45*('Emissions Factors'!$R$41*$P$16)/10^6,""),"")</f>
        <v>21.269874168151354</v>
      </c>
      <c r="Q45" s="259"/>
      <c r="R45" s="258"/>
      <c r="T45" s="180">
        <f t="shared" si="2"/>
        <v>21.269874168151354</v>
      </c>
      <c r="U45" s="180">
        <f t="shared" si="3"/>
        <v>0</v>
      </c>
      <c r="V45" s="177"/>
      <c r="X45" s="180">
        <f t="shared" si="4"/>
        <v>21.269874168151354</v>
      </c>
      <c r="Y45" s="180">
        <f t="shared" si="5"/>
        <v>0</v>
      </c>
    </row>
    <row r="46" spans="1:25" ht="15.6" x14ac:dyDescent="0.3">
      <c r="A46" s="152">
        <v>2034</v>
      </c>
      <c r="B46" s="178">
        <f t="shared" si="0"/>
        <v>0</v>
      </c>
      <c r="C46" s="182">
        <f t="shared" si="7"/>
        <v>0</v>
      </c>
      <c r="D46" s="183"/>
      <c r="E46" s="179">
        <f t="shared" si="6"/>
        <v>2296.3987911208387</v>
      </c>
      <c r="F46" s="183">
        <f t="shared" si="8"/>
        <v>291.41451322450325</v>
      </c>
      <c r="G46" s="247">
        <f t="shared" si="1"/>
        <v>0.7</v>
      </c>
      <c r="H46" s="246"/>
      <c r="J46" s="182"/>
      <c r="K46" s="182"/>
      <c r="L46" s="182"/>
      <c r="M46" s="182"/>
      <c r="N46" s="163"/>
      <c r="O46" s="259" t="str">
        <f>IF($O$24="Y",IFERROR(E46*$E$6*$O$16*'Emissions Factors'!B31,""),"")</f>
        <v/>
      </c>
      <c r="P46" s="259">
        <f>IF($P$24="Y",IFERROR($E46*('Emissions Factors'!$R$41*$P$16)/10^6,""),"")</f>
        <v>24.361344807293559</v>
      </c>
      <c r="Q46" s="259"/>
      <c r="R46" s="258"/>
      <c r="T46" s="180">
        <f t="shared" si="2"/>
        <v>24.361344807293559</v>
      </c>
      <c r="U46" s="180">
        <f t="shared" si="3"/>
        <v>0</v>
      </c>
      <c r="V46" s="177"/>
      <c r="X46" s="180">
        <f t="shared" si="4"/>
        <v>24.361344807293559</v>
      </c>
      <c r="Y46" s="180">
        <f t="shared" si="5"/>
        <v>0</v>
      </c>
    </row>
    <row r="47" spans="1:25" ht="15.6" x14ac:dyDescent="0.3">
      <c r="A47" s="152">
        <v>2035</v>
      </c>
      <c r="B47" s="178">
        <f t="shared" si="0"/>
        <v>0</v>
      </c>
      <c r="C47" s="182">
        <f t="shared" si="7"/>
        <v>0</v>
      </c>
      <c r="D47" s="183"/>
      <c r="E47" s="179">
        <f t="shared" si="6"/>
        <v>2606.373155535357</v>
      </c>
      <c r="F47" s="183">
        <f t="shared" si="8"/>
        <v>309.97436441451828</v>
      </c>
      <c r="G47" s="247">
        <f t="shared" si="1"/>
        <v>0.7</v>
      </c>
      <c r="H47" s="246"/>
      <c r="J47" s="182"/>
      <c r="K47" s="182"/>
      <c r="L47" s="182"/>
      <c r="M47" s="182"/>
      <c r="N47" s="163"/>
      <c r="O47" s="259" t="str">
        <f>IF($O$24="Y",IFERROR(E47*$E$6*$O$16*'Emissions Factors'!B32,""),"")</f>
        <v/>
      </c>
      <c r="P47" s="259">
        <f>IF($P$24="Y",IFERROR($E47*('Emissions Factors'!$R$41*$P$16)/10^6,""),"")</f>
        <v>27.64970761349327</v>
      </c>
      <c r="Q47" s="259"/>
      <c r="R47" s="258"/>
      <c r="T47" s="180">
        <f t="shared" si="2"/>
        <v>27.64970761349327</v>
      </c>
      <c r="U47" s="180">
        <f t="shared" si="3"/>
        <v>0</v>
      </c>
      <c r="V47" s="177"/>
      <c r="X47" s="180">
        <f t="shared" si="4"/>
        <v>27.64970761349327</v>
      </c>
      <c r="Y47" s="180">
        <f t="shared" si="5"/>
        <v>0</v>
      </c>
    </row>
    <row r="48" spans="1:25" ht="15.6" x14ac:dyDescent="0.3">
      <c r="A48" s="152">
        <v>2036</v>
      </c>
      <c r="B48" s="178">
        <f t="shared" si="0"/>
        <v>0</v>
      </c>
      <c r="C48" s="182">
        <f t="shared" si="7"/>
        <v>0</v>
      </c>
      <c r="D48" s="183"/>
      <c r="E48" s="179">
        <f t="shared" si="6"/>
        <v>2935.0430724016664</v>
      </c>
      <c r="F48" s="183">
        <f t="shared" si="8"/>
        <v>328.66991686630945</v>
      </c>
      <c r="G48" s="247">
        <f t="shared" si="1"/>
        <v>0.7</v>
      </c>
      <c r="H48" s="246"/>
      <c r="J48" s="182"/>
      <c r="K48" s="182"/>
      <c r="L48" s="182"/>
      <c r="M48" s="182"/>
      <c r="N48" s="163"/>
      <c r="O48" s="259" t="str">
        <f>IF($O$24="Y",IFERROR(E48*$E$6*$O$16*'Emissions Factors'!B33,""),"")</f>
        <v/>
      </c>
      <c r="P48" s="259">
        <f>IF($P$24="Y",IFERROR($E48*('Emissions Factors'!$R$41*$P$16)/10^6,""),"")</f>
        <v>31.136402173481542</v>
      </c>
      <c r="Q48" s="259"/>
      <c r="R48" s="258"/>
      <c r="T48" s="180">
        <f t="shared" si="2"/>
        <v>31.136402173481542</v>
      </c>
      <c r="U48" s="180">
        <f t="shared" si="3"/>
        <v>0</v>
      </c>
      <c r="V48" s="177"/>
      <c r="X48" s="180">
        <f t="shared" si="4"/>
        <v>31.136402173481542</v>
      </c>
      <c r="Y48" s="180">
        <f t="shared" si="5"/>
        <v>0</v>
      </c>
    </row>
    <row r="49" spans="1:25" ht="15.6" x14ac:dyDescent="0.3">
      <c r="A49" s="152">
        <v>2037</v>
      </c>
      <c r="B49" s="178">
        <f t="shared" si="0"/>
        <v>0</v>
      </c>
      <c r="C49" s="182">
        <f t="shared" si="7"/>
        <v>0</v>
      </c>
      <c r="D49" s="183"/>
      <c r="E49" s="179">
        <f t="shared" si="6"/>
        <v>3284.2659348128582</v>
      </c>
      <c r="F49" s="183">
        <f t="shared" si="8"/>
        <v>349.22286241119173</v>
      </c>
      <c r="G49" s="247">
        <f t="shared" si="1"/>
        <v>0.7</v>
      </c>
      <c r="H49" s="246"/>
      <c r="J49" s="182"/>
      <c r="K49" s="182"/>
      <c r="L49" s="182"/>
      <c r="M49" s="182"/>
      <c r="N49" s="163"/>
      <c r="O49" s="259" t="str">
        <f>IF($O$24="Y",IFERROR(E49*$E$6*$O$16*'Emissions Factors'!B34,""),"")</f>
        <v/>
      </c>
      <c r="P49" s="259">
        <f>IF($P$24="Y",IFERROR($E49*('Emissions Factors'!$R$41*$P$16)/10^6,""),"")</f>
        <v>34.841132640456166</v>
      </c>
      <c r="Q49" s="259"/>
      <c r="R49" s="258"/>
      <c r="T49" s="180">
        <f t="shared" si="2"/>
        <v>34.841132640456166</v>
      </c>
      <c r="U49" s="180">
        <f t="shared" si="3"/>
        <v>0</v>
      </c>
      <c r="V49" s="177"/>
      <c r="X49" s="180">
        <f t="shared" si="4"/>
        <v>34.841132640456166</v>
      </c>
      <c r="Y49" s="180">
        <f t="shared" si="5"/>
        <v>0</v>
      </c>
    </row>
    <row r="50" spans="1:25" ht="15.6" x14ac:dyDescent="0.3">
      <c r="A50" s="152">
        <v>2038</v>
      </c>
      <c r="B50" s="178">
        <f t="shared" si="0"/>
        <v>0</v>
      </c>
      <c r="C50" s="182">
        <f t="shared" si="7"/>
        <v>0</v>
      </c>
      <c r="D50" s="183"/>
      <c r="E50" s="179">
        <f t="shared" si="6"/>
        <v>3656.7212326471285</v>
      </c>
      <c r="F50" s="183">
        <f t="shared" si="8"/>
        <v>372.45529783427037</v>
      </c>
      <c r="G50" s="247">
        <f t="shared" si="1"/>
        <v>0.7</v>
      </c>
      <c r="H50" s="246"/>
      <c r="J50" s="182"/>
      <c r="K50" s="182"/>
      <c r="L50" s="182"/>
      <c r="M50" s="182"/>
      <c r="N50" s="163"/>
      <c r="O50" s="259" t="str">
        <f>IF($O$24="Y",IFERROR(E50*$E$6*$O$16*'Emissions Factors'!B35,""),"")</f>
        <v/>
      </c>
      <c r="P50" s="259">
        <f>IF($P$24="Y",IFERROR($E50*('Emissions Factors'!$R$41*$P$16)/10^6,""),"")</f>
        <v>38.792324380726704</v>
      </c>
      <c r="Q50" s="259"/>
      <c r="R50" s="258"/>
      <c r="T50" s="180">
        <f t="shared" si="2"/>
        <v>38.792324380726704</v>
      </c>
      <c r="U50" s="180">
        <f t="shared" si="3"/>
        <v>0</v>
      </c>
      <c r="V50" s="177"/>
      <c r="X50" s="180">
        <f t="shared" si="4"/>
        <v>38.792324380726704</v>
      </c>
      <c r="Y50" s="180">
        <f t="shared" si="5"/>
        <v>0</v>
      </c>
    </row>
    <row r="51" spans="1:25" ht="15.6" x14ac:dyDescent="0.3">
      <c r="A51" s="152">
        <v>2039</v>
      </c>
      <c r="B51" s="178">
        <f t="shared" si="0"/>
        <v>0</v>
      </c>
      <c r="C51" s="182">
        <f t="shared" si="7"/>
        <v>0</v>
      </c>
      <c r="D51" s="183"/>
      <c r="E51" s="179">
        <f t="shared" si="6"/>
        <v>4056.2788646597282</v>
      </c>
      <c r="F51" s="183">
        <f t="shared" si="8"/>
        <v>399.5576320125997</v>
      </c>
      <c r="G51" s="247">
        <f t="shared" si="1"/>
        <v>0.7</v>
      </c>
      <c r="H51" s="246"/>
      <c r="J51" s="182"/>
      <c r="K51" s="182"/>
      <c r="L51" s="182"/>
      <c r="M51" s="182"/>
      <c r="N51" s="163"/>
      <c r="O51" s="259" t="str">
        <f>IF($O$24="Y",IFERROR(E51*$E$6*$O$16*'Emissions Factors'!B36,""),"")</f>
        <v/>
      </c>
      <c r="P51" s="259">
        <f>IF($P$24="Y",IFERROR($E51*('Emissions Factors'!$R$41*$P$16)/10^6,""),"")</f>
        <v>43.031031212258235</v>
      </c>
      <c r="Q51" s="259"/>
      <c r="R51" s="258"/>
      <c r="T51" s="180">
        <f t="shared" si="2"/>
        <v>43.031031212258235</v>
      </c>
      <c r="U51" s="180">
        <f t="shared" si="3"/>
        <v>0</v>
      </c>
      <c r="V51" s="177"/>
      <c r="X51" s="180">
        <f t="shared" si="4"/>
        <v>43.031031212258235</v>
      </c>
      <c r="Y51" s="180">
        <f t="shared" si="5"/>
        <v>0</v>
      </c>
    </row>
    <row r="52" spans="1:25" ht="15.6" x14ac:dyDescent="0.3">
      <c r="A52" s="152">
        <v>2040</v>
      </c>
      <c r="B52" s="178">
        <f t="shared" si="0"/>
        <v>0</v>
      </c>
      <c r="C52" s="182">
        <f t="shared" si="7"/>
        <v>0</v>
      </c>
      <c r="D52" s="183"/>
      <c r="E52" s="179">
        <f t="shared" si="6"/>
        <v>4486.7762854117864</v>
      </c>
      <c r="F52" s="183">
        <f t="shared" si="8"/>
        <v>430.49742075205813</v>
      </c>
      <c r="G52" s="247">
        <f t="shared" si="1"/>
        <v>0.69999999999999984</v>
      </c>
      <c r="H52" s="246"/>
      <c r="J52" s="182"/>
      <c r="K52" s="182"/>
      <c r="L52" s="182"/>
      <c r="M52" s="182"/>
      <c r="N52" s="163"/>
      <c r="O52" s="259" t="str">
        <f>IF($O$24="Y",IFERROR(E52*$E$6*$O$16*'Emissions Factors'!B37,""),"")</f>
        <v/>
      </c>
      <c r="P52" s="259">
        <f>IF($P$24="Y",IFERROR($E52*('Emissions Factors'!$R$41*$P$16)/10^6,""),"")</f>
        <v>47.597962768807527</v>
      </c>
      <c r="Q52" s="259"/>
      <c r="R52" s="258"/>
      <c r="T52" s="180">
        <f t="shared" si="2"/>
        <v>47.597962768807527</v>
      </c>
      <c r="U52" s="180">
        <f t="shared" si="3"/>
        <v>0</v>
      </c>
      <c r="V52" s="177"/>
      <c r="X52" s="180">
        <f t="shared" si="4"/>
        <v>47.597962768807527</v>
      </c>
      <c r="Y52" s="180">
        <f t="shared" si="5"/>
        <v>0</v>
      </c>
    </row>
    <row r="53" spans="1:25" ht="15.6" x14ac:dyDescent="0.3">
      <c r="A53" s="152">
        <v>2041</v>
      </c>
      <c r="B53" s="178">
        <f t="shared" si="0"/>
        <v>0</v>
      </c>
      <c r="C53" s="182">
        <f t="shared" si="7"/>
        <v>0</v>
      </c>
      <c r="D53" s="183"/>
      <c r="E53" s="179">
        <f t="shared" si="6"/>
        <v>4950.8108981899886</v>
      </c>
      <c r="F53" s="183">
        <f t="shared" si="8"/>
        <v>464.03461277820224</v>
      </c>
      <c r="G53" s="247">
        <f t="shared" si="1"/>
        <v>0.7</v>
      </c>
      <c r="H53" s="246"/>
      <c r="J53" s="182"/>
      <c r="K53" s="182"/>
      <c r="L53" s="182"/>
      <c r="M53" s="182"/>
      <c r="N53" s="163"/>
      <c r="O53" s="259" t="str">
        <f>IF($O$24="Y",IFERROR(E53*$E$6*$O$16*'Emissions Factors'!B38,""),"")</f>
        <v/>
      </c>
      <c r="P53" s="259">
        <f>IF($P$24="Y",IFERROR($E53*('Emissions Factors'!$R$41*$P$16)/10^6,""),"")</f>
        <v>52.520673601141304</v>
      </c>
      <c r="Q53" s="259"/>
      <c r="R53" s="258"/>
      <c r="T53" s="180">
        <f t="shared" si="2"/>
        <v>52.520673601141304</v>
      </c>
      <c r="U53" s="180">
        <f t="shared" si="3"/>
        <v>0</v>
      </c>
      <c r="V53" s="177"/>
      <c r="X53" s="180">
        <f t="shared" si="4"/>
        <v>52.520673601141304</v>
      </c>
      <c r="Y53" s="180">
        <f t="shared" si="5"/>
        <v>0</v>
      </c>
    </row>
    <row r="54" spans="1:25" ht="15.6" x14ac:dyDescent="0.3">
      <c r="A54" s="152">
        <v>2042</v>
      </c>
      <c r="B54" s="178">
        <f t="shared" si="0"/>
        <v>0</v>
      </c>
      <c r="C54" s="182">
        <f t="shared" si="7"/>
        <v>0</v>
      </c>
      <c r="D54" s="183"/>
      <c r="E54" s="179">
        <f t="shared" si="6"/>
        <v>5450.7273420222973</v>
      </c>
      <c r="F54" s="183">
        <f t="shared" si="8"/>
        <v>499.91644383230869</v>
      </c>
      <c r="G54" s="247">
        <f t="shared" si="1"/>
        <v>0.7</v>
      </c>
      <c r="H54" s="246"/>
      <c r="J54" s="182"/>
      <c r="K54" s="182"/>
      <c r="L54" s="182"/>
      <c r="M54" s="182"/>
      <c r="N54" s="163"/>
      <c r="O54" s="259" t="str">
        <f>IF($O$24="Y",IFERROR(E54*$E$6*$O$16*'Emissions Factors'!B39,""),"")</f>
        <v/>
      </c>
      <c r="P54" s="259">
        <f>IF($P$24="Y",IFERROR($E54*('Emissions Factors'!$R$41*$P$16)/10^6,""),"")</f>
        <v>57.824036810582236</v>
      </c>
      <c r="Q54" s="259"/>
      <c r="R54" s="258"/>
      <c r="T54" s="180">
        <f t="shared" si="2"/>
        <v>57.824036810582236</v>
      </c>
      <c r="U54" s="180">
        <f t="shared" si="3"/>
        <v>0</v>
      </c>
      <c r="V54" s="177"/>
      <c r="X54" s="180">
        <f t="shared" si="4"/>
        <v>57.824036810582236</v>
      </c>
      <c r="Y54" s="180">
        <f t="shared" si="5"/>
        <v>0</v>
      </c>
    </row>
    <row r="55" spans="1:25" ht="15.6" x14ac:dyDescent="0.3">
      <c r="A55" s="152">
        <v>2043</v>
      </c>
      <c r="B55" s="178">
        <f t="shared" si="0"/>
        <v>0</v>
      </c>
      <c r="C55" s="182">
        <f t="shared" si="7"/>
        <v>0</v>
      </c>
      <c r="D55" s="183"/>
      <c r="E55" s="179">
        <f t="shared" si="6"/>
        <v>5990.3322537426602</v>
      </c>
      <c r="F55" s="183">
        <f t="shared" si="8"/>
        <v>539.60491172036291</v>
      </c>
      <c r="G55" s="247">
        <f t="shared" si="1"/>
        <v>0.7</v>
      </c>
      <c r="H55" s="246"/>
      <c r="J55" s="182"/>
      <c r="K55" s="182"/>
      <c r="L55" s="182"/>
      <c r="M55" s="182"/>
      <c r="N55" s="163"/>
      <c r="O55" s="259" t="str">
        <f>IF($O$24="Y",IFERROR(E55*$E$6*$O$16*'Emissions Factors'!B40,""),"")</f>
        <v/>
      </c>
      <c r="P55" s="259">
        <f>IF($P$24="Y",IFERROR($E55*('Emissions Factors'!$R$41*$P$16)/10^6,""),"")</f>
        <v>63.548435101052</v>
      </c>
      <c r="Q55" s="259"/>
      <c r="R55" s="258"/>
      <c r="T55" s="180">
        <f t="shared" si="2"/>
        <v>63.548435101052</v>
      </c>
      <c r="U55" s="180">
        <f t="shared" si="3"/>
        <v>0</v>
      </c>
      <c r="V55" s="177"/>
      <c r="X55" s="180">
        <f t="shared" si="4"/>
        <v>63.548435101052</v>
      </c>
      <c r="Y55" s="180">
        <f t="shared" si="5"/>
        <v>0</v>
      </c>
    </row>
    <row r="56" spans="1:25" ht="15.6" x14ac:dyDescent="0.3">
      <c r="A56" s="152">
        <v>2044</v>
      </c>
      <c r="B56" s="178">
        <f t="shared" si="0"/>
        <v>0</v>
      </c>
      <c r="C56" s="182">
        <f t="shared" si="7"/>
        <v>0</v>
      </c>
      <c r="D56" s="183"/>
      <c r="E56" s="179">
        <f t="shared" si="6"/>
        <v>6573.9580174501052</v>
      </c>
      <c r="F56" s="183">
        <f t="shared" si="8"/>
        <v>583.625763707445</v>
      </c>
      <c r="G56" s="247">
        <f t="shared" si="1"/>
        <v>0.7</v>
      </c>
      <c r="H56" s="246"/>
      <c r="J56" s="182"/>
      <c r="K56" s="182"/>
      <c r="L56" s="182"/>
      <c r="M56" s="182"/>
      <c r="N56" s="163"/>
      <c r="O56" s="259" t="str">
        <f>IF($O$24="Y",IFERROR(E56*$E$6*$O$16*'Emissions Factors'!B41,""),"")</f>
        <v/>
      </c>
      <c r="P56" s="259">
        <f>IF($P$24="Y",IFERROR($E56*('Emissions Factors'!$R$41*$P$16)/10^6,""),"")</f>
        <v>69.739828565929045</v>
      </c>
      <c r="Q56" s="259"/>
      <c r="R56" s="258"/>
      <c r="T56" s="180">
        <f t="shared" si="2"/>
        <v>69.739828565929045</v>
      </c>
      <c r="U56" s="180">
        <f t="shared" si="3"/>
        <v>0</v>
      </c>
      <c r="V56" s="177"/>
      <c r="X56" s="180">
        <f t="shared" si="4"/>
        <v>69.739828565929045</v>
      </c>
      <c r="Y56" s="180">
        <f t="shared" si="5"/>
        <v>0</v>
      </c>
    </row>
    <row r="57" spans="1:25" ht="15.6" x14ac:dyDescent="0.3">
      <c r="A57" s="152">
        <v>2045</v>
      </c>
      <c r="B57" s="178">
        <f t="shared" si="0"/>
        <v>0</v>
      </c>
      <c r="C57" s="182">
        <f t="shared" si="7"/>
        <v>0</v>
      </c>
      <c r="D57" s="183"/>
      <c r="E57" s="179">
        <f t="shared" si="6"/>
        <v>7206.095475882792</v>
      </c>
      <c r="F57" s="183">
        <f t="shared" si="8"/>
        <v>632.1374584326868</v>
      </c>
      <c r="G57" s="247">
        <f t="shared" si="1"/>
        <v>0.7</v>
      </c>
      <c r="H57" s="246"/>
      <c r="J57" s="182"/>
      <c r="K57" s="182"/>
      <c r="L57" s="182"/>
      <c r="M57" s="182"/>
      <c r="N57" s="163"/>
      <c r="O57" s="259" t="str">
        <f>IF($O$24="Y",IFERROR(E57*$E$6*$O$16*'Emissions Factors'!B42,""),"")</f>
        <v/>
      </c>
      <c r="P57" s="259">
        <f>IF($P$24="Y",IFERROR($E57*('Emissions Factors'!$R$41*$P$16)/10^6,""),"")</f>
        <v>76.445858306943009</v>
      </c>
      <c r="Q57" s="259"/>
      <c r="R57" s="258"/>
      <c r="T57" s="180">
        <f t="shared" si="2"/>
        <v>76.445858306943009</v>
      </c>
      <c r="U57" s="180">
        <f t="shared" si="3"/>
        <v>0</v>
      </c>
      <c r="V57" s="177"/>
      <c r="X57" s="180">
        <f t="shared" si="4"/>
        <v>76.445858306943009</v>
      </c>
      <c r="Y57" s="180">
        <f t="shared" si="5"/>
        <v>0</v>
      </c>
    </row>
    <row r="58" spans="1:25" ht="15.6" x14ac:dyDescent="0.3">
      <c r="A58" s="152">
        <v>2046</v>
      </c>
      <c r="B58" s="178">
        <f t="shared" si="0"/>
        <v>0</v>
      </c>
      <c r="C58" s="182">
        <f t="shared" si="7"/>
        <v>0</v>
      </c>
      <c r="D58" s="183"/>
      <c r="E58" s="179">
        <f t="shared" si="6"/>
        <v>7890.9392861299621</v>
      </c>
      <c r="F58" s="183">
        <f t="shared" si="8"/>
        <v>684.84381024717004</v>
      </c>
      <c r="G58" s="247">
        <f t="shared" si="1"/>
        <v>0.7</v>
      </c>
      <c r="H58" s="246"/>
      <c r="J58" s="182"/>
      <c r="K58" s="182"/>
      <c r="L58" s="182"/>
      <c r="M58" s="182"/>
      <c r="N58" s="163"/>
      <c r="O58" s="259" t="str">
        <f>IF($O$24="Y",IFERROR(E58*$E$6*$O$16*'Emissions Factors'!B43,""),"")</f>
        <v/>
      </c>
      <c r="P58" s="259">
        <f>IF($P$24="Y",IFERROR($E58*('Emissions Factors'!$R$41*$P$16)/10^6,""),"")</f>
        <v>83.711023340595091</v>
      </c>
      <c r="Q58" s="259"/>
      <c r="R58" s="258"/>
      <c r="T58" s="180">
        <f t="shared" si="2"/>
        <v>83.711023340595091</v>
      </c>
      <c r="U58" s="180">
        <f t="shared" si="3"/>
        <v>0</v>
      </c>
      <c r="V58" s="177"/>
      <c r="X58" s="180">
        <f t="shared" si="4"/>
        <v>83.711023340595091</v>
      </c>
      <c r="Y58" s="180">
        <f t="shared" si="5"/>
        <v>0</v>
      </c>
    </row>
    <row r="59" spans="1:25" ht="15.6" x14ac:dyDescent="0.3">
      <c r="A59" s="152">
        <v>2047</v>
      </c>
      <c r="B59" s="178">
        <f t="shared" si="0"/>
        <v>0</v>
      </c>
      <c r="C59" s="182">
        <f t="shared" si="7"/>
        <v>0</v>
      </c>
      <c r="D59" s="183"/>
      <c r="E59" s="179">
        <f t="shared" si="6"/>
        <v>8632.8192471257717</v>
      </c>
      <c r="F59" s="183">
        <f t="shared" si="8"/>
        <v>741.8799609958096</v>
      </c>
      <c r="G59" s="247">
        <f t="shared" si="1"/>
        <v>0.69999999999999984</v>
      </c>
      <c r="H59" s="246"/>
      <c r="J59" s="182"/>
      <c r="K59" s="182"/>
      <c r="L59" s="182"/>
      <c r="M59" s="182"/>
      <c r="N59" s="163"/>
      <c r="O59" s="259" t="str">
        <f>IF($O$24="Y",IFERROR(E59*$E$6*$O$16*'Emissions Factors'!B44,""),"")</f>
        <v/>
      </c>
      <c r="P59" s="259">
        <f>IF($P$24="Y",IFERROR($E59*('Emissions Factors'!$R$41*$P$16)/10^6,""),"")</f>
        <v>91.581256335544182</v>
      </c>
      <c r="Q59" s="259"/>
      <c r="R59" s="258"/>
      <c r="T59" s="180">
        <f t="shared" si="2"/>
        <v>91.581256335544182</v>
      </c>
      <c r="U59" s="180">
        <f t="shared" si="3"/>
        <v>0</v>
      </c>
      <c r="V59" s="177"/>
      <c r="X59" s="180">
        <f t="shared" si="4"/>
        <v>91.581256335544182</v>
      </c>
      <c r="Y59" s="180">
        <f t="shared" si="5"/>
        <v>0</v>
      </c>
    </row>
    <row r="60" spans="1:25" ht="15.6" x14ac:dyDescent="0.3">
      <c r="A60" s="152">
        <v>2048</v>
      </c>
      <c r="B60" s="178">
        <f t="shared" si="0"/>
        <v>0</v>
      </c>
      <c r="C60" s="182">
        <f t="shared" si="7"/>
        <v>0</v>
      </c>
      <c r="D60" s="183"/>
      <c r="E60" s="179">
        <f t="shared" si="6"/>
        <v>9436.8321934748437</v>
      </c>
      <c r="F60" s="183">
        <f t="shared" si="8"/>
        <v>804.01294634907208</v>
      </c>
      <c r="G60" s="247">
        <f t="shared" si="1"/>
        <v>0.7</v>
      </c>
      <c r="H60" s="246"/>
      <c r="J60" s="182"/>
      <c r="K60" s="182"/>
      <c r="L60" s="182"/>
      <c r="M60" s="182"/>
      <c r="N60" s="163"/>
      <c r="O60" s="259" t="str">
        <f>IF($O$24="Y",IFERROR(E60*$E$6*$O$16*'Emissions Factors'!B45,""),"")</f>
        <v/>
      </c>
      <c r="P60" s="259">
        <f>IF($P$24="Y",IFERROR($E60*('Emissions Factors'!$R$41*$P$16)/10^6,""),"")</f>
        <v>100.11062705776865</v>
      </c>
      <c r="Q60" s="259"/>
      <c r="R60" s="258"/>
      <c r="T60" s="180">
        <f t="shared" si="2"/>
        <v>100.11062705776865</v>
      </c>
      <c r="U60" s="180">
        <f t="shared" si="3"/>
        <v>0</v>
      </c>
      <c r="V60" s="177"/>
      <c r="X60" s="180">
        <f t="shared" si="4"/>
        <v>100.11062705776865</v>
      </c>
      <c r="Y60" s="180">
        <f t="shared" si="5"/>
        <v>0</v>
      </c>
    </row>
    <row r="61" spans="1:25" ht="15.6" x14ac:dyDescent="0.3">
      <c r="A61" s="152">
        <v>2049</v>
      </c>
      <c r="B61" s="178">
        <f t="shared" si="0"/>
        <v>0</v>
      </c>
      <c r="C61" s="182">
        <f t="shared" si="7"/>
        <v>0</v>
      </c>
      <c r="D61" s="183"/>
      <c r="E61" s="179">
        <f t="shared" si="6"/>
        <v>10308.479608541124</v>
      </c>
      <c r="F61" s="183">
        <f t="shared" si="8"/>
        <v>871.64741506627979</v>
      </c>
      <c r="G61" s="247">
        <f t="shared" si="1"/>
        <v>0.7</v>
      </c>
      <c r="H61" s="246"/>
      <c r="J61" s="182"/>
      <c r="K61" s="182"/>
      <c r="L61" s="182"/>
      <c r="M61" s="182"/>
      <c r="N61" s="163"/>
      <c r="O61" s="259" t="str">
        <f>IF($O$24="Y",IFERROR(E61*$E$6*$O$16*'Emissions Factors'!B46,""),"")</f>
        <v/>
      </c>
      <c r="P61" s="259">
        <f>IF($P$24="Y",IFERROR($E61*('Emissions Factors'!$R$41*$P$16)/10^6,""),"")</f>
        <v>109.35749798929859</v>
      </c>
      <c r="Q61" s="259"/>
      <c r="R61" s="258"/>
      <c r="T61" s="180">
        <f t="shared" si="2"/>
        <v>109.35749798929859</v>
      </c>
      <c r="U61" s="180">
        <f t="shared" si="3"/>
        <v>0</v>
      </c>
      <c r="V61" s="177"/>
      <c r="X61" s="180">
        <f t="shared" si="4"/>
        <v>109.35749798929859</v>
      </c>
      <c r="Y61" s="180">
        <f t="shared" si="5"/>
        <v>0</v>
      </c>
    </row>
    <row r="62" spans="1:25" ht="15.6" x14ac:dyDescent="0.3">
      <c r="A62" s="152">
        <v>2050</v>
      </c>
      <c r="B62" s="178">
        <f t="shared" si="0"/>
        <v>0</v>
      </c>
      <c r="C62" s="182">
        <f t="shared" si="7"/>
        <v>0</v>
      </c>
      <c r="D62" s="183"/>
      <c r="E62" s="179">
        <f t="shared" si="6"/>
        <v>11253.390781222392</v>
      </c>
      <c r="F62" s="183">
        <f t="shared" si="8"/>
        <v>944.911172681268</v>
      </c>
      <c r="G62" s="247">
        <f t="shared" si="1"/>
        <v>0.7</v>
      </c>
      <c r="H62" s="246"/>
      <c r="J62" s="182"/>
      <c r="K62" s="182"/>
      <c r="L62" s="182"/>
      <c r="M62" s="182"/>
      <c r="N62" s="163"/>
      <c r="O62" s="259" t="str">
        <f>IF($O$24="Y",IFERROR(E62*$E$6*$O$16*'Emissions Factors'!B47,""),"")</f>
        <v/>
      </c>
      <c r="P62" s="259">
        <f>IF($P$24="Y",IFERROR($E62*('Emissions Factors'!$R$41*$P$16)/10^6,""),"")</f>
        <v>119.38158743707133</v>
      </c>
      <c r="Q62" s="259"/>
      <c r="R62" s="258"/>
      <c r="T62" s="180">
        <f t="shared" si="2"/>
        <v>119.38158743707133</v>
      </c>
      <c r="U62" s="180">
        <f t="shared" si="3"/>
        <v>0</v>
      </c>
      <c r="V62" s="177"/>
      <c r="X62" s="180">
        <f t="shared" si="4"/>
        <v>119.38158743707133</v>
      </c>
      <c r="Y62" s="180">
        <f t="shared" si="5"/>
        <v>0</v>
      </c>
    </row>
    <row r="63" spans="1:25" ht="15.6" x14ac:dyDescent="0.3">
      <c r="A63" s="152">
        <v>2051</v>
      </c>
      <c r="B63" s="178">
        <f t="shared" si="0"/>
        <v>0</v>
      </c>
      <c r="C63" s="182">
        <f t="shared" si="7"/>
        <v>0</v>
      </c>
      <c r="D63" s="183"/>
      <c r="E63" s="179">
        <f t="shared" si="6"/>
        <v>12277.186599089047</v>
      </c>
      <c r="F63" s="183">
        <f t="shared" si="8"/>
        <v>1023.7958178666559</v>
      </c>
      <c r="G63" s="247">
        <f t="shared" si="1"/>
        <v>0.7</v>
      </c>
      <c r="H63" s="246"/>
      <c r="J63" s="182"/>
      <c r="K63" s="182"/>
      <c r="L63" s="182"/>
      <c r="M63" s="182"/>
      <c r="N63" s="163"/>
      <c r="O63" s="259" t="str">
        <f>IF($O$24="Y",IFERROR(E63*$E$6*$O$16*'Emissions Factors'!B48,""),"")</f>
        <v/>
      </c>
      <c r="P63" s="259">
        <f>IF($P$24="Y",IFERROR($E63*('Emissions Factors'!$R$41*$P$16)/10^6,""),"")</f>
        <v>130.24252458254918</v>
      </c>
      <c r="Q63" s="259"/>
      <c r="R63" s="258"/>
      <c r="T63" s="180" t="str">
        <f t="shared" si="2"/>
        <v/>
      </c>
      <c r="U63" s="180" t="str">
        <f t="shared" si="3"/>
        <v/>
      </c>
      <c r="V63" s="177"/>
      <c r="X63" s="180">
        <f t="shared" si="4"/>
        <v>130.24252458254918</v>
      </c>
      <c r="Y63" s="180">
        <f t="shared" si="5"/>
        <v>0</v>
      </c>
    </row>
    <row r="64" spans="1:25" ht="15.6" x14ac:dyDescent="0.3">
      <c r="A64" s="152">
        <v>2052</v>
      </c>
      <c r="B64" s="178">
        <f t="shared" si="0"/>
        <v>0</v>
      </c>
      <c r="C64" s="182">
        <f t="shared" si="7"/>
        <v>0</v>
      </c>
      <c r="D64" s="183"/>
      <c r="E64" s="179">
        <f t="shared" si="6"/>
        <v>13385.412630305655</v>
      </c>
      <c r="F64" s="183">
        <f t="shared" si="8"/>
        <v>1108.2260312166072</v>
      </c>
      <c r="G64" s="247">
        <f t="shared" si="1"/>
        <v>0.7</v>
      </c>
      <c r="H64" s="246"/>
      <c r="J64" s="182"/>
      <c r="K64" s="182"/>
      <c r="L64" s="182"/>
      <c r="M64" s="182"/>
      <c r="N64" s="163"/>
      <c r="O64" s="259" t="str">
        <f>IF($O$24="Y",IFERROR(E64*$E$6*$O$16*'Emissions Factors'!B49,""),"")</f>
        <v/>
      </c>
      <c r="P64" s="259">
        <f>IF($P$24="Y",IFERROR($E64*('Emissions Factors'!$R$41*$P$16)/10^6,""),"")</f>
        <v>141.99913958133561</v>
      </c>
      <c r="Q64" s="259"/>
      <c r="R64" s="258"/>
      <c r="T64" s="180" t="str">
        <f t="shared" si="2"/>
        <v/>
      </c>
      <c r="U64" s="180" t="str">
        <f t="shared" si="3"/>
        <v/>
      </c>
      <c r="V64" s="177"/>
      <c r="X64" s="180">
        <f t="shared" si="4"/>
        <v>141.99913958133561</v>
      </c>
      <c r="Y64" s="180">
        <f t="shared" si="5"/>
        <v>0</v>
      </c>
    </row>
    <row r="65" spans="1:25" ht="15.6" x14ac:dyDescent="0.3">
      <c r="A65" s="152">
        <v>2053</v>
      </c>
      <c r="B65" s="178">
        <f t="shared" si="0"/>
        <v>0</v>
      </c>
      <c r="C65" s="182">
        <f t="shared" si="7"/>
        <v>0</v>
      </c>
      <c r="D65" s="183"/>
      <c r="E65" s="179">
        <f t="shared" si="6"/>
        <v>14583.711493620161</v>
      </c>
      <c r="F65" s="183">
        <f t="shared" si="8"/>
        <v>1198.2988633145069</v>
      </c>
      <c r="G65" s="247">
        <f t="shared" si="1"/>
        <v>0.7</v>
      </c>
      <c r="H65" s="246"/>
      <c r="J65" s="182"/>
      <c r="K65" s="182"/>
      <c r="L65" s="182"/>
      <c r="M65" s="182"/>
      <c r="N65" s="163"/>
      <c r="O65" s="259" t="str">
        <f>IF($O$24="Y",IFERROR(E65*$E$6*$O$16*'Emissions Factors'!B50,""),"")</f>
        <v/>
      </c>
      <c r="P65" s="259">
        <f>IF($P$24="Y",IFERROR($E65*('Emissions Factors'!$R$41*$P$16)/10^6,""),"")</f>
        <v>154.71129215007318</v>
      </c>
      <c r="Q65" s="259"/>
      <c r="R65" s="258"/>
      <c r="T65" s="180" t="str">
        <f t="shared" si="2"/>
        <v/>
      </c>
      <c r="U65" s="180" t="str">
        <f t="shared" si="3"/>
        <v/>
      </c>
      <c r="V65" s="177"/>
      <c r="X65" s="180">
        <f t="shared" si="4"/>
        <v>154.71129215007318</v>
      </c>
      <c r="Y65" s="180">
        <f t="shared" si="5"/>
        <v>0</v>
      </c>
    </row>
    <row r="66" spans="1:25" ht="15.6" x14ac:dyDescent="0.3">
      <c r="A66" s="152">
        <v>2054</v>
      </c>
      <c r="B66" s="178">
        <f t="shared" si="0"/>
        <v>0</v>
      </c>
      <c r="C66" s="182">
        <f t="shared" si="7"/>
        <v>0</v>
      </c>
      <c r="D66" s="183"/>
      <c r="E66" s="179">
        <f t="shared" si="6"/>
        <v>15877.710451516741</v>
      </c>
      <c r="F66" s="183">
        <f t="shared" si="8"/>
        <v>1293.9989578965797</v>
      </c>
      <c r="G66" s="247">
        <f t="shared" si="1"/>
        <v>0.7</v>
      </c>
      <c r="H66" s="246"/>
      <c r="J66" s="182"/>
      <c r="K66" s="182"/>
      <c r="L66" s="182"/>
      <c r="M66" s="182"/>
      <c r="N66" s="163"/>
      <c r="O66" s="259" t="str">
        <f>IF($O$24="Y",IFERROR(E66*$E$6*$O$16*'Emissions Factors'!B51,""),"")</f>
        <v/>
      </c>
      <c r="P66" s="259">
        <f>IF($P$24="Y",IFERROR($E66*('Emissions Factors'!$R$41*$P$16)/10^6,""),"")</f>
        <v>168.43867909849206</v>
      </c>
      <c r="Q66" s="259"/>
      <c r="R66" s="258"/>
      <c r="T66" s="180" t="str">
        <f t="shared" si="2"/>
        <v/>
      </c>
      <c r="U66" s="180" t="str">
        <f t="shared" si="3"/>
        <v/>
      </c>
      <c r="V66" s="177"/>
      <c r="X66" s="180">
        <f t="shared" si="4"/>
        <v>168.43867909849206</v>
      </c>
      <c r="Y66" s="180">
        <f t="shared" si="5"/>
        <v>0</v>
      </c>
    </row>
    <row r="67" spans="1:25" ht="15.6" x14ac:dyDescent="0.3">
      <c r="A67" s="152">
        <v>2055</v>
      </c>
      <c r="B67" s="178">
        <f t="shared" si="0"/>
        <v>0</v>
      </c>
      <c r="C67" s="182">
        <f t="shared" si="7"/>
        <v>0</v>
      </c>
      <c r="D67" s="183"/>
      <c r="E67" s="179">
        <f t="shared" si="6"/>
        <v>17273.217810612143</v>
      </c>
      <c r="F67" s="183">
        <f t="shared" si="8"/>
        <v>1395.5073590954016</v>
      </c>
      <c r="G67" s="247">
        <f t="shared" si="1"/>
        <v>0.7</v>
      </c>
      <c r="H67" s="246"/>
      <c r="J67" s="182"/>
      <c r="K67" s="182"/>
      <c r="L67" s="182"/>
      <c r="M67" s="182"/>
      <c r="N67" s="163"/>
      <c r="O67" s="259" t="str">
        <f>IF($O$24="Y",IFERROR(E67*$E$6*$O$16*'Emissions Factors'!B52,""),"")</f>
        <v/>
      </c>
      <c r="P67" s="259">
        <f>IF($P$24="Y",IFERROR($E67*('Emissions Factors'!$R$41*$P$16)/10^6,""),"")</f>
        <v>183.24291784286345</v>
      </c>
      <c r="Q67" s="259"/>
      <c r="R67" s="258"/>
      <c r="T67" s="180" t="str">
        <f t="shared" si="2"/>
        <v/>
      </c>
      <c r="U67" s="180" t="str">
        <f t="shared" si="3"/>
        <v/>
      </c>
      <c r="V67" s="177"/>
      <c r="X67" s="180">
        <f t="shared" si="4"/>
        <v>183.24291784286345</v>
      </c>
      <c r="Y67" s="180">
        <f t="shared" si="5"/>
        <v>0</v>
      </c>
    </row>
    <row r="68" spans="1:25" ht="15.6" x14ac:dyDescent="0.3">
      <c r="A68" s="152">
        <v>2056</v>
      </c>
      <c r="B68" s="178">
        <f t="shared" si="0"/>
        <v>0</v>
      </c>
      <c r="C68" s="182">
        <f t="shared" si="7"/>
        <v>0</v>
      </c>
      <c r="D68" s="183"/>
      <c r="E68" s="179">
        <f t="shared" si="6"/>
        <v>18776.682090439834</v>
      </c>
      <c r="F68" s="183">
        <f t="shared" si="8"/>
        <v>1503.4642798276909</v>
      </c>
      <c r="G68" s="247">
        <f t="shared" si="1"/>
        <v>0.7</v>
      </c>
      <c r="H68" s="246"/>
      <c r="J68" s="182"/>
      <c r="K68" s="182"/>
      <c r="L68" s="182"/>
      <c r="M68" s="182"/>
      <c r="N68" s="163"/>
      <c r="O68" s="259" t="str">
        <f>IF($O$24="Y",IFERROR(E68*$E$6*$O$16*'Emissions Factors'!B53,""),"")</f>
        <v/>
      </c>
      <c r="P68" s="259">
        <f>IF($P$24="Y",IFERROR($E68*('Emissions Factors'!$R$41*$P$16)/10^6,""),"")</f>
        <v>199.1924174976925</v>
      </c>
      <c r="Q68" s="259"/>
      <c r="R68" s="258"/>
      <c r="T68" s="180" t="str">
        <f t="shared" si="2"/>
        <v/>
      </c>
      <c r="U68" s="180" t="str">
        <f t="shared" si="3"/>
        <v/>
      </c>
      <c r="V68" s="177"/>
      <c r="X68" s="180">
        <f t="shared" si="4"/>
        <v>199.1924174976925</v>
      </c>
      <c r="Y68" s="180">
        <f t="shared" si="5"/>
        <v>0</v>
      </c>
    </row>
    <row r="69" spans="1:25" ht="15.6" x14ac:dyDescent="0.3">
      <c r="A69" s="152">
        <v>2057</v>
      </c>
      <c r="B69" s="178">
        <f t="shared" si="0"/>
        <v>0</v>
      </c>
      <c r="C69" s="182">
        <f t="shared" si="7"/>
        <v>0</v>
      </c>
      <c r="D69" s="183"/>
      <c r="E69" s="179">
        <f t="shared" si="6"/>
        <v>20394.530434649019</v>
      </c>
      <c r="F69" s="183">
        <f t="shared" si="8"/>
        <v>1617.8483442091856</v>
      </c>
      <c r="G69" s="247">
        <f t="shared" si="1"/>
        <v>0.7</v>
      </c>
      <c r="H69" s="246"/>
      <c r="J69" s="182"/>
      <c r="K69" s="182"/>
      <c r="L69" s="182"/>
      <c r="M69" s="182"/>
      <c r="N69" s="163"/>
      <c r="O69" s="259" t="str">
        <f>IF($O$24="Y",IFERROR(E69*$E$6*$O$16*'Emissions Factors'!B54,""),"")</f>
        <v/>
      </c>
      <c r="P69" s="259">
        <f>IF($P$24="Y",IFERROR($E69*('Emissions Factors'!$R$41*$P$16)/10^6,""),"")</f>
        <v>216.35536041143268</v>
      </c>
      <c r="Q69" s="259"/>
      <c r="R69" s="258"/>
      <c r="T69" s="180" t="str">
        <f t="shared" si="2"/>
        <v/>
      </c>
      <c r="U69" s="180" t="str">
        <f t="shared" si="3"/>
        <v/>
      </c>
      <c r="V69" s="177"/>
      <c r="X69" s="180">
        <f t="shared" si="4"/>
        <v>216.35536041143268</v>
      </c>
      <c r="Y69" s="180">
        <f t="shared" si="5"/>
        <v>0</v>
      </c>
    </row>
    <row r="70" spans="1:25" ht="15.6" x14ac:dyDescent="0.3">
      <c r="A70" s="152">
        <v>2058</v>
      </c>
      <c r="B70" s="178">
        <f t="shared" si="0"/>
        <v>0</v>
      </c>
      <c r="C70" s="182">
        <f t="shared" si="7"/>
        <v>0</v>
      </c>
      <c r="D70" s="183"/>
      <c r="E70" s="179">
        <f t="shared" si="6"/>
        <v>22132.461927207056</v>
      </c>
      <c r="F70" s="183">
        <f t="shared" si="8"/>
        <v>1737.9314925580366</v>
      </c>
      <c r="G70" s="247">
        <f t="shared" si="1"/>
        <v>0.7</v>
      </c>
      <c r="H70" s="246"/>
      <c r="J70" s="182"/>
      <c r="K70" s="182"/>
      <c r="L70" s="182"/>
      <c r="M70" s="182"/>
      <c r="N70" s="163"/>
      <c r="O70" s="259" t="str">
        <f>IF($O$24="Y",IFERROR(E70*$E$6*$O$16*'Emissions Factors'!B55,""),"")</f>
        <v/>
      </c>
      <c r="P70" s="259">
        <f>IF($P$24="Y",IFERROR($E70*('Emissions Factors'!$R$41*$P$16)/10^6,""),"")</f>
        <v>234.79220531196316</v>
      </c>
      <c r="Q70" s="259"/>
      <c r="R70" s="258"/>
      <c r="T70" s="180" t="str">
        <f t="shared" si="2"/>
        <v/>
      </c>
      <c r="U70" s="180" t="str">
        <f t="shared" si="3"/>
        <v/>
      </c>
      <c r="V70" s="177"/>
      <c r="X70" s="180">
        <f t="shared" si="4"/>
        <v>234.79220531196316</v>
      </c>
      <c r="Y70" s="180">
        <f t="shared" si="5"/>
        <v>0</v>
      </c>
    </row>
    <row r="71" spans="1:25" ht="15.6" x14ac:dyDescent="0.3">
      <c r="A71" s="152">
        <v>2059</v>
      </c>
      <c r="B71" s="178">
        <f t="shared" si="0"/>
        <v>0</v>
      </c>
      <c r="C71" s="182">
        <f t="shared" si="7"/>
        <v>0</v>
      </c>
      <c r="D71" s="183"/>
      <c r="E71" s="179">
        <f t="shared" si="6"/>
        <v>23995.855910793176</v>
      </c>
      <c r="F71" s="183">
        <f t="shared" si="8"/>
        <v>1863.3939835861202</v>
      </c>
      <c r="G71" s="247">
        <f t="shared" si="1"/>
        <v>0.7</v>
      </c>
      <c r="H71" s="246"/>
      <c r="J71" s="182"/>
      <c r="K71" s="182"/>
      <c r="L71" s="182"/>
      <c r="M71" s="182"/>
      <c r="N71" s="163"/>
      <c r="O71" s="259" t="str">
        <f>IF($O$24="Y",IFERROR(E71*$E$6*$O$16*'Emissions Factors'!B56,""),"")</f>
        <v/>
      </c>
      <c r="P71" s="259">
        <f>IF($P$24="Y",IFERROR($E71*('Emissions Factors'!$R$41*$P$16)/10^6,""),"")</f>
        <v>254.56001895195436</v>
      </c>
      <c r="Q71" s="259"/>
      <c r="R71" s="258"/>
      <c r="T71" s="180" t="str">
        <f t="shared" si="2"/>
        <v/>
      </c>
      <c r="U71" s="180" t="str">
        <f t="shared" si="3"/>
        <v/>
      </c>
      <c r="V71" s="177"/>
      <c r="X71" s="180">
        <f t="shared" si="4"/>
        <v>254.56001895195436</v>
      </c>
      <c r="Y71" s="180">
        <f t="shared" si="5"/>
        <v>0</v>
      </c>
    </row>
    <row r="72" spans="1:25" ht="15.6" x14ac:dyDescent="0.3">
      <c r="A72" s="152">
        <v>2060</v>
      </c>
      <c r="B72" s="178">
        <f t="shared" si="0"/>
        <v>0</v>
      </c>
      <c r="C72" s="182">
        <f t="shared" si="7"/>
        <v>0</v>
      </c>
      <c r="D72" s="183"/>
      <c r="E72" s="179">
        <f t="shared" si="6"/>
        <v>25990.400647920724</v>
      </c>
      <c r="F72" s="183">
        <f t="shared" si="8"/>
        <v>1994.5447371275477</v>
      </c>
      <c r="G72" s="247">
        <f t="shared" si="1"/>
        <v>0.7</v>
      </c>
      <c r="H72" s="246"/>
      <c r="J72" s="182"/>
      <c r="K72" s="182"/>
      <c r="L72" s="182"/>
      <c r="M72" s="182"/>
      <c r="N72" s="163"/>
      <c r="O72" s="259" t="str">
        <f>IF($O$24="Y",IFERROR(E72*$E$6*$O$16*'Emissions Factors'!B57,""),"")</f>
        <v/>
      </c>
      <c r="P72" s="259">
        <f>IF($P$24="Y",IFERROR($E72*('Emissions Factors'!$R$41*$P$16)/10^6,""),"")</f>
        <v>275.71914525989882</v>
      </c>
      <c r="Q72" s="259"/>
      <c r="R72" s="258"/>
      <c r="T72" s="180" t="str">
        <f t="shared" si="2"/>
        <v/>
      </c>
      <c r="U72" s="180" t="str">
        <f t="shared" si="3"/>
        <v/>
      </c>
      <c r="V72" s="177"/>
      <c r="X72" s="180">
        <f t="shared" si="4"/>
        <v>275.71914525989882</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53.4" thickBot="1" x14ac:dyDescent="0.3">
      <c r="A84" s="189"/>
      <c r="B84" s="190" t="s">
        <v>4</v>
      </c>
      <c r="C84" s="191" t="s">
        <v>5</v>
      </c>
      <c r="D84" s="191" t="str">
        <f>D136</f>
        <v>Non OECD Region (less China, Mexico, Brazil, Russia)</v>
      </c>
      <c r="E84" s="191"/>
      <c r="F84" s="191"/>
      <c r="G84" s="191"/>
      <c r="H84" s="191"/>
      <c r="I84" s="191"/>
      <c r="J84" s="191"/>
      <c r="K84" s="192"/>
      <c r="N84" s="193" t="str">
        <f>D84</f>
        <v>Non OECD Region (less China, Mexico, Brazil, Russia)</v>
      </c>
      <c r="O84" s="193"/>
      <c r="P84" s="193" t="str">
        <f>C84</f>
        <v>OECD90</v>
      </c>
      <c r="Q84" s="193" t="s">
        <v>235</v>
      </c>
      <c r="R84" s="193" t="str">
        <f>CONCATENATE("% ",$N$84)</f>
        <v>% Non OECD Region (less China, Mexico, Brazil, Russia)</v>
      </c>
      <c r="U84" s="193" t="str">
        <f>N84</f>
        <v>Non OECD Region (less China, Mexico, Brazil, Russia)</v>
      </c>
      <c r="V84" s="193" t="s">
        <v>10</v>
      </c>
      <c r="W84" s="193" t="str">
        <f>P84</f>
        <v>OECD90</v>
      </c>
      <c r="X84" s="193" t="s">
        <v>235</v>
      </c>
      <c r="Y84" s="193" t="str">
        <f>R84</f>
        <v>% Non OECD Region (less China, Mexico, Brazil, Russia)</v>
      </c>
    </row>
    <row r="85" spans="1:35" ht="15.6" x14ac:dyDescent="0.3">
      <c r="A85" s="194">
        <v>2014</v>
      </c>
      <c r="B85" s="253">
        <f>(B137/Population_Tables!O3)*Population_Tables!C3</f>
        <v>50554.211488222558</v>
      </c>
      <c r="C85" s="253">
        <f>(C137/Population_Tables!P3)*Population_Tables!D3</f>
        <v>0</v>
      </c>
      <c r="D85" s="253">
        <f>(D137/Population_Tables!Q3)*Population_Tables!E3</f>
        <v>0</v>
      </c>
      <c r="E85" s="253">
        <f>(E137/Population_Tables!R3)*Population_Tables!F3</f>
        <v>0</v>
      </c>
      <c r="F85" s="253">
        <f>(F137/Population_Tables!S3)*Population_Tables!G3</f>
        <v>0</v>
      </c>
      <c r="G85" s="253">
        <f>(G137/Population_Tables!T3)*Population_Tables!H3</f>
        <v>0</v>
      </c>
      <c r="H85" s="253">
        <f>(H137/Population_Tables!U3)*Population_Tables!I3</f>
        <v>0</v>
      </c>
      <c r="I85" s="253">
        <f>(I137/Population_Tables!V3)*Population_Tables!J3</f>
        <v>0</v>
      </c>
      <c r="J85" s="253">
        <f>(J137/Population_Tables!W3)*Population_Tables!K3</f>
        <v>0</v>
      </c>
      <c r="K85" s="253">
        <f>(K137/Population_Tables!X3)*Population_Tables!L3</f>
        <v>0</v>
      </c>
      <c r="N85" s="195">
        <f>D85</f>
        <v>0</v>
      </c>
      <c r="O85" s="195">
        <f>H85</f>
        <v>0</v>
      </c>
      <c r="P85" s="195">
        <f>C85</f>
        <v>0</v>
      </c>
      <c r="Q85" s="195">
        <f>N85+P85+O85</f>
        <v>0</v>
      </c>
      <c r="R85" s="196" t="e">
        <f>N85/Q85</f>
        <v>#DIV/0!</v>
      </c>
      <c r="U85" s="197">
        <v>0</v>
      </c>
      <c r="V85" s="195">
        <f>O85-O137</f>
        <v>0</v>
      </c>
      <c r="W85" s="197">
        <v>0</v>
      </c>
      <c r="X85" s="195">
        <f>U85+V85+W85</f>
        <v>0</v>
      </c>
      <c r="Y85" s="196">
        <v>0</v>
      </c>
      <c r="AC85" s="251" t="e">
        <f>(B85-B137)/((SUM(C85:G85)-SUM(C137:G137)))</f>
        <v>#DIV/0!</v>
      </c>
      <c r="AF85" s="250">
        <f>B85</f>
        <v>50554.211488222558</v>
      </c>
      <c r="AG85" s="250">
        <f>SUM(C85:G85)</f>
        <v>0</v>
      </c>
      <c r="AH85" s="250">
        <f>AG85-AF85</f>
        <v>-50554.211488222558</v>
      </c>
      <c r="AI85" s="251" t="e">
        <f>AH85/AG85</f>
        <v>#DIV/0!</v>
      </c>
    </row>
    <row r="86" spans="1:35" ht="15.6" x14ac:dyDescent="0.3">
      <c r="A86" s="194">
        <v>2015</v>
      </c>
      <c r="B86" s="253">
        <f>(B138/Population_Tables!O4)*Population_Tables!C4</f>
        <v>50756.137642411391</v>
      </c>
      <c r="C86" s="253">
        <f>(C138/Population_Tables!P4)*Population_Tables!D4</f>
        <v>0</v>
      </c>
      <c r="D86" s="253">
        <f>(D138/Population_Tables!Q4)*Population_Tables!E4</f>
        <v>0</v>
      </c>
      <c r="E86" s="253">
        <f>(E138/Population_Tables!R4)*Population_Tables!F4</f>
        <v>0</v>
      </c>
      <c r="F86" s="253">
        <f>(F138/Population_Tables!S4)*Population_Tables!G4</f>
        <v>0</v>
      </c>
      <c r="G86" s="253">
        <f>(G138/Population_Tables!T4)*Population_Tables!H4</f>
        <v>0</v>
      </c>
      <c r="H86" s="253">
        <f>(H138/Population_Tables!U4)*Population_Tables!I4</f>
        <v>0</v>
      </c>
      <c r="I86" s="253">
        <f>(I138/Population_Tables!V4)*Population_Tables!J4</f>
        <v>0</v>
      </c>
      <c r="J86" s="253">
        <f>(J138/Population_Tables!W4)*Population_Tables!K4</f>
        <v>0</v>
      </c>
      <c r="K86" s="253">
        <f>(K138/Population_Tables!X4)*Population_Tables!L4</f>
        <v>0</v>
      </c>
      <c r="N86" s="195">
        <f t="shared" ref="N86:N131" si="9">D86</f>
        <v>0</v>
      </c>
      <c r="O86" s="195">
        <f t="shared" ref="O86:O131" si="10">H86</f>
        <v>0</v>
      </c>
      <c r="P86" s="195">
        <f t="shared" ref="P86:P131" si="11">C86</f>
        <v>0</v>
      </c>
      <c r="Q86" s="195">
        <f t="shared" ref="Q86:Q131" si="12">N86+P86+O86</f>
        <v>0</v>
      </c>
      <c r="R86" s="196" t="e">
        <f t="shared" ref="R86:R130" si="13">N86/Q86</f>
        <v>#DIV/0!</v>
      </c>
      <c r="U86" s="197">
        <v>0</v>
      </c>
      <c r="V86" s="195">
        <f t="shared" ref="V86:W131" si="14">O86-O138</f>
        <v>0</v>
      </c>
      <c r="W86" s="197">
        <v>0</v>
      </c>
      <c r="X86" s="195">
        <f>U86+V86+W86</f>
        <v>0</v>
      </c>
      <c r="Y86" s="196">
        <v>0</v>
      </c>
      <c r="AC86" s="251" t="e">
        <f t="shared" ref="AC86:AC131" si="15">(B86-B138)/((SUM(C86:G86)-SUM(C138:G138)))</f>
        <v>#DIV/0!</v>
      </c>
    </row>
    <row r="87" spans="1:35" ht="15.6" x14ac:dyDescent="0.3">
      <c r="A87" s="194">
        <v>2016</v>
      </c>
      <c r="B87" s="253">
        <f>(B139/Population_Tables!O5)*Population_Tables!C5</f>
        <v>52134.719671867089</v>
      </c>
      <c r="C87" s="253">
        <f>(C139/Population_Tables!P5)*Population_Tables!D5</f>
        <v>0</v>
      </c>
      <c r="D87" s="253">
        <f>(D139/Population_Tables!Q5)*Population_Tables!E5</f>
        <v>0</v>
      </c>
      <c r="E87" s="253">
        <f>(E139/Population_Tables!R5)*Population_Tables!F5</f>
        <v>0</v>
      </c>
      <c r="F87" s="253">
        <f>(F139/Population_Tables!S5)*Population_Tables!G5</f>
        <v>0</v>
      </c>
      <c r="G87" s="253">
        <f>(G139/Population_Tables!T5)*Population_Tables!H5</f>
        <v>0</v>
      </c>
      <c r="H87" s="253">
        <f>(H139/Population_Tables!U5)*Population_Tables!I5</f>
        <v>0</v>
      </c>
      <c r="I87" s="253">
        <f>(I139/Population_Tables!V5)*Population_Tables!J5</f>
        <v>0</v>
      </c>
      <c r="J87" s="253">
        <f>(J139/Population_Tables!W5)*Population_Tables!K5</f>
        <v>0</v>
      </c>
      <c r="K87" s="253">
        <f>(K139/Population_Tables!X5)*Population_Tables!L5</f>
        <v>0</v>
      </c>
      <c r="N87" s="195">
        <f t="shared" si="9"/>
        <v>0</v>
      </c>
      <c r="O87" s="195">
        <f t="shared" si="10"/>
        <v>0</v>
      </c>
      <c r="P87" s="195">
        <f t="shared" si="11"/>
        <v>0</v>
      </c>
      <c r="Q87" s="195">
        <f t="shared" si="12"/>
        <v>0</v>
      </c>
      <c r="R87" s="196" t="e">
        <f t="shared" si="13"/>
        <v>#DIV/0!</v>
      </c>
      <c r="U87" s="195">
        <f>N87-N139</f>
        <v>0</v>
      </c>
      <c r="V87" s="195">
        <f>O87-O139</f>
        <v>0</v>
      </c>
      <c r="W87" s="195">
        <f>P87-P139</f>
        <v>0</v>
      </c>
      <c r="X87" s="195">
        <f>U87+V87+W87</f>
        <v>0</v>
      </c>
      <c r="Y87" s="196" t="e">
        <f t="shared" ref="Y87:Y131" si="16">U87/X87</f>
        <v>#DIV/0!</v>
      </c>
      <c r="AC87" s="251" t="e">
        <f>(B87-B139)/((SUM(C87:G87)-SUM(C139:G139)))</f>
        <v>#DIV/0!</v>
      </c>
    </row>
    <row r="88" spans="1:35" ht="15.6" x14ac:dyDescent="0.3">
      <c r="A88" s="194">
        <v>2017</v>
      </c>
      <c r="B88" s="253">
        <f>(B140/Population_Tables!O6)*Population_Tables!C6</f>
        <v>53561.425272272907</v>
      </c>
      <c r="C88" s="253">
        <f>(C140/Population_Tables!P6)*Population_Tables!D6</f>
        <v>0</v>
      </c>
      <c r="D88" s="253">
        <f>(D140/Population_Tables!Q6)*Population_Tables!E6</f>
        <v>0</v>
      </c>
      <c r="E88" s="253">
        <f>(E140/Population_Tables!R6)*Population_Tables!F6</f>
        <v>0</v>
      </c>
      <c r="F88" s="253">
        <f>(F140/Population_Tables!S6)*Population_Tables!G6</f>
        <v>0</v>
      </c>
      <c r="G88" s="253">
        <f>(G140/Population_Tables!T6)*Population_Tables!H6</f>
        <v>0</v>
      </c>
      <c r="H88" s="253">
        <f>(H140/Population_Tables!U6)*Population_Tables!I6</f>
        <v>0</v>
      </c>
      <c r="I88" s="253">
        <f>(I140/Population_Tables!V6)*Population_Tables!J6</f>
        <v>0</v>
      </c>
      <c r="J88" s="253">
        <f>(J140/Population_Tables!W6)*Population_Tables!K6</f>
        <v>0</v>
      </c>
      <c r="K88" s="253">
        <f>(K140/Population_Tables!X6)*Population_Tables!L6</f>
        <v>0</v>
      </c>
      <c r="N88" s="195">
        <f t="shared" si="9"/>
        <v>0</v>
      </c>
      <c r="O88" s="195">
        <f>H88</f>
        <v>0</v>
      </c>
      <c r="P88" s="195">
        <f t="shared" si="11"/>
        <v>0</v>
      </c>
      <c r="Q88" s="195">
        <f t="shared" si="12"/>
        <v>0</v>
      </c>
      <c r="R88" s="196" t="e">
        <f t="shared" si="13"/>
        <v>#DIV/0!</v>
      </c>
      <c r="U88" s="195">
        <f>N88-N140</f>
        <v>0</v>
      </c>
      <c r="V88" s="195">
        <f t="shared" si="14"/>
        <v>0</v>
      </c>
      <c r="W88" s="195">
        <f t="shared" si="14"/>
        <v>0</v>
      </c>
      <c r="X88" s="195">
        <f t="shared" ref="X88:X131" si="17">U88+V88+W88</f>
        <v>0</v>
      </c>
      <c r="Y88" s="196" t="e">
        <f t="shared" si="16"/>
        <v>#DIV/0!</v>
      </c>
      <c r="AC88" s="251" t="e">
        <f t="shared" si="15"/>
        <v>#DIV/0!</v>
      </c>
    </row>
    <row r="89" spans="1:35" ht="15.6" x14ac:dyDescent="0.3">
      <c r="A89" s="194">
        <v>2018</v>
      </c>
      <c r="B89" s="253">
        <f>(B141/Population_Tables!O7)*Population_Tables!C7</f>
        <v>55043.529862903211</v>
      </c>
      <c r="C89" s="253">
        <f>(C141/Population_Tables!P7)*Population_Tables!D7</f>
        <v>0</v>
      </c>
      <c r="D89" s="253">
        <f>(D141/Population_Tables!Q7)*Population_Tables!E7</f>
        <v>0</v>
      </c>
      <c r="E89" s="253">
        <f>(E141/Population_Tables!R7)*Population_Tables!F7</f>
        <v>0</v>
      </c>
      <c r="F89" s="253">
        <f>(F141/Population_Tables!S7)*Population_Tables!G7</f>
        <v>0</v>
      </c>
      <c r="G89" s="253">
        <f>(G141/Population_Tables!T7)*Population_Tables!H7</f>
        <v>0</v>
      </c>
      <c r="H89" s="253">
        <f>(H141/Population_Tables!U7)*Population_Tables!I7</f>
        <v>0</v>
      </c>
      <c r="I89" s="253">
        <f>(I141/Population_Tables!V7)*Population_Tables!J7</f>
        <v>0</v>
      </c>
      <c r="J89" s="253">
        <f>(J141/Population_Tables!W7)*Population_Tables!K7</f>
        <v>0</v>
      </c>
      <c r="K89" s="253">
        <f>(K141/Population_Tables!X7)*Population_Tables!L7</f>
        <v>0</v>
      </c>
      <c r="N89" s="195">
        <f t="shared" si="9"/>
        <v>0</v>
      </c>
      <c r="O89" s="195">
        <f t="shared" si="10"/>
        <v>0</v>
      </c>
      <c r="P89" s="195">
        <f t="shared" si="11"/>
        <v>0</v>
      </c>
      <c r="Q89" s="195">
        <f t="shared" si="12"/>
        <v>0</v>
      </c>
      <c r="R89" s="196" t="e">
        <f t="shared" si="13"/>
        <v>#DIV/0!</v>
      </c>
      <c r="U89" s="195">
        <f t="shared" ref="U89:U131" si="18">N89-N141</f>
        <v>0</v>
      </c>
      <c r="V89" s="195">
        <f t="shared" si="14"/>
        <v>0</v>
      </c>
      <c r="W89" s="195">
        <f t="shared" si="14"/>
        <v>0</v>
      </c>
      <c r="X89" s="195">
        <f t="shared" si="17"/>
        <v>0</v>
      </c>
      <c r="Y89" s="196" t="e">
        <f t="shared" si="16"/>
        <v>#DIV/0!</v>
      </c>
      <c r="AC89" s="251" t="e">
        <f t="shared" si="15"/>
        <v>#DIV/0!</v>
      </c>
    </row>
    <row r="90" spans="1:35" ht="16.2" thickBot="1" x14ac:dyDescent="0.35">
      <c r="A90" s="198">
        <v>2019</v>
      </c>
      <c r="B90" s="253">
        <f>(B142/Population_Tables!O8)*Population_Tables!C8</f>
        <v>56588.308438198452</v>
      </c>
      <c r="C90" s="253">
        <f>(C142/Population_Tables!P8)*Population_Tables!D8</f>
        <v>0</v>
      </c>
      <c r="D90" s="253">
        <f>(D142/Population_Tables!Q8)*Population_Tables!E8</f>
        <v>0</v>
      </c>
      <c r="E90" s="253">
        <f>(E142/Population_Tables!R8)*Population_Tables!F8</f>
        <v>0</v>
      </c>
      <c r="F90" s="253">
        <f>(F142/Population_Tables!S8)*Population_Tables!G8</f>
        <v>0</v>
      </c>
      <c r="G90" s="253">
        <f>(G142/Population_Tables!T8)*Population_Tables!H8</f>
        <v>0</v>
      </c>
      <c r="H90" s="253">
        <f>(H142/Population_Tables!U8)*Population_Tables!I8</f>
        <v>0</v>
      </c>
      <c r="I90" s="253">
        <f>(I142/Population_Tables!V8)*Population_Tables!J8</f>
        <v>0</v>
      </c>
      <c r="J90" s="253">
        <f>(J142/Population_Tables!W8)*Population_Tables!K8</f>
        <v>0</v>
      </c>
      <c r="K90" s="253">
        <f>(K142/Population_Tables!X8)*Population_Tables!L8</f>
        <v>0</v>
      </c>
      <c r="N90" s="195">
        <f t="shared" si="9"/>
        <v>0</v>
      </c>
      <c r="O90" s="195">
        <f t="shared" si="10"/>
        <v>0</v>
      </c>
      <c r="P90" s="195">
        <f t="shared" si="11"/>
        <v>0</v>
      </c>
      <c r="Q90" s="195">
        <f t="shared" si="12"/>
        <v>0</v>
      </c>
      <c r="R90" s="199" t="e">
        <f t="shared" si="13"/>
        <v>#DIV/0!</v>
      </c>
      <c r="U90" s="200">
        <f t="shared" si="18"/>
        <v>0</v>
      </c>
      <c r="V90" s="195">
        <f t="shared" si="14"/>
        <v>0</v>
      </c>
      <c r="W90" s="200">
        <f t="shared" si="14"/>
        <v>0</v>
      </c>
      <c r="X90" s="195">
        <f t="shared" si="17"/>
        <v>0</v>
      </c>
      <c r="Y90" s="199" t="e">
        <f t="shared" si="16"/>
        <v>#DIV/0!</v>
      </c>
      <c r="AC90" s="251" t="e">
        <f t="shared" si="15"/>
        <v>#DIV/0!</v>
      </c>
    </row>
    <row r="91" spans="1:35" ht="15.6" x14ac:dyDescent="0.3">
      <c r="A91" s="201">
        <v>2020</v>
      </c>
      <c r="B91" s="253">
        <f>(B143/Population_Tables!O9)*Population_Tables!C9</f>
        <v>58203.03640395058</v>
      </c>
      <c r="C91" s="253">
        <f>(C143/Population_Tables!P9)*Population_Tables!D9</f>
        <v>0</v>
      </c>
      <c r="D91" s="253">
        <f>(D143/Population_Tables!Q9)*Population_Tables!E9</f>
        <v>0</v>
      </c>
      <c r="E91" s="253">
        <f>(E143/Population_Tables!R9)*Population_Tables!F9</f>
        <v>0</v>
      </c>
      <c r="F91" s="253">
        <f>(F143/Population_Tables!S9)*Population_Tables!G9</f>
        <v>0</v>
      </c>
      <c r="G91" s="253">
        <f>(G143/Population_Tables!T9)*Population_Tables!H9</f>
        <v>0</v>
      </c>
      <c r="H91" s="253">
        <f>(H143/Population_Tables!U9)*Population_Tables!I9</f>
        <v>0</v>
      </c>
      <c r="I91" s="253">
        <f>(I143/Population_Tables!V9)*Population_Tables!J9</f>
        <v>0</v>
      </c>
      <c r="J91" s="253">
        <f>(J143/Population_Tables!W9)*Population_Tables!K9</f>
        <v>0</v>
      </c>
      <c r="K91" s="253">
        <f>(K143/Population_Tables!X9)*Population_Tables!L9</f>
        <v>0</v>
      </c>
      <c r="L91" s="202"/>
      <c r="M91" s="202"/>
      <c r="N91" s="195">
        <f t="shared" si="9"/>
        <v>0</v>
      </c>
      <c r="O91" s="195">
        <f t="shared" si="10"/>
        <v>0</v>
      </c>
      <c r="P91" s="195">
        <f t="shared" si="11"/>
        <v>0</v>
      </c>
      <c r="Q91" s="195">
        <f t="shared" si="12"/>
        <v>0</v>
      </c>
      <c r="R91" s="203" t="e">
        <f t="shared" si="13"/>
        <v>#DIV/0!</v>
      </c>
      <c r="S91" s="202"/>
      <c r="T91" s="202"/>
      <c r="U91" s="204">
        <f>N91-N143</f>
        <v>0</v>
      </c>
      <c r="V91" s="195">
        <f t="shared" si="14"/>
        <v>0</v>
      </c>
      <c r="W91" s="204">
        <f t="shared" si="14"/>
        <v>0</v>
      </c>
      <c r="X91" s="195">
        <f t="shared" si="17"/>
        <v>0</v>
      </c>
      <c r="Y91" s="205" t="e">
        <f>U91/X91</f>
        <v>#DIV/0!</v>
      </c>
      <c r="AC91" s="251" t="e">
        <f t="shared" si="15"/>
        <v>#DIV/0!</v>
      </c>
    </row>
    <row r="92" spans="1:35" ht="15.6" x14ac:dyDescent="0.3">
      <c r="A92" s="206">
        <v>2021</v>
      </c>
      <c r="B92" s="253">
        <f>(B144/Population_Tables!O10)*Population_Tables!C10</f>
        <v>59970.814813231184</v>
      </c>
      <c r="C92" s="253">
        <f>(C144/Population_Tables!P10)*Population_Tables!D10</f>
        <v>0</v>
      </c>
      <c r="D92" s="253">
        <f>(D144/Population_Tables!Q10)*Population_Tables!E10</f>
        <v>0</v>
      </c>
      <c r="E92" s="253">
        <f>(E144/Population_Tables!R10)*Population_Tables!F10</f>
        <v>0</v>
      </c>
      <c r="F92" s="253">
        <f>(F144/Population_Tables!S10)*Population_Tables!G10</f>
        <v>0</v>
      </c>
      <c r="G92" s="253">
        <f>(G144/Population_Tables!T10)*Population_Tables!H10</f>
        <v>0</v>
      </c>
      <c r="H92" s="253">
        <f>(H144/Population_Tables!U10)*Population_Tables!I10</f>
        <v>0</v>
      </c>
      <c r="I92" s="253">
        <f>(I144/Population_Tables!V10)*Population_Tables!J10</f>
        <v>0</v>
      </c>
      <c r="J92" s="253">
        <f>(J144/Population_Tables!W10)*Population_Tables!K10</f>
        <v>0</v>
      </c>
      <c r="K92" s="253">
        <f>(K144/Population_Tables!X10)*Population_Tables!L10</f>
        <v>0</v>
      </c>
      <c r="L92" s="170"/>
      <c r="M92" s="170"/>
      <c r="N92" s="195">
        <f t="shared" si="9"/>
        <v>0</v>
      </c>
      <c r="O92" s="195">
        <f t="shared" si="10"/>
        <v>0</v>
      </c>
      <c r="P92" s="195">
        <f t="shared" si="11"/>
        <v>0</v>
      </c>
      <c r="Q92" s="195">
        <f t="shared" si="12"/>
        <v>0</v>
      </c>
      <c r="R92" s="196" t="e">
        <f t="shared" si="13"/>
        <v>#DIV/0!</v>
      </c>
      <c r="S92" s="170"/>
      <c r="T92" s="170"/>
      <c r="U92" s="195">
        <f t="shared" si="18"/>
        <v>0</v>
      </c>
      <c r="V92" s="195">
        <f t="shared" si="14"/>
        <v>0</v>
      </c>
      <c r="W92" s="195">
        <f t="shared" si="14"/>
        <v>0</v>
      </c>
      <c r="X92" s="195">
        <f t="shared" si="17"/>
        <v>0</v>
      </c>
      <c r="Y92" s="207" t="e">
        <f t="shared" si="16"/>
        <v>#DIV/0!</v>
      </c>
      <c r="AC92" s="251" t="e">
        <f t="shared" si="15"/>
        <v>#DIV/0!</v>
      </c>
    </row>
    <row r="93" spans="1:35" ht="15.6" x14ac:dyDescent="0.3">
      <c r="A93" s="206">
        <v>2022</v>
      </c>
      <c r="B93" s="253">
        <f>(B145/Population_Tables!O11)*Population_Tables!C11</f>
        <v>61845.977190798236</v>
      </c>
      <c r="C93" s="253">
        <f>(C145/Population_Tables!P11)*Population_Tables!D11</f>
        <v>0</v>
      </c>
      <c r="D93" s="253">
        <f>(D145/Population_Tables!Q11)*Population_Tables!E11</f>
        <v>0</v>
      </c>
      <c r="E93" s="253">
        <f>(E145/Population_Tables!R11)*Population_Tables!F11</f>
        <v>0</v>
      </c>
      <c r="F93" s="253">
        <f>(F145/Population_Tables!S11)*Population_Tables!G11</f>
        <v>0</v>
      </c>
      <c r="G93" s="253">
        <f>(G145/Population_Tables!T11)*Population_Tables!H11</f>
        <v>0</v>
      </c>
      <c r="H93" s="253">
        <f>(H145/Population_Tables!U11)*Population_Tables!I11</f>
        <v>0</v>
      </c>
      <c r="I93" s="253">
        <f>(I145/Population_Tables!V11)*Population_Tables!J11</f>
        <v>0</v>
      </c>
      <c r="J93" s="253">
        <f>(J145/Population_Tables!W11)*Population_Tables!K11</f>
        <v>0</v>
      </c>
      <c r="K93" s="253">
        <f>(K145/Population_Tables!X11)*Population_Tables!L11</f>
        <v>0</v>
      </c>
      <c r="L93" s="170"/>
      <c r="M93" s="170"/>
      <c r="N93" s="195">
        <f t="shared" si="9"/>
        <v>0</v>
      </c>
      <c r="O93" s="195">
        <f t="shared" si="10"/>
        <v>0</v>
      </c>
      <c r="P93" s="195">
        <f t="shared" si="11"/>
        <v>0</v>
      </c>
      <c r="Q93" s="195">
        <f t="shared" si="12"/>
        <v>0</v>
      </c>
      <c r="R93" s="196" t="e">
        <f t="shared" si="13"/>
        <v>#DIV/0!</v>
      </c>
      <c r="S93" s="170"/>
      <c r="T93" s="170"/>
      <c r="U93" s="195">
        <f t="shared" si="18"/>
        <v>0</v>
      </c>
      <c r="V93" s="195">
        <f t="shared" si="14"/>
        <v>0</v>
      </c>
      <c r="W93" s="195">
        <f t="shared" si="14"/>
        <v>0</v>
      </c>
      <c r="X93" s="195">
        <f t="shared" si="17"/>
        <v>0</v>
      </c>
      <c r="Y93" s="207" t="e">
        <f t="shared" si="16"/>
        <v>#DIV/0!</v>
      </c>
      <c r="AC93" s="251" t="e">
        <f t="shared" si="15"/>
        <v>#DIV/0!</v>
      </c>
    </row>
    <row r="94" spans="1:35" ht="15.6" x14ac:dyDescent="0.3">
      <c r="A94" s="206">
        <v>2023</v>
      </c>
      <c r="B94" s="253">
        <f>(B146/Population_Tables!O12)*Population_Tables!C12</f>
        <v>63834.622091839679</v>
      </c>
      <c r="C94" s="253">
        <f>(C146/Population_Tables!P12)*Population_Tables!D12</f>
        <v>0</v>
      </c>
      <c r="D94" s="253">
        <f>(D146/Population_Tables!Q12)*Population_Tables!E12</f>
        <v>0</v>
      </c>
      <c r="E94" s="253">
        <f>(E146/Population_Tables!R12)*Population_Tables!F12</f>
        <v>0</v>
      </c>
      <c r="F94" s="253">
        <f>(F146/Population_Tables!S12)*Population_Tables!G12</f>
        <v>0</v>
      </c>
      <c r="G94" s="253">
        <f>(G146/Population_Tables!T12)*Population_Tables!H12</f>
        <v>0</v>
      </c>
      <c r="H94" s="253">
        <f>(H146/Population_Tables!U12)*Population_Tables!I12</f>
        <v>0</v>
      </c>
      <c r="I94" s="253">
        <f>(I146/Population_Tables!V12)*Population_Tables!J12</f>
        <v>0</v>
      </c>
      <c r="J94" s="253">
        <f>(J146/Population_Tables!W12)*Population_Tables!K12</f>
        <v>0</v>
      </c>
      <c r="K94" s="253">
        <f>(K146/Population_Tables!X12)*Population_Tables!L12</f>
        <v>0</v>
      </c>
      <c r="L94" s="170"/>
      <c r="M94" s="170"/>
      <c r="N94" s="195">
        <f t="shared" si="9"/>
        <v>0</v>
      </c>
      <c r="O94" s="195">
        <f t="shared" si="10"/>
        <v>0</v>
      </c>
      <c r="P94" s="195">
        <f t="shared" si="11"/>
        <v>0</v>
      </c>
      <c r="Q94" s="195">
        <f t="shared" si="12"/>
        <v>0</v>
      </c>
      <c r="R94" s="196" t="e">
        <f t="shared" si="13"/>
        <v>#DIV/0!</v>
      </c>
      <c r="S94" s="170"/>
      <c r="T94" s="170"/>
      <c r="U94" s="195">
        <f>N94-N146</f>
        <v>0</v>
      </c>
      <c r="V94" s="195">
        <f t="shared" si="14"/>
        <v>0</v>
      </c>
      <c r="W94" s="195">
        <f t="shared" si="14"/>
        <v>0</v>
      </c>
      <c r="X94" s="195">
        <f t="shared" si="17"/>
        <v>0</v>
      </c>
      <c r="Y94" s="207" t="e">
        <f t="shared" si="16"/>
        <v>#DIV/0!</v>
      </c>
      <c r="AC94" s="251" t="e">
        <f t="shared" si="15"/>
        <v>#DIV/0!</v>
      </c>
    </row>
    <row r="95" spans="1:35" ht="15.6" x14ac:dyDescent="0.3">
      <c r="A95" s="206">
        <v>2024</v>
      </c>
      <c r="B95" s="253">
        <f>(B147/Population_Tables!O13)*Population_Tables!C13</f>
        <v>65944.171390005737</v>
      </c>
      <c r="C95" s="253">
        <f>(C147/Population_Tables!P13)*Population_Tables!D13</f>
        <v>0</v>
      </c>
      <c r="D95" s="253">
        <f>(D147/Population_Tables!Q13)*Population_Tables!E13</f>
        <v>0</v>
      </c>
      <c r="E95" s="253">
        <f>(E147/Population_Tables!R13)*Population_Tables!F13</f>
        <v>0</v>
      </c>
      <c r="F95" s="253">
        <f>(F147/Population_Tables!S13)*Population_Tables!G13</f>
        <v>0</v>
      </c>
      <c r="G95" s="253">
        <f>(G147/Population_Tables!T13)*Population_Tables!H13</f>
        <v>0</v>
      </c>
      <c r="H95" s="253">
        <f>(H147/Population_Tables!U13)*Population_Tables!I13</f>
        <v>0</v>
      </c>
      <c r="I95" s="253">
        <f>(I147/Population_Tables!V13)*Population_Tables!J13</f>
        <v>0</v>
      </c>
      <c r="J95" s="253">
        <f>(J147/Population_Tables!W13)*Population_Tables!K13</f>
        <v>0</v>
      </c>
      <c r="K95" s="253">
        <f>(K147/Population_Tables!X13)*Population_Tables!L13</f>
        <v>0</v>
      </c>
      <c r="L95" s="170"/>
      <c r="M95" s="170"/>
      <c r="N95" s="195">
        <f t="shared" si="9"/>
        <v>0</v>
      </c>
      <c r="O95" s="195">
        <f t="shared" si="10"/>
        <v>0</v>
      </c>
      <c r="P95" s="195">
        <f t="shared" si="11"/>
        <v>0</v>
      </c>
      <c r="Q95" s="195">
        <f t="shared" si="12"/>
        <v>0</v>
      </c>
      <c r="R95" s="196" t="e">
        <f t="shared" si="13"/>
        <v>#DIV/0!</v>
      </c>
      <c r="S95" s="170"/>
      <c r="T95" s="170"/>
      <c r="U95" s="195">
        <f t="shared" si="18"/>
        <v>0</v>
      </c>
      <c r="V95" s="195">
        <f t="shared" si="14"/>
        <v>0</v>
      </c>
      <c r="W95" s="195">
        <f t="shared" si="14"/>
        <v>0</v>
      </c>
      <c r="X95" s="195">
        <f t="shared" si="17"/>
        <v>0</v>
      </c>
      <c r="Y95" s="207" t="e">
        <f t="shared" si="16"/>
        <v>#DIV/0!</v>
      </c>
      <c r="AC95" s="251" t="e">
        <f t="shared" si="15"/>
        <v>#DIV/0!</v>
      </c>
    </row>
    <row r="96" spans="1:35" ht="15.6" x14ac:dyDescent="0.3">
      <c r="A96" s="206">
        <v>2025</v>
      </c>
      <c r="B96" s="253">
        <f>(B148/Population_Tables!O14)*Population_Tables!C14</f>
        <v>68182.446529283785</v>
      </c>
      <c r="C96" s="253">
        <f>(C148/Population_Tables!P14)*Population_Tables!D14</f>
        <v>0</v>
      </c>
      <c r="D96" s="253">
        <f>(D148/Population_Tables!Q14)*Population_Tables!E14</f>
        <v>0</v>
      </c>
      <c r="E96" s="253">
        <f>(E148/Population_Tables!R14)*Population_Tables!F14</f>
        <v>0</v>
      </c>
      <c r="F96" s="253">
        <f>(F148/Population_Tables!S14)*Population_Tables!G14</f>
        <v>0</v>
      </c>
      <c r="G96" s="253">
        <f>(G148/Population_Tables!T14)*Population_Tables!H14</f>
        <v>0</v>
      </c>
      <c r="H96" s="253">
        <f>(H148/Population_Tables!U14)*Population_Tables!I14</f>
        <v>0</v>
      </c>
      <c r="I96" s="253">
        <f>(I148/Population_Tables!V14)*Population_Tables!J14</f>
        <v>0</v>
      </c>
      <c r="J96" s="253">
        <f>(J148/Population_Tables!W14)*Population_Tables!K14</f>
        <v>0</v>
      </c>
      <c r="K96" s="253">
        <f>(K148/Population_Tables!X14)*Population_Tables!L14</f>
        <v>0</v>
      </c>
      <c r="L96" s="170"/>
      <c r="M96" s="170"/>
      <c r="N96" s="195">
        <f t="shared" si="9"/>
        <v>0</v>
      </c>
      <c r="O96" s="195">
        <f t="shared" si="10"/>
        <v>0</v>
      </c>
      <c r="P96" s="195">
        <f t="shared" si="11"/>
        <v>0</v>
      </c>
      <c r="Q96" s="195">
        <f t="shared" si="12"/>
        <v>0</v>
      </c>
      <c r="R96" s="196" t="e">
        <f t="shared" si="13"/>
        <v>#DIV/0!</v>
      </c>
      <c r="S96" s="170"/>
      <c r="T96" s="170"/>
      <c r="U96" s="195">
        <f t="shared" si="18"/>
        <v>0</v>
      </c>
      <c r="V96" s="195">
        <f t="shared" si="14"/>
        <v>0</v>
      </c>
      <c r="W96" s="195">
        <f t="shared" si="14"/>
        <v>0</v>
      </c>
      <c r="X96" s="195">
        <f t="shared" si="17"/>
        <v>0</v>
      </c>
      <c r="Y96" s="207" t="e">
        <f t="shared" si="16"/>
        <v>#DIV/0!</v>
      </c>
      <c r="AC96" s="251" t="e">
        <f t="shared" si="15"/>
        <v>#DIV/0!</v>
      </c>
    </row>
    <row r="97" spans="1:29" ht="15.6" x14ac:dyDescent="0.3">
      <c r="A97" s="206">
        <v>2026</v>
      </c>
      <c r="B97" s="253">
        <f>(B149/Population_Tables!O15)*Population_Tables!C15</f>
        <v>70557.291813309261</v>
      </c>
      <c r="C97" s="253">
        <f>(C149/Population_Tables!P15)*Population_Tables!D15</f>
        <v>0</v>
      </c>
      <c r="D97" s="253">
        <f>(D149/Population_Tables!Q15)*Population_Tables!E15</f>
        <v>0</v>
      </c>
      <c r="E97" s="253">
        <f>(E149/Population_Tables!R15)*Population_Tables!F15</f>
        <v>0</v>
      </c>
      <c r="F97" s="253">
        <f>(F149/Population_Tables!S15)*Population_Tables!G15</f>
        <v>0</v>
      </c>
      <c r="G97" s="253">
        <f>(G149/Population_Tables!T15)*Population_Tables!H15</f>
        <v>0</v>
      </c>
      <c r="H97" s="253">
        <f>(H149/Population_Tables!U15)*Population_Tables!I15</f>
        <v>0</v>
      </c>
      <c r="I97" s="253">
        <f>(I149/Population_Tables!V15)*Population_Tables!J15</f>
        <v>0</v>
      </c>
      <c r="J97" s="253">
        <f>(J149/Population_Tables!W15)*Population_Tables!K15</f>
        <v>0</v>
      </c>
      <c r="K97" s="253">
        <f>(K149/Population_Tables!X15)*Population_Tables!L15</f>
        <v>0</v>
      </c>
      <c r="L97" s="170"/>
      <c r="M97" s="170"/>
      <c r="N97" s="195">
        <f t="shared" si="9"/>
        <v>0</v>
      </c>
      <c r="O97" s="195">
        <f t="shared" si="10"/>
        <v>0</v>
      </c>
      <c r="P97" s="195">
        <f t="shared" si="11"/>
        <v>0</v>
      </c>
      <c r="Q97" s="195">
        <f t="shared" si="12"/>
        <v>0</v>
      </c>
      <c r="R97" s="196" t="e">
        <f t="shared" si="13"/>
        <v>#DIV/0!</v>
      </c>
      <c r="S97" s="170"/>
      <c r="T97" s="170"/>
      <c r="U97" s="195">
        <f>N97-N149</f>
        <v>0</v>
      </c>
      <c r="V97" s="195">
        <f t="shared" si="14"/>
        <v>0</v>
      </c>
      <c r="W97" s="195">
        <f t="shared" si="14"/>
        <v>0</v>
      </c>
      <c r="X97" s="195">
        <f t="shared" si="17"/>
        <v>0</v>
      </c>
      <c r="Y97" s="207" t="e">
        <f t="shared" si="16"/>
        <v>#DIV/0!</v>
      </c>
      <c r="AC97" s="251" t="e">
        <f t="shared" si="15"/>
        <v>#DIV/0!</v>
      </c>
    </row>
    <row r="98" spans="1:29" ht="15.6" x14ac:dyDescent="0.3">
      <c r="A98" s="206">
        <v>2027</v>
      </c>
      <c r="B98" s="253">
        <f>(B150/Population_Tables!O16)*Population_Tables!C16</f>
        <v>73076.695133231071</v>
      </c>
      <c r="C98" s="253">
        <f>(C150/Population_Tables!P16)*Population_Tables!D16</f>
        <v>0</v>
      </c>
      <c r="D98" s="253">
        <f>(D150/Population_Tables!Q16)*Population_Tables!E16</f>
        <v>0</v>
      </c>
      <c r="E98" s="253">
        <f>(E150/Population_Tables!R16)*Population_Tables!F16</f>
        <v>0</v>
      </c>
      <c r="F98" s="253">
        <f>(F150/Population_Tables!S16)*Population_Tables!G16</f>
        <v>0</v>
      </c>
      <c r="G98" s="253">
        <f>(G150/Population_Tables!T16)*Population_Tables!H16</f>
        <v>0</v>
      </c>
      <c r="H98" s="253">
        <f>(H150/Population_Tables!U16)*Population_Tables!I16</f>
        <v>0</v>
      </c>
      <c r="I98" s="253">
        <f>(I150/Population_Tables!V16)*Population_Tables!J16</f>
        <v>0</v>
      </c>
      <c r="J98" s="253">
        <f>(J150/Population_Tables!W16)*Population_Tables!K16</f>
        <v>0</v>
      </c>
      <c r="K98" s="253">
        <f>(K150/Population_Tables!X16)*Population_Tables!L16</f>
        <v>0</v>
      </c>
      <c r="L98" s="170"/>
      <c r="M98" s="170"/>
      <c r="N98" s="195">
        <f t="shared" si="9"/>
        <v>0</v>
      </c>
      <c r="O98" s="195">
        <f t="shared" si="10"/>
        <v>0</v>
      </c>
      <c r="P98" s="195">
        <f t="shared" si="11"/>
        <v>0</v>
      </c>
      <c r="Q98" s="195">
        <f t="shared" si="12"/>
        <v>0</v>
      </c>
      <c r="R98" s="196" t="e">
        <f t="shared" si="13"/>
        <v>#DIV/0!</v>
      </c>
      <c r="S98" s="170"/>
      <c r="T98" s="170"/>
      <c r="U98" s="195">
        <f t="shared" si="18"/>
        <v>0</v>
      </c>
      <c r="V98" s="195">
        <f t="shared" si="14"/>
        <v>0</v>
      </c>
      <c r="W98" s="195">
        <f t="shared" si="14"/>
        <v>0</v>
      </c>
      <c r="X98" s="195">
        <f t="shared" si="17"/>
        <v>0</v>
      </c>
      <c r="Y98" s="207" t="e">
        <f t="shared" si="16"/>
        <v>#DIV/0!</v>
      </c>
      <c r="AC98" s="251" t="e">
        <f t="shared" si="15"/>
        <v>#DIV/0!</v>
      </c>
    </row>
    <row r="99" spans="1:29" ht="15.6" x14ac:dyDescent="0.3">
      <c r="A99" s="206">
        <v>2028</v>
      </c>
      <c r="B99" s="253">
        <f>(B151/Population_Tables!O17)*Population_Tables!C17</f>
        <v>75749.508928952084</v>
      </c>
      <c r="C99" s="253">
        <f>(C151/Population_Tables!P17)*Population_Tables!D17</f>
        <v>0</v>
      </c>
      <c r="D99" s="253">
        <f>(D151/Population_Tables!Q17)*Population_Tables!E17</f>
        <v>0</v>
      </c>
      <c r="E99" s="253">
        <f>(E151/Population_Tables!R17)*Population_Tables!F17</f>
        <v>0</v>
      </c>
      <c r="F99" s="253">
        <f>(F151/Population_Tables!S17)*Population_Tables!G17</f>
        <v>0</v>
      </c>
      <c r="G99" s="253">
        <f>(G151/Population_Tables!T17)*Population_Tables!H17</f>
        <v>0</v>
      </c>
      <c r="H99" s="253">
        <f>(H151/Population_Tables!U17)*Population_Tables!I17</f>
        <v>0</v>
      </c>
      <c r="I99" s="253">
        <f>(I151/Population_Tables!V17)*Population_Tables!J17</f>
        <v>0</v>
      </c>
      <c r="J99" s="253">
        <f>(J151/Population_Tables!W17)*Population_Tables!K17</f>
        <v>0</v>
      </c>
      <c r="K99" s="253">
        <f>(K151/Population_Tables!X17)*Population_Tables!L17</f>
        <v>0</v>
      </c>
      <c r="L99" s="170"/>
      <c r="M99" s="170"/>
      <c r="N99" s="195">
        <f t="shared" si="9"/>
        <v>0</v>
      </c>
      <c r="O99" s="195">
        <f t="shared" si="10"/>
        <v>0</v>
      </c>
      <c r="P99" s="195">
        <f t="shared" si="11"/>
        <v>0</v>
      </c>
      <c r="Q99" s="195">
        <f t="shared" si="12"/>
        <v>0</v>
      </c>
      <c r="R99" s="196" t="e">
        <f t="shared" si="13"/>
        <v>#DIV/0!</v>
      </c>
      <c r="S99" s="170"/>
      <c r="T99" s="170"/>
      <c r="U99" s="195">
        <f t="shared" si="18"/>
        <v>0</v>
      </c>
      <c r="V99" s="195">
        <f t="shared" si="14"/>
        <v>0</v>
      </c>
      <c r="W99" s="195">
        <f t="shared" si="14"/>
        <v>0</v>
      </c>
      <c r="X99" s="195">
        <f t="shared" si="17"/>
        <v>0</v>
      </c>
      <c r="Y99" s="207" t="e">
        <f t="shared" si="16"/>
        <v>#DIV/0!</v>
      </c>
      <c r="AC99" s="251" t="e">
        <f t="shared" si="15"/>
        <v>#DIV/0!</v>
      </c>
    </row>
    <row r="100" spans="1:29" ht="15.6" x14ac:dyDescent="0.3">
      <c r="A100" s="206">
        <v>2029</v>
      </c>
      <c r="B100" s="253">
        <f>(B152/Population_Tables!O18)*Population_Tables!C18</f>
        <v>78584.989530646839</v>
      </c>
      <c r="C100" s="253">
        <f>(C152/Population_Tables!P18)*Population_Tables!D18</f>
        <v>0</v>
      </c>
      <c r="D100" s="253">
        <f>(D152/Population_Tables!Q18)*Population_Tables!E18</f>
        <v>0</v>
      </c>
      <c r="E100" s="253">
        <f>(E152/Population_Tables!R18)*Population_Tables!F18</f>
        <v>0</v>
      </c>
      <c r="F100" s="253">
        <f>(F152/Population_Tables!S18)*Population_Tables!G18</f>
        <v>0</v>
      </c>
      <c r="G100" s="253">
        <f>(G152/Population_Tables!T18)*Population_Tables!H18</f>
        <v>0</v>
      </c>
      <c r="H100" s="253">
        <f>(H152/Population_Tables!U18)*Population_Tables!I18</f>
        <v>0</v>
      </c>
      <c r="I100" s="253">
        <f>(I152/Population_Tables!V18)*Population_Tables!J18</f>
        <v>0</v>
      </c>
      <c r="J100" s="253">
        <f>(J152/Population_Tables!W18)*Population_Tables!K18</f>
        <v>0</v>
      </c>
      <c r="K100" s="253">
        <f>(K152/Population_Tables!X18)*Population_Tables!L18</f>
        <v>0</v>
      </c>
      <c r="L100" s="170"/>
      <c r="M100" s="170"/>
      <c r="N100" s="195">
        <f t="shared" si="9"/>
        <v>0</v>
      </c>
      <c r="O100" s="195">
        <f t="shared" si="10"/>
        <v>0</v>
      </c>
      <c r="P100" s="195">
        <f t="shared" si="11"/>
        <v>0</v>
      </c>
      <c r="Q100" s="195">
        <f t="shared" si="12"/>
        <v>0</v>
      </c>
      <c r="R100" s="196" t="e">
        <f t="shared" si="13"/>
        <v>#DIV/0!</v>
      </c>
      <c r="S100" s="170"/>
      <c r="T100" s="170"/>
      <c r="U100" s="195">
        <f t="shared" si="18"/>
        <v>0</v>
      </c>
      <c r="V100" s="195">
        <f t="shared" si="14"/>
        <v>0</v>
      </c>
      <c r="W100" s="195">
        <f t="shared" si="14"/>
        <v>0</v>
      </c>
      <c r="X100" s="195">
        <f t="shared" si="17"/>
        <v>0</v>
      </c>
      <c r="Y100" s="207" t="e">
        <f t="shared" si="16"/>
        <v>#DIV/0!</v>
      </c>
      <c r="AC100" s="251" t="e">
        <f t="shared" si="15"/>
        <v>#DIV/0!</v>
      </c>
    </row>
    <row r="101" spans="1:29" ht="15.6" x14ac:dyDescent="0.3">
      <c r="A101" s="206">
        <v>2030</v>
      </c>
      <c r="B101" s="253">
        <f>(B153/Population_Tables!O19)*Population_Tables!C19</f>
        <v>81592.626867136933</v>
      </c>
      <c r="C101" s="253">
        <f>(C153/Population_Tables!P19)*Population_Tables!D19</f>
        <v>0</v>
      </c>
      <c r="D101" s="253">
        <f>(D153/Population_Tables!Q19)*Population_Tables!E19</f>
        <v>0</v>
      </c>
      <c r="E101" s="253">
        <f>(E153/Population_Tables!R19)*Population_Tables!F19</f>
        <v>0</v>
      </c>
      <c r="F101" s="253">
        <f>(F153/Population_Tables!S19)*Population_Tables!G19</f>
        <v>0</v>
      </c>
      <c r="G101" s="253">
        <f>(G153/Population_Tables!T19)*Population_Tables!H19</f>
        <v>0</v>
      </c>
      <c r="H101" s="253">
        <f>(H153/Population_Tables!U19)*Population_Tables!I19</f>
        <v>0</v>
      </c>
      <c r="I101" s="253">
        <f>(I153/Population_Tables!V19)*Population_Tables!J19</f>
        <v>0</v>
      </c>
      <c r="J101" s="253">
        <f>(J153/Population_Tables!W19)*Population_Tables!K19</f>
        <v>0</v>
      </c>
      <c r="K101" s="253">
        <f>(K153/Population_Tables!X19)*Population_Tables!L19</f>
        <v>0</v>
      </c>
      <c r="L101" s="170"/>
      <c r="M101" s="170"/>
      <c r="N101" s="195">
        <f t="shared" si="9"/>
        <v>0</v>
      </c>
      <c r="O101" s="195">
        <f t="shared" si="10"/>
        <v>0</v>
      </c>
      <c r="P101" s="195">
        <f t="shared" si="11"/>
        <v>0</v>
      </c>
      <c r="Q101" s="195">
        <f t="shared" si="12"/>
        <v>0</v>
      </c>
      <c r="R101" s="196" t="e">
        <f t="shared" si="13"/>
        <v>#DIV/0!</v>
      </c>
      <c r="S101" s="170"/>
      <c r="T101" s="170"/>
      <c r="U101" s="195">
        <f t="shared" si="18"/>
        <v>0</v>
      </c>
      <c r="V101" s="195">
        <f t="shared" si="14"/>
        <v>0</v>
      </c>
      <c r="W101" s="195">
        <f t="shared" si="14"/>
        <v>0</v>
      </c>
      <c r="X101" s="195">
        <f t="shared" si="17"/>
        <v>0</v>
      </c>
      <c r="Y101" s="207" t="e">
        <f t="shared" si="16"/>
        <v>#DIV/0!</v>
      </c>
      <c r="AC101" s="251" t="e">
        <f t="shared" si="15"/>
        <v>#DIV/0!</v>
      </c>
    </row>
    <row r="102" spans="1:29" ht="15.6" x14ac:dyDescent="0.3">
      <c r="A102" s="206">
        <v>2031</v>
      </c>
      <c r="B102" s="253">
        <f>(B154/Population_Tables!O20)*Population_Tables!C20</f>
        <v>84781.721775278565</v>
      </c>
      <c r="C102" s="253">
        <f>(C154/Population_Tables!P20)*Population_Tables!D20</f>
        <v>0</v>
      </c>
      <c r="D102" s="253">
        <f>(D154/Population_Tables!Q20)*Population_Tables!E20</f>
        <v>0</v>
      </c>
      <c r="E102" s="253">
        <f>(E154/Population_Tables!R20)*Population_Tables!F20</f>
        <v>0</v>
      </c>
      <c r="F102" s="253">
        <f>(F154/Population_Tables!S20)*Population_Tables!G20</f>
        <v>0</v>
      </c>
      <c r="G102" s="253">
        <f>(G154/Population_Tables!T20)*Population_Tables!H20</f>
        <v>0</v>
      </c>
      <c r="H102" s="253">
        <f>(H154/Population_Tables!U20)*Population_Tables!I20</f>
        <v>0</v>
      </c>
      <c r="I102" s="253">
        <f>(I154/Population_Tables!V20)*Population_Tables!J20</f>
        <v>0</v>
      </c>
      <c r="J102" s="253">
        <f>(J154/Population_Tables!W20)*Population_Tables!K20</f>
        <v>0</v>
      </c>
      <c r="K102" s="253">
        <f>(K154/Population_Tables!X20)*Population_Tables!L20</f>
        <v>0</v>
      </c>
      <c r="L102" s="170"/>
      <c r="M102" s="170"/>
      <c r="N102" s="195">
        <f t="shared" si="9"/>
        <v>0</v>
      </c>
      <c r="O102" s="195">
        <f t="shared" si="10"/>
        <v>0</v>
      </c>
      <c r="P102" s="195">
        <f t="shared" si="11"/>
        <v>0</v>
      </c>
      <c r="Q102" s="195">
        <f t="shared" si="12"/>
        <v>0</v>
      </c>
      <c r="R102" s="196" t="e">
        <f t="shared" si="13"/>
        <v>#DIV/0!</v>
      </c>
      <c r="S102" s="170"/>
      <c r="T102" s="170"/>
      <c r="U102" s="195">
        <f t="shared" si="18"/>
        <v>0</v>
      </c>
      <c r="V102" s="195">
        <f t="shared" si="14"/>
        <v>0</v>
      </c>
      <c r="W102" s="195">
        <f t="shared" si="14"/>
        <v>0</v>
      </c>
      <c r="X102" s="195">
        <f t="shared" si="17"/>
        <v>0</v>
      </c>
      <c r="Y102" s="207" t="e">
        <f t="shared" si="16"/>
        <v>#DIV/0!</v>
      </c>
      <c r="AC102" s="251" t="e">
        <f t="shared" si="15"/>
        <v>#DIV/0!</v>
      </c>
    </row>
    <row r="103" spans="1:29" ht="15.6" x14ac:dyDescent="0.3">
      <c r="A103" s="206">
        <v>2032</v>
      </c>
      <c r="B103" s="253">
        <f>(B155/Population_Tables!O21)*Population_Tables!C21</f>
        <v>88160.394741241529</v>
      </c>
      <c r="C103" s="253">
        <f>(C155/Population_Tables!P21)*Population_Tables!D21</f>
        <v>0</v>
      </c>
      <c r="D103" s="253">
        <f>(D155/Population_Tables!Q21)*Population_Tables!E21</f>
        <v>0</v>
      </c>
      <c r="E103" s="253">
        <f>(E155/Population_Tables!R21)*Population_Tables!F21</f>
        <v>0</v>
      </c>
      <c r="F103" s="253">
        <f>(F155/Population_Tables!S21)*Population_Tables!G21</f>
        <v>0</v>
      </c>
      <c r="G103" s="253">
        <f>(G155/Population_Tables!T21)*Population_Tables!H21</f>
        <v>0</v>
      </c>
      <c r="H103" s="253">
        <f>(H155/Population_Tables!U21)*Population_Tables!I21</f>
        <v>0</v>
      </c>
      <c r="I103" s="253">
        <f>(I155/Population_Tables!V21)*Population_Tables!J21</f>
        <v>0</v>
      </c>
      <c r="J103" s="253">
        <f>(J155/Population_Tables!W21)*Population_Tables!K21</f>
        <v>0</v>
      </c>
      <c r="K103" s="253">
        <f>(K155/Population_Tables!X21)*Population_Tables!L21</f>
        <v>0</v>
      </c>
      <c r="L103" s="170"/>
      <c r="M103" s="170"/>
      <c r="N103" s="195">
        <f t="shared" si="9"/>
        <v>0</v>
      </c>
      <c r="O103" s="195">
        <f t="shared" si="10"/>
        <v>0</v>
      </c>
      <c r="P103" s="195">
        <f t="shared" si="11"/>
        <v>0</v>
      </c>
      <c r="Q103" s="195">
        <f t="shared" si="12"/>
        <v>0</v>
      </c>
      <c r="R103" s="196" t="e">
        <f t="shared" si="13"/>
        <v>#DIV/0!</v>
      </c>
      <c r="S103" s="170"/>
      <c r="T103" s="170"/>
      <c r="U103" s="195">
        <f t="shared" si="18"/>
        <v>0</v>
      </c>
      <c r="V103" s="195">
        <f t="shared" si="14"/>
        <v>0</v>
      </c>
      <c r="W103" s="195">
        <f t="shared" si="14"/>
        <v>0</v>
      </c>
      <c r="X103" s="195">
        <f t="shared" si="17"/>
        <v>0</v>
      </c>
      <c r="Y103" s="207" t="e">
        <f t="shared" si="16"/>
        <v>#DIV/0!</v>
      </c>
      <c r="AC103" s="251" t="e">
        <f t="shared" si="15"/>
        <v>#DIV/0!</v>
      </c>
    </row>
    <row r="104" spans="1:29" ht="15.6" x14ac:dyDescent="0.3">
      <c r="A104" s="206">
        <v>2033</v>
      </c>
      <c r="B104" s="253">
        <f>(B156/Population_Tables!O22)*Population_Tables!C22</f>
        <v>91734.586788597866</v>
      </c>
      <c r="C104" s="253">
        <f>(C156/Population_Tables!P22)*Population_Tables!D22</f>
        <v>0</v>
      </c>
      <c r="D104" s="253">
        <f>(D156/Population_Tables!Q22)*Population_Tables!E22</f>
        <v>0</v>
      </c>
      <c r="E104" s="253">
        <f>(E156/Population_Tables!R22)*Population_Tables!F22</f>
        <v>0</v>
      </c>
      <c r="F104" s="253">
        <f>(F156/Population_Tables!S22)*Population_Tables!G22</f>
        <v>0</v>
      </c>
      <c r="G104" s="253">
        <f>(G156/Population_Tables!T22)*Population_Tables!H22</f>
        <v>0</v>
      </c>
      <c r="H104" s="253">
        <f>(H156/Population_Tables!U22)*Population_Tables!I22</f>
        <v>0</v>
      </c>
      <c r="I104" s="253">
        <f>(I156/Population_Tables!V22)*Population_Tables!J22</f>
        <v>0</v>
      </c>
      <c r="J104" s="253">
        <f>(J156/Population_Tables!W22)*Population_Tables!K22</f>
        <v>0</v>
      </c>
      <c r="K104" s="253">
        <f>(K156/Population_Tables!X22)*Population_Tables!L22</f>
        <v>0</v>
      </c>
      <c r="L104" s="170"/>
      <c r="M104" s="170"/>
      <c r="N104" s="195">
        <f t="shared" si="9"/>
        <v>0</v>
      </c>
      <c r="O104" s="195">
        <f t="shared" si="10"/>
        <v>0</v>
      </c>
      <c r="P104" s="195">
        <f t="shared" si="11"/>
        <v>0</v>
      </c>
      <c r="Q104" s="195">
        <f t="shared" si="12"/>
        <v>0</v>
      </c>
      <c r="R104" s="196" t="e">
        <f t="shared" si="13"/>
        <v>#DIV/0!</v>
      </c>
      <c r="S104" s="170"/>
      <c r="T104" s="170"/>
      <c r="U104" s="195">
        <f t="shared" si="18"/>
        <v>0</v>
      </c>
      <c r="V104" s="195">
        <f t="shared" si="14"/>
        <v>0</v>
      </c>
      <c r="W104" s="195">
        <f t="shared" si="14"/>
        <v>0</v>
      </c>
      <c r="X104" s="195">
        <f t="shared" si="17"/>
        <v>0</v>
      </c>
      <c r="Y104" s="207" t="e">
        <f t="shared" si="16"/>
        <v>#DIV/0!</v>
      </c>
      <c r="AC104" s="251" t="e">
        <f t="shared" si="15"/>
        <v>#DIV/0!</v>
      </c>
    </row>
    <row r="105" spans="1:29" ht="15.6" x14ac:dyDescent="0.3">
      <c r="A105" s="206">
        <v>2034</v>
      </c>
      <c r="B105" s="253">
        <f>(B157/Population_Tables!O23)*Population_Tables!C23</f>
        <v>95508.836748733986</v>
      </c>
      <c r="C105" s="253">
        <f>(C157/Population_Tables!P23)*Population_Tables!D23</f>
        <v>0</v>
      </c>
      <c r="D105" s="253">
        <f>(D157/Population_Tables!Q23)*Population_Tables!E23</f>
        <v>0</v>
      </c>
      <c r="E105" s="253">
        <f>(E157/Population_Tables!R23)*Population_Tables!F23</f>
        <v>0</v>
      </c>
      <c r="F105" s="253">
        <f>(F157/Population_Tables!S23)*Population_Tables!G23</f>
        <v>0</v>
      </c>
      <c r="G105" s="253">
        <f>(G157/Population_Tables!T23)*Population_Tables!H23</f>
        <v>0</v>
      </c>
      <c r="H105" s="253">
        <f>(H157/Population_Tables!U23)*Population_Tables!I23</f>
        <v>0</v>
      </c>
      <c r="I105" s="253">
        <f>(I157/Population_Tables!V23)*Population_Tables!J23</f>
        <v>0</v>
      </c>
      <c r="J105" s="253">
        <f>(J157/Population_Tables!W23)*Population_Tables!K23</f>
        <v>0</v>
      </c>
      <c r="K105" s="253">
        <f>(K157/Population_Tables!X23)*Population_Tables!L23</f>
        <v>0</v>
      </c>
      <c r="L105" s="170"/>
      <c r="M105" s="170"/>
      <c r="N105" s="195">
        <f t="shared" si="9"/>
        <v>0</v>
      </c>
      <c r="O105" s="195">
        <f t="shared" si="10"/>
        <v>0</v>
      </c>
      <c r="P105" s="195">
        <f t="shared" si="11"/>
        <v>0</v>
      </c>
      <c r="Q105" s="195">
        <f t="shared" si="12"/>
        <v>0</v>
      </c>
      <c r="R105" s="196" t="e">
        <f t="shared" si="13"/>
        <v>#DIV/0!</v>
      </c>
      <c r="S105" s="170"/>
      <c r="T105" s="170"/>
      <c r="U105" s="195">
        <f t="shared" si="18"/>
        <v>0</v>
      </c>
      <c r="V105" s="195">
        <f t="shared" si="14"/>
        <v>0</v>
      </c>
      <c r="W105" s="195">
        <f t="shared" si="14"/>
        <v>0</v>
      </c>
      <c r="X105" s="195">
        <f t="shared" si="17"/>
        <v>0</v>
      </c>
      <c r="Y105" s="207" t="e">
        <f t="shared" si="16"/>
        <v>#DIV/0!</v>
      </c>
      <c r="AC105" s="251" t="e">
        <f t="shared" si="15"/>
        <v>#DIV/0!</v>
      </c>
    </row>
    <row r="106" spans="1:29" ht="15.6" x14ac:dyDescent="0.3">
      <c r="A106" s="206">
        <v>2035</v>
      </c>
      <c r="B106" s="253">
        <f>(B158/Population_Tables!O24)*Population_Tables!C24</f>
        <v>99488.681950104408</v>
      </c>
      <c r="C106" s="253">
        <f>(C158/Population_Tables!P24)*Population_Tables!D24</f>
        <v>0</v>
      </c>
      <c r="D106" s="253">
        <f>(D158/Population_Tables!Q24)*Population_Tables!E24</f>
        <v>0</v>
      </c>
      <c r="E106" s="253">
        <f>(E158/Population_Tables!R24)*Population_Tables!F24</f>
        <v>0</v>
      </c>
      <c r="F106" s="253">
        <f>(F158/Population_Tables!S24)*Population_Tables!G24</f>
        <v>0</v>
      </c>
      <c r="G106" s="253">
        <f>(G158/Population_Tables!T24)*Population_Tables!H24</f>
        <v>0</v>
      </c>
      <c r="H106" s="253">
        <f>(H158/Population_Tables!U24)*Population_Tables!I24</f>
        <v>0</v>
      </c>
      <c r="I106" s="253">
        <f>(I158/Population_Tables!V24)*Population_Tables!J24</f>
        <v>0</v>
      </c>
      <c r="J106" s="253">
        <f>(J158/Population_Tables!W24)*Population_Tables!K24</f>
        <v>0</v>
      </c>
      <c r="K106" s="253">
        <f>(K158/Population_Tables!X24)*Population_Tables!L24</f>
        <v>0</v>
      </c>
      <c r="L106" s="170"/>
      <c r="M106" s="170"/>
      <c r="N106" s="195">
        <f t="shared" si="9"/>
        <v>0</v>
      </c>
      <c r="O106" s="195">
        <f t="shared" si="10"/>
        <v>0</v>
      </c>
      <c r="P106" s="195">
        <f t="shared" si="11"/>
        <v>0</v>
      </c>
      <c r="Q106" s="195">
        <f t="shared" si="12"/>
        <v>0</v>
      </c>
      <c r="R106" s="196" t="e">
        <f t="shared" si="13"/>
        <v>#DIV/0!</v>
      </c>
      <c r="S106" s="170"/>
      <c r="T106" s="170"/>
      <c r="U106" s="195">
        <f t="shared" si="18"/>
        <v>0</v>
      </c>
      <c r="V106" s="195">
        <f t="shared" si="14"/>
        <v>0</v>
      </c>
      <c r="W106" s="195">
        <f t="shared" si="14"/>
        <v>0</v>
      </c>
      <c r="X106" s="195">
        <f t="shared" si="17"/>
        <v>0</v>
      </c>
      <c r="Y106" s="207" t="e">
        <f t="shared" si="16"/>
        <v>#DIV/0!</v>
      </c>
      <c r="AC106" s="251" t="e">
        <f t="shared" si="15"/>
        <v>#DIV/0!</v>
      </c>
    </row>
    <row r="107" spans="1:29" ht="15.6" x14ac:dyDescent="0.3">
      <c r="A107" s="206">
        <v>2036</v>
      </c>
      <c r="B107" s="253">
        <f>(B159/Population_Tables!O25)*Population_Tables!C25</f>
        <v>103681.59168855645</v>
      </c>
      <c r="C107" s="253">
        <f>(C159/Population_Tables!P25)*Population_Tables!D25</f>
        <v>0</v>
      </c>
      <c r="D107" s="253">
        <f>(D159/Population_Tables!Q25)*Population_Tables!E25</f>
        <v>0</v>
      </c>
      <c r="E107" s="253">
        <f>(E159/Population_Tables!R25)*Population_Tables!F25</f>
        <v>0</v>
      </c>
      <c r="F107" s="253">
        <f>(F159/Population_Tables!S25)*Population_Tables!G25</f>
        <v>0</v>
      </c>
      <c r="G107" s="253">
        <f>(G159/Population_Tables!T25)*Population_Tables!H25</f>
        <v>0</v>
      </c>
      <c r="H107" s="253">
        <f>(H159/Population_Tables!U25)*Population_Tables!I25</f>
        <v>0</v>
      </c>
      <c r="I107" s="253">
        <f>(I159/Population_Tables!V25)*Population_Tables!J25</f>
        <v>0</v>
      </c>
      <c r="J107" s="253">
        <f>(J159/Population_Tables!W25)*Population_Tables!K25</f>
        <v>0</v>
      </c>
      <c r="K107" s="253">
        <f>(K159/Population_Tables!X25)*Population_Tables!L25</f>
        <v>0</v>
      </c>
      <c r="L107" s="170"/>
      <c r="M107" s="170"/>
      <c r="N107" s="195">
        <f t="shared" si="9"/>
        <v>0</v>
      </c>
      <c r="O107" s="195">
        <f t="shared" si="10"/>
        <v>0</v>
      </c>
      <c r="P107" s="195">
        <f t="shared" si="11"/>
        <v>0</v>
      </c>
      <c r="Q107" s="195">
        <f t="shared" si="12"/>
        <v>0</v>
      </c>
      <c r="R107" s="196" t="e">
        <f t="shared" si="13"/>
        <v>#DIV/0!</v>
      </c>
      <c r="S107" s="170"/>
      <c r="T107" s="170"/>
      <c r="U107" s="195">
        <f t="shared" si="18"/>
        <v>0</v>
      </c>
      <c r="V107" s="195">
        <f t="shared" si="14"/>
        <v>0</v>
      </c>
      <c r="W107" s="195">
        <f t="shared" si="14"/>
        <v>0</v>
      </c>
      <c r="X107" s="195">
        <f t="shared" si="17"/>
        <v>0</v>
      </c>
      <c r="Y107" s="207" t="e">
        <f t="shared" si="16"/>
        <v>#DIV/0!</v>
      </c>
      <c r="AC107" s="251" t="e">
        <f t="shared" si="15"/>
        <v>#DIV/0!</v>
      </c>
    </row>
    <row r="108" spans="1:29" ht="15.6" x14ac:dyDescent="0.3">
      <c r="A108" s="206">
        <v>2037</v>
      </c>
      <c r="B108" s="253">
        <f>(B160/Population_Tables!O26)*Population_Tables!C26</f>
        <v>108097.49481969643</v>
      </c>
      <c r="C108" s="253">
        <f>(C160/Population_Tables!P26)*Population_Tables!D26</f>
        <v>0</v>
      </c>
      <c r="D108" s="253">
        <f>(D160/Population_Tables!Q26)*Population_Tables!E26</f>
        <v>0</v>
      </c>
      <c r="E108" s="253">
        <f>(E160/Population_Tables!R26)*Population_Tables!F26</f>
        <v>0</v>
      </c>
      <c r="F108" s="253">
        <f>(F160/Population_Tables!S26)*Population_Tables!G26</f>
        <v>0</v>
      </c>
      <c r="G108" s="253">
        <f>(G160/Population_Tables!T26)*Population_Tables!H26</f>
        <v>0</v>
      </c>
      <c r="H108" s="253">
        <f>(H160/Population_Tables!U26)*Population_Tables!I26</f>
        <v>0</v>
      </c>
      <c r="I108" s="253">
        <f>(I160/Population_Tables!V26)*Population_Tables!J26</f>
        <v>0</v>
      </c>
      <c r="J108" s="253">
        <f>(J160/Population_Tables!W26)*Population_Tables!K26</f>
        <v>0</v>
      </c>
      <c r="K108" s="253">
        <f>(K160/Population_Tables!X26)*Population_Tables!L26</f>
        <v>0</v>
      </c>
      <c r="L108" s="170"/>
      <c r="M108" s="170"/>
      <c r="N108" s="195">
        <f t="shared" si="9"/>
        <v>0</v>
      </c>
      <c r="O108" s="195">
        <f t="shared" si="10"/>
        <v>0</v>
      </c>
      <c r="P108" s="195">
        <f t="shared" si="11"/>
        <v>0</v>
      </c>
      <c r="Q108" s="195">
        <f t="shared" si="12"/>
        <v>0</v>
      </c>
      <c r="R108" s="196" t="e">
        <f t="shared" si="13"/>
        <v>#DIV/0!</v>
      </c>
      <c r="S108" s="170"/>
      <c r="T108" s="170"/>
      <c r="U108" s="195">
        <f t="shared" si="18"/>
        <v>0</v>
      </c>
      <c r="V108" s="195">
        <f t="shared" si="14"/>
        <v>0</v>
      </c>
      <c r="W108" s="195">
        <f t="shared" si="14"/>
        <v>0</v>
      </c>
      <c r="X108" s="195">
        <f t="shared" si="17"/>
        <v>0</v>
      </c>
      <c r="Y108" s="207" t="e">
        <f t="shared" si="16"/>
        <v>#DIV/0!</v>
      </c>
      <c r="AC108" s="251" t="e">
        <f t="shared" si="15"/>
        <v>#DIV/0!</v>
      </c>
    </row>
    <row r="109" spans="1:29" ht="15.6" x14ac:dyDescent="0.3">
      <c r="A109" s="206">
        <v>2038</v>
      </c>
      <c r="B109" s="253">
        <f>(B161/Population_Tables!O27)*Population_Tables!C27</f>
        <v>112747.49462310936</v>
      </c>
      <c r="C109" s="253">
        <f>(C161/Population_Tables!P27)*Population_Tables!D27</f>
        <v>0</v>
      </c>
      <c r="D109" s="253">
        <f>(D161/Population_Tables!Q27)*Population_Tables!E27</f>
        <v>0</v>
      </c>
      <c r="E109" s="253">
        <f>(E161/Population_Tables!R27)*Population_Tables!F27</f>
        <v>0</v>
      </c>
      <c r="F109" s="253">
        <f>(F161/Population_Tables!S27)*Population_Tables!G27</f>
        <v>0</v>
      </c>
      <c r="G109" s="253">
        <f>(G161/Population_Tables!T27)*Population_Tables!H27</f>
        <v>0</v>
      </c>
      <c r="H109" s="253">
        <f>(H161/Population_Tables!U27)*Population_Tables!I27</f>
        <v>0</v>
      </c>
      <c r="I109" s="253">
        <f>(I161/Population_Tables!V27)*Population_Tables!J27</f>
        <v>0</v>
      </c>
      <c r="J109" s="253">
        <f>(J161/Population_Tables!W27)*Population_Tables!K27</f>
        <v>0</v>
      </c>
      <c r="K109" s="253">
        <f>(K161/Population_Tables!X27)*Population_Tables!L27</f>
        <v>0</v>
      </c>
      <c r="L109" s="170"/>
      <c r="M109" s="170"/>
      <c r="N109" s="195">
        <f t="shared" si="9"/>
        <v>0</v>
      </c>
      <c r="O109" s="195">
        <f t="shared" si="10"/>
        <v>0</v>
      </c>
      <c r="P109" s="195">
        <f t="shared" si="11"/>
        <v>0</v>
      </c>
      <c r="Q109" s="195">
        <f t="shared" si="12"/>
        <v>0</v>
      </c>
      <c r="R109" s="196" t="e">
        <f t="shared" si="13"/>
        <v>#DIV/0!</v>
      </c>
      <c r="S109" s="170"/>
      <c r="T109" s="170"/>
      <c r="U109" s="195">
        <f t="shared" si="18"/>
        <v>0</v>
      </c>
      <c r="V109" s="195">
        <f t="shared" si="14"/>
        <v>0</v>
      </c>
      <c r="W109" s="195">
        <f t="shared" si="14"/>
        <v>0</v>
      </c>
      <c r="X109" s="195">
        <f t="shared" si="17"/>
        <v>0</v>
      </c>
      <c r="Y109" s="207" t="e">
        <f t="shared" si="16"/>
        <v>#DIV/0!</v>
      </c>
      <c r="AC109" s="251" t="e">
        <f t="shared" si="15"/>
        <v>#DIV/0!</v>
      </c>
    </row>
    <row r="110" spans="1:29" ht="15.6" x14ac:dyDescent="0.3">
      <c r="A110" s="206">
        <v>2039</v>
      </c>
      <c r="B110" s="253">
        <f>(B162/Population_Tables!O28)*Population_Tables!C28</f>
        <v>117644.39496249041</v>
      </c>
      <c r="C110" s="253">
        <f>(C162/Population_Tables!P28)*Population_Tables!D28</f>
        <v>0</v>
      </c>
      <c r="D110" s="253">
        <f>(D162/Population_Tables!Q28)*Population_Tables!E28</f>
        <v>0</v>
      </c>
      <c r="E110" s="253">
        <f>(E162/Population_Tables!R28)*Population_Tables!F28</f>
        <v>0</v>
      </c>
      <c r="F110" s="253">
        <f>(F162/Population_Tables!S28)*Population_Tables!G28</f>
        <v>0</v>
      </c>
      <c r="G110" s="253">
        <f>(G162/Population_Tables!T28)*Population_Tables!H28</f>
        <v>0</v>
      </c>
      <c r="H110" s="253">
        <f>(H162/Population_Tables!U28)*Population_Tables!I28</f>
        <v>0</v>
      </c>
      <c r="I110" s="253">
        <f>(I162/Population_Tables!V28)*Population_Tables!J28</f>
        <v>0</v>
      </c>
      <c r="J110" s="253">
        <f>(J162/Population_Tables!W28)*Population_Tables!K28</f>
        <v>0</v>
      </c>
      <c r="K110" s="253">
        <f>(K162/Population_Tables!X28)*Population_Tables!L28</f>
        <v>0</v>
      </c>
      <c r="L110" s="170"/>
      <c r="M110" s="170"/>
      <c r="N110" s="195">
        <f t="shared" si="9"/>
        <v>0</v>
      </c>
      <c r="O110" s="195">
        <f t="shared" si="10"/>
        <v>0</v>
      </c>
      <c r="P110" s="195">
        <f t="shared" si="11"/>
        <v>0</v>
      </c>
      <c r="Q110" s="195">
        <f t="shared" si="12"/>
        <v>0</v>
      </c>
      <c r="R110" s="196" t="e">
        <f t="shared" si="13"/>
        <v>#DIV/0!</v>
      </c>
      <c r="S110" s="170"/>
      <c r="T110" s="170"/>
      <c r="U110" s="195">
        <f t="shared" si="18"/>
        <v>0</v>
      </c>
      <c r="V110" s="195">
        <f t="shared" si="14"/>
        <v>0</v>
      </c>
      <c r="W110" s="195">
        <f t="shared" si="14"/>
        <v>0</v>
      </c>
      <c r="X110" s="195">
        <f t="shared" si="17"/>
        <v>0</v>
      </c>
      <c r="Y110" s="207" t="e">
        <f t="shared" si="16"/>
        <v>#DIV/0!</v>
      </c>
      <c r="AC110" s="251" t="e">
        <f t="shared" si="15"/>
        <v>#DIV/0!</v>
      </c>
    </row>
    <row r="111" spans="1:29" ht="15.6" x14ac:dyDescent="0.3">
      <c r="A111" s="206">
        <v>2040</v>
      </c>
      <c r="B111" s="253">
        <f>(B163/Population_Tables!O29)*Population_Tables!C29</f>
        <v>122800.9533526859</v>
      </c>
      <c r="C111" s="253">
        <f>(C163/Population_Tables!P29)*Population_Tables!D29</f>
        <v>0</v>
      </c>
      <c r="D111" s="253">
        <f>(D163/Population_Tables!Q29)*Population_Tables!E29</f>
        <v>0</v>
      </c>
      <c r="E111" s="253">
        <f>(E163/Population_Tables!R29)*Population_Tables!F29</f>
        <v>0</v>
      </c>
      <c r="F111" s="253">
        <f>(F163/Population_Tables!S29)*Population_Tables!G29</f>
        <v>0</v>
      </c>
      <c r="G111" s="253">
        <f>(G163/Population_Tables!T29)*Population_Tables!H29</f>
        <v>0</v>
      </c>
      <c r="H111" s="253">
        <f>(H163/Population_Tables!U29)*Population_Tables!I29</f>
        <v>0</v>
      </c>
      <c r="I111" s="253">
        <f>(I163/Population_Tables!V29)*Population_Tables!J29</f>
        <v>0</v>
      </c>
      <c r="J111" s="253">
        <f>(J163/Population_Tables!W29)*Population_Tables!K29</f>
        <v>0</v>
      </c>
      <c r="K111" s="253">
        <f>(K163/Population_Tables!X29)*Population_Tables!L29</f>
        <v>0</v>
      </c>
      <c r="L111" s="170"/>
      <c r="M111" s="170"/>
      <c r="N111" s="195">
        <f t="shared" si="9"/>
        <v>0</v>
      </c>
      <c r="O111" s="195">
        <f t="shared" si="10"/>
        <v>0</v>
      </c>
      <c r="P111" s="195">
        <f t="shared" si="11"/>
        <v>0</v>
      </c>
      <c r="Q111" s="195">
        <f t="shared" si="12"/>
        <v>0</v>
      </c>
      <c r="R111" s="196" t="e">
        <f>N111/Q111</f>
        <v>#DIV/0!</v>
      </c>
      <c r="S111" s="170"/>
      <c r="T111" s="170"/>
      <c r="U111" s="195">
        <f t="shared" si="18"/>
        <v>0</v>
      </c>
      <c r="V111" s="195">
        <f t="shared" si="14"/>
        <v>0</v>
      </c>
      <c r="W111" s="195">
        <f t="shared" si="14"/>
        <v>0</v>
      </c>
      <c r="X111" s="195">
        <f t="shared" si="17"/>
        <v>0</v>
      </c>
      <c r="Y111" s="207" t="e">
        <f t="shared" si="16"/>
        <v>#DIV/0!</v>
      </c>
      <c r="AC111" s="251" t="e">
        <f t="shared" si="15"/>
        <v>#DIV/0!</v>
      </c>
    </row>
    <row r="112" spans="1:29" ht="15.6" x14ac:dyDescent="0.3">
      <c r="A112" s="206">
        <v>2041</v>
      </c>
      <c r="B112" s="253">
        <f>(B164/Population_Tables!O30)*Population_Tables!C30</f>
        <v>128228.1558067216</v>
      </c>
      <c r="C112" s="253">
        <f>(C164/Population_Tables!P30)*Population_Tables!D30</f>
        <v>0</v>
      </c>
      <c r="D112" s="253">
        <f>(D164/Population_Tables!Q30)*Population_Tables!E30</f>
        <v>0</v>
      </c>
      <c r="E112" s="253">
        <f>(E164/Population_Tables!R30)*Population_Tables!F30</f>
        <v>0</v>
      </c>
      <c r="F112" s="253">
        <f>(F164/Population_Tables!S30)*Population_Tables!G30</f>
        <v>0</v>
      </c>
      <c r="G112" s="253">
        <f>(G164/Population_Tables!T30)*Population_Tables!H30</f>
        <v>0</v>
      </c>
      <c r="H112" s="253">
        <f>(H164/Population_Tables!U30)*Population_Tables!I30</f>
        <v>0</v>
      </c>
      <c r="I112" s="253">
        <f>(I164/Population_Tables!V30)*Population_Tables!J30</f>
        <v>0</v>
      </c>
      <c r="J112" s="253">
        <f>(J164/Population_Tables!W30)*Population_Tables!K30</f>
        <v>0</v>
      </c>
      <c r="K112" s="253">
        <f>(K164/Population_Tables!X30)*Population_Tables!L30</f>
        <v>0</v>
      </c>
      <c r="L112" s="170"/>
      <c r="M112" s="170"/>
      <c r="N112" s="195">
        <f t="shared" si="9"/>
        <v>0</v>
      </c>
      <c r="O112" s="195">
        <f t="shared" si="10"/>
        <v>0</v>
      </c>
      <c r="P112" s="195">
        <f t="shared" si="11"/>
        <v>0</v>
      </c>
      <c r="Q112" s="195">
        <f t="shared" si="12"/>
        <v>0</v>
      </c>
      <c r="R112" s="196" t="e">
        <f t="shared" si="13"/>
        <v>#DIV/0!</v>
      </c>
      <c r="S112" s="170"/>
      <c r="T112" s="170"/>
      <c r="U112" s="195">
        <f t="shared" si="18"/>
        <v>0</v>
      </c>
      <c r="V112" s="195">
        <f t="shared" si="14"/>
        <v>0</v>
      </c>
      <c r="W112" s="195">
        <f t="shared" si="14"/>
        <v>0</v>
      </c>
      <c r="X112" s="195">
        <f t="shared" si="17"/>
        <v>0</v>
      </c>
      <c r="Y112" s="207" t="e">
        <f t="shared" si="16"/>
        <v>#DIV/0!</v>
      </c>
      <c r="AC112" s="251" t="e">
        <f t="shared" si="15"/>
        <v>#DIV/0!</v>
      </c>
    </row>
    <row r="113" spans="1:29" ht="15.6" x14ac:dyDescent="0.3">
      <c r="A113" s="206">
        <v>2042</v>
      </c>
      <c r="B113" s="253">
        <f>(B165/Population_Tables!O31)*Population_Tables!C31</f>
        <v>133936.62724582505</v>
      </c>
      <c r="C113" s="253">
        <f>(C165/Population_Tables!P31)*Population_Tables!D31</f>
        <v>0</v>
      </c>
      <c r="D113" s="253">
        <f>(D165/Population_Tables!Q31)*Population_Tables!E31</f>
        <v>0</v>
      </c>
      <c r="E113" s="253">
        <f>(E165/Population_Tables!R31)*Population_Tables!F31</f>
        <v>0</v>
      </c>
      <c r="F113" s="253">
        <f>(F165/Population_Tables!S31)*Population_Tables!G31</f>
        <v>0</v>
      </c>
      <c r="G113" s="253">
        <f>(G165/Population_Tables!T31)*Population_Tables!H31</f>
        <v>0</v>
      </c>
      <c r="H113" s="253">
        <f>(H165/Population_Tables!U31)*Population_Tables!I31</f>
        <v>0</v>
      </c>
      <c r="I113" s="253">
        <f>(I165/Population_Tables!V31)*Population_Tables!J31</f>
        <v>0</v>
      </c>
      <c r="J113" s="253">
        <f>(J165/Population_Tables!W31)*Population_Tables!K31</f>
        <v>0</v>
      </c>
      <c r="K113" s="253">
        <f>(K165/Population_Tables!X31)*Population_Tables!L31</f>
        <v>0</v>
      </c>
      <c r="L113" s="170"/>
      <c r="M113" s="170"/>
      <c r="N113" s="195">
        <f t="shared" si="9"/>
        <v>0</v>
      </c>
      <c r="O113" s="195">
        <f t="shared" si="10"/>
        <v>0</v>
      </c>
      <c r="P113" s="195">
        <f t="shared" si="11"/>
        <v>0</v>
      </c>
      <c r="Q113" s="195">
        <f t="shared" si="12"/>
        <v>0</v>
      </c>
      <c r="R113" s="196" t="e">
        <f t="shared" si="13"/>
        <v>#DIV/0!</v>
      </c>
      <c r="S113" s="170"/>
      <c r="T113" s="170"/>
      <c r="U113" s="195">
        <f t="shared" si="18"/>
        <v>0</v>
      </c>
      <c r="V113" s="195">
        <f t="shared" si="14"/>
        <v>0</v>
      </c>
      <c r="W113" s="195">
        <f t="shared" si="14"/>
        <v>0</v>
      </c>
      <c r="X113" s="195">
        <f t="shared" si="17"/>
        <v>0</v>
      </c>
      <c r="Y113" s="207" t="e">
        <f t="shared" si="16"/>
        <v>#DIV/0!</v>
      </c>
      <c r="AC113" s="251" t="e">
        <f t="shared" si="15"/>
        <v>#DIV/0!</v>
      </c>
    </row>
    <row r="114" spans="1:29" ht="15.6" x14ac:dyDescent="0.3">
      <c r="A114" s="206">
        <v>2043</v>
      </c>
      <c r="B114" s="253">
        <f>(B166/Population_Tables!O32)*Population_Tables!C32</f>
        <v>139939.0811595181</v>
      </c>
      <c r="C114" s="253">
        <f>(C166/Population_Tables!P32)*Population_Tables!D32</f>
        <v>0</v>
      </c>
      <c r="D114" s="253">
        <f>(D166/Population_Tables!Q32)*Population_Tables!E32</f>
        <v>0</v>
      </c>
      <c r="E114" s="253">
        <f>(E166/Population_Tables!R32)*Population_Tables!F32</f>
        <v>0</v>
      </c>
      <c r="F114" s="253">
        <f>(F166/Population_Tables!S32)*Population_Tables!G32</f>
        <v>0</v>
      </c>
      <c r="G114" s="253">
        <f>(G166/Population_Tables!T32)*Population_Tables!H32</f>
        <v>0</v>
      </c>
      <c r="H114" s="253">
        <f>(H166/Population_Tables!U32)*Population_Tables!I32</f>
        <v>0</v>
      </c>
      <c r="I114" s="253">
        <f>(I166/Population_Tables!V32)*Population_Tables!J32</f>
        <v>0</v>
      </c>
      <c r="J114" s="253">
        <f>(J166/Population_Tables!W32)*Population_Tables!K32</f>
        <v>0</v>
      </c>
      <c r="K114" s="253">
        <f>(K166/Population_Tables!X32)*Population_Tables!L32</f>
        <v>0</v>
      </c>
      <c r="L114" s="170"/>
      <c r="M114" s="170"/>
      <c r="N114" s="195">
        <f t="shared" si="9"/>
        <v>0</v>
      </c>
      <c r="O114" s="195">
        <f t="shared" si="10"/>
        <v>0</v>
      </c>
      <c r="P114" s="195">
        <f t="shared" si="11"/>
        <v>0</v>
      </c>
      <c r="Q114" s="195">
        <f t="shared" si="12"/>
        <v>0</v>
      </c>
      <c r="R114" s="196" t="e">
        <f t="shared" si="13"/>
        <v>#DIV/0!</v>
      </c>
      <c r="S114" s="170"/>
      <c r="T114" s="170"/>
      <c r="U114" s="195">
        <f t="shared" si="18"/>
        <v>0</v>
      </c>
      <c r="V114" s="195">
        <f t="shared" si="14"/>
        <v>0</v>
      </c>
      <c r="W114" s="195">
        <f t="shared" si="14"/>
        <v>0</v>
      </c>
      <c r="X114" s="195">
        <f t="shared" si="17"/>
        <v>0</v>
      </c>
      <c r="Y114" s="207" t="e">
        <f t="shared" si="16"/>
        <v>#DIV/0!</v>
      </c>
      <c r="AC114" s="251" t="e">
        <f t="shared" si="15"/>
        <v>#DIV/0!</v>
      </c>
    </row>
    <row r="115" spans="1:29" ht="15.6" x14ac:dyDescent="0.3">
      <c r="A115" s="206">
        <v>2044</v>
      </c>
      <c r="B115" s="253">
        <f>(B167/Population_Tables!O33)*Population_Tables!C33</f>
        <v>146248.98210484412</v>
      </c>
      <c r="C115" s="253">
        <f>(C167/Population_Tables!P33)*Population_Tables!D33</f>
        <v>0</v>
      </c>
      <c r="D115" s="253">
        <f>(D167/Population_Tables!Q33)*Population_Tables!E33</f>
        <v>0</v>
      </c>
      <c r="E115" s="253">
        <f>(E167/Population_Tables!R33)*Population_Tables!F33</f>
        <v>0</v>
      </c>
      <c r="F115" s="253">
        <f>(F167/Population_Tables!S33)*Population_Tables!G33</f>
        <v>0</v>
      </c>
      <c r="G115" s="253">
        <f>(G167/Population_Tables!T33)*Population_Tables!H33</f>
        <v>0</v>
      </c>
      <c r="H115" s="253">
        <f>(H167/Population_Tables!U33)*Population_Tables!I33</f>
        <v>0</v>
      </c>
      <c r="I115" s="253">
        <f>(I167/Population_Tables!V33)*Population_Tables!J33</f>
        <v>0</v>
      </c>
      <c r="J115" s="253">
        <f>(J167/Population_Tables!W33)*Population_Tables!K33</f>
        <v>0</v>
      </c>
      <c r="K115" s="253">
        <f>(K167/Population_Tables!X33)*Population_Tables!L33</f>
        <v>0</v>
      </c>
      <c r="L115" s="170"/>
      <c r="M115" s="170"/>
      <c r="N115" s="195">
        <f t="shared" si="9"/>
        <v>0</v>
      </c>
      <c r="O115" s="195">
        <f t="shared" si="10"/>
        <v>0</v>
      </c>
      <c r="P115" s="195">
        <f t="shared" si="11"/>
        <v>0</v>
      </c>
      <c r="Q115" s="195">
        <f t="shared" si="12"/>
        <v>0</v>
      </c>
      <c r="R115" s="196" t="e">
        <f t="shared" si="13"/>
        <v>#DIV/0!</v>
      </c>
      <c r="S115" s="170"/>
      <c r="T115" s="170"/>
      <c r="U115" s="195">
        <f t="shared" si="18"/>
        <v>0</v>
      </c>
      <c r="V115" s="195">
        <f t="shared" si="14"/>
        <v>0</v>
      </c>
      <c r="W115" s="195">
        <f t="shared" si="14"/>
        <v>0</v>
      </c>
      <c r="X115" s="195">
        <f t="shared" si="17"/>
        <v>0</v>
      </c>
      <c r="Y115" s="207" t="e">
        <f t="shared" si="16"/>
        <v>#DIV/0!</v>
      </c>
      <c r="AC115" s="251" t="e">
        <f t="shared" si="15"/>
        <v>#DIV/0!</v>
      </c>
    </row>
    <row r="116" spans="1:29" ht="15.6" x14ac:dyDescent="0.3">
      <c r="A116" s="206">
        <v>2045</v>
      </c>
      <c r="B116" s="253">
        <f>(B168/Population_Tables!O34)*Population_Tables!C34</f>
        <v>152880.02100833095</v>
      </c>
      <c r="C116" s="253">
        <f>(C168/Population_Tables!P34)*Population_Tables!D34</f>
        <v>0</v>
      </c>
      <c r="D116" s="253">
        <f>(D168/Population_Tables!Q34)*Population_Tables!E34</f>
        <v>0</v>
      </c>
      <c r="E116" s="253">
        <f>(E168/Population_Tables!R34)*Population_Tables!F34</f>
        <v>0</v>
      </c>
      <c r="F116" s="253">
        <f>(F168/Population_Tables!S34)*Population_Tables!G34</f>
        <v>0</v>
      </c>
      <c r="G116" s="253">
        <f>(G168/Population_Tables!T34)*Population_Tables!H34</f>
        <v>0</v>
      </c>
      <c r="H116" s="253">
        <f>(H168/Population_Tables!U34)*Population_Tables!I34</f>
        <v>0</v>
      </c>
      <c r="I116" s="253">
        <f>(I168/Population_Tables!V34)*Population_Tables!J34</f>
        <v>0</v>
      </c>
      <c r="J116" s="253">
        <f>(J168/Population_Tables!W34)*Population_Tables!K34</f>
        <v>0</v>
      </c>
      <c r="K116" s="253">
        <f>(K168/Population_Tables!X34)*Population_Tables!L34</f>
        <v>0</v>
      </c>
      <c r="L116" s="170"/>
      <c r="M116" s="170"/>
      <c r="N116" s="195">
        <f t="shared" si="9"/>
        <v>0</v>
      </c>
      <c r="O116" s="195">
        <f t="shared" si="10"/>
        <v>0</v>
      </c>
      <c r="P116" s="195">
        <f t="shared" si="11"/>
        <v>0</v>
      </c>
      <c r="Q116" s="195">
        <f t="shared" si="12"/>
        <v>0</v>
      </c>
      <c r="R116" s="196" t="e">
        <f t="shared" si="13"/>
        <v>#DIV/0!</v>
      </c>
      <c r="S116" s="170"/>
      <c r="T116" s="170"/>
      <c r="U116" s="195">
        <f t="shared" si="18"/>
        <v>0</v>
      </c>
      <c r="V116" s="195">
        <f t="shared" si="14"/>
        <v>0</v>
      </c>
      <c r="W116" s="195">
        <f t="shared" si="14"/>
        <v>0</v>
      </c>
      <c r="X116" s="195">
        <f t="shared" si="17"/>
        <v>0</v>
      </c>
      <c r="Y116" s="207" t="e">
        <f t="shared" si="16"/>
        <v>#DIV/0!</v>
      </c>
      <c r="AC116" s="251" t="e">
        <f t="shared" si="15"/>
        <v>#DIV/0!</v>
      </c>
    </row>
    <row r="117" spans="1:29" ht="15.6" x14ac:dyDescent="0.3">
      <c r="A117" s="206">
        <v>2046</v>
      </c>
      <c r="B117" s="253">
        <f>(B169/Population_Tables!O35)*Population_Tables!C35</f>
        <v>159845.46567415082</v>
      </c>
      <c r="C117" s="253">
        <f>(C169/Population_Tables!P35)*Population_Tables!D35</f>
        <v>0</v>
      </c>
      <c r="D117" s="253">
        <f>(D169/Population_Tables!Q35)*Population_Tables!E35</f>
        <v>0</v>
      </c>
      <c r="E117" s="253">
        <f>(E169/Population_Tables!R35)*Population_Tables!F35</f>
        <v>0</v>
      </c>
      <c r="F117" s="253">
        <f>(F169/Population_Tables!S35)*Population_Tables!G35</f>
        <v>0</v>
      </c>
      <c r="G117" s="253">
        <f>(G169/Population_Tables!T35)*Population_Tables!H35</f>
        <v>0</v>
      </c>
      <c r="H117" s="253">
        <f>(H169/Population_Tables!U35)*Population_Tables!I35</f>
        <v>0</v>
      </c>
      <c r="I117" s="253">
        <f>(I169/Population_Tables!V35)*Population_Tables!J35</f>
        <v>0</v>
      </c>
      <c r="J117" s="253">
        <f>(J169/Population_Tables!W35)*Population_Tables!K35</f>
        <v>0</v>
      </c>
      <c r="K117" s="253">
        <f>(K169/Population_Tables!X35)*Population_Tables!L35</f>
        <v>0</v>
      </c>
      <c r="L117" s="170"/>
      <c r="M117" s="170"/>
      <c r="N117" s="195">
        <f t="shared" si="9"/>
        <v>0</v>
      </c>
      <c r="O117" s="195">
        <f t="shared" si="10"/>
        <v>0</v>
      </c>
      <c r="P117" s="195">
        <f t="shared" si="11"/>
        <v>0</v>
      </c>
      <c r="Q117" s="195">
        <f t="shared" si="12"/>
        <v>0</v>
      </c>
      <c r="R117" s="196" t="e">
        <f t="shared" si="13"/>
        <v>#DIV/0!</v>
      </c>
      <c r="S117" s="170"/>
      <c r="T117" s="170"/>
      <c r="U117" s="195">
        <f t="shared" si="18"/>
        <v>0</v>
      </c>
      <c r="V117" s="195">
        <f t="shared" si="14"/>
        <v>0</v>
      </c>
      <c r="W117" s="195">
        <f t="shared" si="14"/>
        <v>0</v>
      </c>
      <c r="X117" s="195">
        <f t="shared" si="17"/>
        <v>0</v>
      </c>
      <c r="Y117" s="207" t="e">
        <f t="shared" si="16"/>
        <v>#DIV/0!</v>
      </c>
      <c r="AC117" s="251" t="e">
        <f t="shared" si="15"/>
        <v>#DIV/0!</v>
      </c>
    </row>
    <row r="118" spans="1:29" ht="15.6" x14ac:dyDescent="0.3">
      <c r="A118" s="206">
        <v>2047</v>
      </c>
      <c r="B118" s="253">
        <f>(B170/Population_Tables!O36)*Population_Tables!C36</f>
        <v>167158.77696625446</v>
      </c>
      <c r="C118" s="253">
        <f>(C170/Population_Tables!P36)*Population_Tables!D36</f>
        <v>0</v>
      </c>
      <c r="D118" s="253">
        <f>(D170/Population_Tables!Q36)*Population_Tables!E36</f>
        <v>0</v>
      </c>
      <c r="E118" s="253">
        <f>(E170/Population_Tables!R36)*Population_Tables!F36</f>
        <v>0</v>
      </c>
      <c r="F118" s="253">
        <f>(F170/Population_Tables!S36)*Population_Tables!G36</f>
        <v>0</v>
      </c>
      <c r="G118" s="253">
        <f>(G170/Population_Tables!T36)*Population_Tables!H36</f>
        <v>0</v>
      </c>
      <c r="H118" s="253">
        <f>(H170/Population_Tables!U36)*Population_Tables!I36</f>
        <v>0</v>
      </c>
      <c r="I118" s="253">
        <f>(I170/Population_Tables!V36)*Population_Tables!J36</f>
        <v>0</v>
      </c>
      <c r="J118" s="253">
        <f>(J170/Population_Tables!W36)*Population_Tables!K36</f>
        <v>0</v>
      </c>
      <c r="K118" s="253">
        <f>(K170/Population_Tables!X36)*Population_Tables!L36</f>
        <v>0</v>
      </c>
      <c r="L118" s="170"/>
      <c r="M118" s="170"/>
      <c r="N118" s="195">
        <f t="shared" si="9"/>
        <v>0</v>
      </c>
      <c r="O118" s="195">
        <f t="shared" si="10"/>
        <v>0</v>
      </c>
      <c r="P118" s="195">
        <f t="shared" si="11"/>
        <v>0</v>
      </c>
      <c r="Q118" s="195">
        <f t="shared" si="12"/>
        <v>0</v>
      </c>
      <c r="R118" s="196" t="e">
        <f t="shared" si="13"/>
        <v>#DIV/0!</v>
      </c>
      <c r="S118" s="170"/>
      <c r="T118" s="170"/>
      <c r="U118" s="195">
        <f t="shared" si="18"/>
        <v>0</v>
      </c>
      <c r="V118" s="195">
        <f t="shared" si="14"/>
        <v>0</v>
      </c>
      <c r="W118" s="195">
        <f t="shared" si="14"/>
        <v>0</v>
      </c>
      <c r="X118" s="195">
        <f t="shared" si="17"/>
        <v>0</v>
      </c>
      <c r="Y118" s="207" t="e">
        <f t="shared" si="16"/>
        <v>#DIV/0!</v>
      </c>
      <c r="AC118" s="251" t="e">
        <f t="shared" si="15"/>
        <v>#DIV/0!</v>
      </c>
    </row>
    <row r="119" spans="1:29" ht="15.6" x14ac:dyDescent="0.3">
      <c r="A119" s="206">
        <v>2048</v>
      </c>
      <c r="B119" s="253">
        <f>(B171/Population_Tables!O37)*Population_Tables!C37</f>
        <v>174834.51151383607</v>
      </c>
      <c r="C119" s="253">
        <f>(C171/Population_Tables!P37)*Population_Tables!D37</f>
        <v>0</v>
      </c>
      <c r="D119" s="253">
        <f>(D171/Population_Tables!Q37)*Population_Tables!E37</f>
        <v>0</v>
      </c>
      <c r="E119" s="253">
        <f>(E171/Population_Tables!R37)*Population_Tables!F37</f>
        <v>0</v>
      </c>
      <c r="F119" s="253">
        <f>(F171/Population_Tables!S37)*Population_Tables!G37</f>
        <v>0</v>
      </c>
      <c r="G119" s="253">
        <f>(G171/Population_Tables!T37)*Population_Tables!H37</f>
        <v>0</v>
      </c>
      <c r="H119" s="253">
        <f>(H171/Population_Tables!U37)*Population_Tables!I37</f>
        <v>0</v>
      </c>
      <c r="I119" s="253">
        <f>(I171/Population_Tables!V37)*Population_Tables!J37</f>
        <v>0</v>
      </c>
      <c r="J119" s="253">
        <f>(J171/Population_Tables!W37)*Population_Tables!K37</f>
        <v>0</v>
      </c>
      <c r="K119" s="253">
        <f>(K171/Population_Tables!X37)*Population_Tables!L37</f>
        <v>0</v>
      </c>
      <c r="L119" s="170"/>
      <c r="M119" s="170"/>
      <c r="N119" s="195">
        <f t="shared" si="9"/>
        <v>0</v>
      </c>
      <c r="O119" s="195">
        <f t="shared" si="10"/>
        <v>0</v>
      </c>
      <c r="P119" s="195">
        <f t="shared" si="11"/>
        <v>0</v>
      </c>
      <c r="Q119" s="195">
        <f t="shared" si="12"/>
        <v>0</v>
      </c>
      <c r="R119" s="196" t="e">
        <f t="shared" si="13"/>
        <v>#DIV/0!</v>
      </c>
      <c r="S119" s="170"/>
      <c r="T119" s="170"/>
      <c r="U119" s="195">
        <f t="shared" si="18"/>
        <v>0</v>
      </c>
      <c r="V119" s="195">
        <f t="shared" si="14"/>
        <v>0</v>
      </c>
      <c r="W119" s="195">
        <f t="shared" si="14"/>
        <v>0</v>
      </c>
      <c r="X119" s="195">
        <f t="shared" si="17"/>
        <v>0</v>
      </c>
      <c r="Y119" s="207" t="e">
        <f t="shared" si="16"/>
        <v>#DIV/0!</v>
      </c>
      <c r="AC119" s="251" t="e">
        <f t="shared" si="15"/>
        <v>#DIV/0!</v>
      </c>
    </row>
    <row r="120" spans="1:29" ht="15.6" x14ac:dyDescent="0.3">
      <c r="A120" s="206">
        <v>2049</v>
      </c>
      <c r="B120" s="253">
        <f>(B172/Population_Tables!O38)*Population_Tables!C38</f>
        <v>182887.80401574608</v>
      </c>
      <c r="C120" s="253">
        <f>(C172/Population_Tables!P38)*Population_Tables!D38</f>
        <v>0</v>
      </c>
      <c r="D120" s="253">
        <f>(D172/Population_Tables!Q38)*Population_Tables!E38</f>
        <v>0</v>
      </c>
      <c r="E120" s="253">
        <f>(E172/Population_Tables!R38)*Population_Tables!F38</f>
        <v>0</v>
      </c>
      <c r="F120" s="253">
        <f>(F172/Population_Tables!S38)*Population_Tables!G38</f>
        <v>0</v>
      </c>
      <c r="G120" s="253">
        <f>(G172/Population_Tables!T38)*Population_Tables!H38</f>
        <v>0</v>
      </c>
      <c r="H120" s="253">
        <f>(H172/Population_Tables!U38)*Population_Tables!I38</f>
        <v>0</v>
      </c>
      <c r="I120" s="253">
        <f>(I172/Population_Tables!V38)*Population_Tables!J38</f>
        <v>0</v>
      </c>
      <c r="J120" s="253">
        <f>(J172/Population_Tables!W38)*Population_Tables!K38</f>
        <v>0</v>
      </c>
      <c r="K120" s="253">
        <f>(K172/Population_Tables!X38)*Population_Tables!L38</f>
        <v>0</v>
      </c>
      <c r="L120" s="170"/>
      <c r="M120" s="170"/>
      <c r="N120" s="195">
        <f t="shared" si="9"/>
        <v>0</v>
      </c>
      <c r="O120" s="195">
        <f t="shared" si="10"/>
        <v>0</v>
      </c>
      <c r="P120" s="195">
        <f t="shared" si="11"/>
        <v>0</v>
      </c>
      <c r="Q120" s="195">
        <f t="shared" si="12"/>
        <v>0</v>
      </c>
      <c r="R120" s="196" t="e">
        <f t="shared" si="13"/>
        <v>#DIV/0!</v>
      </c>
      <c r="S120" s="170"/>
      <c r="T120" s="170"/>
      <c r="U120" s="195">
        <f t="shared" si="18"/>
        <v>0</v>
      </c>
      <c r="V120" s="195">
        <f t="shared" si="14"/>
        <v>0</v>
      </c>
      <c r="W120" s="195">
        <f t="shared" si="14"/>
        <v>0</v>
      </c>
      <c r="X120" s="195">
        <f t="shared" si="17"/>
        <v>0</v>
      </c>
      <c r="Y120" s="207" t="e">
        <f t="shared" si="16"/>
        <v>#DIV/0!</v>
      </c>
      <c r="AC120" s="251" t="e">
        <f t="shared" si="15"/>
        <v>#DIV/0!</v>
      </c>
    </row>
    <row r="121" spans="1:29" ht="16.2" thickBot="1" x14ac:dyDescent="0.35">
      <c r="A121" s="208">
        <v>2050</v>
      </c>
      <c r="B121" s="253">
        <f>(B173/Population_Tables!O39)*Population_Tables!C39</f>
        <v>191333.97175016886</v>
      </c>
      <c r="C121" s="253">
        <f>(C173/Population_Tables!P39)*Population_Tables!D39</f>
        <v>0</v>
      </c>
      <c r="D121" s="253">
        <f>(D173/Population_Tables!Q39)*Population_Tables!E39</f>
        <v>0</v>
      </c>
      <c r="E121" s="253">
        <f>(E173/Population_Tables!R39)*Population_Tables!F39</f>
        <v>0</v>
      </c>
      <c r="F121" s="253">
        <f>(F173/Population_Tables!S39)*Population_Tables!G39</f>
        <v>0</v>
      </c>
      <c r="G121" s="253">
        <f>(G173/Population_Tables!T39)*Population_Tables!H39</f>
        <v>0</v>
      </c>
      <c r="H121" s="253">
        <f>(H173/Population_Tables!U39)*Population_Tables!I39</f>
        <v>0</v>
      </c>
      <c r="I121" s="253">
        <f>(I173/Population_Tables!V39)*Population_Tables!J39</f>
        <v>0</v>
      </c>
      <c r="J121" s="253">
        <f>(J173/Population_Tables!W39)*Population_Tables!K39</f>
        <v>0</v>
      </c>
      <c r="K121" s="253">
        <f>(K173/Population_Tables!X39)*Population_Tables!L39</f>
        <v>0</v>
      </c>
      <c r="L121" s="209"/>
      <c r="M121" s="209"/>
      <c r="N121" s="195">
        <f t="shared" si="9"/>
        <v>0</v>
      </c>
      <c r="O121" s="195">
        <f t="shared" si="10"/>
        <v>0</v>
      </c>
      <c r="P121" s="195">
        <f t="shared" si="11"/>
        <v>0</v>
      </c>
      <c r="Q121" s="195">
        <f t="shared" si="12"/>
        <v>0</v>
      </c>
      <c r="R121" s="210" t="e">
        <f t="shared" si="13"/>
        <v>#DIV/0!</v>
      </c>
      <c r="S121" s="209"/>
      <c r="T121" s="209"/>
      <c r="U121" s="211">
        <f t="shared" si="18"/>
        <v>0</v>
      </c>
      <c r="V121" s="195">
        <f t="shared" si="14"/>
        <v>0</v>
      </c>
      <c r="W121" s="211">
        <f t="shared" si="14"/>
        <v>0</v>
      </c>
      <c r="X121" s="195">
        <f t="shared" si="17"/>
        <v>0</v>
      </c>
      <c r="Y121" s="212" t="e">
        <f t="shared" si="16"/>
        <v>#DIV/0!</v>
      </c>
      <c r="AC121" s="251" t="e">
        <f t="shared" si="15"/>
        <v>#DIV/0!</v>
      </c>
    </row>
    <row r="122" spans="1:29" ht="15.6" x14ac:dyDescent="0.3">
      <c r="A122" s="213">
        <v>2051</v>
      </c>
      <c r="B122" s="253">
        <f>(B174/Population_Tables!O40)*Population_Tables!C40</f>
        <v>200188.31999339268</v>
      </c>
      <c r="C122" s="253">
        <f>(C174/Population_Tables!P40)*Population_Tables!D40</f>
        <v>0</v>
      </c>
      <c r="D122" s="253">
        <f>(D174/Population_Tables!Q40)*Population_Tables!E40</f>
        <v>0</v>
      </c>
      <c r="E122" s="253">
        <f>(E174/Population_Tables!R40)*Population_Tables!F40</f>
        <v>0</v>
      </c>
      <c r="F122" s="253">
        <f>(F174/Population_Tables!S40)*Population_Tables!G40</f>
        <v>0</v>
      </c>
      <c r="G122" s="253">
        <f>(G174/Population_Tables!T40)*Population_Tables!H40</f>
        <v>0</v>
      </c>
      <c r="H122" s="253">
        <f>(H174/Population_Tables!U40)*Population_Tables!I40</f>
        <v>0</v>
      </c>
      <c r="I122" s="253">
        <f>(I174/Population_Tables!V40)*Population_Tables!J40</f>
        <v>0</v>
      </c>
      <c r="J122" s="253">
        <f>(J174/Population_Tables!W40)*Population_Tables!K40</f>
        <v>0</v>
      </c>
      <c r="K122" s="253">
        <f>(K174/Population_Tables!X40)*Population_Tables!L40</f>
        <v>0</v>
      </c>
      <c r="N122" s="195">
        <f t="shared" si="9"/>
        <v>0</v>
      </c>
      <c r="O122" s="195">
        <f t="shared" si="10"/>
        <v>0</v>
      </c>
      <c r="P122" s="195">
        <f t="shared" si="11"/>
        <v>0</v>
      </c>
      <c r="Q122" s="195">
        <f t="shared" si="12"/>
        <v>0</v>
      </c>
      <c r="R122" s="214" t="e">
        <f t="shared" si="13"/>
        <v>#DIV/0!</v>
      </c>
      <c r="U122" s="215">
        <f t="shared" si="18"/>
        <v>0</v>
      </c>
      <c r="V122" s="195">
        <f t="shared" si="14"/>
        <v>0</v>
      </c>
      <c r="W122" s="215">
        <f t="shared" si="14"/>
        <v>0</v>
      </c>
      <c r="X122" s="195">
        <f t="shared" si="17"/>
        <v>0</v>
      </c>
      <c r="Y122" s="214" t="e">
        <f t="shared" si="16"/>
        <v>#DIV/0!</v>
      </c>
      <c r="AC122" s="251" t="e">
        <f t="shared" si="15"/>
        <v>#DIV/0!</v>
      </c>
    </row>
    <row r="123" spans="1:29" ht="15.6" x14ac:dyDescent="0.3">
      <c r="A123" s="194">
        <v>2052</v>
      </c>
      <c r="B123" s="253">
        <f>(B175/Population_Tables!O41)*Population_Tables!C41</f>
        <v>209466.04642255447</v>
      </c>
      <c r="C123" s="253">
        <f>(C175/Population_Tables!P41)*Population_Tables!D41</f>
        <v>0</v>
      </c>
      <c r="D123" s="253">
        <f>(D175/Population_Tables!Q41)*Population_Tables!E41</f>
        <v>0</v>
      </c>
      <c r="E123" s="253">
        <f>(E175/Population_Tables!R41)*Population_Tables!F41</f>
        <v>0</v>
      </c>
      <c r="F123" s="253">
        <f>(F175/Population_Tables!S41)*Population_Tables!G41</f>
        <v>0</v>
      </c>
      <c r="G123" s="253">
        <f>(G175/Population_Tables!T41)*Population_Tables!H41</f>
        <v>0</v>
      </c>
      <c r="H123" s="253">
        <f>(H175/Population_Tables!U41)*Population_Tables!I41</f>
        <v>0</v>
      </c>
      <c r="I123" s="253">
        <f>(I175/Population_Tables!V41)*Population_Tables!J41</f>
        <v>0</v>
      </c>
      <c r="J123" s="253">
        <f>(J175/Population_Tables!W41)*Population_Tables!K41</f>
        <v>0</v>
      </c>
      <c r="K123" s="253">
        <f>(K175/Population_Tables!X41)*Population_Tables!L41</f>
        <v>0</v>
      </c>
      <c r="N123" s="195">
        <f t="shared" si="9"/>
        <v>0</v>
      </c>
      <c r="O123" s="195">
        <f t="shared" si="10"/>
        <v>0</v>
      </c>
      <c r="P123" s="195">
        <f t="shared" si="11"/>
        <v>0</v>
      </c>
      <c r="Q123" s="195">
        <f t="shared" si="12"/>
        <v>0</v>
      </c>
      <c r="R123" s="196" t="e">
        <f t="shared" si="13"/>
        <v>#DIV/0!</v>
      </c>
      <c r="U123" s="195">
        <f t="shared" si="18"/>
        <v>0</v>
      </c>
      <c r="V123" s="195">
        <f t="shared" si="14"/>
        <v>0</v>
      </c>
      <c r="W123" s="195">
        <f t="shared" si="14"/>
        <v>0</v>
      </c>
      <c r="X123" s="195">
        <f t="shared" si="17"/>
        <v>0</v>
      </c>
      <c r="Y123" s="196" t="e">
        <f t="shared" si="16"/>
        <v>#DIV/0!</v>
      </c>
      <c r="AC123" s="251" t="e">
        <f t="shared" si="15"/>
        <v>#DIV/0!</v>
      </c>
    </row>
    <row r="124" spans="1:29" ht="15.6" x14ac:dyDescent="0.3">
      <c r="A124" s="194">
        <v>2053</v>
      </c>
      <c r="B124" s="253">
        <f>(B176/Population_Tables!O42)*Population_Tables!C42</f>
        <v>219182.48735848183</v>
      </c>
      <c r="C124" s="253">
        <f>(C176/Population_Tables!P42)*Population_Tables!D42</f>
        <v>0</v>
      </c>
      <c r="D124" s="253">
        <f>(D176/Population_Tables!Q42)*Population_Tables!E42</f>
        <v>0</v>
      </c>
      <c r="E124" s="253">
        <f>(E176/Population_Tables!R42)*Population_Tables!F42</f>
        <v>0</v>
      </c>
      <c r="F124" s="253">
        <f>(F176/Population_Tables!S42)*Population_Tables!G42</f>
        <v>0</v>
      </c>
      <c r="G124" s="253">
        <f>(G176/Population_Tables!T42)*Population_Tables!H42</f>
        <v>0</v>
      </c>
      <c r="H124" s="253">
        <f>(H176/Population_Tables!U42)*Population_Tables!I42</f>
        <v>0</v>
      </c>
      <c r="I124" s="253">
        <f>(I176/Population_Tables!V42)*Population_Tables!J42</f>
        <v>0</v>
      </c>
      <c r="J124" s="253">
        <f>(J176/Population_Tables!W42)*Population_Tables!K42</f>
        <v>0</v>
      </c>
      <c r="K124" s="253">
        <f>(K176/Population_Tables!X42)*Population_Tables!L42</f>
        <v>0</v>
      </c>
      <c r="N124" s="195">
        <f t="shared" si="9"/>
        <v>0</v>
      </c>
      <c r="O124" s="195">
        <f t="shared" si="10"/>
        <v>0</v>
      </c>
      <c r="P124" s="195">
        <f t="shared" si="11"/>
        <v>0</v>
      </c>
      <c r="Q124" s="195">
        <f t="shared" si="12"/>
        <v>0</v>
      </c>
      <c r="R124" s="196" t="e">
        <f t="shared" si="13"/>
        <v>#DIV/0!</v>
      </c>
      <c r="U124" s="195">
        <f t="shared" si="18"/>
        <v>0</v>
      </c>
      <c r="V124" s="195">
        <f t="shared" si="14"/>
        <v>0</v>
      </c>
      <c r="W124" s="195">
        <f t="shared" si="14"/>
        <v>0</v>
      </c>
      <c r="X124" s="195">
        <f t="shared" si="17"/>
        <v>0</v>
      </c>
      <c r="Y124" s="196" t="e">
        <f t="shared" si="16"/>
        <v>#DIV/0!</v>
      </c>
      <c r="AC124" s="251" t="e">
        <f t="shared" si="15"/>
        <v>#DIV/0!</v>
      </c>
    </row>
    <row r="125" spans="1:29" ht="15.6" x14ac:dyDescent="0.3">
      <c r="A125" s="194">
        <v>2054</v>
      </c>
      <c r="B125" s="253">
        <f>(B177/Population_Tables!O43)*Population_Tables!C43</f>
        <v>229352.9571844826</v>
      </c>
      <c r="C125" s="253">
        <f>(C177/Population_Tables!P43)*Population_Tables!D43</f>
        <v>0</v>
      </c>
      <c r="D125" s="253">
        <f>(D177/Population_Tables!Q43)*Population_Tables!E43</f>
        <v>0</v>
      </c>
      <c r="E125" s="253">
        <f>(E177/Population_Tables!R43)*Population_Tables!F43</f>
        <v>0</v>
      </c>
      <c r="F125" s="253">
        <f>(F177/Population_Tables!S43)*Population_Tables!G43</f>
        <v>0</v>
      </c>
      <c r="G125" s="253">
        <f>(G177/Population_Tables!T43)*Population_Tables!H43</f>
        <v>0</v>
      </c>
      <c r="H125" s="253">
        <f>(H177/Population_Tables!U43)*Population_Tables!I43</f>
        <v>0</v>
      </c>
      <c r="I125" s="253">
        <f>(I177/Population_Tables!V43)*Population_Tables!J43</f>
        <v>0</v>
      </c>
      <c r="J125" s="253">
        <f>(J177/Population_Tables!W43)*Population_Tables!K43</f>
        <v>0</v>
      </c>
      <c r="K125" s="253">
        <f>(K177/Population_Tables!X43)*Population_Tables!L43</f>
        <v>0</v>
      </c>
      <c r="N125" s="195">
        <f t="shared" si="9"/>
        <v>0</v>
      </c>
      <c r="O125" s="195">
        <f t="shared" si="10"/>
        <v>0</v>
      </c>
      <c r="P125" s="195">
        <f t="shared" si="11"/>
        <v>0</v>
      </c>
      <c r="Q125" s="195">
        <f t="shared" si="12"/>
        <v>0</v>
      </c>
      <c r="R125" s="196" t="e">
        <f t="shared" si="13"/>
        <v>#DIV/0!</v>
      </c>
      <c r="U125" s="195">
        <f t="shared" si="18"/>
        <v>0</v>
      </c>
      <c r="V125" s="195">
        <f t="shared" si="14"/>
        <v>0</v>
      </c>
      <c r="W125" s="195">
        <f t="shared" si="14"/>
        <v>0</v>
      </c>
      <c r="X125" s="195">
        <f t="shared" si="17"/>
        <v>0</v>
      </c>
      <c r="Y125" s="196" t="e">
        <f t="shared" si="16"/>
        <v>#DIV/0!</v>
      </c>
      <c r="AC125" s="251" t="e">
        <f t="shared" si="15"/>
        <v>#DIV/0!</v>
      </c>
    </row>
    <row r="126" spans="1:29" ht="15.6" x14ac:dyDescent="0.3">
      <c r="A126" s="194">
        <v>2055</v>
      </c>
      <c r="B126" s="253">
        <f>(B178/Population_Tables!O44)*Population_Tables!C44</f>
        <v>239993.02891833973</v>
      </c>
      <c r="C126" s="253">
        <f>(C178/Population_Tables!P44)*Population_Tables!D44</f>
        <v>0</v>
      </c>
      <c r="D126" s="253">
        <f>(D178/Population_Tables!Q44)*Population_Tables!E44</f>
        <v>0</v>
      </c>
      <c r="E126" s="253">
        <f>(E178/Population_Tables!R44)*Population_Tables!F44</f>
        <v>0</v>
      </c>
      <c r="F126" s="253">
        <f>(F178/Population_Tables!S44)*Population_Tables!G44</f>
        <v>0</v>
      </c>
      <c r="G126" s="253">
        <f>(G178/Population_Tables!T44)*Population_Tables!H44</f>
        <v>0</v>
      </c>
      <c r="H126" s="253">
        <f>(H178/Population_Tables!U44)*Population_Tables!I44</f>
        <v>0</v>
      </c>
      <c r="I126" s="253">
        <f>(I178/Population_Tables!V44)*Population_Tables!J44</f>
        <v>0</v>
      </c>
      <c r="J126" s="253">
        <f>(J178/Population_Tables!W44)*Population_Tables!K44</f>
        <v>0</v>
      </c>
      <c r="K126" s="253">
        <f>(K178/Population_Tables!X44)*Population_Tables!L44</f>
        <v>0</v>
      </c>
      <c r="N126" s="195">
        <f t="shared" si="9"/>
        <v>0</v>
      </c>
      <c r="O126" s="195">
        <f t="shared" si="10"/>
        <v>0</v>
      </c>
      <c r="P126" s="195">
        <f t="shared" si="11"/>
        <v>0</v>
      </c>
      <c r="Q126" s="195">
        <f t="shared" si="12"/>
        <v>0</v>
      </c>
      <c r="R126" s="196" t="e">
        <f t="shared" si="13"/>
        <v>#DIV/0!</v>
      </c>
      <c r="U126" s="195">
        <f t="shared" si="18"/>
        <v>0</v>
      </c>
      <c r="V126" s="195">
        <f t="shared" si="14"/>
        <v>0</v>
      </c>
      <c r="W126" s="195">
        <f t="shared" si="14"/>
        <v>0</v>
      </c>
      <c r="X126" s="195">
        <f t="shared" si="17"/>
        <v>0</v>
      </c>
      <c r="Y126" s="196" t="e">
        <f t="shared" si="16"/>
        <v>#DIV/0!</v>
      </c>
      <c r="AC126" s="251" t="e">
        <f t="shared" si="15"/>
        <v>#DIV/0!</v>
      </c>
    </row>
    <row r="127" spans="1:29" ht="15.6" x14ac:dyDescent="0.3">
      <c r="A127" s="194">
        <v>2056</v>
      </c>
      <c r="B127" s="253">
        <f>(B179/Population_Tables!O45)*Population_Tables!C45</f>
        <v>251119.19016771726</v>
      </c>
      <c r="C127" s="253">
        <f>(C179/Population_Tables!P45)*Population_Tables!D45</f>
        <v>0</v>
      </c>
      <c r="D127" s="253">
        <f>(D179/Population_Tables!Q45)*Population_Tables!E45</f>
        <v>0</v>
      </c>
      <c r="E127" s="253">
        <f>(E179/Population_Tables!R45)*Population_Tables!F45</f>
        <v>0</v>
      </c>
      <c r="F127" s="253">
        <f>(F179/Population_Tables!S45)*Population_Tables!G45</f>
        <v>0</v>
      </c>
      <c r="G127" s="253">
        <f>(G179/Population_Tables!T45)*Population_Tables!H45</f>
        <v>0</v>
      </c>
      <c r="H127" s="253">
        <f>(H179/Population_Tables!U45)*Population_Tables!I45</f>
        <v>0</v>
      </c>
      <c r="I127" s="253">
        <f>(I179/Population_Tables!V45)*Population_Tables!J45</f>
        <v>0</v>
      </c>
      <c r="J127" s="253">
        <f>(J179/Population_Tables!W45)*Population_Tables!K45</f>
        <v>0</v>
      </c>
      <c r="K127" s="253">
        <f>(K179/Population_Tables!X45)*Population_Tables!L45</f>
        <v>0</v>
      </c>
      <c r="N127" s="195">
        <f t="shared" si="9"/>
        <v>0</v>
      </c>
      <c r="O127" s="195">
        <f t="shared" si="10"/>
        <v>0</v>
      </c>
      <c r="P127" s="195">
        <f t="shared" si="11"/>
        <v>0</v>
      </c>
      <c r="Q127" s="195">
        <f t="shared" si="12"/>
        <v>0</v>
      </c>
      <c r="R127" s="196" t="e">
        <f t="shared" si="13"/>
        <v>#DIV/0!</v>
      </c>
      <c r="U127" s="195">
        <f t="shared" si="18"/>
        <v>0</v>
      </c>
      <c r="V127" s="195">
        <f t="shared" si="14"/>
        <v>0</v>
      </c>
      <c r="W127" s="195">
        <f t="shared" si="14"/>
        <v>0</v>
      </c>
      <c r="X127" s="195">
        <f t="shared" si="17"/>
        <v>0</v>
      </c>
      <c r="Y127" s="196" t="e">
        <f t="shared" si="16"/>
        <v>#DIV/0!</v>
      </c>
      <c r="AC127" s="251" t="e">
        <f t="shared" si="15"/>
        <v>#DIV/0!</v>
      </c>
    </row>
    <row r="128" spans="1:29" ht="15.6" x14ac:dyDescent="0.3">
      <c r="A128" s="194">
        <v>2057</v>
      </c>
      <c r="B128" s="253">
        <f>(B180/Population_Tables!O46)*Population_Tables!C46</f>
        <v>262747.89800330164</v>
      </c>
      <c r="C128" s="253">
        <f>(C180/Population_Tables!P46)*Population_Tables!D46</f>
        <v>0</v>
      </c>
      <c r="D128" s="253">
        <f>(D180/Population_Tables!Q46)*Population_Tables!E46</f>
        <v>0</v>
      </c>
      <c r="E128" s="253">
        <f>(E180/Population_Tables!R46)*Population_Tables!F46</f>
        <v>0</v>
      </c>
      <c r="F128" s="253">
        <f>(F180/Population_Tables!S46)*Population_Tables!G46</f>
        <v>0</v>
      </c>
      <c r="G128" s="253">
        <f>(G180/Population_Tables!T46)*Population_Tables!H46</f>
        <v>0</v>
      </c>
      <c r="H128" s="253">
        <f>(H180/Population_Tables!U46)*Population_Tables!I46</f>
        <v>0</v>
      </c>
      <c r="I128" s="253">
        <f>(I180/Population_Tables!V46)*Population_Tables!J46</f>
        <v>0</v>
      </c>
      <c r="J128" s="253">
        <f>(J180/Population_Tables!W46)*Population_Tables!K46</f>
        <v>0</v>
      </c>
      <c r="K128" s="253">
        <f>(K180/Population_Tables!X46)*Population_Tables!L46</f>
        <v>0</v>
      </c>
      <c r="N128" s="195">
        <f t="shared" si="9"/>
        <v>0</v>
      </c>
      <c r="O128" s="195">
        <f t="shared" si="10"/>
        <v>0</v>
      </c>
      <c r="P128" s="195">
        <f t="shared" si="11"/>
        <v>0</v>
      </c>
      <c r="Q128" s="195">
        <f t="shared" si="12"/>
        <v>0</v>
      </c>
      <c r="R128" s="196" t="e">
        <f t="shared" si="13"/>
        <v>#DIV/0!</v>
      </c>
      <c r="U128" s="195">
        <f t="shared" si="18"/>
        <v>0</v>
      </c>
      <c r="V128" s="195">
        <f t="shared" si="14"/>
        <v>0</v>
      </c>
      <c r="W128" s="195">
        <f t="shared" si="14"/>
        <v>0</v>
      </c>
      <c r="X128" s="195">
        <f t="shared" si="17"/>
        <v>0</v>
      </c>
      <c r="Y128" s="196" t="e">
        <f t="shared" si="16"/>
        <v>#DIV/0!</v>
      </c>
      <c r="AC128" s="251" t="e">
        <f t="shared" si="15"/>
        <v>#DIV/0!</v>
      </c>
    </row>
    <row r="129" spans="1:29" ht="15.6" x14ac:dyDescent="0.3">
      <c r="A129" s="194">
        <v>2058</v>
      </c>
      <c r="B129" s="253">
        <f>(B181/Population_Tables!O47)*Population_Tables!C47</f>
        <v>274894.56941051956</v>
      </c>
      <c r="C129" s="253">
        <f>(C181/Population_Tables!P47)*Population_Tables!D47</f>
        <v>0</v>
      </c>
      <c r="D129" s="253">
        <f>(D181/Population_Tables!Q47)*Population_Tables!E47</f>
        <v>0</v>
      </c>
      <c r="E129" s="253">
        <f>(E181/Population_Tables!R47)*Population_Tables!F47</f>
        <v>0</v>
      </c>
      <c r="F129" s="253">
        <f>(F181/Population_Tables!S47)*Population_Tables!G47</f>
        <v>0</v>
      </c>
      <c r="G129" s="253">
        <f>(G181/Population_Tables!T47)*Population_Tables!H47</f>
        <v>0</v>
      </c>
      <c r="H129" s="253">
        <f>(H181/Population_Tables!U47)*Population_Tables!I47</f>
        <v>0</v>
      </c>
      <c r="I129" s="253">
        <f>(I181/Population_Tables!V47)*Population_Tables!J47</f>
        <v>0</v>
      </c>
      <c r="J129" s="253">
        <f>(J181/Population_Tables!W47)*Population_Tables!K47</f>
        <v>0</v>
      </c>
      <c r="K129" s="253">
        <f>(K181/Population_Tables!X47)*Population_Tables!L47</f>
        <v>0</v>
      </c>
      <c r="N129" s="195">
        <f t="shared" si="9"/>
        <v>0</v>
      </c>
      <c r="O129" s="195">
        <f t="shared" si="10"/>
        <v>0</v>
      </c>
      <c r="P129" s="195">
        <f t="shared" si="11"/>
        <v>0</v>
      </c>
      <c r="Q129" s="195">
        <f t="shared" si="12"/>
        <v>0</v>
      </c>
      <c r="R129" s="196" t="e">
        <f t="shared" si="13"/>
        <v>#DIV/0!</v>
      </c>
      <c r="U129" s="195">
        <f t="shared" si="18"/>
        <v>0</v>
      </c>
      <c r="V129" s="195">
        <f t="shared" si="14"/>
        <v>0</v>
      </c>
      <c r="W129" s="195">
        <f t="shared" si="14"/>
        <v>0</v>
      </c>
      <c r="X129" s="195">
        <f t="shared" si="17"/>
        <v>0</v>
      </c>
      <c r="Y129" s="196" t="e">
        <f t="shared" si="16"/>
        <v>#DIV/0!</v>
      </c>
      <c r="AC129" s="251" t="e">
        <f t="shared" si="15"/>
        <v>#DIV/0!</v>
      </c>
    </row>
    <row r="130" spans="1:29" ht="15.6" x14ac:dyDescent="0.3">
      <c r="A130" s="194">
        <v>2059</v>
      </c>
      <c r="B130" s="253">
        <f>(B182/Population_Tables!O48)*Population_Tables!C48</f>
        <v>287574.16460152902</v>
      </c>
      <c r="C130" s="253">
        <f>(C182/Population_Tables!P48)*Population_Tables!D48</f>
        <v>0</v>
      </c>
      <c r="D130" s="253">
        <f>(D182/Population_Tables!Q48)*Population_Tables!E48</f>
        <v>0</v>
      </c>
      <c r="E130" s="253">
        <f>(E182/Population_Tables!R48)*Population_Tables!F48</f>
        <v>0</v>
      </c>
      <c r="F130" s="253">
        <f>(F182/Population_Tables!S48)*Population_Tables!G48</f>
        <v>0</v>
      </c>
      <c r="G130" s="253">
        <f>(G182/Population_Tables!T48)*Population_Tables!H48</f>
        <v>0</v>
      </c>
      <c r="H130" s="253">
        <f>(H182/Population_Tables!U48)*Population_Tables!I48</f>
        <v>0</v>
      </c>
      <c r="I130" s="253">
        <f>(I182/Population_Tables!V48)*Population_Tables!J48</f>
        <v>0</v>
      </c>
      <c r="J130" s="253">
        <f>(J182/Population_Tables!W48)*Population_Tables!K48</f>
        <v>0</v>
      </c>
      <c r="K130" s="253">
        <f>(K182/Population_Tables!X48)*Population_Tables!L48</f>
        <v>0</v>
      </c>
      <c r="N130" s="195">
        <f t="shared" si="9"/>
        <v>0</v>
      </c>
      <c r="O130" s="195">
        <f t="shared" si="10"/>
        <v>0</v>
      </c>
      <c r="P130" s="195">
        <f t="shared" si="11"/>
        <v>0</v>
      </c>
      <c r="Q130" s="195">
        <f t="shared" si="12"/>
        <v>0</v>
      </c>
      <c r="R130" s="196" t="e">
        <f t="shared" si="13"/>
        <v>#DIV/0!</v>
      </c>
      <c r="U130" s="195">
        <f t="shared" si="18"/>
        <v>0</v>
      </c>
      <c r="V130" s="195">
        <f t="shared" si="14"/>
        <v>0</v>
      </c>
      <c r="W130" s="195">
        <f t="shared" si="14"/>
        <v>0</v>
      </c>
      <c r="X130" s="195">
        <f t="shared" si="17"/>
        <v>0</v>
      </c>
      <c r="Y130" s="196" t="e">
        <f t="shared" si="16"/>
        <v>#DIV/0!</v>
      </c>
      <c r="AC130" s="251" t="e">
        <f t="shared" si="15"/>
        <v>#DIV/0!</v>
      </c>
    </row>
    <row r="131" spans="1:29" ht="15.6" x14ac:dyDescent="0.3">
      <c r="A131" s="194">
        <v>2060</v>
      </c>
      <c r="B131" s="253">
        <f>(B183/Population_Tables!O49)*Population_Tables!C49</f>
        <v>300802.08510253666</v>
      </c>
      <c r="C131" s="253">
        <f>(C183/Population_Tables!P49)*Population_Tables!D49</f>
        <v>0</v>
      </c>
      <c r="D131" s="253">
        <f>(D183/Population_Tables!Q49)*Population_Tables!E49</f>
        <v>0</v>
      </c>
      <c r="E131" s="253">
        <f>(E183/Population_Tables!R49)*Population_Tables!F49</f>
        <v>0</v>
      </c>
      <c r="F131" s="253">
        <f>(F183/Population_Tables!S49)*Population_Tables!G49</f>
        <v>0</v>
      </c>
      <c r="G131" s="253">
        <f>(G183/Population_Tables!T49)*Population_Tables!H49</f>
        <v>0</v>
      </c>
      <c r="H131" s="253">
        <f>(H183/Population_Tables!U49)*Population_Tables!I49</f>
        <v>0</v>
      </c>
      <c r="I131" s="253">
        <f>(I183/Population_Tables!V49)*Population_Tables!J49</f>
        <v>0</v>
      </c>
      <c r="J131" s="253">
        <f>(J183/Population_Tables!W49)*Population_Tables!K49</f>
        <v>0</v>
      </c>
      <c r="K131" s="253">
        <f>(K183/Population_Tables!X49)*Population_Tables!L49</f>
        <v>0</v>
      </c>
      <c r="N131" s="195">
        <f t="shared" si="9"/>
        <v>0</v>
      </c>
      <c r="O131" s="195">
        <f t="shared" si="10"/>
        <v>0</v>
      </c>
      <c r="P131" s="195">
        <f t="shared" si="11"/>
        <v>0</v>
      </c>
      <c r="Q131" s="195">
        <f t="shared" si="12"/>
        <v>0</v>
      </c>
      <c r="R131" s="196" t="e">
        <f>N131/Q131</f>
        <v>#DIV/0!</v>
      </c>
      <c r="U131" s="195">
        <f t="shared" si="18"/>
        <v>0</v>
      </c>
      <c r="V131" s="195">
        <f t="shared" si="14"/>
        <v>0</v>
      </c>
      <c r="W131" s="195">
        <f t="shared" si="14"/>
        <v>0</v>
      </c>
      <c r="X131" s="195">
        <f t="shared" si="17"/>
        <v>0</v>
      </c>
      <c r="Y131" s="196" t="e">
        <f t="shared" si="16"/>
        <v>#DIV/0!</v>
      </c>
      <c r="AC131" s="251" t="e">
        <f t="shared" si="15"/>
        <v>#DIV/0!</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357</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356</v>
      </c>
      <c r="E136" s="191"/>
      <c r="F136" s="191"/>
      <c r="G136" s="191"/>
      <c r="H136" s="191"/>
      <c r="I136" s="191"/>
      <c r="J136" s="191"/>
      <c r="K136" s="192"/>
      <c r="N136" s="219" t="str">
        <f>D136</f>
        <v>Non OECD Region (less China, Mexico, Brazil, Russia)</v>
      </c>
      <c r="O136" s="219"/>
      <c r="P136" s="219" t="str">
        <f>C136</f>
        <v>OECD90</v>
      </c>
      <c r="Q136" s="219" t="str">
        <f>Q84</f>
        <v>Total</v>
      </c>
      <c r="R136" s="219" t="str">
        <f>R84</f>
        <v>% Non OECD Region (less China, Mexico, Brazil, Russia)</v>
      </c>
      <c r="AC136" s="251"/>
    </row>
    <row r="137" spans="1:29" ht="15.6" x14ac:dyDescent="0.3">
      <c r="A137" s="194">
        <v>2014</v>
      </c>
      <c r="B137" s="229">
        <v>50554.296994418597</v>
      </c>
      <c r="C137" s="229"/>
      <c r="D137" s="229"/>
      <c r="E137" s="229"/>
      <c r="F137" s="229"/>
      <c r="G137" s="229"/>
      <c r="H137" s="229"/>
      <c r="I137" s="229"/>
      <c r="J137" s="229"/>
      <c r="K137" s="229"/>
      <c r="N137" s="195">
        <f>D137</f>
        <v>0</v>
      </c>
      <c r="O137" s="195">
        <f>H137</f>
        <v>0</v>
      </c>
      <c r="P137" s="195">
        <f>C137</f>
        <v>0</v>
      </c>
      <c r="Q137" s="195">
        <f>N137+P137+O137</f>
        <v>0</v>
      </c>
      <c r="R137" s="196" t="e">
        <f>N137/Q137</f>
        <v>#DIV/0!</v>
      </c>
      <c r="AC137" s="251"/>
    </row>
    <row r="138" spans="1:29" ht="15.6" x14ac:dyDescent="0.3">
      <c r="A138" s="194">
        <v>2015</v>
      </c>
      <c r="B138" s="229">
        <v>50756.221984263721</v>
      </c>
      <c r="C138" s="229"/>
      <c r="D138" s="229"/>
      <c r="E138" s="229"/>
      <c r="F138" s="229"/>
      <c r="G138" s="229"/>
      <c r="H138" s="229"/>
      <c r="I138" s="229"/>
      <c r="J138" s="229"/>
      <c r="K138" s="229"/>
      <c r="N138" s="195">
        <f t="shared" ref="N138:N183" si="19">D138</f>
        <v>0</v>
      </c>
      <c r="O138" s="195">
        <f t="shared" ref="O138:O183" si="20">H138</f>
        <v>0</v>
      </c>
      <c r="P138" s="195">
        <f t="shared" ref="P138:P183" si="21">C138</f>
        <v>0</v>
      </c>
      <c r="Q138" s="195">
        <f t="shared" ref="Q138:Q183" si="22">N138+P138+O138</f>
        <v>0</v>
      </c>
      <c r="R138" s="196" t="e">
        <f t="shared" ref="R138:R182" si="23">N138/Q138</f>
        <v>#DIV/0!</v>
      </c>
      <c r="AC138" s="251"/>
    </row>
    <row r="139" spans="1:29" ht="15.6" x14ac:dyDescent="0.3">
      <c r="A139" s="194">
        <v>2016</v>
      </c>
      <c r="B139" s="229">
        <v>52134.804181258645</v>
      </c>
      <c r="C139" s="229"/>
      <c r="D139" s="229"/>
      <c r="E139" s="229"/>
      <c r="F139" s="229"/>
      <c r="G139" s="229"/>
      <c r="H139" s="229"/>
      <c r="I139" s="229"/>
      <c r="J139" s="229"/>
      <c r="K139" s="229"/>
      <c r="N139" s="195">
        <f t="shared" si="19"/>
        <v>0</v>
      </c>
      <c r="O139" s="195">
        <f t="shared" si="20"/>
        <v>0</v>
      </c>
      <c r="P139" s="195">
        <f t="shared" si="21"/>
        <v>0</v>
      </c>
      <c r="Q139" s="195">
        <f t="shared" si="22"/>
        <v>0</v>
      </c>
      <c r="R139" s="196" t="e">
        <f t="shared" si="23"/>
        <v>#DIV/0!</v>
      </c>
      <c r="AC139" s="251"/>
    </row>
    <row r="140" spans="1:29" ht="15.6" x14ac:dyDescent="0.3">
      <c r="A140" s="194">
        <v>2017</v>
      </c>
      <c r="B140" s="229">
        <v>53561.509682125048</v>
      </c>
      <c r="C140" s="229"/>
      <c r="D140" s="229"/>
      <c r="E140" s="229"/>
      <c r="F140" s="229"/>
      <c r="G140" s="229"/>
      <c r="H140" s="229"/>
      <c r="I140" s="229"/>
      <c r="J140" s="229"/>
      <c r="K140" s="229"/>
      <c r="N140" s="195">
        <f t="shared" si="19"/>
        <v>0</v>
      </c>
      <c r="O140" s="195">
        <f t="shared" si="20"/>
        <v>0</v>
      </c>
      <c r="P140" s="195">
        <f t="shared" si="21"/>
        <v>0</v>
      </c>
      <c r="Q140" s="195">
        <f t="shared" si="22"/>
        <v>0</v>
      </c>
      <c r="R140" s="196" t="e">
        <f t="shared" si="23"/>
        <v>#DIV/0!</v>
      </c>
      <c r="AC140" s="251"/>
    </row>
    <row r="141" spans="1:29" ht="15.6" x14ac:dyDescent="0.3">
      <c r="A141" s="194">
        <v>2018</v>
      </c>
      <c r="B141" s="229">
        <v>55043.613923764824</v>
      </c>
      <c r="C141" s="229"/>
      <c r="D141" s="229"/>
      <c r="E141" s="229"/>
      <c r="F141" s="229"/>
      <c r="G141" s="229"/>
      <c r="H141" s="229"/>
      <c r="I141" s="229"/>
      <c r="J141" s="229"/>
      <c r="K141" s="229"/>
      <c r="N141" s="195">
        <f t="shared" si="19"/>
        <v>0</v>
      </c>
      <c r="O141" s="195">
        <f t="shared" si="20"/>
        <v>0</v>
      </c>
      <c r="P141" s="195">
        <f t="shared" si="21"/>
        <v>0</v>
      </c>
      <c r="Q141" s="195">
        <f t="shared" si="22"/>
        <v>0</v>
      </c>
      <c r="R141" s="196" t="e">
        <f t="shared" si="23"/>
        <v>#DIV/0!</v>
      </c>
      <c r="AC141" s="251"/>
    </row>
    <row r="142" spans="1:29" ht="16.2" thickBot="1" x14ac:dyDescent="0.35">
      <c r="A142" s="198">
        <v>2019</v>
      </c>
      <c r="B142" s="230">
        <v>56588.392343079875</v>
      </c>
      <c r="C142" s="229"/>
      <c r="D142" s="229"/>
      <c r="E142" s="230"/>
      <c r="F142" s="230"/>
      <c r="G142" s="230"/>
      <c r="H142" s="230"/>
      <c r="I142" s="230"/>
      <c r="J142" s="230"/>
      <c r="K142" s="230"/>
      <c r="N142" s="195">
        <f t="shared" si="19"/>
        <v>0</v>
      </c>
      <c r="O142" s="195">
        <f t="shared" si="20"/>
        <v>0</v>
      </c>
      <c r="P142" s="195">
        <f t="shared" si="21"/>
        <v>0</v>
      </c>
      <c r="Q142" s="195">
        <f t="shared" si="22"/>
        <v>0</v>
      </c>
      <c r="R142" s="199" t="e">
        <f t="shared" si="23"/>
        <v>#DIV/0!</v>
      </c>
      <c r="AC142" s="251"/>
    </row>
    <row r="143" spans="1:29" ht="15.6" x14ac:dyDescent="0.3">
      <c r="A143" s="201">
        <v>2020</v>
      </c>
      <c r="B143" s="228">
        <v>58203.120376972111</v>
      </c>
      <c r="C143" s="229"/>
      <c r="D143" s="229"/>
      <c r="E143" s="228"/>
      <c r="F143" s="228"/>
      <c r="G143" s="228"/>
      <c r="H143" s="228"/>
      <c r="I143" s="228"/>
      <c r="J143" s="228"/>
      <c r="K143" s="228"/>
      <c r="L143" s="202"/>
      <c r="M143" s="202"/>
      <c r="N143" s="195">
        <f t="shared" si="19"/>
        <v>0</v>
      </c>
      <c r="O143" s="195">
        <f t="shared" si="20"/>
        <v>0</v>
      </c>
      <c r="P143" s="195">
        <f t="shared" si="21"/>
        <v>0</v>
      </c>
      <c r="Q143" s="195">
        <f t="shared" si="22"/>
        <v>0</v>
      </c>
      <c r="R143" s="220" t="e">
        <f t="shared" si="23"/>
        <v>#DIV/0!</v>
      </c>
      <c r="AC143" s="251"/>
    </row>
    <row r="144" spans="1:29" ht="15.6" x14ac:dyDescent="0.3">
      <c r="A144" s="206">
        <v>2021</v>
      </c>
      <c r="B144" s="229">
        <v>59895.073462343425</v>
      </c>
      <c r="C144" s="229"/>
      <c r="D144" s="229"/>
      <c r="E144" s="229"/>
      <c r="F144" s="229"/>
      <c r="G144" s="229"/>
      <c r="H144" s="229"/>
      <c r="I144" s="229"/>
      <c r="J144" s="229"/>
      <c r="K144" s="229"/>
      <c r="L144" s="170"/>
      <c r="M144" s="170"/>
      <c r="N144" s="195">
        <f t="shared" si="19"/>
        <v>0</v>
      </c>
      <c r="O144" s="195">
        <f t="shared" si="20"/>
        <v>0</v>
      </c>
      <c r="P144" s="195">
        <f t="shared" si="21"/>
        <v>0</v>
      </c>
      <c r="Q144" s="195">
        <f t="shared" si="22"/>
        <v>0</v>
      </c>
      <c r="R144" s="221" t="e">
        <f t="shared" si="23"/>
        <v>#DIV/0!</v>
      </c>
      <c r="AC144" s="251"/>
    </row>
    <row r="145" spans="1:29" ht="15.6" x14ac:dyDescent="0.3">
      <c r="A145" s="206">
        <v>2022</v>
      </c>
      <c r="B145" s="229">
        <v>61671.527036095722</v>
      </c>
      <c r="C145" s="229"/>
      <c r="D145" s="229"/>
      <c r="E145" s="229"/>
      <c r="F145" s="229"/>
      <c r="G145" s="229"/>
      <c r="H145" s="229"/>
      <c r="I145" s="229"/>
      <c r="J145" s="229"/>
      <c r="K145" s="229"/>
      <c r="L145" s="170"/>
      <c r="M145" s="170"/>
      <c r="N145" s="195">
        <f t="shared" si="19"/>
        <v>0</v>
      </c>
      <c r="O145" s="195">
        <f t="shared" si="20"/>
        <v>0</v>
      </c>
      <c r="P145" s="195">
        <f t="shared" si="21"/>
        <v>0</v>
      </c>
      <c r="Q145" s="195">
        <f t="shared" si="22"/>
        <v>0</v>
      </c>
      <c r="R145" s="221" t="e">
        <f t="shared" si="23"/>
        <v>#DIV/0!</v>
      </c>
      <c r="AC145" s="251"/>
    </row>
    <row r="146" spans="1:29" ht="15.6" x14ac:dyDescent="0.3">
      <c r="A146" s="206">
        <v>2023</v>
      </c>
      <c r="B146" s="229">
        <v>63539.756535130909</v>
      </c>
      <c r="C146" s="229"/>
      <c r="D146" s="229"/>
      <c r="E146" s="229"/>
      <c r="F146" s="229"/>
      <c r="G146" s="229"/>
      <c r="H146" s="229"/>
      <c r="I146" s="229"/>
      <c r="J146" s="229"/>
      <c r="K146" s="229"/>
      <c r="L146" s="170"/>
      <c r="M146" s="170"/>
      <c r="N146" s="195">
        <f t="shared" si="19"/>
        <v>0</v>
      </c>
      <c r="O146" s="195">
        <f t="shared" si="20"/>
        <v>0</v>
      </c>
      <c r="P146" s="195">
        <f t="shared" si="21"/>
        <v>0</v>
      </c>
      <c r="Q146" s="195">
        <f>N146+P146+O146</f>
        <v>0</v>
      </c>
      <c r="R146" s="221" t="e">
        <f t="shared" si="23"/>
        <v>#DIV/0!</v>
      </c>
      <c r="AC146" s="251"/>
    </row>
    <row r="147" spans="1:29" ht="15.6" x14ac:dyDescent="0.3">
      <c r="A147" s="206">
        <v>2024</v>
      </c>
      <c r="B147" s="229">
        <v>65507.03739635089</v>
      </c>
      <c r="C147" s="229"/>
      <c r="D147" s="229"/>
      <c r="E147" s="229"/>
      <c r="F147" s="229"/>
      <c r="G147" s="229"/>
      <c r="H147" s="229"/>
      <c r="I147" s="229"/>
      <c r="J147" s="229"/>
      <c r="K147" s="229"/>
      <c r="L147" s="170"/>
      <c r="M147" s="170"/>
      <c r="N147" s="195">
        <f t="shared" si="19"/>
        <v>0</v>
      </c>
      <c r="O147" s="195">
        <f t="shared" si="20"/>
        <v>0</v>
      </c>
      <c r="P147" s="195">
        <f t="shared" si="21"/>
        <v>0</v>
      </c>
      <c r="Q147" s="195">
        <f t="shared" si="22"/>
        <v>0</v>
      </c>
      <c r="R147" s="221" t="e">
        <f t="shared" si="23"/>
        <v>#DIV/0!</v>
      </c>
      <c r="AC147" s="251"/>
    </row>
    <row r="148" spans="1:29" ht="15.6" x14ac:dyDescent="0.3">
      <c r="A148" s="206">
        <v>2025</v>
      </c>
      <c r="B148" s="229">
        <v>67580.645056657566</v>
      </c>
      <c r="C148" s="229"/>
      <c r="D148" s="229"/>
      <c r="E148" s="229"/>
      <c r="F148" s="229"/>
      <c r="G148" s="229"/>
      <c r="H148" s="229"/>
      <c r="I148" s="229"/>
      <c r="J148" s="229"/>
      <c r="K148" s="229"/>
      <c r="L148" s="170"/>
      <c r="M148" s="170"/>
      <c r="N148" s="195">
        <f t="shared" si="19"/>
        <v>0</v>
      </c>
      <c r="O148" s="195">
        <f t="shared" si="20"/>
        <v>0</v>
      </c>
      <c r="P148" s="195">
        <f t="shared" si="21"/>
        <v>0</v>
      </c>
      <c r="Q148" s="195">
        <f t="shared" si="22"/>
        <v>0</v>
      </c>
      <c r="R148" s="221" t="e">
        <f t="shared" si="23"/>
        <v>#DIV/0!</v>
      </c>
      <c r="AC148" s="251"/>
    </row>
    <row r="149" spans="1:29" ht="15.6" x14ac:dyDescent="0.3">
      <c r="A149" s="206">
        <v>2026</v>
      </c>
      <c r="B149" s="229">
        <v>69767.854952952825</v>
      </c>
      <c r="C149" s="229"/>
      <c r="D149" s="229"/>
      <c r="E149" s="229"/>
      <c r="F149" s="229"/>
      <c r="G149" s="229"/>
      <c r="H149" s="229"/>
      <c r="I149" s="229"/>
      <c r="J149" s="229"/>
      <c r="K149" s="229"/>
      <c r="L149" s="170"/>
      <c r="M149" s="170"/>
      <c r="N149" s="195">
        <f t="shared" si="19"/>
        <v>0</v>
      </c>
      <c r="O149" s="195">
        <f t="shared" si="20"/>
        <v>0</v>
      </c>
      <c r="P149" s="195">
        <f t="shared" si="21"/>
        <v>0</v>
      </c>
      <c r="Q149" s="195">
        <f t="shared" si="22"/>
        <v>0</v>
      </c>
      <c r="R149" s="221" t="e">
        <f t="shared" si="23"/>
        <v>#DIV/0!</v>
      </c>
      <c r="AC149" s="251"/>
    </row>
    <row r="150" spans="1:29" ht="15.6" x14ac:dyDescent="0.3">
      <c r="A150" s="206">
        <v>2027</v>
      </c>
      <c r="B150" s="229">
        <v>72075.94252213859</v>
      </c>
      <c r="C150" s="229"/>
      <c r="D150" s="229"/>
      <c r="E150" s="229"/>
      <c r="F150" s="229"/>
      <c r="G150" s="229"/>
      <c r="H150" s="229"/>
      <c r="I150" s="229"/>
      <c r="J150" s="229"/>
      <c r="K150" s="229"/>
      <c r="L150" s="170"/>
      <c r="M150" s="170"/>
      <c r="N150" s="195">
        <f t="shared" si="19"/>
        <v>0</v>
      </c>
      <c r="O150" s="195">
        <f t="shared" si="20"/>
        <v>0</v>
      </c>
      <c r="P150" s="195">
        <f t="shared" si="21"/>
        <v>0</v>
      </c>
      <c r="Q150" s="195">
        <f t="shared" si="22"/>
        <v>0</v>
      </c>
      <c r="R150" s="221" t="e">
        <f t="shared" si="23"/>
        <v>#DIV/0!</v>
      </c>
      <c r="AC150" s="251"/>
    </row>
    <row r="151" spans="1:29" ht="15.6" x14ac:dyDescent="0.3">
      <c r="A151" s="206">
        <v>2028</v>
      </c>
      <c r="B151" s="229">
        <v>74512.183201116772</v>
      </c>
      <c r="C151" s="229"/>
      <c r="D151" s="229"/>
      <c r="E151" s="229"/>
      <c r="F151" s="229"/>
      <c r="G151" s="229"/>
      <c r="H151" s="229"/>
      <c r="I151" s="229"/>
      <c r="J151" s="229"/>
      <c r="K151" s="229"/>
      <c r="L151" s="170"/>
      <c r="M151" s="170"/>
      <c r="N151" s="195">
        <f t="shared" si="19"/>
        <v>0</v>
      </c>
      <c r="O151" s="195">
        <f t="shared" si="20"/>
        <v>0</v>
      </c>
      <c r="P151" s="195">
        <f t="shared" si="21"/>
        <v>0</v>
      </c>
      <c r="Q151" s="195">
        <f t="shared" si="22"/>
        <v>0</v>
      </c>
      <c r="R151" s="221" t="e">
        <f t="shared" si="23"/>
        <v>#DIV/0!</v>
      </c>
      <c r="AC151" s="251"/>
    </row>
    <row r="152" spans="1:29" ht="15.6" x14ac:dyDescent="0.3">
      <c r="A152" s="206">
        <v>2029</v>
      </c>
      <c r="B152" s="229">
        <v>77083.852426789235</v>
      </c>
      <c r="C152" s="229"/>
      <c r="D152" s="229"/>
      <c r="E152" s="229"/>
      <c r="F152" s="229"/>
      <c r="G152" s="229"/>
      <c r="H152" s="229"/>
      <c r="I152" s="229"/>
      <c r="J152" s="229"/>
      <c r="K152" s="229"/>
      <c r="L152" s="170"/>
      <c r="M152" s="170"/>
      <c r="N152" s="195">
        <f t="shared" si="19"/>
        <v>0</v>
      </c>
      <c r="O152" s="195">
        <f t="shared" si="20"/>
        <v>0</v>
      </c>
      <c r="P152" s="195">
        <f t="shared" si="21"/>
        <v>0</v>
      </c>
      <c r="Q152" s="195">
        <f t="shared" si="22"/>
        <v>0</v>
      </c>
      <c r="R152" s="221" t="e">
        <f t="shared" si="23"/>
        <v>#DIV/0!</v>
      </c>
      <c r="AC152" s="251"/>
    </row>
    <row r="153" spans="1:29" ht="15.6" x14ac:dyDescent="0.3">
      <c r="A153" s="206">
        <v>2030</v>
      </c>
      <c r="B153" s="229">
        <v>79798.225636057919</v>
      </c>
      <c r="C153" s="229"/>
      <c r="D153" s="229"/>
      <c r="E153" s="229"/>
      <c r="F153" s="229"/>
      <c r="G153" s="229"/>
      <c r="H153" s="229"/>
      <c r="I153" s="229"/>
      <c r="J153" s="229"/>
      <c r="K153" s="229"/>
      <c r="L153" s="170"/>
      <c r="M153" s="170"/>
      <c r="N153" s="195">
        <f t="shared" si="19"/>
        <v>0</v>
      </c>
      <c r="O153" s="195">
        <f t="shared" si="20"/>
        <v>0</v>
      </c>
      <c r="P153" s="195">
        <f t="shared" si="21"/>
        <v>0</v>
      </c>
      <c r="Q153" s="195">
        <f t="shared" si="22"/>
        <v>0</v>
      </c>
      <c r="R153" s="221" t="e">
        <f t="shared" si="23"/>
        <v>#DIV/0!</v>
      </c>
      <c r="AC153" s="251"/>
    </row>
    <row r="154" spans="1:29" ht="15.6" x14ac:dyDescent="0.3">
      <c r="A154" s="206">
        <v>2031</v>
      </c>
      <c r="B154" s="229">
        <v>82662.578265824719</v>
      </c>
      <c r="C154" s="229"/>
      <c r="D154" s="229"/>
      <c r="E154" s="229"/>
      <c r="F154" s="229"/>
      <c r="G154" s="229"/>
      <c r="H154" s="229"/>
      <c r="I154" s="229"/>
      <c r="J154" s="229"/>
      <c r="K154" s="229"/>
      <c r="L154" s="170"/>
      <c r="M154" s="170"/>
      <c r="N154" s="195">
        <f t="shared" si="19"/>
        <v>0</v>
      </c>
      <c r="O154" s="195">
        <f t="shared" si="20"/>
        <v>0</v>
      </c>
      <c r="P154" s="195">
        <f t="shared" si="21"/>
        <v>0</v>
      </c>
      <c r="Q154" s="195">
        <f t="shared" si="22"/>
        <v>0</v>
      </c>
      <c r="R154" s="221" t="e">
        <f t="shared" si="23"/>
        <v>#DIV/0!</v>
      </c>
      <c r="AC154" s="251"/>
    </row>
    <row r="155" spans="1:29" ht="15.6" x14ac:dyDescent="0.3">
      <c r="A155" s="206">
        <v>2032</v>
      </c>
      <c r="B155" s="229">
        <v>85684.185752991529</v>
      </c>
      <c r="C155" s="229"/>
      <c r="D155" s="229"/>
      <c r="E155" s="229"/>
      <c r="F155" s="229"/>
      <c r="G155" s="229"/>
      <c r="H155" s="229"/>
      <c r="I155" s="229"/>
      <c r="J155" s="229"/>
      <c r="K155" s="229"/>
      <c r="L155" s="170"/>
      <c r="M155" s="170"/>
      <c r="N155" s="195">
        <f t="shared" si="19"/>
        <v>0</v>
      </c>
      <c r="O155" s="195">
        <f t="shared" si="20"/>
        <v>0</v>
      </c>
      <c r="P155" s="195">
        <f t="shared" si="21"/>
        <v>0</v>
      </c>
      <c r="Q155" s="195">
        <f t="shared" si="22"/>
        <v>0</v>
      </c>
      <c r="R155" s="221" t="e">
        <f t="shared" si="23"/>
        <v>#DIV/0!</v>
      </c>
      <c r="AC155" s="251"/>
    </row>
    <row r="156" spans="1:29" ht="15.6" x14ac:dyDescent="0.3">
      <c r="A156" s="206">
        <v>2033</v>
      </c>
      <c r="B156" s="229">
        <v>88870.323534460244</v>
      </c>
      <c r="C156" s="229"/>
      <c r="D156" s="229"/>
      <c r="E156" s="229"/>
      <c r="F156" s="229"/>
      <c r="G156" s="229"/>
      <c r="H156" s="229"/>
      <c r="I156" s="229"/>
      <c r="J156" s="229"/>
      <c r="K156" s="229"/>
      <c r="L156" s="170"/>
      <c r="M156" s="170"/>
      <c r="N156" s="195">
        <f t="shared" si="19"/>
        <v>0</v>
      </c>
      <c r="O156" s="195">
        <f t="shared" si="20"/>
        <v>0</v>
      </c>
      <c r="P156" s="195">
        <f t="shared" si="21"/>
        <v>0</v>
      </c>
      <c r="Q156" s="195">
        <f t="shared" si="22"/>
        <v>0</v>
      </c>
      <c r="R156" s="221" t="e">
        <f t="shared" si="23"/>
        <v>#DIV/0!</v>
      </c>
      <c r="AC156" s="251"/>
    </row>
    <row r="157" spans="1:29" ht="15.6" x14ac:dyDescent="0.3">
      <c r="A157" s="206">
        <v>2034</v>
      </c>
      <c r="B157" s="229">
        <v>92228.267047132787</v>
      </c>
      <c r="C157" s="229"/>
      <c r="D157" s="229"/>
      <c r="E157" s="229"/>
      <c r="F157" s="229"/>
      <c r="G157" s="229"/>
      <c r="H157" s="229"/>
      <c r="I157" s="229"/>
      <c r="J157" s="229"/>
      <c r="K157" s="229"/>
      <c r="L157" s="170"/>
      <c r="M157" s="170"/>
      <c r="N157" s="195">
        <f t="shared" si="19"/>
        <v>0</v>
      </c>
      <c r="O157" s="195">
        <f t="shared" si="20"/>
        <v>0</v>
      </c>
      <c r="P157" s="195">
        <f t="shared" si="21"/>
        <v>0</v>
      </c>
      <c r="Q157" s="195">
        <f t="shared" si="22"/>
        <v>0</v>
      </c>
      <c r="R157" s="221" t="e">
        <f t="shared" si="23"/>
        <v>#DIV/0!</v>
      </c>
      <c r="AC157" s="251"/>
    </row>
    <row r="158" spans="1:29" ht="15.6" x14ac:dyDescent="0.3">
      <c r="A158" s="206">
        <v>2035</v>
      </c>
      <c r="B158" s="229">
        <v>95765.291727911041</v>
      </c>
      <c r="C158" s="229"/>
      <c r="D158" s="229"/>
      <c r="E158" s="229"/>
      <c r="F158" s="229"/>
      <c r="G158" s="229"/>
      <c r="H158" s="229"/>
      <c r="I158" s="229"/>
      <c r="J158" s="229"/>
      <c r="K158" s="229"/>
      <c r="L158" s="170"/>
      <c r="M158" s="170"/>
      <c r="N158" s="195">
        <f t="shared" si="19"/>
        <v>0</v>
      </c>
      <c r="O158" s="195">
        <f t="shared" si="20"/>
        <v>0</v>
      </c>
      <c r="P158" s="195">
        <f t="shared" si="21"/>
        <v>0</v>
      </c>
      <c r="Q158" s="195">
        <f t="shared" si="22"/>
        <v>0</v>
      </c>
      <c r="R158" s="221" t="e">
        <f t="shared" si="23"/>
        <v>#DIV/0!</v>
      </c>
      <c r="AC158" s="251"/>
    </row>
    <row r="159" spans="1:29" ht="15.6" x14ac:dyDescent="0.3">
      <c r="A159" s="206">
        <v>2036</v>
      </c>
      <c r="B159" s="229">
        <v>99488.673013696927</v>
      </c>
      <c r="C159" s="229"/>
      <c r="D159" s="229"/>
      <c r="E159" s="229"/>
      <c r="F159" s="229"/>
      <c r="G159" s="229"/>
      <c r="H159" s="229"/>
      <c r="I159" s="229"/>
      <c r="J159" s="229"/>
      <c r="K159" s="229"/>
      <c r="L159" s="170"/>
      <c r="M159" s="170"/>
      <c r="N159" s="195">
        <f t="shared" si="19"/>
        <v>0</v>
      </c>
      <c r="O159" s="195">
        <f t="shared" si="20"/>
        <v>0</v>
      </c>
      <c r="P159" s="195">
        <f t="shared" si="21"/>
        <v>0</v>
      </c>
      <c r="Q159" s="195">
        <f t="shared" si="22"/>
        <v>0</v>
      </c>
      <c r="R159" s="221" t="e">
        <f t="shared" si="23"/>
        <v>#DIV/0!</v>
      </c>
      <c r="AC159" s="251"/>
    </row>
    <row r="160" spans="1:29" ht="15.6" x14ac:dyDescent="0.3">
      <c r="A160" s="206">
        <v>2037</v>
      </c>
      <c r="B160" s="229">
        <v>103405.68634139234</v>
      </c>
      <c r="C160" s="229"/>
      <c r="D160" s="229"/>
      <c r="E160" s="229"/>
      <c r="F160" s="229"/>
      <c r="G160" s="229"/>
      <c r="H160" s="229"/>
      <c r="I160" s="229"/>
      <c r="J160" s="229"/>
      <c r="K160" s="229"/>
      <c r="L160" s="170"/>
      <c r="M160" s="170"/>
      <c r="N160" s="195">
        <f t="shared" si="19"/>
        <v>0</v>
      </c>
      <c r="O160" s="195">
        <f t="shared" si="20"/>
        <v>0</v>
      </c>
      <c r="P160" s="195">
        <f t="shared" si="21"/>
        <v>0</v>
      </c>
      <c r="Q160" s="195">
        <f t="shared" si="22"/>
        <v>0</v>
      </c>
      <c r="R160" s="221" t="e">
        <f t="shared" si="23"/>
        <v>#DIV/0!</v>
      </c>
      <c r="AC160" s="251"/>
    </row>
    <row r="161" spans="1:29" ht="15.6" x14ac:dyDescent="0.3">
      <c r="A161" s="206">
        <v>2038</v>
      </c>
      <c r="B161" s="229">
        <v>107523.60714789918</v>
      </c>
      <c r="C161" s="229"/>
      <c r="D161" s="229"/>
      <c r="E161" s="229"/>
      <c r="F161" s="229"/>
      <c r="G161" s="229"/>
      <c r="H161" s="229"/>
      <c r="I161" s="229"/>
      <c r="J161" s="229"/>
      <c r="K161" s="229"/>
      <c r="L161" s="170"/>
      <c r="M161" s="170"/>
      <c r="N161" s="195">
        <f t="shared" si="19"/>
        <v>0</v>
      </c>
      <c r="O161" s="195">
        <f t="shared" si="20"/>
        <v>0</v>
      </c>
      <c r="P161" s="195">
        <f t="shared" si="21"/>
        <v>0</v>
      </c>
      <c r="Q161" s="195">
        <f t="shared" si="22"/>
        <v>0</v>
      </c>
      <c r="R161" s="221" t="e">
        <f t="shared" si="23"/>
        <v>#DIV/0!</v>
      </c>
      <c r="AC161" s="251"/>
    </row>
    <row r="162" spans="1:29" ht="15.6" x14ac:dyDescent="0.3">
      <c r="A162" s="206">
        <v>2039</v>
      </c>
      <c r="B162" s="229">
        <v>111849.71087011936</v>
      </c>
      <c r="C162" s="229"/>
      <c r="D162" s="229"/>
      <c r="E162" s="229"/>
      <c r="F162" s="229"/>
      <c r="G162" s="229"/>
      <c r="H162" s="229"/>
      <c r="I162" s="229"/>
      <c r="J162" s="229"/>
      <c r="K162" s="229"/>
      <c r="L162" s="170"/>
      <c r="M162" s="170"/>
      <c r="N162" s="195">
        <f t="shared" si="19"/>
        <v>0</v>
      </c>
      <c r="O162" s="195">
        <f t="shared" si="20"/>
        <v>0</v>
      </c>
      <c r="P162" s="195">
        <f t="shared" si="21"/>
        <v>0</v>
      </c>
      <c r="Q162" s="195">
        <f t="shared" si="22"/>
        <v>0</v>
      </c>
      <c r="R162" s="221" t="e">
        <f t="shared" si="23"/>
        <v>#DIV/0!</v>
      </c>
      <c r="AC162" s="251"/>
    </row>
    <row r="163" spans="1:29" ht="15.6" x14ac:dyDescent="0.3">
      <c r="A163" s="206">
        <v>2040</v>
      </c>
      <c r="B163" s="229">
        <v>116391.27294495478</v>
      </c>
      <c r="C163" s="229"/>
      <c r="D163" s="229"/>
      <c r="E163" s="229"/>
      <c r="F163" s="229"/>
      <c r="G163" s="229"/>
      <c r="H163" s="229"/>
      <c r="I163" s="229"/>
      <c r="J163" s="229"/>
      <c r="K163" s="229"/>
      <c r="L163" s="170"/>
      <c r="M163" s="170"/>
      <c r="N163" s="195">
        <f t="shared" si="19"/>
        <v>0</v>
      </c>
      <c r="O163" s="195">
        <f t="shared" si="20"/>
        <v>0</v>
      </c>
      <c r="P163" s="195">
        <f t="shared" si="21"/>
        <v>0</v>
      </c>
      <c r="Q163" s="195">
        <f t="shared" si="22"/>
        <v>0</v>
      </c>
      <c r="R163" s="221" t="e">
        <f t="shared" si="23"/>
        <v>#DIV/0!</v>
      </c>
      <c r="AC163" s="251"/>
    </row>
    <row r="164" spans="1:29" ht="15.6" x14ac:dyDescent="0.3">
      <c r="A164" s="206">
        <v>2041</v>
      </c>
      <c r="B164" s="229">
        <v>121155.56880930733</v>
      </c>
      <c r="C164" s="229"/>
      <c r="D164" s="229"/>
      <c r="E164" s="229"/>
      <c r="F164" s="229"/>
      <c r="G164" s="229"/>
      <c r="H164" s="229"/>
      <c r="I164" s="229"/>
      <c r="J164" s="229"/>
      <c r="K164" s="229"/>
      <c r="L164" s="170"/>
      <c r="M164" s="170"/>
      <c r="N164" s="195">
        <f t="shared" si="19"/>
        <v>0</v>
      </c>
      <c r="O164" s="195">
        <f t="shared" si="20"/>
        <v>0</v>
      </c>
      <c r="P164" s="195">
        <f t="shared" si="21"/>
        <v>0</v>
      </c>
      <c r="Q164" s="195">
        <f>N164+P164+O164</f>
        <v>0</v>
      </c>
      <c r="R164" s="221" t="e">
        <f>N164/Q164</f>
        <v>#DIV/0!</v>
      </c>
      <c r="AC164" s="251"/>
    </row>
    <row r="165" spans="1:29" ht="15.6" x14ac:dyDescent="0.3">
      <c r="A165" s="206">
        <v>2042</v>
      </c>
      <c r="B165" s="229">
        <v>126149.87390007891</v>
      </c>
      <c r="C165" s="229"/>
      <c r="D165" s="229"/>
      <c r="E165" s="229"/>
      <c r="F165" s="229"/>
      <c r="G165" s="229"/>
      <c r="H165" s="229"/>
      <c r="I165" s="229"/>
      <c r="J165" s="229"/>
      <c r="K165" s="229"/>
      <c r="L165" s="170"/>
      <c r="M165" s="170"/>
      <c r="N165" s="195">
        <f t="shared" si="19"/>
        <v>0</v>
      </c>
      <c r="O165" s="195">
        <f t="shared" si="20"/>
        <v>0</v>
      </c>
      <c r="P165" s="195">
        <f t="shared" si="21"/>
        <v>0</v>
      </c>
      <c r="Q165" s="195">
        <f t="shared" si="22"/>
        <v>0</v>
      </c>
      <c r="R165" s="221" t="e">
        <f t="shared" si="23"/>
        <v>#DIV/0!</v>
      </c>
      <c r="AC165" s="251"/>
    </row>
    <row r="166" spans="1:29" ht="15.6" x14ac:dyDescent="0.3">
      <c r="A166" s="206">
        <v>2043</v>
      </c>
      <c r="B166" s="229">
        <v>131381.46365417144</v>
      </c>
      <c r="C166" s="229"/>
      <c r="D166" s="229"/>
      <c r="E166" s="229"/>
      <c r="F166" s="229"/>
      <c r="G166" s="229"/>
      <c r="H166" s="229"/>
      <c r="I166" s="229"/>
      <c r="J166" s="229"/>
      <c r="K166" s="229"/>
      <c r="L166" s="170"/>
      <c r="M166" s="170"/>
      <c r="N166" s="195">
        <f t="shared" si="19"/>
        <v>0</v>
      </c>
      <c r="O166" s="195">
        <f t="shared" si="20"/>
        <v>0</v>
      </c>
      <c r="P166" s="195">
        <f t="shared" si="21"/>
        <v>0</v>
      </c>
      <c r="Q166" s="195">
        <f t="shared" si="22"/>
        <v>0</v>
      </c>
      <c r="R166" s="221" t="e">
        <f t="shared" si="23"/>
        <v>#DIV/0!</v>
      </c>
      <c r="AC166" s="251"/>
    </row>
    <row r="167" spans="1:29" ht="15.6" x14ac:dyDescent="0.3">
      <c r="A167" s="206">
        <v>2044</v>
      </c>
      <c r="B167" s="229">
        <v>136857.61350848683</v>
      </c>
      <c r="C167" s="229"/>
      <c r="D167" s="229"/>
      <c r="E167" s="229"/>
      <c r="F167" s="229"/>
      <c r="G167" s="229"/>
      <c r="H167" s="229"/>
      <c r="I167" s="229"/>
      <c r="J167" s="229"/>
      <c r="K167" s="229"/>
      <c r="L167" s="170"/>
      <c r="M167" s="170"/>
      <c r="N167" s="195">
        <f t="shared" si="19"/>
        <v>0</v>
      </c>
      <c r="O167" s="195">
        <f t="shared" si="20"/>
        <v>0</v>
      </c>
      <c r="P167" s="195">
        <f t="shared" si="21"/>
        <v>0</v>
      </c>
      <c r="Q167" s="195">
        <f t="shared" si="22"/>
        <v>0</v>
      </c>
      <c r="R167" s="221" t="e">
        <f t="shared" si="23"/>
        <v>#DIV/0!</v>
      </c>
      <c r="AC167" s="251"/>
    </row>
    <row r="168" spans="1:29" ht="15.6" x14ac:dyDescent="0.3">
      <c r="A168" s="206">
        <v>2045</v>
      </c>
      <c r="B168" s="229">
        <v>142585.59889992696</v>
      </c>
      <c r="C168" s="229"/>
      <c r="D168" s="229"/>
      <c r="E168" s="229"/>
      <c r="F168" s="229"/>
      <c r="G168" s="229"/>
      <c r="H168" s="229"/>
      <c r="I168" s="229"/>
      <c r="J168" s="229"/>
      <c r="K168" s="229"/>
      <c r="L168" s="170"/>
      <c r="M168" s="170"/>
      <c r="N168" s="195">
        <f t="shared" si="19"/>
        <v>0</v>
      </c>
      <c r="O168" s="195">
        <f t="shared" si="20"/>
        <v>0</v>
      </c>
      <c r="P168" s="195">
        <f t="shared" si="21"/>
        <v>0</v>
      </c>
      <c r="Q168" s="195">
        <f t="shared" si="22"/>
        <v>0</v>
      </c>
      <c r="R168" s="221" t="e">
        <f t="shared" si="23"/>
        <v>#DIV/0!</v>
      </c>
      <c r="AC168" s="251"/>
    </row>
    <row r="169" spans="1:29" ht="15.6" x14ac:dyDescent="0.3">
      <c r="A169" s="206">
        <v>2046</v>
      </c>
      <c r="B169" s="229">
        <v>148572.69526539373</v>
      </c>
      <c r="C169" s="229"/>
      <c r="D169" s="229"/>
      <c r="E169" s="229"/>
      <c r="F169" s="229"/>
      <c r="G169" s="229"/>
      <c r="H169" s="229"/>
      <c r="I169" s="229"/>
      <c r="J169" s="229"/>
      <c r="K169" s="229"/>
      <c r="L169" s="170"/>
      <c r="M169" s="170"/>
      <c r="N169" s="195">
        <f t="shared" si="19"/>
        <v>0</v>
      </c>
      <c r="O169" s="195">
        <f t="shared" si="20"/>
        <v>0</v>
      </c>
      <c r="P169" s="195">
        <f t="shared" si="21"/>
        <v>0</v>
      </c>
      <c r="Q169" s="195">
        <f t="shared" si="22"/>
        <v>0</v>
      </c>
      <c r="R169" s="221" t="e">
        <f t="shared" si="23"/>
        <v>#DIV/0!</v>
      </c>
      <c r="AC169" s="251"/>
    </row>
    <row r="170" spans="1:29" ht="15.6" x14ac:dyDescent="0.3">
      <c r="A170" s="206">
        <v>2047</v>
      </c>
      <c r="B170" s="229">
        <v>154826.17804178907</v>
      </c>
      <c r="C170" s="229"/>
      <c r="D170" s="229"/>
      <c r="E170" s="229"/>
      <c r="F170" s="229"/>
      <c r="G170" s="229"/>
      <c r="H170" s="229"/>
      <c r="I170" s="229"/>
      <c r="J170" s="229"/>
      <c r="K170" s="229"/>
      <c r="L170" s="170"/>
      <c r="M170" s="170"/>
      <c r="N170" s="195">
        <f t="shared" si="19"/>
        <v>0</v>
      </c>
      <c r="O170" s="195">
        <f t="shared" si="20"/>
        <v>0</v>
      </c>
      <c r="P170" s="195">
        <f t="shared" si="21"/>
        <v>0</v>
      </c>
      <c r="Q170" s="195">
        <f t="shared" si="22"/>
        <v>0</v>
      </c>
      <c r="R170" s="221" t="e">
        <f t="shared" si="23"/>
        <v>#DIV/0!</v>
      </c>
      <c r="AC170" s="251"/>
    </row>
    <row r="171" spans="1:29" ht="15.6" x14ac:dyDescent="0.3">
      <c r="A171" s="206">
        <v>2048</v>
      </c>
      <c r="B171" s="229">
        <v>161353.32266601486</v>
      </c>
      <c r="C171" s="229"/>
      <c r="D171" s="229"/>
      <c r="E171" s="229"/>
      <c r="F171" s="229"/>
      <c r="G171" s="229"/>
      <c r="H171" s="229"/>
      <c r="I171" s="229"/>
      <c r="J171" s="229"/>
      <c r="K171" s="229"/>
      <c r="L171" s="170"/>
      <c r="M171" s="170"/>
      <c r="N171" s="195">
        <f t="shared" si="19"/>
        <v>0</v>
      </c>
      <c r="O171" s="195">
        <f t="shared" si="20"/>
        <v>0</v>
      </c>
      <c r="P171" s="195">
        <f t="shared" si="21"/>
        <v>0</v>
      </c>
      <c r="Q171" s="195">
        <f t="shared" si="22"/>
        <v>0</v>
      </c>
      <c r="R171" s="221" t="e">
        <f t="shared" si="23"/>
        <v>#DIV/0!</v>
      </c>
      <c r="AC171" s="251"/>
    </row>
    <row r="172" spans="1:29" ht="15.6" x14ac:dyDescent="0.3">
      <c r="A172" s="206">
        <v>2049</v>
      </c>
      <c r="B172" s="229">
        <v>168161.40457497304</v>
      </c>
      <c r="C172" s="229"/>
      <c r="D172" s="229"/>
      <c r="E172" s="229"/>
      <c r="F172" s="229"/>
      <c r="G172" s="229"/>
      <c r="H172" s="229"/>
      <c r="I172" s="229"/>
      <c r="J172" s="229"/>
      <c r="K172" s="229"/>
      <c r="L172" s="170"/>
      <c r="M172" s="170"/>
      <c r="N172" s="195">
        <f t="shared" si="19"/>
        <v>0</v>
      </c>
      <c r="O172" s="195">
        <f t="shared" si="20"/>
        <v>0</v>
      </c>
      <c r="P172" s="195">
        <f t="shared" si="21"/>
        <v>0</v>
      </c>
      <c r="Q172" s="195">
        <f t="shared" si="22"/>
        <v>0</v>
      </c>
      <c r="R172" s="221" t="e">
        <f t="shared" si="23"/>
        <v>#DIV/0!</v>
      </c>
      <c r="AC172" s="251"/>
    </row>
    <row r="173" spans="1:29" ht="16.2" thickBot="1" x14ac:dyDescent="0.35">
      <c r="A173" s="208">
        <v>2050</v>
      </c>
      <c r="B173" s="231">
        <v>175257.69920556544</v>
      </c>
      <c r="C173" s="229"/>
      <c r="D173" s="229"/>
      <c r="E173" s="231"/>
      <c r="F173" s="231"/>
      <c r="G173" s="231"/>
      <c r="H173" s="231"/>
      <c r="I173" s="231"/>
      <c r="J173" s="231"/>
      <c r="K173" s="231"/>
      <c r="L173" s="209"/>
      <c r="M173" s="209"/>
      <c r="N173" s="195">
        <f t="shared" si="19"/>
        <v>0</v>
      </c>
      <c r="O173" s="195">
        <f t="shared" si="20"/>
        <v>0</v>
      </c>
      <c r="P173" s="195">
        <f t="shared" si="21"/>
        <v>0</v>
      </c>
      <c r="Q173" s="195">
        <f t="shared" si="22"/>
        <v>0</v>
      </c>
      <c r="R173" s="222" t="e">
        <f t="shared" si="23"/>
        <v>#DIV/0!</v>
      </c>
      <c r="AC173" s="251"/>
    </row>
    <row r="174" spans="1:29" ht="15.6" x14ac:dyDescent="0.3">
      <c r="A174" s="213">
        <v>2051</v>
      </c>
      <c r="B174" s="227">
        <v>182649.48199469404</v>
      </c>
      <c r="C174" s="229"/>
      <c r="D174" s="229"/>
      <c r="E174" s="227"/>
      <c r="F174" s="227"/>
      <c r="G174" s="227"/>
      <c r="H174" s="227"/>
      <c r="I174" s="227"/>
      <c r="J174" s="227"/>
      <c r="K174" s="227"/>
      <c r="N174" s="195">
        <f t="shared" si="19"/>
        <v>0</v>
      </c>
      <c r="O174" s="195">
        <f t="shared" si="20"/>
        <v>0</v>
      </c>
      <c r="P174" s="195">
        <f t="shared" si="21"/>
        <v>0</v>
      </c>
      <c r="Q174" s="195">
        <f t="shared" si="22"/>
        <v>0</v>
      </c>
      <c r="R174" s="214" t="e">
        <f t="shared" si="23"/>
        <v>#DIV/0!</v>
      </c>
      <c r="AC174" s="251"/>
    </row>
    <row r="175" spans="1:29" ht="15.6" x14ac:dyDescent="0.3">
      <c r="A175" s="194">
        <v>2052</v>
      </c>
      <c r="B175" s="229">
        <v>190344.02837926068</v>
      </c>
      <c r="C175" s="229"/>
      <c r="D175" s="229"/>
      <c r="E175" s="229"/>
      <c r="F175" s="229"/>
      <c r="G175" s="229"/>
      <c r="H175" s="229"/>
      <c r="I175" s="229"/>
      <c r="J175" s="229"/>
      <c r="K175" s="229"/>
      <c r="N175" s="195">
        <f t="shared" si="19"/>
        <v>0</v>
      </c>
      <c r="O175" s="195">
        <f t="shared" si="20"/>
        <v>0</v>
      </c>
      <c r="P175" s="195">
        <f t="shared" si="21"/>
        <v>0</v>
      </c>
      <c r="Q175" s="195">
        <f t="shared" si="22"/>
        <v>0</v>
      </c>
      <c r="R175" s="196" t="e">
        <f t="shared" si="23"/>
        <v>#DIV/0!</v>
      </c>
      <c r="AC175" s="251"/>
    </row>
    <row r="176" spans="1:29" ht="15.6" x14ac:dyDescent="0.3">
      <c r="A176" s="194">
        <v>2053</v>
      </c>
      <c r="B176" s="229">
        <v>198348.61379616731</v>
      </c>
      <c r="C176" s="229"/>
      <c r="D176" s="229"/>
      <c r="E176" s="229"/>
      <c r="F176" s="229"/>
      <c r="G176" s="229"/>
      <c r="H176" s="229"/>
      <c r="I176" s="229"/>
      <c r="J176" s="229"/>
      <c r="K176" s="229"/>
      <c r="N176" s="195">
        <f t="shared" si="19"/>
        <v>0</v>
      </c>
      <c r="O176" s="195">
        <f t="shared" si="20"/>
        <v>0</v>
      </c>
      <c r="P176" s="195">
        <f t="shared" si="21"/>
        <v>0</v>
      </c>
      <c r="Q176" s="195">
        <f t="shared" si="22"/>
        <v>0</v>
      </c>
      <c r="R176" s="196" t="e">
        <f t="shared" si="23"/>
        <v>#DIV/0!</v>
      </c>
      <c r="AC176" s="251"/>
    </row>
    <row r="177" spans="1:29" ht="15.6" x14ac:dyDescent="0.3">
      <c r="A177" s="194">
        <v>2054</v>
      </c>
      <c r="B177" s="229">
        <v>206670.51368231582</v>
      </c>
      <c r="C177" s="229"/>
      <c r="D177" s="229"/>
      <c r="E177" s="229"/>
      <c r="F177" s="229"/>
      <c r="G177" s="229"/>
      <c r="H177" s="229"/>
      <c r="I177" s="229"/>
      <c r="J177" s="229"/>
      <c r="K177" s="229"/>
      <c r="N177" s="195">
        <f t="shared" si="19"/>
        <v>0</v>
      </c>
      <c r="O177" s="195">
        <f t="shared" si="20"/>
        <v>0</v>
      </c>
      <c r="P177" s="195">
        <f t="shared" si="21"/>
        <v>0</v>
      </c>
      <c r="Q177" s="195">
        <f t="shared" si="22"/>
        <v>0</v>
      </c>
      <c r="R177" s="196" t="e">
        <f t="shared" si="23"/>
        <v>#DIV/0!</v>
      </c>
      <c r="AC177" s="251"/>
    </row>
    <row r="178" spans="1:29" ht="15.6" x14ac:dyDescent="0.3">
      <c r="A178" s="194">
        <v>2055</v>
      </c>
      <c r="B178" s="229">
        <v>215317.00347460809</v>
      </c>
      <c r="C178" s="229"/>
      <c r="D178" s="229"/>
      <c r="E178" s="229"/>
      <c r="F178" s="229"/>
      <c r="G178" s="229"/>
      <c r="H178" s="229"/>
      <c r="I178" s="229"/>
      <c r="J178" s="229"/>
      <c r="K178" s="229"/>
      <c r="N178" s="195">
        <f t="shared" si="19"/>
        <v>0</v>
      </c>
      <c r="O178" s="195">
        <f t="shared" si="20"/>
        <v>0</v>
      </c>
      <c r="P178" s="195">
        <f t="shared" si="21"/>
        <v>0</v>
      </c>
      <c r="Q178" s="195">
        <f t="shared" si="22"/>
        <v>0</v>
      </c>
      <c r="R178" s="196" t="e">
        <f t="shared" si="23"/>
        <v>#DIV/0!</v>
      </c>
      <c r="AC178" s="251"/>
    </row>
    <row r="179" spans="1:29" ht="15.6" x14ac:dyDescent="0.3">
      <c r="A179" s="194">
        <v>2056</v>
      </c>
      <c r="B179" s="229">
        <v>224295.35860994607</v>
      </c>
      <c r="C179" s="229"/>
      <c r="D179" s="229"/>
      <c r="E179" s="229"/>
      <c r="F179" s="229"/>
      <c r="G179" s="229"/>
      <c r="H179" s="229"/>
      <c r="I179" s="229"/>
      <c r="J179" s="229"/>
      <c r="K179" s="229"/>
      <c r="N179" s="195">
        <f t="shared" si="19"/>
        <v>0</v>
      </c>
      <c r="O179" s="195">
        <f t="shared" si="20"/>
        <v>0</v>
      </c>
      <c r="P179" s="195">
        <f t="shared" si="21"/>
        <v>0</v>
      </c>
      <c r="Q179" s="195">
        <f t="shared" si="22"/>
        <v>0</v>
      </c>
      <c r="R179" s="196" t="e">
        <f t="shared" si="23"/>
        <v>#DIV/0!</v>
      </c>
      <c r="AC179" s="251"/>
    </row>
    <row r="180" spans="1:29" ht="15.6" x14ac:dyDescent="0.3">
      <c r="A180" s="194">
        <v>2057</v>
      </c>
      <c r="B180" s="229">
        <v>233612.85452523161</v>
      </c>
      <c r="C180" s="229"/>
      <c r="D180" s="229"/>
      <c r="E180" s="229"/>
      <c r="F180" s="229"/>
      <c r="G180" s="229"/>
      <c r="H180" s="229"/>
      <c r="I180" s="229"/>
      <c r="J180" s="229"/>
      <c r="K180" s="229"/>
      <c r="N180" s="195">
        <f t="shared" si="19"/>
        <v>0</v>
      </c>
      <c r="O180" s="195">
        <f t="shared" si="20"/>
        <v>0</v>
      </c>
      <c r="P180" s="195">
        <f t="shared" si="21"/>
        <v>0</v>
      </c>
      <c r="Q180" s="195">
        <f t="shared" si="22"/>
        <v>0</v>
      </c>
      <c r="R180" s="196" t="e">
        <f t="shared" si="23"/>
        <v>#DIV/0!</v>
      </c>
      <c r="AC180" s="251"/>
    </row>
    <row r="181" spans="1:29" ht="15.6" x14ac:dyDescent="0.3">
      <c r="A181" s="194">
        <v>2058</v>
      </c>
      <c r="B181" s="229">
        <v>243276.76665736662</v>
      </c>
      <c r="C181" s="229"/>
      <c r="D181" s="229"/>
      <c r="E181" s="229"/>
      <c r="F181" s="229"/>
      <c r="G181" s="229"/>
      <c r="H181" s="229"/>
      <c r="I181" s="229"/>
      <c r="J181" s="229"/>
      <c r="K181" s="229"/>
      <c r="N181" s="195">
        <f t="shared" si="19"/>
        <v>0</v>
      </c>
      <c r="O181" s="195">
        <f t="shared" si="20"/>
        <v>0</v>
      </c>
      <c r="P181" s="195">
        <f t="shared" si="21"/>
        <v>0</v>
      </c>
      <c r="Q181" s="195">
        <f t="shared" si="22"/>
        <v>0</v>
      </c>
      <c r="R181" s="196" t="e">
        <f t="shared" si="23"/>
        <v>#DIV/0!</v>
      </c>
      <c r="AC181" s="251"/>
    </row>
    <row r="182" spans="1:29" ht="15.6" x14ac:dyDescent="0.3">
      <c r="A182" s="194">
        <v>2059</v>
      </c>
      <c r="B182" s="229">
        <v>253294.37044325305</v>
      </c>
      <c r="C182" s="229"/>
      <c r="D182" s="229"/>
      <c r="E182" s="229"/>
      <c r="F182" s="229"/>
      <c r="G182" s="229"/>
      <c r="H182" s="229"/>
      <c r="I182" s="229"/>
      <c r="J182" s="229"/>
      <c r="K182" s="229"/>
      <c r="N182" s="195">
        <f t="shared" si="19"/>
        <v>0</v>
      </c>
      <c r="O182" s="195">
        <f t="shared" si="20"/>
        <v>0</v>
      </c>
      <c r="P182" s="195">
        <f t="shared" si="21"/>
        <v>0</v>
      </c>
      <c r="Q182" s="195">
        <f t="shared" si="22"/>
        <v>0</v>
      </c>
      <c r="R182" s="196" t="e">
        <f t="shared" si="23"/>
        <v>#DIV/0!</v>
      </c>
      <c r="AC182" s="251"/>
    </row>
    <row r="183" spans="1:29" ht="15.6" x14ac:dyDescent="0.3">
      <c r="A183" s="194">
        <v>2060</v>
      </c>
      <c r="B183" s="229">
        <v>263672.94131979276</v>
      </c>
      <c r="C183" s="229"/>
      <c r="D183" s="229"/>
      <c r="E183" s="229"/>
      <c r="F183" s="229"/>
      <c r="G183" s="229"/>
      <c r="H183" s="229"/>
      <c r="I183" s="229"/>
      <c r="J183" s="229"/>
      <c r="K183" s="229"/>
      <c r="N183" s="195">
        <f t="shared" si="19"/>
        <v>0</v>
      </c>
      <c r="O183" s="195">
        <f t="shared" si="20"/>
        <v>0</v>
      </c>
      <c r="P183" s="195">
        <f t="shared" si="21"/>
        <v>0</v>
      </c>
      <c r="Q183" s="195">
        <f t="shared" si="22"/>
        <v>0</v>
      </c>
      <c r="R183" s="196" t="e">
        <f>N183/Q183</f>
        <v>#DIV/0!</v>
      </c>
      <c r="AC183" s="251"/>
    </row>
    <row r="186" spans="1:29" x14ac:dyDescent="0.25">
      <c r="H186" s="250"/>
      <c r="I186" s="250"/>
      <c r="J186" s="250"/>
      <c r="K186" s="250"/>
    </row>
    <row r="187" spans="1:29" x14ac:dyDescent="0.25">
      <c r="H187" s="250"/>
      <c r="I187" s="250"/>
      <c r="J187" s="250"/>
      <c r="K187" s="250"/>
    </row>
    <row r="188" spans="1:29" x14ac:dyDescent="0.25">
      <c r="H188" s="250"/>
      <c r="I188" s="250"/>
      <c r="J188" s="250"/>
      <c r="K188" s="250"/>
    </row>
    <row r="189" spans="1:29" x14ac:dyDescent="0.25">
      <c r="H189" s="250"/>
      <c r="I189" s="250"/>
      <c r="J189" s="250"/>
      <c r="K189" s="250"/>
    </row>
    <row r="190" spans="1:29" x14ac:dyDescent="0.25">
      <c r="H190" s="250"/>
      <c r="I190" s="250"/>
      <c r="J190" s="250"/>
      <c r="K190" s="250"/>
    </row>
    <row r="191" spans="1:29" x14ac:dyDescent="0.25">
      <c r="H191" s="250"/>
      <c r="I191" s="250"/>
      <c r="J191" s="250"/>
      <c r="K191" s="250"/>
    </row>
    <row r="192" spans="1:29" x14ac:dyDescent="0.25">
      <c r="H192" s="250"/>
      <c r="I192" s="250"/>
      <c r="J192" s="250"/>
      <c r="K192" s="250"/>
    </row>
    <row r="193" spans="1:11" x14ac:dyDescent="0.25">
      <c r="H193" s="250"/>
      <c r="I193" s="250"/>
      <c r="J193" s="250"/>
      <c r="K193" s="250"/>
    </row>
    <row r="194" spans="1:11" x14ac:dyDescent="0.25">
      <c r="H194" s="250"/>
      <c r="I194" s="250"/>
      <c r="J194" s="250"/>
      <c r="K194" s="250"/>
    </row>
    <row r="195" spans="1:11" ht="13.8" thickBot="1" x14ac:dyDescent="0.3">
      <c r="H195" s="250"/>
      <c r="I195" s="250"/>
      <c r="J195" s="250"/>
      <c r="K195" s="250"/>
    </row>
    <row r="196" spans="1:11" ht="13.8" thickBot="1" x14ac:dyDescent="0.3">
      <c r="A196" s="194"/>
      <c r="B196" s="218" t="s">
        <v>4</v>
      </c>
      <c r="C196" s="191" t="s">
        <v>5</v>
      </c>
      <c r="D196" s="191" t="s">
        <v>6</v>
      </c>
      <c r="E196" s="191" t="s">
        <v>7</v>
      </c>
      <c r="F196" s="191" t="s">
        <v>8</v>
      </c>
      <c r="G196" s="191" t="s">
        <v>9</v>
      </c>
      <c r="H196" s="191" t="s">
        <v>10</v>
      </c>
      <c r="I196" s="191" t="s">
        <v>11</v>
      </c>
      <c r="J196" s="191" t="s">
        <v>12</v>
      </c>
      <c r="K196" s="192" t="s">
        <v>13</v>
      </c>
    </row>
    <row r="197" spans="1:11" ht="15.6" x14ac:dyDescent="0.3">
      <c r="A197" s="194">
        <v>2014</v>
      </c>
      <c r="B197" s="229"/>
      <c r="C197" s="229"/>
      <c r="D197" s="229"/>
      <c r="E197" s="229"/>
      <c r="F197" s="229"/>
      <c r="G197" s="229"/>
      <c r="H197" s="229"/>
      <c r="I197" s="229"/>
      <c r="J197" s="229"/>
      <c r="K197" s="229"/>
    </row>
    <row r="198" spans="1:11" ht="15.6" x14ac:dyDescent="0.3">
      <c r="A198" s="194">
        <v>2015</v>
      </c>
      <c r="B198" s="229"/>
      <c r="C198" s="229"/>
      <c r="D198" s="229"/>
      <c r="E198" s="229"/>
      <c r="F198" s="229"/>
      <c r="G198" s="229"/>
      <c r="H198" s="229"/>
      <c r="I198" s="229"/>
      <c r="J198" s="229"/>
      <c r="K198" s="229"/>
    </row>
    <row r="199" spans="1:11" ht="15.6" x14ac:dyDescent="0.3">
      <c r="A199" s="194">
        <v>2016</v>
      </c>
      <c r="B199" s="229"/>
      <c r="C199" s="229"/>
      <c r="D199" s="229"/>
      <c r="E199" s="229"/>
      <c r="F199" s="229"/>
      <c r="G199" s="229"/>
      <c r="H199" s="229"/>
      <c r="I199" s="229"/>
      <c r="J199" s="229"/>
      <c r="K199" s="229"/>
    </row>
    <row r="200" spans="1:11" ht="15.6" x14ac:dyDescent="0.3">
      <c r="A200" s="194">
        <v>2017</v>
      </c>
      <c r="B200" s="229"/>
      <c r="C200" s="229"/>
      <c r="D200" s="229"/>
      <c r="E200" s="229"/>
      <c r="F200" s="229"/>
      <c r="G200" s="229"/>
      <c r="H200" s="229"/>
      <c r="I200" s="229"/>
      <c r="J200" s="229"/>
      <c r="K200" s="229"/>
    </row>
    <row r="201" spans="1:11" ht="15.6" x14ac:dyDescent="0.3">
      <c r="A201" s="194">
        <v>2018</v>
      </c>
      <c r="B201" s="229"/>
      <c r="C201" s="229"/>
      <c r="D201" s="229"/>
      <c r="E201" s="229"/>
      <c r="F201" s="229"/>
      <c r="G201" s="229"/>
      <c r="H201" s="229"/>
      <c r="I201" s="229"/>
      <c r="J201" s="229"/>
      <c r="K201" s="229"/>
    </row>
    <row r="202" spans="1:11" ht="16.2" thickBot="1" x14ac:dyDescent="0.35">
      <c r="A202" s="198">
        <v>2019</v>
      </c>
      <c r="B202" s="230"/>
      <c r="C202" s="230"/>
      <c r="D202" s="230"/>
      <c r="E202" s="230"/>
      <c r="F202" s="230"/>
      <c r="G202" s="230"/>
      <c r="H202" s="230"/>
      <c r="I202" s="230"/>
      <c r="J202" s="230"/>
      <c r="K202" s="230"/>
    </row>
    <row r="203" spans="1:11" ht="15.6" x14ac:dyDescent="0.3">
      <c r="A203" s="201">
        <v>2020</v>
      </c>
      <c r="B203" s="228"/>
      <c r="C203" s="228"/>
      <c r="D203" s="228"/>
      <c r="E203" s="228"/>
      <c r="F203" s="228"/>
      <c r="G203" s="228"/>
      <c r="H203" s="228"/>
      <c r="I203" s="228"/>
      <c r="J203" s="228"/>
      <c r="K203" s="228"/>
    </row>
    <row r="204" spans="1:11" ht="15.6" x14ac:dyDescent="0.3">
      <c r="A204" s="206">
        <v>2021</v>
      </c>
      <c r="B204" s="229"/>
      <c r="C204" s="229"/>
      <c r="D204" s="229"/>
      <c r="E204" s="229"/>
      <c r="F204" s="229"/>
      <c r="G204" s="229"/>
      <c r="H204" s="229"/>
      <c r="I204" s="229"/>
      <c r="J204" s="229"/>
      <c r="K204" s="229"/>
    </row>
    <row r="205" spans="1:11" ht="15.6" x14ac:dyDescent="0.3">
      <c r="A205" s="206">
        <v>2022</v>
      </c>
      <c r="B205" s="229"/>
      <c r="C205" s="229"/>
      <c r="D205" s="229"/>
      <c r="E205" s="229"/>
      <c r="F205" s="229"/>
      <c r="G205" s="229"/>
      <c r="H205" s="229"/>
      <c r="I205" s="229"/>
      <c r="J205" s="229"/>
      <c r="K205" s="229"/>
    </row>
    <row r="206" spans="1:11" ht="15.6" x14ac:dyDescent="0.3">
      <c r="A206" s="206">
        <v>2023</v>
      </c>
      <c r="B206" s="229"/>
      <c r="C206" s="229"/>
      <c r="D206" s="229"/>
      <c r="E206" s="229"/>
      <c r="F206" s="229"/>
      <c r="G206" s="229"/>
      <c r="H206" s="229"/>
      <c r="I206" s="229"/>
      <c r="J206" s="229"/>
      <c r="K206" s="229"/>
    </row>
    <row r="207" spans="1:11" ht="15.6" x14ac:dyDescent="0.3">
      <c r="A207" s="206">
        <v>2024</v>
      </c>
      <c r="B207" s="229"/>
      <c r="C207" s="229"/>
      <c r="D207" s="229"/>
      <c r="E207" s="229"/>
      <c r="F207" s="229"/>
      <c r="G207" s="229"/>
      <c r="H207" s="229"/>
      <c r="I207" s="229"/>
      <c r="J207" s="229"/>
      <c r="K207" s="229"/>
    </row>
    <row r="208" spans="1:11" ht="15.6" x14ac:dyDescent="0.3">
      <c r="A208" s="206">
        <v>2025</v>
      </c>
      <c r="B208" s="229"/>
      <c r="C208" s="229"/>
      <c r="D208" s="229"/>
      <c r="E208" s="229"/>
      <c r="F208" s="229"/>
      <c r="G208" s="229"/>
      <c r="H208" s="229"/>
      <c r="I208" s="229"/>
      <c r="J208" s="229"/>
      <c r="K208" s="229"/>
    </row>
    <row r="209" spans="1:11" ht="15.6" x14ac:dyDescent="0.3">
      <c r="A209" s="206">
        <v>2026</v>
      </c>
      <c r="B209" s="229"/>
      <c r="C209" s="229"/>
      <c r="D209" s="229"/>
      <c r="E209" s="229"/>
      <c r="F209" s="229"/>
      <c r="G209" s="229"/>
      <c r="H209" s="229"/>
      <c r="I209" s="229"/>
      <c r="J209" s="229"/>
      <c r="K209" s="229"/>
    </row>
    <row r="210" spans="1:11" ht="15.6" x14ac:dyDescent="0.3">
      <c r="A210" s="206">
        <v>2027</v>
      </c>
      <c r="B210" s="229"/>
      <c r="C210" s="229"/>
      <c r="D210" s="229"/>
      <c r="E210" s="229"/>
      <c r="F210" s="229"/>
      <c r="G210" s="229"/>
      <c r="H210" s="229"/>
      <c r="I210" s="229"/>
      <c r="J210" s="229"/>
      <c r="K210" s="229"/>
    </row>
    <row r="211" spans="1:11" ht="15.6" x14ac:dyDescent="0.3">
      <c r="A211" s="206">
        <v>2028</v>
      </c>
      <c r="B211" s="229"/>
      <c r="C211" s="229"/>
      <c r="D211" s="229"/>
      <c r="E211" s="229"/>
      <c r="F211" s="229"/>
      <c r="G211" s="229"/>
      <c r="H211" s="229"/>
      <c r="I211" s="229"/>
      <c r="J211" s="229"/>
      <c r="K211" s="229"/>
    </row>
    <row r="212" spans="1:11" ht="15.6" x14ac:dyDescent="0.3">
      <c r="A212" s="206">
        <v>2029</v>
      </c>
      <c r="B212" s="229"/>
      <c r="C212" s="229"/>
      <c r="D212" s="229"/>
      <c r="E212" s="229"/>
      <c r="F212" s="229"/>
      <c r="G212" s="229"/>
      <c r="H212" s="229"/>
      <c r="I212" s="229"/>
      <c r="J212" s="229"/>
      <c r="K212" s="229"/>
    </row>
    <row r="213" spans="1:11" ht="15.6" x14ac:dyDescent="0.3">
      <c r="A213" s="206">
        <v>2030</v>
      </c>
      <c r="B213" s="229"/>
      <c r="C213" s="229"/>
      <c r="D213" s="229"/>
      <c r="E213" s="229"/>
      <c r="F213" s="229"/>
      <c r="G213" s="229"/>
      <c r="H213" s="229"/>
      <c r="I213" s="229"/>
      <c r="J213" s="229"/>
      <c r="K213" s="229"/>
    </row>
    <row r="214" spans="1:11" ht="15.6" x14ac:dyDescent="0.3">
      <c r="A214" s="206">
        <v>2031</v>
      </c>
      <c r="B214" s="229"/>
      <c r="C214" s="229"/>
      <c r="D214" s="229"/>
      <c r="E214" s="229"/>
      <c r="F214" s="229"/>
      <c r="G214" s="229"/>
      <c r="H214" s="229"/>
      <c r="I214" s="229"/>
      <c r="J214" s="229"/>
      <c r="K214" s="229"/>
    </row>
    <row r="215" spans="1:11" ht="15.6" x14ac:dyDescent="0.3">
      <c r="A215" s="206">
        <v>2032</v>
      </c>
      <c r="B215" s="229"/>
      <c r="C215" s="229"/>
      <c r="D215" s="229"/>
      <c r="E215" s="229"/>
      <c r="F215" s="229"/>
      <c r="G215" s="229"/>
      <c r="H215" s="229"/>
      <c r="I215" s="229"/>
      <c r="J215" s="229"/>
      <c r="K215" s="229"/>
    </row>
    <row r="216" spans="1:11" ht="15.6" x14ac:dyDescent="0.3">
      <c r="A216" s="206">
        <v>2033</v>
      </c>
      <c r="B216" s="229"/>
      <c r="C216" s="229"/>
      <c r="D216" s="229"/>
      <c r="E216" s="229"/>
      <c r="F216" s="229"/>
      <c r="G216" s="229"/>
      <c r="H216" s="229"/>
      <c r="I216" s="229"/>
      <c r="J216" s="229"/>
      <c r="K216" s="229"/>
    </row>
    <row r="217" spans="1:11" ht="15.6" x14ac:dyDescent="0.3">
      <c r="A217" s="206">
        <v>2034</v>
      </c>
      <c r="B217" s="229"/>
      <c r="C217" s="229"/>
      <c r="D217" s="229"/>
      <c r="E217" s="229"/>
      <c r="F217" s="229"/>
      <c r="G217" s="229"/>
      <c r="H217" s="229"/>
      <c r="I217" s="229"/>
      <c r="J217" s="229"/>
      <c r="K217" s="229"/>
    </row>
    <row r="218" spans="1:11" ht="15.6" x14ac:dyDescent="0.3">
      <c r="A218" s="206">
        <v>2035</v>
      </c>
      <c r="B218" s="229"/>
      <c r="C218" s="229"/>
      <c r="D218" s="229"/>
      <c r="E218" s="229"/>
      <c r="F218" s="229"/>
      <c r="G218" s="229"/>
      <c r="H218" s="229"/>
      <c r="I218" s="229"/>
      <c r="J218" s="229"/>
      <c r="K218" s="229"/>
    </row>
    <row r="219" spans="1:11" ht="15.6" x14ac:dyDescent="0.3">
      <c r="A219" s="206">
        <v>2036</v>
      </c>
      <c r="B219" s="229"/>
      <c r="C219" s="229"/>
      <c r="D219" s="229"/>
      <c r="E219" s="229"/>
      <c r="F219" s="229"/>
      <c r="G219" s="229"/>
      <c r="H219" s="229"/>
      <c r="I219" s="229"/>
      <c r="J219" s="229"/>
      <c r="K219" s="229"/>
    </row>
    <row r="220" spans="1:11" ht="15.6" x14ac:dyDescent="0.3">
      <c r="A220" s="206">
        <v>2037</v>
      </c>
      <c r="B220" s="229"/>
      <c r="C220" s="229"/>
      <c r="D220" s="229"/>
      <c r="E220" s="229"/>
      <c r="F220" s="229"/>
      <c r="G220" s="229"/>
      <c r="H220" s="229"/>
      <c r="I220" s="229"/>
      <c r="J220" s="229"/>
      <c r="K220" s="229"/>
    </row>
    <row r="221" spans="1:11" ht="15.6" x14ac:dyDescent="0.3">
      <c r="A221" s="206">
        <v>2038</v>
      </c>
      <c r="B221" s="229"/>
      <c r="C221" s="229"/>
      <c r="D221" s="229"/>
      <c r="E221" s="229"/>
      <c r="F221" s="229"/>
      <c r="G221" s="229"/>
      <c r="H221" s="229"/>
      <c r="I221" s="229"/>
      <c r="J221" s="229"/>
      <c r="K221" s="229"/>
    </row>
    <row r="222" spans="1:11" ht="15.6" x14ac:dyDescent="0.3">
      <c r="A222" s="206">
        <v>2039</v>
      </c>
      <c r="B222" s="229"/>
      <c r="C222" s="229"/>
      <c r="D222" s="229"/>
      <c r="E222" s="229"/>
      <c r="F222" s="229"/>
      <c r="G222" s="229"/>
      <c r="H222" s="229"/>
      <c r="I222" s="229"/>
      <c r="J222" s="229"/>
      <c r="K222" s="229"/>
    </row>
    <row r="223" spans="1:11" ht="15.6" x14ac:dyDescent="0.3">
      <c r="A223" s="206">
        <v>2040</v>
      </c>
      <c r="B223" s="229"/>
      <c r="C223" s="229"/>
      <c r="D223" s="229"/>
      <c r="E223" s="229"/>
      <c r="F223" s="229"/>
      <c r="G223" s="229"/>
      <c r="H223" s="229"/>
      <c r="I223" s="229"/>
      <c r="J223" s="229"/>
      <c r="K223" s="229"/>
    </row>
    <row r="224" spans="1:11" ht="15.6" x14ac:dyDescent="0.3">
      <c r="A224" s="206">
        <v>2041</v>
      </c>
      <c r="B224" s="229"/>
      <c r="C224" s="229"/>
      <c r="D224" s="229"/>
      <c r="E224" s="229"/>
      <c r="F224" s="229"/>
      <c r="G224" s="229"/>
      <c r="H224" s="229"/>
      <c r="I224" s="229"/>
      <c r="J224" s="229"/>
      <c r="K224" s="229"/>
    </row>
    <row r="225" spans="1:11" ht="15.6" x14ac:dyDescent="0.3">
      <c r="A225" s="206">
        <v>2042</v>
      </c>
      <c r="B225" s="229"/>
      <c r="C225" s="229"/>
      <c r="D225" s="229"/>
      <c r="E225" s="229"/>
      <c r="F225" s="229"/>
      <c r="G225" s="229"/>
      <c r="H225" s="229"/>
      <c r="I225" s="229"/>
      <c r="J225" s="229"/>
      <c r="K225" s="229"/>
    </row>
    <row r="226" spans="1:11" ht="15.6" x14ac:dyDescent="0.3">
      <c r="A226" s="206">
        <v>2043</v>
      </c>
      <c r="B226" s="229"/>
      <c r="C226" s="229"/>
      <c r="D226" s="229"/>
      <c r="E226" s="229"/>
      <c r="F226" s="229"/>
      <c r="G226" s="229"/>
      <c r="H226" s="229"/>
      <c r="I226" s="229"/>
      <c r="J226" s="229"/>
      <c r="K226" s="229"/>
    </row>
    <row r="227" spans="1:11" ht="15.6" x14ac:dyDescent="0.3">
      <c r="A227" s="206">
        <v>2044</v>
      </c>
      <c r="B227" s="229"/>
      <c r="C227" s="229"/>
      <c r="D227" s="229"/>
      <c r="E227" s="229"/>
      <c r="F227" s="229"/>
      <c r="G227" s="229"/>
      <c r="H227" s="229"/>
      <c r="I227" s="229"/>
      <c r="J227" s="229"/>
      <c r="K227" s="229"/>
    </row>
    <row r="228" spans="1:11" ht="15.6" x14ac:dyDescent="0.3">
      <c r="A228" s="206">
        <v>2045</v>
      </c>
      <c r="B228" s="229"/>
      <c r="C228" s="229"/>
      <c r="D228" s="229"/>
      <c r="E228" s="229"/>
      <c r="F228" s="229"/>
      <c r="G228" s="229"/>
      <c r="H228" s="229"/>
      <c r="I228" s="229"/>
      <c r="J228" s="229"/>
      <c r="K228" s="229"/>
    </row>
    <row r="229" spans="1:11" ht="15.6" x14ac:dyDescent="0.3">
      <c r="A229" s="206">
        <v>2046</v>
      </c>
      <c r="B229" s="229"/>
      <c r="C229" s="229"/>
      <c r="D229" s="229"/>
      <c r="E229" s="229"/>
      <c r="F229" s="229"/>
      <c r="G229" s="229"/>
      <c r="H229" s="229"/>
      <c r="I229" s="229"/>
      <c r="J229" s="229"/>
      <c r="K229" s="229"/>
    </row>
    <row r="230" spans="1:11" ht="15.6" x14ac:dyDescent="0.3">
      <c r="A230" s="206">
        <v>2047</v>
      </c>
      <c r="B230" s="229"/>
      <c r="C230" s="229"/>
      <c r="D230" s="229"/>
      <c r="E230" s="229"/>
      <c r="F230" s="229"/>
      <c r="G230" s="229"/>
      <c r="H230" s="229"/>
      <c r="I230" s="229"/>
      <c r="J230" s="229"/>
      <c r="K230" s="229"/>
    </row>
    <row r="231" spans="1:11" ht="15.6" x14ac:dyDescent="0.3">
      <c r="A231" s="206">
        <v>2048</v>
      </c>
      <c r="B231" s="229"/>
      <c r="C231" s="229"/>
      <c r="D231" s="229"/>
      <c r="E231" s="229"/>
      <c r="F231" s="229"/>
      <c r="G231" s="229"/>
      <c r="H231" s="229"/>
      <c r="I231" s="229"/>
      <c r="J231" s="229"/>
      <c r="K231" s="229"/>
    </row>
    <row r="232" spans="1:11" ht="15.6" x14ac:dyDescent="0.3">
      <c r="A232" s="206">
        <v>2049</v>
      </c>
      <c r="B232" s="229"/>
      <c r="C232" s="229"/>
      <c r="D232" s="229"/>
      <c r="E232" s="229"/>
      <c r="F232" s="229"/>
      <c r="G232" s="229"/>
      <c r="H232" s="229"/>
      <c r="I232" s="229"/>
      <c r="J232" s="229"/>
      <c r="K232" s="229"/>
    </row>
    <row r="233" spans="1:11" ht="16.2" thickBot="1" x14ac:dyDescent="0.35">
      <c r="A233" s="208">
        <v>2050</v>
      </c>
      <c r="B233" s="231"/>
      <c r="C233" s="231"/>
      <c r="D233" s="231"/>
      <c r="E233" s="231"/>
      <c r="F233" s="231"/>
      <c r="G233" s="231"/>
      <c r="H233" s="231"/>
      <c r="I233" s="231"/>
      <c r="J233" s="231"/>
      <c r="K233" s="231"/>
    </row>
    <row r="234" spans="1:11" ht="15.6" x14ac:dyDescent="0.3">
      <c r="A234" s="213">
        <v>2051</v>
      </c>
      <c r="B234" s="227"/>
      <c r="C234" s="227"/>
      <c r="D234" s="227"/>
      <c r="E234" s="227"/>
      <c r="F234" s="227"/>
      <c r="G234" s="227"/>
      <c r="H234" s="227"/>
      <c r="I234" s="227"/>
      <c r="J234" s="227"/>
      <c r="K234" s="227"/>
    </row>
    <row r="235" spans="1:11" ht="15.6" x14ac:dyDescent="0.3">
      <c r="A235" s="194">
        <v>2052</v>
      </c>
      <c r="B235" s="229"/>
      <c r="C235" s="229"/>
      <c r="D235" s="229"/>
      <c r="E235" s="229"/>
      <c r="F235" s="229"/>
      <c r="G235" s="229"/>
      <c r="H235" s="229"/>
      <c r="I235" s="229"/>
      <c r="J235" s="229"/>
      <c r="K235" s="229"/>
    </row>
    <row r="236" spans="1:11" ht="15.6" x14ac:dyDescent="0.3">
      <c r="A236" s="194">
        <v>2053</v>
      </c>
      <c r="B236" s="229"/>
      <c r="C236" s="229"/>
      <c r="D236" s="229"/>
      <c r="E236" s="229"/>
      <c r="F236" s="229"/>
      <c r="G236" s="229"/>
      <c r="H236" s="229"/>
      <c r="I236" s="229"/>
      <c r="J236" s="229"/>
      <c r="K236" s="229"/>
    </row>
    <row r="237" spans="1:11" ht="15.6" x14ac:dyDescent="0.3">
      <c r="A237" s="194">
        <v>2054</v>
      </c>
      <c r="B237" s="229"/>
      <c r="C237" s="229"/>
      <c r="D237" s="229"/>
      <c r="E237" s="229"/>
      <c r="F237" s="229"/>
      <c r="G237" s="229"/>
      <c r="H237" s="229"/>
      <c r="I237" s="229"/>
      <c r="J237" s="229"/>
      <c r="K237" s="229"/>
    </row>
    <row r="238" spans="1:11" ht="15.6" x14ac:dyDescent="0.3">
      <c r="A238" s="194">
        <v>2055</v>
      </c>
      <c r="B238" s="229"/>
      <c r="C238" s="229"/>
      <c r="D238" s="229"/>
      <c r="E238" s="229"/>
      <c r="F238" s="229"/>
      <c r="G238" s="229"/>
      <c r="H238" s="229"/>
      <c r="I238" s="229"/>
      <c r="J238" s="229"/>
      <c r="K238" s="229"/>
    </row>
    <row r="239" spans="1:11" ht="15.6" x14ac:dyDescent="0.3">
      <c r="A239" s="194">
        <v>2056</v>
      </c>
      <c r="B239" s="229"/>
      <c r="C239" s="229"/>
      <c r="D239" s="229"/>
      <c r="E239" s="229"/>
      <c r="F239" s="229"/>
      <c r="G239" s="229"/>
      <c r="H239" s="229"/>
      <c r="I239" s="229"/>
      <c r="J239" s="229"/>
      <c r="K239" s="229"/>
    </row>
    <row r="240" spans="1:11" ht="15.6" x14ac:dyDescent="0.3">
      <c r="A240" s="194">
        <v>2057</v>
      </c>
      <c r="B240" s="229"/>
      <c r="C240" s="229"/>
      <c r="D240" s="229"/>
      <c r="E240" s="229"/>
      <c r="F240" s="229"/>
      <c r="G240" s="229"/>
      <c r="H240" s="229"/>
      <c r="I240" s="229"/>
      <c r="J240" s="229"/>
      <c r="K240" s="229"/>
    </row>
    <row r="241" spans="1:11" ht="15.6" x14ac:dyDescent="0.3">
      <c r="A241" s="194">
        <v>2058</v>
      </c>
      <c r="B241" s="229"/>
      <c r="C241" s="229"/>
      <c r="D241" s="229"/>
      <c r="E241" s="229"/>
      <c r="F241" s="229"/>
      <c r="G241" s="229"/>
      <c r="H241" s="229"/>
      <c r="I241" s="229"/>
      <c r="J241" s="229"/>
      <c r="K241" s="229"/>
    </row>
    <row r="242" spans="1:11" ht="15.6" x14ac:dyDescent="0.3">
      <c r="A242" s="194">
        <v>2059</v>
      </c>
      <c r="B242" s="229"/>
      <c r="C242" s="229"/>
      <c r="D242" s="229"/>
      <c r="E242" s="229"/>
      <c r="F242" s="229"/>
      <c r="G242" s="229"/>
      <c r="H242" s="229"/>
      <c r="I242" s="229"/>
      <c r="J242" s="229"/>
      <c r="K242" s="229"/>
    </row>
    <row r="243" spans="1:11" ht="15.6" x14ac:dyDescent="0.3">
      <c r="A243" s="194">
        <v>2060</v>
      </c>
      <c r="B243" s="229"/>
      <c r="C243" s="229"/>
      <c r="D243" s="229"/>
      <c r="E243" s="229"/>
      <c r="F243" s="229"/>
      <c r="G243" s="229"/>
      <c r="H243" s="229"/>
      <c r="I243" s="229"/>
      <c r="J243" s="229"/>
      <c r="K243" s="229"/>
    </row>
    <row r="244" spans="1:11" x14ac:dyDescent="0.25">
      <c r="H244" s="250"/>
      <c r="I244" s="250"/>
      <c r="J244" s="250"/>
      <c r="K244" s="250"/>
    </row>
    <row r="245" spans="1:11" x14ac:dyDescent="0.25">
      <c r="H245" s="250"/>
      <c r="I245" s="250"/>
      <c r="J245" s="250"/>
      <c r="K245" s="250"/>
    </row>
    <row r="246" spans="1:11" x14ac:dyDescent="0.25">
      <c r="H246" s="250"/>
      <c r="I246" s="250"/>
      <c r="J246" s="250"/>
      <c r="K246" s="250"/>
    </row>
    <row r="247" spans="1:11" x14ac:dyDescent="0.25">
      <c r="H247" s="250"/>
      <c r="I247" s="250"/>
      <c r="J247" s="250"/>
      <c r="K247" s="250"/>
    </row>
    <row r="248" spans="1:11" x14ac:dyDescent="0.25">
      <c r="H248" s="250"/>
      <c r="I248" s="250"/>
      <c r="J248" s="250"/>
      <c r="K248" s="250"/>
    </row>
    <row r="249" spans="1:11" x14ac:dyDescent="0.25">
      <c r="H249" s="250"/>
      <c r="I249" s="250"/>
      <c r="J249" s="250"/>
      <c r="K249" s="250"/>
    </row>
    <row r="250" spans="1:11" x14ac:dyDescent="0.25">
      <c r="H250" s="250"/>
      <c r="I250" s="250"/>
      <c r="J250" s="250"/>
      <c r="K250" s="250"/>
    </row>
    <row r="251" spans="1:11" x14ac:dyDescent="0.25">
      <c r="H251" s="250"/>
      <c r="I251" s="250"/>
      <c r="J251" s="250"/>
      <c r="K251" s="250"/>
    </row>
    <row r="252" spans="1:11" x14ac:dyDescent="0.25">
      <c r="H252" s="250"/>
      <c r="I252" s="250"/>
      <c r="J252" s="250"/>
      <c r="K252" s="250"/>
    </row>
    <row r="253" spans="1:11" x14ac:dyDescent="0.25">
      <c r="H253" s="250"/>
      <c r="I253" s="250"/>
      <c r="J253" s="250"/>
      <c r="K253" s="250"/>
    </row>
    <row r="254" spans="1:11" x14ac:dyDescent="0.25">
      <c r="A254" s="373" t="s">
        <v>358</v>
      </c>
      <c r="B254" s="372"/>
      <c r="C254" s="372"/>
      <c r="D254" s="372"/>
      <c r="E254" s="372"/>
      <c r="F254" s="372"/>
      <c r="H254" s="250"/>
      <c r="I254" s="250"/>
      <c r="J254" s="250"/>
      <c r="K254" s="250"/>
    </row>
    <row r="255" spans="1:11" ht="15.6" x14ac:dyDescent="0.3">
      <c r="A255" s="327">
        <v>1</v>
      </c>
      <c r="B255" s="328" t="s">
        <v>337</v>
      </c>
      <c r="C255" s="329"/>
      <c r="D255" s="329"/>
      <c r="E255" s="329"/>
      <c r="F255" s="329"/>
      <c r="G255" s="329"/>
      <c r="H255" s="329"/>
      <c r="I255" s="250"/>
      <c r="J255" s="250"/>
      <c r="K255" s="250"/>
    </row>
    <row r="256" spans="1:11" ht="15.6" x14ac:dyDescent="0.3">
      <c r="A256" s="330" t="s">
        <v>338</v>
      </c>
      <c r="B256" s="331"/>
      <c r="C256" s="331"/>
      <c r="D256" s="332"/>
      <c r="E256" s="333"/>
      <c r="F256" s="703"/>
      <c r="G256" s="333"/>
      <c r="H256" s="334"/>
      <c r="I256" s="250"/>
      <c r="J256" s="250"/>
      <c r="K256" s="250"/>
    </row>
    <row r="257" spans="1:11" ht="16.2" thickBot="1" x14ac:dyDescent="0.3">
      <c r="A257" s="335" t="s">
        <v>339</v>
      </c>
      <c r="B257" s="336"/>
      <c r="C257" s="336"/>
      <c r="D257" s="337"/>
      <c r="E257" s="338" t="s">
        <v>340</v>
      </c>
      <c r="F257" s="704"/>
      <c r="G257" s="339" t="s">
        <v>341</v>
      </c>
      <c r="H257" s="334"/>
      <c r="I257" s="250"/>
      <c r="J257" s="250"/>
      <c r="K257" s="250"/>
    </row>
    <row r="258" spans="1:11" ht="16.2" thickBot="1" x14ac:dyDescent="0.3">
      <c r="A258" s="340"/>
      <c r="B258" s="340"/>
      <c r="C258" s="340"/>
      <c r="D258" s="341"/>
      <c r="E258" s="339" t="s">
        <v>342</v>
      </c>
      <c r="F258" s="339" t="s">
        <v>343</v>
      </c>
      <c r="G258" s="342" t="s">
        <v>344</v>
      </c>
      <c r="H258" s="339" t="s">
        <v>345</v>
      </c>
      <c r="I258" s="250"/>
      <c r="J258" s="250"/>
      <c r="K258" s="250"/>
    </row>
    <row r="259" spans="1:11" ht="15.6" x14ac:dyDescent="0.3">
      <c r="A259" s="330" t="s">
        <v>346</v>
      </c>
      <c r="B259" s="340"/>
      <c r="C259" s="343">
        <v>2005</v>
      </c>
      <c r="D259" s="344">
        <v>-9</v>
      </c>
      <c r="E259" s="345"/>
      <c r="F259" s="346"/>
      <c r="G259" s="347">
        <v>15525.938371462835</v>
      </c>
      <c r="H259" s="348">
        <v>15525.938371462835</v>
      </c>
      <c r="I259" s="250"/>
      <c r="J259" s="250"/>
      <c r="K259" s="250"/>
    </row>
    <row r="260" spans="1:11" ht="15.6" x14ac:dyDescent="0.3">
      <c r="A260" s="335" t="s">
        <v>347</v>
      </c>
      <c r="B260" s="340"/>
      <c r="C260" s="349">
        <v>2006</v>
      </c>
      <c r="D260" s="350">
        <v>-8</v>
      </c>
      <c r="E260" s="351"/>
      <c r="F260" s="346"/>
      <c r="G260" s="352">
        <v>15588.795122621847</v>
      </c>
      <c r="H260" s="353">
        <v>15588.795122621847</v>
      </c>
      <c r="I260" s="250"/>
      <c r="J260" s="250"/>
      <c r="K260" s="250"/>
    </row>
    <row r="261" spans="1:11" ht="15.6" x14ac:dyDescent="0.3">
      <c r="A261" s="340"/>
      <c r="B261" s="340"/>
      <c r="C261" s="349">
        <v>2007</v>
      </c>
      <c r="D261" s="350">
        <v>-7</v>
      </c>
      <c r="E261" s="351"/>
      <c r="F261" s="346"/>
      <c r="G261" s="352">
        <v>15720.44405330364</v>
      </c>
      <c r="H261" s="353">
        <v>15720.44405330364</v>
      </c>
      <c r="I261" s="250"/>
      <c r="J261" s="250"/>
      <c r="K261" s="250"/>
    </row>
    <row r="262" spans="1:11" ht="15.6" x14ac:dyDescent="0.3">
      <c r="A262" s="354" t="s">
        <v>348</v>
      </c>
      <c r="B262" s="340"/>
      <c r="C262" s="349">
        <v>2008</v>
      </c>
      <c r="D262" s="350">
        <v>-6</v>
      </c>
      <c r="E262" s="351"/>
      <c r="F262" s="346"/>
      <c r="G262" s="352">
        <v>15918.624325757597</v>
      </c>
      <c r="H262" s="353">
        <v>15918.624325757597</v>
      </c>
      <c r="I262" s="250"/>
      <c r="J262" s="250"/>
      <c r="K262" s="250"/>
    </row>
    <row r="263" spans="1:11" ht="15.6" x14ac:dyDescent="0.3">
      <c r="A263" s="700" t="s">
        <v>349</v>
      </c>
      <c r="B263" s="340"/>
      <c r="C263" s="349">
        <v>2009</v>
      </c>
      <c r="D263" s="350">
        <v>-5</v>
      </c>
      <c r="E263" s="351"/>
      <c r="F263" s="346"/>
      <c r="G263" s="352">
        <v>16181.075102233102</v>
      </c>
      <c r="H263" s="353">
        <v>16181.075102233102</v>
      </c>
      <c r="I263" s="250"/>
      <c r="J263" s="250"/>
      <c r="K263" s="250"/>
    </row>
    <row r="264" spans="1:11" ht="15.6" x14ac:dyDescent="0.3">
      <c r="A264" s="701"/>
      <c r="B264" s="340"/>
      <c r="C264" s="349">
        <v>2010</v>
      </c>
      <c r="D264" s="350">
        <v>-4</v>
      </c>
      <c r="E264" s="351"/>
      <c r="F264" s="346"/>
      <c r="G264" s="352">
        <v>16505.535544979539</v>
      </c>
      <c r="H264" s="353">
        <v>16505.535544979539</v>
      </c>
      <c r="I264" s="250"/>
      <c r="J264" s="250"/>
      <c r="K264" s="250"/>
    </row>
    <row r="265" spans="1:11" ht="15.6" x14ac:dyDescent="0.3">
      <c r="A265" s="701"/>
      <c r="B265" s="340"/>
      <c r="C265" s="349">
        <v>2011</v>
      </c>
      <c r="D265" s="350">
        <v>-3</v>
      </c>
      <c r="E265" s="351"/>
      <c r="F265" s="346"/>
      <c r="G265" s="352">
        <v>16889.74481624629</v>
      </c>
      <c r="H265" s="353">
        <v>16889.74481624629</v>
      </c>
      <c r="I265" s="250"/>
      <c r="J265" s="250"/>
      <c r="K265" s="250"/>
    </row>
    <row r="266" spans="1:11" ht="15.6" x14ac:dyDescent="0.3">
      <c r="A266" s="702"/>
      <c r="B266" s="340"/>
      <c r="C266" s="349">
        <v>2012</v>
      </c>
      <c r="D266" s="350">
        <v>-2</v>
      </c>
      <c r="E266" s="351"/>
      <c r="F266" s="346"/>
      <c r="G266" s="355">
        <v>17331.442078282744</v>
      </c>
      <c r="H266" s="356">
        <v>17331.442078282744</v>
      </c>
    </row>
    <row r="267" spans="1:11" ht="15.6" x14ac:dyDescent="0.3">
      <c r="A267" s="340"/>
      <c r="B267" s="340"/>
      <c r="C267" s="349">
        <v>2013</v>
      </c>
      <c r="D267" s="350">
        <v>-1</v>
      </c>
      <c r="E267" s="351"/>
      <c r="F267" s="346"/>
      <c r="G267" s="355">
        <v>17828.366493338282</v>
      </c>
      <c r="H267" s="356">
        <v>17828.366493338282</v>
      </c>
    </row>
    <row r="268" spans="1:11" ht="15.6" x14ac:dyDescent="0.3">
      <c r="A268" s="357" t="s">
        <v>350</v>
      </c>
      <c r="B268" s="340"/>
      <c r="C268" s="349">
        <v>2014</v>
      </c>
      <c r="D268" s="350">
        <v>0</v>
      </c>
      <c r="E268" s="351">
        <v>18368.056852998394</v>
      </c>
      <c r="F268" s="346">
        <v>18368.056852998394</v>
      </c>
      <c r="G268" s="355">
        <v>18368.056852998394</v>
      </c>
      <c r="H268" s="356">
        <v>18368.056852998394</v>
      </c>
    </row>
    <row r="269" spans="1:11" ht="15.6" x14ac:dyDescent="0.3">
      <c r="A269" s="358">
        <v>2017</v>
      </c>
      <c r="B269" s="336"/>
      <c r="C269" s="349">
        <v>2015</v>
      </c>
      <c r="D269" s="350">
        <v>1</v>
      </c>
      <c r="E269" s="351"/>
      <c r="F269" s="346"/>
      <c r="G269" s="355">
        <v>18978.853431504143</v>
      </c>
      <c r="H269" s="356">
        <v>18978.853431504143</v>
      </c>
    </row>
    <row r="270" spans="1:11" ht="15.6" x14ac:dyDescent="0.3">
      <c r="A270" s="359"/>
      <c r="B270" s="336"/>
      <c r="C270" s="349">
        <v>2016</v>
      </c>
      <c r="D270" s="350">
        <v>2</v>
      </c>
      <c r="E270" s="351"/>
      <c r="F270" s="346"/>
      <c r="G270" s="355">
        <v>19627.894279113239</v>
      </c>
      <c r="H270" s="356">
        <v>19627.894279113239</v>
      </c>
    </row>
    <row r="271" spans="1:11" ht="15.6" x14ac:dyDescent="0.3">
      <c r="A271" s="357" t="s">
        <v>351</v>
      </c>
      <c r="B271" s="336"/>
      <c r="C271" s="349">
        <v>2017</v>
      </c>
      <c r="D271" s="350">
        <v>3</v>
      </c>
      <c r="E271" s="351"/>
      <c r="F271" s="346"/>
      <c r="G271" s="355">
        <v>20323.11892873895</v>
      </c>
      <c r="H271" s="356">
        <v>20323.11892873895</v>
      </c>
    </row>
    <row r="272" spans="1:11" ht="15.6" x14ac:dyDescent="0.3">
      <c r="A272" s="358" t="s">
        <v>342</v>
      </c>
      <c r="B272" s="336"/>
      <c r="C272" s="349">
        <v>2018</v>
      </c>
      <c r="D272" s="350">
        <v>4</v>
      </c>
      <c r="E272" s="351"/>
      <c r="F272" s="346"/>
      <c r="G272" s="355">
        <v>21062.26654263067</v>
      </c>
      <c r="H272" s="356">
        <v>21062.26654263067</v>
      </c>
    </row>
    <row r="273" spans="1:8" ht="15.6" x14ac:dyDescent="0.3">
      <c r="A273" s="360"/>
      <c r="B273" s="361"/>
      <c r="C273" s="349">
        <v>2019</v>
      </c>
      <c r="D273" s="350">
        <v>5</v>
      </c>
      <c r="E273" s="351"/>
      <c r="F273" s="346"/>
      <c r="G273" s="355">
        <v>21843.076283037775</v>
      </c>
      <c r="H273" s="356">
        <v>21843.076283037775</v>
      </c>
    </row>
    <row r="274" spans="1:8" ht="15.6" x14ac:dyDescent="0.3">
      <c r="A274" s="362" t="s">
        <v>352</v>
      </c>
      <c r="B274" s="336"/>
      <c r="C274" s="349">
        <v>2020</v>
      </c>
      <c r="D274" s="350">
        <v>6</v>
      </c>
      <c r="E274" s="351"/>
      <c r="F274" s="346"/>
      <c r="G274" s="355">
        <v>22663.28731220965</v>
      </c>
      <c r="H274" s="356">
        <v>22663.28731220965</v>
      </c>
    </row>
    <row r="275" spans="1:8" ht="15.6" x14ac:dyDescent="0.3">
      <c r="A275" s="363"/>
      <c r="B275" s="336"/>
      <c r="C275" s="349">
        <v>2021</v>
      </c>
      <c r="D275" s="350">
        <v>7</v>
      </c>
      <c r="E275" s="351"/>
      <c r="F275" s="346"/>
      <c r="G275" s="355">
        <v>23520.638792395686</v>
      </c>
      <c r="H275" s="356">
        <v>23520.638792395686</v>
      </c>
    </row>
    <row r="276" spans="1:8" ht="15.6" x14ac:dyDescent="0.3">
      <c r="A276" s="364"/>
      <c r="B276" s="336"/>
      <c r="C276" s="349">
        <v>2022</v>
      </c>
      <c r="D276" s="350">
        <v>8</v>
      </c>
      <c r="E276" s="351"/>
      <c r="F276" s="346"/>
      <c r="G276" s="355">
        <v>24412.869885845259</v>
      </c>
      <c r="H276" s="356">
        <v>24412.869885845259</v>
      </c>
    </row>
    <row r="277" spans="1:8" ht="15.6" x14ac:dyDescent="0.3">
      <c r="A277" s="358"/>
      <c r="B277" s="336"/>
      <c r="C277" s="349">
        <v>2023</v>
      </c>
      <c r="D277" s="350">
        <v>9</v>
      </c>
      <c r="E277" s="351"/>
      <c r="F277" s="346"/>
      <c r="G277" s="355">
        <v>25337.719754807757</v>
      </c>
      <c r="H277" s="356">
        <v>25337.719754807757</v>
      </c>
    </row>
    <row r="278" spans="1:8" ht="15.6" x14ac:dyDescent="0.3">
      <c r="A278" s="336"/>
      <c r="B278" s="336"/>
      <c r="C278" s="349">
        <v>2024</v>
      </c>
      <c r="D278" s="350">
        <v>10</v>
      </c>
      <c r="E278" s="351"/>
      <c r="F278" s="346"/>
      <c r="G278" s="355">
        <v>26292.927561532561</v>
      </c>
      <c r="H278" s="356">
        <v>26292.927561532561</v>
      </c>
    </row>
    <row r="279" spans="1:8" ht="15.6" x14ac:dyDescent="0.3">
      <c r="A279" s="336"/>
      <c r="B279" s="336"/>
      <c r="C279" s="349">
        <v>2025</v>
      </c>
      <c r="D279" s="350">
        <v>11</v>
      </c>
      <c r="E279" s="351">
        <v>27263.068278567229</v>
      </c>
      <c r="F279" s="346">
        <v>27263.068278567229</v>
      </c>
      <c r="G279" s="355">
        <v>27263.068278567229</v>
      </c>
      <c r="H279" s="356">
        <v>27263.068278567229</v>
      </c>
    </row>
    <row r="280" spans="1:8" ht="15.6" x14ac:dyDescent="0.3">
      <c r="A280" s="336"/>
      <c r="B280" s="336"/>
      <c r="C280" s="349">
        <v>2026</v>
      </c>
      <c r="D280" s="350">
        <v>12</v>
      </c>
      <c r="E280" s="351"/>
      <c r="F280" s="346"/>
      <c r="G280" s="355">
        <v>28285.373637266632</v>
      </c>
      <c r="H280" s="356">
        <v>28285.373637266632</v>
      </c>
    </row>
    <row r="281" spans="1:8" ht="15.6" x14ac:dyDescent="0.3">
      <c r="A281" s="336"/>
      <c r="B281" s="336"/>
      <c r="C281" s="349">
        <v>2027</v>
      </c>
      <c r="D281" s="350">
        <v>13</v>
      </c>
      <c r="E281" s="351"/>
      <c r="F281" s="346"/>
      <c r="G281" s="355">
        <v>29318.090230774666</v>
      </c>
      <c r="H281" s="356">
        <v>29318.090230774666</v>
      </c>
    </row>
    <row r="282" spans="1:8" ht="15.6" x14ac:dyDescent="0.3">
      <c r="A282" s="336"/>
      <c r="B282" s="336"/>
      <c r="C282" s="349">
        <v>2028</v>
      </c>
      <c r="D282" s="350">
        <v>14</v>
      </c>
      <c r="E282" s="351"/>
      <c r="F282" s="346"/>
      <c r="G282" s="355">
        <v>30372.121411042543</v>
      </c>
      <c r="H282" s="356">
        <v>30372.121411042543</v>
      </c>
    </row>
    <row r="283" spans="1:8" ht="15.6" x14ac:dyDescent="0.3">
      <c r="A283" s="336"/>
      <c r="B283" s="336"/>
      <c r="C283" s="349">
        <v>2029</v>
      </c>
      <c r="D283" s="350">
        <v>15</v>
      </c>
      <c r="E283" s="351"/>
      <c r="F283" s="346"/>
      <c r="G283" s="355">
        <v>31445.206340319648</v>
      </c>
      <c r="H283" s="356">
        <v>31445.206340319648</v>
      </c>
    </row>
    <row r="284" spans="1:8" ht="15.6" x14ac:dyDescent="0.3">
      <c r="A284" s="336"/>
      <c r="B284" s="336"/>
      <c r="C284" s="349">
        <v>2030</v>
      </c>
      <c r="D284" s="350">
        <v>16</v>
      </c>
      <c r="E284" s="351">
        <v>32636.176165275068</v>
      </c>
      <c r="F284" s="346">
        <v>32636.176165275068</v>
      </c>
      <c r="G284" s="355">
        <v>32636.176165275068</v>
      </c>
      <c r="H284" s="356">
        <v>32636.176165275068</v>
      </c>
    </row>
    <row r="285" spans="1:8" ht="15.6" x14ac:dyDescent="0.3">
      <c r="A285" s="336"/>
      <c r="B285" s="336"/>
      <c r="C285" s="349">
        <v>2031</v>
      </c>
      <c r="D285" s="350">
        <v>17</v>
      </c>
      <c r="E285" s="351"/>
      <c r="F285" s="346"/>
      <c r="G285" s="355">
        <v>33639.494094899077</v>
      </c>
      <c r="H285" s="356">
        <v>33639.494094899077</v>
      </c>
    </row>
    <row r="286" spans="1:8" ht="15.6" x14ac:dyDescent="0.3">
      <c r="A286" s="336"/>
      <c r="B286" s="336"/>
      <c r="C286" s="349">
        <v>2032</v>
      </c>
      <c r="D286" s="350">
        <v>18</v>
      </c>
      <c r="E286" s="351"/>
      <c r="F286" s="346"/>
      <c r="G286" s="355">
        <v>34756.175244700171</v>
      </c>
      <c r="H286" s="356">
        <v>34756.175244700171</v>
      </c>
    </row>
    <row r="287" spans="1:8" ht="15.6" x14ac:dyDescent="0.3">
      <c r="A287" s="361"/>
      <c r="B287" s="361"/>
      <c r="C287" s="349">
        <v>2033</v>
      </c>
      <c r="D287" s="350">
        <v>19</v>
      </c>
      <c r="E287" s="351"/>
      <c r="F287" s="346"/>
      <c r="G287" s="355">
        <v>35882.86679250803</v>
      </c>
      <c r="H287" s="356">
        <v>35882.86679250803</v>
      </c>
    </row>
    <row r="288" spans="1:8" ht="15.6" x14ac:dyDescent="0.3">
      <c r="A288" s="361"/>
      <c r="B288" s="361"/>
      <c r="C288" s="349">
        <v>2034</v>
      </c>
      <c r="D288" s="350">
        <v>20</v>
      </c>
      <c r="E288" s="351"/>
      <c r="F288" s="346"/>
      <c r="G288" s="355">
        <v>37017.307900572036</v>
      </c>
      <c r="H288" s="356">
        <v>37017.307900572036</v>
      </c>
    </row>
    <row r="289" spans="1:8" ht="15.6" x14ac:dyDescent="0.3">
      <c r="A289" s="361"/>
      <c r="B289" s="361"/>
      <c r="C289" s="349">
        <v>2035</v>
      </c>
      <c r="D289" s="350">
        <v>21</v>
      </c>
      <c r="E289" s="351">
        <v>38137.056156610328</v>
      </c>
      <c r="F289" s="346">
        <v>38137.056156610328</v>
      </c>
      <c r="G289" s="355">
        <v>38137.056156610328</v>
      </c>
      <c r="H289" s="356">
        <v>38137.056156610328</v>
      </c>
    </row>
    <row r="290" spans="1:8" ht="15.6" x14ac:dyDescent="0.3">
      <c r="A290" s="361"/>
      <c r="B290" s="361"/>
      <c r="C290" s="349">
        <v>2036</v>
      </c>
      <c r="D290" s="350">
        <v>22</v>
      </c>
      <c r="E290" s="351"/>
      <c r="F290" s="346"/>
      <c r="G290" s="355">
        <v>39300.39544646602</v>
      </c>
      <c r="H290" s="356">
        <v>39300.39544646602</v>
      </c>
    </row>
    <row r="291" spans="1:8" ht="15.6" x14ac:dyDescent="0.3">
      <c r="A291" s="361"/>
      <c r="B291" s="361"/>
      <c r="C291" s="349">
        <v>2037</v>
      </c>
      <c r="D291" s="350">
        <v>23</v>
      </c>
      <c r="E291" s="351"/>
      <c r="F291" s="346"/>
      <c r="G291" s="355">
        <v>40444.520208794776</v>
      </c>
      <c r="H291" s="356">
        <v>40444.520208794776</v>
      </c>
    </row>
    <row r="292" spans="1:8" ht="15.6" x14ac:dyDescent="0.3">
      <c r="A292" s="361"/>
      <c r="B292" s="361"/>
      <c r="C292" s="349">
        <v>2038</v>
      </c>
      <c r="D292" s="350">
        <v>24</v>
      </c>
      <c r="E292" s="351"/>
      <c r="F292" s="346"/>
      <c r="G292" s="355">
        <v>41587.351180377213</v>
      </c>
      <c r="H292" s="356">
        <v>41587.351180377213</v>
      </c>
    </row>
    <row r="293" spans="1:8" ht="15.6" x14ac:dyDescent="0.3">
      <c r="A293" s="361"/>
      <c r="B293" s="361"/>
      <c r="C293" s="349">
        <v>2039</v>
      </c>
      <c r="D293" s="350">
        <v>25</v>
      </c>
      <c r="E293" s="351"/>
      <c r="F293" s="346"/>
      <c r="G293" s="355">
        <v>42726.62752346271</v>
      </c>
      <c r="H293" s="356">
        <v>42726.62752346271</v>
      </c>
    </row>
    <row r="294" spans="1:8" ht="15.6" x14ac:dyDescent="0.3">
      <c r="A294" s="361"/>
      <c r="B294" s="361"/>
      <c r="C294" s="349">
        <v>2040</v>
      </c>
      <c r="D294" s="350">
        <v>26</v>
      </c>
      <c r="E294" s="351">
        <v>43754.240410899052</v>
      </c>
      <c r="F294" s="346">
        <v>43754.240410899052</v>
      </c>
      <c r="G294" s="355">
        <v>43754.240410899052</v>
      </c>
      <c r="H294" s="356">
        <v>43754.240410899052</v>
      </c>
    </row>
    <row r="295" spans="1:8" ht="15.6" x14ac:dyDescent="0.3">
      <c r="A295" s="361"/>
      <c r="B295" s="361"/>
      <c r="C295" s="349">
        <v>2041</v>
      </c>
      <c r="D295" s="350">
        <v>27</v>
      </c>
      <c r="E295" s="351"/>
      <c r="F295" s="346"/>
      <c r="G295" s="355">
        <v>44985.472973140459</v>
      </c>
      <c r="H295" s="356">
        <v>44985.472973140459</v>
      </c>
    </row>
    <row r="296" spans="1:8" ht="15.6" x14ac:dyDescent="0.3">
      <c r="A296" s="361"/>
      <c r="B296" s="361"/>
      <c r="C296" s="349">
        <v>2042</v>
      </c>
      <c r="D296" s="350">
        <v>28</v>
      </c>
      <c r="E296" s="351"/>
      <c r="F296" s="346"/>
      <c r="G296" s="355">
        <v>46100.520404231473</v>
      </c>
      <c r="H296" s="356">
        <v>46100.520404231473</v>
      </c>
    </row>
    <row r="297" spans="1:8" ht="15.6" x14ac:dyDescent="0.3">
      <c r="A297" s="361"/>
      <c r="B297" s="361"/>
      <c r="C297" s="349">
        <v>2043</v>
      </c>
      <c r="D297" s="350">
        <v>29</v>
      </c>
      <c r="E297" s="351"/>
      <c r="F297" s="346"/>
      <c r="G297" s="355">
        <v>47202.969855823088</v>
      </c>
      <c r="H297" s="356">
        <v>47202.969855823088</v>
      </c>
    </row>
    <row r="298" spans="1:8" ht="15.6" x14ac:dyDescent="0.3">
      <c r="A298" s="361"/>
      <c r="B298" s="361"/>
      <c r="C298" s="349">
        <v>2044</v>
      </c>
      <c r="D298" s="350">
        <v>30</v>
      </c>
      <c r="E298" s="351"/>
      <c r="F298" s="346"/>
      <c r="G298" s="355">
        <v>48290.560490164688</v>
      </c>
      <c r="H298" s="356">
        <v>48290.560490164688</v>
      </c>
    </row>
    <row r="299" spans="1:8" ht="15.6" x14ac:dyDescent="0.3">
      <c r="A299" s="361"/>
      <c r="B299" s="361"/>
      <c r="C299" s="349">
        <v>2045</v>
      </c>
      <c r="D299" s="350">
        <v>31</v>
      </c>
      <c r="E299" s="351">
        <v>49348.565279054761</v>
      </c>
      <c r="F299" s="346">
        <v>49348.565279054761</v>
      </c>
      <c r="G299" s="355">
        <v>49348.565279054761</v>
      </c>
      <c r="H299" s="356">
        <v>49348.565279054761</v>
      </c>
    </row>
    <row r="300" spans="1:8" ht="15.6" x14ac:dyDescent="0.3">
      <c r="A300" s="361"/>
      <c r="B300" s="361"/>
      <c r="C300" s="349">
        <v>2046</v>
      </c>
      <c r="D300" s="350">
        <v>32</v>
      </c>
      <c r="E300" s="351"/>
      <c r="F300" s="346"/>
      <c r="G300" s="355">
        <v>50412.12195609539</v>
      </c>
      <c r="H300" s="356">
        <v>50412.12195609539</v>
      </c>
    </row>
    <row r="301" spans="1:8" ht="15.6" x14ac:dyDescent="0.3">
      <c r="A301" s="365"/>
      <c r="B301" s="366"/>
      <c r="C301" s="349">
        <v>2047</v>
      </c>
      <c r="D301" s="350">
        <v>33</v>
      </c>
      <c r="E301" s="351"/>
      <c r="F301" s="346"/>
      <c r="G301" s="355">
        <v>51441.571112183265</v>
      </c>
      <c r="H301" s="356">
        <v>51441.571112183265</v>
      </c>
    </row>
    <row r="302" spans="1:8" ht="15.6" x14ac:dyDescent="0.3">
      <c r="A302" s="359"/>
      <c r="B302" s="366"/>
      <c r="C302" s="349">
        <v>2048</v>
      </c>
      <c r="D302" s="350">
        <v>34</v>
      </c>
      <c r="E302" s="351"/>
      <c r="F302" s="346"/>
      <c r="G302" s="355">
        <v>52447.118100018655</v>
      </c>
      <c r="H302" s="356">
        <v>52447.118100018655</v>
      </c>
    </row>
    <row r="303" spans="1:8" ht="15.6" x14ac:dyDescent="0.3">
      <c r="A303" s="359"/>
      <c r="B303" s="359"/>
      <c r="C303" s="349">
        <v>2049</v>
      </c>
      <c r="D303" s="350">
        <v>35</v>
      </c>
      <c r="E303" s="351"/>
      <c r="F303" s="346"/>
      <c r="G303" s="355">
        <v>53426.502081850958</v>
      </c>
      <c r="H303" s="356">
        <v>53426.502081850958</v>
      </c>
    </row>
    <row r="304" spans="1:8" ht="15.6" x14ac:dyDescent="0.3">
      <c r="A304" s="359"/>
      <c r="B304" s="359"/>
      <c r="C304" s="349">
        <v>2050</v>
      </c>
      <c r="D304" s="350">
        <v>36</v>
      </c>
      <c r="E304" s="351">
        <v>54396.590671889055</v>
      </c>
      <c r="F304" s="346">
        <v>54396.590671889055</v>
      </c>
      <c r="G304" s="355">
        <v>54396.590671889055</v>
      </c>
      <c r="H304" s="356">
        <v>54396.590671889055</v>
      </c>
    </row>
    <row r="305" spans="1:8" ht="15.6" x14ac:dyDescent="0.3">
      <c r="A305"/>
      <c r="B305"/>
      <c r="C305" s="349">
        <v>2051</v>
      </c>
      <c r="D305" s="350">
        <v>37</v>
      </c>
      <c r="E305" s="351"/>
      <c r="F305" s="346"/>
      <c r="G305" s="355">
        <v>55297.737676503828</v>
      </c>
      <c r="H305" s="356">
        <v>55297.737676503828</v>
      </c>
    </row>
    <row r="306" spans="1:8" ht="15.6" x14ac:dyDescent="0.3">
      <c r="A306"/>
      <c r="B306"/>
      <c r="C306" s="349">
        <v>2052</v>
      </c>
      <c r="D306" s="350">
        <v>38</v>
      </c>
      <c r="E306" s="351"/>
      <c r="F306" s="346"/>
      <c r="G306" s="355">
        <v>56185.06761382315</v>
      </c>
      <c r="H306" s="356">
        <v>56185.06761382315</v>
      </c>
    </row>
    <row r="307" spans="1:8" ht="15.6" x14ac:dyDescent="0.3">
      <c r="A307"/>
      <c r="B307"/>
      <c r="C307" s="349">
        <v>2053</v>
      </c>
      <c r="D307" s="350">
        <v>39</v>
      </c>
      <c r="E307" s="351"/>
      <c r="F307" s="346"/>
      <c r="G307" s="355">
        <v>57037.191194136918</v>
      </c>
      <c r="H307" s="356">
        <v>57037.191194136918</v>
      </c>
    </row>
    <row r="308" spans="1:8" ht="15.6" x14ac:dyDescent="0.3">
      <c r="A308"/>
      <c r="B308"/>
      <c r="C308" s="349">
        <v>2054</v>
      </c>
      <c r="D308" s="350">
        <v>40</v>
      </c>
      <c r="E308" s="351"/>
      <c r="F308" s="346"/>
      <c r="G308" s="355">
        <v>57851.84757969452</v>
      </c>
      <c r="H308" s="356">
        <v>57851.84757969452</v>
      </c>
    </row>
    <row r="309" spans="1:8" ht="15.6" x14ac:dyDescent="0.3">
      <c r="A309"/>
      <c r="B309"/>
      <c r="C309" s="349">
        <v>2055</v>
      </c>
      <c r="D309" s="350">
        <v>41</v>
      </c>
      <c r="E309" s="351">
        <v>58729.658261944052</v>
      </c>
      <c r="F309" s="346">
        <v>58729.658261944052</v>
      </c>
      <c r="G309" s="355">
        <v>58729.658261944052</v>
      </c>
      <c r="H309" s="356">
        <v>58729.658261944052</v>
      </c>
    </row>
    <row r="310" spans="1:8" ht="15.6" x14ac:dyDescent="0.3">
      <c r="A310"/>
      <c r="B310"/>
      <c r="C310" s="349">
        <v>2056</v>
      </c>
      <c r="D310" s="350">
        <v>42</v>
      </c>
      <c r="E310" s="351"/>
      <c r="F310" s="346"/>
      <c r="G310" s="355">
        <v>59359.715415538732</v>
      </c>
      <c r="H310" s="356">
        <v>59359.715415538732</v>
      </c>
    </row>
    <row r="311" spans="1:8" ht="15.6" x14ac:dyDescent="0.3">
      <c r="A311"/>
      <c r="B311"/>
      <c r="C311" s="349">
        <v>2057</v>
      </c>
      <c r="D311" s="350">
        <v>43</v>
      </c>
      <c r="E311" s="351"/>
      <c r="F311" s="346"/>
      <c r="G311" s="355">
        <v>60048.405190324127</v>
      </c>
      <c r="H311" s="356">
        <v>60048.405190324127</v>
      </c>
    </row>
    <row r="312" spans="1:8" ht="15.6" x14ac:dyDescent="0.3">
      <c r="A312"/>
      <c r="B312"/>
      <c r="C312" s="349">
        <v>2058</v>
      </c>
      <c r="D312" s="350">
        <v>44</v>
      </c>
      <c r="E312" s="351"/>
      <c r="F312" s="346"/>
      <c r="G312" s="355">
        <v>60690.584419350875</v>
      </c>
      <c r="H312" s="356">
        <v>60690.584419350875</v>
      </c>
    </row>
    <row r="313" spans="1:8" ht="15.6" x14ac:dyDescent="0.3">
      <c r="A313"/>
      <c r="B313"/>
      <c r="C313" s="349">
        <v>2059</v>
      </c>
      <c r="D313" s="350">
        <v>45</v>
      </c>
      <c r="E313" s="351"/>
      <c r="F313" s="346"/>
      <c r="G313" s="355">
        <v>61283.992264868371</v>
      </c>
      <c r="H313" s="356">
        <v>61283.992264868371</v>
      </c>
    </row>
    <row r="314" spans="1:8" ht="15.6" x14ac:dyDescent="0.3">
      <c r="A314"/>
      <c r="B314"/>
      <c r="C314" s="367">
        <v>2060</v>
      </c>
      <c r="D314" s="350">
        <v>46</v>
      </c>
      <c r="E314" s="351">
        <v>61765.125438297531</v>
      </c>
      <c r="F314" s="346">
        <v>61765.125438297531</v>
      </c>
      <c r="G314" s="355">
        <v>61765.125438297531</v>
      </c>
      <c r="H314" s="356">
        <v>61765.125438297531</v>
      </c>
    </row>
    <row r="321" spans="1:8" ht="15.6" x14ac:dyDescent="0.3">
      <c r="A321" s="327">
        <v>3</v>
      </c>
      <c r="B321" s="328" t="s">
        <v>353</v>
      </c>
      <c r="C321" s="329"/>
      <c r="D321" s="329"/>
      <c r="E321" s="329"/>
      <c r="F321" s="329"/>
      <c r="G321" s="329"/>
      <c r="H321" s="329"/>
    </row>
    <row r="322" spans="1:8" ht="15.6" x14ac:dyDescent="0.3">
      <c r="A322" s="330" t="s">
        <v>338</v>
      </c>
      <c r="B322" s="331"/>
      <c r="C322" s="331"/>
      <c r="D322" s="332"/>
      <c r="E322" s="333"/>
      <c r="F322" s="703"/>
      <c r="G322" s="333"/>
      <c r="H322" s="334"/>
    </row>
    <row r="323" spans="1:8" ht="16.2" thickBot="1" x14ac:dyDescent="0.3">
      <c r="A323" s="368" t="s">
        <v>339</v>
      </c>
      <c r="B323" s="336"/>
      <c r="C323" s="336"/>
      <c r="D323" s="337"/>
      <c r="E323" s="338" t="s">
        <v>340</v>
      </c>
      <c r="F323" s="704"/>
      <c r="G323" s="369" t="s">
        <v>354</v>
      </c>
      <c r="H323" s="334"/>
    </row>
    <row r="324" spans="1:8" ht="16.2" thickBot="1" x14ac:dyDescent="0.3">
      <c r="A324" s="340"/>
      <c r="B324" s="340"/>
      <c r="C324" s="340"/>
      <c r="D324" s="341"/>
      <c r="E324" s="369" t="s">
        <v>342</v>
      </c>
      <c r="F324" s="369" t="s">
        <v>343</v>
      </c>
      <c r="G324" s="370" t="s">
        <v>344</v>
      </c>
      <c r="H324" s="369" t="s">
        <v>345</v>
      </c>
    </row>
    <row r="325" spans="1:8" ht="15.6" x14ac:dyDescent="0.3">
      <c r="A325" s="330" t="s">
        <v>346</v>
      </c>
      <c r="B325" s="340"/>
      <c r="C325" s="343">
        <v>2005</v>
      </c>
      <c r="D325" s="344">
        <v>-9</v>
      </c>
      <c r="E325" s="345"/>
      <c r="F325" s="346"/>
      <c r="G325" s="347">
        <v>17005.86738248176</v>
      </c>
      <c r="H325" s="348">
        <v>17005.86738248176</v>
      </c>
    </row>
    <row r="326" spans="1:8" ht="15.6" x14ac:dyDescent="0.3">
      <c r="A326" s="368" t="s">
        <v>5</v>
      </c>
      <c r="B326" s="340"/>
      <c r="C326" s="349">
        <v>2006</v>
      </c>
      <c r="D326" s="350">
        <v>-8</v>
      </c>
      <c r="E326" s="351"/>
      <c r="F326" s="346"/>
      <c r="G326" s="352">
        <v>17083.413277682117</v>
      </c>
      <c r="H326" s="353">
        <v>17083.413277682117</v>
      </c>
    </row>
    <row r="327" spans="1:8" ht="15.6" x14ac:dyDescent="0.3">
      <c r="A327" s="340"/>
      <c r="B327" s="340"/>
      <c r="C327" s="349">
        <v>2007</v>
      </c>
      <c r="D327" s="350">
        <v>-7</v>
      </c>
      <c r="E327" s="351"/>
      <c r="F327" s="346"/>
      <c r="G327" s="352">
        <v>17166.827655626541</v>
      </c>
      <c r="H327" s="353">
        <v>17166.827655626541</v>
      </c>
    </row>
    <row r="328" spans="1:8" ht="15.6" x14ac:dyDescent="0.3">
      <c r="A328" s="354" t="s">
        <v>348</v>
      </c>
      <c r="B328" s="340"/>
      <c r="C328" s="349">
        <v>2008</v>
      </c>
      <c r="D328" s="350">
        <v>-6</v>
      </c>
      <c r="E328" s="351"/>
      <c r="F328" s="346"/>
      <c r="G328" s="352">
        <v>17255.943795522449</v>
      </c>
      <c r="H328" s="353">
        <v>17255.943795522449</v>
      </c>
    </row>
    <row r="329" spans="1:8" ht="15.6" x14ac:dyDescent="0.3">
      <c r="A329" s="700" t="s">
        <v>355</v>
      </c>
      <c r="B329" s="340"/>
      <c r="C329" s="349">
        <v>2009</v>
      </c>
      <c r="D329" s="350">
        <v>-5</v>
      </c>
      <c r="E329" s="351"/>
      <c r="F329" s="346"/>
      <c r="G329" s="352">
        <v>17350.594976577249</v>
      </c>
      <c r="H329" s="353">
        <v>17350.594976577249</v>
      </c>
    </row>
    <row r="330" spans="1:8" ht="15.6" x14ac:dyDescent="0.3">
      <c r="A330" s="701"/>
      <c r="B330" s="340"/>
      <c r="C330" s="349">
        <v>2010</v>
      </c>
      <c r="D330" s="350">
        <v>-4</v>
      </c>
      <c r="E330" s="351"/>
      <c r="F330" s="346"/>
      <c r="G330" s="352">
        <v>17450.614477998362</v>
      </c>
      <c r="H330" s="353">
        <v>17450.614477998362</v>
      </c>
    </row>
    <row r="331" spans="1:8" ht="15.6" x14ac:dyDescent="0.3">
      <c r="A331" s="701"/>
      <c r="B331" s="340"/>
      <c r="C331" s="349">
        <v>2011</v>
      </c>
      <c r="D331" s="350">
        <v>-3</v>
      </c>
      <c r="E331" s="351"/>
      <c r="F331" s="346"/>
      <c r="G331" s="352">
        <v>17555.835578993199</v>
      </c>
      <c r="H331" s="353">
        <v>17555.835578993199</v>
      </c>
    </row>
    <row r="332" spans="1:8" ht="15.6" x14ac:dyDescent="0.3">
      <c r="A332" s="702"/>
      <c r="B332" s="340"/>
      <c r="C332" s="349">
        <v>2012</v>
      </c>
      <c r="D332" s="350">
        <v>-2</v>
      </c>
      <c r="E332" s="351"/>
      <c r="F332" s="346"/>
      <c r="G332" s="355">
        <v>17666.091558769174</v>
      </c>
      <c r="H332" s="356">
        <v>17666.091558769174</v>
      </c>
    </row>
    <row r="333" spans="1:8" ht="15.6" x14ac:dyDescent="0.3">
      <c r="A333" s="340"/>
      <c r="B333" s="340"/>
      <c r="C333" s="349">
        <v>2013</v>
      </c>
      <c r="D333" s="350">
        <v>-1</v>
      </c>
      <c r="E333" s="351"/>
      <c r="F333" s="346"/>
      <c r="G333" s="355">
        <v>17781.215696533705</v>
      </c>
      <c r="H333" s="356">
        <v>17781.215696533705</v>
      </c>
    </row>
    <row r="334" spans="1:8" ht="15.6" x14ac:dyDescent="0.3">
      <c r="A334" s="357" t="s">
        <v>350</v>
      </c>
      <c r="B334" s="340"/>
      <c r="C334" s="349">
        <v>2014</v>
      </c>
      <c r="D334" s="350">
        <v>0</v>
      </c>
      <c r="E334" s="351">
        <v>17944.221871904836</v>
      </c>
      <c r="F334" s="346">
        <v>17944.221871904836</v>
      </c>
      <c r="G334" s="355">
        <v>17944.221871904836</v>
      </c>
      <c r="H334" s="356">
        <v>17944.221871904836</v>
      </c>
    </row>
    <row r="335" spans="1:8" ht="15.6" x14ac:dyDescent="0.3">
      <c r="A335" s="358">
        <v>2017</v>
      </c>
      <c r="B335" s="336"/>
      <c r="C335" s="349">
        <v>2015</v>
      </c>
      <c r="D335" s="350">
        <v>1</v>
      </c>
      <c r="E335" s="351"/>
      <c r="F335" s="346"/>
      <c r="G335" s="355">
        <v>18025.401562858075</v>
      </c>
      <c r="H335" s="356">
        <v>18025.401562858075</v>
      </c>
    </row>
    <row r="336" spans="1:8" ht="15.6" x14ac:dyDescent="0.3">
      <c r="A336" s="359"/>
      <c r="B336" s="336"/>
      <c r="C336" s="349">
        <v>2016</v>
      </c>
      <c r="D336" s="350">
        <v>2</v>
      </c>
      <c r="E336" s="351"/>
      <c r="F336" s="346"/>
      <c r="G336" s="355">
        <v>18154.129849832749</v>
      </c>
      <c r="H336" s="356">
        <v>18154.129849832749</v>
      </c>
    </row>
    <row r="337" spans="1:8" ht="15.6" x14ac:dyDescent="0.3">
      <c r="A337" s="357" t="s">
        <v>351</v>
      </c>
      <c r="B337" s="336"/>
      <c r="C337" s="349">
        <v>2017</v>
      </c>
      <c r="D337" s="350">
        <v>3</v>
      </c>
      <c r="E337" s="351"/>
      <c r="F337" s="346"/>
      <c r="G337" s="355">
        <v>18287.059411625629</v>
      </c>
      <c r="H337" s="356">
        <v>18287.059411625629</v>
      </c>
    </row>
    <row r="338" spans="1:8" ht="15.6" x14ac:dyDescent="0.3">
      <c r="A338" s="358" t="s">
        <v>342</v>
      </c>
      <c r="B338" s="336"/>
      <c r="C338" s="349">
        <v>2018</v>
      </c>
      <c r="D338" s="350">
        <v>4</v>
      </c>
      <c r="E338" s="351"/>
      <c r="F338" s="346"/>
      <c r="G338" s="355">
        <v>18424.023527444137</v>
      </c>
      <c r="H338" s="356">
        <v>18424.023527444137</v>
      </c>
    </row>
    <row r="339" spans="1:8" ht="15.6" x14ac:dyDescent="0.3">
      <c r="A339" s="360"/>
      <c r="B339" s="361"/>
      <c r="C339" s="349">
        <v>2019</v>
      </c>
      <c r="D339" s="350">
        <v>5</v>
      </c>
      <c r="E339" s="351"/>
      <c r="F339" s="346"/>
      <c r="G339" s="355">
        <v>18564.855476495679</v>
      </c>
      <c r="H339" s="356">
        <v>18564.855476495679</v>
      </c>
    </row>
    <row r="340" spans="1:8" ht="15.6" x14ac:dyDescent="0.3">
      <c r="A340" s="362" t="s">
        <v>352</v>
      </c>
      <c r="B340" s="336"/>
      <c r="C340" s="349">
        <v>2020</v>
      </c>
      <c r="D340" s="350">
        <v>6</v>
      </c>
      <c r="E340" s="351"/>
      <c r="F340" s="346"/>
      <c r="G340" s="355">
        <v>18709.388537987674</v>
      </c>
      <c r="H340" s="356">
        <v>18709.388537987674</v>
      </c>
    </row>
    <row r="341" spans="1:8" ht="15.6" x14ac:dyDescent="0.3">
      <c r="A341" s="363"/>
      <c r="B341" s="336"/>
      <c r="C341" s="349">
        <v>2021</v>
      </c>
      <c r="D341" s="350">
        <v>7</v>
      </c>
      <c r="E341" s="351"/>
      <c r="F341" s="346"/>
      <c r="G341" s="355">
        <v>18857.455991127539</v>
      </c>
      <c r="H341" s="356">
        <v>18857.455991127539</v>
      </c>
    </row>
    <row r="342" spans="1:8" ht="15.6" x14ac:dyDescent="0.3">
      <c r="A342" s="364"/>
      <c r="B342" s="336"/>
      <c r="C342" s="349">
        <v>2022</v>
      </c>
      <c r="D342" s="350">
        <v>8</v>
      </c>
      <c r="E342" s="351"/>
      <c r="F342" s="346"/>
      <c r="G342" s="355">
        <v>19008.891115122678</v>
      </c>
      <c r="H342" s="356">
        <v>19008.891115122678</v>
      </c>
    </row>
    <row r="343" spans="1:8" ht="15.6" x14ac:dyDescent="0.3">
      <c r="A343" s="358"/>
      <c r="B343" s="336"/>
      <c r="C343" s="349">
        <v>2023</v>
      </c>
      <c r="D343" s="350">
        <v>9</v>
      </c>
      <c r="E343" s="351"/>
      <c r="F343" s="346"/>
      <c r="G343" s="355">
        <v>19163.527189180517</v>
      </c>
      <c r="H343" s="356">
        <v>19163.527189180517</v>
      </c>
    </row>
    <row r="344" spans="1:8" ht="15.6" x14ac:dyDescent="0.3">
      <c r="A344" s="336"/>
      <c r="B344" s="336"/>
      <c r="C344" s="349">
        <v>2024</v>
      </c>
      <c r="D344" s="350">
        <v>10</v>
      </c>
      <c r="E344" s="351"/>
      <c r="F344" s="346"/>
      <c r="G344" s="355">
        <v>19321.197492508465</v>
      </c>
      <c r="H344" s="356">
        <v>19321.197492508465</v>
      </c>
    </row>
    <row r="345" spans="1:8" ht="15.6" x14ac:dyDescent="0.3">
      <c r="A345" s="336"/>
      <c r="B345" s="336"/>
      <c r="C345" s="349">
        <v>2025</v>
      </c>
      <c r="D345" s="350">
        <v>11</v>
      </c>
      <c r="E345" s="351">
        <v>19306.940551878397</v>
      </c>
      <c r="F345" s="346">
        <v>19306.940551878397</v>
      </c>
      <c r="G345" s="355">
        <v>19306.940551878397</v>
      </c>
      <c r="H345" s="356">
        <v>19306.940551878397</v>
      </c>
    </row>
    <row r="346" spans="1:8" ht="15.6" x14ac:dyDescent="0.3">
      <c r="A346" s="336"/>
      <c r="B346" s="336"/>
      <c r="C346" s="349">
        <v>2026</v>
      </c>
      <c r="D346" s="350">
        <v>12</v>
      </c>
      <c r="E346" s="351"/>
      <c r="F346" s="346"/>
      <c r="G346" s="355">
        <v>19644.973903804341</v>
      </c>
      <c r="H346" s="356">
        <v>19644.973903804341</v>
      </c>
    </row>
    <row r="347" spans="1:8" ht="15.6" x14ac:dyDescent="0.3">
      <c r="A347" s="336"/>
      <c r="B347" s="336"/>
      <c r="C347" s="349">
        <v>2027</v>
      </c>
      <c r="D347" s="350">
        <v>13</v>
      </c>
      <c r="E347" s="351"/>
      <c r="F347" s="346"/>
      <c r="G347" s="355">
        <v>19810.746570187097</v>
      </c>
      <c r="H347" s="356">
        <v>19810.746570187097</v>
      </c>
    </row>
    <row r="348" spans="1:8" ht="15.6" x14ac:dyDescent="0.3">
      <c r="A348" s="336"/>
      <c r="B348" s="336"/>
      <c r="C348" s="349">
        <v>2028</v>
      </c>
      <c r="D348" s="350">
        <v>14</v>
      </c>
      <c r="E348" s="351"/>
      <c r="F348" s="346"/>
      <c r="G348" s="355">
        <v>19978.886582669624</v>
      </c>
      <c r="H348" s="356">
        <v>19978.886582669624</v>
      </c>
    </row>
    <row r="349" spans="1:8" ht="15.6" x14ac:dyDescent="0.3">
      <c r="A349" s="336"/>
      <c r="B349" s="336"/>
      <c r="C349" s="349">
        <v>2029</v>
      </c>
      <c r="D349" s="350">
        <v>15</v>
      </c>
      <c r="E349" s="351"/>
      <c r="F349" s="346"/>
      <c r="G349" s="355">
        <v>20149.227220459328</v>
      </c>
      <c r="H349" s="356">
        <v>20149.227220459328</v>
      </c>
    </row>
    <row r="350" spans="1:8" ht="15.6" x14ac:dyDescent="0.3">
      <c r="A350" s="336"/>
      <c r="B350" s="336"/>
      <c r="C350" s="349">
        <v>2030</v>
      </c>
      <c r="D350" s="350">
        <v>16</v>
      </c>
      <c r="E350" s="351">
        <v>20348.813621570134</v>
      </c>
      <c r="F350" s="346">
        <v>20348.813621570134</v>
      </c>
      <c r="G350" s="355">
        <v>20348.813621570134</v>
      </c>
      <c r="H350" s="356">
        <v>20348.813621570134</v>
      </c>
    </row>
    <row r="351" spans="1:8" ht="15.6" x14ac:dyDescent="0.3">
      <c r="A351" s="336"/>
      <c r="B351" s="336"/>
      <c r="C351" s="349">
        <v>2031</v>
      </c>
      <c r="D351" s="350">
        <v>17</v>
      </c>
      <c r="E351" s="351"/>
      <c r="F351" s="346"/>
      <c r="G351" s="355">
        <v>20495.843488789931</v>
      </c>
      <c r="H351" s="356">
        <v>20495.843488789931</v>
      </c>
    </row>
    <row r="352" spans="1:8" ht="15.6" x14ac:dyDescent="0.3">
      <c r="A352" s="336"/>
      <c r="B352" s="336"/>
      <c r="C352" s="349">
        <v>2032</v>
      </c>
      <c r="D352" s="350">
        <v>18</v>
      </c>
      <c r="E352" s="351"/>
      <c r="F352" s="346"/>
      <c r="G352" s="355">
        <v>20671.785677745658</v>
      </c>
      <c r="H352" s="356">
        <v>20671.785677745658</v>
      </c>
    </row>
    <row r="353" spans="1:8" ht="15.6" x14ac:dyDescent="0.3">
      <c r="A353" s="361"/>
      <c r="B353" s="361"/>
      <c r="C353" s="349">
        <v>2033</v>
      </c>
      <c r="D353" s="350">
        <v>19</v>
      </c>
      <c r="E353" s="351"/>
      <c r="F353" s="346"/>
      <c r="G353" s="355">
        <v>20849.261608838224</v>
      </c>
      <c r="H353" s="356">
        <v>20849.261608838224</v>
      </c>
    </row>
    <row r="354" spans="1:8" ht="15.6" x14ac:dyDescent="0.3">
      <c r="A354" s="361"/>
      <c r="B354" s="361"/>
      <c r="C354" s="349">
        <v>2034</v>
      </c>
      <c r="D354" s="350">
        <v>20</v>
      </c>
      <c r="E354" s="351"/>
      <c r="F354" s="346"/>
      <c r="G354" s="355">
        <v>21028.104561275042</v>
      </c>
      <c r="H354" s="356">
        <v>21028.104561275042</v>
      </c>
    </row>
    <row r="355" spans="1:8" ht="15.6" x14ac:dyDescent="0.3">
      <c r="A355" s="361"/>
      <c r="B355" s="361"/>
      <c r="C355" s="349">
        <v>2035</v>
      </c>
      <c r="D355" s="350">
        <v>21</v>
      </c>
      <c r="E355" s="351">
        <v>21350.284944639516</v>
      </c>
      <c r="F355" s="346">
        <v>21350.284944639516</v>
      </c>
      <c r="G355" s="355">
        <v>21350.284944639516</v>
      </c>
      <c r="H355" s="356">
        <v>21350.284944639516</v>
      </c>
    </row>
    <row r="356" spans="1:8" ht="15.6" x14ac:dyDescent="0.3">
      <c r="A356" s="361"/>
      <c r="B356" s="361"/>
      <c r="C356" s="349">
        <v>2036</v>
      </c>
      <c r="D356" s="350">
        <v>22</v>
      </c>
      <c r="E356" s="351"/>
      <c r="F356" s="346"/>
      <c r="G356" s="355">
        <v>21389.224647011084</v>
      </c>
      <c r="H356" s="356">
        <v>21389.224647011084</v>
      </c>
    </row>
    <row r="357" spans="1:8" ht="15.6" x14ac:dyDescent="0.3">
      <c r="A357" s="361"/>
      <c r="B357" s="361"/>
      <c r="C357" s="349">
        <v>2037</v>
      </c>
      <c r="D357" s="350">
        <v>23</v>
      </c>
      <c r="E357" s="351"/>
      <c r="F357" s="346"/>
      <c r="G357" s="355">
        <v>21571.168338725136</v>
      </c>
      <c r="H357" s="356">
        <v>21571.168338725136</v>
      </c>
    </row>
    <row r="358" spans="1:8" ht="15.6" x14ac:dyDescent="0.3">
      <c r="A358" s="361"/>
      <c r="B358" s="361"/>
      <c r="C358" s="349">
        <v>2038</v>
      </c>
      <c r="D358" s="350">
        <v>24</v>
      </c>
      <c r="E358" s="351"/>
      <c r="F358" s="346"/>
      <c r="G358" s="355">
        <v>21753.812168613098</v>
      </c>
      <c r="H358" s="356">
        <v>21753.812168613098</v>
      </c>
    </row>
    <row r="359" spans="1:8" ht="15.6" x14ac:dyDescent="0.3">
      <c r="A359" s="361"/>
      <c r="B359" s="361"/>
      <c r="C359" s="349">
        <v>2039</v>
      </c>
      <c r="D359" s="350">
        <v>25</v>
      </c>
      <c r="E359" s="351"/>
      <c r="F359" s="346"/>
      <c r="G359" s="355">
        <v>21936.989415882381</v>
      </c>
      <c r="H359" s="356">
        <v>21936.989415882381</v>
      </c>
    </row>
    <row r="360" spans="1:8" ht="15.6" x14ac:dyDescent="0.3">
      <c r="A360" s="361"/>
      <c r="B360" s="361"/>
      <c r="C360" s="349">
        <v>2040</v>
      </c>
      <c r="D360" s="350">
        <v>26</v>
      </c>
      <c r="E360" s="351">
        <v>22196.535946223186</v>
      </c>
      <c r="F360" s="346">
        <v>22196.535946223186</v>
      </c>
      <c r="G360" s="355">
        <v>22196.535946223186</v>
      </c>
      <c r="H360" s="356">
        <v>22196.535946223186</v>
      </c>
    </row>
    <row r="361" spans="1:8" ht="15.6" x14ac:dyDescent="0.3">
      <c r="A361" s="361"/>
      <c r="B361" s="361"/>
      <c r="C361" s="349">
        <v>2041</v>
      </c>
      <c r="D361" s="350">
        <v>27</v>
      </c>
      <c r="E361" s="351"/>
      <c r="F361" s="346"/>
      <c r="G361" s="355">
        <v>22304.27727939457</v>
      </c>
      <c r="H361" s="356">
        <v>22304.27727939457</v>
      </c>
    </row>
    <row r="362" spans="1:8" ht="15.6" x14ac:dyDescent="0.3">
      <c r="A362" s="361"/>
      <c r="B362" s="361"/>
      <c r="C362" s="349">
        <v>2042</v>
      </c>
      <c r="D362" s="350">
        <v>28</v>
      </c>
      <c r="E362" s="351"/>
      <c r="F362" s="346"/>
      <c r="G362" s="355">
        <v>22488.054454052304</v>
      </c>
      <c r="H362" s="356">
        <v>22488.054454052304</v>
      </c>
    </row>
    <row r="363" spans="1:8" ht="15.6" x14ac:dyDescent="0.3">
      <c r="A363" s="361"/>
      <c r="B363" s="361"/>
      <c r="C363" s="349">
        <v>2043</v>
      </c>
      <c r="D363" s="350">
        <v>29</v>
      </c>
      <c r="E363" s="351"/>
      <c r="F363" s="346"/>
      <c r="G363" s="355">
        <v>22671.698162921013</v>
      </c>
      <c r="H363" s="356">
        <v>22671.698162921013</v>
      </c>
    </row>
    <row r="364" spans="1:8" ht="15.6" x14ac:dyDescent="0.3">
      <c r="A364" s="361"/>
      <c r="B364" s="361"/>
      <c r="C364" s="349">
        <v>2044</v>
      </c>
      <c r="D364" s="350">
        <v>30</v>
      </c>
      <c r="E364" s="351"/>
      <c r="F364" s="346"/>
      <c r="G364" s="355">
        <v>22855.041685208118</v>
      </c>
      <c r="H364" s="356">
        <v>22855.041685208118</v>
      </c>
    </row>
    <row r="365" spans="1:8" ht="15.6" x14ac:dyDescent="0.3">
      <c r="A365" s="361"/>
      <c r="B365" s="361"/>
      <c r="C365" s="349">
        <v>2045</v>
      </c>
      <c r="D365" s="350">
        <v>31</v>
      </c>
      <c r="E365" s="351">
        <v>22977.062415569962</v>
      </c>
      <c r="F365" s="346">
        <v>22977.062415569962</v>
      </c>
      <c r="G365" s="355">
        <v>22977.062415569962</v>
      </c>
      <c r="H365" s="356">
        <v>22977.062415569962</v>
      </c>
    </row>
    <row r="366" spans="1:8" ht="15.6" x14ac:dyDescent="0.3">
      <c r="A366" s="361"/>
      <c r="B366" s="361"/>
      <c r="C366" s="349">
        <v>2046</v>
      </c>
      <c r="D366" s="350">
        <v>32</v>
      </c>
      <c r="E366" s="351"/>
      <c r="F366" s="346"/>
      <c r="G366" s="355">
        <v>23220.161286867165</v>
      </c>
      <c r="H366" s="356">
        <v>23220.161286867165</v>
      </c>
    </row>
    <row r="367" spans="1:8" ht="15.6" x14ac:dyDescent="0.3">
      <c r="A367" s="365"/>
      <c r="B367" s="366"/>
      <c r="C367" s="349">
        <v>2047</v>
      </c>
      <c r="D367" s="350">
        <v>33</v>
      </c>
      <c r="E367" s="351"/>
      <c r="F367" s="346"/>
      <c r="G367" s="355">
        <v>23401.603924653933</v>
      </c>
      <c r="H367" s="356">
        <v>23401.603924653933</v>
      </c>
    </row>
    <row r="368" spans="1:8" ht="15.6" x14ac:dyDescent="0.3">
      <c r="A368" s="359"/>
      <c r="B368" s="366"/>
      <c r="C368" s="349">
        <v>2048</v>
      </c>
      <c r="D368" s="350">
        <v>34</v>
      </c>
      <c r="E368" s="351"/>
      <c r="F368" s="346"/>
      <c r="G368" s="355">
        <v>23582.07949268875</v>
      </c>
      <c r="H368" s="356">
        <v>23582.07949268875</v>
      </c>
    </row>
    <row r="369" spans="1:8" ht="15.6" x14ac:dyDescent="0.3">
      <c r="A369" s="359"/>
      <c r="B369" s="359"/>
      <c r="C369" s="349">
        <v>2049</v>
      </c>
      <c r="D369" s="350">
        <v>35</v>
      </c>
      <c r="E369" s="351"/>
      <c r="F369" s="346"/>
      <c r="G369" s="355">
        <v>23761.421270179031</v>
      </c>
      <c r="H369" s="356">
        <v>23761.421270179031</v>
      </c>
    </row>
    <row r="370" spans="1:8" ht="15.6" x14ac:dyDescent="0.3">
      <c r="A370" s="359"/>
      <c r="B370" s="359"/>
      <c r="C370" s="349">
        <v>2050</v>
      </c>
      <c r="D370" s="350">
        <v>36</v>
      </c>
      <c r="E370" s="351">
        <v>23878.383038888478</v>
      </c>
      <c r="F370" s="346">
        <v>23878.383038888478</v>
      </c>
      <c r="G370" s="355">
        <v>23878.383038888478</v>
      </c>
      <c r="H370" s="356">
        <v>23878.383038888478</v>
      </c>
    </row>
    <row r="371" spans="1:8" ht="15.6" x14ac:dyDescent="0.3">
      <c r="A371"/>
      <c r="B371"/>
      <c r="C371" s="349">
        <v>2051</v>
      </c>
      <c r="D371" s="350">
        <v>37</v>
      </c>
      <c r="E371" s="351"/>
      <c r="F371" s="346"/>
      <c r="G371" s="355">
        <v>24116.036570355642</v>
      </c>
      <c r="H371" s="356">
        <v>24116.036570355642</v>
      </c>
    </row>
    <row r="372" spans="1:8" ht="15.6" x14ac:dyDescent="0.3">
      <c r="A372"/>
      <c r="B372"/>
      <c r="C372" s="349">
        <v>2052</v>
      </c>
      <c r="D372" s="350">
        <v>38</v>
      </c>
      <c r="E372" s="351"/>
      <c r="F372" s="346"/>
      <c r="G372" s="355">
        <v>24290.9766514568</v>
      </c>
      <c r="H372" s="356">
        <v>24290.9766514568</v>
      </c>
    </row>
    <row r="373" spans="1:8" ht="15.6" x14ac:dyDescent="0.3">
      <c r="A373"/>
      <c r="B373"/>
      <c r="C373" s="349">
        <v>2053</v>
      </c>
      <c r="D373" s="350">
        <v>39</v>
      </c>
      <c r="E373" s="351"/>
      <c r="F373" s="346"/>
      <c r="G373" s="355">
        <v>24464.116058843079</v>
      </c>
      <c r="H373" s="356">
        <v>24464.116058843079</v>
      </c>
    </row>
    <row r="374" spans="1:8" ht="15.6" x14ac:dyDescent="0.3">
      <c r="A374"/>
      <c r="B374"/>
      <c r="C374" s="349">
        <v>2054</v>
      </c>
      <c r="D374" s="350">
        <v>40</v>
      </c>
      <c r="E374" s="351"/>
      <c r="F374" s="346"/>
      <c r="G374" s="355">
        <v>24635.28807172189</v>
      </c>
      <c r="H374" s="356">
        <v>24635.28807172189</v>
      </c>
    </row>
    <row r="375" spans="1:8" ht="15.6" x14ac:dyDescent="0.3">
      <c r="A375"/>
      <c r="B375"/>
      <c r="C375" s="349">
        <v>2055</v>
      </c>
      <c r="D375" s="350">
        <v>41</v>
      </c>
      <c r="E375" s="351">
        <v>24757.387210462137</v>
      </c>
      <c r="F375" s="346">
        <v>24757.387210462137</v>
      </c>
      <c r="G375" s="355">
        <v>24757.387210462137</v>
      </c>
      <c r="H375" s="356">
        <v>24757.387210462137</v>
      </c>
    </row>
    <row r="376" spans="1:8" ht="15.6" x14ac:dyDescent="0.3">
      <c r="A376"/>
      <c r="B376"/>
      <c r="C376" s="349">
        <v>2056</v>
      </c>
      <c r="D376" s="350">
        <v>42</v>
      </c>
      <c r="E376" s="351"/>
      <c r="F376" s="346"/>
      <c r="G376" s="355">
        <v>24971.063030786776</v>
      </c>
      <c r="H376" s="356">
        <v>24971.063030786776</v>
      </c>
    </row>
    <row r="377" spans="1:8" ht="15.6" x14ac:dyDescent="0.3">
      <c r="A377"/>
      <c r="B377"/>
      <c r="C377" s="349">
        <v>2057</v>
      </c>
      <c r="D377" s="350">
        <v>43</v>
      </c>
      <c r="E377" s="351"/>
      <c r="F377" s="346"/>
      <c r="G377" s="355">
        <v>25135.332535387679</v>
      </c>
      <c r="H377" s="356">
        <v>25135.332535387679</v>
      </c>
    </row>
    <row r="378" spans="1:8" ht="15.6" x14ac:dyDescent="0.3">
      <c r="A378"/>
      <c r="B378"/>
      <c r="C378" s="349">
        <v>2058</v>
      </c>
      <c r="D378" s="350">
        <v>44</v>
      </c>
      <c r="E378" s="351"/>
      <c r="F378" s="346"/>
      <c r="G378" s="355">
        <v>25296.967762310771</v>
      </c>
      <c r="H378" s="356">
        <v>25296.967762310771</v>
      </c>
    </row>
    <row r="379" spans="1:8" ht="15.6" x14ac:dyDescent="0.3">
      <c r="A379"/>
      <c r="B379"/>
      <c r="C379" s="349">
        <v>2059</v>
      </c>
      <c r="D379" s="350">
        <v>45</v>
      </c>
      <c r="E379" s="351"/>
      <c r="F379" s="346"/>
      <c r="G379" s="355">
        <v>25455.801990763466</v>
      </c>
      <c r="H379" s="356">
        <v>25455.801990763466</v>
      </c>
    </row>
    <row r="380" spans="1:8" ht="15.6" x14ac:dyDescent="0.3">
      <c r="A380"/>
      <c r="B380"/>
      <c r="C380" s="367">
        <v>2060</v>
      </c>
      <c r="D380" s="350">
        <v>46</v>
      </c>
      <c r="E380" s="351">
        <v>25666.805217146117</v>
      </c>
      <c r="F380" s="346">
        <v>25666.805217146117</v>
      </c>
      <c r="G380" s="355">
        <v>25666.805217146117</v>
      </c>
      <c r="H380" s="356">
        <v>25666.805217146117</v>
      </c>
    </row>
  </sheetData>
  <mergeCells count="18">
    <mergeCell ref="Y23:Z23"/>
    <mergeCell ref="J24:M24"/>
    <mergeCell ref="F256:F257"/>
    <mergeCell ref="A263:A266"/>
    <mergeCell ref="F322:F323"/>
    <mergeCell ref="U23:V23"/>
    <mergeCell ref="A329:A332"/>
    <mergeCell ref="O22:R22"/>
    <mergeCell ref="B23:D23"/>
    <mergeCell ref="E23:H23"/>
    <mergeCell ref="J23:M23"/>
    <mergeCell ref="O23:R23"/>
    <mergeCell ref="C1:G1"/>
    <mergeCell ref="I1:T1"/>
    <mergeCell ref="D2:E2"/>
    <mergeCell ref="I2:L3"/>
    <mergeCell ref="S3:W5"/>
    <mergeCell ref="I5:L6"/>
  </mergeCells>
  <conditionalFormatting sqref="A263">
    <cfRule type="cellIs" dxfId="9" priority="2" operator="equal">
      <formula>#REF!</formula>
    </cfRule>
  </conditionalFormatting>
  <conditionalFormatting sqref="A329">
    <cfRule type="cellIs" dxfId="8" priority="1" operator="equal">
      <formula>#REF!</formula>
    </cfRule>
  </conditionalFormatting>
  <dataValidations count="1">
    <dataValidation type="list" allowBlank="1" showInputMessage="1" showErrorMessage="1" sqref="C83:G83 F17 O24:R24 F3:G14">
      <formula1>"Y,N"</formula1>
    </dataValidation>
  </dataValidation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sheetPr>
  <dimension ref="A1:EG453"/>
  <sheetViews>
    <sheetView showGridLines="0" topLeftCell="J116" zoomScale="96" zoomScaleNormal="96" zoomScalePageLayoutView="80" workbookViewId="0">
      <selection activeCell="N135" sqref="N135"/>
    </sheetView>
  </sheetViews>
  <sheetFormatPr defaultColWidth="8.796875" defaultRowHeight="13.2" x14ac:dyDescent="0.25"/>
  <cols>
    <col min="1" max="1" width="24.69921875" style="153" customWidth="1"/>
    <col min="2" max="2" width="37.5" style="153" bestFit="1" customWidth="1"/>
    <col min="3" max="3" width="21.5" style="153" customWidth="1"/>
    <col min="4" max="4" width="28.19921875" style="153" customWidth="1"/>
    <col min="5" max="5" width="37.5" style="153" bestFit="1" customWidth="1"/>
    <col min="6" max="6" width="28.296875" style="153" bestFit="1" customWidth="1"/>
    <col min="7" max="7" width="18.296875" style="153" bestFit="1" customWidth="1"/>
    <col min="8" max="8" width="45.5" style="153" bestFit="1" customWidth="1"/>
    <col min="9" max="11" width="7.296875" style="153" bestFit="1" customWidth="1"/>
    <col min="12" max="12" width="10.796875" style="153" bestFit="1" customWidth="1"/>
    <col min="13" max="13" width="7.19921875" style="153" bestFit="1" customWidth="1"/>
    <col min="14" max="14" width="19.5" style="153" customWidth="1"/>
    <col min="15" max="15" width="24.5" style="153" customWidth="1"/>
    <col min="16" max="16" width="23.19921875" style="153" customWidth="1"/>
    <col min="17" max="17" width="18.796875" style="153" customWidth="1"/>
    <col min="18" max="18" width="19" style="153" bestFit="1" customWidth="1"/>
    <col min="19" max="19" width="8.796875" style="153"/>
    <col min="20" max="20" width="10.19921875" style="153" bestFit="1" customWidth="1"/>
    <col min="21" max="21" width="24.5" style="153" customWidth="1"/>
    <col min="22" max="22" width="15" style="153" customWidth="1"/>
    <col min="23" max="23" width="19" style="153" bestFit="1" customWidth="1"/>
    <col min="24" max="24" width="21.19921875" style="153" customWidth="1"/>
    <col min="25" max="25" width="16.296875" style="153" bestFit="1" customWidth="1"/>
    <col min="26" max="28" width="8.796875" style="153"/>
    <col min="29" max="29" width="41.69921875" style="153" bestFit="1" customWidth="1"/>
    <col min="30" max="31" width="8.796875" style="153"/>
    <col min="32" max="33" width="7" style="153" bestFit="1" customWidth="1"/>
    <col min="34" max="34" width="7.5" style="153" bestFit="1" customWidth="1"/>
    <col min="35" max="35" width="5.296875" style="153" bestFit="1" customWidth="1"/>
    <col min="36" max="16384" width="8.796875" style="153"/>
  </cols>
  <sheetData>
    <row r="1" spans="1:137" s="160" customFormat="1" ht="21.6" thickBot="1" x14ac:dyDescent="0.45">
      <c r="A1" s="155" t="str">
        <f ca="1">MID(CELL("filename",A1),FIND("]",CELL("filename",A1))+1,256)</f>
        <v>GFreight-km_cluster_lldc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381</v>
      </c>
      <c r="E3" s="249">
        <v>9.7568524801131835E-3</v>
      </c>
      <c r="F3" s="167" t="s">
        <v>211</v>
      </c>
      <c r="G3" s="167" t="s">
        <v>211</v>
      </c>
      <c r="I3" s="618"/>
      <c r="J3" s="618"/>
      <c r="K3" s="618"/>
      <c r="L3" s="618"/>
      <c r="M3" s="166"/>
      <c r="N3" s="164">
        <f ca="1">SUM(OFFSET(O27,B3-2015,0,B4-B3+1,4))/1000</f>
        <v>1.3693510657686776</v>
      </c>
      <c r="O3" s="165" t="s">
        <v>209</v>
      </c>
      <c r="Q3" s="165"/>
      <c r="S3" s="671" t="s">
        <v>210</v>
      </c>
      <c r="T3" s="671"/>
      <c r="U3" s="671"/>
      <c r="V3" s="671"/>
      <c r="W3" s="671"/>
    </row>
    <row r="4" spans="1:137" ht="13.8" x14ac:dyDescent="0.25">
      <c r="A4" s="153" t="s">
        <v>215</v>
      </c>
      <c r="B4" s="234">
        <v>2050</v>
      </c>
      <c r="D4" s="248" t="s">
        <v>382</v>
      </c>
      <c r="E4" s="249">
        <v>0.15995837216037567</v>
      </c>
      <c r="F4" s="167"/>
      <c r="G4" s="167" t="s">
        <v>213</v>
      </c>
      <c r="I4" s="168"/>
      <c r="J4" s="168"/>
      <c r="K4" s="168"/>
      <c r="L4" s="168"/>
      <c r="M4" s="168"/>
      <c r="N4" s="168"/>
      <c r="S4" s="671"/>
      <c r="T4" s="671"/>
      <c r="U4" s="671"/>
      <c r="V4" s="671"/>
      <c r="W4" s="671"/>
    </row>
    <row r="5" spans="1:137" ht="12.75" customHeight="1" x14ac:dyDescent="0.25">
      <c r="D5" s="248" t="s">
        <v>383</v>
      </c>
      <c r="E5" s="249">
        <v>8.2782447177430232E-2</v>
      </c>
      <c r="F5" s="167"/>
      <c r="G5" s="167" t="s">
        <v>213</v>
      </c>
      <c r="I5" s="618" t="s">
        <v>214</v>
      </c>
      <c r="J5" s="618"/>
      <c r="K5" s="618"/>
      <c r="L5" s="618"/>
      <c r="M5" s="169"/>
      <c r="N5" s="164">
        <f>SUM(J27:M72)/1000</f>
        <v>0</v>
      </c>
      <c r="O5" s="165" t="s">
        <v>208</v>
      </c>
      <c r="S5" s="671"/>
      <c r="T5" s="671"/>
      <c r="U5" s="671"/>
      <c r="V5" s="671"/>
      <c r="W5" s="671"/>
    </row>
    <row r="6" spans="1:137" ht="13.8" x14ac:dyDescent="0.25">
      <c r="D6" s="248" t="s">
        <v>384</v>
      </c>
      <c r="E6" s="249">
        <v>0.72838808686149303</v>
      </c>
      <c r="F6" s="167"/>
      <c r="G6" s="167" t="s">
        <v>211</v>
      </c>
      <c r="I6" s="618"/>
      <c r="J6" s="618"/>
      <c r="K6" s="618"/>
      <c r="L6" s="618"/>
      <c r="M6" s="163"/>
      <c r="N6" s="164">
        <f>SUM(O27:R72)/1000</f>
        <v>3.423959476370078</v>
      </c>
      <c r="O6" s="165" t="s">
        <v>209</v>
      </c>
    </row>
    <row r="7" spans="1:137" ht="13.8" x14ac:dyDescent="0.25">
      <c r="D7" s="248" t="s">
        <v>385</v>
      </c>
      <c r="E7" s="249">
        <v>1.7792809668857161E-3</v>
      </c>
      <c r="F7" s="167"/>
      <c r="G7" s="167" t="s">
        <v>211</v>
      </c>
      <c r="I7" s="172"/>
      <c r="J7" s="172"/>
      <c r="K7" s="172"/>
      <c r="L7" s="172"/>
      <c r="M7" s="172"/>
      <c r="N7" s="172"/>
      <c r="O7" s="172"/>
      <c r="P7" s="165"/>
    </row>
    <row r="8" spans="1:137" ht="13.8" x14ac:dyDescent="0.25">
      <c r="D8" s="248" t="s">
        <v>386</v>
      </c>
      <c r="E8" s="249">
        <v>1.733496035370221E-2</v>
      </c>
      <c r="F8" s="167"/>
      <c r="G8" s="167" t="s">
        <v>211</v>
      </c>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322</v>
      </c>
      <c r="P15" s="260" t="s">
        <v>435</v>
      </c>
    </row>
    <row r="16" spans="1:137" ht="13.8" x14ac:dyDescent="0.25">
      <c r="F16" s="153" t="s">
        <v>217</v>
      </c>
      <c r="O16" s="261"/>
      <c r="P16" s="371">
        <v>12609.082342957821</v>
      </c>
    </row>
    <row r="17" spans="1:26" x14ac:dyDescent="0.25">
      <c r="D17" s="171" t="s">
        <v>216</v>
      </c>
      <c r="E17" s="233">
        <v>1</v>
      </c>
      <c r="F17" s="167" t="s">
        <v>211</v>
      </c>
    </row>
    <row r="18" spans="1:26" ht="27.6" x14ac:dyDescent="0.25">
      <c r="P18" s="260" t="s">
        <v>436</v>
      </c>
    </row>
    <row r="19" spans="1:26" ht="13.8" x14ac:dyDescent="0.25">
      <c r="P19" s="371">
        <v>37954</v>
      </c>
    </row>
    <row r="22" spans="1:26" x14ac:dyDescent="0.25">
      <c r="D22" s="170"/>
      <c r="I22" s="172"/>
      <c r="J22" s="172"/>
      <c r="K22" s="172"/>
      <c r="L22" s="172"/>
      <c r="M22" s="172"/>
      <c r="N22" s="172"/>
      <c r="O22" s="667" t="s">
        <v>378</v>
      </c>
      <c r="P22" s="667"/>
      <c r="Q22" s="667"/>
      <c r="R22" s="667"/>
    </row>
    <row r="23" spans="1:26" ht="67.5" customHeight="1" x14ac:dyDescent="0.25">
      <c r="B23" s="665" t="s">
        <v>376</v>
      </c>
      <c r="C23" s="665"/>
      <c r="D23" s="665"/>
      <c r="E23" s="666" t="s">
        <v>375</v>
      </c>
      <c r="F23" s="666"/>
      <c r="G23" s="666"/>
      <c r="H23" s="666"/>
      <c r="J23" s="665" t="s">
        <v>377</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0</v>
      </c>
      <c r="F26" s="183" t="str">
        <f>IFERROR(E26-E25,"")</f>
        <v/>
      </c>
      <c r="G26" s="247">
        <f t="shared" ref="G26:G72" si="1">IFERROR(E26/(B85-B137),"")</f>
        <v>0</v>
      </c>
      <c r="H26" s="245" t="s">
        <v>264</v>
      </c>
      <c r="J26" s="182"/>
      <c r="K26" s="182"/>
      <c r="L26" s="182"/>
      <c r="M26" s="182"/>
      <c r="N26" s="163"/>
      <c r="O26" s="259" t="str">
        <f>IF($O$24="Y",IFERROR(E26*$E$6*$O$16*'Emissions Factors'!B12,""),"")</f>
        <v/>
      </c>
      <c r="P26" s="259">
        <f>IF($P$24="Y",IFERROR(($E26*($E$5/(SUMIF($G$3:$G$14,"Y",$E$3:$E$14)))*('Emissions Factors'!$R$22*$P$16)/10^6)+($E26*($E$4/(SUMIF($G$3:$G$14,"Y",$E$3:$E$14)))*('Emissions Factors'!$R$22*$P$19)/10^6),""),"")</f>
        <v>0</v>
      </c>
      <c r="Q26" s="259"/>
      <c r="R26" s="245" t="s">
        <v>264</v>
      </c>
      <c r="T26" s="180" t="str">
        <f t="shared" ref="T26:T72" si="2">IF(AND(A26&gt;=$B$3,A26&lt;=$B$4),SUM(O26:R26),"")</f>
        <v/>
      </c>
      <c r="U26" s="180" t="str">
        <f t="shared" ref="U26:U72" si="3">IF(AND(A26&gt;=$B$3,A26&lt;=$B$4),SUM(J26:M26),"")</f>
        <v/>
      </c>
      <c r="V26" s="177"/>
      <c r="X26" s="180">
        <f t="shared" ref="X26:X72" si="4">SUM(O26:R26)</f>
        <v>0</v>
      </c>
      <c r="Y26" s="180">
        <f t="shared" ref="Y26:Y72" si="5">SUM(J26:M26)</f>
        <v>0</v>
      </c>
    </row>
    <row r="27" spans="1:26" ht="15.6" x14ac:dyDescent="0.3">
      <c r="A27" s="152">
        <v>2015</v>
      </c>
      <c r="B27" s="178">
        <f t="shared" si="0"/>
        <v>0</v>
      </c>
      <c r="C27" s="182">
        <f>IFERROR(B27-B26,"")</f>
        <v>0</v>
      </c>
      <c r="D27" s="183"/>
      <c r="E27" s="179">
        <f t="shared" ref="E27:E72" si="6">IFERROR(IF($F$17="Y",$E$17,$Y86)*(SUMIF($G$3:$G$14,"Y",$E$3:$E$14))*(B86-B138),0)</f>
        <v>0</v>
      </c>
      <c r="F27" s="183">
        <f>IFERROR(E27-E26,"")</f>
        <v>0</v>
      </c>
      <c r="G27" s="247">
        <f t="shared" si="1"/>
        <v>0</v>
      </c>
      <c r="H27" s="246"/>
      <c r="J27" s="182"/>
      <c r="K27" s="182"/>
      <c r="L27" s="182"/>
      <c r="M27" s="182"/>
      <c r="N27" s="163"/>
      <c r="O27" s="259" t="str">
        <f>IF($O$24="Y",IFERROR(E27*$E$6*$O$16*'Emissions Factors'!B12,""),"")</f>
        <v/>
      </c>
      <c r="P27" s="259">
        <f>IF($P$24="Y",IFERROR(($E27*($E$5/(SUMIF($G$3:$G$14,"Y",$E$3:$E$14)))*('Emissions Factors'!$R$22*$P$16)/10^6)+($E27*($E$4/(SUMIF($G$3:$G$14,"Y",$E$3:$E$14)))*('Emissions Factors'!$R$22*$P$19)/10^6),""),"")</f>
        <v>0</v>
      </c>
      <c r="Q27" s="259"/>
      <c r="R27" s="258"/>
      <c r="T27" s="180" t="str">
        <f t="shared" si="2"/>
        <v/>
      </c>
      <c r="U27" s="180" t="str">
        <f t="shared" si="3"/>
        <v/>
      </c>
      <c r="V27" s="177"/>
      <c r="X27" s="180">
        <f t="shared" si="4"/>
        <v>0</v>
      </c>
      <c r="Y27" s="180">
        <f t="shared" si="5"/>
        <v>0</v>
      </c>
    </row>
    <row r="28" spans="1:26" ht="15.6" x14ac:dyDescent="0.3">
      <c r="A28" s="152">
        <v>2016</v>
      </c>
      <c r="B28" s="178">
        <f t="shared" si="0"/>
        <v>0</v>
      </c>
      <c r="C28" s="182">
        <f t="shared" ref="C28:C72" si="7">IFERROR(B28-B27,"")</f>
        <v>0</v>
      </c>
      <c r="D28" s="183"/>
      <c r="E28" s="179">
        <f>IFERROR(IF($F$17="Y",$E$17,$Y87)*(SUMIF($G$3:$G$14,"Y",$E$3:$E$14))*(B87-B139),0)</f>
        <v>0</v>
      </c>
      <c r="F28" s="183">
        <f t="shared" ref="F28:F72" si="8">IFERROR(E28-E27,"")</f>
        <v>0</v>
      </c>
      <c r="G28" s="247">
        <f t="shared" si="1"/>
        <v>0</v>
      </c>
      <c r="H28" s="246"/>
      <c r="J28" s="182"/>
      <c r="K28" s="182"/>
      <c r="L28" s="182"/>
      <c r="M28" s="182"/>
      <c r="N28" s="163"/>
      <c r="O28" s="259" t="str">
        <f>IF($O$24="Y",IFERROR(E28*$E$6*$O$16*'Emissions Factors'!B13,""),"")</f>
        <v/>
      </c>
      <c r="P28" s="259">
        <f>IF($P$24="Y",IFERROR(($E28*($E$5/(SUMIF($G$3:$G$14,"Y",$E$3:$E$14)))*('Emissions Factors'!$R$22*$P$16)/10^6)+($E28*($E$4/(SUMIF($G$3:$G$14,"Y",$E$3:$E$14)))*('Emissions Factors'!$R$22*$P$19)/10^6),""),"")</f>
        <v>0</v>
      </c>
      <c r="Q28" s="259"/>
      <c r="R28" s="258"/>
      <c r="T28" s="180" t="str">
        <f t="shared" si="2"/>
        <v/>
      </c>
      <c r="U28" s="180" t="str">
        <f t="shared" si="3"/>
        <v/>
      </c>
      <c r="V28" s="177"/>
      <c r="X28" s="180">
        <f t="shared" si="4"/>
        <v>0</v>
      </c>
      <c r="Y28" s="180">
        <f t="shared" si="5"/>
        <v>0</v>
      </c>
    </row>
    <row r="29" spans="1:26" ht="15.6" x14ac:dyDescent="0.3">
      <c r="A29" s="152">
        <v>2017</v>
      </c>
      <c r="B29" s="178">
        <f t="shared" si="0"/>
        <v>0</v>
      </c>
      <c r="C29" s="182">
        <f>IFERROR(B29-B28,"")</f>
        <v>0</v>
      </c>
      <c r="D29" s="183"/>
      <c r="E29" s="179">
        <f t="shared" si="6"/>
        <v>0</v>
      </c>
      <c r="F29" s="183">
        <f>IFERROR(E29-E28,"")</f>
        <v>0</v>
      </c>
      <c r="G29" s="247">
        <f t="shared" si="1"/>
        <v>0</v>
      </c>
      <c r="H29" s="246"/>
      <c r="J29" s="182"/>
      <c r="K29" s="182"/>
      <c r="L29" s="182"/>
      <c r="M29" s="182"/>
      <c r="N29" s="163"/>
      <c r="O29" s="259" t="str">
        <f>IF($O$24="Y",IFERROR(E29*$E$6*$O$16*'Emissions Factors'!B14,""),"")</f>
        <v/>
      </c>
      <c r="P29" s="259">
        <f>IF($P$24="Y",IFERROR(($E29*($E$5/(SUMIF($G$3:$G$14,"Y",$E$3:$E$14)))*('Emissions Factors'!$R$22*$P$16)/10^6)+($E29*($E$4/(SUMIF($G$3:$G$14,"Y",$E$3:$E$14)))*('Emissions Factors'!$R$22*$P$19)/10^6),""),"")</f>
        <v>0</v>
      </c>
      <c r="Q29" s="259"/>
      <c r="R29" s="258"/>
      <c r="T29" s="180" t="str">
        <f t="shared" si="2"/>
        <v/>
      </c>
      <c r="U29" s="180" t="str">
        <f t="shared" si="3"/>
        <v/>
      </c>
      <c r="V29" s="177"/>
      <c r="X29" s="180">
        <f t="shared" si="4"/>
        <v>0</v>
      </c>
      <c r="Y29" s="180">
        <f t="shared" si="5"/>
        <v>0</v>
      </c>
    </row>
    <row r="30" spans="1:26" ht="15.6" x14ac:dyDescent="0.3">
      <c r="A30" s="152">
        <v>2018</v>
      </c>
      <c r="B30" s="178">
        <f t="shared" si="0"/>
        <v>0</v>
      </c>
      <c r="C30" s="182">
        <f t="shared" si="7"/>
        <v>0</v>
      </c>
      <c r="D30" s="183"/>
      <c r="E30" s="179">
        <f>IFERROR(IF($F$17="Y",$E$17,$Y89)*(SUMIF($G$3:$G$14,"Y",$E$3:$E$14))*(B89-B141),0)</f>
        <v>0</v>
      </c>
      <c r="F30" s="183">
        <f t="shared" si="8"/>
        <v>0</v>
      </c>
      <c r="G30" s="247">
        <f t="shared" si="1"/>
        <v>0</v>
      </c>
      <c r="H30" s="246"/>
      <c r="J30" s="182"/>
      <c r="K30" s="182"/>
      <c r="L30" s="182"/>
      <c r="M30" s="182"/>
      <c r="N30" s="163"/>
      <c r="O30" s="259" t="str">
        <f>IF($O$24="Y",IFERROR(E30*$E$6*$O$16*'Emissions Factors'!B15,""),"")</f>
        <v/>
      </c>
      <c r="P30" s="259">
        <f>IF($P$24="Y",IFERROR(($E30*($E$5/(SUMIF($G$3:$G$14,"Y",$E$3:$E$14)))*('Emissions Factors'!$R$22*$P$16)/10^6)+($E30*($E$4/(SUMIF($G$3:$G$14,"Y",$E$3:$E$14)))*('Emissions Factors'!$R$22*$P$19)/10^6),""),"")</f>
        <v>0</v>
      </c>
      <c r="Q30" s="259"/>
      <c r="R30" s="258"/>
      <c r="T30" s="180" t="str">
        <f t="shared" si="2"/>
        <v/>
      </c>
      <c r="U30" s="180" t="str">
        <f t="shared" si="3"/>
        <v/>
      </c>
      <c r="V30" s="177"/>
      <c r="X30" s="180">
        <f t="shared" si="4"/>
        <v>0</v>
      </c>
      <c r="Y30" s="180">
        <f t="shared" si="5"/>
        <v>0</v>
      </c>
    </row>
    <row r="31" spans="1:26" ht="15.6" x14ac:dyDescent="0.3">
      <c r="A31" s="152">
        <v>2019</v>
      </c>
      <c r="B31" s="178">
        <f t="shared" si="0"/>
        <v>0</v>
      </c>
      <c r="C31" s="182">
        <f t="shared" si="7"/>
        <v>0</v>
      </c>
      <c r="D31" s="183"/>
      <c r="E31" s="179">
        <f t="shared" si="6"/>
        <v>0</v>
      </c>
      <c r="F31" s="183">
        <f t="shared" si="8"/>
        <v>0</v>
      </c>
      <c r="G31" s="247">
        <f t="shared" si="1"/>
        <v>0</v>
      </c>
      <c r="H31" s="246"/>
      <c r="J31" s="182"/>
      <c r="K31" s="182"/>
      <c r="L31" s="182"/>
      <c r="M31" s="182"/>
      <c r="N31" s="163"/>
      <c r="O31" s="259" t="str">
        <f>IF($O$24="Y",IFERROR(E31*$E$6*$O$16*'Emissions Factors'!B16,""),"")</f>
        <v/>
      </c>
      <c r="P31" s="259">
        <f>IF($P$24="Y",IFERROR(($E31*($E$5/(SUMIF($G$3:$G$14,"Y",$E$3:$E$14)))*('Emissions Factors'!$R$22*$P$16)/10^6)+($E31*($E$4/(SUMIF($G$3:$G$14,"Y",$E$3:$E$14)))*('Emissions Factors'!$R$22*$P$19)/10^6),""),"")</f>
        <v>0</v>
      </c>
      <c r="Q31" s="259"/>
      <c r="R31" s="258"/>
      <c r="T31" s="180" t="str">
        <f t="shared" si="2"/>
        <v/>
      </c>
      <c r="U31" s="180" t="str">
        <f t="shared" si="3"/>
        <v/>
      </c>
      <c r="V31" s="177"/>
      <c r="X31" s="180">
        <f t="shared" si="4"/>
        <v>0</v>
      </c>
      <c r="Y31" s="180">
        <f t="shared" si="5"/>
        <v>0</v>
      </c>
    </row>
    <row r="32" spans="1:26" ht="15.6" x14ac:dyDescent="0.3">
      <c r="A32" s="152">
        <v>2020</v>
      </c>
      <c r="B32" s="178">
        <f t="shared" si="0"/>
        <v>0</v>
      </c>
      <c r="C32" s="182">
        <f t="shared" si="7"/>
        <v>0</v>
      </c>
      <c r="D32" s="183"/>
      <c r="E32" s="179">
        <f t="shared" si="6"/>
        <v>0</v>
      </c>
      <c r="F32" s="183">
        <f t="shared" si="8"/>
        <v>0</v>
      </c>
      <c r="G32" s="247">
        <f t="shared" si="1"/>
        <v>0</v>
      </c>
      <c r="H32" s="246"/>
      <c r="J32" s="182"/>
      <c r="K32" s="182"/>
      <c r="L32" s="182"/>
      <c r="M32" s="182"/>
      <c r="N32" s="163"/>
      <c r="O32" s="259" t="str">
        <f>IF($O$24="Y",IFERROR(E32*$E$6*$O$16*'Emissions Factors'!B17,""),"")</f>
        <v/>
      </c>
      <c r="P32" s="259">
        <f>IF($P$24="Y",IFERROR(($E32*($E$5/(SUMIF($G$3:$G$14,"Y",$E$3:$E$14)))*('Emissions Factors'!$R$22*$P$16)/10^6)+($E32*($E$4/(SUMIF($G$3:$G$14,"Y",$E$3:$E$14)))*('Emissions Factors'!$R$22*$P$19)/10^6),""),"")</f>
        <v>0</v>
      </c>
      <c r="Q32" s="259"/>
      <c r="R32" s="258"/>
      <c r="T32" s="180">
        <f t="shared" si="2"/>
        <v>0</v>
      </c>
      <c r="U32" s="180">
        <f t="shared" si="3"/>
        <v>0</v>
      </c>
      <c r="V32" s="177"/>
      <c r="X32" s="180">
        <f t="shared" si="4"/>
        <v>0</v>
      </c>
      <c r="Y32" s="180">
        <f t="shared" si="5"/>
        <v>0</v>
      </c>
    </row>
    <row r="33" spans="1:25" ht="15.6" x14ac:dyDescent="0.3">
      <c r="A33" s="152">
        <v>2021</v>
      </c>
      <c r="B33" s="178">
        <f t="shared" si="0"/>
        <v>0</v>
      </c>
      <c r="C33" s="182">
        <f t="shared" si="7"/>
        <v>0</v>
      </c>
      <c r="D33" s="183"/>
      <c r="E33" s="179">
        <f t="shared" si="6"/>
        <v>10580.566681112634</v>
      </c>
      <c r="F33" s="183">
        <f t="shared" si="8"/>
        <v>10580.566681112634</v>
      </c>
      <c r="G33" s="247">
        <f t="shared" si="1"/>
        <v>6.7276099843469078E-2</v>
      </c>
      <c r="H33" s="246"/>
      <c r="J33" s="182"/>
      <c r="K33" s="182"/>
      <c r="L33" s="182"/>
      <c r="M33" s="182"/>
      <c r="N33" s="163"/>
      <c r="O33" s="259" t="str">
        <f>IF($O$24="Y",IFERROR(E33*$E$6*$O$16*'Emissions Factors'!B18,""),"")</f>
        <v/>
      </c>
      <c r="P33" s="259">
        <f>IF($P$24="Y",IFERROR(($E33*($E$5/(SUMIF($G$3:$G$14,"Y",$E$3:$E$14)))*('Emissions Factors'!$R$22*$P$16)/10^6)+($E33*($E$4/(SUMIF($G$3:$G$14,"Y",$E$3:$E$14)))*('Emissions Factors'!$R$22*$P$19)/10^6),""),"")</f>
        <v>0.83389386844395441</v>
      </c>
      <c r="Q33" s="259"/>
      <c r="R33" s="258"/>
      <c r="T33" s="180">
        <f t="shared" si="2"/>
        <v>0.83389386844395441</v>
      </c>
      <c r="U33" s="180">
        <f t="shared" si="3"/>
        <v>0</v>
      </c>
      <c r="V33" s="177"/>
      <c r="X33" s="180">
        <f t="shared" si="4"/>
        <v>0.83389386844395441</v>
      </c>
      <c r="Y33" s="180">
        <f t="shared" si="5"/>
        <v>0</v>
      </c>
    </row>
    <row r="34" spans="1:25" ht="15.6" x14ac:dyDescent="0.3">
      <c r="A34" s="152">
        <v>2022</v>
      </c>
      <c r="B34" s="178">
        <f t="shared" si="0"/>
        <v>0</v>
      </c>
      <c r="C34" s="182">
        <f t="shared" si="7"/>
        <v>0</v>
      </c>
      <c r="D34" s="183"/>
      <c r="E34" s="179">
        <f t="shared" si="6"/>
        <v>23401.223586870739</v>
      </c>
      <c r="F34" s="183">
        <f t="shared" si="8"/>
        <v>12820.656905758105</v>
      </c>
      <c r="G34" s="247">
        <f>IFERROR(E34/(B93-B145),"")</f>
        <v>6.5549616666517679E-2</v>
      </c>
      <c r="H34" s="246"/>
      <c r="J34" s="182"/>
      <c r="K34" s="182"/>
      <c r="L34" s="182"/>
      <c r="M34" s="182"/>
      <c r="N34" s="163"/>
      <c r="O34" s="259" t="str">
        <f>IF($O$24="Y",IFERROR(E34*$E$6*$O$16*'Emissions Factors'!B19,""),"")</f>
        <v/>
      </c>
      <c r="P34" s="259">
        <f>IF($P$24="Y",IFERROR(($E34*($E$5/(SUMIF($G$3:$G$14,"Y",$E$3:$E$14)))*('Emissions Factors'!$R$22*$P$16)/10^6)+($E34*($E$4/(SUMIF($G$3:$G$14,"Y",$E$3:$E$14)))*('Emissions Factors'!$R$22*$P$19)/10^6),""),"")</f>
        <v>1.8443375909167732</v>
      </c>
      <c r="Q34" s="259"/>
      <c r="R34" s="258"/>
      <c r="T34" s="180">
        <f t="shared" si="2"/>
        <v>1.8443375909167732</v>
      </c>
      <c r="U34" s="180">
        <f t="shared" si="3"/>
        <v>0</v>
      </c>
      <c r="V34" s="177"/>
      <c r="X34" s="180">
        <f t="shared" si="4"/>
        <v>1.8443375909167732</v>
      </c>
      <c r="Y34" s="180">
        <f t="shared" si="5"/>
        <v>0</v>
      </c>
    </row>
    <row r="35" spans="1:25" ht="15.6" x14ac:dyDescent="0.3">
      <c r="A35" s="152">
        <v>2023</v>
      </c>
      <c r="B35" s="178">
        <f t="shared" si="0"/>
        <v>0</v>
      </c>
      <c r="C35" s="182">
        <f t="shared" si="7"/>
        <v>0</v>
      </c>
      <c r="D35" s="183"/>
      <c r="E35" s="179">
        <f t="shared" si="6"/>
        <v>38501.519846203882</v>
      </c>
      <c r="F35" s="183">
        <f t="shared" si="8"/>
        <v>15100.296259333143</v>
      </c>
      <c r="G35" s="247">
        <f t="shared" si="1"/>
        <v>6.4784838552170015E-2</v>
      </c>
      <c r="H35" s="246"/>
      <c r="J35" s="182"/>
      <c r="K35" s="182"/>
      <c r="L35" s="182"/>
      <c r="M35" s="182"/>
      <c r="N35" s="163"/>
      <c r="O35" s="259" t="str">
        <f>IF($O$24="Y",IFERROR(E35*$E$6*$O$16*'Emissions Factors'!B20,""),"")</f>
        <v/>
      </c>
      <c r="P35" s="259">
        <f>IF($P$24="Y",IFERROR(($E35*($E$5/(SUMIF($G$3:$G$14,"Y",$E$3:$E$14)))*('Emissions Factors'!$R$22*$P$16)/10^6)+($E35*($E$4/(SUMIF($G$3:$G$14,"Y",$E$3:$E$14)))*('Emissions Factors'!$R$22*$P$19)/10^6),""),"")</f>
        <v>3.0344481815738074</v>
      </c>
      <c r="Q35" s="259"/>
      <c r="R35" s="258"/>
      <c r="T35" s="180">
        <f t="shared" si="2"/>
        <v>3.0344481815738074</v>
      </c>
      <c r="U35" s="180">
        <f t="shared" si="3"/>
        <v>0</v>
      </c>
      <c r="V35" s="177"/>
      <c r="X35" s="180">
        <f t="shared" si="4"/>
        <v>3.0344481815738074</v>
      </c>
      <c r="Y35" s="180">
        <f t="shared" si="5"/>
        <v>0</v>
      </c>
    </row>
    <row r="36" spans="1:25" ht="15.6" x14ac:dyDescent="0.3">
      <c r="A36" s="152">
        <v>2024</v>
      </c>
      <c r="B36" s="178">
        <f t="shared" si="0"/>
        <v>0</v>
      </c>
      <c r="C36" s="182">
        <f t="shared" si="7"/>
        <v>0</v>
      </c>
      <c r="D36" s="183"/>
      <c r="E36" s="179">
        <f t="shared" si="6"/>
        <v>55972.903641892051</v>
      </c>
      <c r="F36" s="183">
        <f t="shared" si="8"/>
        <v>17471.383795688169</v>
      </c>
      <c r="G36" s="247">
        <f t="shared" si="1"/>
        <v>6.4547471811070553E-2</v>
      </c>
      <c r="H36" s="246"/>
      <c r="J36" s="182"/>
      <c r="K36" s="182"/>
      <c r="L36" s="182"/>
      <c r="M36" s="182"/>
      <c r="N36" s="163"/>
      <c r="O36" s="259" t="str">
        <f>IF($O$24="Y",IFERROR(E36*$E$6*$O$16*'Emissions Factors'!B21,""),"")</f>
        <v/>
      </c>
      <c r="P36" s="259">
        <f>IF($P$24="Y",IFERROR(($E36*($E$5/(SUMIF($G$3:$G$14,"Y",$E$3:$E$14)))*('Emissions Factors'!$R$22*$P$16)/10^6)+($E36*($E$4/(SUMIF($G$3:$G$14,"Y",$E$3:$E$14)))*('Emissions Factors'!$R$22*$P$19)/10^6),""),"")</f>
        <v>4.4114330123072163</v>
      </c>
      <c r="Q36" s="259"/>
      <c r="R36" s="258"/>
      <c r="T36" s="180">
        <f t="shared" si="2"/>
        <v>4.4114330123072163</v>
      </c>
      <c r="U36" s="180">
        <f t="shared" si="3"/>
        <v>0</v>
      </c>
      <c r="V36" s="177"/>
      <c r="X36" s="180">
        <f t="shared" si="4"/>
        <v>4.4114330123072163</v>
      </c>
      <c r="Y36" s="180">
        <f t="shared" si="5"/>
        <v>0</v>
      </c>
    </row>
    <row r="37" spans="1:25" ht="15.6" x14ac:dyDescent="0.3">
      <c r="A37" s="152">
        <v>2025</v>
      </c>
      <c r="B37" s="178">
        <f t="shared" si="0"/>
        <v>0</v>
      </c>
      <c r="C37" s="182">
        <f t="shared" si="7"/>
        <v>0</v>
      </c>
      <c r="D37" s="183"/>
      <c r="E37" s="179">
        <f t="shared" si="6"/>
        <v>75737.081825826594</v>
      </c>
      <c r="F37" s="183">
        <f t="shared" si="8"/>
        <v>19764.178183934542</v>
      </c>
      <c r="G37" s="247">
        <f t="shared" si="1"/>
        <v>6.4495107397767801E-2</v>
      </c>
      <c r="H37" s="246"/>
      <c r="J37" s="182"/>
      <c r="K37" s="182"/>
      <c r="L37" s="182"/>
      <c r="M37" s="182"/>
      <c r="N37" s="163"/>
      <c r="O37" s="259" t="str">
        <f>IF($O$24="Y",IFERROR(E37*$E$6*$O$16*'Emissions Factors'!B22,""),"")</f>
        <v/>
      </c>
      <c r="P37" s="259">
        <f>IF($P$24="Y",IFERROR(($E37*($E$5/(SUMIF($G$3:$G$14,"Y",$E$3:$E$14)))*('Emissions Factors'!$R$22*$P$16)/10^6)+($E37*($E$4/(SUMIF($G$3:$G$14,"Y",$E$3:$E$14)))*('Emissions Factors'!$R$22*$P$19)/10^6),""),"")</f>
        <v>5.9691215085044398</v>
      </c>
      <c r="Q37" s="259"/>
      <c r="R37" s="258"/>
      <c r="T37" s="180">
        <f t="shared" si="2"/>
        <v>5.9691215085044398</v>
      </c>
      <c r="U37" s="180">
        <f t="shared" si="3"/>
        <v>0</v>
      </c>
      <c r="V37" s="177"/>
      <c r="X37" s="180">
        <f t="shared" si="4"/>
        <v>5.9691215085044398</v>
      </c>
      <c r="Y37" s="180">
        <f t="shared" si="5"/>
        <v>0</v>
      </c>
    </row>
    <row r="38" spans="1:25" ht="15.6" x14ac:dyDescent="0.3">
      <c r="A38" s="152">
        <v>2026</v>
      </c>
      <c r="B38" s="178">
        <f t="shared" si="0"/>
        <v>0</v>
      </c>
      <c r="C38" s="182">
        <f t="shared" si="7"/>
        <v>0</v>
      </c>
      <c r="D38" s="183"/>
      <c r="E38" s="179">
        <f t="shared" si="6"/>
        <v>98468.780423877426</v>
      </c>
      <c r="F38" s="183">
        <f t="shared" si="8"/>
        <v>22731.698598050833</v>
      </c>
      <c r="G38" s="247">
        <f t="shared" si="1"/>
        <v>6.5019628758834616E-2</v>
      </c>
      <c r="H38" s="246"/>
      <c r="J38" s="182"/>
      <c r="K38" s="182"/>
      <c r="L38" s="182"/>
      <c r="M38" s="182"/>
      <c r="N38" s="163"/>
      <c r="O38" s="259" t="str">
        <f>IF($O$24="Y",IFERROR(E38*$E$6*$O$16*'Emissions Factors'!B23,""),"")</f>
        <v/>
      </c>
      <c r="P38" s="259">
        <f>IF($P$24="Y",IFERROR(($E38*($E$5/(SUMIF($G$3:$G$14,"Y",$E$3:$E$14)))*('Emissions Factors'!$R$22*$P$16)/10^6)+($E38*($E$4/(SUMIF($G$3:$G$14,"Y",$E$3:$E$14)))*('Emissions Factors'!$R$22*$P$19)/10^6),""),"")</f>
        <v>7.7606913413441729</v>
      </c>
      <c r="Q38" s="259"/>
      <c r="R38" s="258"/>
      <c r="T38" s="180">
        <f t="shared" si="2"/>
        <v>7.7606913413441729</v>
      </c>
      <c r="U38" s="180">
        <f t="shared" si="3"/>
        <v>0</v>
      </c>
      <c r="V38" s="177"/>
      <c r="X38" s="180">
        <f t="shared" si="4"/>
        <v>7.7606913413441729</v>
      </c>
      <c r="Y38" s="180">
        <f t="shared" si="5"/>
        <v>0</v>
      </c>
    </row>
    <row r="39" spans="1:25" ht="15.6" x14ac:dyDescent="0.3">
      <c r="A39" s="152">
        <v>2027</v>
      </c>
      <c r="B39" s="178">
        <f t="shared" si="0"/>
        <v>0</v>
      </c>
      <c r="C39" s="182">
        <f t="shared" si="7"/>
        <v>0</v>
      </c>
      <c r="D39" s="183"/>
      <c r="E39" s="179">
        <f t="shared" si="6"/>
        <v>123770.07597992553</v>
      </c>
      <c r="F39" s="183">
        <f t="shared" si="8"/>
        <v>25301.295556048106</v>
      </c>
      <c r="G39" s="247">
        <f t="shared" si="1"/>
        <v>6.5607920786174528E-2</v>
      </c>
      <c r="H39" s="246"/>
      <c r="J39" s="182"/>
      <c r="K39" s="182"/>
      <c r="L39" s="182"/>
      <c r="M39" s="182"/>
      <c r="N39" s="163"/>
      <c r="O39" s="259" t="str">
        <f>IF($O$24="Y",IFERROR(E39*$E$6*$O$16*'Emissions Factors'!B24,""),"")</f>
        <v/>
      </c>
      <c r="P39" s="259">
        <f>IF($P$24="Y",IFERROR(($E39*($E$5/(SUMIF($G$3:$G$14,"Y",$E$3:$E$14)))*('Emissions Factors'!$R$22*$P$16)/10^6)+($E39*($E$4/(SUMIF($G$3:$G$14,"Y",$E$3:$E$14)))*('Emissions Factors'!$R$22*$P$19)/10^6),""),"")</f>
        <v>9.7547806811467268</v>
      </c>
      <c r="Q39" s="259"/>
      <c r="R39" s="258"/>
      <c r="T39" s="180">
        <f t="shared" si="2"/>
        <v>9.7547806811467268</v>
      </c>
      <c r="U39" s="180">
        <f t="shared" si="3"/>
        <v>0</v>
      </c>
      <c r="V39" s="177"/>
      <c r="X39" s="180">
        <f t="shared" si="4"/>
        <v>9.7547806811467268</v>
      </c>
      <c r="Y39" s="180">
        <f t="shared" si="5"/>
        <v>0</v>
      </c>
    </row>
    <row r="40" spans="1:25" ht="15.6" x14ac:dyDescent="0.3">
      <c r="A40" s="152">
        <v>2028</v>
      </c>
      <c r="B40" s="178">
        <f t="shared" si="0"/>
        <v>0</v>
      </c>
      <c r="C40" s="182">
        <f t="shared" si="7"/>
        <v>0</v>
      </c>
      <c r="D40" s="183"/>
      <c r="E40" s="179">
        <f t="shared" si="6"/>
        <v>151889.56201626957</v>
      </c>
      <c r="F40" s="183">
        <f t="shared" si="8"/>
        <v>28119.486036344038</v>
      </c>
      <c r="G40" s="247">
        <f t="shared" si="1"/>
        <v>6.6298200732626142E-2</v>
      </c>
      <c r="H40" s="246"/>
      <c r="J40" s="182"/>
      <c r="K40" s="182"/>
      <c r="L40" s="182"/>
      <c r="M40" s="182"/>
      <c r="N40" s="163"/>
      <c r="O40" s="259" t="str">
        <f>IF($O$24="Y",IFERROR(E40*$E$6*$O$16*'Emissions Factors'!B25,""),"")</f>
        <v/>
      </c>
      <c r="P40" s="259">
        <f>IF($P$24="Y",IFERROR(($E40*($E$5/(SUMIF($G$3:$G$14,"Y",$E$3:$E$14)))*('Emissions Factors'!$R$22*$P$16)/10^6)+($E40*($E$4/(SUMIF($G$3:$G$14,"Y",$E$3:$E$14)))*('Emissions Factors'!$R$22*$P$19)/10^6),""),"")</f>
        <v>11.970982109314171</v>
      </c>
      <c r="Q40" s="259"/>
      <c r="R40" s="258"/>
      <c r="T40" s="180">
        <f t="shared" si="2"/>
        <v>11.970982109314171</v>
      </c>
      <c r="U40" s="180">
        <f t="shared" si="3"/>
        <v>0</v>
      </c>
      <c r="V40" s="177"/>
      <c r="X40" s="180">
        <f t="shared" si="4"/>
        <v>11.970982109314171</v>
      </c>
      <c r="Y40" s="180">
        <f t="shared" si="5"/>
        <v>0</v>
      </c>
    </row>
    <row r="41" spans="1:25" ht="15.6" x14ac:dyDescent="0.3">
      <c r="A41" s="152">
        <v>2029</v>
      </c>
      <c r="B41" s="178">
        <f t="shared" si="0"/>
        <v>0</v>
      </c>
      <c r="C41" s="182">
        <f t="shared" si="7"/>
        <v>0</v>
      </c>
      <c r="D41" s="183"/>
      <c r="E41" s="179">
        <f t="shared" si="6"/>
        <v>182865.8223867226</v>
      </c>
      <c r="F41" s="183">
        <f t="shared" si="8"/>
        <v>30976.260370453034</v>
      </c>
      <c r="G41" s="247">
        <f t="shared" si="1"/>
        <v>6.7007011049854528E-2</v>
      </c>
      <c r="H41" s="246"/>
      <c r="J41" s="182"/>
      <c r="K41" s="182"/>
      <c r="L41" s="182"/>
      <c r="M41" s="182"/>
      <c r="N41" s="163"/>
      <c r="O41" s="259" t="str">
        <f>IF($O$24="Y",IFERROR(E41*$E$6*$O$16*'Emissions Factors'!B26,""),"")</f>
        <v/>
      </c>
      <c r="P41" s="259">
        <f>IF($P$24="Y",IFERROR(($E41*($E$5/(SUMIF($G$3:$G$14,"Y",$E$3:$E$14)))*('Emissions Factors'!$R$22*$P$16)/10^6)+($E41*($E$4/(SUMIF($G$3:$G$14,"Y",$E$3:$E$14)))*('Emissions Factors'!$R$22*$P$19)/10^6),""),"")</f>
        <v>14.412336563074668</v>
      </c>
      <c r="Q41" s="259"/>
      <c r="R41" s="258"/>
      <c r="T41" s="180">
        <f t="shared" si="2"/>
        <v>14.412336563074668</v>
      </c>
      <c r="U41" s="180">
        <f t="shared" si="3"/>
        <v>0</v>
      </c>
      <c r="V41" s="177"/>
      <c r="X41" s="180">
        <f t="shared" si="4"/>
        <v>14.412336563074668</v>
      </c>
      <c r="Y41" s="180">
        <f t="shared" si="5"/>
        <v>0</v>
      </c>
    </row>
    <row r="42" spans="1:25" ht="15.6" x14ac:dyDescent="0.3">
      <c r="A42" s="152">
        <v>2030</v>
      </c>
      <c r="B42" s="178">
        <f t="shared" si="0"/>
        <v>0</v>
      </c>
      <c r="C42" s="182">
        <f t="shared" si="7"/>
        <v>0</v>
      </c>
      <c r="D42" s="183"/>
      <c r="E42" s="179">
        <f t="shared" si="6"/>
        <v>216777.44553369065</v>
      </c>
      <c r="F42" s="183">
        <f t="shared" si="8"/>
        <v>33911.62314696805</v>
      </c>
      <c r="G42" s="247">
        <f t="shared" si="1"/>
        <v>6.769940840964872E-2</v>
      </c>
      <c r="H42" s="246"/>
      <c r="J42" s="182"/>
      <c r="K42" s="182"/>
      <c r="L42" s="182"/>
      <c r="M42" s="182"/>
      <c r="N42" s="163"/>
      <c r="O42" s="259" t="str">
        <f>IF($O$24="Y",IFERROR(E42*$E$6*$O$16*'Emissions Factors'!B27,""),"")</f>
        <v/>
      </c>
      <c r="P42" s="259">
        <f>IF($P$24="Y",IFERROR(($E42*($E$5/(SUMIF($G$3:$G$14,"Y",$E$3:$E$14)))*('Emissions Factors'!$R$22*$P$16)/10^6)+($E42*($E$4/(SUMIF($G$3:$G$14,"Y",$E$3:$E$14)))*('Emissions Factors'!$R$22*$P$19)/10^6),""),"")</f>
        <v>17.085037890284205</v>
      </c>
      <c r="Q42" s="259"/>
      <c r="R42" s="258"/>
      <c r="T42" s="180">
        <f t="shared" si="2"/>
        <v>17.085037890284205</v>
      </c>
      <c r="U42" s="180">
        <f t="shared" si="3"/>
        <v>0</v>
      </c>
      <c r="V42" s="177"/>
      <c r="X42" s="180">
        <f t="shared" si="4"/>
        <v>17.085037890284205</v>
      </c>
      <c r="Y42" s="180">
        <f t="shared" si="5"/>
        <v>0</v>
      </c>
    </row>
    <row r="43" spans="1:25" ht="15.6" x14ac:dyDescent="0.3">
      <c r="A43" s="152">
        <v>2031</v>
      </c>
      <c r="B43" s="178">
        <f t="shared" si="0"/>
        <v>0</v>
      </c>
      <c r="C43" s="182">
        <f t="shared" si="7"/>
        <v>0</v>
      </c>
      <c r="D43" s="183"/>
      <c r="E43" s="179">
        <f t="shared" si="6"/>
        <v>253771.88381719295</v>
      </c>
      <c r="F43" s="183">
        <f t="shared" si="8"/>
        <v>36994.438283502299</v>
      </c>
      <c r="G43" s="247">
        <f t="shared" si="1"/>
        <v>6.8384808651073617E-2</v>
      </c>
      <c r="H43" s="246"/>
      <c r="J43" s="182"/>
      <c r="K43" s="182"/>
      <c r="L43" s="182"/>
      <c r="M43" s="182"/>
      <c r="N43" s="163"/>
      <c r="O43" s="259" t="str">
        <f>IF($O$24="Y",IFERROR(E43*$E$6*$O$16*'Emissions Factors'!B28,""),"")</f>
        <v/>
      </c>
      <c r="P43" s="259">
        <f>IF($P$24="Y",IFERROR(($E43*($E$5/(SUMIF($G$3:$G$14,"Y",$E$3:$E$14)))*('Emissions Factors'!$R$22*$P$16)/10^6)+($E43*($E$4/(SUMIF($G$3:$G$14,"Y",$E$3:$E$14)))*('Emissions Factors'!$R$22*$P$19)/10^6),""),"")</f>
        <v>20.000707360635939</v>
      </c>
      <c r="Q43" s="259"/>
      <c r="R43" s="258"/>
      <c r="T43" s="180">
        <f t="shared" si="2"/>
        <v>20.000707360635939</v>
      </c>
      <c r="U43" s="180">
        <f t="shared" si="3"/>
        <v>0</v>
      </c>
      <c r="V43" s="177"/>
      <c r="X43" s="180">
        <f t="shared" si="4"/>
        <v>20.000707360635939</v>
      </c>
      <c r="Y43" s="180">
        <f t="shared" si="5"/>
        <v>0</v>
      </c>
    </row>
    <row r="44" spans="1:25" ht="15.6" x14ac:dyDescent="0.3">
      <c r="A44" s="152">
        <v>2032</v>
      </c>
      <c r="B44" s="178">
        <f t="shared" si="0"/>
        <v>0</v>
      </c>
      <c r="C44" s="182">
        <f t="shared" si="7"/>
        <v>0</v>
      </c>
      <c r="D44" s="183"/>
      <c r="E44" s="179">
        <f t="shared" si="6"/>
        <v>293910.02989538631</v>
      </c>
      <c r="F44" s="183">
        <f t="shared" si="8"/>
        <v>40138.146078193357</v>
      </c>
      <c r="G44" s="247">
        <f t="shared" si="1"/>
        <v>6.9082051396489721E-2</v>
      </c>
      <c r="H44" s="246"/>
      <c r="J44" s="182"/>
      <c r="K44" s="182"/>
      <c r="L44" s="182"/>
      <c r="M44" s="182"/>
      <c r="N44" s="163"/>
      <c r="O44" s="259" t="str">
        <f>IF($O$24="Y",IFERROR(E44*$E$6*$O$16*'Emissions Factors'!B29,""),"")</f>
        <v/>
      </c>
      <c r="P44" s="259">
        <f>IF($P$24="Y",IFERROR(($E44*($E$5/(SUMIF($G$3:$G$14,"Y",$E$3:$E$14)))*('Emissions Factors'!$R$22*$P$16)/10^6)+($E44*($E$4/(SUMIF($G$3:$G$14,"Y",$E$3:$E$14)))*('Emissions Factors'!$R$22*$P$19)/10^6),""),"")</f>
        <v>23.164144151319576</v>
      </c>
      <c r="Q44" s="259"/>
      <c r="R44" s="258"/>
      <c r="T44" s="180">
        <f t="shared" si="2"/>
        <v>23.164144151319576</v>
      </c>
      <c r="U44" s="180">
        <f t="shared" si="3"/>
        <v>0</v>
      </c>
      <c r="V44" s="177"/>
      <c r="X44" s="180">
        <f t="shared" si="4"/>
        <v>23.164144151319576</v>
      </c>
      <c r="Y44" s="180">
        <f t="shared" si="5"/>
        <v>0</v>
      </c>
    </row>
    <row r="45" spans="1:25" ht="15.6" x14ac:dyDescent="0.3">
      <c r="A45" s="152">
        <v>2033</v>
      </c>
      <c r="B45" s="178">
        <f t="shared" si="0"/>
        <v>0</v>
      </c>
      <c r="C45" s="182">
        <f t="shared" si="7"/>
        <v>0</v>
      </c>
      <c r="D45" s="183"/>
      <c r="E45" s="179">
        <f t="shared" si="6"/>
        <v>336967.64603723638</v>
      </c>
      <c r="F45" s="183">
        <f t="shared" si="8"/>
        <v>43057.616141850071</v>
      </c>
      <c r="G45" s="247">
        <f t="shared" si="1"/>
        <v>6.9794637010284988E-2</v>
      </c>
      <c r="H45" s="246"/>
      <c r="J45" s="182"/>
      <c r="K45" s="182"/>
      <c r="L45" s="182"/>
      <c r="M45" s="182"/>
      <c r="N45" s="163"/>
      <c r="O45" s="259" t="str">
        <f>IF($O$24="Y",IFERROR(E45*$E$6*$O$16*'Emissions Factors'!B30,""),"")</f>
        <v/>
      </c>
      <c r="P45" s="259">
        <f>IF($P$24="Y",IFERROR(($E45*($E$5/(SUMIF($G$3:$G$14,"Y",$E$3:$E$14)))*('Emissions Factors'!$R$22*$P$16)/10^6)+($E45*($E$4/(SUMIF($G$3:$G$14,"Y",$E$3:$E$14)))*('Emissions Factors'!$R$22*$P$19)/10^6),""),"")</f>
        <v>26.557675251558003</v>
      </c>
      <c r="Q45" s="259"/>
      <c r="R45" s="258"/>
      <c r="T45" s="180">
        <f t="shared" si="2"/>
        <v>26.557675251558003</v>
      </c>
      <c r="U45" s="180">
        <f t="shared" si="3"/>
        <v>0</v>
      </c>
      <c r="V45" s="177"/>
      <c r="X45" s="180">
        <f t="shared" si="4"/>
        <v>26.557675251558003</v>
      </c>
      <c r="Y45" s="180">
        <f t="shared" si="5"/>
        <v>0</v>
      </c>
    </row>
    <row r="46" spans="1:25" ht="15.6" x14ac:dyDescent="0.3">
      <c r="A46" s="152">
        <v>2034</v>
      </c>
      <c r="B46" s="178">
        <f t="shared" si="0"/>
        <v>0</v>
      </c>
      <c r="C46" s="182">
        <f t="shared" si="7"/>
        <v>0</v>
      </c>
      <c r="D46" s="183"/>
      <c r="E46" s="179">
        <f t="shared" si="6"/>
        <v>382577.55064306094</v>
      </c>
      <c r="F46" s="183">
        <f t="shared" si="8"/>
        <v>45609.904605824559</v>
      </c>
      <c r="G46" s="247">
        <f t="shared" si="1"/>
        <v>7.05252506890897E-2</v>
      </c>
      <c r="H46" s="246"/>
      <c r="J46" s="182"/>
      <c r="K46" s="182"/>
      <c r="L46" s="182"/>
      <c r="M46" s="182"/>
      <c r="N46" s="163"/>
      <c r="O46" s="259" t="str">
        <f>IF($O$24="Y",IFERROR(E46*$E$6*$O$16*'Emissions Factors'!B31,""),"")</f>
        <v/>
      </c>
      <c r="P46" s="259">
        <f>IF($P$24="Y",IFERROR(($E46*($E$5/(SUMIF($G$3:$G$14,"Y",$E$3:$E$14)))*('Emissions Factors'!$R$22*$P$16)/10^6)+($E46*($E$4/(SUMIF($G$3:$G$14,"Y",$E$3:$E$14)))*('Emissions Factors'!$R$22*$P$19)/10^6),""),"")</f>
        <v>30.152361711878221</v>
      </c>
      <c r="Q46" s="259"/>
      <c r="R46" s="258"/>
      <c r="T46" s="180">
        <f t="shared" si="2"/>
        <v>30.152361711878221</v>
      </c>
      <c r="U46" s="180">
        <f t="shared" si="3"/>
        <v>0</v>
      </c>
      <c r="V46" s="177"/>
      <c r="X46" s="180">
        <f t="shared" si="4"/>
        <v>30.152361711878221</v>
      </c>
      <c r="Y46" s="180">
        <f t="shared" si="5"/>
        <v>0</v>
      </c>
    </row>
    <row r="47" spans="1:25" ht="15.6" x14ac:dyDescent="0.3">
      <c r="A47" s="152">
        <v>2035</v>
      </c>
      <c r="B47" s="178">
        <f t="shared" si="0"/>
        <v>0</v>
      </c>
      <c r="C47" s="182">
        <f t="shared" si="7"/>
        <v>0</v>
      </c>
      <c r="D47" s="183"/>
      <c r="E47" s="179">
        <f t="shared" si="6"/>
        <v>430884.89605084615</v>
      </c>
      <c r="F47" s="183">
        <f t="shared" si="8"/>
        <v>48307.345407785207</v>
      </c>
      <c r="G47" s="247">
        <f t="shared" si="1"/>
        <v>7.133723799318345E-2</v>
      </c>
      <c r="H47" s="246"/>
      <c r="J47" s="182"/>
      <c r="K47" s="182"/>
      <c r="L47" s="182"/>
      <c r="M47" s="182"/>
      <c r="N47" s="163"/>
      <c r="O47" s="259" t="str">
        <f>IF($O$24="Y",IFERROR(E47*$E$6*$O$16*'Emissions Factors'!B32,""),"")</f>
        <v/>
      </c>
      <c r="P47" s="259">
        <f>IF($P$24="Y",IFERROR(($E47*($E$5/(SUMIF($G$3:$G$14,"Y",$E$3:$E$14)))*('Emissions Factors'!$R$22*$P$16)/10^6)+($E47*($E$4/(SUMIF($G$3:$G$14,"Y",$E$3:$E$14)))*('Emissions Factors'!$R$22*$P$19)/10^6),""),"")</f>
        <v>33.959643528670306</v>
      </c>
      <c r="Q47" s="259"/>
      <c r="R47" s="258"/>
      <c r="T47" s="180">
        <f t="shared" si="2"/>
        <v>33.959643528670306</v>
      </c>
      <c r="U47" s="180">
        <f t="shared" si="3"/>
        <v>0</v>
      </c>
      <c r="V47" s="177"/>
      <c r="X47" s="180">
        <f t="shared" si="4"/>
        <v>33.959643528670306</v>
      </c>
      <c r="Y47" s="180">
        <f t="shared" si="5"/>
        <v>0</v>
      </c>
    </row>
    <row r="48" spans="1:25" ht="15.6" x14ac:dyDescent="0.3">
      <c r="A48" s="152">
        <v>2036</v>
      </c>
      <c r="B48" s="178">
        <f t="shared" si="0"/>
        <v>0</v>
      </c>
      <c r="C48" s="182">
        <f t="shared" si="7"/>
        <v>0</v>
      </c>
      <c r="D48" s="183"/>
      <c r="E48" s="179">
        <f t="shared" si="6"/>
        <v>480657.37029217882</v>
      </c>
      <c r="F48" s="183">
        <f t="shared" si="8"/>
        <v>49772.474241332675</v>
      </c>
      <c r="G48" s="247">
        <f t="shared" si="1"/>
        <v>7.2027238066304025E-2</v>
      </c>
      <c r="H48" s="246"/>
      <c r="J48" s="182"/>
      <c r="K48" s="182"/>
      <c r="L48" s="182"/>
      <c r="M48" s="182"/>
      <c r="N48" s="163"/>
      <c r="O48" s="259" t="str">
        <f>IF($O$24="Y",IFERROR(E48*$E$6*$O$16*'Emissions Factors'!B33,""),"")</f>
        <v/>
      </c>
      <c r="P48" s="259">
        <f>IF($P$24="Y",IFERROR(($E48*($E$5/(SUMIF($G$3:$G$14,"Y",$E$3:$E$14)))*('Emissions Factors'!$R$22*$P$16)/10^6)+($E48*($E$4/(SUMIF($G$3:$G$14,"Y",$E$3:$E$14)))*('Emissions Factors'!$R$22*$P$19)/10^6),""),"")</f>
        <v>37.882397605842982</v>
      </c>
      <c r="Q48" s="259"/>
      <c r="R48" s="258"/>
      <c r="T48" s="180">
        <f t="shared" si="2"/>
        <v>37.882397605842982</v>
      </c>
      <c r="U48" s="180">
        <f t="shared" si="3"/>
        <v>0</v>
      </c>
      <c r="V48" s="177"/>
      <c r="X48" s="180">
        <f t="shared" si="4"/>
        <v>37.882397605842982</v>
      </c>
      <c r="Y48" s="180">
        <f t="shared" si="5"/>
        <v>0</v>
      </c>
    </row>
    <row r="49" spans="1:25" ht="15.6" x14ac:dyDescent="0.3">
      <c r="A49" s="152">
        <v>2037</v>
      </c>
      <c r="B49" s="178">
        <f t="shared" si="0"/>
        <v>0</v>
      </c>
      <c r="C49" s="182">
        <f t="shared" si="7"/>
        <v>0</v>
      </c>
      <c r="D49" s="183"/>
      <c r="E49" s="179">
        <f t="shared" si="6"/>
        <v>533309.76298413379</v>
      </c>
      <c r="F49" s="183">
        <f t="shared" si="8"/>
        <v>52652.39269195497</v>
      </c>
      <c r="G49" s="247">
        <f t="shared" si="1"/>
        <v>7.278471674602198E-2</v>
      </c>
      <c r="H49" s="246"/>
      <c r="J49" s="182"/>
      <c r="K49" s="182"/>
      <c r="L49" s="182"/>
      <c r="M49" s="182"/>
      <c r="N49" s="163"/>
      <c r="O49" s="259" t="str">
        <f>IF($O$24="Y",IFERROR(E49*$E$6*$O$16*'Emissions Factors'!B34,""),"")</f>
        <v/>
      </c>
      <c r="P49" s="259">
        <f>IF($P$24="Y",IFERROR(($E49*($E$5/(SUMIF($G$3:$G$14,"Y",$E$3:$E$14)))*('Emissions Factors'!$R$22*$P$16)/10^6)+($E49*($E$4/(SUMIF($G$3:$G$14,"Y",$E$3:$E$14)))*('Emissions Factors'!$R$22*$P$19)/10^6),""),"")</f>
        <v>42.032128782633549</v>
      </c>
      <c r="Q49" s="259"/>
      <c r="R49" s="258"/>
      <c r="T49" s="180">
        <f t="shared" si="2"/>
        <v>42.032128782633549</v>
      </c>
      <c r="U49" s="180">
        <f t="shared" si="3"/>
        <v>0</v>
      </c>
      <c r="V49" s="177"/>
      <c r="X49" s="180">
        <f t="shared" si="4"/>
        <v>42.032128782633549</v>
      </c>
      <c r="Y49" s="180">
        <f t="shared" si="5"/>
        <v>0</v>
      </c>
    </row>
    <row r="50" spans="1:25" ht="15.6" x14ac:dyDescent="0.3">
      <c r="A50" s="152">
        <v>2038</v>
      </c>
      <c r="B50" s="178">
        <f t="shared" si="0"/>
        <v>0</v>
      </c>
      <c r="C50" s="182">
        <f t="shared" si="7"/>
        <v>0</v>
      </c>
      <c r="D50" s="183"/>
      <c r="E50" s="179">
        <f t="shared" si="6"/>
        <v>588828.28571735276</v>
      </c>
      <c r="F50" s="183">
        <f t="shared" si="8"/>
        <v>55518.522733218968</v>
      </c>
      <c r="G50" s="247">
        <f t="shared" si="1"/>
        <v>7.3541787659871835E-2</v>
      </c>
      <c r="H50" s="246"/>
      <c r="J50" s="182"/>
      <c r="K50" s="182"/>
      <c r="L50" s="182"/>
      <c r="M50" s="182"/>
      <c r="N50" s="163"/>
      <c r="O50" s="259" t="str">
        <f>IF($O$24="Y",IFERROR(E50*$E$6*$O$16*'Emissions Factors'!B35,""),"")</f>
        <v/>
      </c>
      <c r="P50" s="259">
        <f>IF($P$24="Y",IFERROR(($E50*($E$5/(SUMIF($G$3:$G$14,"Y",$E$3:$E$14)))*('Emissions Factors'!$R$22*$P$16)/10^6)+($E50*($E$4/(SUMIF($G$3:$G$14,"Y",$E$3:$E$14)))*('Emissions Factors'!$R$22*$P$19)/10^6),""),"")</f>
        <v>46.407750343144244</v>
      </c>
      <c r="Q50" s="259"/>
      <c r="R50" s="258"/>
      <c r="T50" s="180">
        <f t="shared" si="2"/>
        <v>46.407750343144244</v>
      </c>
      <c r="U50" s="180">
        <f t="shared" si="3"/>
        <v>0</v>
      </c>
      <c r="V50" s="177"/>
      <c r="X50" s="180">
        <f t="shared" si="4"/>
        <v>46.407750343144244</v>
      </c>
      <c r="Y50" s="180">
        <f t="shared" si="5"/>
        <v>0</v>
      </c>
    </row>
    <row r="51" spans="1:25" ht="15.6" x14ac:dyDescent="0.3">
      <c r="A51" s="152">
        <v>2039</v>
      </c>
      <c r="B51" s="178">
        <f t="shared" si="0"/>
        <v>0</v>
      </c>
      <c r="C51" s="182">
        <f t="shared" si="7"/>
        <v>0</v>
      </c>
      <c r="D51" s="183"/>
      <c r="E51" s="179">
        <f t="shared" si="6"/>
        <v>647789.46682074864</v>
      </c>
      <c r="F51" s="183">
        <f t="shared" si="8"/>
        <v>58961.18110339588</v>
      </c>
      <c r="G51" s="247">
        <f t="shared" si="1"/>
        <v>7.4297478993955376E-2</v>
      </c>
      <c r="H51" s="246"/>
      <c r="J51" s="182"/>
      <c r="K51" s="182"/>
      <c r="L51" s="182"/>
      <c r="M51" s="182"/>
      <c r="N51" s="163"/>
      <c r="O51" s="259" t="str">
        <f>IF($O$24="Y",IFERROR(E51*$E$6*$O$16*'Emissions Factors'!B36,""),"")</f>
        <v/>
      </c>
      <c r="P51" s="259">
        <f>IF($P$24="Y",IFERROR(($E51*($E$5/(SUMIF($G$3:$G$14,"Y",$E$3:$E$14)))*('Emissions Factors'!$R$22*$P$16)/10^6)+($E51*($E$4/(SUMIF($G$3:$G$14,"Y",$E$3:$E$14)))*('Emissions Factors'!$R$22*$P$19)/10^6),""),"")</f>
        <v>51.054700632310137</v>
      </c>
      <c r="Q51" s="259"/>
      <c r="R51" s="258"/>
      <c r="T51" s="180">
        <f t="shared" si="2"/>
        <v>51.054700632310137</v>
      </c>
      <c r="U51" s="180">
        <f t="shared" si="3"/>
        <v>0</v>
      </c>
      <c r="V51" s="177"/>
      <c r="X51" s="180">
        <f t="shared" si="4"/>
        <v>51.054700632310137</v>
      </c>
      <c r="Y51" s="180">
        <f t="shared" si="5"/>
        <v>0</v>
      </c>
    </row>
    <row r="52" spans="1:25" ht="15.6" x14ac:dyDescent="0.3">
      <c r="A52" s="152">
        <v>2040</v>
      </c>
      <c r="B52" s="178">
        <f t="shared" si="0"/>
        <v>0</v>
      </c>
      <c r="C52" s="182">
        <f t="shared" si="7"/>
        <v>0</v>
      </c>
      <c r="D52" s="183"/>
      <c r="E52" s="179">
        <f t="shared" si="6"/>
        <v>710095.63675332756</v>
      </c>
      <c r="F52" s="183">
        <f t="shared" si="8"/>
        <v>62306.169932578923</v>
      </c>
      <c r="G52" s="247">
        <f t="shared" si="1"/>
        <v>7.4981146093809264E-2</v>
      </c>
      <c r="H52" s="246"/>
      <c r="J52" s="182"/>
      <c r="K52" s="182"/>
      <c r="L52" s="182"/>
      <c r="M52" s="182"/>
      <c r="N52" s="163"/>
      <c r="O52" s="259" t="str">
        <f>IF($O$24="Y",IFERROR(E52*$E$6*$O$16*'Emissions Factors'!B37,""),"")</f>
        <v/>
      </c>
      <c r="P52" s="259">
        <f>IF($P$24="Y",IFERROR(($E52*($E$5/(SUMIF($G$3:$G$14,"Y",$E$3:$E$14)))*('Emissions Factors'!$R$22*$P$16)/10^6)+($E52*($E$4/(SUMIF($G$3:$G$14,"Y",$E$3:$E$14)))*('Emissions Factors'!$R$22*$P$19)/10^6),""),"")</f>
        <v>55.965281949826206</v>
      </c>
      <c r="Q52" s="259"/>
      <c r="R52" s="258"/>
      <c r="T52" s="180">
        <f t="shared" si="2"/>
        <v>55.965281949826206</v>
      </c>
      <c r="U52" s="180">
        <f t="shared" si="3"/>
        <v>0</v>
      </c>
      <c r="V52" s="177"/>
      <c r="X52" s="180">
        <f t="shared" si="4"/>
        <v>55.965281949826206</v>
      </c>
      <c r="Y52" s="180">
        <f t="shared" si="5"/>
        <v>0</v>
      </c>
    </row>
    <row r="53" spans="1:25" ht="15.6" x14ac:dyDescent="0.3">
      <c r="A53" s="152">
        <v>2041</v>
      </c>
      <c r="B53" s="178">
        <f t="shared" si="0"/>
        <v>0</v>
      </c>
      <c r="C53" s="182">
        <f t="shared" si="7"/>
        <v>0</v>
      </c>
      <c r="D53" s="183"/>
      <c r="E53" s="179">
        <f t="shared" si="6"/>
        <v>778028.27485796297</v>
      </c>
      <c r="F53" s="183">
        <f t="shared" si="8"/>
        <v>67932.638104635407</v>
      </c>
      <c r="G53" s="247">
        <f t="shared" si="1"/>
        <v>7.5795224802383487E-2</v>
      </c>
      <c r="H53" s="246"/>
      <c r="J53" s="182"/>
      <c r="K53" s="182"/>
      <c r="L53" s="182"/>
      <c r="M53" s="182"/>
      <c r="N53" s="163"/>
      <c r="O53" s="259" t="str">
        <f>IF($O$24="Y",IFERROR(E53*$E$6*$O$16*'Emissions Factors'!B38,""),"")</f>
        <v/>
      </c>
      <c r="P53" s="259">
        <f>IF($P$24="Y",IFERROR(($E53*($E$5/(SUMIF($G$3:$G$14,"Y",$E$3:$E$14)))*('Emissions Factors'!$R$22*$P$16)/10^6)+($E53*($E$4/(SUMIF($G$3:$G$14,"Y",$E$3:$E$14)))*('Emissions Factors'!$R$22*$P$19)/10^6),""),"")</f>
        <v>61.319306180286468</v>
      </c>
      <c r="Q53" s="259"/>
      <c r="R53" s="258"/>
      <c r="T53" s="180">
        <f t="shared" si="2"/>
        <v>61.319306180286468</v>
      </c>
      <c r="U53" s="180">
        <f t="shared" si="3"/>
        <v>0</v>
      </c>
      <c r="V53" s="177"/>
      <c r="X53" s="180">
        <f t="shared" si="4"/>
        <v>61.319306180286468</v>
      </c>
      <c r="Y53" s="180">
        <f t="shared" si="5"/>
        <v>0</v>
      </c>
    </row>
    <row r="54" spans="1:25" ht="15.6" x14ac:dyDescent="0.3">
      <c r="A54" s="152">
        <v>2042</v>
      </c>
      <c r="B54" s="178">
        <f t="shared" si="0"/>
        <v>0</v>
      </c>
      <c r="C54" s="182">
        <f t="shared" si="7"/>
        <v>0</v>
      </c>
      <c r="D54" s="183"/>
      <c r="E54" s="179">
        <f t="shared" si="6"/>
        <v>849916.09719165484</v>
      </c>
      <c r="F54" s="183">
        <f t="shared" si="8"/>
        <v>71887.822333691875</v>
      </c>
      <c r="G54" s="247">
        <f t="shared" si="1"/>
        <v>7.6529937577772045E-2</v>
      </c>
      <c r="H54" s="246"/>
      <c r="J54" s="182"/>
      <c r="K54" s="182"/>
      <c r="L54" s="182"/>
      <c r="M54" s="182"/>
      <c r="N54" s="163"/>
      <c r="O54" s="259" t="str">
        <f>IF($O$24="Y",IFERROR(E54*$E$6*$O$16*'Emissions Factors'!B39,""),"")</f>
        <v/>
      </c>
      <c r="P54" s="259">
        <f>IF($P$24="Y",IFERROR(($E54*($E$5/(SUMIF($G$3:$G$14,"Y",$E$3:$E$14)))*('Emissions Factors'!$R$22*$P$16)/10^6)+($E54*($E$4/(SUMIF($G$3:$G$14,"Y",$E$3:$E$14)))*('Emissions Factors'!$R$22*$P$19)/10^6),""),"")</f>
        <v>66.985053211290492</v>
      </c>
      <c r="Q54" s="259"/>
      <c r="R54" s="258"/>
      <c r="T54" s="180">
        <f t="shared" si="2"/>
        <v>66.985053211290492</v>
      </c>
      <c r="U54" s="180">
        <f t="shared" si="3"/>
        <v>0</v>
      </c>
      <c r="V54" s="177"/>
      <c r="X54" s="180">
        <f t="shared" si="4"/>
        <v>66.985053211290492</v>
      </c>
      <c r="Y54" s="180">
        <f t="shared" si="5"/>
        <v>0</v>
      </c>
    </row>
    <row r="55" spans="1:25" ht="15.6" x14ac:dyDescent="0.3">
      <c r="A55" s="152">
        <v>2043</v>
      </c>
      <c r="B55" s="178">
        <f t="shared" si="0"/>
        <v>0</v>
      </c>
      <c r="C55" s="182">
        <f t="shared" si="7"/>
        <v>0</v>
      </c>
      <c r="D55" s="183"/>
      <c r="E55" s="179">
        <f t="shared" si="6"/>
        <v>926878.97625432338</v>
      </c>
      <c r="F55" s="183">
        <f t="shared" si="8"/>
        <v>76962.879062668537</v>
      </c>
      <c r="G55" s="247">
        <f t="shared" si="1"/>
        <v>7.7247917858748336E-2</v>
      </c>
      <c r="H55" s="246"/>
      <c r="J55" s="182"/>
      <c r="K55" s="182"/>
      <c r="L55" s="182"/>
      <c r="M55" s="182"/>
      <c r="N55" s="163"/>
      <c r="O55" s="259" t="str">
        <f>IF($O$24="Y",IFERROR(E55*$E$6*$O$16*'Emissions Factors'!B40,""),"")</f>
        <v/>
      </c>
      <c r="P55" s="259">
        <f>IF($P$24="Y",IFERROR(($E55*($E$5/(SUMIF($G$3:$G$14,"Y",$E$3:$E$14)))*('Emissions Factors'!$R$22*$P$16)/10^6)+($E55*($E$4/(SUMIF($G$3:$G$14,"Y",$E$3:$E$14)))*('Emissions Factors'!$R$22*$P$19)/10^6),""),"")</f>
        <v>73.050784365626356</v>
      </c>
      <c r="Q55" s="259"/>
      <c r="R55" s="258"/>
      <c r="T55" s="180">
        <f t="shared" si="2"/>
        <v>73.050784365626356</v>
      </c>
      <c r="U55" s="180">
        <f t="shared" si="3"/>
        <v>0</v>
      </c>
      <c r="V55" s="177"/>
      <c r="X55" s="180">
        <f t="shared" si="4"/>
        <v>73.050784365626356</v>
      </c>
      <c r="Y55" s="180">
        <f t="shared" si="5"/>
        <v>0</v>
      </c>
    </row>
    <row r="56" spans="1:25" ht="15.6" x14ac:dyDescent="0.3">
      <c r="A56" s="152">
        <v>2044</v>
      </c>
      <c r="B56" s="178">
        <f t="shared" si="0"/>
        <v>0</v>
      </c>
      <c r="C56" s="182">
        <f t="shared" si="7"/>
        <v>0</v>
      </c>
      <c r="D56" s="183"/>
      <c r="E56" s="179">
        <f t="shared" si="6"/>
        <v>1009436.3415348576</v>
      </c>
      <c r="F56" s="183">
        <f t="shared" si="8"/>
        <v>82557.365280534257</v>
      </c>
      <c r="G56" s="247">
        <f t="shared" si="1"/>
        <v>7.7942713989419016E-2</v>
      </c>
      <c r="H56" s="246"/>
      <c r="J56" s="182"/>
      <c r="K56" s="182"/>
      <c r="L56" s="182"/>
      <c r="M56" s="182"/>
      <c r="N56" s="163"/>
      <c r="O56" s="259" t="str">
        <f>IF($O$24="Y",IFERROR(E56*$E$6*$O$16*'Emissions Factors'!B41,""),"")</f>
        <v/>
      </c>
      <c r="P56" s="259">
        <f>IF($P$24="Y",IFERROR(($E56*($E$5/(SUMIF($G$3:$G$14,"Y",$E$3:$E$14)))*('Emissions Factors'!$R$22*$P$16)/10^6)+($E56*($E$4/(SUMIF($G$3:$G$14,"Y",$E$3:$E$14)))*('Emissions Factors'!$R$22*$P$19)/10^6),""),"")</f>
        <v>79.557437815976883</v>
      </c>
      <c r="Q56" s="259"/>
      <c r="R56" s="258"/>
      <c r="T56" s="180">
        <f t="shared" si="2"/>
        <v>79.557437815976883</v>
      </c>
      <c r="U56" s="180">
        <f t="shared" si="3"/>
        <v>0</v>
      </c>
      <c r="V56" s="177"/>
      <c r="X56" s="180">
        <f t="shared" si="4"/>
        <v>79.557437815976883</v>
      </c>
      <c r="Y56" s="180">
        <f t="shared" si="5"/>
        <v>0</v>
      </c>
    </row>
    <row r="57" spans="1:25" ht="15.6" x14ac:dyDescent="0.3">
      <c r="A57" s="152">
        <v>2045</v>
      </c>
      <c r="B57" s="178">
        <f t="shared" si="0"/>
        <v>0</v>
      </c>
      <c r="C57" s="182">
        <f t="shared" si="7"/>
        <v>0</v>
      </c>
      <c r="D57" s="183"/>
      <c r="E57" s="179">
        <f t="shared" si="6"/>
        <v>1098130.8839738211</v>
      </c>
      <c r="F57" s="183">
        <f t="shared" si="8"/>
        <v>88694.542438963428</v>
      </c>
      <c r="G57" s="247">
        <f t="shared" si="1"/>
        <v>7.8610090815999734E-2</v>
      </c>
      <c r="H57" s="246"/>
      <c r="J57" s="182"/>
      <c r="K57" s="182"/>
      <c r="L57" s="182"/>
      <c r="M57" s="182"/>
      <c r="N57" s="163"/>
      <c r="O57" s="259" t="str">
        <f>IF($O$24="Y",IFERROR(E57*$E$6*$O$16*'Emissions Factors'!B42,""),"")</f>
        <v/>
      </c>
      <c r="P57" s="259">
        <f>IF($P$24="Y",IFERROR(($E57*($E$5/(SUMIF($G$3:$G$14,"Y",$E$3:$E$14)))*('Emissions Factors'!$R$22*$P$16)/10^6)+($E57*($E$4/(SUMIF($G$3:$G$14,"Y",$E$3:$E$14)))*('Emissions Factors'!$R$22*$P$19)/10^6),""),"")</f>
        <v>86.547785056670804</v>
      </c>
      <c r="Q57" s="259"/>
      <c r="R57" s="258"/>
      <c r="T57" s="180">
        <f t="shared" si="2"/>
        <v>86.547785056670804</v>
      </c>
      <c r="U57" s="180">
        <f t="shared" si="3"/>
        <v>0</v>
      </c>
      <c r="V57" s="177"/>
      <c r="X57" s="180">
        <f t="shared" si="4"/>
        <v>86.547785056670804</v>
      </c>
      <c r="Y57" s="180">
        <f t="shared" si="5"/>
        <v>0</v>
      </c>
    </row>
    <row r="58" spans="1:25" ht="15.6" x14ac:dyDescent="0.3">
      <c r="A58" s="152">
        <v>2046</v>
      </c>
      <c r="B58" s="178">
        <f t="shared" si="0"/>
        <v>0</v>
      </c>
      <c r="C58" s="182">
        <f t="shared" si="7"/>
        <v>0</v>
      </c>
      <c r="D58" s="183"/>
      <c r="E58" s="179">
        <f t="shared" si="6"/>
        <v>1193491.8408905643</v>
      </c>
      <c r="F58" s="183">
        <f t="shared" si="8"/>
        <v>95360.956916743191</v>
      </c>
      <c r="G58" s="247">
        <f t="shared" si="1"/>
        <v>7.9249625193306639E-2</v>
      </c>
      <c r="H58" s="246"/>
      <c r="J58" s="182"/>
      <c r="K58" s="182"/>
      <c r="L58" s="182"/>
      <c r="M58" s="182"/>
      <c r="N58" s="163"/>
      <c r="O58" s="259" t="str">
        <f>IF($O$24="Y",IFERROR(E58*$E$6*$O$16*'Emissions Factors'!B43,""),"")</f>
        <v/>
      </c>
      <c r="P58" s="259">
        <f>IF($P$24="Y",IFERROR(($E58*($E$5/(SUMIF($G$3:$G$14,"Y",$E$3:$E$14)))*('Emissions Factors'!$R$22*$P$16)/10^6)+($E58*($E$4/(SUMIF($G$3:$G$14,"Y",$E$3:$E$14)))*('Emissions Factors'!$R$22*$P$19)/10^6),""),"")</f>
        <v>94.063537252039794</v>
      </c>
      <c r="Q58" s="259"/>
      <c r="R58" s="258"/>
      <c r="T58" s="180">
        <f t="shared" si="2"/>
        <v>94.063537252039794</v>
      </c>
      <c r="U58" s="180">
        <f t="shared" si="3"/>
        <v>0</v>
      </c>
      <c r="V58" s="177"/>
      <c r="X58" s="180">
        <f t="shared" si="4"/>
        <v>94.063537252039794</v>
      </c>
      <c r="Y58" s="180">
        <f t="shared" si="5"/>
        <v>0</v>
      </c>
    </row>
    <row r="59" spans="1:25" ht="15.6" x14ac:dyDescent="0.3">
      <c r="A59" s="152">
        <v>2047</v>
      </c>
      <c r="B59" s="178">
        <f t="shared" si="0"/>
        <v>0</v>
      </c>
      <c r="C59" s="182">
        <f t="shared" si="7"/>
        <v>0</v>
      </c>
      <c r="D59" s="183"/>
      <c r="E59" s="179">
        <f t="shared" si="6"/>
        <v>1296061.5407751868</v>
      </c>
      <c r="F59" s="183">
        <f t="shared" si="8"/>
        <v>102569.69988462259</v>
      </c>
      <c r="G59" s="247">
        <f t="shared" si="1"/>
        <v>7.9861011328601531E-2</v>
      </c>
      <c r="H59" s="246"/>
      <c r="J59" s="182"/>
      <c r="K59" s="182"/>
      <c r="L59" s="182"/>
      <c r="M59" s="182"/>
      <c r="N59" s="163"/>
      <c r="O59" s="259" t="str">
        <f>IF($O$24="Y",IFERROR(E59*$E$6*$O$16*'Emissions Factors'!B44,""),"")</f>
        <v/>
      </c>
      <c r="P59" s="259">
        <f>IF($P$24="Y",IFERROR(($E59*($E$5/(SUMIF($G$3:$G$14,"Y",$E$3:$E$14)))*('Emissions Factors'!$R$22*$P$16)/10^6)+($E59*($E$4/(SUMIF($G$3:$G$14,"Y",$E$3:$E$14)))*('Emissions Factors'!$R$22*$P$19)/10^6),""),"")</f>
        <v>102.14743733034155</v>
      </c>
      <c r="Q59" s="259"/>
      <c r="R59" s="258"/>
      <c r="T59" s="180">
        <f t="shared" si="2"/>
        <v>102.14743733034155</v>
      </c>
      <c r="U59" s="180">
        <f t="shared" si="3"/>
        <v>0</v>
      </c>
      <c r="V59" s="177"/>
      <c r="X59" s="180">
        <f t="shared" si="4"/>
        <v>102.14743733034155</v>
      </c>
      <c r="Y59" s="180">
        <f t="shared" si="5"/>
        <v>0</v>
      </c>
    </row>
    <row r="60" spans="1:25" ht="15.6" x14ac:dyDescent="0.3">
      <c r="A60" s="152">
        <v>2048</v>
      </c>
      <c r="B60" s="178">
        <f t="shared" si="0"/>
        <v>0</v>
      </c>
      <c r="C60" s="182">
        <f t="shared" si="7"/>
        <v>0</v>
      </c>
      <c r="D60" s="183"/>
      <c r="E60" s="179">
        <f t="shared" si="6"/>
        <v>1406426.7178034058</v>
      </c>
      <c r="F60" s="183">
        <f t="shared" si="8"/>
        <v>110365.17702821898</v>
      </c>
      <c r="G60" s="247">
        <f t="shared" si="1"/>
        <v>8.0440441920219236E-2</v>
      </c>
      <c r="H60" s="246"/>
      <c r="J60" s="182"/>
      <c r="K60" s="182"/>
      <c r="L60" s="182"/>
      <c r="M60" s="182"/>
      <c r="N60" s="163"/>
      <c r="O60" s="259" t="str">
        <f>IF($O$24="Y",IFERROR(E60*$E$6*$O$16*'Emissions Factors'!B45,""),"")</f>
        <v/>
      </c>
      <c r="P60" s="259">
        <f>IF($P$24="Y",IFERROR(($E60*($E$5/(SUMIF($G$3:$G$14,"Y",$E$3:$E$14)))*('Emissions Factors'!$R$22*$P$16)/10^6)+($E60*($E$4/(SUMIF($G$3:$G$14,"Y",$E$3:$E$14)))*('Emissions Factors'!$R$22*$P$19)/10^6),""),"")</f>
        <v>110.84572799731038</v>
      </c>
      <c r="Q60" s="259"/>
      <c r="R60" s="258"/>
      <c r="T60" s="180">
        <f t="shared" si="2"/>
        <v>110.84572799731038</v>
      </c>
      <c r="U60" s="180">
        <f t="shared" si="3"/>
        <v>0</v>
      </c>
      <c r="V60" s="177"/>
      <c r="X60" s="180">
        <f t="shared" si="4"/>
        <v>110.84572799731038</v>
      </c>
      <c r="Y60" s="180">
        <f t="shared" si="5"/>
        <v>0</v>
      </c>
    </row>
    <row r="61" spans="1:25" ht="15.6" x14ac:dyDescent="0.3">
      <c r="A61" s="152">
        <v>2049</v>
      </c>
      <c r="B61" s="178">
        <f t="shared" si="0"/>
        <v>0</v>
      </c>
      <c r="C61" s="182">
        <f t="shared" si="7"/>
        <v>0</v>
      </c>
      <c r="D61" s="183"/>
      <c r="E61" s="179">
        <f t="shared" si="6"/>
        <v>1525210.1879146907</v>
      </c>
      <c r="F61" s="183">
        <f t="shared" si="8"/>
        <v>118783.47011128487</v>
      </c>
      <c r="G61" s="247">
        <f t="shared" si="1"/>
        <v>8.0984462189856374E-2</v>
      </c>
      <c r="H61" s="246"/>
      <c r="J61" s="182"/>
      <c r="K61" s="182"/>
      <c r="L61" s="182"/>
      <c r="M61" s="182"/>
      <c r="N61" s="163"/>
      <c r="O61" s="259" t="str">
        <f>IF($O$24="Y",IFERROR(E61*$E$6*$O$16*'Emissions Factors'!B46,""),"")</f>
        <v/>
      </c>
      <c r="P61" s="259">
        <f>IF($P$24="Y",IFERROR(($E61*($E$5/(SUMIF($G$3:$G$14,"Y",$E$3:$E$14)))*('Emissions Factors'!$R$22*$P$16)/10^6)+($E61*($E$4/(SUMIF($G$3:$G$14,"Y",$E$3:$E$14)))*('Emissions Factors'!$R$22*$P$19)/10^6),""),"")</f>
        <v>120.20749569687182</v>
      </c>
      <c r="Q61" s="259"/>
      <c r="R61" s="258"/>
      <c r="T61" s="180">
        <f t="shared" si="2"/>
        <v>120.20749569687182</v>
      </c>
      <c r="U61" s="180">
        <f t="shared" si="3"/>
        <v>0</v>
      </c>
      <c r="V61" s="177"/>
      <c r="X61" s="180">
        <f t="shared" si="4"/>
        <v>120.20749569687182</v>
      </c>
      <c r="Y61" s="180">
        <f t="shared" si="5"/>
        <v>0</v>
      </c>
    </row>
    <row r="62" spans="1:25" ht="15.6" x14ac:dyDescent="0.3">
      <c r="A62" s="152">
        <v>2050</v>
      </c>
      <c r="B62" s="178">
        <f t="shared" si="0"/>
        <v>0</v>
      </c>
      <c r="C62" s="182">
        <f t="shared" si="7"/>
        <v>0</v>
      </c>
      <c r="D62" s="183"/>
      <c r="E62" s="179">
        <f t="shared" si="6"/>
        <v>1654187.1034601133</v>
      </c>
      <c r="F62" s="183">
        <f t="shared" si="8"/>
        <v>128976.91554542258</v>
      </c>
      <c r="G62" s="247">
        <f t="shared" si="1"/>
        <v>8.1547133823557841E-2</v>
      </c>
      <c r="H62" s="246"/>
      <c r="J62" s="182"/>
      <c r="K62" s="182"/>
      <c r="L62" s="182"/>
      <c r="M62" s="182"/>
      <c r="N62" s="163"/>
      <c r="O62" s="259" t="str">
        <f>IF($O$24="Y",IFERROR(E62*$E$6*$O$16*'Emissions Factors'!B47,""),"")</f>
        <v/>
      </c>
      <c r="P62" s="259">
        <f>IF($P$24="Y",IFERROR(($E62*($E$5/(SUMIF($G$3:$G$14,"Y",$E$3:$E$14)))*('Emissions Factors'!$R$22*$P$16)/10^6)+($E62*($E$4/(SUMIF($G$3:$G$14,"Y",$E$3:$E$14)))*('Emissions Factors'!$R$22*$P$19)/10^6),""),"")</f>
        <v>130.37264679753397</v>
      </c>
      <c r="Q62" s="259"/>
      <c r="R62" s="258"/>
      <c r="T62" s="180">
        <f t="shared" si="2"/>
        <v>130.37264679753397</v>
      </c>
      <c r="U62" s="180">
        <f t="shared" si="3"/>
        <v>0</v>
      </c>
      <c r="V62" s="177"/>
      <c r="X62" s="180">
        <f t="shared" si="4"/>
        <v>130.37264679753397</v>
      </c>
      <c r="Y62" s="180">
        <f t="shared" si="5"/>
        <v>0</v>
      </c>
    </row>
    <row r="63" spans="1:25" ht="15.6" x14ac:dyDescent="0.3">
      <c r="A63" s="152">
        <v>2051</v>
      </c>
      <c r="B63" s="178">
        <f t="shared" si="0"/>
        <v>0</v>
      </c>
      <c r="C63" s="182">
        <f t="shared" si="7"/>
        <v>0</v>
      </c>
      <c r="D63" s="183"/>
      <c r="E63" s="179">
        <f t="shared" si="6"/>
        <v>1790658.333053105</v>
      </c>
      <c r="F63" s="183">
        <f t="shared" si="8"/>
        <v>136471.22959299176</v>
      </c>
      <c r="G63" s="247">
        <f t="shared" si="1"/>
        <v>8.1963019850216756E-2</v>
      </c>
      <c r="H63" s="246"/>
      <c r="J63" s="182"/>
      <c r="K63" s="182"/>
      <c r="L63" s="182"/>
      <c r="M63" s="182"/>
      <c r="N63" s="163"/>
      <c r="O63" s="259" t="str">
        <f>IF($O$24="Y",IFERROR(E63*$E$6*$O$16*'Emissions Factors'!B48,""),"")</f>
        <v/>
      </c>
      <c r="P63" s="259">
        <f>IF($P$24="Y",IFERROR(($E63*($E$5/(SUMIF($G$3:$G$14,"Y",$E$3:$E$14)))*('Emissions Factors'!$R$22*$P$16)/10^6)+($E63*($E$4/(SUMIF($G$3:$G$14,"Y",$E$3:$E$14)))*('Emissions Factors'!$R$22*$P$19)/10^6),""),"")</f>
        <v>141.12845270155537</v>
      </c>
      <c r="Q63" s="259"/>
      <c r="R63" s="258"/>
      <c r="T63" s="180" t="str">
        <f t="shared" si="2"/>
        <v/>
      </c>
      <c r="U63" s="180" t="str">
        <f t="shared" si="3"/>
        <v/>
      </c>
      <c r="V63" s="177"/>
      <c r="X63" s="180">
        <f t="shared" si="4"/>
        <v>141.12845270155537</v>
      </c>
      <c r="Y63" s="180">
        <f t="shared" si="5"/>
        <v>0</v>
      </c>
    </row>
    <row r="64" spans="1:25" ht="15.6" x14ac:dyDescent="0.3">
      <c r="A64" s="152">
        <v>2052</v>
      </c>
      <c r="B64" s="178">
        <f t="shared" si="0"/>
        <v>0</v>
      </c>
      <c r="C64" s="182">
        <f t="shared" si="7"/>
        <v>0</v>
      </c>
      <c r="D64" s="183"/>
      <c r="E64" s="179">
        <f t="shared" si="6"/>
        <v>1938705.810366258</v>
      </c>
      <c r="F64" s="183">
        <f t="shared" si="8"/>
        <v>148047.47731315298</v>
      </c>
      <c r="G64" s="247">
        <f t="shared" si="1"/>
        <v>8.2401649899708315E-2</v>
      </c>
      <c r="H64" s="246"/>
      <c r="J64" s="182"/>
      <c r="K64" s="182"/>
      <c r="L64" s="182"/>
      <c r="M64" s="182"/>
      <c r="N64" s="163"/>
      <c r="O64" s="259" t="str">
        <f>IF($O$24="Y",IFERROR(E64*$E$6*$O$16*'Emissions Factors'!B49,""),"")</f>
        <v/>
      </c>
      <c r="P64" s="259">
        <f>IF($P$24="Y",IFERROR(($E64*($E$5/(SUMIF($G$3:$G$14,"Y",$E$3:$E$14)))*('Emissions Factors'!$R$22*$P$16)/10^6)+($E64*($E$4/(SUMIF($G$3:$G$14,"Y",$E$3:$E$14)))*('Emissions Factors'!$R$22*$P$19)/10^6),""),"")</f>
        <v>152.79662580521477</v>
      </c>
      <c r="Q64" s="259"/>
      <c r="R64" s="258"/>
      <c r="T64" s="180" t="str">
        <f t="shared" si="2"/>
        <v/>
      </c>
      <c r="U64" s="180" t="str">
        <f t="shared" si="3"/>
        <v/>
      </c>
      <c r="V64" s="177"/>
      <c r="X64" s="180">
        <f t="shared" si="4"/>
        <v>152.79662580521477</v>
      </c>
      <c r="Y64" s="180">
        <f t="shared" si="5"/>
        <v>0</v>
      </c>
    </row>
    <row r="65" spans="1:25" ht="15.6" x14ac:dyDescent="0.3">
      <c r="A65" s="152">
        <v>2053</v>
      </c>
      <c r="B65" s="178">
        <f t="shared" si="0"/>
        <v>0</v>
      </c>
      <c r="C65" s="182">
        <f t="shared" si="7"/>
        <v>0</v>
      </c>
      <c r="D65" s="183"/>
      <c r="E65" s="179">
        <f t="shared" si="6"/>
        <v>2097909.2688793214</v>
      </c>
      <c r="F65" s="183">
        <f t="shared" si="8"/>
        <v>159203.45851306338</v>
      </c>
      <c r="G65" s="247">
        <f t="shared" si="1"/>
        <v>8.2809793062478834E-2</v>
      </c>
      <c r="H65" s="246"/>
      <c r="J65" s="182"/>
      <c r="K65" s="182"/>
      <c r="L65" s="182"/>
      <c r="M65" s="182"/>
      <c r="N65" s="163"/>
      <c r="O65" s="259" t="str">
        <f>IF($O$24="Y",IFERROR(E65*$E$6*$O$16*'Emissions Factors'!B50,""),"")</f>
        <v/>
      </c>
      <c r="P65" s="259">
        <f>IF($P$24="Y",IFERROR(($E65*($E$5/(SUMIF($G$3:$G$14,"Y",$E$3:$E$14)))*('Emissions Factors'!$R$22*$P$16)/10^6)+($E65*($E$4/(SUMIF($G$3:$G$14,"Y",$E$3:$E$14)))*('Emissions Factors'!$R$22*$P$19)/10^6),""),"")</f>
        <v>165.34404333872959</v>
      </c>
      <c r="Q65" s="259"/>
      <c r="R65" s="258"/>
      <c r="T65" s="180" t="str">
        <f t="shared" si="2"/>
        <v/>
      </c>
      <c r="U65" s="180" t="str">
        <f t="shared" si="3"/>
        <v/>
      </c>
      <c r="V65" s="177"/>
      <c r="X65" s="180">
        <f t="shared" si="4"/>
        <v>165.34404333872959</v>
      </c>
      <c r="Y65" s="180">
        <f t="shared" si="5"/>
        <v>0</v>
      </c>
    </row>
    <row r="66" spans="1:25" ht="15.6" x14ac:dyDescent="0.3">
      <c r="A66" s="152">
        <v>2054</v>
      </c>
      <c r="B66" s="178">
        <f t="shared" si="0"/>
        <v>0</v>
      </c>
      <c r="C66" s="182">
        <f t="shared" si="7"/>
        <v>0</v>
      </c>
      <c r="D66" s="183"/>
      <c r="E66" s="179">
        <f t="shared" si="6"/>
        <v>2268995.7258193698</v>
      </c>
      <c r="F66" s="183">
        <f t="shared" si="8"/>
        <v>171086.45694004837</v>
      </c>
      <c r="G66" s="247">
        <f t="shared" si="1"/>
        <v>8.3190448213385809E-2</v>
      </c>
      <c r="H66" s="246"/>
      <c r="J66" s="182"/>
      <c r="K66" s="182"/>
      <c r="L66" s="182"/>
      <c r="M66" s="182"/>
      <c r="N66" s="163"/>
      <c r="O66" s="259" t="str">
        <f>IF($O$24="Y",IFERROR(E66*$E$6*$O$16*'Emissions Factors'!B51,""),"")</f>
        <v/>
      </c>
      <c r="P66" s="259">
        <f>IF($P$24="Y",IFERROR(($E66*($E$5/(SUMIF($G$3:$G$14,"Y",$E$3:$E$14)))*('Emissions Factors'!$R$22*$P$16)/10^6)+($E66*($E$4/(SUMIF($G$3:$G$14,"Y",$E$3:$E$14)))*('Emissions Factors'!$R$22*$P$19)/10^6),""),"")</f>
        <v>178.82800423760881</v>
      </c>
      <c r="Q66" s="259"/>
      <c r="R66" s="258"/>
      <c r="T66" s="180" t="str">
        <f t="shared" si="2"/>
        <v/>
      </c>
      <c r="U66" s="180" t="str">
        <f t="shared" si="3"/>
        <v/>
      </c>
      <c r="V66" s="177"/>
      <c r="X66" s="180">
        <f t="shared" si="4"/>
        <v>178.82800423760881</v>
      </c>
      <c r="Y66" s="180">
        <f t="shared" si="5"/>
        <v>0</v>
      </c>
    </row>
    <row r="67" spans="1:25" ht="15.6" x14ac:dyDescent="0.3">
      <c r="A67" s="152">
        <v>2055</v>
      </c>
      <c r="B67" s="178">
        <f t="shared" si="0"/>
        <v>0</v>
      </c>
      <c r="C67" s="182">
        <f t="shared" si="7"/>
        <v>0</v>
      </c>
      <c r="D67" s="183"/>
      <c r="E67" s="179">
        <f t="shared" si="6"/>
        <v>2453179.349849246</v>
      </c>
      <c r="F67" s="183">
        <f t="shared" si="8"/>
        <v>184183.6240298762</v>
      </c>
      <c r="G67" s="247">
        <f t="shared" si="1"/>
        <v>8.3561899343170293E-2</v>
      </c>
      <c r="H67" s="246"/>
      <c r="J67" s="182"/>
      <c r="K67" s="182"/>
      <c r="L67" s="182"/>
      <c r="M67" s="182"/>
      <c r="N67" s="163"/>
      <c r="O67" s="259" t="str">
        <f>IF($O$24="Y",IFERROR(E67*$E$6*$O$16*'Emissions Factors'!B52,""),"")</f>
        <v/>
      </c>
      <c r="P67" s="259">
        <f>IF($P$24="Y",IFERROR(($E67*($E$5/(SUMIF($G$3:$G$14,"Y",$E$3:$E$14)))*('Emissions Factors'!$R$22*$P$16)/10^6)+($E67*($E$4/(SUMIF($G$3:$G$14,"Y",$E$3:$E$14)))*('Emissions Factors'!$R$22*$P$19)/10^6),""),"")</f>
        <v>193.34420165645531</v>
      </c>
      <c r="Q67" s="259"/>
      <c r="R67" s="258"/>
      <c r="T67" s="180" t="str">
        <f t="shared" si="2"/>
        <v/>
      </c>
      <c r="U67" s="180" t="str">
        <f t="shared" si="3"/>
        <v/>
      </c>
      <c r="V67" s="177"/>
      <c r="X67" s="180">
        <f t="shared" si="4"/>
        <v>193.34420165645531</v>
      </c>
      <c r="Y67" s="180">
        <f t="shared" si="5"/>
        <v>0</v>
      </c>
    </row>
    <row r="68" spans="1:25" ht="15.6" x14ac:dyDescent="0.3">
      <c r="A68" s="152">
        <v>2056</v>
      </c>
      <c r="B68" s="178">
        <f t="shared" si="0"/>
        <v>0</v>
      </c>
      <c r="C68" s="182">
        <f t="shared" si="7"/>
        <v>0</v>
      </c>
      <c r="D68" s="183"/>
      <c r="E68" s="179">
        <f t="shared" si="6"/>
        <v>2649936.0085992166</v>
      </c>
      <c r="F68" s="183">
        <f t="shared" si="8"/>
        <v>196756.65874997061</v>
      </c>
      <c r="G68" s="247">
        <f t="shared" si="1"/>
        <v>8.3879713374910708E-2</v>
      </c>
      <c r="H68" s="246"/>
      <c r="J68" s="182"/>
      <c r="K68" s="182"/>
      <c r="L68" s="182"/>
      <c r="M68" s="182"/>
      <c r="N68" s="163"/>
      <c r="O68" s="259" t="str">
        <f>IF($O$24="Y",IFERROR(E68*$E$6*$O$16*'Emissions Factors'!B53,""),"")</f>
        <v/>
      </c>
      <c r="P68" s="259">
        <f>IF($P$24="Y",IFERROR(($E68*($E$5/(SUMIF($G$3:$G$14,"Y",$E$3:$E$14)))*('Emissions Factors'!$R$22*$P$16)/10^6)+($E68*($E$4/(SUMIF($G$3:$G$14,"Y",$E$3:$E$14)))*('Emissions Factors'!$R$22*$P$19)/10^6),""),"")</f>
        <v>208.85132677103056</v>
      </c>
      <c r="Q68" s="259"/>
      <c r="R68" s="258"/>
      <c r="T68" s="180" t="str">
        <f t="shared" si="2"/>
        <v/>
      </c>
      <c r="U68" s="180" t="str">
        <f t="shared" si="3"/>
        <v/>
      </c>
      <c r="V68" s="177"/>
      <c r="X68" s="180">
        <f t="shared" si="4"/>
        <v>208.85132677103056</v>
      </c>
      <c r="Y68" s="180">
        <f t="shared" si="5"/>
        <v>0</v>
      </c>
    </row>
    <row r="69" spans="1:25" ht="15.6" x14ac:dyDescent="0.3">
      <c r="A69" s="152">
        <v>2057</v>
      </c>
      <c r="B69" s="178">
        <f t="shared" si="0"/>
        <v>0</v>
      </c>
      <c r="C69" s="182">
        <f t="shared" si="7"/>
        <v>0</v>
      </c>
      <c r="D69" s="183"/>
      <c r="E69" s="179">
        <f t="shared" si="6"/>
        <v>2861487.9184346683</v>
      </c>
      <c r="F69" s="183">
        <f t="shared" si="8"/>
        <v>211551.90983545175</v>
      </c>
      <c r="G69" s="247">
        <f t="shared" si="1"/>
        <v>8.4192748909625248E-2</v>
      </c>
      <c r="H69" s="246"/>
      <c r="J69" s="182"/>
      <c r="K69" s="182"/>
      <c r="L69" s="182"/>
      <c r="M69" s="182"/>
      <c r="N69" s="163"/>
      <c r="O69" s="259" t="str">
        <f>IF($O$24="Y",IFERROR(E69*$E$6*$O$16*'Emissions Factors'!B54,""),"")</f>
        <v/>
      </c>
      <c r="P69" s="259">
        <f>IF($P$24="Y",IFERROR(($E69*($E$5/(SUMIF($G$3:$G$14,"Y",$E$3:$E$14)))*('Emissions Factors'!$R$22*$P$16)/10^6)+($E69*($E$4/(SUMIF($G$3:$G$14,"Y",$E$3:$E$14)))*('Emissions Factors'!$R$22*$P$19)/10^6),""),"")</f>
        <v>225.52452072994242</v>
      </c>
      <c r="Q69" s="259"/>
      <c r="R69" s="258"/>
      <c r="T69" s="180" t="str">
        <f t="shared" si="2"/>
        <v/>
      </c>
      <c r="U69" s="180" t="str">
        <f t="shared" si="3"/>
        <v/>
      </c>
      <c r="V69" s="177"/>
      <c r="X69" s="180">
        <f t="shared" si="4"/>
        <v>225.52452072994242</v>
      </c>
      <c r="Y69" s="180">
        <f t="shared" si="5"/>
        <v>0</v>
      </c>
    </row>
    <row r="70" spans="1:25" ht="15.6" x14ac:dyDescent="0.3">
      <c r="A70" s="152">
        <v>2058</v>
      </c>
      <c r="B70" s="178">
        <f t="shared" si="0"/>
        <v>0</v>
      </c>
      <c r="C70" s="182">
        <f t="shared" si="7"/>
        <v>0</v>
      </c>
      <c r="D70" s="183"/>
      <c r="E70" s="179">
        <f t="shared" si="6"/>
        <v>3088194.312462355</v>
      </c>
      <c r="F70" s="183">
        <f t="shared" si="8"/>
        <v>226706.39402768668</v>
      </c>
      <c r="G70" s="247">
        <f t="shared" si="1"/>
        <v>8.4489048490029042E-2</v>
      </c>
      <c r="H70" s="246"/>
      <c r="J70" s="182"/>
      <c r="K70" s="182"/>
      <c r="L70" s="182"/>
      <c r="M70" s="182"/>
      <c r="N70" s="163"/>
      <c r="O70" s="259" t="str">
        <f>IF($O$24="Y",IFERROR(E70*$E$6*$O$16*'Emissions Factors'!B55,""),"")</f>
        <v/>
      </c>
      <c r="P70" s="259">
        <f>IF($P$24="Y",IFERROR(($E70*($E$5/(SUMIF($G$3:$G$14,"Y",$E$3:$E$14)))*('Emissions Factors'!$R$22*$P$16)/10^6)+($E70*($E$4/(SUMIF($G$3:$G$14,"Y",$E$3:$E$14)))*('Emissions Factors'!$R$22*$P$19)/10^6),""),"")</f>
        <v>243.39209603233132</v>
      </c>
      <c r="Q70" s="259"/>
      <c r="R70" s="258"/>
      <c r="T70" s="180" t="str">
        <f t="shared" si="2"/>
        <v/>
      </c>
      <c r="U70" s="180" t="str">
        <f t="shared" si="3"/>
        <v/>
      </c>
      <c r="V70" s="177"/>
      <c r="X70" s="180">
        <f t="shared" si="4"/>
        <v>243.39209603233132</v>
      </c>
      <c r="Y70" s="180">
        <f t="shared" si="5"/>
        <v>0</v>
      </c>
    </row>
    <row r="71" spans="1:25" ht="15.6" x14ac:dyDescent="0.3">
      <c r="A71" s="152">
        <v>2059</v>
      </c>
      <c r="B71" s="178">
        <f t="shared" si="0"/>
        <v>0</v>
      </c>
      <c r="C71" s="182">
        <f t="shared" si="7"/>
        <v>0</v>
      </c>
      <c r="D71" s="183"/>
      <c r="E71" s="179">
        <f t="shared" si="6"/>
        <v>3330870.7068408127</v>
      </c>
      <c r="F71" s="183">
        <f t="shared" si="8"/>
        <v>242676.39437845768</v>
      </c>
      <c r="G71" s="247">
        <f t="shared" si="1"/>
        <v>8.4772437801685877E-2</v>
      </c>
      <c r="H71" s="246"/>
      <c r="J71" s="182"/>
      <c r="K71" s="182"/>
      <c r="L71" s="182"/>
      <c r="M71" s="182"/>
      <c r="N71" s="163"/>
      <c r="O71" s="259" t="str">
        <f>IF($O$24="Y",IFERROR(E71*$E$6*$O$16*'Emissions Factors'!B56,""),"")</f>
        <v/>
      </c>
      <c r="P71" s="259">
        <f>IF($P$24="Y",IFERROR(($E71*($E$5/(SUMIF($G$3:$G$14,"Y",$E$3:$E$14)))*('Emissions Factors'!$R$22*$P$16)/10^6)+($E71*($E$4/(SUMIF($G$3:$G$14,"Y",$E$3:$E$14)))*('Emissions Factors'!$R$22*$P$19)/10^6),""),"")</f>
        <v>262.51832654411731</v>
      </c>
      <c r="Q71" s="259"/>
      <c r="R71" s="258"/>
      <c r="T71" s="180" t="str">
        <f t="shared" si="2"/>
        <v/>
      </c>
      <c r="U71" s="180" t="str">
        <f t="shared" si="3"/>
        <v/>
      </c>
      <c r="V71" s="177"/>
      <c r="X71" s="180">
        <f t="shared" si="4"/>
        <v>262.51832654411731</v>
      </c>
      <c r="Y71" s="180">
        <f t="shared" si="5"/>
        <v>0</v>
      </c>
    </row>
    <row r="72" spans="1:25" ht="15.6" x14ac:dyDescent="0.3">
      <c r="A72" s="152">
        <v>2060</v>
      </c>
      <c r="B72" s="178">
        <f t="shared" si="0"/>
        <v>0</v>
      </c>
      <c r="C72" s="182">
        <f t="shared" si="7"/>
        <v>0</v>
      </c>
      <c r="D72" s="183"/>
      <c r="E72" s="179">
        <f t="shared" si="6"/>
        <v>3589232.8936988725</v>
      </c>
      <c r="F72" s="183">
        <f t="shared" si="8"/>
        <v>258362.18685805984</v>
      </c>
      <c r="G72" s="247">
        <f t="shared" si="1"/>
        <v>8.5018626584506637E-2</v>
      </c>
      <c r="H72" s="246"/>
      <c r="J72" s="182"/>
      <c r="K72" s="182"/>
      <c r="L72" s="182"/>
      <c r="M72" s="182"/>
      <c r="N72" s="163"/>
      <c r="O72" s="259" t="str">
        <f>IF($O$24="Y",IFERROR(E72*$E$6*$O$16*'Emissions Factors'!B57,""),"")</f>
        <v/>
      </c>
      <c r="P72" s="259">
        <f>IF($P$24="Y",IFERROR(($E72*($E$5/(SUMIF($G$3:$G$14,"Y",$E$3:$E$14)))*('Emissions Factors'!$R$22*$P$16)/10^6)+($E72*($E$4/(SUMIF($G$3:$G$14,"Y",$E$3:$E$14)))*('Emissions Factors'!$R$22*$P$19)/10^6),""),"")</f>
        <v>282.88081278441496</v>
      </c>
      <c r="Q72" s="259"/>
      <c r="R72" s="258"/>
      <c r="T72" s="180" t="str">
        <f t="shared" si="2"/>
        <v/>
      </c>
      <c r="U72" s="180" t="str">
        <f t="shared" si="3"/>
        <v/>
      </c>
      <c r="V72" s="177"/>
      <c r="X72" s="180">
        <f t="shared" si="4"/>
        <v>282.88081278441496</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213</v>
      </c>
      <c r="E83" s="188" t="s">
        <v>211</v>
      </c>
      <c r="F83" s="188" t="s">
        <v>211</v>
      </c>
      <c r="G83" s="188" t="s">
        <v>211</v>
      </c>
      <c r="N83" s="232" t="s">
        <v>639</v>
      </c>
      <c r="O83" s="232"/>
      <c r="P83" s="232"/>
      <c r="Q83" s="232"/>
      <c r="R83" s="232"/>
      <c r="U83" s="232" t="s">
        <v>640</v>
      </c>
      <c r="V83" s="232"/>
      <c r="W83" s="232"/>
      <c r="X83" s="232"/>
      <c r="Y83" s="232"/>
      <c r="AC83" s="153" t="s">
        <v>263</v>
      </c>
    </row>
    <row r="84" spans="1:35" ht="119.4" thickBot="1" x14ac:dyDescent="0.3">
      <c r="A84" s="189"/>
      <c r="B84" s="190" t="s">
        <v>4</v>
      </c>
      <c r="C84" s="191" t="s">
        <v>5</v>
      </c>
      <c r="D84" s="191" t="str">
        <f>D136</f>
        <v>IEA (2017) ETP - Total Ground Freight (no Shipping, Airfreight) - RTS Scenario - Non OECD Region (less China, Mexico, Brazil, Russia)</v>
      </c>
      <c r="E84" s="191" t="str">
        <f>E136</f>
        <v>IEA (2017) ETP - Total freight - RTS (Only Brazil, Mexico,China, Russia)</v>
      </c>
      <c r="F84" s="191"/>
      <c r="G84" s="191"/>
      <c r="H84" s="191"/>
      <c r="I84" s="191"/>
      <c r="J84" s="191"/>
      <c r="K84" s="192"/>
      <c r="N84" s="193" t="str">
        <f>D84</f>
        <v>IEA (2017) ETP - Total Ground Freight (no Shipping, Airfreight) - RTS Scenario - Non OECD Region (less China, Mexico, Brazil, Russia)</v>
      </c>
      <c r="O84" s="193" t="str">
        <f>E84</f>
        <v>IEA (2017) ETP - Total freight - RTS (Only Brazil, Mexico,China, Russia)</v>
      </c>
      <c r="P84" s="193" t="str">
        <f>C84</f>
        <v>OECD90</v>
      </c>
      <c r="Q84" s="193" t="s">
        <v>235</v>
      </c>
      <c r="R84" s="193" t="str">
        <f>CONCATENATE("% ",$N$84)</f>
        <v>% IEA (2017) ETP - Total Ground Freight (no Shipping, Airfreight) - RTS Scenario - Non OECD Region (less China, Mexico, Brazil, Russia)</v>
      </c>
      <c r="U84" s="193" t="str">
        <f>N84</f>
        <v>IEA (2017) ETP - Total Ground Freight (no Shipping, Airfreight) - RTS Scenario - Non OECD Region (less China, Mexico, Brazil, Russia)</v>
      </c>
      <c r="V84" s="193" t="s">
        <v>10</v>
      </c>
      <c r="W84" s="193" t="str">
        <f>P84</f>
        <v>OECD90</v>
      </c>
      <c r="X84" s="193" t="s">
        <v>235</v>
      </c>
      <c r="Y84" s="193" t="str">
        <f>R84</f>
        <v>% IEA (2017) ETP - Total Ground Freight (no Shipping, Airfreight) - RTS Scenario - Non OECD Region (less China, Mexico, Brazil, Russia)</v>
      </c>
    </row>
    <row r="85" spans="1:35" ht="15.6" x14ac:dyDescent="0.3">
      <c r="A85" s="194">
        <v>2014</v>
      </c>
      <c r="B85" s="253">
        <f>(B137/Population_Tables!O3)*Population_Tables!C3</f>
        <v>114253351.42125393</v>
      </c>
      <c r="C85" s="253">
        <f>(C137/Population_Tables!P3)*Population_Tables!D3</f>
        <v>15434415.646279337</v>
      </c>
      <c r="D85" s="253">
        <f>(D137/Population_Tables!Q3)*Population_Tables!E3</f>
        <v>8851658.2651577499</v>
      </c>
      <c r="E85" s="253">
        <f>(E137/Population_Tables!R3)*Population_Tables!F3</f>
        <v>14330033.251515649</v>
      </c>
      <c r="F85" s="253">
        <f>(F137/Population_Tables!S3)*Population_Tables!G3</f>
        <v>0</v>
      </c>
      <c r="G85" s="253">
        <f>(G137/Population_Tables!T3)*Population_Tables!H3</f>
        <v>0</v>
      </c>
      <c r="H85" s="253">
        <f>(H137/Population_Tables!U3)*Population_Tables!I3</f>
        <v>0</v>
      </c>
      <c r="I85" s="253">
        <f>(I137/Population_Tables!V3)*Population_Tables!J3</f>
        <v>0</v>
      </c>
      <c r="J85" s="253">
        <f>(J137/Population_Tables!W3)*Population_Tables!K3</f>
        <v>0</v>
      </c>
      <c r="K85" s="253">
        <f>(K137/Population_Tables!X3)*Population_Tables!L3</f>
        <v>0</v>
      </c>
      <c r="N85" s="195">
        <f>D85</f>
        <v>8851658.2651577499</v>
      </c>
      <c r="O85" s="195">
        <f>E85</f>
        <v>14330033.251515649</v>
      </c>
      <c r="P85" s="195">
        <f>C85</f>
        <v>15434415.646279337</v>
      </c>
      <c r="Q85" s="195">
        <f>N85+P85+O85</f>
        <v>38616107.162952736</v>
      </c>
      <c r="R85" s="196">
        <f>N85/Q85</f>
        <v>0.22922192099284919</v>
      </c>
      <c r="U85" s="197">
        <v>0</v>
      </c>
      <c r="V85" s="195">
        <f>O85-O137</f>
        <v>-44.685324614867568</v>
      </c>
      <c r="W85" s="197">
        <v>0</v>
      </c>
      <c r="X85" s="195">
        <f>U85+V85+W85</f>
        <v>-44.685324614867568</v>
      </c>
      <c r="Y85" s="196">
        <v>0</v>
      </c>
      <c r="AC85" s="251">
        <f>(B85-B137)/((SUM(C85:G85)-SUM(C137:G137)))</f>
        <v>4.3245833927494823</v>
      </c>
      <c r="AF85" s="250">
        <f>B85</f>
        <v>114253351.42125393</v>
      </c>
      <c r="AG85" s="250">
        <f>SUM(C85:G85)</f>
        <v>38616107.162952736</v>
      </c>
      <c r="AH85" s="250">
        <f>AG85-AF85</f>
        <v>-75637244.258301198</v>
      </c>
      <c r="AI85" s="251">
        <f>AH85/AG85</f>
        <v>-1.9586967671061768</v>
      </c>
    </row>
    <row r="86" spans="1:35" ht="15.6" x14ac:dyDescent="0.3">
      <c r="A86" s="194">
        <v>2015</v>
      </c>
      <c r="B86" s="253">
        <f>(B138/Population_Tables!O4)*Population_Tables!C4</f>
        <v>113155010.47841047</v>
      </c>
      <c r="C86" s="253">
        <f>(C138/Population_Tables!P4)*Population_Tables!D4</f>
        <v>15656724.984374711</v>
      </c>
      <c r="D86" s="253">
        <f>(D138/Population_Tables!Q4)*Population_Tables!E4</f>
        <v>9328978.7202272918</v>
      </c>
      <c r="E86" s="253">
        <f>(E138/Population_Tables!R4)*Population_Tables!F4</f>
        <v>14832469.504557867</v>
      </c>
      <c r="F86" s="253">
        <f>(F138/Population_Tables!S4)*Population_Tables!G4</f>
        <v>0</v>
      </c>
      <c r="G86" s="253">
        <f>(G138/Population_Tables!T4)*Population_Tables!H4</f>
        <v>0</v>
      </c>
      <c r="H86" s="253">
        <f>(H138/Population_Tables!U4)*Population_Tables!I4</f>
        <v>0</v>
      </c>
      <c r="I86" s="253">
        <f>(I138/Population_Tables!V4)*Population_Tables!J4</f>
        <v>0</v>
      </c>
      <c r="J86" s="253">
        <f>(J138/Population_Tables!W4)*Population_Tables!K4</f>
        <v>0</v>
      </c>
      <c r="K86" s="253">
        <f>(K138/Population_Tables!X4)*Population_Tables!L4</f>
        <v>0</v>
      </c>
      <c r="N86" s="195">
        <f t="shared" ref="N86:N131" si="9">D86</f>
        <v>9328978.7202272918</v>
      </c>
      <c r="O86" s="195">
        <f t="shared" ref="O86:O131" si="10">E86</f>
        <v>14832469.504557867</v>
      </c>
      <c r="P86" s="195">
        <f t="shared" ref="P86:P131" si="11">C86</f>
        <v>15656724.984374711</v>
      </c>
      <c r="Q86" s="195">
        <f t="shared" ref="Q86:Q131" si="12">N86+P86+O86</f>
        <v>39818173.209159866</v>
      </c>
      <c r="R86" s="196">
        <f t="shared" ref="R86:R130" si="13">N86/Q86</f>
        <v>0.23428947056971544</v>
      </c>
      <c r="U86" s="197">
        <v>0</v>
      </c>
      <c r="V86" s="195">
        <f t="shared" ref="V86:W131" si="14">O86-O138</f>
        <v>-45.523363614454865</v>
      </c>
      <c r="W86" s="197">
        <v>0</v>
      </c>
      <c r="X86" s="195">
        <f>U86+V86+W86</f>
        <v>-45.523363614454865</v>
      </c>
      <c r="Y86" s="196">
        <v>0</v>
      </c>
      <c r="AC86" s="251">
        <f t="shared" ref="AC86:AC131" si="15">(B86-B138)/((SUM(C86:G86)-SUM(C138:G138)))</f>
        <v>4.1304180879833092</v>
      </c>
    </row>
    <row r="87" spans="1:35" ht="15.6" x14ac:dyDescent="0.3">
      <c r="A87" s="194">
        <v>2016</v>
      </c>
      <c r="B87" s="253">
        <f>(B139/Population_Tables!O5)*Population_Tables!C5</f>
        <v>115094199.18578364</v>
      </c>
      <c r="C87" s="253">
        <f>(C139/Population_Tables!P5)*Population_Tables!D5</f>
        <v>15939152.192342574</v>
      </c>
      <c r="D87" s="253">
        <f>(D139/Population_Tables!Q5)*Population_Tables!E5</f>
        <v>9907512.8107564747</v>
      </c>
      <c r="E87" s="253">
        <f>(E139/Population_Tables!R5)*Population_Tables!F5</f>
        <v>15461400.105476769</v>
      </c>
      <c r="F87" s="253">
        <f>(F139/Population_Tables!S5)*Population_Tables!G5</f>
        <v>0</v>
      </c>
      <c r="G87" s="253">
        <f>(G139/Population_Tables!T5)*Population_Tables!H5</f>
        <v>0</v>
      </c>
      <c r="H87" s="253">
        <f>(H139/Population_Tables!U5)*Population_Tables!I5</f>
        <v>0</v>
      </c>
      <c r="I87" s="253">
        <f>(I139/Population_Tables!V5)*Population_Tables!J5</f>
        <v>0</v>
      </c>
      <c r="J87" s="253">
        <f>(J139/Population_Tables!W5)*Population_Tables!K5</f>
        <v>0</v>
      </c>
      <c r="K87" s="253">
        <f>(K139/Population_Tables!X5)*Population_Tables!L5</f>
        <v>0</v>
      </c>
      <c r="N87" s="195">
        <f t="shared" si="9"/>
        <v>9907512.8107564747</v>
      </c>
      <c r="O87" s="195">
        <f t="shared" si="10"/>
        <v>15461400.105476769</v>
      </c>
      <c r="P87" s="195">
        <f t="shared" si="11"/>
        <v>15939152.192342574</v>
      </c>
      <c r="Q87" s="195">
        <f t="shared" si="12"/>
        <v>41308065.108575813</v>
      </c>
      <c r="R87" s="196">
        <f t="shared" si="13"/>
        <v>0.23984451425442371</v>
      </c>
      <c r="U87" s="195">
        <f>N87-N139</f>
        <v>0</v>
      </c>
      <c r="V87" s="195">
        <f>O87-O139</f>
        <v>-46.376816740259528</v>
      </c>
      <c r="W87" s="195">
        <f>P87-P139</f>
        <v>0</v>
      </c>
      <c r="X87" s="195">
        <f>U87+V87+W87</f>
        <v>-46.376816740259528</v>
      </c>
      <c r="Y87" s="196">
        <f t="shared" ref="Y87:Y131" si="16">U87/X87</f>
        <v>0</v>
      </c>
      <c r="AC87" s="251">
        <f>(B87-B139)/((SUM(C87:G87)-SUM(C139:G139)))</f>
        <v>4.0228184378010479</v>
      </c>
    </row>
    <row r="88" spans="1:35" ht="15.6" x14ac:dyDescent="0.3">
      <c r="A88" s="194">
        <v>2017</v>
      </c>
      <c r="B88" s="253">
        <f>(B140/Population_Tables!O6)*Population_Tables!C6</f>
        <v>116991997.70645301</v>
      </c>
      <c r="C88" s="253">
        <f>(C140/Population_Tables!P6)*Population_Tables!D6</f>
        <v>16231121.862325653</v>
      </c>
      <c r="D88" s="253">
        <f>(D140/Population_Tables!Q6)*Population_Tables!E6</f>
        <v>10509149.538710045</v>
      </c>
      <c r="E88" s="253">
        <f>(E140/Population_Tables!R6)*Population_Tables!F6</f>
        <v>16106323.313335896</v>
      </c>
      <c r="F88" s="253">
        <f>(F140/Population_Tables!S6)*Population_Tables!G6</f>
        <v>0</v>
      </c>
      <c r="G88" s="253">
        <f>(G140/Population_Tables!T6)*Population_Tables!H6</f>
        <v>0</v>
      </c>
      <c r="H88" s="253">
        <f>(H140/Population_Tables!U6)*Population_Tables!I6</f>
        <v>0</v>
      </c>
      <c r="I88" s="253">
        <f>(I140/Population_Tables!V6)*Population_Tables!J6</f>
        <v>0</v>
      </c>
      <c r="J88" s="253">
        <f>(J140/Population_Tables!W6)*Population_Tables!K6</f>
        <v>0</v>
      </c>
      <c r="K88" s="253">
        <f>(K140/Population_Tables!X6)*Population_Tables!L6</f>
        <v>0</v>
      </c>
      <c r="N88" s="195">
        <f t="shared" si="9"/>
        <v>10509149.538710045</v>
      </c>
      <c r="O88" s="195">
        <f t="shared" si="10"/>
        <v>16106323.313335896</v>
      </c>
      <c r="P88" s="195">
        <f t="shared" si="11"/>
        <v>16231121.862325653</v>
      </c>
      <c r="Q88" s="195">
        <f t="shared" si="12"/>
        <v>42846594.714371592</v>
      </c>
      <c r="R88" s="196">
        <f t="shared" si="13"/>
        <v>0.24527385685530498</v>
      </c>
      <c r="U88" s="195">
        <f>N88-N140</f>
        <v>0</v>
      </c>
      <c r="V88" s="195">
        <f t="shared" si="14"/>
        <v>-47.058466797694564</v>
      </c>
      <c r="W88" s="195">
        <f t="shared" si="14"/>
        <v>0</v>
      </c>
      <c r="X88" s="195">
        <f t="shared" ref="X88:X131" si="17">U88+V88+W88</f>
        <v>-47.058466797694564</v>
      </c>
      <c r="Y88" s="196">
        <f t="shared" si="16"/>
        <v>0</v>
      </c>
      <c r="AC88" s="251">
        <f t="shared" si="15"/>
        <v>3.9179545877785857</v>
      </c>
    </row>
    <row r="89" spans="1:35" ht="15.6" x14ac:dyDescent="0.3">
      <c r="A89" s="194">
        <v>2018</v>
      </c>
      <c r="B89" s="253">
        <f>(B141/Population_Tables!O7)*Population_Tables!C7</f>
        <v>118858297.65396814</v>
      </c>
      <c r="C89" s="253">
        <f>(C141/Population_Tables!P7)*Population_Tables!D7</f>
        <v>16532324.439675147</v>
      </c>
      <c r="D89" s="253">
        <f>(D141/Population_Tables!Q7)*Population_Tables!E7</f>
        <v>11132997.684636924</v>
      </c>
      <c r="E89" s="253">
        <f>(E141/Population_Tables!R7)*Population_Tables!F7</f>
        <v>16766511.475649668</v>
      </c>
      <c r="F89" s="253">
        <f>(F141/Population_Tables!S7)*Population_Tables!G7</f>
        <v>0</v>
      </c>
      <c r="G89" s="253">
        <f>(G141/Population_Tables!T7)*Population_Tables!H7</f>
        <v>0</v>
      </c>
      <c r="H89" s="253">
        <f>(H141/Population_Tables!U7)*Population_Tables!I7</f>
        <v>0</v>
      </c>
      <c r="I89" s="253">
        <f>(I141/Population_Tables!V7)*Population_Tables!J7</f>
        <v>0</v>
      </c>
      <c r="J89" s="253">
        <f>(J141/Population_Tables!W7)*Population_Tables!K7</f>
        <v>0</v>
      </c>
      <c r="K89" s="253">
        <f>(K141/Population_Tables!X7)*Population_Tables!L7</f>
        <v>0</v>
      </c>
      <c r="N89" s="195">
        <f t="shared" si="9"/>
        <v>11132997.684636924</v>
      </c>
      <c r="O89" s="195">
        <f t="shared" si="10"/>
        <v>16766511.475649668</v>
      </c>
      <c r="P89" s="195">
        <f t="shared" si="11"/>
        <v>16532324.439675147</v>
      </c>
      <c r="Q89" s="195">
        <f t="shared" si="12"/>
        <v>44431833.599961743</v>
      </c>
      <c r="R89" s="196">
        <f t="shared" si="13"/>
        <v>0.25056354380672036</v>
      </c>
      <c r="U89" s="195">
        <f t="shared" ref="U89:U131" si="18">N89-N141</f>
        <v>0</v>
      </c>
      <c r="V89" s="195">
        <f t="shared" si="14"/>
        <v>-47.564342288300395</v>
      </c>
      <c r="W89" s="195">
        <f t="shared" si="14"/>
        <v>0</v>
      </c>
      <c r="X89" s="195">
        <f t="shared" si="17"/>
        <v>-47.564342288300395</v>
      </c>
      <c r="Y89" s="196">
        <f t="shared" si="16"/>
        <v>0</v>
      </c>
      <c r="AC89" s="251">
        <f t="shared" si="15"/>
        <v>3.8162390431036131</v>
      </c>
    </row>
    <row r="90" spans="1:35" ht="16.2" thickBot="1" x14ac:dyDescent="0.35">
      <c r="A90" s="198">
        <v>2019</v>
      </c>
      <c r="B90" s="253">
        <f>(B142/Population_Tables!O8)*Population_Tables!C8</f>
        <v>120702989.73409142</v>
      </c>
      <c r="C90" s="253">
        <f>(C142/Population_Tables!P8)*Population_Tables!D8</f>
        <v>16842450.369742259</v>
      </c>
      <c r="D90" s="253">
        <f>(D142/Population_Tables!Q8)*Population_Tables!E8</f>
        <v>11778166.029086035</v>
      </c>
      <c r="E90" s="253">
        <f>(E142/Population_Tables!R8)*Population_Tables!F8</f>
        <v>17441236.694023237</v>
      </c>
      <c r="F90" s="253">
        <f>(F142/Population_Tables!S8)*Population_Tables!G8</f>
        <v>0</v>
      </c>
      <c r="G90" s="253">
        <f>(G142/Population_Tables!T8)*Population_Tables!H8</f>
        <v>0</v>
      </c>
      <c r="H90" s="253">
        <f>(H142/Population_Tables!U8)*Population_Tables!I8</f>
        <v>0</v>
      </c>
      <c r="I90" s="253">
        <f>(I142/Population_Tables!V8)*Population_Tables!J8</f>
        <v>0</v>
      </c>
      <c r="J90" s="253">
        <f>(J142/Population_Tables!W8)*Population_Tables!K8</f>
        <v>0</v>
      </c>
      <c r="K90" s="253">
        <f>(K142/Population_Tables!X8)*Population_Tables!L8</f>
        <v>0</v>
      </c>
      <c r="N90" s="195">
        <f t="shared" si="9"/>
        <v>11778166.029086035</v>
      </c>
      <c r="O90" s="195">
        <f t="shared" si="10"/>
        <v>17441236.694023237</v>
      </c>
      <c r="P90" s="195">
        <f t="shared" si="11"/>
        <v>16842450.369742259</v>
      </c>
      <c r="Q90" s="195">
        <f t="shared" si="12"/>
        <v>46061853.092851534</v>
      </c>
      <c r="R90" s="199">
        <f t="shared" si="13"/>
        <v>0.25570326068609517</v>
      </c>
      <c r="U90" s="200">
        <f t="shared" si="18"/>
        <v>0</v>
      </c>
      <c r="V90" s="195">
        <f t="shared" si="14"/>
        <v>-48.136380989104509</v>
      </c>
      <c r="W90" s="200">
        <f t="shared" si="14"/>
        <v>0</v>
      </c>
      <c r="X90" s="195">
        <f t="shared" si="17"/>
        <v>-48.136380989104509</v>
      </c>
      <c r="Y90" s="199">
        <f t="shared" si="16"/>
        <v>0</v>
      </c>
      <c r="AC90" s="251">
        <f t="shared" si="15"/>
        <v>3.7179633774389016</v>
      </c>
    </row>
    <row r="91" spans="1:35" ht="15.6" x14ac:dyDescent="0.3">
      <c r="A91" s="201">
        <v>2020</v>
      </c>
      <c r="B91" s="253">
        <f>(B143/Population_Tables!O9)*Population_Tables!C9</f>
        <v>122535965.5646131</v>
      </c>
      <c r="C91" s="253">
        <f>(C143/Population_Tables!P9)*Population_Tables!D9</f>
        <v>17161190.097878199</v>
      </c>
      <c r="D91" s="253">
        <f>(D143/Population_Tables!Q9)*Population_Tables!E9</f>
        <v>12443763.352606304</v>
      </c>
      <c r="E91" s="253">
        <f>(E143/Population_Tables!R9)*Population_Tables!F9</f>
        <v>18129771.290949874</v>
      </c>
      <c r="F91" s="253">
        <f>(F143/Population_Tables!S9)*Population_Tables!G9</f>
        <v>0</v>
      </c>
      <c r="G91" s="253">
        <f>(G143/Population_Tables!T9)*Population_Tables!H9</f>
        <v>0</v>
      </c>
      <c r="H91" s="253">
        <f>(H143/Population_Tables!U9)*Population_Tables!I9</f>
        <v>0</v>
      </c>
      <c r="I91" s="253">
        <f>(I143/Population_Tables!V9)*Population_Tables!J9</f>
        <v>0</v>
      </c>
      <c r="J91" s="253">
        <f>(J143/Population_Tables!W9)*Population_Tables!K9</f>
        <v>0</v>
      </c>
      <c r="K91" s="253">
        <f>(K143/Population_Tables!X9)*Population_Tables!L9</f>
        <v>0</v>
      </c>
      <c r="L91" s="202"/>
      <c r="M91" s="202"/>
      <c r="N91" s="195">
        <f t="shared" si="9"/>
        <v>12443763.352606304</v>
      </c>
      <c r="O91" s="195">
        <f t="shared" si="10"/>
        <v>18129771.290949874</v>
      </c>
      <c r="P91" s="195">
        <f t="shared" si="11"/>
        <v>17161190.097878199</v>
      </c>
      <c r="Q91" s="195">
        <f t="shared" si="12"/>
        <v>47734724.74143438</v>
      </c>
      <c r="R91" s="203">
        <f t="shared" si="13"/>
        <v>0.26068576743682259</v>
      </c>
      <c r="S91" s="202"/>
      <c r="T91" s="202"/>
      <c r="U91" s="204">
        <f>N91-N143</f>
        <v>0</v>
      </c>
      <c r="V91" s="195">
        <f t="shared" si="14"/>
        <v>-48.795632556080818</v>
      </c>
      <c r="W91" s="204">
        <f t="shared" si="14"/>
        <v>0</v>
      </c>
      <c r="X91" s="195">
        <f t="shared" si="17"/>
        <v>-48.795632556080818</v>
      </c>
      <c r="Y91" s="205">
        <f>U91/X91</f>
        <v>0</v>
      </c>
      <c r="AC91" s="251">
        <f t="shared" si="15"/>
        <v>3.6230703198692793</v>
      </c>
    </row>
    <row r="92" spans="1:35" ht="15.6" x14ac:dyDescent="0.3">
      <c r="A92" s="206">
        <v>2021</v>
      </c>
      <c r="B92" s="253">
        <f>(B144/Population_Tables!O10)*Population_Tables!C10</f>
        <v>124524562.61169159</v>
      </c>
      <c r="C92" s="253">
        <f>(C144/Population_Tables!P10)*Population_Tables!D10</f>
        <v>17506373.373044308</v>
      </c>
      <c r="D92" s="253">
        <f>(D144/Population_Tables!Q10)*Population_Tables!E10</f>
        <v>13144474.07835732</v>
      </c>
      <c r="E92" s="253">
        <f>(E144/Population_Tables!R10)*Population_Tables!F10</f>
        <v>18853921.127275802</v>
      </c>
      <c r="F92" s="253">
        <f>(F144/Population_Tables!S10)*Population_Tables!G10</f>
        <v>0</v>
      </c>
      <c r="G92" s="253">
        <f>(G144/Population_Tables!T10)*Population_Tables!H10</f>
        <v>0</v>
      </c>
      <c r="H92" s="253">
        <f>(H144/Population_Tables!U10)*Population_Tables!I10</f>
        <v>0</v>
      </c>
      <c r="I92" s="253">
        <f>(I144/Population_Tables!V10)*Population_Tables!J10</f>
        <v>0</v>
      </c>
      <c r="J92" s="253">
        <f>(J144/Population_Tables!W10)*Population_Tables!K10</f>
        <v>0</v>
      </c>
      <c r="K92" s="253">
        <f>(K144/Population_Tables!X10)*Population_Tables!L10</f>
        <v>0</v>
      </c>
      <c r="L92" s="170"/>
      <c r="M92" s="170"/>
      <c r="N92" s="195">
        <f t="shared" si="9"/>
        <v>13144474.07835732</v>
      </c>
      <c r="O92" s="195">
        <f t="shared" si="10"/>
        <v>18853921.127275802</v>
      </c>
      <c r="P92" s="195">
        <f t="shared" si="11"/>
        <v>17506373.373044308</v>
      </c>
      <c r="Q92" s="195">
        <f t="shared" si="12"/>
        <v>49504768.578677431</v>
      </c>
      <c r="R92" s="196">
        <f t="shared" si="13"/>
        <v>0.26551935208962629</v>
      </c>
      <c r="S92" s="170"/>
      <c r="T92" s="170"/>
      <c r="U92" s="195">
        <f t="shared" si="18"/>
        <v>15575.642610669136</v>
      </c>
      <c r="V92" s="195">
        <f t="shared" si="14"/>
        <v>22483.975206315517</v>
      </c>
      <c r="W92" s="195">
        <f t="shared" si="14"/>
        <v>18139.30361014232</v>
      </c>
      <c r="X92" s="195">
        <f t="shared" si="17"/>
        <v>56198.921427126974</v>
      </c>
      <c r="Y92" s="207">
        <f t="shared" si="16"/>
        <v>0.27715198468472457</v>
      </c>
      <c r="AC92" s="251">
        <f t="shared" si="15"/>
        <v>2.7984666873901958</v>
      </c>
    </row>
    <row r="93" spans="1:35" ht="15.6" x14ac:dyDescent="0.3">
      <c r="A93" s="206">
        <v>2022</v>
      </c>
      <c r="B93" s="253">
        <f>(B145/Population_Tables!O11)*Population_Tables!C11</f>
        <v>126563508.88304071</v>
      </c>
      <c r="C93" s="253">
        <f>(C145/Population_Tables!P11)*Population_Tables!D11</f>
        <v>17865354.293803867</v>
      </c>
      <c r="D93" s="253">
        <f>(D145/Population_Tables!Q11)*Population_Tables!E11</f>
        <v>13868297.279566651</v>
      </c>
      <c r="E93" s="253">
        <f>(E145/Population_Tables!R11)*Population_Tables!F11</f>
        <v>19599605.906977475</v>
      </c>
      <c r="F93" s="253">
        <f>(F145/Population_Tables!S11)*Population_Tables!G11</f>
        <v>0</v>
      </c>
      <c r="G93" s="253">
        <f>(G145/Population_Tables!T11)*Population_Tables!H11</f>
        <v>0</v>
      </c>
      <c r="H93" s="253">
        <f>(H145/Population_Tables!U11)*Population_Tables!I11</f>
        <v>0</v>
      </c>
      <c r="I93" s="253">
        <f>(I145/Population_Tables!V11)*Population_Tables!J11</f>
        <v>0</v>
      </c>
      <c r="J93" s="253">
        <f>(J145/Population_Tables!W11)*Population_Tables!K11</f>
        <v>0</v>
      </c>
      <c r="K93" s="253">
        <f>(K145/Population_Tables!X11)*Population_Tables!L11</f>
        <v>0</v>
      </c>
      <c r="L93" s="170"/>
      <c r="M93" s="170"/>
      <c r="N93" s="195">
        <f t="shared" si="9"/>
        <v>13868297.279566651</v>
      </c>
      <c r="O93" s="195">
        <f t="shared" si="10"/>
        <v>19599605.906977475</v>
      </c>
      <c r="P93" s="195">
        <f t="shared" si="11"/>
        <v>17865354.293803867</v>
      </c>
      <c r="Q93" s="195">
        <f t="shared" si="12"/>
        <v>51333257.480347991</v>
      </c>
      <c r="R93" s="196">
        <f t="shared" si="13"/>
        <v>0.27016203452266552</v>
      </c>
      <c r="S93" s="170"/>
      <c r="T93" s="170"/>
      <c r="U93" s="195">
        <f t="shared" si="18"/>
        <v>35617.220510652289</v>
      </c>
      <c r="V93" s="195">
        <f t="shared" si="14"/>
        <v>54197.536569148302</v>
      </c>
      <c r="W93" s="195">
        <f t="shared" si="14"/>
        <v>42081.564042504877</v>
      </c>
      <c r="X93" s="195">
        <f t="shared" si="17"/>
        <v>131896.32112230547</v>
      </c>
      <c r="Y93" s="207">
        <f t="shared" si="16"/>
        <v>0.27003952959101096</v>
      </c>
      <c r="AC93" s="251">
        <f t="shared" si="15"/>
        <v>2.7066726060592909</v>
      </c>
    </row>
    <row r="94" spans="1:35" ht="15.6" x14ac:dyDescent="0.3">
      <c r="A94" s="206">
        <v>2023</v>
      </c>
      <c r="B94" s="253">
        <f>(B146/Population_Tables!O12)*Population_Tables!C12</f>
        <v>128657983.10372443</v>
      </c>
      <c r="C94" s="253">
        <f>(C146/Population_Tables!P12)*Population_Tables!D12</f>
        <v>18237258.673661649</v>
      </c>
      <c r="D94" s="253">
        <f>(D146/Population_Tables!Q12)*Population_Tables!E12</f>
        <v>14614519.602393869</v>
      </c>
      <c r="E94" s="253">
        <f>(E146/Population_Tables!R12)*Population_Tables!F12</f>
        <v>20365387.756746642</v>
      </c>
      <c r="F94" s="253">
        <f>(F146/Population_Tables!S12)*Population_Tables!G12</f>
        <v>0</v>
      </c>
      <c r="G94" s="253">
        <f>(G146/Population_Tables!T12)*Population_Tables!H12</f>
        <v>0</v>
      </c>
      <c r="H94" s="253">
        <f>(H146/Population_Tables!U12)*Population_Tables!I12</f>
        <v>0</v>
      </c>
      <c r="I94" s="253">
        <f>(I146/Population_Tables!V12)*Population_Tables!J12</f>
        <v>0</v>
      </c>
      <c r="J94" s="253">
        <f>(J146/Population_Tables!W12)*Population_Tables!K12</f>
        <v>0</v>
      </c>
      <c r="K94" s="253">
        <f>(K146/Population_Tables!X12)*Population_Tables!L12</f>
        <v>0</v>
      </c>
      <c r="L94" s="170"/>
      <c r="M94" s="170"/>
      <c r="N94" s="195">
        <f t="shared" si="9"/>
        <v>14614519.602393869</v>
      </c>
      <c r="O94" s="195">
        <f t="shared" si="10"/>
        <v>20365387.756746642</v>
      </c>
      <c r="P94" s="195">
        <f t="shared" si="11"/>
        <v>18237258.673661649</v>
      </c>
      <c r="Q94" s="195">
        <f t="shared" si="12"/>
        <v>53217166.032802165</v>
      </c>
      <c r="R94" s="196">
        <f t="shared" si="13"/>
        <v>0.27462040337483823</v>
      </c>
      <c r="S94" s="170"/>
      <c r="T94" s="170"/>
      <c r="U94" s="195">
        <f>N94-N146</f>
        <v>60302.59931059368</v>
      </c>
      <c r="V94" s="195">
        <f t="shared" si="14"/>
        <v>94381.671604767442</v>
      </c>
      <c r="W94" s="195">
        <f t="shared" si="14"/>
        <v>71262.149450652301</v>
      </c>
      <c r="X94" s="195">
        <f t="shared" si="17"/>
        <v>225946.42036601342</v>
      </c>
      <c r="Y94" s="207">
        <f t="shared" si="16"/>
        <v>0.26688893416814813</v>
      </c>
      <c r="AC94" s="251">
        <f t="shared" si="15"/>
        <v>2.6302621022154762</v>
      </c>
    </row>
    <row r="95" spans="1:35" ht="15.6" x14ac:dyDescent="0.3">
      <c r="A95" s="206">
        <v>2024</v>
      </c>
      <c r="B95" s="253">
        <f>(B147/Population_Tables!O13)*Population_Tables!C13</f>
        <v>130815870.42912826</v>
      </c>
      <c r="C95" s="253">
        <f>(C147/Population_Tables!P13)*Population_Tables!D13</f>
        <v>18621329.172067862</v>
      </c>
      <c r="D95" s="253">
        <f>(D147/Population_Tables!Q13)*Population_Tables!E13</f>
        <v>15382357.640320877</v>
      </c>
      <c r="E95" s="253">
        <f>(E147/Population_Tables!R13)*Population_Tables!F13</f>
        <v>21150009.484050117</v>
      </c>
      <c r="F95" s="253">
        <f>(F147/Population_Tables!S13)*Population_Tables!G13</f>
        <v>0</v>
      </c>
      <c r="G95" s="253">
        <f>(G147/Population_Tables!T13)*Population_Tables!H13</f>
        <v>0</v>
      </c>
      <c r="H95" s="253">
        <f>(H147/Population_Tables!U13)*Population_Tables!I13</f>
        <v>0</v>
      </c>
      <c r="I95" s="253">
        <f>(I147/Population_Tables!V13)*Population_Tables!J13</f>
        <v>0</v>
      </c>
      <c r="J95" s="253">
        <f>(J147/Population_Tables!W13)*Population_Tables!K13</f>
        <v>0</v>
      </c>
      <c r="K95" s="253">
        <f>(K147/Population_Tables!X13)*Population_Tables!L13</f>
        <v>0</v>
      </c>
      <c r="L95" s="170"/>
      <c r="M95" s="170"/>
      <c r="N95" s="195">
        <f t="shared" si="9"/>
        <v>15382357.640320877</v>
      </c>
      <c r="O95" s="195">
        <f t="shared" si="10"/>
        <v>21150009.484050117</v>
      </c>
      <c r="P95" s="195">
        <f t="shared" si="11"/>
        <v>18621329.172067862</v>
      </c>
      <c r="Q95" s="195">
        <f t="shared" si="12"/>
        <v>55153696.296438858</v>
      </c>
      <c r="R95" s="196">
        <f t="shared" si="13"/>
        <v>0.27889985029551101</v>
      </c>
      <c r="S95" s="170"/>
      <c r="T95" s="170"/>
      <c r="U95" s="195">
        <f t="shared" si="18"/>
        <v>89739.591943480074</v>
      </c>
      <c r="V95" s="195">
        <f t="shared" si="14"/>
        <v>142506.84423705935</v>
      </c>
      <c r="W95" s="195">
        <f t="shared" si="14"/>
        <v>105233.27393360063</v>
      </c>
      <c r="X95" s="195">
        <f t="shared" si="17"/>
        <v>337479.71011414006</v>
      </c>
      <c r="Y95" s="207">
        <f t="shared" si="16"/>
        <v>0.26591107332979802</v>
      </c>
      <c r="AC95" s="251">
        <f t="shared" si="15"/>
        <v>2.5695136727187009</v>
      </c>
    </row>
    <row r="96" spans="1:35" ht="15.6" x14ac:dyDescent="0.3">
      <c r="A96" s="206">
        <v>2025</v>
      </c>
      <c r="B96" s="253">
        <f>(B148/Population_Tables!O14)*Population_Tables!C14</f>
        <v>133045788.50848261</v>
      </c>
      <c r="C96" s="253">
        <f>(C148/Population_Tables!P14)*Population_Tables!D14</f>
        <v>18832288.891123246</v>
      </c>
      <c r="D96" s="253">
        <f>(D148/Population_Tables!Q14)*Population_Tables!E14</f>
        <v>15870122.564513022</v>
      </c>
      <c r="E96" s="253">
        <f>(E148/Population_Tables!R14)*Population_Tables!F14</f>
        <v>21519138.637149084</v>
      </c>
      <c r="F96" s="253">
        <f>(F148/Population_Tables!S14)*Population_Tables!G14</f>
        <v>0</v>
      </c>
      <c r="G96" s="253">
        <f>(G148/Population_Tables!T14)*Population_Tables!H14</f>
        <v>0</v>
      </c>
      <c r="H96" s="253">
        <f>(H148/Population_Tables!U14)*Population_Tables!I14</f>
        <v>0</v>
      </c>
      <c r="I96" s="253">
        <f>(I148/Population_Tables!V14)*Population_Tables!J14</f>
        <v>0</v>
      </c>
      <c r="J96" s="253">
        <f>(J148/Population_Tables!W14)*Population_Tables!K14</f>
        <v>0</v>
      </c>
      <c r="K96" s="253">
        <f>(K148/Population_Tables!X14)*Population_Tables!L14</f>
        <v>0</v>
      </c>
      <c r="L96" s="170"/>
      <c r="M96" s="170"/>
      <c r="N96" s="195">
        <f t="shared" si="9"/>
        <v>15870122.564513022</v>
      </c>
      <c r="O96" s="195">
        <f t="shared" si="10"/>
        <v>21519138.637149084</v>
      </c>
      <c r="P96" s="195">
        <f t="shared" si="11"/>
        <v>18832288.891123246</v>
      </c>
      <c r="Q96" s="195">
        <f t="shared" si="12"/>
        <v>56221550.092785358</v>
      </c>
      <c r="R96" s="196">
        <f t="shared" si="13"/>
        <v>0.28227828187450776</v>
      </c>
      <c r="S96" s="170"/>
      <c r="T96" s="170"/>
      <c r="U96" s="195">
        <f t="shared" si="18"/>
        <v>121781.45013171248</v>
      </c>
      <c r="V96" s="195">
        <f t="shared" si="14"/>
        <v>194293.72561221197</v>
      </c>
      <c r="W96" s="195">
        <f t="shared" si="14"/>
        <v>142274.77013338357</v>
      </c>
      <c r="X96" s="195">
        <f t="shared" si="17"/>
        <v>458349.94587730803</v>
      </c>
      <c r="Y96" s="207">
        <f t="shared" si="16"/>
        <v>0.26569535183126469</v>
      </c>
      <c r="AC96" s="251">
        <f t="shared" si="15"/>
        <v>2.5620323722236482</v>
      </c>
    </row>
    <row r="97" spans="1:29" ht="15.6" x14ac:dyDescent="0.3">
      <c r="A97" s="206">
        <v>2026</v>
      </c>
      <c r="B97" s="253">
        <f>(B149/Population_Tables!O15)*Population_Tables!C15</f>
        <v>135356331.68374544</v>
      </c>
      <c r="C97" s="253">
        <f>(C149/Population_Tables!P15)*Population_Tables!D15</f>
        <v>19423573.69369125</v>
      </c>
      <c r="D97" s="253">
        <f>(D149/Population_Tables!Q15)*Population_Tables!E15</f>
        <v>16980230.034252513</v>
      </c>
      <c r="E97" s="253">
        <f>(E149/Population_Tables!R15)*Population_Tables!F15</f>
        <v>22771565.394452699</v>
      </c>
      <c r="F97" s="253">
        <f>(F149/Population_Tables!S15)*Population_Tables!G15</f>
        <v>0</v>
      </c>
      <c r="G97" s="253">
        <f>(G149/Population_Tables!T15)*Population_Tables!H15</f>
        <v>0</v>
      </c>
      <c r="H97" s="253">
        <f>(H149/Population_Tables!U15)*Population_Tables!I15</f>
        <v>0</v>
      </c>
      <c r="I97" s="253">
        <f>(I149/Population_Tables!V15)*Population_Tables!J15</f>
        <v>0</v>
      </c>
      <c r="J97" s="253">
        <f>(J149/Population_Tables!W15)*Population_Tables!K15</f>
        <v>0</v>
      </c>
      <c r="K97" s="253">
        <f>(K149/Population_Tables!X15)*Population_Tables!L15</f>
        <v>0</v>
      </c>
      <c r="L97" s="170"/>
      <c r="M97" s="170"/>
      <c r="N97" s="195">
        <f t="shared" si="9"/>
        <v>16980230.034252513</v>
      </c>
      <c r="O97" s="195">
        <f t="shared" si="10"/>
        <v>22771565.394452699</v>
      </c>
      <c r="P97" s="195">
        <f t="shared" si="11"/>
        <v>19423573.69369125</v>
      </c>
      <c r="Q97" s="195">
        <f t="shared" si="12"/>
        <v>59175369.122396462</v>
      </c>
      <c r="R97" s="196">
        <f t="shared" si="13"/>
        <v>0.28694759806451131</v>
      </c>
      <c r="S97" s="170"/>
      <c r="T97" s="170"/>
      <c r="U97" s="195">
        <f>N97-N149</f>
        <v>163782.4692906253</v>
      </c>
      <c r="V97" s="195">
        <f t="shared" si="14"/>
        <v>261283.75131267682</v>
      </c>
      <c r="W97" s="195">
        <f t="shared" si="14"/>
        <v>186390.52788472176</v>
      </c>
      <c r="X97" s="195">
        <f t="shared" si="17"/>
        <v>611456.74848802388</v>
      </c>
      <c r="Y97" s="207">
        <f t="shared" si="16"/>
        <v>0.26785618066301087</v>
      </c>
      <c r="AC97" s="251">
        <f t="shared" si="15"/>
        <v>2.4767851264843475</v>
      </c>
    </row>
    <row r="98" spans="1:29" ht="15.6" x14ac:dyDescent="0.3">
      <c r="A98" s="206">
        <v>2027</v>
      </c>
      <c r="B98" s="253">
        <f>(B150/Population_Tables!O16)*Population_Tables!C16</f>
        <v>137756325.33895871</v>
      </c>
      <c r="C98" s="253">
        <f>(C150/Population_Tables!P16)*Population_Tables!D16</f>
        <v>19840911.273213793</v>
      </c>
      <c r="D98" s="253">
        <f>(D150/Population_Tables!Q16)*Population_Tables!E16</f>
        <v>17809413.163644239</v>
      </c>
      <c r="E98" s="253">
        <f>(E150/Population_Tables!R16)*Population_Tables!F16</f>
        <v>23606885.205648627</v>
      </c>
      <c r="F98" s="253">
        <f>(F150/Population_Tables!S16)*Population_Tables!G16</f>
        <v>0</v>
      </c>
      <c r="G98" s="253">
        <f>(G150/Population_Tables!T16)*Population_Tables!H16</f>
        <v>0</v>
      </c>
      <c r="H98" s="253">
        <f>(H150/Population_Tables!U16)*Population_Tables!I16</f>
        <v>0</v>
      </c>
      <c r="I98" s="253">
        <f>(I150/Population_Tables!V16)*Population_Tables!J16</f>
        <v>0</v>
      </c>
      <c r="J98" s="253">
        <f>(J150/Population_Tables!W16)*Population_Tables!K16</f>
        <v>0</v>
      </c>
      <c r="K98" s="253">
        <f>(K150/Population_Tables!X16)*Population_Tables!L16</f>
        <v>0</v>
      </c>
      <c r="L98" s="170"/>
      <c r="M98" s="170"/>
      <c r="N98" s="195">
        <f t="shared" si="9"/>
        <v>17809413.163644239</v>
      </c>
      <c r="O98" s="195">
        <f t="shared" si="10"/>
        <v>23606885.205648627</v>
      </c>
      <c r="P98" s="195">
        <f t="shared" si="11"/>
        <v>19840911.273213793</v>
      </c>
      <c r="Q98" s="195">
        <f t="shared" si="12"/>
        <v>61257209.642506659</v>
      </c>
      <c r="R98" s="196">
        <f t="shared" si="13"/>
        <v>0.29073170762394973</v>
      </c>
      <c r="S98" s="170"/>
      <c r="T98" s="170"/>
      <c r="U98" s="195">
        <f t="shared" si="18"/>
        <v>209319.56629414111</v>
      </c>
      <c r="V98" s="195">
        <f t="shared" si="14"/>
        <v>331776.42676697671</v>
      </c>
      <c r="W98" s="195">
        <f t="shared" si="14"/>
        <v>233359.32295586541</v>
      </c>
      <c r="X98" s="195">
        <f t="shared" si="17"/>
        <v>774455.31601698324</v>
      </c>
      <c r="Y98" s="207">
        <f t="shared" si="16"/>
        <v>0.27027972042424575</v>
      </c>
      <c r="AC98" s="251">
        <f t="shared" si="15"/>
        <v>2.4359199811382157</v>
      </c>
    </row>
    <row r="99" spans="1:29" ht="15.6" x14ac:dyDescent="0.3">
      <c r="A99" s="206">
        <v>2028</v>
      </c>
      <c r="B99" s="253">
        <f>(B151/Population_Tables!O17)*Population_Tables!C17</f>
        <v>140256166.95080429</v>
      </c>
      <c r="C99" s="253">
        <f>(C151/Population_Tables!P17)*Population_Tables!D17</f>
        <v>20268740.121335119</v>
      </c>
      <c r="D99" s="253">
        <f>(D151/Population_Tables!Q17)*Population_Tables!E17</f>
        <v>18658064.347922724</v>
      </c>
      <c r="E99" s="253">
        <f>(E151/Population_Tables!R17)*Population_Tables!F17</f>
        <v>24457921.917859577</v>
      </c>
      <c r="F99" s="253">
        <f>(F151/Population_Tables!S17)*Population_Tables!G17</f>
        <v>0</v>
      </c>
      <c r="G99" s="253">
        <f>(G151/Population_Tables!T17)*Population_Tables!H17</f>
        <v>0</v>
      </c>
      <c r="H99" s="253">
        <f>(H151/Population_Tables!U17)*Population_Tables!I17</f>
        <v>0</v>
      </c>
      <c r="I99" s="253">
        <f>(I151/Population_Tables!V17)*Population_Tables!J17</f>
        <v>0</v>
      </c>
      <c r="J99" s="253">
        <f>(J151/Population_Tables!W17)*Population_Tables!K17</f>
        <v>0</v>
      </c>
      <c r="K99" s="253">
        <f>(K151/Population_Tables!X17)*Population_Tables!L17</f>
        <v>0</v>
      </c>
      <c r="L99" s="170"/>
      <c r="M99" s="170"/>
      <c r="N99" s="195">
        <f t="shared" si="9"/>
        <v>18658064.347922724</v>
      </c>
      <c r="O99" s="195">
        <f t="shared" si="10"/>
        <v>24457921.917859577</v>
      </c>
      <c r="P99" s="195">
        <f t="shared" si="11"/>
        <v>20268740.121335119</v>
      </c>
      <c r="Q99" s="195">
        <f t="shared" si="12"/>
        <v>63384726.387117423</v>
      </c>
      <c r="R99" s="196">
        <f t="shared" si="13"/>
        <v>0.29436215018062878</v>
      </c>
      <c r="S99" s="170"/>
      <c r="T99" s="170"/>
      <c r="U99" s="195">
        <f t="shared" si="18"/>
        <v>261025.49472187459</v>
      </c>
      <c r="V99" s="195">
        <f t="shared" si="14"/>
        <v>409997.7891269587</v>
      </c>
      <c r="W99" s="195">
        <f t="shared" si="14"/>
        <v>284682.0257473439</v>
      </c>
      <c r="X99" s="195">
        <f t="shared" si="17"/>
        <v>955705.30959617719</v>
      </c>
      <c r="Y99" s="207">
        <f t="shared" si="16"/>
        <v>0.27312341168447424</v>
      </c>
      <c r="AC99" s="251">
        <f t="shared" si="15"/>
        <v>2.3971885173048508</v>
      </c>
    </row>
    <row r="100" spans="1:29" ht="15.6" x14ac:dyDescent="0.3">
      <c r="A100" s="206">
        <v>2029</v>
      </c>
      <c r="B100" s="253">
        <f>(B152/Population_Tables!O18)*Population_Tables!C18</f>
        <v>142866872.42827418</v>
      </c>
      <c r="C100" s="253">
        <f>(C152/Population_Tables!P18)*Population_Tables!D18</f>
        <v>20706957.258734424</v>
      </c>
      <c r="D100" s="253">
        <f>(D152/Population_Tables!Q18)*Population_Tables!E18</f>
        <v>19525554.01636995</v>
      </c>
      <c r="E100" s="253">
        <f>(E152/Population_Tables!R18)*Population_Tables!F18</f>
        <v>25324474.64853847</v>
      </c>
      <c r="F100" s="253">
        <f>(F152/Population_Tables!S18)*Population_Tables!G18</f>
        <v>0</v>
      </c>
      <c r="G100" s="253">
        <f>(G152/Population_Tables!T18)*Population_Tables!H18</f>
        <v>0</v>
      </c>
      <c r="H100" s="253">
        <f>(H152/Population_Tables!U18)*Population_Tables!I18</f>
        <v>0</v>
      </c>
      <c r="I100" s="253">
        <f>(I152/Population_Tables!V18)*Population_Tables!J18</f>
        <v>0</v>
      </c>
      <c r="J100" s="253">
        <f>(J152/Population_Tables!W18)*Population_Tables!K18</f>
        <v>0</v>
      </c>
      <c r="K100" s="253">
        <f>(K152/Population_Tables!X18)*Population_Tables!L18</f>
        <v>0</v>
      </c>
      <c r="L100" s="170"/>
      <c r="M100" s="170"/>
      <c r="N100" s="195">
        <f t="shared" si="9"/>
        <v>19525554.01636995</v>
      </c>
      <c r="O100" s="195">
        <f t="shared" si="10"/>
        <v>25324474.64853847</v>
      </c>
      <c r="P100" s="195">
        <f t="shared" si="11"/>
        <v>20706957.258734424</v>
      </c>
      <c r="Q100" s="195">
        <f t="shared" si="12"/>
        <v>65556985.923642844</v>
      </c>
      <c r="R100" s="196">
        <f t="shared" si="13"/>
        <v>0.29784093550475671</v>
      </c>
      <c r="S100" s="170"/>
      <c r="T100" s="170"/>
      <c r="U100" s="195">
        <f t="shared" si="18"/>
        <v>319161.90330688655</v>
      </c>
      <c r="V100" s="195">
        <f t="shared" si="14"/>
        <v>496474.61230262741</v>
      </c>
      <c r="W100" s="195">
        <f t="shared" si="14"/>
        <v>340565.2115871422</v>
      </c>
      <c r="X100" s="195">
        <f t="shared" si="17"/>
        <v>1156201.7271966562</v>
      </c>
      <c r="Y100" s="207">
        <f t="shared" si="16"/>
        <v>0.27604344103578815</v>
      </c>
      <c r="AC100" s="251">
        <f t="shared" si="15"/>
        <v>2.360362377259885</v>
      </c>
    </row>
    <row r="101" spans="1:29" ht="15.6" x14ac:dyDescent="0.3">
      <c r="A101" s="206">
        <v>2030</v>
      </c>
      <c r="B101" s="253">
        <f>(B153/Population_Tables!O19)*Population_Tables!C19</f>
        <v>145599732.67589664</v>
      </c>
      <c r="C101" s="253">
        <f>(C153/Population_Tables!P19)*Population_Tables!D19</f>
        <v>21158526.241152916</v>
      </c>
      <c r="D101" s="253">
        <f>(D153/Population_Tables!Q19)*Population_Tables!E19</f>
        <v>20448368.107632112</v>
      </c>
      <c r="E101" s="253">
        <f>(E153/Population_Tables!R19)*Population_Tables!F19</f>
        <v>26283660.250382189</v>
      </c>
      <c r="F101" s="253">
        <f>(F153/Population_Tables!S19)*Population_Tables!G19</f>
        <v>0</v>
      </c>
      <c r="G101" s="253">
        <f>(G153/Population_Tables!T19)*Population_Tables!H19</f>
        <v>0</v>
      </c>
      <c r="H101" s="253">
        <f>(H153/Population_Tables!U19)*Population_Tables!I19</f>
        <v>0</v>
      </c>
      <c r="I101" s="253">
        <f>(I153/Population_Tables!V19)*Population_Tables!J19</f>
        <v>0</v>
      </c>
      <c r="J101" s="253">
        <f>(J153/Population_Tables!W19)*Population_Tables!K19</f>
        <v>0</v>
      </c>
      <c r="K101" s="253">
        <f>(K153/Population_Tables!X19)*Population_Tables!L19</f>
        <v>0</v>
      </c>
      <c r="L101" s="170"/>
      <c r="M101" s="170"/>
      <c r="N101" s="195">
        <f t="shared" si="9"/>
        <v>20448368.107632112</v>
      </c>
      <c r="O101" s="195">
        <f t="shared" si="10"/>
        <v>26283660.250382189</v>
      </c>
      <c r="P101" s="195">
        <f t="shared" si="11"/>
        <v>21158526.241152916</v>
      </c>
      <c r="Q101" s="195">
        <f t="shared" si="12"/>
        <v>67890554.599167213</v>
      </c>
      <c r="R101" s="196">
        <f t="shared" si="13"/>
        <v>0.30119606811818478</v>
      </c>
      <c r="S101" s="170"/>
      <c r="T101" s="170"/>
      <c r="U101" s="195">
        <f t="shared" si="18"/>
        <v>384724.61410232261</v>
      </c>
      <c r="V101" s="195">
        <f t="shared" si="14"/>
        <v>593468.30609595031</v>
      </c>
      <c r="W101" s="195">
        <f t="shared" si="14"/>
        <v>401263.27063764259</v>
      </c>
      <c r="X101" s="195">
        <f t="shared" si="17"/>
        <v>1379456.1908359155</v>
      </c>
      <c r="Y101" s="207">
        <f t="shared" si="16"/>
        <v>0.27889585523494531</v>
      </c>
      <c r="AC101" s="251">
        <f t="shared" si="15"/>
        <v>2.3212467469768581</v>
      </c>
    </row>
    <row r="102" spans="1:29" ht="15.6" x14ac:dyDescent="0.3">
      <c r="A102" s="206">
        <v>2031</v>
      </c>
      <c r="B102" s="253">
        <f>(B154/Population_Tables!O20)*Population_Tables!C20</f>
        <v>148465563.6070514</v>
      </c>
      <c r="C102" s="253">
        <f>(C154/Population_Tables!P20)*Population_Tables!D20</f>
        <v>21613938.710843839</v>
      </c>
      <c r="D102" s="253">
        <f>(D154/Population_Tables!Q20)*Population_Tables!E20</f>
        <v>21314729.446304295</v>
      </c>
      <c r="E102" s="253">
        <f>(E154/Population_Tables!R20)*Population_Tables!F20</f>
        <v>27102948.750639156</v>
      </c>
      <c r="F102" s="253">
        <f>(F154/Population_Tables!S20)*Population_Tables!G20</f>
        <v>0</v>
      </c>
      <c r="G102" s="253">
        <f>(G154/Population_Tables!T20)*Population_Tables!H20</f>
        <v>0</v>
      </c>
      <c r="H102" s="253">
        <f>(H154/Population_Tables!U20)*Population_Tables!I20</f>
        <v>0</v>
      </c>
      <c r="I102" s="253">
        <f>(I154/Population_Tables!V20)*Population_Tables!J20</f>
        <v>0</v>
      </c>
      <c r="J102" s="253">
        <f>(J154/Population_Tables!W20)*Population_Tables!K20</f>
        <v>0</v>
      </c>
      <c r="K102" s="253">
        <f>(K154/Population_Tables!X20)*Population_Tables!L20</f>
        <v>0</v>
      </c>
      <c r="L102" s="170"/>
      <c r="M102" s="170"/>
      <c r="N102" s="195">
        <f t="shared" si="9"/>
        <v>21314729.446304295</v>
      </c>
      <c r="O102" s="195">
        <f t="shared" si="10"/>
        <v>27102948.750639156</v>
      </c>
      <c r="P102" s="195">
        <f t="shared" si="11"/>
        <v>21613938.710843839</v>
      </c>
      <c r="Q102" s="195">
        <f t="shared" si="12"/>
        <v>70031616.907787293</v>
      </c>
      <c r="R102" s="196">
        <f t="shared" si="13"/>
        <v>0.30435866523501853</v>
      </c>
      <c r="S102" s="170"/>
      <c r="T102" s="170"/>
      <c r="U102" s="195">
        <f t="shared" si="18"/>
        <v>455971.67928670719</v>
      </c>
      <c r="V102" s="195">
        <f t="shared" si="14"/>
        <v>695925.85226837173</v>
      </c>
      <c r="W102" s="195">
        <f t="shared" si="14"/>
        <v>466633.56048377976</v>
      </c>
      <c r="X102" s="195">
        <f t="shared" si="17"/>
        <v>1618531.0920388587</v>
      </c>
      <c r="Y102" s="207">
        <f t="shared" si="16"/>
        <v>0.28171944396342802</v>
      </c>
      <c r="AC102" s="251">
        <f t="shared" si="15"/>
        <v>2.292782302791263</v>
      </c>
    </row>
    <row r="103" spans="1:29" ht="15.6" x14ac:dyDescent="0.3">
      <c r="A103" s="206">
        <v>2032</v>
      </c>
      <c r="B103" s="253">
        <f>(B155/Population_Tables!O21)*Population_Tables!C21</f>
        <v>151473064.49719477</v>
      </c>
      <c r="C103" s="253">
        <f>(C155/Population_Tables!P21)*Population_Tables!D21</f>
        <v>22081837.605451699</v>
      </c>
      <c r="D103" s="253">
        <f>(D155/Population_Tables!Q21)*Population_Tables!E21</f>
        <v>22235155.620643318</v>
      </c>
      <c r="E103" s="253">
        <f>(E155/Population_Tables!R21)*Population_Tables!F21</f>
        <v>28013249.569811862</v>
      </c>
      <c r="F103" s="253">
        <f>(F155/Population_Tables!S21)*Population_Tables!G21</f>
        <v>0</v>
      </c>
      <c r="G103" s="253">
        <f>(G155/Population_Tables!T21)*Population_Tables!H21</f>
        <v>0</v>
      </c>
      <c r="H103" s="253">
        <f>(H155/Population_Tables!U21)*Population_Tables!I21</f>
        <v>0</v>
      </c>
      <c r="I103" s="253">
        <f>(I155/Population_Tables!V21)*Population_Tables!J21</f>
        <v>0</v>
      </c>
      <c r="J103" s="253">
        <f>(J155/Population_Tables!W21)*Population_Tables!K21</f>
        <v>0</v>
      </c>
      <c r="K103" s="253">
        <f>(K155/Population_Tables!X21)*Population_Tables!L21</f>
        <v>0</v>
      </c>
      <c r="L103" s="170"/>
      <c r="M103" s="170"/>
      <c r="N103" s="195">
        <f t="shared" si="9"/>
        <v>22235155.620643318</v>
      </c>
      <c r="O103" s="195">
        <f t="shared" si="10"/>
        <v>28013249.569811862</v>
      </c>
      <c r="P103" s="195">
        <f t="shared" si="11"/>
        <v>22081837.605451699</v>
      </c>
      <c r="Q103" s="195">
        <f t="shared" si="12"/>
        <v>72330242.795906886</v>
      </c>
      <c r="R103" s="196">
        <f t="shared" si="13"/>
        <v>0.30741159936907592</v>
      </c>
      <c r="S103" s="170"/>
      <c r="T103" s="170"/>
      <c r="U103" s="195">
        <f t="shared" si="18"/>
        <v>535167.89843557775</v>
      </c>
      <c r="V103" s="195">
        <f t="shared" si="14"/>
        <v>808735.02972352132</v>
      </c>
      <c r="W103" s="195">
        <f t="shared" si="14"/>
        <v>536572.41273595765</v>
      </c>
      <c r="X103" s="195">
        <f t="shared" si="17"/>
        <v>1880475.3408950567</v>
      </c>
      <c r="Y103" s="207">
        <f t="shared" si="16"/>
        <v>0.28459181931141514</v>
      </c>
      <c r="AC103" s="251">
        <f t="shared" si="15"/>
        <v>2.2624632766940853</v>
      </c>
    </row>
    <row r="104" spans="1:29" ht="15.6" x14ac:dyDescent="0.3">
      <c r="A104" s="206">
        <v>2033</v>
      </c>
      <c r="B104" s="253">
        <f>(B156/Population_Tables!O22)*Population_Tables!C22</f>
        <v>154627355.61431417</v>
      </c>
      <c r="C104" s="253">
        <f>(C156/Population_Tables!P22)*Population_Tables!D22</f>
        <v>22558164.035670266</v>
      </c>
      <c r="D104" s="253">
        <f>(D156/Population_Tables!Q22)*Population_Tables!E22</f>
        <v>23171341.935996968</v>
      </c>
      <c r="E104" s="253">
        <f>(E156/Population_Tables!R22)*Population_Tables!F22</f>
        <v>28935497.678208578</v>
      </c>
      <c r="F104" s="253">
        <f>(F156/Population_Tables!S22)*Population_Tables!G22</f>
        <v>0</v>
      </c>
      <c r="G104" s="253">
        <f>(G156/Population_Tables!T22)*Population_Tables!H22</f>
        <v>0</v>
      </c>
      <c r="H104" s="253">
        <f>(H156/Population_Tables!U22)*Population_Tables!I22</f>
        <v>0</v>
      </c>
      <c r="I104" s="253">
        <f>(I156/Population_Tables!V22)*Population_Tables!J22</f>
        <v>0</v>
      </c>
      <c r="J104" s="253">
        <f>(J156/Population_Tables!W22)*Population_Tables!K22</f>
        <v>0</v>
      </c>
      <c r="K104" s="253">
        <f>(K156/Population_Tables!X22)*Population_Tables!L22</f>
        <v>0</v>
      </c>
      <c r="L104" s="170"/>
      <c r="M104" s="170"/>
      <c r="N104" s="195">
        <f t="shared" si="9"/>
        <v>23171341.935996968</v>
      </c>
      <c r="O104" s="195">
        <f t="shared" si="10"/>
        <v>28935497.678208578</v>
      </c>
      <c r="P104" s="195">
        <f t="shared" si="11"/>
        <v>22558164.035670266</v>
      </c>
      <c r="Q104" s="195">
        <f t="shared" si="12"/>
        <v>74665003.649875805</v>
      </c>
      <c r="R104" s="196">
        <f t="shared" si="13"/>
        <v>0.310337384360866</v>
      </c>
      <c r="S104" s="170"/>
      <c r="T104" s="170"/>
      <c r="U104" s="195">
        <f t="shared" si="18"/>
        <v>621281.13239191845</v>
      </c>
      <c r="V104" s="195">
        <f t="shared" si="14"/>
        <v>929141.56457871571</v>
      </c>
      <c r="W104" s="195">
        <f t="shared" si="14"/>
        <v>610349.21296437457</v>
      </c>
      <c r="X104" s="195">
        <f t="shared" si="17"/>
        <v>2160771.9099350087</v>
      </c>
      <c r="Y104" s="207">
        <f t="shared" si="16"/>
        <v>0.28752740145099592</v>
      </c>
      <c r="AC104" s="251">
        <f t="shared" si="15"/>
        <v>2.2343809798642793</v>
      </c>
    </row>
    <row r="105" spans="1:29" ht="15.6" x14ac:dyDescent="0.3">
      <c r="A105" s="206">
        <v>2034</v>
      </c>
      <c r="B105" s="253">
        <f>(B157/Population_Tables!O23)*Population_Tables!C23</f>
        <v>157931634.41001374</v>
      </c>
      <c r="C105" s="253">
        <f>(C157/Population_Tables!P23)*Population_Tables!D23</f>
        <v>23041658.937200364</v>
      </c>
      <c r="D105" s="253">
        <f>(D157/Population_Tables!Q23)*Population_Tables!E23</f>
        <v>24121736.187330667</v>
      </c>
      <c r="E105" s="253">
        <f>(E157/Population_Tables!R23)*Population_Tables!F23</f>
        <v>29867467.996994507</v>
      </c>
      <c r="F105" s="253">
        <f>(F157/Population_Tables!S23)*Population_Tables!G23</f>
        <v>0</v>
      </c>
      <c r="G105" s="253">
        <f>(G157/Population_Tables!T23)*Population_Tables!H23</f>
        <v>0</v>
      </c>
      <c r="H105" s="253">
        <f>(H157/Population_Tables!U23)*Population_Tables!I23</f>
        <v>0</v>
      </c>
      <c r="I105" s="253">
        <f>(I157/Population_Tables!V23)*Population_Tables!J23</f>
        <v>0</v>
      </c>
      <c r="J105" s="253">
        <f>(J157/Population_Tables!W23)*Population_Tables!K23</f>
        <v>0</v>
      </c>
      <c r="K105" s="253">
        <f>(K157/Population_Tables!X23)*Population_Tables!L23</f>
        <v>0</v>
      </c>
      <c r="L105" s="170"/>
      <c r="M105" s="170"/>
      <c r="N105" s="195">
        <f t="shared" si="9"/>
        <v>24121736.187330667</v>
      </c>
      <c r="O105" s="195">
        <f t="shared" si="10"/>
        <v>29867467.996994507</v>
      </c>
      <c r="P105" s="195">
        <f t="shared" si="11"/>
        <v>23041658.937200364</v>
      </c>
      <c r="Q105" s="195">
        <f t="shared" si="12"/>
        <v>77030863.121525541</v>
      </c>
      <c r="R105" s="196">
        <f t="shared" si="13"/>
        <v>0.31314378691662453</v>
      </c>
      <c r="S105" s="170"/>
      <c r="T105" s="170"/>
      <c r="U105" s="195">
        <f t="shared" si="18"/>
        <v>713650.39557222277</v>
      </c>
      <c r="V105" s="195">
        <f t="shared" si="14"/>
        <v>1055648.0344562382</v>
      </c>
      <c r="W105" s="195">
        <f t="shared" si="14"/>
        <v>687014.45151865482</v>
      </c>
      <c r="X105" s="195">
        <f t="shared" si="17"/>
        <v>2456312.8815471157</v>
      </c>
      <c r="Y105" s="207">
        <f t="shared" si="16"/>
        <v>0.29053725237264072</v>
      </c>
      <c r="AC105" s="251">
        <f t="shared" si="15"/>
        <v>2.2084682398087994</v>
      </c>
    </row>
    <row r="106" spans="1:29" ht="15.6" x14ac:dyDescent="0.3">
      <c r="A106" s="206">
        <v>2035</v>
      </c>
      <c r="B106" s="253">
        <f>(B158/Population_Tables!O24)*Population_Tables!C24</f>
        <v>161391294.01782703</v>
      </c>
      <c r="C106" s="253">
        <f>(C158/Population_Tables!P24)*Population_Tables!D24</f>
        <v>23670491.999271367</v>
      </c>
      <c r="D106" s="253">
        <f>(D158/Population_Tables!Q24)*Population_Tables!E24</f>
        <v>25314369.990176048</v>
      </c>
      <c r="E106" s="253">
        <f>(E158/Population_Tables!R24)*Population_Tables!F24</f>
        <v>31087007.792871419</v>
      </c>
      <c r="F106" s="253">
        <f>(F158/Population_Tables!S24)*Population_Tables!G24</f>
        <v>0</v>
      </c>
      <c r="G106" s="253">
        <f>(G158/Population_Tables!T24)*Population_Tables!H24</f>
        <v>0</v>
      </c>
      <c r="H106" s="253">
        <f>(H158/Population_Tables!U24)*Population_Tables!I24</f>
        <v>0</v>
      </c>
      <c r="I106" s="253">
        <f>(I158/Population_Tables!V24)*Population_Tables!J24</f>
        <v>0</v>
      </c>
      <c r="J106" s="253">
        <f>(J158/Population_Tables!W24)*Population_Tables!K24</f>
        <v>0</v>
      </c>
      <c r="K106" s="253">
        <f>(K158/Population_Tables!X24)*Population_Tables!L24</f>
        <v>0</v>
      </c>
      <c r="L106" s="170"/>
      <c r="M106" s="170"/>
      <c r="N106" s="195">
        <f t="shared" si="9"/>
        <v>25314369.990176048</v>
      </c>
      <c r="O106" s="195">
        <f t="shared" si="10"/>
        <v>31087007.792871419</v>
      </c>
      <c r="P106" s="195">
        <f t="shared" si="11"/>
        <v>23670491.999271367</v>
      </c>
      <c r="Q106" s="195">
        <f t="shared" si="12"/>
        <v>80071869.78231883</v>
      </c>
      <c r="R106" s="196">
        <f t="shared" si="13"/>
        <v>0.31614560842646727</v>
      </c>
      <c r="S106" s="170"/>
      <c r="T106" s="170"/>
      <c r="U106" s="195">
        <f t="shared" si="18"/>
        <v>819149.83046526834</v>
      </c>
      <c r="V106" s="195">
        <f t="shared" si="14"/>
        <v>1197844.8516754545</v>
      </c>
      <c r="W106" s="195">
        <f t="shared" si="14"/>
        <v>770344.81405008957</v>
      </c>
      <c r="X106" s="195">
        <f t="shared" si="17"/>
        <v>2787339.4961908124</v>
      </c>
      <c r="Y106" s="207">
        <f t="shared" si="16"/>
        <v>0.29388233173057005</v>
      </c>
      <c r="AC106" s="251">
        <f t="shared" si="15"/>
        <v>2.1669810409793215</v>
      </c>
    </row>
    <row r="107" spans="1:29" ht="15.6" x14ac:dyDescent="0.3">
      <c r="A107" s="206">
        <v>2036</v>
      </c>
      <c r="B107" s="253">
        <f>(B159/Population_Tables!O25)*Population_Tables!C25</f>
        <v>165015242.15425894</v>
      </c>
      <c r="C107" s="253">
        <f>(C159/Population_Tables!P25)*Population_Tables!D25</f>
        <v>24026253.00915549</v>
      </c>
      <c r="D107" s="253">
        <f>(D159/Population_Tables!Q25)*Population_Tables!E25</f>
        <v>26059639.449022733</v>
      </c>
      <c r="E107" s="253">
        <f>(E159/Population_Tables!R25)*Population_Tables!F25</f>
        <v>31753525.672804959</v>
      </c>
      <c r="F107" s="253">
        <f>(F159/Population_Tables!S25)*Population_Tables!G25</f>
        <v>0</v>
      </c>
      <c r="G107" s="253">
        <f>(G159/Population_Tables!T25)*Population_Tables!H25</f>
        <v>0</v>
      </c>
      <c r="H107" s="253">
        <f>(H159/Population_Tables!U25)*Population_Tables!I25</f>
        <v>0</v>
      </c>
      <c r="I107" s="253">
        <f>(I159/Population_Tables!V25)*Population_Tables!J25</f>
        <v>0</v>
      </c>
      <c r="J107" s="253">
        <f>(J159/Population_Tables!W25)*Population_Tables!K25</f>
        <v>0</v>
      </c>
      <c r="K107" s="253">
        <f>(K159/Population_Tables!X25)*Population_Tables!L25</f>
        <v>0</v>
      </c>
      <c r="L107" s="170"/>
      <c r="M107" s="170"/>
      <c r="N107" s="195">
        <f t="shared" si="9"/>
        <v>26059639.449022733</v>
      </c>
      <c r="O107" s="195">
        <f t="shared" si="10"/>
        <v>31753525.672804959</v>
      </c>
      <c r="P107" s="195">
        <f t="shared" si="11"/>
        <v>24026253.00915549</v>
      </c>
      <c r="Q107" s="195">
        <f t="shared" si="12"/>
        <v>81839418.130983174</v>
      </c>
      <c r="R107" s="196">
        <f t="shared" si="13"/>
        <v>0.3184240558420704</v>
      </c>
      <c r="S107" s="170"/>
      <c r="T107" s="170"/>
      <c r="U107" s="195">
        <f t="shared" si="18"/>
        <v>915212.83849356696</v>
      </c>
      <c r="V107" s="195">
        <f t="shared" si="14"/>
        <v>1322821.8121775091</v>
      </c>
      <c r="W107" s="195">
        <f t="shared" si="14"/>
        <v>846347.31716032326</v>
      </c>
      <c r="X107" s="195">
        <f t="shared" si="17"/>
        <v>3084381.9678313993</v>
      </c>
      <c r="Y107" s="207">
        <f t="shared" si="16"/>
        <v>0.29672487001895059</v>
      </c>
      <c r="AC107" s="251">
        <f t="shared" si="15"/>
        <v>2.1635686945049901</v>
      </c>
    </row>
    <row r="108" spans="1:29" ht="15.6" x14ac:dyDescent="0.3">
      <c r="A108" s="206">
        <v>2037</v>
      </c>
      <c r="B108" s="253">
        <f>(B160/Population_Tables!O26)*Population_Tables!C26</f>
        <v>168816422.03397617</v>
      </c>
      <c r="C108" s="253">
        <f>(C160/Population_Tables!P26)*Population_Tables!D26</f>
        <v>24526374.714125566</v>
      </c>
      <c r="D108" s="253">
        <f>(D160/Population_Tables!Q26)*Population_Tables!E26</f>
        <v>27045246.212697484</v>
      </c>
      <c r="E108" s="253">
        <f>(E160/Population_Tables!R26)*Population_Tables!F26</f>
        <v>32705773.631983195</v>
      </c>
      <c r="F108" s="253">
        <f>(F160/Population_Tables!S26)*Population_Tables!G26</f>
        <v>0</v>
      </c>
      <c r="G108" s="253">
        <f>(G160/Population_Tables!T26)*Population_Tables!H26</f>
        <v>0</v>
      </c>
      <c r="H108" s="253">
        <f>(H160/Population_Tables!U26)*Population_Tables!I26</f>
        <v>0</v>
      </c>
      <c r="I108" s="253">
        <f>(I160/Population_Tables!V26)*Population_Tables!J26</f>
        <v>0</v>
      </c>
      <c r="J108" s="253">
        <f>(J160/Population_Tables!W26)*Population_Tables!K26</f>
        <v>0</v>
      </c>
      <c r="K108" s="253">
        <f>(K160/Population_Tables!X26)*Population_Tables!L26</f>
        <v>0</v>
      </c>
      <c r="L108" s="170"/>
      <c r="M108" s="170"/>
      <c r="N108" s="195">
        <f t="shared" si="9"/>
        <v>27045246.212697484</v>
      </c>
      <c r="O108" s="195">
        <f t="shared" si="10"/>
        <v>32705773.631983195</v>
      </c>
      <c r="P108" s="195">
        <f t="shared" si="11"/>
        <v>24526374.714125566</v>
      </c>
      <c r="Q108" s="195">
        <f t="shared" si="12"/>
        <v>84277394.558806241</v>
      </c>
      <c r="R108" s="196">
        <f t="shared" si="13"/>
        <v>0.32090747885930576</v>
      </c>
      <c r="S108" s="170"/>
      <c r="T108" s="170"/>
      <c r="U108" s="195">
        <f t="shared" si="18"/>
        <v>1024286.2104531415</v>
      </c>
      <c r="V108" s="195">
        <f t="shared" si="14"/>
        <v>1463105.0350891203</v>
      </c>
      <c r="W108" s="195">
        <f t="shared" si="14"/>
        <v>928656.58809035271</v>
      </c>
      <c r="X108" s="195">
        <f t="shared" si="17"/>
        <v>3416047.8336326145</v>
      </c>
      <c r="Y108" s="207">
        <f t="shared" si="16"/>
        <v>0.29984539454294429</v>
      </c>
      <c r="AC108" s="251">
        <f t="shared" si="15"/>
        <v>2.1449412166395638</v>
      </c>
    </row>
    <row r="109" spans="1:29" ht="15.6" x14ac:dyDescent="0.3">
      <c r="A109" s="206">
        <v>2038</v>
      </c>
      <c r="B109" s="253">
        <f>(B161/Population_Tables!O27)*Population_Tables!C27</f>
        <v>172809481.96279201</v>
      </c>
      <c r="C109" s="253">
        <f>(C161/Population_Tables!P27)*Population_Tables!D27</f>
        <v>25031540.515960366</v>
      </c>
      <c r="D109" s="253">
        <f>(D161/Population_Tables!Q27)*Population_Tables!E27</f>
        <v>28041252.846834235</v>
      </c>
      <c r="E109" s="253">
        <f>(E161/Population_Tables!R27)*Population_Tables!F27</f>
        <v>33663753.299170382</v>
      </c>
      <c r="F109" s="253">
        <f>(F161/Population_Tables!S27)*Population_Tables!G27</f>
        <v>0</v>
      </c>
      <c r="G109" s="253">
        <f>(G161/Population_Tables!T27)*Population_Tables!H27</f>
        <v>0</v>
      </c>
      <c r="H109" s="253">
        <f>(H161/Population_Tables!U27)*Population_Tables!I27</f>
        <v>0</v>
      </c>
      <c r="I109" s="253">
        <f>(I161/Population_Tables!V27)*Population_Tables!J27</f>
        <v>0</v>
      </c>
      <c r="J109" s="253">
        <f>(J161/Population_Tables!W27)*Population_Tables!K27</f>
        <v>0</v>
      </c>
      <c r="K109" s="253">
        <f>(K161/Population_Tables!X27)*Population_Tables!L27</f>
        <v>0</v>
      </c>
      <c r="L109" s="170"/>
      <c r="M109" s="170"/>
      <c r="N109" s="195">
        <f t="shared" si="9"/>
        <v>28041252.846834235</v>
      </c>
      <c r="O109" s="195">
        <f t="shared" si="10"/>
        <v>33663753.299170382</v>
      </c>
      <c r="P109" s="195">
        <f t="shared" si="11"/>
        <v>25031540.515960366</v>
      </c>
      <c r="Q109" s="195">
        <f t="shared" si="12"/>
        <v>86736546.661964983</v>
      </c>
      <c r="R109" s="196">
        <f t="shared" si="13"/>
        <v>0.32329224445744115</v>
      </c>
      <c r="S109" s="170"/>
      <c r="T109" s="170"/>
      <c r="U109" s="195">
        <f t="shared" si="18"/>
        <v>1139372.4239229411</v>
      </c>
      <c r="V109" s="195">
        <f t="shared" si="14"/>
        <v>1608408.3164710961</v>
      </c>
      <c r="W109" s="195">
        <f t="shared" si="14"/>
        <v>1012968.141494628</v>
      </c>
      <c r="X109" s="195">
        <f t="shared" si="17"/>
        <v>3760748.8818886653</v>
      </c>
      <c r="Y109" s="207">
        <f t="shared" si="16"/>
        <v>0.30296423922640192</v>
      </c>
      <c r="AC109" s="251">
        <f t="shared" si="15"/>
        <v>2.1290219871788794</v>
      </c>
    </row>
    <row r="110" spans="1:29" ht="15.6" x14ac:dyDescent="0.3">
      <c r="A110" s="206">
        <v>2039</v>
      </c>
      <c r="B110" s="253">
        <f>(B162/Population_Tables!O28)*Population_Tables!C28</f>
        <v>177011417.57364348</v>
      </c>
      <c r="C110" s="253">
        <f>(C162/Population_Tables!P28)*Population_Tables!D28</f>
        <v>25541929.696963679</v>
      </c>
      <c r="D110" s="253">
        <f>(D162/Population_Tables!Q28)*Population_Tables!E28</f>
        <v>29047557.191685781</v>
      </c>
      <c r="E110" s="253">
        <f>(E162/Population_Tables!R28)*Population_Tables!F28</f>
        <v>34627698.166262805</v>
      </c>
      <c r="F110" s="253">
        <f>(F162/Population_Tables!S28)*Population_Tables!G28</f>
        <v>0</v>
      </c>
      <c r="G110" s="253">
        <f>(G162/Population_Tables!T28)*Population_Tables!H28</f>
        <v>0</v>
      </c>
      <c r="H110" s="253">
        <f>(H162/Population_Tables!U28)*Population_Tables!I28</f>
        <v>0</v>
      </c>
      <c r="I110" s="253">
        <f>(I162/Population_Tables!V28)*Population_Tables!J28</f>
        <v>0</v>
      </c>
      <c r="J110" s="253">
        <f>(J162/Population_Tables!W28)*Population_Tables!K28</f>
        <v>0</v>
      </c>
      <c r="K110" s="253">
        <f>(K162/Population_Tables!X28)*Population_Tables!L28</f>
        <v>0</v>
      </c>
      <c r="L110" s="170"/>
      <c r="M110" s="170"/>
      <c r="N110" s="195">
        <f t="shared" si="9"/>
        <v>29047557.191685781</v>
      </c>
      <c r="O110" s="195">
        <f t="shared" si="10"/>
        <v>34627698.166262805</v>
      </c>
      <c r="P110" s="195">
        <f t="shared" si="11"/>
        <v>25541929.696963679</v>
      </c>
      <c r="Q110" s="195">
        <f t="shared" si="12"/>
        <v>89217185.054912269</v>
      </c>
      <c r="R110" s="196">
        <f t="shared" si="13"/>
        <v>0.32558253405784215</v>
      </c>
      <c r="S110" s="170"/>
      <c r="T110" s="170"/>
      <c r="U110" s="195">
        <f t="shared" si="18"/>
        <v>1261260.5386068374</v>
      </c>
      <c r="V110" s="195">
        <f t="shared" si="14"/>
        <v>1759692.8046767972</v>
      </c>
      <c r="W110" s="195">
        <f t="shared" si="14"/>
        <v>1099770.8143257275</v>
      </c>
      <c r="X110" s="195">
        <f t="shared" si="17"/>
        <v>4120724.1576093622</v>
      </c>
      <c r="Y110" s="207">
        <f t="shared" si="16"/>
        <v>0.30607740056508842</v>
      </c>
      <c r="AC110" s="251">
        <f t="shared" si="15"/>
        <v>2.1158567459459343</v>
      </c>
    </row>
    <row r="111" spans="1:29" ht="15.6" x14ac:dyDescent="0.3">
      <c r="A111" s="206">
        <v>2040</v>
      </c>
      <c r="B111" s="253">
        <f>(B163/Population_Tables!O29)*Population_Tables!C29</f>
        <v>181438786.42437905</v>
      </c>
      <c r="C111" s="253">
        <f>(C163/Population_Tables!P29)*Population_Tables!D29</f>
        <v>26179331.116767786</v>
      </c>
      <c r="D111" s="253">
        <f>(D163/Population_Tables!Q29)*Population_Tables!E29</f>
        <v>30204459.180022977</v>
      </c>
      <c r="E111" s="253">
        <f>(E163/Population_Tables!R29)*Population_Tables!F29</f>
        <v>35840742.094615176</v>
      </c>
      <c r="F111" s="253">
        <f>(F163/Population_Tables!S29)*Population_Tables!G29</f>
        <v>0</v>
      </c>
      <c r="G111" s="253">
        <f>(G163/Population_Tables!T29)*Population_Tables!H29</f>
        <v>0</v>
      </c>
      <c r="H111" s="253">
        <f>(H163/Population_Tables!U29)*Population_Tables!I29</f>
        <v>0</v>
      </c>
      <c r="I111" s="253">
        <f>(I163/Population_Tables!V29)*Population_Tables!J29</f>
        <v>0</v>
      </c>
      <c r="J111" s="253">
        <f>(J163/Population_Tables!W29)*Population_Tables!K29</f>
        <v>0</v>
      </c>
      <c r="K111" s="253">
        <f>(K163/Population_Tables!X29)*Population_Tables!L29</f>
        <v>0</v>
      </c>
      <c r="L111" s="170"/>
      <c r="M111" s="170"/>
      <c r="N111" s="195">
        <f t="shared" si="9"/>
        <v>30204459.180022977</v>
      </c>
      <c r="O111" s="195">
        <f t="shared" si="10"/>
        <v>35840742.094615176</v>
      </c>
      <c r="P111" s="195">
        <f t="shared" si="11"/>
        <v>26179331.116767786</v>
      </c>
      <c r="Q111" s="195">
        <f t="shared" si="12"/>
        <v>92224532.39140594</v>
      </c>
      <c r="R111" s="196">
        <f>N111/Q111</f>
        <v>0.32751002793739964</v>
      </c>
      <c r="S111" s="170"/>
      <c r="T111" s="170"/>
      <c r="U111" s="195">
        <f t="shared" si="18"/>
        <v>1397163.8703662418</v>
      </c>
      <c r="V111" s="195">
        <f t="shared" si="14"/>
        <v>1930926.7255426794</v>
      </c>
      <c r="W111" s="195">
        <f t="shared" si="14"/>
        <v>1195029.1523218006</v>
      </c>
      <c r="X111" s="195">
        <f t="shared" si="17"/>
        <v>4523119.7482307218</v>
      </c>
      <c r="Y111" s="207">
        <f t="shared" si="16"/>
        <v>0.30889384940842235</v>
      </c>
      <c r="AC111" s="251">
        <f t="shared" si="15"/>
        <v>2.0937589653796809</v>
      </c>
    </row>
    <row r="112" spans="1:29" ht="15.6" x14ac:dyDescent="0.3">
      <c r="A112" s="206">
        <v>2041</v>
      </c>
      <c r="B112" s="253">
        <f>(B164/Population_Tables!O30)*Population_Tables!C30</f>
        <v>186105253.5045085</v>
      </c>
      <c r="C112" s="253">
        <f>(C164/Population_Tables!P30)*Population_Tables!D30</f>
        <v>26578477.712192252</v>
      </c>
      <c r="D112" s="253">
        <f>(D164/Population_Tables!Q30)*Population_Tables!E30</f>
        <v>31089929.195192412</v>
      </c>
      <c r="E112" s="253">
        <f>(E164/Population_Tables!R30)*Population_Tables!F30</f>
        <v>36573463.765017472</v>
      </c>
      <c r="F112" s="253">
        <f>(F164/Population_Tables!S30)*Population_Tables!G30</f>
        <v>0</v>
      </c>
      <c r="G112" s="253">
        <f>(G164/Population_Tables!T30)*Population_Tables!H30</f>
        <v>0</v>
      </c>
      <c r="H112" s="253">
        <f>(H164/Population_Tables!U30)*Population_Tables!I30</f>
        <v>0</v>
      </c>
      <c r="I112" s="253">
        <f>(I164/Population_Tables!V30)*Population_Tables!J30</f>
        <v>0</v>
      </c>
      <c r="J112" s="253">
        <f>(J164/Population_Tables!W30)*Population_Tables!K30</f>
        <v>0</v>
      </c>
      <c r="K112" s="253">
        <f>(K164/Population_Tables!X30)*Population_Tables!L30</f>
        <v>0</v>
      </c>
      <c r="L112" s="170"/>
      <c r="M112" s="170"/>
      <c r="N112" s="195">
        <f t="shared" si="9"/>
        <v>31089929.195192412</v>
      </c>
      <c r="O112" s="195">
        <f t="shared" si="10"/>
        <v>36573463.765017472</v>
      </c>
      <c r="P112" s="195">
        <f t="shared" si="11"/>
        <v>26578477.712192252</v>
      </c>
      <c r="Q112" s="195">
        <f t="shared" si="12"/>
        <v>94241870.672402143</v>
      </c>
      <c r="R112" s="196">
        <f t="shared" si="13"/>
        <v>0.32989507713896438</v>
      </c>
      <c r="S112" s="170"/>
      <c r="T112" s="170"/>
      <c r="U112" s="195">
        <f t="shared" si="18"/>
        <v>1527877.5310803838</v>
      </c>
      <c r="V112" s="195">
        <f t="shared" si="14"/>
        <v>2083096.292241767</v>
      </c>
      <c r="W112" s="195">
        <f t="shared" si="14"/>
        <v>1282187.252580002</v>
      </c>
      <c r="X112" s="195">
        <f t="shared" si="17"/>
        <v>4893161.0759021528</v>
      </c>
      <c r="Y112" s="207">
        <f t="shared" si="16"/>
        <v>0.31224754455864479</v>
      </c>
      <c r="AC112" s="251">
        <f t="shared" si="15"/>
        <v>2.097799717253336</v>
      </c>
    </row>
    <row r="113" spans="1:29" ht="15.6" x14ac:dyDescent="0.3">
      <c r="A113" s="206">
        <v>2042</v>
      </c>
      <c r="B113" s="253">
        <f>(B165/Population_Tables!O31)*Population_Tables!C31</f>
        <v>191023868.53348044</v>
      </c>
      <c r="C113" s="253">
        <f>(C165/Population_Tables!P31)*Population_Tables!D31</f>
        <v>27104078.512142524</v>
      </c>
      <c r="D113" s="253">
        <f>(D165/Population_Tables!Q31)*Population_Tables!E31</f>
        <v>32124597.924290195</v>
      </c>
      <c r="E113" s="253">
        <f>(E165/Population_Tables!R31)*Population_Tables!F31</f>
        <v>37554220.455761664</v>
      </c>
      <c r="F113" s="253">
        <f>(F165/Population_Tables!S31)*Population_Tables!G31</f>
        <v>0</v>
      </c>
      <c r="G113" s="253">
        <f>(G165/Population_Tables!T31)*Population_Tables!H31</f>
        <v>0</v>
      </c>
      <c r="H113" s="253">
        <f>(H165/Population_Tables!U31)*Population_Tables!I31</f>
        <v>0</v>
      </c>
      <c r="I113" s="253">
        <f>(I165/Population_Tables!V31)*Population_Tables!J31</f>
        <v>0</v>
      </c>
      <c r="J113" s="253">
        <f>(J165/Population_Tables!W31)*Population_Tables!K31</f>
        <v>0</v>
      </c>
      <c r="K113" s="253">
        <f>(K165/Population_Tables!X31)*Population_Tables!L31</f>
        <v>0</v>
      </c>
      <c r="L113" s="170"/>
      <c r="M113" s="170"/>
      <c r="N113" s="195">
        <f t="shared" si="9"/>
        <v>32124597.924290195</v>
      </c>
      <c r="O113" s="195">
        <f t="shared" si="10"/>
        <v>37554220.455761664</v>
      </c>
      <c r="P113" s="195">
        <f t="shared" si="11"/>
        <v>27104078.512142524</v>
      </c>
      <c r="Q113" s="195">
        <f t="shared" si="12"/>
        <v>96782896.89219439</v>
      </c>
      <c r="R113" s="196">
        <f t="shared" si="13"/>
        <v>0.33192432708512021</v>
      </c>
      <c r="S113" s="170"/>
      <c r="T113" s="170"/>
      <c r="U113" s="195">
        <f t="shared" si="18"/>
        <v>1672989.9182148874</v>
      </c>
      <c r="V113" s="195">
        <f t="shared" si="14"/>
        <v>2255606.5635971352</v>
      </c>
      <c r="W113" s="195">
        <f t="shared" si="14"/>
        <v>1377862.0930257849</v>
      </c>
      <c r="X113" s="195">
        <f t="shared" si="17"/>
        <v>5306458.5748378076</v>
      </c>
      <c r="Y113" s="207">
        <f t="shared" si="16"/>
        <v>0.31527428220167014</v>
      </c>
      <c r="AC113" s="251">
        <f t="shared" si="15"/>
        <v>2.0928587463186243</v>
      </c>
    </row>
    <row r="114" spans="1:29" ht="15.6" x14ac:dyDescent="0.3">
      <c r="A114" s="206">
        <v>2043</v>
      </c>
      <c r="B114" s="253">
        <f>(B166/Population_Tables!O32)*Population_Tables!C32</f>
        <v>196210568.46361494</v>
      </c>
      <c r="C114" s="253">
        <f>(C166/Population_Tables!P32)*Population_Tables!D32</f>
        <v>27634299.522859</v>
      </c>
      <c r="D114" s="253">
        <f>(D166/Population_Tables!Q32)*Population_Tables!E32</f>
        <v>33167477.310217712</v>
      </c>
      <c r="E114" s="253">
        <f>(E166/Population_Tables!R32)*Population_Tables!F32</f>
        <v>38540039.616124712</v>
      </c>
      <c r="F114" s="253">
        <f>(F166/Population_Tables!S32)*Population_Tables!G32</f>
        <v>0</v>
      </c>
      <c r="G114" s="253">
        <f>(G166/Population_Tables!T32)*Population_Tables!H32</f>
        <v>0</v>
      </c>
      <c r="H114" s="253">
        <f>(H166/Population_Tables!U32)*Population_Tables!I32</f>
        <v>0</v>
      </c>
      <c r="I114" s="253">
        <f>(I166/Population_Tables!V32)*Population_Tables!J32</f>
        <v>0</v>
      </c>
      <c r="J114" s="253">
        <f>(J166/Population_Tables!W32)*Population_Tables!K32</f>
        <v>0</v>
      </c>
      <c r="K114" s="253">
        <f>(K166/Population_Tables!X32)*Population_Tables!L32</f>
        <v>0</v>
      </c>
      <c r="L114" s="170"/>
      <c r="M114" s="170"/>
      <c r="N114" s="195">
        <f t="shared" si="9"/>
        <v>33167477.310217712</v>
      </c>
      <c r="O114" s="195">
        <f t="shared" si="10"/>
        <v>38540039.616124712</v>
      </c>
      <c r="P114" s="195">
        <f t="shared" si="11"/>
        <v>27634299.522859</v>
      </c>
      <c r="Q114" s="195">
        <f t="shared" si="12"/>
        <v>99341816.449201435</v>
      </c>
      <c r="R114" s="196">
        <f t="shared" si="13"/>
        <v>0.33387226543394183</v>
      </c>
      <c r="S114" s="170"/>
      <c r="T114" s="170"/>
      <c r="U114" s="195">
        <f t="shared" si="18"/>
        <v>1826382.0304827355</v>
      </c>
      <c r="V114" s="195">
        <f t="shared" si="14"/>
        <v>2436105.9373181462</v>
      </c>
      <c r="W114" s="195">
        <f t="shared" si="14"/>
        <v>1476663.1030912735</v>
      </c>
      <c r="X114" s="195">
        <f t="shared" si="17"/>
        <v>5739151.0708921552</v>
      </c>
      <c r="Y114" s="207">
        <f t="shared" si="16"/>
        <v>0.31823208832152644</v>
      </c>
      <c r="AC114" s="251">
        <f t="shared" si="15"/>
        <v>2.0906849475236977</v>
      </c>
    </row>
    <row r="115" spans="1:29" ht="15.6" x14ac:dyDescent="0.3">
      <c r="A115" s="206">
        <v>2044</v>
      </c>
      <c r="B115" s="253">
        <f>(B167/Population_Tables!O33)*Population_Tables!C33</f>
        <v>201682110.74719593</v>
      </c>
      <c r="C115" s="253">
        <f>(C167/Population_Tables!P33)*Population_Tables!D33</f>
        <v>28169004.677607406</v>
      </c>
      <c r="D115" s="253">
        <f>(D167/Population_Tables!Q33)*Population_Tables!E33</f>
        <v>34218067.841091529</v>
      </c>
      <c r="E115" s="253">
        <f>(E167/Population_Tables!R33)*Population_Tables!F33</f>
        <v>39531103.471806683</v>
      </c>
      <c r="F115" s="253">
        <f>(F167/Population_Tables!S33)*Population_Tables!G33</f>
        <v>0</v>
      </c>
      <c r="G115" s="253">
        <f>(G167/Population_Tables!T33)*Population_Tables!H33</f>
        <v>0</v>
      </c>
      <c r="H115" s="253">
        <f>(H167/Population_Tables!U33)*Population_Tables!I33</f>
        <v>0</v>
      </c>
      <c r="I115" s="253">
        <f>(I167/Population_Tables!V33)*Population_Tables!J33</f>
        <v>0</v>
      </c>
      <c r="J115" s="253">
        <f>(J167/Population_Tables!W33)*Population_Tables!K33</f>
        <v>0</v>
      </c>
      <c r="K115" s="253">
        <f>(K167/Population_Tables!X33)*Population_Tables!L33</f>
        <v>0</v>
      </c>
      <c r="L115" s="170"/>
      <c r="M115" s="170"/>
      <c r="N115" s="195">
        <f t="shared" si="9"/>
        <v>34218067.841091529</v>
      </c>
      <c r="O115" s="195">
        <f t="shared" si="10"/>
        <v>39531103.471806683</v>
      </c>
      <c r="P115" s="195">
        <f t="shared" si="11"/>
        <v>28169004.677607406</v>
      </c>
      <c r="Q115" s="195">
        <f t="shared" si="12"/>
        <v>101918175.99050561</v>
      </c>
      <c r="R115" s="196">
        <f t="shared" si="13"/>
        <v>0.33574058315446287</v>
      </c>
      <c r="S115" s="170"/>
      <c r="T115" s="170"/>
      <c r="U115" s="195">
        <f t="shared" si="18"/>
        <v>1988445.575451564</v>
      </c>
      <c r="V115" s="195">
        <f t="shared" si="14"/>
        <v>2625504.2955619469</v>
      </c>
      <c r="W115" s="195">
        <f t="shared" si="14"/>
        <v>1578763.7706909925</v>
      </c>
      <c r="X115" s="195">
        <f t="shared" si="17"/>
        <v>6192713.6417045034</v>
      </c>
      <c r="Y115" s="207">
        <f t="shared" si="16"/>
        <v>0.32109438454581241</v>
      </c>
      <c r="AC115" s="251">
        <f t="shared" si="15"/>
        <v>2.0913292606276253</v>
      </c>
    </row>
    <row r="116" spans="1:29" ht="15.6" x14ac:dyDescent="0.3">
      <c r="A116" s="206">
        <v>2045</v>
      </c>
      <c r="B116" s="253">
        <f>(B168/Population_Tables!O34)*Population_Tables!C34</f>
        <v>207455316.79275617</v>
      </c>
      <c r="C116" s="253">
        <f>(C168/Population_Tables!P34)*Population_Tables!D34</f>
        <v>28698798.099619143</v>
      </c>
      <c r="D116" s="253">
        <f>(D168/Population_Tables!Q34)*Population_Tables!E34</f>
        <v>35252667.30263605</v>
      </c>
      <c r="E116" s="253">
        <f>(E168/Population_Tables!R34)*Population_Tables!F34</f>
        <v>40492774.938894771</v>
      </c>
      <c r="F116" s="253">
        <f>(F168/Population_Tables!S34)*Population_Tables!G34</f>
        <v>0</v>
      </c>
      <c r="G116" s="253">
        <f>(G168/Population_Tables!T34)*Population_Tables!H34</f>
        <v>0</v>
      </c>
      <c r="H116" s="253">
        <f>(H168/Population_Tables!U34)*Population_Tables!I34</f>
        <v>0</v>
      </c>
      <c r="I116" s="253">
        <f>(I168/Population_Tables!V34)*Population_Tables!J34</f>
        <v>0</v>
      </c>
      <c r="J116" s="253">
        <f>(J168/Population_Tables!W34)*Population_Tables!K34</f>
        <v>0</v>
      </c>
      <c r="K116" s="253">
        <f>(K168/Population_Tables!X34)*Population_Tables!L34</f>
        <v>0</v>
      </c>
      <c r="L116" s="170"/>
      <c r="M116" s="170"/>
      <c r="N116" s="195">
        <f t="shared" si="9"/>
        <v>35252667.30263605</v>
      </c>
      <c r="O116" s="195">
        <f t="shared" si="10"/>
        <v>40492774.938894771</v>
      </c>
      <c r="P116" s="195">
        <f t="shared" si="11"/>
        <v>28698798.099619143</v>
      </c>
      <c r="Q116" s="195">
        <f t="shared" si="12"/>
        <v>104444240.34114996</v>
      </c>
      <c r="R116" s="196">
        <f t="shared" si="13"/>
        <v>0.33752619759106872</v>
      </c>
      <c r="S116" s="170"/>
      <c r="T116" s="170"/>
      <c r="U116" s="195">
        <f t="shared" si="18"/>
        <v>2158166.5265201442</v>
      </c>
      <c r="V116" s="195">
        <f t="shared" si="14"/>
        <v>2822226.4173798636</v>
      </c>
      <c r="W116" s="195">
        <f t="shared" si="14"/>
        <v>1683829.2377171703</v>
      </c>
      <c r="X116" s="195">
        <f t="shared" si="17"/>
        <v>6664222.181617178</v>
      </c>
      <c r="Y116" s="207">
        <f t="shared" si="16"/>
        <v>0.32384372364914626</v>
      </c>
      <c r="AC116" s="251">
        <f t="shared" si="15"/>
        <v>2.0961692225766977</v>
      </c>
    </row>
    <row r="117" spans="1:29" ht="15.6" x14ac:dyDescent="0.3">
      <c r="A117" s="206">
        <v>2046</v>
      </c>
      <c r="B117" s="253">
        <f>(B169/Population_Tables!O35)*Population_Tables!C35</f>
        <v>213546224.13777354</v>
      </c>
      <c r="C117" s="253">
        <f>(C169/Population_Tables!P35)*Population_Tables!D35</f>
        <v>29251437.168950122</v>
      </c>
      <c r="D117" s="253">
        <f>(D169/Population_Tables!Q35)*Population_Tables!E35</f>
        <v>36340408.255398624</v>
      </c>
      <c r="E117" s="253">
        <f>(E169/Population_Tables!R35)*Population_Tables!F35</f>
        <v>41529148.237280801</v>
      </c>
      <c r="F117" s="253">
        <f>(F169/Population_Tables!S35)*Population_Tables!G35</f>
        <v>0</v>
      </c>
      <c r="G117" s="253">
        <f>(G169/Population_Tables!T35)*Population_Tables!H35</f>
        <v>0</v>
      </c>
      <c r="H117" s="253">
        <f>(H169/Population_Tables!U35)*Population_Tables!I35</f>
        <v>0</v>
      </c>
      <c r="I117" s="253">
        <f>(I169/Population_Tables!V35)*Population_Tables!J35</f>
        <v>0</v>
      </c>
      <c r="J117" s="253">
        <f>(J169/Population_Tables!W35)*Population_Tables!K35</f>
        <v>0</v>
      </c>
      <c r="K117" s="253">
        <f>(K169/Population_Tables!X35)*Population_Tables!L35</f>
        <v>0</v>
      </c>
      <c r="L117" s="170"/>
      <c r="M117" s="170"/>
      <c r="N117" s="195">
        <f t="shared" si="9"/>
        <v>36340408.255398624</v>
      </c>
      <c r="O117" s="195">
        <f t="shared" si="10"/>
        <v>41529148.237280801</v>
      </c>
      <c r="P117" s="195">
        <f t="shared" si="11"/>
        <v>29251437.168950122</v>
      </c>
      <c r="Q117" s="195">
        <f t="shared" si="12"/>
        <v>107120993.66162954</v>
      </c>
      <c r="R117" s="196">
        <f t="shared" si="13"/>
        <v>0.33924637004572206</v>
      </c>
      <c r="S117" s="170"/>
      <c r="T117" s="170"/>
      <c r="U117" s="195">
        <f t="shared" si="18"/>
        <v>2340177.7590170577</v>
      </c>
      <c r="V117" s="195">
        <f t="shared" si="14"/>
        <v>3034091.5595995784</v>
      </c>
      <c r="W117" s="195">
        <f t="shared" si="14"/>
        <v>1793672.0468384102</v>
      </c>
      <c r="X117" s="195">
        <f t="shared" si="17"/>
        <v>7167941.3654550463</v>
      </c>
      <c r="Y117" s="207">
        <f t="shared" si="16"/>
        <v>0.32647836243405082</v>
      </c>
      <c r="AC117" s="251">
        <f t="shared" si="15"/>
        <v>2.1010084222620953</v>
      </c>
    </row>
    <row r="118" spans="1:29" ht="15.6" x14ac:dyDescent="0.3">
      <c r="A118" s="206">
        <v>2047</v>
      </c>
      <c r="B118" s="253">
        <f>(B170/Population_Tables!O36)*Population_Tables!C36</f>
        <v>219970982.75743762</v>
      </c>
      <c r="C118" s="253">
        <f>(C170/Population_Tables!P36)*Population_Tables!D36</f>
        <v>29798980.750749189</v>
      </c>
      <c r="D118" s="253">
        <f>(D170/Population_Tables!Q36)*Population_Tables!E36</f>
        <v>37411113.295264766</v>
      </c>
      <c r="E118" s="253">
        <f>(E170/Population_Tables!R36)*Population_Tables!F36</f>
        <v>42535708.201392502</v>
      </c>
      <c r="F118" s="253">
        <f>(F170/Population_Tables!S36)*Population_Tables!G36</f>
        <v>0</v>
      </c>
      <c r="G118" s="253">
        <f>(G170/Population_Tables!T36)*Population_Tables!H36</f>
        <v>0</v>
      </c>
      <c r="H118" s="253">
        <f>(H170/Population_Tables!U36)*Population_Tables!I36</f>
        <v>0</v>
      </c>
      <c r="I118" s="253">
        <f>(I170/Population_Tables!V36)*Population_Tables!J36</f>
        <v>0</v>
      </c>
      <c r="J118" s="253">
        <f>(J170/Population_Tables!W36)*Population_Tables!K36</f>
        <v>0</v>
      </c>
      <c r="K118" s="253">
        <f>(K170/Population_Tables!X36)*Population_Tables!L36</f>
        <v>0</v>
      </c>
      <c r="L118" s="170"/>
      <c r="M118" s="170"/>
      <c r="N118" s="195">
        <f t="shared" si="9"/>
        <v>37411113.295264766</v>
      </c>
      <c r="O118" s="195">
        <f t="shared" si="10"/>
        <v>42535708.201392502</v>
      </c>
      <c r="P118" s="195">
        <f t="shared" si="11"/>
        <v>29798980.750749189</v>
      </c>
      <c r="Q118" s="195">
        <f t="shared" si="12"/>
        <v>109745802.24740645</v>
      </c>
      <c r="R118" s="196">
        <f t="shared" si="13"/>
        <v>0.34088878598679045</v>
      </c>
      <c r="S118" s="170"/>
      <c r="T118" s="170"/>
      <c r="U118" s="195">
        <f t="shared" si="18"/>
        <v>2530583.9929487258</v>
      </c>
      <c r="V118" s="195">
        <f t="shared" si="14"/>
        <v>3254314.8326271325</v>
      </c>
      <c r="W118" s="195">
        <f t="shared" si="14"/>
        <v>1906915.0098884627</v>
      </c>
      <c r="X118" s="195">
        <f t="shared" si="17"/>
        <v>7691813.8354643211</v>
      </c>
      <c r="Y118" s="207">
        <f t="shared" si="16"/>
        <v>0.32899704115056311</v>
      </c>
      <c r="AC118" s="251">
        <f t="shared" si="15"/>
        <v>2.1099008809910509</v>
      </c>
    </row>
    <row r="119" spans="1:29" ht="15.6" x14ac:dyDescent="0.3">
      <c r="A119" s="206">
        <v>2048</v>
      </c>
      <c r="B119" s="253">
        <f>(B171/Population_Tables!O37)*Population_Tables!C37</f>
        <v>226747043.05168229</v>
      </c>
      <c r="C119" s="253">
        <f>(C171/Population_Tables!P37)*Population_Tables!D37</f>
        <v>30350842.200341612</v>
      </c>
      <c r="D119" s="253">
        <f>(D171/Population_Tables!Q37)*Population_Tables!E37</f>
        <v>38487493.92414052</v>
      </c>
      <c r="E119" s="253">
        <f>(E171/Population_Tables!R37)*Population_Tables!F37</f>
        <v>43547213.541317426</v>
      </c>
      <c r="F119" s="253">
        <f>(F171/Population_Tables!S37)*Population_Tables!G37</f>
        <v>0</v>
      </c>
      <c r="G119" s="253">
        <f>(G171/Population_Tables!T37)*Population_Tables!H37</f>
        <v>0</v>
      </c>
      <c r="H119" s="253">
        <f>(H171/Population_Tables!U37)*Population_Tables!I37</f>
        <v>0</v>
      </c>
      <c r="I119" s="253">
        <f>(I171/Population_Tables!V37)*Population_Tables!J37</f>
        <v>0</v>
      </c>
      <c r="J119" s="253">
        <f>(J171/Population_Tables!W37)*Population_Tables!K37</f>
        <v>0</v>
      </c>
      <c r="K119" s="253">
        <f>(K171/Population_Tables!X37)*Population_Tables!L37</f>
        <v>0</v>
      </c>
      <c r="L119" s="170"/>
      <c r="M119" s="170"/>
      <c r="N119" s="195">
        <f t="shared" si="9"/>
        <v>38487493.92414052</v>
      </c>
      <c r="O119" s="195">
        <f t="shared" si="10"/>
        <v>43547213.541317426</v>
      </c>
      <c r="P119" s="195">
        <f t="shared" si="11"/>
        <v>30350842.200341612</v>
      </c>
      <c r="Q119" s="195">
        <f t="shared" si="12"/>
        <v>112385549.66579956</v>
      </c>
      <c r="R119" s="196">
        <f t="shared" si="13"/>
        <v>0.34245945353820506</v>
      </c>
      <c r="S119" s="170"/>
      <c r="T119" s="170"/>
      <c r="U119" s="195">
        <f t="shared" si="18"/>
        <v>2731190.9814490005</v>
      </c>
      <c r="V119" s="195">
        <f t="shared" si="14"/>
        <v>3486048.396500051</v>
      </c>
      <c r="W119" s="195">
        <f t="shared" si="14"/>
        <v>2024529.5728293546</v>
      </c>
      <c r="X119" s="195">
        <f t="shared" si="17"/>
        <v>8241768.9507784061</v>
      </c>
      <c r="Y119" s="207">
        <f t="shared" si="16"/>
        <v>0.3313840751615646</v>
      </c>
      <c r="AC119" s="251">
        <f t="shared" si="15"/>
        <v>2.1213983408784745</v>
      </c>
    </row>
    <row r="120" spans="1:29" ht="15.6" x14ac:dyDescent="0.3">
      <c r="A120" s="206">
        <v>2049</v>
      </c>
      <c r="B120" s="253">
        <f>(B172/Population_Tables!O38)*Population_Tables!C38</f>
        <v>233892429.06214273</v>
      </c>
      <c r="C120" s="253">
        <f>(C172/Population_Tables!P38)*Population_Tables!D38</f>
        <v>30907235.786416516</v>
      </c>
      <c r="D120" s="253">
        <f>(D172/Population_Tables!Q38)*Population_Tables!E38</f>
        <v>39569069.896129079</v>
      </c>
      <c r="E120" s="253">
        <f>(E172/Population_Tables!R38)*Population_Tables!F38</f>
        <v>44563700.978056557</v>
      </c>
      <c r="F120" s="253">
        <f>(F172/Population_Tables!S38)*Population_Tables!G38</f>
        <v>0</v>
      </c>
      <c r="G120" s="253">
        <f>(G172/Population_Tables!T38)*Population_Tables!H38</f>
        <v>0</v>
      </c>
      <c r="H120" s="253">
        <f>(H172/Population_Tables!U38)*Population_Tables!I38</f>
        <v>0</v>
      </c>
      <c r="I120" s="253">
        <f>(I172/Population_Tables!V38)*Population_Tables!J38</f>
        <v>0</v>
      </c>
      <c r="J120" s="253">
        <f>(J172/Population_Tables!W38)*Population_Tables!K38</f>
        <v>0</v>
      </c>
      <c r="K120" s="253">
        <f>(K172/Population_Tables!X38)*Population_Tables!L38</f>
        <v>0</v>
      </c>
      <c r="L120" s="170"/>
      <c r="M120" s="170"/>
      <c r="N120" s="195">
        <f t="shared" si="9"/>
        <v>39569069.896129079</v>
      </c>
      <c r="O120" s="195">
        <f t="shared" si="10"/>
        <v>44563700.978056557</v>
      </c>
      <c r="P120" s="195">
        <f t="shared" si="11"/>
        <v>30907235.786416516</v>
      </c>
      <c r="Q120" s="195">
        <f t="shared" si="12"/>
        <v>115040006.66060215</v>
      </c>
      <c r="R120" s="196">
        <f t="shared" si="13"/>
        <v>0.34395921075411701</v>
      </c>
      <c r="S120" s="170"/>
      <c r="T120" s="170"/>
      <c r="U120" s="195">
        <f t="shared" si="18"/>
        <v>2942409.6980721578</v>
      </c>
      <c r="V120" s="195">
        <f t="shared" si="14"/>
        <v>3730056.6286764219</v>
      </c>
      <c r="W120" s="195">
        <f t="shared" si="14"/>
        <v>2147039.5589990132</v>
      </c>
      <c r="X120" s="195">
        <f t="shared" si="17"/>
        <v>8819505.8857475929</v>
      </c>
      <c r="Y120" s="207">
        <f t="shared" si="16"/>
        <v>0.33362523209232398</v>
      </c>
      <c r="AC120" s="251">
        <f t="shared" si="15"/>
        <v>2.1354221378970055</v>
      </c>
    </row>
    <row r="121" spans="1:29" ht="16.2" thickBot="1" x14ac:dyDescent="0.35">
      <c r="A121" s="208">
        <v>2050</v>
      </c>
      <c r="B121" s="253">
        <f>(B173/Population_Tables!O39)*Population_Tables!C39</f>
        <v>241425231.11618915</v>
      </c>
      <c r="C121" s="253">
        <f>(C173/Population_Tables!P39)*Population_Tables!D39</f>
        <v>31349006.579162098</v>
      </c>
      <c r="D121" s="253">
        <f>(D173/Population_Tables!Q39)*Population_Tables!E39</f>
        <v>40497286.686440378</v>
      </c>
      <c r="E121" s="253">
        <f>(E173/Population_Tables!R39)*Population_Tables!F39</f>
        <v>45332185.798164591</v>
      </c>
      <c r="F121" s="253">
        <f>(F173/Population_Tables!S39)*Population_Tables!G39</f>
        <v>0</v>
      </c>
      <c r="G121" s="253">
        <f>(G173/Population_Tables!T39)*Population_Tables!H39</f>
        <v>0</v>
      </c>
      <c r="H121" s="253">
        <f>(H173/Population_Tables!U39)*Population_Tables!I39</f>
        <v>0</v>
      </c>
      <c r="I121" s="253">
        <f>(I173/Population_Tables!V39)*Population_Tables!J39</f>
        <v>0</v>
      </c>
      <c r="J121" s="253">
        <f>(J173/Population_Tables!W39)*Population_Tables!K39</f>
        <v>0</v>
      </c>
      <c r="K121" s="253">
        <f>(K173/Population_Tables!X39)*Population_Tables!L39</f>
        <v>0</v>
      </c>
      <c r="L121" s="209"/>
      <c r="M121" s="209"/>
      <c r="N121" s="195">
        <f t="shared" si="9"/>
        <v>40497286.686440378</v>
      </c>
      <c r="O121" s="195">
        <f t="shared" si="10"/>
        <v>45332185.798164591</v>
      </c>
      <c r="P121" s="195">
        <f t="shared" si="11"/>
        <v>31349006.579162098</v>
      </c>
      <c r="Q121" s="195">
        <f t="shared" si="12"/>
        <v>117178479.06376706</v>
      </c>
      <c r="R121" s="210">
        <f t="shared" si="13"/>
        <v>0.34560345048003449</v>
      </c>
      <c r="S121" s="209"/>
      <c r="T121" s="209"/>
      <c r="U121" s="211">
        <f t="shared" si="18"/>
        <v>3152321.8815434054</v>
      </c>
      <c r="V121" s="195">
        <f t="shared" si="14"/>
        <v>3964881.9365821704</v>
      </c>
      <c r="W121" s="211">
        <f t="shared" si="14"/>
        <v>2266292.0874200985</v>
      </c>
      <c r="X121" s="195">
        <f t="shared" si="17"/>
        <v>9383495.9055456743</v>
      </c>
      <c r="Y121" s="212">
        <f t="shared" si="16"/>
        <v>0.33594322556056894</v>
      </c>
      <c r="AC121" s="251">
        <f t="shared" si="15"/>
        <v>2.1617788347463454</v>
      </c>
    </row>
    <row r="122" spans="1:29" ht="15.6" x14ac:dyDescent="0.3">
      <c r="A122" s="213">
        <v>2051</v>
      </c>
      <c r="B122" s="253">
        <f>(B174/Population_Tables!O40)*Population_Tables!C40</f>
        <v>249363391.03693742</v>
      </c>
      <c r="C122" s="253">
        <f>(C174/Population_Tables!P40)*Population_Tables!D40</f>
        <v>32034096.749701653</v>
      </c>
      <c r="D122" s="253">
        <f>(D174/Population_Tables!Q40)*Population_Tables!E40</f>
        <v>41745760.106206127</v>
      </c>
      <c r="E122" s="253">
        <f>(E174/Population_Tables!R40)*Population_Tables!F40</f>
        <v>46611225.353163831</v>
      </c>
      <c r="F122" s="253">
        <f>(F174/Population_Tables!S40)*Population_Tables!G40</f>
        <v>0</v>
      </c>
      <c r="G122" s="253">
        <f>(G174/Population_Tables!T40)*Population_Tables!H40</f>
        <v>0</v>
      </c>
      <c r="H122" s="253">
        <f>(H174/Population_Tables!U40)*Population_Tables!I40</f>
        <v>0</v>
      </c>
      <c r="I122" s="253">
        <f>(I174/Population_Tables!V40)*Population_Tables!J40</f>
        <v>0</v>
      </c>
      <c r="J122" s="253">
        <f>(J174/Population_Tables!W40)*Population_Tables!K40</f>
        <v>0</v>
      </c>
      <c r="K122" s="253">
        <f>(K174/Population_Tables!X40)*Population_Tables!L40</f>
        <v>0</v>
      </c>
      <c r="N122" s="195">
        <f t="shared" si="9"/>
        <v>41745760.106206127</v>
      </c>
      <c r="O122" s="195">
        <f t="shared" si="10"/>
        <v>46611225.353163831</v>
      </c>
      <c r="P122" s="195">
        <f t="shared" si="11"/>
        <v>32034096.749701653</v>
      </c>
      <c r="Q122" s="195">
        <f t="shared" si="12"/>
        <v>120391082.20907161</v>
      </c>
      <c r="R122" s="214">
        <f t="shared" si="13"/>
        <v>0.34675126546092744</v>
      </c>
      <c r="U122" s="215">
        <f t="shared" si="18"/>
        <v>3398199.4302529022</v>
      </c>
      <c r="V122" s="195">
        <f t="shared" si="14"/>
        <v>4257410.934954159</v>
      </c>
      <c r="W122" s="215">
        <f t="shared" si="14"/>
        <v>2408461.4013076909</v>
      </c>
      <c r="X122" s="195">
        <f t="shared" si="17"/>
        <v>10064071.766514752</v>
      </c>
      <c r="Y122" s="214">
        <f t="shared" si="16"/>
        <v>0.33765651806651603</v>
      </c>
      <c r="AC122" s="251">
        <f t="shared" si="15"/>
        <v>2.1708061928404354</v>
      </c>
    </row>
    <row r="123" spans="1:29" ht="15.6" x14ac:dyDescent="0.3">
      <c r="A123" s="194">
        <v>2052</v>
      </c>
      <c r="B123" s="253">
        <f>(B175/Population_Tables!O41)*Population_Tables!C41</f>
        <v>257724625.0169495</v>
      </c>
      <c r="C123" s="253">
        <f>(C175/Population_Tables!P41)*Population_Tables!D41</f>
        <v>32604483.071661286</v>
      </c>
      <c r="D123" s="253">
        <f>(D175/Population_Tables!Q41)*Population_Tables!E41</f>
        <v>42839771.268489763</v>
      </c>
      <c r="E123" s="253">
        <f>(E175/Population_Tables!R41)*Population_Tables!F41</f>
        <v>47641653.454928756</v>
      </c>
      <c r="F123" s="253">
        <f>(F175/Population_Tables!S41)*Population_Tables!G41</f>
        <v>0</v>
      </c>
      <c r="G123" s="253">
        <f>(G175/Population_Tables!T41)*Population_Tables!H41</f>
        <v>0</v>
      </c>
      <c r="H123" s="253">
        <f>(H175/Population_Tables!U41)*Population_Tables!I41</f>
        <v>0</v>
      </c>
      <c r="I123" s="253">
        <f>(I175/Population_Tables!V41)*Population_Tables!J41</f>
        <v>0</v>
      </c>
      <c r="J123" s="253">
        <f>(J175/Population_Tables!W41)*Population_Tables!K41</f>
        <v>0</v>
      </c>
      <c r="K123" s="253">
        <f>(K175/Population_Tables!X41)*Population_Tables!L41</f>
        <v>0</v>
      </c>
      <c r="N123" s="195">
        <f t="shared" si="9"/>
        <v>42839771.268489763</v>
      </c>
      <c r="O123" s="195">
        <f t="shared" si="10"/>
        <v>47641653.454928756</v>
      </c>
      <c r="P123" s="195">
        <f t="shared" si="11"/>
        <v>32604483.071661286</v>
      </c>
      <c r="Q123" s="195">
        <f t="shared" si="12"/>
        <v>123085907.7950798</v>
      </c>
      <c r="R123" s="196">
        <f t="shared" si="13"/>
        <v>0.34804773378128528</v>
      </c>
      <c r="U123" s="195">
        <f t="shared" si="18"/>
        <v>3643449.8089078069</v>
      </c>
      <c r="V123" s="195">
        <f t="shared" si="14"/>
        <v>4541603.4853664562</v>
      </c>
      <c r="W123" s="195">
        <f t="shared" si="14"/>
        <v>2547911.3114937097</v>
      </c>
      <c r="X123" s="195">
        <f t="shared" si="17"/>
        <v>10732964.605767973</v>
      </c>
      <c r="Y123" s="196">
        <f t="shared" si="16"/>
        <v>0.33946350730997388</v>
      </c>
      <c r="AC123" s="251">
        <f t="shared" si="15"/>
        <v>2.1920795331988812</v>
      </c>
    </row>
    <row r="124" spans="1:29" ht="15.6" x14ac:dyDescent="0.3">
      <c r="A124" s="194">
        <v>2053</v>
      </c>
      <c r="B124" s="253">
        <f>(B176/Population_Tables!O42)*Population_Tables!C42</f>
        <v>266526765.81885734</v>
      </c>
      <c r="C124" s="253">
        <f>(C176/Population_Tables!P42)*Population_Tables!D42</f>
        <v>33179564.817432888</v>
      </c>
      <c r="D124" s="253">
        <f>(D176/Population_Tables!Q42)*Population_Tables!E42</f>
        <v>43936787.704772592</v>
      </c>
      <c r="E124" s="253">
        <f>(E176/Population_Tables!R42)*Population_Tables!F42</f>
        <v>48675842.720705315</v>
      </c>
      <c r="F124" s="253">
        <f>(F176/Population_Tables!S42)*Population_Tables!G42</f>
        <v>0</v>
      </c>
      <c r="G124" s="253">
        <f>(G176/Population_Tables!T42)*Population_Tables!H42</f>
        <v>0</v>
      </c>
      <c r="H124" s="253">
        <f>(H176/Population_Tables!U42)*Population_Tables!I42</f>
        <v>0</v>
      </c>
      <c r="I124" s="253">
        <f>(I176/Population_Tables!V42)*Population_Tables!J42</f>
        <v>0</v>
      </c>
      <c r="J124" s="253">
        <f>(J176/Population_Tables!W42)*Population_Tables!K42</f>
        <v>0</v>
      </c>
      <c r="K124" s="253">
        <f>(K176/Population_Tables!X42)*Population_Tables!L42</f>
        <v>0</v>
      </c>
      <c r="N124" s="195">
        <f t="shared" si="9"/>
        <v>43936787.704772592</v>
      </c>
      <c r="O124" s="195">
        <f t="shared" si="10"/>
        <v>48675842.720705315</v>
      </c>
      <c r="P124" s="195">
        <f t="shared" si="11"/>
        <v>33179564.817432888</v>
      </c>
      <c r="Q124" s="195">
        <f t="shared" si="12"/>
        <v>125792195.24291079</v>
      </c>
      <c r="R124" s="196">
        <f t="shared" si="13"/>
        <v>0.34928071348090028</v>
      </c>
      <c r="U124" s="195">
        <f t="shared" si="18"/>
        <v>3900686.7243762761</v>
      </c>
      <c r="V124" s="195">
        <f t="shared" si="14"/>
        <v>4839760.397107929</v>
      </c>
      <c r="W124" s="195">
        <f t="shared" si="14"/>
        <v>2693658.1508331634</v>
      </c>
      <c r="X124" s="195">
        <f t="shared" si="17"/>
        <v>11434105.272317369</v>
      </c>
      <c r="Y124" s="196">
        <f t="shared" si="16"/>
        <v>0.34114490215688892</v>
      </c>
      <c r="AC124" s="251">
        <f t="shared" si="15"/>
        <v>2.2156584627203375</v>
      </c>
    </row>
    <row r="125" spans="1:29" ht="15.6" x14ac:dyDescent="0.3">
      <c r="A125" s="194">
        <v>2054</v>
      </c>
      <c r="B125" s="253">
        <f>(B177/Population_Tables!O43)*Population_Tables!C43</f>
        <v>275787590.12229967</v>
      </c>
      <c r="C125" s="253">
        <f>(C177/Population_Tables!P43)*Population_Tables!D43</f>
        <v>33759425.837652281</v>
      </c>
      <c r="D125" s="253">
        <f>(D177/Population_Tables!Q43)*Population_Tables!E43</f>
        <v>45036207.50338991</v>
      </c>
      <c r="E125" s="253">
        <f>(E177/Population_Tables!R43)*Population_Tables!F43</f>
        <v>49713084.539602175</v>
      </c>
      <c r="F125" s="253">
        <f>(F177/Population_Tables!S43)*Population_Tables!G43</f>
        <v>0</v>
      </c>
      <c r="G125" s="253">
        <f>(G177/Population_Tables!T43)*Population_Tables!H43</f>
        <v>0</v>
      </c>
      <c r="H125" s="253">
        <f>(H177/Population_Tables!U43)*Population_Tables!I43</f>
        <v>0</v>
      </c>
      <c r="I125" s="253">
        <f>(I177/Population_Tables!V43)*Population_Tables!J43</f>
        <v>0</v>
      </c>
      <c r="J125" s="253">
        <f>(J177/Population_Tables!W43)*Population_Tables!K43</f>
        <v>0</v>
      </c>
      <c r="K125" s="253">
        <f>(K177/Population_Tables!X43)*Population_Tables!L43</f>
        <v>0</v>
      </c>
      <c r="N125" s="195">
        <f t="shared" si="9"/>
        <v>45036207.50338991</v>
      </c>
      <c r="O125" s="195">
        <f t="shared" si="10"/>
        <v>49713084.539602175</v>
      </c>
      <c r="P125" s="195">
        <f t="shared" si="11"/>
        <v>33759425.837652281</v>
      </c>
      <c r="Q125" s="195">
        <f t="shared" si="12"/>
        <v>128508717.88064437</v>
      </c>
      <c r="R125" s="196">
        <f t="shared" si="13"/>
        <v>0.35045254708103457</v>
      </c>
      <c r="U125" s="195">
        <f t="shared" si="18"/>
        <v>4170199.4844446853</v>
      </c>
      <c r="V125" s="195">
        <f t="shared" si="14"/>
        <v>5151900.7157442942</v>
      </c>
      <c r="W125" s="195">
        <f t="shared" si="14"/>
        <v>2846095.3246106766</v>
      </c>
      <c r="X125" s="195">
        <f t="shared" si="17"/>
        <v>12168195.524799656</v>
      </c>
      <c r="Y125" s="196">
        <f t="shared" si="16"/>
        <v>0.34271305683291492</v>
      </c>
      <c r="AC125" s="251">
        <f t="shared" si="15"/>
        <v>2.2414756949387833</v>
      </c>
    </row>
    <row r="126" spans="1:29" ht="15.6" x14ac:dyDescent="0.3">
      <c r="A126" s="194">
        <v>2055</v>
      </c>
      <c r="B126" s="253">
        <f>(B178/Population_Tables!O44)*Population_Tables!C44</f>
        <v>285525180.65365577</v>
      </c>
      <c r="C126" s="253">
        <f>(C178/Population_Tables!P44)*Population_Tables!D44</f>
        <v>34247397.823310301</v>
      </c>
      <c r="D126" s="253">
        <f>(D178/Population_Tables!Q44)*Population_Tables!E44</f>
        <v>45996360.30764138</v>
      </c>
      <c r="E126" s="253">
        <f>(E178/Population_Tables!R44)*Population_Tables!F44</f>
        <v>50568745.881175041</v>
      </c>
      <c r="F126" s="253">
        <f>(F178/Population_Tables!S44)*Population_Tables!G44</f>
        <v>0</v>
      </c>
      <c r="G126" s="253">
        <f>(G178/Population_Tables!T44)*Population_Tables!H44</f>
        <v>0</v>
      </c>
      <c r="H126" s="253">
        <f>(H178/Population_Tables!U44)*Population_Tables!I44</f>
        <v>0</v>
      </c>
      <c r="I126" s="253">
        <f>(I178/Population_Tables!V44)*Population_Tables!J44</f>
        <v>0</v>
      </c>
      <c r="J126" s="253">
        <f>(J178/Population_Tables!W44)*Population_Tables!K44</f>
        <v>0</v>
      </c>
      <c r="K126" s="253">
        <f>(K178/Population_Tables!X44)*Population_Tables!L44</f>
        <v>0</v>
      </c>
      <c r="N126" s="195">
        <f t="shared" si="9"/>
        <v>45996360.30764138</v>
      </c>
      <c r="O126" s="195">
        <f t="shared" si="10"/>
        <v>50568745.881175041</v>
      </c>
      <c r="P126" s="195">
        <f t="shared" si="11"/>
        <v>34247397.823310301</v>
      </c>
      <c r="Q126" s="195">
        <f t="shared" si="12"/>
        <v>130812504.01212671</v>
      </c>
      <c r="R126" s="196">
        <f t="shared" si="13"/>
        <v>0.35162051712867892</v>
      </c>
      <c r="U126" s="195">
        <f t="shared" si="18"/>
        <v>4438636.7184746414</v>
      </c>
      <c r="V126" s="195">
        <f t="shared" si="14"/>
        <v>5458156.8717625439</v>
      </c>
      <c r="W126" s="195">
        <f t="shared" si="14"/>
        <v>2997100.903000731</v>
      </c>
      <c r="X126" s="195">
        <f t="shared" si="17"/>
        <v>12893894.493237916</v>
      </c>
      <c r="Y126" s="196">
        <f t="shared" si="16"/>
        <v>0.3442432944369479</v>
      </c>
      <c r="AC126" s="251">
        <f t="shared" si="15"/>
        <v>2.2768629242730376</v>
      </c>
    </row>
    <row r="127" spans="1:29" ht="15.6" x14ac:dyDescent="0.3">
      <c r="A127" s="194">
        <v>2056</v>
      </c>
      <c r="B127" s="253">
        <f>(B179/Population_Tables!O45)*Population_Tables!C45</f>
        <v>295758706.18769324</v>
      </c>
      <c r="C127" s="253">
        <f>(C179/Population_Tables!P45)*Population_Tables!D45</f>
        <v>34933530.439001068</v>
      </c>
      <c r="D127" s="253">
        <f>(D179/Population_Tables!Q45)*Population_Tables!E45</f>
        <v>47239712.578323685</v>
      </c>
      <c r="E127" s="253">
        <f>(E179/Population_Tables!R45)*Population_Tables!F45</f>
        <v>51793915.717392206</v>
      </c>
      <c r="F127" s="253">
        <f>(F179/Population_Tables!S45)*Population_Tables!G45</f>
        <v>0</v>
      </c>
      <c r="G127" s="253">
        <f>(G179/Population_Tables!T45)*Population_Tables!H45</f>
        <v>0</v>
      </c>
      <c r="H127" s="253">
        <f>(H179/Population_Tables!U45)*Population_Tables!I45</f>
        <v>0</v>
      </c>
      <c r="I127" s="253">
        <f>(I179/Population_Tables!V45)*Population_Tables!J45</f>
        <v>0</v>
      </c>
      <c r="J127" s="253">
        <f>(J179/Population_Tables!W45)*Population_Tables!K45</f>
        <v>0</v>
      </c>
      <c r="K127" s="253">
        <f>(K179/Population_Tables!X45)*Population_Tables!L45</f>
        <v>0</v>
      </c>
      <c r="N127" s="195">
        <f t="shared" si="9"/>
        <v>47239712.578323685</v>
      </c>
      <c r="O127" s="195">
        <f t="shared" si="10"/>
        <v>51793915.717392206</v>
      </c>
      <c r="P127" s="195">
        <f t="shared" si="11"/>
        <v>34933530.439001068</v>
      </c>
      <c r="Q127" s="195">
        <f t="shared" si="12"/>
        <v>133967158.73471695</v>
      </c>
      <c r="R127" s="196">
        <f t="shared" si="13"/>
        <v>0.35262159042925001</v>
      </c>
      <c r="U127" s="195">
        <f t="shared" si="18"/>
        <v>4747072.8068813086</v>
      </c>
      <c r="V127" s="195">
        <f t="shared" si="14"/>
        <v>5818232.0801654607</v>
      </c>
      <c r="W127" s="195">
        <f t="shared" si="14"/>
        <v>3172323.631641686</v>
      </c>
      <c r="X127" s="195">
        <f t="shared" si="17"/>
        <v>13737628.518688455</v>
      </c>
      <c r="Y127" s="196">
        <f t="shared" si="16"/>
        <v>0.34555256756458835</v>
      </c>
      <c r="AC127" s="251">
        <f t="shared" si="15"/>
        <v>2.2996761462503241</v>
      </c>
    </row>
    <row r="128" spans="1:29" ht="15.6" x14ac:dyDescent="0.3">
      <c r="A128" s="194">
        <v>2057</v>
      </c>
      <c r="B128" s="253">
        <f>(B180/Population_Tables!O46)*Population_Tables!C46</f>
        <v>306507289.00134706</v>
      </c>
      <c r="C128" s="253">
        <f>(C180/Population_Tables!P46)*Population_Tables!D46</f>
        <v>35527557.882684924</v>
      </c>
      <c r="D128" s="253">
        <f>(D180/Population_Tables!Q46)*Population_Tables!E46</f>
        <v>48342464.200754702</v>
      </c>
      <c r="E128" s="253">
        <f>(E180/Population_Tables!R46)*Population_Tables!F46</f>
        <v>52836239.968137123</v>
      </c>
      <c r="F128" s="253">
        <f>(F180/Population_Tables!S46)*Population_Tables!G46</f>
        <v>0</v>
      </c>
      <c r="G128" s="253">
        <f>(G180/Population_Tables!T46)*Population_Tables!H46</f>
        <v>0</v>
      </c>
      <c r="H128" s="253">
        <f>(H180/Population_Tables!U46)*Population_Tables!I46</f>
        <v>0</v>
      </c>
      <c r="I128" s="253">
        <f>(I180/Population_Tables!V46)*Population_Tables!J46</f>
        <v>0</v>
      </c>
      <c r="J128" s="253">
        <f>(J180/Population_Tables!W46)*Population_Tables!K46</f>
        <v>0</v>
      </c>
      <c r="K128" s="253">
        <f>(K180/Population_Tables!X46)*Population_Tables!L46</f>
        <v>0</v>
      </c>
      <c r="N128" s="195">
        <f t="shared" si="9"/>
        <v>48342464.200754702</v>
      </c>
      <c r="O128" s="195">
        <f t="shared" si="10"/>
        <v>52836239.968137123</v>
      </c>
      <c r="P128" s="195">
        <f t="shared" si="11"/>
        <v>35527557.882684924</v>
      </c>
      <c r="Q128" s="195">
        <f t="shared" si="12"/>
        <v>136706262.05157673</v>
      </c>
      <c r="R128" s="196">
        <f t="shared" si="13"/>
        <v>0.35362289536170616</v>
      </c>
      <c r="U128" s="195">
        <f t="shared" si="18"/>
        <v>5054882.1542662457</v>
      </c>
      <c r="V128" s="195">
        <f t="shared" si="14"/>
        <v>6172613.3307161555</v>
      </c>
      <c r="W128" s="195">
        <f t="shared" si="14"/>
        <v>3346517.7367472351</v>
      </c>
      <c r="X128" s="195">
        <f t="shared" si="17"/>
        <v>14574013.221729636</v>
      </c>
      <c r="Y128" s="196">
        <f t="shared" si="16"/>
        <v>0.346842155099015</v>
      </c>
      <c r="AC128" s="251">
        <f t="shared" si="15"/>
        <v>2.3320511289715911</v>
      </c>
    </row>
    <row r="129" spans="1:29" ht="15.6" x14ac:dyDescent="0.3">
      <c r="A129" s="194">
        <v>2058</v>
      </c>
      <c r="B129" s="253">
        <f>(B181/Population_Tables!O47)*Population_Tables!C47</f>
        <v>317788863.77193338</v>
      </c>
      <c r="C129" s="253">
        <f>(C181/Population_Tables!P47)*Population_Tables!D47</f>
        <v>36125872.238071337</v>
      </c>
      <c r="D129" s="253">
        <f>(D181/Population_Tables!Q47)*Population_Tables!E47</f>
        <v>49444773.75069721</v>
      </c>
      <c r="E129" s="253">
        <f>(E181/Population_Tables!R47)*Population_Tables!F47</f>
        <v>53878482.180312641</v>
      </c>
      <c r="F129" s="253">
        <f>(F181/Population_Tables!S47)*Population_Tables!G47</f>
        <v>0</v>
      </c>
      <c r="G129" s="253">
        <f>(G181/Population_Tables!T47)*Population_Tables!H47</f>
        <v>0</v>
      </c>
      <c r="H129" s="253">
        <f>(H181/Population_Tables!U47)*Population_Tables!I47</f>
        <v>0</v>
      </c>
      <c r="I129" s="253">
        <f>(I181/Population_Tables!V47)*Population_Tables!J47</f>
        <v>0</v>
      </c>
      <c r="J129" s="253">
        <f>(J181/Population_Tables!W47)*Population_Tables!K47</f>
        <v>0</v>
      </c>
      <c r="K129" s="253">
        <f>(K181/Population_Tables!X47)*Population_Tables!L47</f>
        <v>0</v>
      </c>
      <c r="N129" s="195">
        <f t="shared" si="9"/>
        <v>49444773.75069721</v>
      </c>
      <c r="O129" s="195">
        <f t="shared" si="10"/>
        <v>53878482.180312641</v>
      </c>
      <c r="P129" s="195">
        <f t="shared" si="11"/>
        <v>36125872.238071337</v>
      </c>
      <c r="Q129" s="195">
        <f t="shared" si="12"/>
        <v>139449128.16908118</v>
      </c>
      <c r="R129" s="196">
        <f t="shared" si="13"/>
        <v>0.35457212533265708</v>
      </c>
      <c r="U129" s="195">
        <f t="shared" si="18"/>
        <v>5375686.7892324254</v>
      </c>
      <c r="V129" s="195">
        <f t="shared" si="14"/>
        <v>6540754.0223003477</v>
      </c>
      <c r="W129" s="195">
        <f t="shared" si="14"/>
        <v>3528148.0321407989</v>
      </c>
      <c r="X129" s="195">
        <f t="shared" si="17"/>
        <v>15444588.843673572</v>
      </c>
      <c r="Y129" s="196">
        <f t="shared" si="16"/>
        <v>0.34806279685680463</v>
      </c>
      <c r="AC129" s="251">
        <f t="shared" si="15"/>
        <v>2.3666162836370055</v>
      </c>
    </row>
    <row r="130" spans="1:29" ht="15.6" x14ac:dyDescent="0.3">
      <c r="A130" s="194">
        <v>2059</v>
      </c>
      <c r="B130" s="253">
        <f>(B182/Population_Tables!O48)*Population_Tables!C48</f>
        <v>329620917.75633073</v>
      </c>
      <c r="C130" s="253">
        <f>(C182/Population_Tables!P48)*Population_Tables!D48</f>
        <v>36728056.34974476</v>
      </c>
      <c r="D130" s="253">
        <f>(D182/Population_Tables!Q48)*Population_Tables!E48</f>
        <v>50545676.978666261</v>
      </c>
      <c r="E130" s="253">
        <f>(E182/Population_Tables!R48)*Population_Tables!F48</f>
        <v>54919305.479720265</v>
      </c>
      <c r="F130" s="253">
        <f>(F182/Population_Tables!S48)*Population_Tables!G48</f>
        <v>0</v>
      </c>
      <c r="G130" s="253">
        <f>(G182/Population_Tables!T48)*Population_Tables!H48</f>
        <v>0</v>
      </c>
      <c r="H130" s="253">
        <f>(H182/Population_Tables!U48)*Population_Tables!I48</f>
        <v>0</v>
      </c>
      <c r="I130" s="253">
        <f>(I182/Population_Tables!V48)*Population_Tables!J48</f>
        <v>0</v>
      </c>
      <c r="J130" s="253">
        <f>(J182/Population_Tables!W48)*Population_Tables!K48</f>
        <v>0</v>
      </c>
      <c r="K130" s="253">
        <f>(K182/Population_Tables!X48)*Population_Tables!L48</f>
        <v>0</v>
      </c>
      <c r="N130" s="195">
        <f t="shared" si="9"/>
        <v>50545676.978666261</v>
      </c>
      <c r="O130" s="195">
        <f t="shared" si="10"/>
        <v>54919305.479720265</v>
      </c>
      <c r="P130" s="195">
        <f t="shared" si="11"/>
        <v>36728056.34974476</v>
      </c>
      <c r="Q130" s="195">
        <f t="shared" si="12"/>
        <v>142193038.80813128</v>
      </c>
      <c r="R130" s="196">
        <f t="shared" si="13"/>
        <v>0.35547223269396655</v>
      </c>
      <c r="U130" s="195">
        <f t="shared" si="18"/>
        <v>5709413.6817459837</v>
      </c>
      <c r="V130" s="195">
        <f t="shared" si="14"/>
        <v>6922044.9371766225</v>
      </c>
      <c r="W130" s="195">
        <f t="shared" si="14"/>
        <v>3717106.9170556143</v>
      </c>
      <c r="X130" s="195">
        <f t="shared" si="17"/>
        <v>16348565.53597822</v>
      </c>
      <c r="Y130" s="196">
        <f t="shared" si="16"/>
        <v>0.3492302532097572</v>
      </c>
      <c r="AC130" s="251">
        <f t="shared" si="15"/>
        <v>2.4033855750604887</v>
      </c>
    </row>
    <row r="131" spans="1:29" ht="15.6" x14ac:dyDescent="0.3">
      <c r="A131" s="194">
        <v>2060</v>
      </c>
      <c r="B131" s="253">
        <f>(B183/Population_Tables!O49)*Population_Tables!C49</f>
        <v>342021543.31005436</v>
      </c>
      <c r="C131" s="253">
        <f>(C183/Population_Tables!P49)*Population_Tables!D49</f>
        <v>37430648.421201244</v>
      </c>
      <c r="D131" s="253">
        <f>(D183/Population_Tables!Q49)*Population_Tables!E49</f>
        <v>51784646.068258658</v>
      </c>
      <c r="E131" s="253">
        <f>(E183/Population_Tables!R49)*Population_Tables!F49</f>
        <v>56155589.208471537</v>
      </c>
      <c r="F131" s="253">
        <f>(F183/Population_Tables!S49)*Population_Tables!G49</f>
        <v>0</v>
      </c>
      <c r="G131" s="253">
        <f>(G183/Population_Tables!T49)*Population_Tables!H49</f>
        <v>0</v>
      </c>
      <c r="H131" s="253">
        <f>(H183/Population_Tables!U49)*Population_Tables!I49</f>
        <v>0</v>
      </c>
      <c r="I131" s="253">
        <f>(I183/Population_Tables!V49)*Population_Tables!J49</f>
        <v>0</v>
      </c>
      <c r="J131" s="253">
        <f>(J183/Population_Tables!W49)*Population_Tables!K49</f>
        <v>0</v>
      </c>
      <c r="K131" s="253">
        <f>(K183/Population_Tables!X49)*Population_Tables!L49</f>
        <v>0</v>
      </c>
      <c r="N131" s="195">
        <f t="shared" si="9"/>
        <v>51784646.068258658</v>
      </c>
      <c r="O131" s="195">
        <f t="shared" si="10"/>
        <v>56155589.208471537</v>
      </c>
      <c r="P131" s="195">
        <f t="shared" si="11"/>
        <v>37430648.421201244</v>
      </c>
      <c r="Q131" s="195">
        <f t="shared" si="12"/>
        <v>145370883.69793144</v>
      </c>
      <c r="R131" s="196">
        <f>N131/Q131</f>
        <v>0.35622433289917138</v>
      </c>
      <c r="U131" s="195">
        <f t="shared" si="18"/>
        <v>6072433.2383332476</v>
      </c>
      <c r="V131" s="195">
        <f t="shared" si="14"/>
        <v>7341831.3059536368</v>
      </c>
      <c r="W131" s="195">
        <f t="shared" si="14"/>
        <v>3923435.1912174039</v>
      </c>
      <c r="X131" s="195">
        <f t="shared" si="17"/>
        <v>17337699.735504288</v>
      </c>
      <c r="Y131" s="196">
        <f t="shared" si="16"/>
        <v>0.35024445751001604</v>
      </c>
      <c r="AC131" s="251">
        <f t="shared" si="15"/>
        <v>2.434983804139875</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357</v>
      </c>
      <c r="B135" s="255"/>
      <c r="C135" s="406"/>
      <c r="D135" s="406"/>
      <c r="E135" s="406"/>
      <c r="F135" s="13"/>
      <c r="G135" s="13"/>
      <c r="H135" s="13"/>
      <c r="I135" s="13"/>
      <c r="J135" s="13"/>
      <c r="K135" s="13"/>
      <c r="N135" s="232" t="s">
        <v>638</v>
      </c>
      <c r="O135" s="232"/>
      <c r="P135" s="232"/>
      <c r="Q135" s="232"/>
      <c r="R135" s="232"/>
      <c r="AC135" s="251"/>
    </row>
    <row r="136" spans="1:29" ht="69" customHeight="1" thickBot="1" x14ac:dyDescent="0.3">
      <c r="A136" s="194"/>
      <c r="B136" s="218" t="s">
        <v>434</v>
      </c>
      <c r="C136" s="191" t="str">
        <f>A330</f>
        <v>IEA (2017) ETP - Total Ground Freight (no Shipping, Airfreight) - RTS Scenario -  OECD Region</v>
      </c>
      <c r="D136" s="191" t="str">
        <f>A264</f>
        <v>IEA (2017) ETP - Total Ground Freight (no Shipping, Airfreight) - RTS Scenario - Non OECD Region (less China, Mexico, Brazil, Russia)</v>
      </c>
      <c r="E136" s="191" t="str">
        <f>A402</f>
        <v>IEA (2017) ETP - Total freight - RTS (Only Brazil, Mexico,China, Russia)</v>
      </c>
      <c r="F136" s="191"/>
      <c r="G136" s="191"/>
      <c r="H136" s="191"/>
      <c r="I136" s="191"/>
      <c r="J136" s="191"/>
      <c r="K136" s="192"/>
      <c r="N136" s="219" t="str">
        <f t="shared" ref="N136:N183" si="19">D136</f>
        <v>IEA (2017) ETP - Total Ground Freight (no Shipping, Airfreight) - RTS Scenario - Non OECD Region (less China, Mexico, Brazil, Russia)</v>
      </c>
      <c r="O136" s="219" t="str">
        <f t="shared" ref="O136:O183" si="20">E136</f>
        <v>IEA (2017) ETP - Total freight - RTS (Only Brazil, Mexico,China, Russia)</v>
      </c>
      <c r="P136" s="219" t="str">
        <f t="shared" ref="P136:P183" si="21">C136</f>
        <v>IEA (2017) ETP - Total Ground Freight (no Shipping, Airfreight) - RTS Scenario -  OECD Region</v>
      </c>
      <c r="Q136" s="219" t="str">
        <f>Q84</f>
        <v>Total</v>
      </c>
      <c r="R136" s="219" t="str">
        <f>R84</f>
        <v>% IEA (2017) ETP - Total Ground Freight (no Shipping, Airfreight) - RTS Scenario - Non OECD Region (less China, Mexico, Brazil, Russia)</v>
      </c>
      <c r="AC136" s="251"/>
    </row>
    <row r="137" spans="1:29" ht="15.6" x14ac:dyDescent="0.3">
      <c r="A137" s="194">
        <v>2014</v>
      </c>
      <c r="B137" s="229">
        <v>114253544.66666667</v>
      </c>
      <c r="C137" s="229">
        <f t="shared" ref="C137:C183" si="22">H335*1000</f>
        <v>15434415.646279337</v>
      </c>
      <c r="D137" s="229">
        <f t="shared" ref="D137:D183" si="23">H269*1000</f>
        <v>8851658.2651577499</v>
      </c>
      <c r="E137" s="229">
        <f t="shared" ref="E137:E183" si="24">H407*1000</f>
        <v>14330077.936840264</v>
      </c>
      <c r="F137" s="229"/>
      <c r="G137" s="229"/>
      <c r="H137" s="229"/>
      <c r="I137" s="229"/>
      <c r="J137" s="229"/>
      <c r="K137" s="229"/>
      <c r="N137" s="195">
        <f t="shared" si="19"/>
        <v>8851658.2651577499</v>
      </c>
      <c r="O137" s="195">
        <f t="shared" si="20"/>
        <v>14330077.936840264</v>
      </c>
      <c r="P137" s="195">
        <f t="shared" si="21"/>
        <v>15434415.646279337</v>
      </c>
      <c r="Q137" s="195">
        <f>N137+P137+O137</f>
        <v>38616151.848277353</v>
      </c>
      <c r="R137" s="196">
        <f>N137/Q137</f>
        <v>0.2292216557448776</v>
      </c>
      <c r="AC137" s="251"/>
    </row>
    <row r="138" spans="1:29" ht="15.6" x14ac:dyDescent="0.3">
      <c r="A138" s="194">
        <v>2015</v>
      </c>
      <c r="B138" s="229">
        <v>113155198.50893499</v>
      </c>
      <c r="C138" s="229">
        <f t="shared" si="22"/>
        <v>15656724.984374713</v>
      </c>
      <c r="D138" s="229">
        <f t="shared" si="23"/>
        <v>9328978.7202272918</v>
      </c>
      <c r="E138" s="229">
        <f t="shared" si="24"/>
        <v>14832515.027921481</v>
      </c>
      <c r="F138" s="229"/>
      <c r="G138" s="229"/>
      <c r="H138" s="229"/>
      <c r="I138" s="229"/>
      <c r="J138" s="229"/>
      <c r="K138" s="229"/>
      <c r="N138" s="195">
        <f t="shared" si="19"/>
        <v>9328978.7202272918</v>
      </c>
      <c r="O138" s="195">
        <f t="shared" si="20"/>
        <v>14832515.027921481</v>
      </c>
      <c r="P138" s="195">
        <f t="shared" si="21"/>
        <v>15656724.984374713</v>
      </c>
      <c r="Q138" s="195">
        <f t="shared" ref="Q138:Q183" si="25">N138+P138+O138</f>
        <v>39818218.732523486</v>
      </c>
      <c r="R138" s="196">
        <f t="shared" ref="R138:R182" si="26">N138/Q138</f>
        <v>0.23428920271130538</v>
      </c>
      <c r="AC138" s="251"/>
    </row>
    <row r="139" spans="1:29" ht="15.6" x14ac:dyDescent="0.3">
      <c r="A139" s="194">
        <v>2016</v>
      </c>
      <c r="B139" s="229">
        <v>115094385.75129712</v>
      </c>
      <c r="C139" s="229">
        <f t="shared" si="22"/>
        <v>15939152.192342576</v>
      </c>
      <c r="D139" s="229">
        <f t="shared" si="23"/>
        <v>9907512.8107564747</v>
      </c>
      <c r="E139" s="229">
        <f t="shared" si="24"/>
        <v>15461446.482293509</v>
      </c>
      <c r="F139" s="229"/>
      <c r="G139" s="229"/>
      <c r="H139" s="229"/>
      <c r="I139" s="229"/>
      <c r="J139" s="229"/>
      <c r="K139" s="229"/>
      <c r="N139" s="195">
        <f t="shared" si="19"/>
        <v>9907512.8107564747</v>
      </c>
      <c r="O139" s="195">
        <f t="shared" si="20"/>
        <v>15461446.482293509</v>
      </c>
      <c r="P139" s="195">
        <f t="shared" si="21"/>
        <v>15939152.192342576</v>
      </c>
      <c r="Q139" s="195">
        <f t="shared" si="25"/>
        <v>41308111.485392556</v>
      </c>
      <c r="R139" s="196">
        <f t="shared" si="26"/>
        <v>0.23984424497982645</v>
      </c>
      <c r="AC139" s="251"/>
    </row>
    <row r="140" spans="1:29" ht="15.6" x14ac:dyDescent="0.3">
      <c r="A140" s="194">
        <v>2017</v>
      </c>
      <c r="B140" s="229">
        <v>116992182.0793889</v>
      </c>
      <c r="C140" s="229">
        <f t="shared" si="22"/>
        <v>16231121.862325652</v>
      </c>
      <c r="D140" s="229">
        <f t="shared" si="23"/>
        <v>10509149.538710045</v>
      </c>
      <c r="E140" s="229">
        <f t="shared" si="24"/>
        <v>16106370.371802693</v>
      </c>
      <c r="F140" s="229"/>
      <c r="G140" s="229"/>
      <c r="H140" s="229"/>
      <c r="I140" s="229"/>
      <c r="J140" s="229"/>
      <c r="K140" s="229"/>
      <c r="N140" s="195">
        <f t="shared" si="19"/>
        <v>10509149.538710045</v>
      </c>
      <c r="O140" s="195">
        <f t="shared" si="20"/>
        <v>16106370.371802693</v>
      </c>
      <c r="P140" s="195">
        <f t="shared" si="21"/>
        <v>16231121.862325652</v>
      </c>
      <c r="Q140" s="195">
        <f t="shared" si="25"/>
        <v>42846641.772838391</v>
      </c>
      <c r="R140" s="196">
        <f t="shared" si="26"/>
        <v>0.24527358747102718</v>
      </c>
      <c r="AC140" s="251"/>
    </row>
    <row r="141" spans="1:29" ht="15.6" x14ac:dyDescent="0.3">
      <c r="A141" s="194">
        <v>2018</v>
      </c>
      <c r="B141" s="229">
        <v>118858479.17086825</v>
      </c>
      <c r="C141" s="229">
        <f t="shared" si="22"/>
        <v>16532324.439675147</v>
      </c>
      <c r="D141" s="229">
        <f t="shared" si="23"/>
        <v>11132997.684636924</v>
      </c>
      <c r="E141" s="229">
        <f t="shared" si="24"/>
        <v>16766559.039991956</v>
      </c>
      <c r="F141" s="229"/>
      <c r="G141" s="229"/>
      <c r="H141" s="229"/>
      <c r="I141" s="229"/>
      <c r="J141" s="229"/>
      <c r="K141" s="229"/>
      <c r="N141" s="195">
        <f t="shared" si="19"/>
        <v>11132997.684636924</v>
      </c>
      <c r="O141" s="195">
        <f t="shared" si="20"/>
        <v>16766559.039991956</v>
      </c>
      <c r="P141" s="195">
        <f t="shared" si="21"/>
        <v>16532324.439675147</v>
      </c>
      <c r="Q141" s="195">
        <f t="shared" si="25"/>
        <v>44431881.164304033</v>
      </c>
      <c r="R141" s="196">
        <f t="shared" si="26"/>
        <v>0.2505632755783706</v>
      </c>
      <c r="AC141" s="251"/>
    </row>
    <row r="142" spans="1:29" ht="16.2" thickBot="1" x14ac:dyDescent="0.35">
      <c r="A142" s="198">
        <v>2019</v>
      </c>
      <c r="B142" s="230">
        <v>120703168.70339304</v>
      </c>
      <c r="C142" s="229">
        <f t="shared" si="22"/>
        <v>16842450.369742259</v>
      </c>
      <c r="D142" s="229">
        <f t="shared" si="23"/>
        <v>11778166.029086035</v>
      </c>
      <c r="E142" s="229">
        <f t="shared" si="24"/>
        <v>17441284.830404226</v>
      </c>
      <c r="F142" s="230"/>
      <c r="G142" s="230"/>
      <c r="H142" s="230"/>
      <c r="I142" s="230"/>
      <c r="J142" s="230"/>
      <c r="K142" s="230"/>
      <c r="N142" s="195">
        <f t="shared" si="19"/>
        <v>11778166.029086035</v>
      </c>
      <c r="O142" s="195">
        <f t="shared" si="20"/>
        <v>17441284.830404226</v>
      </c>
      <c r="P142" s="195">
        <f t="shared" si="21"/>
        <v>16842450.369742259</v>
      </c>
      <c r="Q142" s="195">
        <f t="shared" si="25"/>
        <v>46061901.22923252</v>
      </c>
      <c r="R142" s="199">
        <f t="shared" si="26"/>
        <v>0.25570299346678271</v>
      </c>
      <c r="AC142" s="251"/>
    </row>
    <row r="143" spans="1:29" ht="15.6" x14ac:dyDescent="0.3">
      <c r="A143" s="201">
        <v>2020</v>
      </c>
      <c r="B143" s="228">
        <v>122536142.35462116</v>
      </c>
      <c r="C143" s="229">
        <f t="shared" si="22"/>
        <v>17161190.097878199</v>
      </c>
      <c r="D143" s="229">
        <f t="shared" si="23"/>
        <v>12443763.352606304</v>
      </c>
      <c r="E143" s="229">
        <f t="shared" si="24"/>
        <v>18129820.08658243</v>
      </c>
      <c r="F143" s="228"/>
      <c r="G143" s="228"/>
      <c r="H143" s="228"/>
      <c r="I143" s="228"/>
      <c r="J143" s="228"/>
      <c r="K143" s="228"/>
      <c r="L143" s="202"/>
      <c r="M143" s="202"/>
      <c r="N143" s="195">
        <f t="shared" si="19"/>
        <v>12443763.352606304</v>
      </c>
      <c r="O143" s="195">
        <f t="shared" si="20"/>
        <v>18129820.08658243</v>
      </c>
      <c r="P143" s="195">
        <f t="shared" si="21"/>
        <v>17161190.097878199</v>
      </c>
      <c r="Q143" s="195">
        <f t="shared" si="25"/>
        <v>47734773.537066936</v>
      </c>
      <c r="R143" s="220">
        <f t="shared" si="26"/>
        <v>0.26068550095756693</v>
      </c>
      <c r="AC143" s="251"/>
    </row>
    <row r="144" spans="1:29" ht="15.6" x14ac:dyDescent="0.3">
      <c r="A144" s="206">
        <v>2021</v>
      </c>
      <c r="B144" s="229">
        <v>124367291.80221051</v>
      </c>
      <c r="C144" s="229">
        <f t="shared" si="22"/>
        <v>17488234.069434166</v>
      </c>
      <c r="D144" s="229">
        <f t="shared" si="23"/>
        <v>13128898.435746651</v>
      </c>
      <c r="E144" s="229">
        <f t="shared" si="24"/>
        <v>18831437.152069487</v>
      </c>
      <c r="F144" s="229"/>
      <c r="G144" s="229"/>
      <c r="H144" s="229"/>
      <c r="I144" s="229"/>
      <c r="J144" s="229"/>
      <c r="K144" s="229"/>
      <c r="L144" s="170"/>
      <c r="M144" s="170"/>
      <c r="N144" s="195">
        <f t="shared" si="19"/>
        <v>13128898.435746651</v>
      </c>
      <c r="O144" s="195">
        <f t="shared" si="20"/>
        <v>18831437.152069487</v>
      </c>
      <c r="P144" s="195">
        <f t="shared" si="21"/>
        <v>17488234.069434166</v>
      </c>
      <c r="Q144" s="195">
        <f t="shared" si="25"/>
        <v>49448569.6572503</v>
      </c>
      <c r="R144" s="221">
        <f t="shared" si="26"/>
        <v>0.26550613145635554</v>
      </c>
      <c r="AC144" s="251"/>
    </row>
    <row r="145" spans="1:29" ht="15.6" x14ac:dyDescent="0.3">
      <c r="A145" s="206">
        <v>2022</v>
      </c>
      <c r="B145" s="229">
        <v>126206508.72381897</v>
      </c>
      <c r="C145" s="229">
        <f t="shared" si="22"/>
        <v>17823272.729761362</v>
      </c>
      <c r="D145" s="229">
        <f t="shared" si="23"/>
        <v>13832680.059055999</v>
      </c>
      <c r="E145" s="229">
        <f t="shared" si="24"/>
        <v>19545408.370408326</v>
      </c>
      <c r="F145" s="229"/>
      <c r="G145" s="229"/>
      <c r="H145" s="229"/>
      <c r="I145" s="229"/>
      <c r="J145" s="229"/>
      <c r="K145" s="229"/>
      <c r="L145" s="170"/>
      <c r="M145" s="170"/>
      <c r="N145" s="195">
        <f t="shared" si="19"/>
        <v>13832680.059055999</v>
      </c>
      <c r="O145" s="195">
        <f t="shared" si="20"/>
        <v>19545408.370408326</v>
      </c>
      <c r="P145" s="195">
        <f t="shared" si="21"/>
        <v>17823272.729761362</v>
      </c>
      <c r="Q145" s="195">
        <f t="shared" si="25"/>
        <v>51201361.159225687</v>
      </c>
      <c r="R145" s="221">
        <f t="shared" si="26"/>
        <v>0.27016235009923295</v>
      </c>
      <c r="AC145" s="251"/>
    </row>
    <row r="146" spans="1:29" ht="15.6" x14ac:dyDescent="0.3">
      <c r="A146" s="206">
        <v>2023</v>
      </c>
      <c r="B146" s="229">
        <v>128063684.79710445</v>
      </c>
      <c r="C146" s="229">
        <f t="shared" si="22"/>
        <v>18165996.524210997</v>
      </c>
      <c r="D146" s="229">
        <f t="shared" si="23"/>
        <v>14554217.003083276</v>
      </c>
      <c r="E146" s="229">
        <f t="shared" si="24"/>
        <v>20271006.085141875</v>
      </c>
      <c r="F146" s="229"/>
      <c r="G146" s="229"/>
      <c r="H146" s="229"/>
      <c r="I146" s="229"/>
      <c r="J146" s="229"/>
      <c r="K146" s="229"/>
      <c r="L146" s="170"/>
      <c r="M146" s="170"/>
      <c r="N146" s="195">
        <f t="shared" si="19"/>
        <v>14554217.003083276</v>
      </c>
      <c r="O146" s="195">
        <f t="shared" si="20"/>
        <v>20271006.085141875</v>
      </c>
      <c r="P146" s="195">
        <f t="shared" si="21"/>
        <v>18165996.524210997</v>
      </c>
      <c r="Q146" s="195">
        <f>N146+P146+O146</f>
        <v>52991219.612436146</v>
      </c>
      <c r="R146" s="221">
        <f t="shared" si="26"/>
        <v>0.27465336917189287</v>
      </c>
      <c r="AC146" s="251"/>
    </row>
    <row r="147" spans="1:29" ht="15.6" x14ac:dyDescent="0.3">
      <c r="A147" s="206">
        <v>2024</v>
      </c>
      <c r="B147" s="229">
        <v>129948711.69972482</v>
      </c>
      <c r="C147" s="229">
        <f t="shared" si="22"/>
        <v>18516095.898134261</v>
      </c>
      <c r="D147" s="229">
        <f t="shared" si="23"/>
        <v>15292618.048377397</v>
      </c>
      <c r="E147" s="229">
        <f t="shared" si="24"/>
        <v>21007502.639813058</v>
      </c>
      <c r="F147" s="229"/>
      <c r="G147" s="229"/>
      <c r="H147" s="229"/>
      <c r="I147" s="229"/>
      <c r="J147" s="229"/>
      <c r="K147" s="229"/>
      <c r="L147" s="170"/>
      <c r="M147" s="170"/>
      <c r="N147" s="195">
        <f t="shared" si="19"/>
        <v>15292618.048377397</v>
      </c>
      <c r="O147" s="195">
        <f t="shared" si="20"/>
        <v>21007502.639813058</v>
      </c>
      <c r="P147" s="195">
        <f t="shared" si="21"/>
        <v>18516095.898134261</v>
      </c>
      <c r="Q147" s="195">
        <f t="shared" si="25"/>
        <v>54816216.586324714</v>
      </c>
      <c r="R147" s="221">
        <f t="shared" si="26"/>
        <v>0.27897981657115178</v>
      </c>
      <c r="AC147" s="251"/>
    </row>
    <row r="148" spans="1:29" ht="15.6" x14ac:dyDescent="0.3">
      <c r="A148" s="206">
        <v>2025</v>
      </c>
      <c r="B148" s="229">
        <v>131871481.10933797</v>
      </c>
      <c r="C148" s="229">
        <f t="shared" si="22"/>
        <v>18690014.120989863</v>
      </c>
      <c r="D148" s="229">
        <f t="shared" si="23"/>
        <v>15748341.11438131</v>
      </c>
      <c r="E148" s="229">
        <f t="shared" si="24"/>
        <v>21324844.911536872</v>
      </c>
      <c r="F148" s="229"/>
      <c r="G148" s="229"/>
      <c r="H148" s="229"/>
      <c r="I148" s="229"/>
      <c r="J148" s="229"/>
      <c r="K148" s="229"/>
      <c r="L148" s="170"/>
      <c r="M148" s="170"/>
      <c r="N148" s="195">
        <f t="shared" si="19"/>
        <v>15748341.11438131</v>
      </c>
      <c r="O148" s="195">
        <f t="shared" si="20"/>
        <v>21324844.911536872</v>
      </c>
      <c r="P148" s="195">
        <f t="shared" si="21"/>
        <v>18690014.120989863</v>
      </c>
      <c r="Q148" s="195">
        <f t="shared" si="25"/>
        <v>55763200.146908045</v>
      </c>
      <c r="R148" s="221">
        <f t="shared" si="26"/>
        <v>0.28241458655336021</v>
      </c>
      <c r="AC148" s="251"/>
    </row>
    <row r="149" spans="1:29" ht="15.6" x14ac:dyDescent="0.3">
      <c r="A149" s="206">
        <v>2026</v>
      </c>
      <c r="B149" s="229">
        <v>133841884.70360181</v>
      </c>
      <c r="C149" s="229">
        <f t="shared" si="22"/>
        <v>19237183.165806528</v>
      </c>
      <c r="D149" s="229">
        <f t="shared" si="23"/>
        <v>16816447.564961888</v>
      </c>
      <c r="E149" s="229">
        <f t="shared" si="24"/>
        <v>22510281.643140022</v>
      </c>
      <c r="F149" s="229"/>
      <c r="G149" s="229"/>
      <c r="H149" s="229"/>
      <c r="I149" s="229"/>
      <c r="J149" s="229"/>
      <c r="K149" s="229"/>
      <c r="L149" s="170"/>
      <c r="M149" s="170"/>
      <c r="N149" s="195">
        <f t="shared" si="19"/>
        <v>16816447.564961888</v>
      </c>
      <c r="O149" s="195">
        <f t="shared" si="20"/>
        <v>22510281.643140022</v>
      </c>
      <c r="P149" s="195">
        <f t="shared" si="21"/>
        <v>19237183.165806528</v>
      </c>
      <c r="Q149" s="195">
        <f t="shared" si="25"/>
        <v>58563912.37390843</v>
      </c>
      <c r="R149" s="221">
        <f t="shared" si="26"/>
        <v>0.28714692859990687</v>
      </c>
      <c r="AC149" s="251"/>
    </row>
    <row r="150" spans="1:29" ht="15.6" x14ac:dyDescent="0.3">
      <c r="A150" s="206">
        <v>2027</v>
      </c>
      <c r="B150" s="229">
        <v>135869814.16017422</v>
      </c>
      <c r="C150" s="229">
        <f t="shared" si="22"/>
        <v>19607551.950257927</v>
      </c>
      <c r="D150" s="229">
        <f t="shared" si="23"/>
        <v>17600093.597350098</v>
      </c>
      <c r="E150" s="229">
        <f t="shared" si="24"/>
        <v>23275108.77888165</v>
      </c>
      <c r="F150" s="229"/>
      <c r="G150" s="229"/>
      <c r="H150" s="229"/>
      <c r="I150" s="229"/>
      <c r="J150" s="229"/>
      <c r="K150" s="229"/>
      <c r="L150" s="170"/>
      <c r="M150" s="170"/>
      <c r="N150" s="195">
        <f t="shared" si="19"/>
        <v>17600093.597350098</v>
      </c>
      <c r="O150" s="195">
        <f t="shared" si="20"/>
        <v>23275108.77888165</v>
      </c>
      <c r="P150" s="195">
        <f t="shared" si="21"/>
        <v>19607551.950257927</v>
      </c>
      <c r="Q150" s="195">
        <f t="shared" si="25"/>
        <v>60482754.326489672</v>
      </c>
      <c r="R150" s="221">
        <f t="shared" si="26"/>
        <v>0.29099358640884138</v>
      </c>
      <c r="AC150" s="251"/>
    </row>
    <row r="151" spans="1:29" ht="15.6" x14ac:dyDescent="0.3">
      <c r="A151" s="206">
        <v>2028</v>
      </c>
      <c r="B151" s="229">
        <v>137965161.15671307</v>
      </c>
      <c r="C151" s="229">
        <f t="shared" si="22"/>
        <v>19984058.095587775</v>
      </c>
      <c r="D151" s="229">
        <f t="shared" si="23"/>
        <v>18397038.853200849</v>
      </c>
      <c r="E151" s="229">
        <f t="shared" si="24"/>
        <v>24047924.128732618</v>
      </c>
      <c r="F151" s="229"/>
      <c r="G151" s="229"/>
      <c r="H151" s="229"/>
      <c r="I151" s="229"/>
      <c r="J151" s="229"/>
      <c r="K151" s="229"/>
      <c r="L151" s="170"/>
      <c r="M151" s="170"/>
      <c r="N151" s="195">
        <f t="shared" si="19"/>
        <v>18397038.853200849</v>
      </c>
      <c r="O151" s="195">
        <f t="shared" si="20"/>
        <v>24047924.128732618</v>
      </c>
      <c r="P151" s="195">
        <f t="shared" si="21"/>
        <v>19984058.095587775</v>
      </c>
      <c r="Q151" s="195">
        <f t="shared" si="25"/>
        <v>62429021.07752125</v>
      </c>
      <c r="R151" s="221">
        <f t="shared" si="26"/>
        <v>0.29468728702883745</v>
      </c>
      <c r="AC151" s="251"/>
    </row>
    <row r="152" spans="1:29" ht="15.6" x14ac:dyDescent="0.3">
      <c r="A152" s="206">
        <v>2029</v>
      </c>
      <c r="B152" s="229">
        <v>140137817.37087628</v>
      </c>
      <c r="C152" s="229">
        <f t="shared" si="22"/>
        <v>20366392.047147281</v>
      </c>
      <c r="D152" s="229">
        <f t="shared" si="23"/>
        <v>19206392.113063063</v>
      </c>
      <c r="E152" s="229">
        <f t="shared" si="24"/>
        <v>24828000.036235843</v>
      </c>
      <c r="F152" s="229"/>
      <c r="G152" s="229"/>
      <c r="H152" s="229"/>
      <c r="I152" s="229"/>
      <c r="J152" s="229"/>
      <c r="K152" s="229"/>
      <c r="L152" s="170"/>
      <c r="M152" s="170"/>
      <c r="N152" s="195">
        <f t="shared" si="19"/>
        <v>19206392.113063063</v>
      </c>
      <c r="O152" s="195">
        <f t="shared" si="20"/>
        <v>24828000.036235843</v>
      </c>
      <c r="P152" s="195">
        <f t="shared" si="21"/>
        <v>20366392.047147281</v>
      </c>
      <c r="Q152" s="195">
        <f t="shared" si="25"/>
        <v>64400784.19644618</v>
      </c>
      <c r="R152" s="221">
        <f t="shared" si="26"/>
        <v>0.29823227081329434</v>
      </c>
      <c r="AC152" s="251"/>
    </row>
    <row r="153" spans="1:29" ht="15.6" x14ac:dyDescent="0.3">
      <c r="A153" s="206">
        <v>2030</v>
      </c>
      <c r="B153" s="229">
        <v>142397674.48032171</v>
      </c>
      <c r="C153" s="229">
        <f t="shared" si="22"/>
        <v>20757262.970515274</v>
      </c>
      <c r="D153" s="229">
        <f t="shared" si="23"/>
        <v>20063643.493529789</v>
      </c>
      <c r="E153" s="229">
        <f t="shared" si="24"/>
        <v>25690191.944286238</v>
      </c>
      <c r="F153" s="229"/>
      <c r="G153" s="229"/>
      <c r="H153" s="229"/>
      <c r="I153" s="229"/>
      <c r="J153" s="229"/>
      <c r="K153" s="229"/>
      <c r="L153" s="170"/>
      <c r="M153" s="170"/>
      <c r="N153" s="195">
        <f t="shared" si="19"/>
        <v>20063643.493529789</v>
      </c>
      <c r="O153" s="195">
        <f t="shared" si="20"/>
        <v>25690191.944286238</v>
      </c>
      <c r="P153" s="195">
        <f t="shared" si="21"/>
        <v>20757262.970515274</v>
      </c>
      <c r="Q153" s="195">
        <f t="shared" si="25"/>
        <v>66511098.408331305</v>
      </c>
      <c r="R153" s="221">
        <f t="shared" si="26"/>
        <v>0.30165857990125416</v>
      </c>
      <c r="AC153" s="251"/>
    </row>
    <row r="154" spans="1:29" ht="15.6" x14ac:dyDescent="0.3">
      <c r="A154" s="206">
        <v>2031</v>
      </c>
      <c r="B154" s="229">
        <v>144754624.1627073</v>
      </c>
      <c r="C154" s="229">
        <f t="shared" si="22"/>
        <v>21147305.150360059</v>
      </c>
      <c r="D154" s="229">
        <f t="shared" si="23"/>
        <v>20858757.767017588</v>
      </c>
      <c r="E154" s="229">
        <f t="shared" si="24"/>
        <v>26407022.898370784</v>
      </c>
      <c r="F154" s="229"/>
      <c r="G154" s="229"/>
      <c r="H154" s="229"/>
      <c r="I154" s="229"/>
      <c r="J154" s="229"/>
      <c r="K154" s="229"/>
      <c r="L154" s="170"/>
      <c r="M154" s="170"/>
      <c r="N154" s="195">
        <f t="shared" si="19"/>
        <v>20858757.767017588</v>
      </c>
      <c r="O154" s="195">
        <f t="shared" si="20"/>
        <v>26407022.898370784</v>
      </c>
      <c r="P154" s="195">
        <f t="shared" si="21"/>
        <v>21147305.150360059</v>
      </c>
      <c r="Q154" s="195">
        <f t="shared" si="25"/>
        <v>68413085.815748438</v>
      </c>
      <c r="R154" s="221">
        <f t="shared" si="26"/>
        <v>0.30489426866659447</v>
      </c>
      <c r="AC154" s="251"/>
    </row>
    <row r="155" spans="1:29" ht="15.6" x14ac:dyDescent="0.3">
      <c r="A155" s="206">
        <v>2032</v>
      </c>
      <c r="B155" s="229">
        <v>147218558.09569088</v>
      </c>
      <c r="C155" s="229">
        <f t="shared" si="22"/>
        <v>21545265.192715742</v>
      </c>
      <c r="D155" s="229">
        <f t="shared" si="23"/>
        <v>21699987.72220774</v>
      </c>
      <c r="E155" s="229">
        <f t="shared" si="24"/>
        <v>27204514.540088341</v>
      </c>
      <c r="F155" s="229"/>
      <c r="G155" s="229"/>
      <c r="H155" s="229"/>
      <c r="I155" s="229"/>
      <c r="J155" s="229"/>
      <c r="K155" s="229"/>
      <c r="L155" s="170"/>
      <c r="M155" s="170"/>
      <c r="N155" s="195">
        <f t="shared" si="19"/>
        <v>21699987.72220774</v>
      </c>
      <c r="O155" s="195">
        <f t="shared" si="20"/>
        <v>27204514.540088341</v>
      </c>
      <c r="P155" s="195">
        <f t="shared" si="21"/>
        <v>21545265.192715742</v>
      </c>
      <c r="Q155" s="195">
        <f t="shared" si="25"/>
        <v>70449767.455011815</v>
      </c>
      <c r="R155" s="221">
        <f t="shared" si="26"/>
        <v>0.30802071470377856</v>
      </c>
      <c r="AC155" s="251"/>
    </row>
    <row r="156" spans="1:29" ht="15.6" x14ac:dyDescent="0.3">
      <c r="A156" s="206">
        <v>2033</v>
      </c>
      <c r="B156" s="229">
        <v>149799367.9569304</v>
      </c>
      <c r="C156" s="229">
        <f t="shared" si="22"/>
        <v>21947814.822705891</v>
      </c>
      <c r="D156" s="229">
        <f t="shared" si="23"/>
        <v>22550060.80360505</v>
      </c>
      <c r="E156" s="229">
        <f t="shared" si="24"/>
        <v>28006356.113629863</v>
      </c>
      <c r="F156" s="229"/>
      <c r="G156" s="229"/>
      <c r="H156" s="229"/>
      <c r="I156" s="229"/>
      <c r="J156" s="229"/>
      <c r="K156" s="229"/>
      <c r="L156" s="170"/>
      <c r="M156" s="170"/>
      <c r="N156" s="195">
        <f t="shared" si="19"/>
        <v>22550060.80360505</v>
      </c>
      <c r="O156" s="195">
        <f t="shared" si="20"/>
        <v>28006356.113629863</v>
      </c>
      <c r="P156" s="195">
        <f t="shared" si="21"/>
        <v>21947814.822705891</v>
      </c>
      <c r="Q156" s="195">
        <f t="shared" si="25"/>
        <v>72504231.739940807</v>
      </c>
      <c r="R156" s="221">
        <f t="shared" si="26"/>
        <v>0.31101716772185001</v>
      </c>
      <c r="AC156" s="251"/>
    </row>
    <row r="157" spans="1:29" ht="15.6" x14ac:dyDescent="0.3">
      <c r="A157" s="206">
        <v>2034</v>
      </c>
      <c r="B157" s="229">
        <v>152506945.42408368</v>
      </c>
      <c r="C157" s="229">
        <f t="shared" si="22"/>
        <v>22354644.485681709</v>
      </c>
      <c r="D157" s="229">
        <f t="shared" si="23"/>
        <v>23408085.791758444</v>
      </c>
      <c r="E157" s="229">
        <f t="shared" si="24"/>
        <v>28811819.962538268</v>
      </c>
      <c r="F157" s="229"/>
      <c r="G157" s="229"/>
      <c r="H157" s="229"/>
      <c r="I157" s="229"/>
      <c r="J157" s="229"/>
      <c r="K157" s="229"/>
      <c r="L157" s="170"/>
      <c r="M157" s="170"/>
      <c r="N157" s="195">
        <f t="shared" si="19"/>
        <v>23408085.791758444</v>
      </c>
      <c r="O157" s="195">
        <f t="shared" si="20"/>
        <v>28811819.962538268</v>
      </c>
      <c r="P157" s="195">
        <f t="shared" si="21"/>
        <v>22354644.485681709</v>
      </c>
      <c r="Q157" s="195">
        <f t="shared" si="25"/>
        <v>74574550.239978418</v>
      </c>
      <c r="R157" s="221">
        <f t="shared" si="26"/>
        <v>0.31388839378088107</v>
      </c>
      <c r="AC157" s="251"/>
    </row>
    <row r="158" spans="1:29" ht="15.6" x14ac:dyDescent="0.3">
      <c r="A158" s="206">
        <v>2035</v>
      </c>
      <c r="B158" s="229">
        <v>155351182.17480868</v>
      </c>
      <c r="C158" s="229">
        <f t="shared" si="22"/>
        <v>22900147.185221277</v>
      </c>
      <c r="D158" s="229">
        <f t="shared" si="23"/>
        <v>24495220.15971078</v>
      </c>
      <c r="E158" s="229">
        <f t="shared" si="24"/>
        <v>29889162.941195965</v>
      </c>
      <c r="F158" s="229"/>
      <c r="G158" s="229"/>
      <c r="H158" s="229"/>
      <c r="I158" s="229"/>
      <c r="J158" s="229"/>
      <c r="K158" s="229"/>
      <c r="L158" s="170"/>
      <c r="M158" s="170"/>
      <c r="N158" s="195">
        <f t="shared" si="19"/>
        <v>24495220.15971078</v>
      </c>
      <c r="O158" s="195">
        <f t="shared" si="20"/>
        <v>29889162.941195965</v>
      </c>
      <c r="P158" s="195">
        <f t="shared" si="21"/>
        <v>22900147.185221277</v>
      </c>
      <c r="Q158" s="195">
        <f t="shared" si="25"/>
        <v>77284530.286128014</v>
      </c>
      <c r="R158" s="221">
        <f t="shared" si="26"/>
        <v>0.31694855450402454</v>
      </c>
      <c r="AC158" s="251"/>
    </row>
    <row r="159" spans="1:29" ht="15.6" x14ac:dyDescent="0.3">
      <c r="A159" s="206">
        <v>2036</v>
      </c>
      <c r="B159" s="229">
        <v>158341969.88676322</v>
      </c>
      <c r="C159" s="229">
        <f t="shared" si="22"/>
        <v>23179905.691995166</v>
      </c>
      <c r="D159" s="229">
        <f t="shared" si="23"/>
        <v>25144426.610529166</v>
      </c>
      <c r="E159" s="229">
        <f t="shared" si="24"/>
        <v>30430703.86062745</v>
      </c>
      <c r="F159" s="229"/>
      <c r="G159" s="229"/>
      <c r="H159" s="229"/>
      <c r="I159" s="229"/>
      <c r="J159" s="229"/>
      <c r="K159" s="229"/>
      <c r="L159" s="170"/>
      <c r="M159" s="170"/>
      <c r="N159" s="195">
        <f t="shared" si="19"/>
        <v>25144426.610529166</v>
      </c>
      <c r="O159" s="195">
        <f t="shared" si="20"/>
        <v>30430703.86062745</v>
      </c>
      <c r="P159" s="195">
        <f t="shared" si="21"/>
        <v>23179905.691995166</v>
      </c>
      <c r="Q159" s="195">
        <f t="shared" si="25"/>
        <v>78755036.163151771</v>
      </c>
      <c r="R159" s="221">
        <f t="shared" si="26"/>
        <v>0.31927388819223024</v>
      </c>
      <c r="AC159" s="251"/>
    </row>
    <row r="160" spans="1:29" ht="15.6" x14ac:dyDescent="0.3">
      <c r="A160" s="206">
        <v>2037</v>
      </c>
      <c r="B160" s="229">
        <v>161489200.23760527</v>
      </c>
      <c r="C160" s="229">
        <f t="shared" si="22"/>
        <v>23597718.126035213</v>
      </c>
      <c r="D160" s="229">
        <f t="shared" si="23"/>
        <v>26020960.002244342</v>
      </c>
      <c r="E160" s="229">
        <f t="shared" si="24"/>
        <v>31242668.596894074</v>
      </c>
      <c r="F160" s="229"/>
      <c r="G160" s="229"/>
      <c r="H160" s="229"/>
      <c r="I160" s="229"/>
      <c r="J160" s="229"/>
      <c r="K160" s="229"/>
      <c r="L160" s="170"/>
      <c r="M160" s="170"/>
      <c r="N160" s="195">
        <f t="shared" si="19"/>
        <v>26020960.002244342</v>
      </c>
      <c r="O160" s="195">
        <f t="shared" si="20"/>
        <v>31242668.596894074</v>
      </c>
      <c r="P160" s="195">
        <f t="shared" si="21"/>
        <v>23597718.126035213</v>
      </c>
      <c r="Q160" s="195">
        <f t="shared" si="25"/>
        <v>80861346.725173622</v>
      </c>
      <c r="R160" s="221">
        <f t="shared" si="26"/>
        <v>0.32179726230237937</v>
      </c>
      <c r="AC160" s="251"/>
    </row>
    <row r="161" spans="1:29" ht="15.6" x14ac:dyDescent="0.3">
      <c r="A161" s="206">
        <v>2038</v>
      </c>
      <c r="B161" s="229">
        <v>164802764.90499267</v>
      </c>
      <c r="C161" s="229">
        <f t="shared" si="22"/>
        <v>24018572.374465737</v>
      </c>
      <c r="D161" s="229">
        <f t="shared" si="23"/>
        <v>26901880.422911294</v>
      </c>
      <c r="E161" s="229">
        <f t="shared" si="24"/>
        <v>32055344.982699286</v>
      </c>
      <c r="F161" s="229"/>
      <c r="G161" s="229"/>
      <c r="H161" s="229"/>
      <c r="I161" s="229"/>
      <c r="J161" s="229"/>
      <c r="K161" s="229"/>
      <c r="L161" s="170"/>
      <c r="M161" s="170"/>
      <c r="N161" s="195">
        <f t="shared" si="19"/>
        <v>26901880.422911294</v>
      </c>
      <c r="O161" s="195">
        <f t="shared" si="20"/>
        <v>32055344.982699286</v>
      </c>
      <c r="P161" s="195">
        <f t="shared" si="21"/>
        <v>24018572.374465737</v>
      </c>
      <c r="Q161" s="195">
        <f t="shared" si="25"/>
        <v>82975797.780076325</v>
      </c>
      <c r="R161" s="221">
        <f t="shared" si="26"/>
        <v>0.32421357965383518</v>
      </c>
      <c r="AC161" s="251"/>
    </row>
    <row r="162" spans="1:29" ht="15.6" x14ac:dyDescent="0.3">
      <c r="A162" s="206">
        <v>2039</v>
      </c>
      <c r="B162" s="229">
        <v>168292555.56658331</v>
      </c>
      <c r="C162" s="229">
        <f t="shared" si="22"/>
        <v>24442158.882637952</v>
      </c>
      <c r="D162" s="229">
        <f t="shared" si="23"/>
        <v>27786296.653078943</v>
      </c>
      <c r="E162" s="229">
        <f t="shared" si="24"/>
        <v>32868005.361586008</v>
      </c>
      <c r="F162" s="229"/>
      <c r="G162" s="229"/>
      <c r="H162" s="229"/>
      <c r="I162" s="229"/>
      <c r="J162" s="229"/>
      <c r="K162" s="229"/>
      <c r="L162" s="170"/>
      <c r="M162" s="170"/>
      <c r="N162" s="195">
        <f t="shared" si="19"/>
        <v>27786296.653078943</v>
      </c>
      <c r="O162" s="195">
        <f t="shared" si="20"/>
        <v>32868005.361586008</v>
      </c>
      <c r="P162" s="195">
        <f t="shared" si="21"/>
        <v>24442158.882637952</v>
      </c>
      <c r="Q162" s="195">
        <f t="shared" si="25"/>
        <v>85096460.897302896</v>
      </c>
      <c r="R162" s="221">
        <f t="shared" si="26"/>
        <v>0.32652705365282259</v>
      </c>
      <c r="AC162" s="251"/>
    </row>
    <row r="163" spans="1:29" ht="15.6" x14ac:dyDescent="0.3">
      <c r="A163" s="206">
        <v>2040</v>
      </c>
      <c r="B163" s="229">
        <v>171968463.90003508</v>
      </c>
      <c r="C163" s="229">
        <f t="shared" si="22"/>
        <v>24984301.964445986</v>
      </c>
      <c r="D163" s="229">
        <f t="shared" si="23"/>
        <v>28807295.309656736</v>
      </c>
      <c r="E163" s="229">
        <f t="shared" si="24"/>
        <v>33909815.369072497</v>
      </c>
      <c r="F163" s="229"/>
      <c r="G163" s="229"/>
      <c r="H163" s="229"/>
      <c r="I163" s="229"/>
      <c r="J163" s="229"/>
      <c r="K163" s="229"/>
      <c r="L163" s="170"/>
      <c r="M163" s="170"/>
      <c r="N163" s="195">
        <f t="shared" si="19"/>
        <v>28807295.309656736</v>
      </c>
      <c r="O163" s="195">
        <f t="shared" si="20"/>
        <v>33909815.369072497</v>
      </c>
      <c r="P163" s="195">
        <f t="shared" si="21"/>
        <v>24984301.964445986</v>
      </c>
      <c r="Q163" s="195">
        <f t="shared" si="25"/>
        <v>87701412.643175215</v>
      </c>
      <c r="R163" s="221">
        <f t="shared" si="26"/>
        <v>0.32847014023437709</v>
      </c>
      <c r="AC163" s="251"/>
    </row>
    <row r="164" spans="1:29" ht="15.6" x14ac:dyDescent="0.3">
      <c r="A164" s="206">
        <v>2041</v>
      </c>
      <c r="B164" s="229">
        <v>175840381.58300591</v>
      </c>
      <c r="C164" s="229">
        <f t="shared" si="22"/>
        <v>25296290.45961225</v>
      </c>
      <c r="D164" s="229">
        <f t="shared" si="23"/>
        <v>29562051.664112028</v>
      </c>
      <c r="E164" s="229">
        <f t="shared" si="24"/>
        <v>34490367.472775705</v>
      </c>
      <c r="F164" s="229"/>
      <c r="G164" s="229"/>
      <c r="H164" s="229"/>
      <c r="I164" s="229"/>
      <c r="J164" s="229"/>
      <c r="K164" s="229"/>
      <c r="L164" s="170"/>
      <c r="M164" s="170"/>
      <c r="N164" s="195">
        <f t="shared" si="19"/>
        <v>29562051.664112028</v>
      </c>
      <c r="O164" s="195">
        <f t="shared" si="20"/>
        <v>34490367.472775705</v>
      </c>
      <c r="P164" s="195">
        <f t="shared" si="21"/>
        <v>25296290.45961225</v>
      </c>
      <c r="Q164" s="195">
        <f>N164+P164+O164</f>
        <v>89348709.596499979</v>
      </c>
      <c r="R164" s="221">
        <f>N164/Q164</f>
        <v>0.33086154011193519</v>
      </c>
      <c r="AC164" s="251"/>
    </row>
    <row r="165" spans="1:29" ht="15.6" x14ac:dyDescent="0.3">
      <c r="A165" s="206">
        <v>2042</v>
      </c>
      <c r="B165" s="229">
        <v>179918200.29315364</v>
      </c>
      <c r="C165" s="229">
        <f t="shared" si="22"/>
        <v>25726216.419116739</v>
      </c>
      <c r="D165" s="229">
        <f t="shared" si="23"/>
        <v>30451608.006075308</v>
      </c>
      <c r="E165" s="229">
        <f t="shared" si="24"/>
        <v>35298613.892164528</v>
      </c>
      <c r="F165" s="229"/>
      <c r="G165" s="229"/>
      <c r="H165" s="229"/>
      <c r="I165" s="229"/>
      <c r="J165" s="229"/>
      <c r="K165" s="229"/>
      <c r="L165" s="170"/>
      <c r="M165" s="170"/>
      <c r="N165" s="195">
        <f t="shared" si="19"/>
        <v>30451608.006075308</v>
      </c>
      <c r="O165" s="195">
        <f t="shared" si="20"/>
        <v>35298613.892164528</v>
      </c>
      <c r="P165" s="195">
        <f t="shared" si="21"/>
        <v>25726216.419116739</v>
      </c>
      <c r="Q165" s="195">
        <f t="shared" si="25"/>
        <v>91476438.317356572</v>
      </c>
      <c r="R165" s="221">
        <f t="shared" si="26"/>
        <v>0.33289017987812797</v>
      </c>
      <c r="AC165" s="251"/>
    </row>
    <row r="166" spans="1:29" ht="15.6" x14ac:dyDescent="0.3">
      <c r="A166" s="206">
        <v>2043</v>
      </c>
      <c r="B166" s="229">
        <v>184211811.7081362</v>
      </c>
      <c r="C166" s="229">
        <f t="shared" si="22"/>
        <v>26157636.419767726</v>
      </c>
      <c r="D166" s="229">
        <f t="shared" si="23"/>
        <v>31341095.279734977</v>
      </c>
      <c r="E166" s="229">
        <f t="shared" si="24"/>
        <v>36103933.678806566</v>
      </c>
      <c r="F166" s="229"/>
      <c r="G166" s="229"/>
      <c r="H166" s="229"/>
      <c r="I166" s="229"/>
      <c r="J166" s="229"/>
      <c r="K166" s="229"/>
      <c r="L166" s="170"/>
      <c r="M166" s="170"/>
      <c r="N166" s="195">
        <f t="shared" si="19"/>
        <v>31341095.279734977</v>
      </c>
      <c r="O166" s="195">
        <f t="shared" si="20"/>
        <v>36103933.678806566</v>
      </c>
      <c r="P166" s="195">
        <f t="shared" si="21"/>
        <v>26157636.419767726</v>
      </c>
      <c r="Q166" s="195">
        <f t="shared" si="25"/>
        <v>93602665.37830928</v>
      </c>
      <c r="R166" s="221">
        <f t="shared" si="26"/>
        <v>0.33483122679322447</v>
      </c>
      <c r="AC166" s="251"/>
    </row>
    <row r="167" spans="1:29" ht="15.6" x14ac:dyDescent="0.3">
      <c r="A167" s="206">
        <v>2044</v>
      </c>
      <c r="B167" s="229">
        <v>188731107.50561145</v>
      </c>
      <c r="C167" s="229">
        <f t="shared" si="22"/>
        <v>26590240.906916413</v>
      </c>
      <c r="D167" s="229">
        <f t="shared" si="23"/>
        <v>32229622.265639964</v>
      </c>
      <c r="E167" s="229">
        <f t="shared" si="24"/>
        <v>36905599.176244736</v>
      </c>
      <c r="F167" s="229"/>
      <c r="G167" s="229"/>
      <c r="H167" s="229"/>
      <c r="I167" s="229"/>
      <c r="J167" s="229"/>
      <c r="K167" s="229"/>
      <c r="L167" s="170"/>
      <c r="M167" s="170"/>
      <c r="N167" s="195">
        <f t="shared" si="19"/>
        <v>32229622.265639964</v>
      </c>
      <c r="O167" s="195">
        <f t="shared" si="20"/>
        <v>36905599.176244736</v>
      </c>
      <c r="P167" s="195">
        <f t="shared" si="21"/>
        <v>26590240.906916413</v>
      </c>
      <c r="Q167" s="195">
        <f t="shared" si="25"/>
        <v>95725462.348801106</v>
      </c>
      <c r="R167" s="221">
        <f t="shared" si="26"/>
        <v>0.33668808146575246</v>
      </c>
      <c r="AC167" s="251"/>
    </row>
    <row r="168" spans="1:29" ht="15.6" x14ac:dyDescent="0.3">
      <c r="A168" s="206">
        <v>2045</v>
      </c>
      <c r="B168" s="229">
        <v>193485979.36323732</v>
      </c>
      <c r="C168" s="229">
        <f t="shared" si="22"/>
        <v>27014968.861901972</v>
      </c>
      <c r="D168" s="229">
        <f t="shared" si="23"/>
        <v>33094500.776115905</v>
      </c>
      <c r="E168" s="229">
        <f t="shared" si="24"/>
        <v>37670548.521514907</v>
      </c>
      <c r="F168" s="229"/>
      <c r="G168" s="229"/>
      <c r="H168" s="229"/>
      <c r="I168" s="229"/>
      <c r="J168" s="229"/>
      <c r="K168" s="229"/>
      <c r="L168" s="170"/>
      <c r="M168" s="170"/>
      <c r="N168" s="195">
        <f t="shared" si="19"/>
        <v>33094500.776115905</v>
      </c>
      <c r="O168" s="195">
        <f t="shared" si="20"/>
        <v>37670548.521514907</v>
      </c>
      <c r="P168" s="195">
        <f t="shared" si="21"/>
        <v>27014968.861901972</v>
      </c>
      <c r="Q168" s="195">
        <f t="shared" si="25"/>
        <v>97780018.159532785</v>
      </c>
      <c r="R168" s="221">
        <f t="shared" si="26"/>
        <v>0.33845873010701061</v>
      </c>
      <c r="AC168" s="251"/>
    </row>
    <row r="169" spans="1:29" ht="15.6" x14ac:dyDescent="0.3">
      <c r="A169" s="206">
        <v>2046</v>
      </c>
      <c r="B169" s="229">
        <v>198486318.95867163</v>
      </c>
      <c r="C169" s="229">
        <f t="shared" si="22"/>
        <v>27457765.122111712</v>
      </c>
      <c r="D169" s="229">
        <f t="shared" si="23"/>
        <v>34000230.496381566</v>
      </c>
      <c r="E169" s="229">
        <f t="shared" si="24"/>
        <v>38495056.677681223</v>
      </c>
      <c r="F169" s="229"/>
      <c r="G169" s="229"/>
      <c r="H169" s="229"/>
      <c r="I169" s="229"/>
      <c r="J169" s="229"/>
      <c r="K169" s="229"/>
      <c r="L169" s="170"/>
      <c r="M169" s="170"/>
      <c r="N169" s="195">
        <f t="shared" si="19"/>
        <v>34000230.496381566</v>
      </c>
      <c r="O169" s="195">
        <f t="shared" si="20"/>
        <v>38495056.677681223</v>
      </c>
      <c r="P169" s="195">
        <f t="shared" si="21"/>
        <v>27457765.122111712</v>
      </c>
      <c r="Q169" s="195">
        <f t="shared" si="25"/>
        <v>99953052.296174496</v>
      </c>
      <c r="R169" s="221">
        <f t="shared" si="26"/>
        <v>0.34016200321361129</v>
      </c>
      <c r="AC169" s="251"/>
    </row>
    <row r="170" spans="1:29" ht="15.6" x14ac:dyDescent="0.3">
      <c r="A170" s="206">
        <v>2047</v>
      </c>
      <c r="B170" s="229">
        <v>203742017.96957231</v>
      </c>
      <c r="C170" s="229">
        <f t="shared" si="22"/>
        <v>27892065.740860727</v>
      </c>
      <c r="D170" s="229">
        <f t="shared" si="23"/>
        <v>34880529.30231604</v>
      </c>
      <c r="E170" s="229">
        <f t="shared" si="24"/>
        <v>39281393.368765369</v>
      </c>
      <c r="F170" s="229"/>
      <c r="G170" s="229"/>
      <c r="H170" s="229"/>
      <c r="I170" s="229"/>
      <c r="J170" s="229"/>
      <c r="K170" s="229"/>
      <c r="L170" s="170"/>
      <c r="M170" s="170"/>
      <c r="N170" s="195">
        <f t="shared" si="19"/>
        <v>34880529.30231604</v>
      </c>
      <c r="O170" s="195">
        <f t="shared" si="20"/>
        <v>39281393.368765369</v>
      </c>
      <c r="P170" s="195">
        <f t="shared" si="21"/>
        <v>27892065.740860727</v>
      </c>
      <c r="Q170" s="195">
        <f t="shared" si="25"/>
        <v>102053988.41194214</v>
      </c>
      <c r="R170" s="221">
        <f t="shared" si="26"/>
        <v>0.34178506734612241</v>
      </c>
      <c r="AC170" s="251"/>
    </row>
    <row r="171" spans="1:29" ht="15.6" x14ac:dyDescent="0.3">
      <c r="A171" s="206">
        <v>2048</v>
      </c>
      <c r="B171" s="229">
        <v>209262968.07359728</v>
      </c>
      <c r="C171" s="229">
        <f t="shared" si="22"/>
        <v>28326312.627512258</v>
      </c>
      <c r="D171" s="229">
        <f t="shared" si="23"/>
        <v>35756302.94269152</v>
      </c>
      <c r="E171" s="229">
        <f t="shared" si="24"/>
        <v>40061165.144817375</v>
      </c>
      <c r="F171" s="229"/>
      <c r="G171" s="229"/>
      <c r="H171" s="229"/>
      <c r="I171" s="229"/>
      <c r="J171" s="229"/>
      <c r="K171" s="229"/>
      <c r="L171" s="170"/>
      <c r="M171" s="170"/>
      <c r="N171" s="195">
        <f t="shared" si="19"/>
        <v>35756302.94269152</v>
      </c>
      <c r="O171" s="195">
        <f t="shared" si="20"/>
        <v>40061165.144817375</v>
      </c>
      <c r="P171" s="195">
        <f t="shared" si="21"/>
        <v>28326312.627512258</v>
      </c>
      <c r="Q171" s="195">
        <f t="shared" si="25"/>
        <v>104143780.71502116</v>
      </c>
      <c r="R171" s="221">
        <f t="shared" si="26"/>
        <v>0.3433359409193622</v>
      </c>
      <c r="AC171" s="251"/>
    </row>
    <row r="172" spans="1:29" ht="15.6" x14ac:dyDescent="0.3">
      <c r="A172" s="206">
        <v>2049</v>
      </c>
      <c r="B172" s="229">
        <v>215059060.94840437</v>
      </c>
      <c r="C172" s="229">
        <f t="shared" si="22"/>
        <v>28760196.227417503</v>
      </c>
      <c r="D172" s="229">
        <f t="shared" si="23"/>
        <v>36626660.198056921</v>
      </c>
      <c r="E172" s="229">
        <f t="shared" si="24"/>
        <v>40833644.349380136</v>
      </c>
      <c r="F172" s="229"/>
      <c r="G172" s="229"/>
      <c r="H172" s="229"/>
      <c r="I172" s="229"/>
      <c r="J172" s="229"/>
      <c r="K172" s="229"/>
      <c r="L172" s="170"/>
      <c r="M172" s="170"/>
      <c r="N172" s="195">
        <f t="shared" si="19"/>
        <v>36626660.198056921</v>
      </c>
      <c r="O172" s="195">
        <f t="shared" si="20"/>
        <v>40833644.349380136</v>
      </c>
      <c r="P172" s="195">
        <f t="shared" si="21"/>
        <v>28760196.227417503</v>
      </c>
      <c r="Q172" s="195">
        <f t="shared" si="25"/>
        <v>106220500.77485456</v>
      </c>
      <c r="R172" s="221">
        <f t="shared" si="26"/>
        <v>0.34481724272502678</v>
      </c>
      <c r="AC172" s="251"/>
    </row>
    <row r="173" spans="1:29" ht="16.2" thickBot="1" x14ac:dyDescent="0.35">
      <c r="A173" s="208">
        <v>2050</v>
      </c>
      <c r="B173" s="231">
        <v>221140188.27165154</v>
      </c>
      <c r="C173" s="229">
        <f t="shared" si="22"/>
        <v>29082714.491742</v>
      </c>
      <c r="D173" s="229">
        <f t="shared" si="23"/>
        <v>37344964.804896973</v>
      </c>
      <c r="E173" s="229">
        <f t="shared" si="24"/>
        <v>41367303.861582421</v>
      </c>
      <c r="F173" s="231"/>
      <c r="G173" s="231"/>
      <c r="H173" s="231"/>
      <c r="I173" s="231"/>
      <c r="J173" s="231"/>
      <c r="K173" s="231"/>
      <c r="L173" s="209"/>
      <c r="M173" s="209"/>
      <c r="N173" s="195">
        <f t="shared" si="19"/>
        <v>37344964.804896973</v>
      </c>
      <c r="O173" s="195">
        <f t="shared" si="20"/>
        <v>41367303.861582421</v>
      </c>
      <c r="P173" s="195">
        <f t="shared" si="21"/>
        <v>29082714.491742</v>
      </c>
      <c r="Q173" s="195">
        <f t="shared" si="25"/>
        <v>107794983.15822139</v>
      </c>
      <c r="R173" s="222">
        <f t="shared" si="26"/>
        <v>0.34644436791721617</v>
      </c>
      <c r="AC173" s="251"/>
    </row>
    <row r="174" spans="1:29" ht="15.6" x14ac:dyDescent="0.3">
      <c r="A174" s="213">
        <v>2051</v>
      </c>
      <c r="B174" s="227">
        <v>227516241.72099662</v>
      </c>
      <c r="C174" s="229">
        <f t="shared" si="22"/>
        <v>29625635.348393962</v>
      </c>
      <c r="D174" s="229">
        <f t="shared" si="23"/>
        <v>38347560.675953224</v>
      </c>
      <c r="E174" s="229">
        <f t="shared" si="24"/>
        <v>42353814.418209672</v>
      </c>
      <c r="F174" s="227"/>
      <c r="G174" s="227"/>
      <c r="H174" s="227"/>
      <c r="I174" s="227"/>
      <c r="J174" s="227"/>
      <c r="K174" s="227"/>
      <c r="N174" s="195">
        <f t="shared" si="19"/>
        <v>38347560.675953224</v>
      </c>
      <c r="O174" s="195">
        <f t="shared" si="20"/>
        <v>42353814.418209672</v>
      </c>
      <c r="P174" s="195">
        <f t="shared" si="21"/>
        <v>29625635.348393962</v>
      </c>
      <c r="Q174" s="195">
        <f t="shared" si="25"/>
        <v>110327010.44255686</v>
      </c>
      <c r="R174" s="214">
        <f t="shared" si="26"/>
        <v>0.3475808917701016</v>
      </c>
      <c r="AC174" s="251"/>
    </row>
    <row r="175" spans="1:29" ht="15.6" x14ac:dyDescent="0.3">
      <c r="A175" s="194">
        <v>2052</v>
      </c>
      <c r="B175" s="229">
        <v>234197112.97409755</v>
      </c>
      <c r="C175" s="229">
        <f t="shared" si="22"/>
        <v>30056571.760167576</v>
      </c>
      <c r="D175" s="229">
        <f t="shared" si="23"/>
        <v>39196321.459581956</v>
      </c>
      <c r="E175" s="229">
        <f t="shared" si="24"/>
        <v>43100049.9695623</v>
      </c>
      <c r="F175" s="229"/>
      <c r="G175" s="229"/>
      <c r="H175" s="229"/>
      <c r="I175" s="229"/>
      <c r="J175" s="229"/>
      <c r="K175" s="229"/>
      <c r="N175" s="195">
        <f t="shared" si="19"/>
        <v>39196321.459581956</v>
      </c>
      <c r="O175" s="195">
        <f t="shared" si="20"/>
        <v>43100049.9695623</v>
      </c>
      <c r="P175" s="195">
        <f t="shared" si="21"/>
        <v>30056571.760167576</v>
      </c>
      <c r="Q175" s="195">
        <f t="shared" si="25"/>
        <v>112352943.18931183</v>
      </c>
      <c r="R175" s="196">
        <f t="shared" si="26"/>
        <v>0.34886777637446631</v>
      </c>
      <c r="AC175" s="251"/>
    </row>
    <row r="176" spans="1:29" ht="15.6" x14ac:dyDescent="0.3">
      <c r="A176" s="194">
        <v>2053</v>
      </c>
      <c r="B176" s="229">
        <v>241192693.70861214</v>
      </c>
      <c r="C176" s="229">
        <f t="shared" si="22"/>
        <v>30485906.666599724</v>
      </c>
      <c r="D176" s="229">
        <f t="shared" si="23"/>
        <v>40036100.980396315</v>
      </c>
      <c r="E176" s="229">
        <f t="shared" si="24"/>
        <v>43836082.323597386</v>
      </c>
      <c r="F176" s="229"/>
      <c r="G176" s="229"/>
      <c r="H176" s="229"/>
      <c r="I176" s="229"/>
      <c r="J176" s="229"/>
      <c r="K176" s="229"/>
      <c r="N176" s="195">
        <f t="shared" si="19"/>
        <v>40036100.980396315</v>
      </c>
      <c r="O176" s="195">
        <f t="shared" si="20"/>
        <v>43836082.323597386</v>
      </c>
      <c r="P176" s="195">
        <f t="shared" si="21"/>
        <v>30485906.666599724</v>
      </c>
      <c r="Q176" s="195">
        <f t="shared" si="25"/>
        <v>114358089.97059342</v>
      </c>
      <c r="R176" s="196">
        <f t="shared" si="26"/>
        <v>0.35009417340470961</v>
      </c>
      <c r="AC176" s="251"/>
    </row>
    <row r="177" spans="1:29" ht="15.6" x14ac:dyDescent="0.3">
      <c r="A177" s="194">
        <v>2054</v>
      </c>
      <c r="B177" s="229">
        <v>248512875.60219836</v>
      </c>
      <c r="C177" s="229">
        <f t="shared" si="22"/>
        <v>30913330.513041604</v>
      </c>
      <c r="D177" s="229">
        <f t="shared" si="23"/>
        <v>40866008.018945225</v>
      </c>
      <c r="E177" s="229">
        <f t="shared" si="24"/>
        <v>44561183.823857881</v>
      </c>
      <c r="F177" s="229"/>
      <c r="G177" s="229"/>
      <c r="H177" s="229"/>
      <c r="I177" s="229"/>
      <c r="J177" s="229"/>
      <c r="K177" s="229"/>
      <c r="N177" s="195">
        <f t="shared" si="19"/>
        <v>40866008.018945225</v>
      </c>
      <c r="O177" s="195">
        <f t="shared" si="20"/>
        <v>44561183.823857881</v>
      </c>
      <c r="P177" s="195">
        <f t="shared" si="21"/>
        <v>30913330.513041604</v>
      </c>
      <c r="Q177" s="195">
        <f t="shared" si="25"/>
        <v>116340522.35584471</v>
      </c>
      <c r="R177" s="196">
        <f t="shared" si="26"/>
        <v>0.3512620296989083</v>
      </c>
      <c r="AC177" s="251"/>
    </row>
    <row r="178" spans="1:29" ht="15.6" x14ac:dyDescent="0.3">
      <c r="A178" s="194">
        <v>2055</v>
      </c>
      <c r="B178" s="229">
        <v>256167550.33251408</v>
      </c>
      <c r="C178" s="229">
        <f t="shared" si="22"/>
        <v>31250296.92030957</v>
      </c>
      <c r="D178" s="229">
        <f t="shared" si="23"/>
        <v>41557723.589166738</v>
      </c>
      <c r="E178" s="229">
        <f t="shared" si="24"/>
        <v>45110589.009412497</v>
      </c>
      <c r="F178" s="229"/>
      <c r="G178" s="229"/>
      <c r="H178" s="229"/>
      <c r="I178" s="229"/>
      <c r="J178" s="229"/>
      <c r="K178" s="229"/>
      <c r="N178" s="195">
        <f t="shared" si="19"/>
        <v>41557723.589166738</v>
      </c>
      <c r="O178" s="195">
        <f t="shared" si="20"/>
        <v>45110589.009412497</v>
      </c>
      <c r="P178" s="195">
        <f t="shared" si="21"/>
        <v>31250296.92030957</v>
      </c>
      <c r="Q178" s="195">
        <f t="shared" si="25"/>
        <v>117918609.5188888</v>
      </c>
      <c r="R178" s="196">
        <f t="shared" si="26"/>
        <v>0.35242718480758384</v>
      </c>
      <c r="AC178" s="251"/>
    </row>
    <row r="179" spans="1:29" ht="15.6" x14ac:dyDescent="0.3">
      <c r="A179" s="194">
        <v>2056</v>
      </c>
      <c r="B179" s="229">
        <v>264166609.57721722</v>
      </c>
      <c r="C179" s="229">
        <f t="shared" si="22"/>
        <v>31761206.807359383</v>
      </c>
      <c r="D179" s="229">
        <f t="shared" si="23"/>
        <v>42492639.771442376</v>
      </c>
      <c r="E179" s="229">
        <f t="shared" si="24"/>
        <v>45975683.637226745</v>
      </c>
      <c r="F179" s="229"/>
      <c r="G179" s="229"/>
      <c r="H179" s="229"/>
      <c r="I179" s="229"/>
      <c r="J179" s="229"/>
      <c r="K179" s="229"/>
      <c r="N179" s="195">
        <f t="shared" si="19"/>
        <v>42492639.771442376</v>
      </c>
      <c r="O179" s="195">
        <f t="shared" si="20"/>
        <v>45975683.637226745</v>
      </c>
      <c r="P179" s="195">
        <f t="shared" si="21"/>
        <v>31761206.807359383</v>
      </c>
      <c r="Q179" s="195">
        <f t="shared" si="25"/>
        <v>120229530.2160285</v>
      </c>
      <c r="R179" s="196">
        <f t="shared" si="26"/>
        <v>0.35342930888186597</v>
      </c>
      <c r="AC179" s="251"/>
    </row>
    <row r="180" spans="1:29" ht="15.6" x14ac:dyDescent="0.3">
      <c r="A180" s="194">
        <v>2057</v>
      </c>
      <c r="B180" s="229">
        <v>272519945.01396561</v>
      </c>
      <c r="C180" s="229">
        <f t="shared" si="22"/>
        <v>32181040.145937689</v>
      </c>
      <c r="D180" s="229">
        <f t="shared" si="23"/>
        <v>43287582.046488456</v>
      </c>
      <c r="E180" s="229">
        <f t="shared" si="24"/>
        <v>46663626.637420967</v>
      </c>
      <c r="F180" s="229"/>
      <c r="G180" s="229"/>
      <c r="H180" s="229"/>
      <c r="I180" s="229"/>
      <c r="J180" s="229"/>
      <c r="K180" s="229"/>
      <c r="N180" s="195">
        <f t="shared" si="19"/>
        <v>43287582.046488456</v>
      </c>
      <c r="O180" s="195">
        <f t="shared" si="20"/>
        <v>46663626.637420967</v>
      </c>
      <c r="P180" s="195">
        <f t="shared" si="21"/>
        <v>32181040.145937689</v>
      </c>
      <c r="Q180" s="195">
        <f t="shared" si="25"/>
        <v>122132248.82984711</v>
      </c>
      <c r="R180" s="196">
        <f t="shared" si="26"/>
        <v>0.35443203954097408</v>
      </c>
      <c r="AC180" s="251"/>
    </row>
    <row r="181" spans="1:29" ht="15.6" x14ac:dyDescent="0.3">
      <c r="A181" s="194">
        <v>2058</v>
      </c>
      <c r="B181" s="229">
        <v>281237448.32041711</v>
      </c>
      <c r="C181" s="229">
        <f t="shared" si="22"/>
        <v>32597724.205930538</v>
      </c>
      <c r="D181" s="229">
        <f t="shared" si="23"/>
        <v>44069086.961464785</v>
      </c>
      <c r="E181" s="229">
        <f t="shared" si="24"/>
        <v>47337728.158012293</v>
      </c>
      <c r="F181" s="229"/>
      <c r="G181" s="229"/>
      <c r="H181" s="229"/>
      <c r="I181" s="229"/>
      <c r="J181" s="229"/>
      <c r="K181" s="229"/>
      <c r="N181" s="195">
        <f t="shared" si="19"/>
        <v>44069086.961464785</v>
      </c>
      <c r="O181" s="195">
        <f t="shared" si="20"/>
        <v>47337728.158012293</v>
      </c>
      <c r="P181" s="195">
        <f t="shared" si="21"/>
        <v>32597724.205930538</v>
      </c>
      <c r="Q181" s="195">
        <f t="shared" si="25"/>
        <v>124004539.32540762</v>
      </c>
      <c r="R181" s="196">
        <f t="shared" si="26"/>
        <v>0.35538285292783112</v>
      </c>
      <c r="AC181" s="251"/>
    </row>
    <row r="182" spans="1:29" ht="15.6" x14ac:dyDescent="0.3">
      <c r="A182" s="194">
        <v>2059</v>
      </c>
      <c r="B182" s="229">
        <v>290329011.17422968</v>
      </c>
      <c r="C182" s="229">
        <f t="shared" si="22"/>
        <v>33010949.432689145</v>
      </c>
      <c r="D182" s="229">
        <f t="shared" si="23"/>
        <v>44836263.296920277</v>
      </c>
      <c r="E182" s="229">
        <f t="shared" si="24"/>
        <v>47997260.542543642</v>
      </c>
      <c r="F182" s="229"/>
      <c r="G182" s="229"/>
      <c r="H182" s="229"/>
      <c r="I182" s="229"/>
      <c r="J182" s="229"/>
      <c r="K182" s="229"/>
      <c r="N182" s="195">
        <f t="shared" si="19"/>
        <v>44836263.296920277</v>
      </c>
      <c r="O182" s="195">
        <f t="shared" si="20"/>
        <v>47997260.542543642</v>
      </c>
      <c r="P182" s="195">
        <f t="shared" si="21"/>
        <v>33010949.432689145</v>
      </c>
      <c r="Q182" s="195">
        <f t="shared" si="25"/>
        <v>125844473.27215308</v>
      </c>
      <c r="R182" s="196">
        <f t="shared" si="26"/>
        <v>0.35628313370549636</v>
      </c>
      <c r="AC182" s="251"/>
    </row>
    <row r="183" spans="1:29" ht="15.6" x14ac:dyDescent="0.3">
      <c r="A183" s="194">
        <v>2060</v>
      </c>
      <c r="B183" s="229">
        <v>299804525.25306123</v>
      </c>
      <c r="C183" s="229">
        <f t="shared" si="22"/>
        <v>33507213.22998384</v>
      </c>
      <c r="D183" s="229">
        <f t="shared" si="23"/>
        <v>45712212.82992541</v>
      </c>
      <c r="E183" s="229">
        <f t="shared" si="24"/>
        <v>48813757.9025179</v>
      </c>
      <c r="F183" s="229"/>
      <c r="G183" s="229"/>
      <c r="H183" s="229"/>
      <c r="I183" s="229"/>
      <c r="J183" s="229"/>
      <c r="K183" s="229"/>
      <c r="N183" s="195">
        <f t="shared" si="19"/>
        <v>45712212.82992541</v>
      </c>
      <c r="O183" s="195">
        <f t="shared" si="20"/>
        <v>48813757.9025179</v>
      </c>
      <c r="P183" s="195">
        <f t="shared" si="21"/>
        <v>33507213.22998384</v>
      </c>
      <c r="Q183" s="195">
        <f t="shared" si="25"/>
        <v>128033183.96242715</v>
      </c>
      <c r="R183" s="196">
        <f>N183/Q183</f>
        <v>0.35703410174771721</v>
      </c>
      <c r="AC183" s="251"/>
    </row>
    <row r="186" spans="1:29" x14ac:dyDescent="0.25">
      <c r="H186" s="250"/>
      <c r="I186" s="250"/>
      <c r="J186" s="250"/>
      <c r="K186" s="250"/>
    </row>
    <row r="187" spans="1:29" x14ac:dyDescent="0.25">
      <c r="H187" s="250"/>
      <c r="I187" s="250"/>
      <c r="J187" s="250"/>
      <c r="K187" s="250"/>
    </row>
    <row r="188" spans="1:29" x14ac:dyDescent="0.25">
      <c r="H188" s="250"/>
      <c r="I188" s="250"/>
      <c r="J188" s="250"/>
      <c r="K188" s="250"/>
    </row>
    <row r="189" spans="1:29" x14ac:dyDescent="0.25">
      <c r="H189" s="250"/>
      <c r="I189" s="250"/>
      <c r="J189" s="250"/>
      <c r="K189" s="250"/>
    </row>
    <row r="190" spans="1:29" x14ac:dyDescent="0.25">
      <c r="H190" s="250"/>
      <c r="I190" s="250"/>
      <c r="J190" s="250"/>
      <c r="K190" s="250"/>
    </row>
    <row r="191" spans="1:29" x14ac:dyDescent="0.25">
      <c r="H191" s="250"/>
      <c r="I191" s="250"/>
      <c r="J191" s="250"/>
      <c r="K191" s="250"/>
    </row>
    <row r="192" spans="1:29" x14ac:dyDescent="0.25">
      <c r="H192" s="250"/>
      <c r="I192" s="250"/>
      <c r="J192" s="250"/>
      <c r="K192" s="250"/>
    </row>
    <row r="193" spans="1:11" x14ac:dyDescent="0.25">
      <c r="H193" s="250"/>
      <c r="I193" s="250"/>
      <c r="J193" s="250"/>
      <c r="K193" s="250"/>
    </row>
    <row r="194" spans="1:11" x14ac:dyDescent="0.25">
      <c r="H194" s="250"/>
      <c r="I194" s="250"/>
      <c r="J194" s="250"/>
      <c r="K194" s="250"/>
    </row>
    <row r="195" spans="1:11" ht="13.8" thickBot="1" x14ac:dyDescent="0.3">
      <c r="H195" s="250"/>
      <c r="I195" s="250"/>
      <c r="J195" s="250"/>
      <c r="K195" s="250"/>
    </row>
    <row r="196" spans="1:11" ht="13.8" thickBot="1" x14ac:dyDescent="0.3">
      <c r="A196" s="194"/>
      <c r="B196" s="218" t="s">
        <v>4</v>
      </c>
      <c r="C196" s="191" t="s">
        <v>5</v>
      </c>
      <c r="D196" s="191" t="s">
        <v>6</v>
      </c>
      <c r="E196" s="191" t="s">
        <v>7</v>
      </c>
      <c r="F196" s="191" t="s">
        <v>8</v>
      </c>
      <c r="G196" s="191" t="s">
        <v>9</v>
      </c>
      <c r="H196" s="191" t="s">
        <v>10</v>
      </c>
      <c r="I196" s="191" t="s">
        <v>11</v>
      </c>
      <c r="J196" s="191" t="s">
        <v>12</v>
      </c>
      <c r="K196" s="192" t="s">
        <v>13</v>
      </c>
    </row>
    <row r="197" spans="1:11" ht="15.6" x14ac:dyDescent="0.3">
      <c r="A197" s="194">
        <v>2014</v>
      </c>
      <c r="B197" s="229"/>
      <c r="C197" s="229"/>
      <c r="D197" s="229"/>
      <c r="E197" s="229"/>
      <c r="F197" s="229"/>
      <c r="G197" s="229"/>
      <c r="H197" s="229"/>
      <c r="I197" s="229"/>
      <c r="J197" s="229"/>
      <c r="K197" s="229"/>
    </row>
    <row r="198" spans="1:11" ht="15.6" x14ac:dyDescent="0.3">
      <c r="A198" s="194">
        <v>2015</v>
      </c>
      <c r="B198" s="229"/>
      <c r="C198" s="229"/>
      <c r="D198" s="229"/>
      <c r="E198" s="229"/>
      <c r="F198" s="229"/>
      <c r="G198" s="229"/>
      <c r="H198" s="229"/>
      <c r="I198" s="229"/>
      <c r="J198" s="229"/>
      <c r="K198" s="229"/>
    </row>
    <row r="199" spans="1:11" ht="15.6" x14ac:dyDescent="0.3">
      <c r="A199" s="194">
        <v>2016</v>
      </c>
      <c r="B199" s="229"/>
      <c r="C199" s="229"/>
      <c r="D199" s="229"/>
      <c r="E199" s="229"/>
      <c r="F199" s="229"/>
      <c r="G199" s="229"/>
      <c r="H199" s="229"/>
      <c r="I199" s="229"/>
      <c r="J199" s="229"/>
      <c r="K199" s="229"/>
    </row>
    <row r="200" spans="1:11" ht="15.6" x14ac:dyDescent="0.3">
      <c r="A200" s="194">
        <v>2017</v>
      </c>
      <c r="B200" s="229"/>
      <c r="C200" s="229"/>
      <c r="D200" s="229"/>
      <c r="E200" s="229"/>
      <c r="F200" s="229"/>
      <c r="G200" s="229"/>
      <c r="H200" s="229"/>
      <c r="I200" s="229"/>
      <c r="J200" s="229"/>
      <c r="K200" s="229"/>
    </row>
    <row r="201" spans="1:11" ht="15.6" x14ac:dyDescent="0.3">
      <c r="A201" s="194">
        <v>2018</v>
      </c>
      <c r="B201" s="229"/>
      <c r="C201" s="229"/>
      <c r="D201" s="229"/>
      <c r="E201" s="229"/>
      <c r="F201" s="229"/>
      <c r="G201" s="229"/>
      <c r="H201" s="229"/>
      <c r="I201" s="229"/>
      <c r="J201" s="229"/>
      <c r="K201" s="229"/>
    </row>
    <row r="202" spans="1:11" ht="16.2" thickBot="1" x14ac:dyDescent="0.35">
      <c r="A202" s="198">
        <v>2019</v>
      </c>
      <c r="B202" s="230"/>
      <c r="C202" s="230"/>
      <c r="D202" s="230"/>
      <c r="E202" s="230"/>
      <c r="F202" s="230"/>
      <c r="G202" s="230"/>
      <c r="H202" s="230"/>
      <c r="I202" s="230"/>
      <c r="J202" s="230"/>
      <c r="K202" s="230"/>
    </row>
    <row r="203" spans="1:11" ht="15.6" x14ac:dyDescent="0.3">
      <c r="A203" s="201">
        <v>2020</v>
      </c>
      <c r="B203" s="228"/>
      <c r="C203" s="228"/>
      <c r="D203" s="228"/>
      <c r="E203" s="228"/>
      <c r="F203" s="228"/>
      <c r="G203" s="228"/>
      <c r="H203" s="228"/>
      <c r="I203" s="228"/>
      <c r="J203" s="228"/>
      <c r="K203" s="228"/>
    </row>
    <row r="204" spans="1:11" ht="15.6" x14ac:dyDescent="0.3">
      <c r="A204" s="206">
        <v>2021</v>
      </c>
      <c r="B204" s="229"/>
      <c r="C204" s="229"/>
      <c r="D204" s="229"/>
      <c r="E204" s="229"/>
      <c r="F204" s="229"/>
      <c r="G204" s="229"/>
      <c r="H204" s="229"/>
      <c r="I204" s="229"/>
      <c r="J204" s="229"/>
      <c r="K204" s="229"/>
    </row>
    <row r="205" spans="1:11" ht="15.6" x14ac:dyDescent="0.3">
      <c r="A205" s="206">
        <v>2022</v>
      </c>
      <c r="B205" s="229"/>
      <c r="C205" s="229"/>
      <c r="D205" s="229"/>
      <c r="E205" s="229"/>
      <c r="F205" s="229"/>
      <c r="G205" s="229"/>
      <c r="H205" s="229"/>
      <c r="I205" s="229"/>
      <c r="J205" s="229"/>
      <c r="K205" s="229"/>
    </row>
    <row r="206" spans="1:11" ht="15.6" x14ac:dyDescent="0.3">
      <c r="A206" s="206">
        <v>2023</v>
      </c>
      <c r="B206" s="229"/>
      <c r="C206" s="229"/>
      <c r="D206" s="229"/>
      <c r="E206" s="229"/>
      <c r="F206" s="229"/>
      <c r="G206" s="229"/>
      <c r="H206" s="229"/>
      <c r="I206" s="229"/>
      <c r="J206" s="229"/>
      <c r="K206" s="229"/>
    </row>
    <row r="207" spans="1:11" ht="15.6" x14ac:dyDescent="0.3">
      <c r="A207" s="206">
        <v>2024</v>
      </c>
      <c r="B207" s="229"/>
      <c r="C207" s="229"/>
      <c r="D207" s="229"/>
      <c r="E207" s="229"/>
      <c r="F207" s="229"/>
      <c r="G207" s="229"/>
      <c r="H207" s="229"/>
      <c r="I207" s="229"/>
      <c r="J207" s="229"/>
      <c r="K207" s="229"/>
    </row>
    <row r="208" spans="1:11" ht="15.6" x14ac:dyDescent="0.3">
      <c r="A208" s="206">
        <v>2025</v>
      </c>
      <c r="B208" s="229"/>
      <c r="C208" s="229"/>
      <c r="D208" s="229"/>
      <c r="E208" s="229"/>
      <c r="F208" s="229"/>
      <c r="G208" s="229"/>
      <c r="H208" s="229"/>
      <c r="I208" s="229"/>
      <c r="J208" s="229"/>
      <c r="K208" s="229"/>
    </row>
    <row r="209" spans="1:11" ht="15.6" x14ac:dyDescent="0.3">
      <c r="A209" s="206">
        <v>2026</v>
      </c>
      <c r="B209" s="229"/>
      <c r="C209" s="229"/>
      <c r="D209" s="229"/>
      <c r="E209" s="229"/>
      <c r="F209" s="229"/>
      <c r="G209" s="229"/>
      <c r="H209" s="229"/>
      <c r="I209" s="229"/>
      <c r="J209" s="229"/>
      <c r="K209" s="229"/>
    </row>
    <row r="210" spans="1:11" ht="15.6" x14ac:dyDescent="0.3">
      <c r="A210" s="206">
        <v>2027</v>
      </c>
      <c r="B210" s="229"/>
      <c r="C210" s="229"/>
      <c r="D210" s="229"/>
      <c r="E210" s="229"/>
      <c r="F210" s="229"/>
      <c r="G210" s="229"/>
      <c r="H210" s="229"/>
      <c r="I210" s="229"/>
      <c r="J210" s="229"/>
      <c r="K210" s="229"/>
    </row>
    <row r="211" spans="1:11" ht="15.6" x14ac:dyDescent="0.3">
      <c r="A211" s="206">
        <v>2028</v>
      </c>
      <c r="B211" s="229"/>
      <c r="C211" s="229"/>
      <c r="D211" s="229"/>
      <c r="E211" s="229"/>
      <c r="F211" s="229"/>
      <c r="G211" s="229"/>
      <c r="H211" s="229"/>
      <c r="I211" s="229"/>
      <c r="J211" s="229"/>
      <c r="K211" s="229"/>
    </row>
    <row r="212" spans="1:11" ht="15.6" x14ac:dyDescent="0.3">
      <c r="A212" s="206">
        <v>2029</v>
      </c>
      <c r="B212" s="229"/>
      <c r="C212" s="229"/>
      <c r="D212" s="229"/>
      <c r="E212" s="229"/>
      <c r="F212" s="229"/>
      <c r="G212" s="229"/>
      <c r="H212" s="229"/>
      <c r="I212" s="229"/>
      <c r="J212" s="229"/>
      <c r="K212" s="229"/>
    </row>
    <row r="213" spans="1:11" ht="15.6" x14ac:dyDescent="0.3">
      <c r="A213" s="206">
        <v>2030</v>
      </c>
      <c r="B213" s="229"/>
      <c r="C213" s="229"/>
      <c r="D213" s="229"/>
      <c r="E213" s="229"/>
      <c r="F213" s="229"/>
      <c r="G213" s="229"/>
      <c r="H213" s="229"/>
      <c r="I213" s="229"/>
      <c r="J213" s="229"/>
      <c r="K213" s="229"/>
    </row>
    <row r="214" spans="1:11" ht="15.6" x14ac:dyDescent="0.3">
      <c r="A214" s="206">
        <v>2031</v>
      </c>
      <c r="B214" s="229"/>
      <c r="C214" s="229"/>
      <c r="D214" s="229"/>
      <c r="E214" s="229"/>
      <c r="F214" s="229"/>
      <c r="G214" s="229"/>
      <c r="H214" s="229"/>
      <c r="I214" s="229"/>
      <c r="J214" s="229"/>
      <c r="K214" s="229"/>
    </row>
    <row r="215" spans="1:11" ht="15.6" x14ac:dyDescent="0.3">
      <c r="A215" s="206">
        <v>2032</v>
      </c>
      <c r="B215" s="229"/>
      <c r="C215" s="229"/>
      <c r="D215" s="229"/>
      <c r="E215" s="229"/>
      <c r="F215" s="229"/>
      <c r="G215" s="229"/>
      <c r="H215" s="229"/>
      <c r="I215" s="229"/>
      <c r="J215" s="229"/>
      <c r="K215" s="229"/>
    </row>
    <row r="216" spans="1:11" ht="15.6" x14ac:dyDescent="0.3">
      <c r="A216" s="206">
        <v>2033</v>
      </c>
      <c r="B216" s="229"/>
      <c r="C216" s="229"/>
      <c r="D216" s="229"/>
      <c r="E216" s="229"/>
      <c r="F216" s="229"/>
      <c r="G216" s="229"/>
      <c r="H216" s="229"/>
      <c r="I216" s="229"/>
      <c r="J216" s="229"/>
      <c r="K216" s="229"/>
    </row>
    <row r="217" spans="1:11" ht="15.6" x14ac:dyDescent="0.3">
      <c r="A217" s="206">
        <v>2034</v>
      </c>
      <c r="B217" s="229"/>
      <c r="C217" s="229"/>
      <c r="D217" s="229"/>
      <c r="E217" s="229"/>
      <c r="F217" s="229"/>
      <c r="G217" s="229"/>
      <c r="H217" s="229"/>
      <c r="I217" s="229"/>
      <c r="J217" s="229"/>
      <c r="K217" s="229"/>
    </row>
    <row r="218" spans="1:11" ht="15.6" x14ac:dyDescent="0.3">
      <c r="A218" s="206">
        <v>2035</v>
      </c>
      <c r="B218" s="229"/>
      <c r="C218" s="229"/>
      <c r="D218" s="229"/>
      <c r="E218" s="229"/>
      <c r="F218" s="229"/>
      <c r="G218" s="229"/>
      <c r="H218" s="229"/>
      <c r="I218" s="229"/>
      <c r="J218" s="229"/>
      <c r="K218" s="229"/>
    </row>
    <row r="219" spans="1:11" ht="15.6" x14ac:dyDescent="0.3">
      <c r="A219" s="206">
        <v>2036</v>
      </c>
      <c r="B219" s="229"/>
      <c r="C219" s="229"/>
      <c r="D219" s="229"/>
      <c r="E219" s="229"/>
      <c r="F219" s="229"/>
      <c r="G219" s="229"/>
      <c r="H219" s="229"/>
      <c r="I219" s="229"/>
      <c r="J219" s="229"/>
      <c r="K219" s="229"/>
    </row>
    <row r="220" spans="1:11" ht="15.6" x14ac:dyDescent="0.3">
      <c r="A220" s="206">
        <v>2037</v>
      </c>
      <c r="B220" s="229"/>
      <c r="C220" s="229"/>
      <c r="D220" s="229"/>
      <c r="E220" s="229"/>
      <c r="F220" s="229"/>
      <c r="G220" s="229"/>
      <c r="H220" s="229"/>
      <c r="I220" s="229"/>
      <c r="J220" s="229"/>
      <c r="K220" s="229"/>
    </row>
    <row r="221" spans="1:11" ht="15.6" x14ac:dyDescent="0.3">
      <c r="A221" s="206">
        <v>2038</v>
      </c>
      <c r="B221" s="229"/>
      <c r="C221" s="229"/>
      <c r="D221" s="229"/>
      <c r="E221" s="229"/>
      <c r="F221" s="229"/>
      <c r="G221" s="229"/>
      <c r="H221" s="229"/>
      <c r="I221" s="229"/>
      <c r="J221" s="229"/>
      <c r="K221" s="229"/>
    </row>
    <row r="222" spans="1:11" ht="15.6" x14ac:dyDescent="0.3">
      <c r="A222" s="206">
        <v>2039</v>
      </c>
      <c r="B222" s="229"/>
      <c r="C222" s="229"/>
      <c r="D222" s="229"/>
      <c r="E222" s="229"/>
      <c r="F222" s="229"/>
      <c r="G222" s="229"/>
      <c r="H222" s="229"/>
      <c r="I222" s="229"/>
      <c r="J222" s="229"/>
      <c r="K222" s="229"/>
    </row>
    <row r="223" spans="1:11" ht="15.6" x14ac:dyDescent="0.3">
      <c r="A223" s="206">
        <v>2040</v>
      </c>
      <c r="B223" s="229"/>
      <c r="C223" s="229"/>
      <c r="D223" s="229"/>
      <c r="E223" s="229"/>
      <c r="F223" s="229"/>
      <c r="G223" s="229"/>
      <c r="H223" s="229"/>
      <c r="I223" s="229"/>
      <c r="J223" s="229"/>
      <c r="K223" s="229"/>
    </row>
    <row r="224" spans="1:11" ht="15.6" x14ac:dyDescent="0.3">
      <c r="A224" s="206">
        <v>2041</v>
      </c>
      <c r="B224" s="229"/>
      <c r="C224" s="229"/>
      <c r="D224" s="229"/>
      <c r="E224" s="229"/>
      <c r="F224" s="229"/>
      <c r="G224" s="229"/>
      <c r="H224" s="229"/>
      <c r="I224" s="229"/>
      <c r="J224" s="229"/>
      <c r="K224" s="229"/>
    </row>
    <row r="225" spans="1:11" ht="15.6" x14ac:dyDescent="0.3">
      <c r="A225" s="206">
        <v>2042</v>
      </c>
      <c r="B225" s="229"/>
      <c r="C225" s="229"/>
      <c r="D225" s="229"/>
      <c r="E225" s="229"/>
      <c r="F225" s="229"/>
      <c r="G225" s="229"/>
      <c r="H225" s="229"/>
      <c r="I225" s="229"/>
      <c r="J225" s="229"/>
      <c r="K225" s="229"/>
    </row>
    <row r="226" spans="1:11" ht="15.6" x14ac:dyDescent="0.3">
      <c r="A226" s="206">
        <v>2043</v>
      </c>
      <c r="B226" s="229"/>
      <c r="C226" s="229"/>
      <c r="D226" s="229"/>
      <c r="E226" s="229"/>
      <c r="F226" s="229"/>
      <c r="G226" s="229"/>
      <c r="H226" s="229"/>
      <c r="I226" s="229"/>
      <c r="J226" s="229"/>
      <c r="K226" s="229"/>
    </row>
    <row r="227" spans="1:11" ht="15.6" x14ac:dyDescent="0.3">
      <c r="A227" s="206">
        <v>2044</v>
      </c>
      <c r="B227" s="229"/>
      <c r="C227" s="229"/>
      <c r="D227" s="229"/>
      <c r="E227" s="229"/>
      <c r="F227" s="229"/>
      <c r="G227" s="229"/>
      <c r="H227" s="229"/>
      <c r="I227" s="229"/>
      <c r="J227" s="229"/>
      <c r="K227" s="229"/>
    </row>
    <row r="228" spans="1:11" ht="15.6" x14ac:dyDescent="0.3">
      <c r="A228" s="206">
        <v>2045</v>
      </c>
      <c r="B228" s="229"/>
      <c r="C228" s="229"/>
      <c r="D228" s="229"/>
      <c r="E228" s="229"/>
      <c r="F228" s="229"/>
      <c r="G228" s="229"/>
      <c r="H228" s="229"/>
      <c r="I228" s="229"/>
      <c r="J228" s="229"/>
      <c r="K228" s="229"/>
    </row>
    <row r="229" spans="1:11" ht="15.6" x14ac:dyDescent="0.3">
      <c r="A229" s="206">
        <v>2046</v>
      </c>
      <c r="B229" s="229"/>
      <c r="C229" s="229"/>
      <c r="D229" s="229"/>
      <c r="E229" s="229"/>
      <c r="F229" s="229"/>
      <c r="G229" s="229"/>
      <c r="H229" s="229"/>
      <c r="I229" s="229"/>
      <c r="J229" s="229"/>
      <c r="K229" s="229"/>
    </row>
    <row r="230" spans="1:11" ht="15.6" x14ac:dyDescent="0.3">
      <c r="A230" s="206">
        <v>2047</v>
      </c>
      <c r="B230" s="229"/>
      <c r="C230" s="229"/>
      <c r="D230" s="229"/>
      <c r="E230" s="229"/>
      <c r="F230" s="229"/>
      <c r="G230" s="229"/>
      <c r="H230" s="229"/>
      <c r="I230" s="229"/>
      <c r="J230" s="229"/>
      <c r="K230" s="229"/>
    </row>
    <row r="231" spans="1:11" ht="15.6" x14ac:dyDescent="0.3">
      <c r="A231" s="206">
        <v>2048</v>
      </c>
      <c r="B231" s="229"/>
      <c r="C231" s="229"/>
      <c r="D231" s="229"/>
      <c r="E231" s="229"/>
      <c r="F231" s="229"/>
      <c r="G231" s="229"/>
      <c r="H231" s="229"/>
      <c r="I231" s="229"/>
      <c r="J231" s="229"/>
      <c r="K231" s="229"/>
    </row>
    <row r="232" spans="1:11" ht="15.6" x14ac:dyDescent="0.3">
      <c r="A232" s="206">
        <v>2049</v>
      </c>
      <c r="B232" s="229"/>
      <c r="C232" s="229"/>
      <c r="D232" s="229"/>
      <c r="E232" s="229"/>
      <c r="F232" s="229"/>
      <c r="G232" s="229"/>
      <c r="H232" s="229"/>
      <c r="I232" s="229"/>
      <c r="J232" s="229"/>
      <c r="K232" s="229"/>
    </row>
    <row r="233" spans="1:11" ht="16.2" thickBot="1" x14ac:dyDescent="0.35">
      <c r="A233" s="208">
        <v>2050</v>
      </c>
      <c r="B233" s="231"/>
      <c r="C233" s="231"/>
      <c r="D233" s="231"/>
      <c r="E233" s="231"/>
      <c r="F233" s="231"/>
      <c r="G233" s="231"/>
      <c r="H233" s="231"/>
      <c r="I233" s="231"/>
      <c r="J233" s="231"/>
      <c r="K233" s="231"/>
    </row>
    <row r="234" spans="1:11" ht="15.6" x14ac:dyDescent="0.3">
      <c r="A234" s="213">
        <v>2051</v>
      </c>
      <c r="B234" s="227"/>
      <c r="C234" s="227"/>
      <c r="D234" s="227"/>
      <c r="E234" s="227"/>
      <c r="F234" s="227"/>
      <c r="G234" s="227"/>
      <c r="H234" s="227"/>
      <c r="I234" s="227"/>
      <c r="J234" s="227"/>
      <c r="K234" s="227"/>
    </row>
    <row r="235" spans="1:11" ht="15.6" x14ac:dyDescent="0.3">
      <c r="A235" s="194">
        <v>2052</v>
      </c>
      <c r="B235" s="229"/>
      <c r="C235" s="229"/>
      <c r="D235" s="229"/>
      <c r="E235" s="229"/>
      <c r="F235" s="229"/>
      <c r="G235" s="229"/>
      <c r="H235" s="229"/>
      <c r="I235" s="229"/>
      <c r="J235" s="229"/>
      <c r="K235" s="229"/>
    </row>
    <row r="236" spans="1:11" ht="15.6" x14ac:dyDescent="0.3">
      <c r="A236" s="194">
        <v>2053</v>
      </c>
      <c r="B236" s="229"/>
      <c r="C236" s="229"/>
      <c r="D236" s="229"/>
      <c r="E236" s="229"/>
      <c r="F236" s="229"/>
      <c r="G236" s="229"/>
      <c r="H236" s="229"/>
      <c r="I236" s="229"/>
      <c r="J236" s="229"/>
      <c r="K236" s="229"/>
    </row>
    <row r="237" spans="1:11" ht="15.6" x14ac:dyDescent="0.3">
      <c r="A237" s="194">
        <v>2054</v>
      </c>
      <c r="B237" s="229"/>
      <c r="C237" s="229"/>
      <c r="D237" s="229"/>
      <c r="E237" s="229"/>
      <c r="F237" s="229"/>
      <c r="G237" s="229"/>
      <c r="H237" s="229"/>
      <c r="I237" s="229"/>
      <c r="J237" s="229"/>
      <c r="K237" s="229"/>
    </row>
    <row r="238" spans="1:11" ht="15.6" x14ac:dyDescent="0.3">
      <c r="A238" s="194">
        <v>2055</v>
      </c>
      <c r="B238" s="229"/>
      <c r="C238" s="229"/>
      <c r="D238" s="229"/>
      <c r="E238" s="229"/>
      <c r="F238" s="229"/>
      <c r="G238" s="229"/>
      <c r="H238" s="229"/>
      <c r="I238" s="229"/>
      <c r="J238" s="229"/>
      <c r="K238" s="229"/>
    </row>
    <row r="239" spans="1:11" ht="15.6" x14ac:dyDescent="0.3">
      <c r="A239" s="194">
        <v>2056</v>
      </c>
      <c r="B239" s="229"/>
      <c r="C239" s="229"/>
      <c r="D239" s="229"/>
      <c r="E239" s="229"/>
      <c r="F239" s="229"/>
      <c r="G239" s="229"/>
      <c r="H239" s="229"/>
      <c r="I239" s="229"/>
      <c r="J239" s="229"/>
      <c r="K239" s="229"/>
    </row>
    <row r="240" spans="1:11" ht="15.6" x14ac:dyDescent="0.3">
      <c r="A240" s="194">
        <v>2057</v>
      </c>
      <c r="B240" s="229"/>
      <c r="C240" s="229"/>
      <c r="D240" s="229"/>
      <c r="E240" s="229"/>
      <c r="F240" s="229"/>
      <c r="G240" s="229"/>
      <c r="H240" s="229"/>
      <c r="I240" s="229"/>
      <c r="J240" s="229"/>
      <c r="K240" s="229"/>
    </row>
    <row r="241" spans="1:11" ht="15.6" x14ac:dyDescent="0.3">
      <c r="A241" s="194">
        <v>2058</v>
      </c>
      <c r="B241" s="229"/>
      <c r="C241" s="229"/>
      <c r="D241" s="229"/>
      <c r="E241" s="229"/>
      <c r="F241" s="229"/>
      <c r="G241" s="229"/>
      <c r="H241" s="229"/>
      <c r="I241" s="229"/>
      <c r="J241" s="229"/>
      <c r="K241" s="229"/>
    </row>
    <row r="242" spans="1:11" ht="15.6" x14ac:dyDescent="0.3">
      <c r="A242" s="194">
        <v>2059</v>
      </c>
      <c r="B242" s="229"/>
      <c r="C242" s="229"/>
      <c r="D242" s="229"/>
      <c r="E242" s="229"/>
      <c r="F242" s="229"/>
      <c r="G242" s="229"/>
      <c r="H242" s="229"/>
      <c r="I242" s="229"/>
      <c r="J242" s="229"/>
      <c r="K242" s="229"/>
    </row>
    <row r="243" spans="1:11" ht="15.6" x14ac:dyDescent="0.3">
      <c r="A243" s="194">
        <v>2060</v>
      </c>
      <c r="B243" s="229"/>
      <c r="C243" s="229"/>
      <c r="D243" s="229"/>
      <c r="E243" s="229"/>
      <c r="F243" s="229"/>
      <c r="G243" s="229"/>
      <c r="H243" s="229"/>
      <c r="I243" s="229"/>
      <c r="J243" s="229"/>
      <c r="K243" s="229"/>
    </row>
    <row r="244" spans="1:11" x14ac:dyDescent="0.25">
      <c r="H244" s="250"/>
      <c r="I244" s="250"/>
      <c r="J244" s="250"/>
      <c r="K244" s="250"/>
    </row>
    <row r="245" spans="1:11" x14ac:dyDescent="0.25">
      <c r="H245" s="250"/>
      <c r="I245" s="250"/>
      <c r="J245" s="250"/>
      <c r="K245" s="250"/>
    </row>
    <row r="246" spans="1:11" x14ac:dyDescent="0.25">
      <c r="H246" s="250"/>
      <c r="I246" s="250"/>
      <c r="J246" s="250"/>
      <c r="K246" s="250"/>
    </row>
    <row r="247" spans="1:11" x14ac:dyDescent="0.25">
      <c r="H247" s="250"/>
      <c r="I247" s="250"/>
      <c r="J247" s="250"/>
      <c r="K247" s="250"/>
    </row>
    <row r="248" spans="1:11" x14ac:dyDescent="0.25">
      <c r="H248" s="250"/>
      <c r="I248" s="250"/>
      <c r="J248" s="250"/>
      <c r="K248" s="250"/>
    </row>
    <row r="249" spans="1:11" x14ac:dyDescent="0.25">
      <c r="H249" s="250"/>
      <c r="I249" s="250"/>
      <c r="J249" s="250"/>
      <c r="K249" s="250"/>
    </row>
    <row r="250" spans="1:11" x14ac:dyDescent="0.25">
      <c r="H250" s="250"/>
      <c r="I250" s="250"/>
      <c r="J250" s="250"/>
      <c r="K250" s="250"/>
    </row>
    <row r="251" spans="1:11" x14ac:dyDescent="0.25">
      <c r="H251" s="250"/>
      <c r="I251" s="250"/>
      <c r="J251" s="250"/>
      <c r="K251" s="250"/>
    </row>
    <row r="252" spans="1:11" x14ac:dyDescent="0.25">
      <c r="H252" s="250"/>
      <c r="I252" s="250"/>
      <c r="J252" s="250"/>
      <c r="K252" s="250"/>
    </row>
    <row r="253" spans="1:11" x14ac:dyDescent="0.25">
      <c r="H253" s="250"/>
      <c r="I253" s="250"/>
      <c r="J253" s="250"/>
      <c r="K253" s="250"/>
    </row>
    <row r="254" spans="1:11" x14ac:dyDescent="0.25">
      <c r="A254" s="373" t="s">
        <v>358</v>
      </c>
      <c r="B254" s="372"/>
      <c r="C254" s="372"/>
      <c r="D254" s="372"/>
      <c r="E254" s="372"/>
      <c r="F254" s="372"/>
      <c r="H254" s="250"/>
      <c r="I254" s="250"/>
      <c r="J254" s="250"/>
      <c r="K254" s="250"/>
    </row>
    <row r="256" spans="1:11" ht="15.6" x14ac:dyDescent="0.3">
      <c r="A256" s="327">
        <v>5</v>
      </c>
      <c r="B256" s="328" t="s">
        <v>388</v>
      </c>
      <c r="C256" s="329"/>
      <c r="D256" s="329"/>
      <c r="E256" s="329"/>
      <c r="F256" s="329"/>
      <c r="G256" s="329"/>
      <c r="H256" s="329"/>
    </row>
    <row r="257" spans="1:8" ht="15.6" x14ac:dyDescent="0.3">
      <c r="A257" s="330" t="s">
        <v>338</v>
      </c>
      <c r="B257" s="331"/>
      <c r="C257" s="331"/>
      <c r="D257" s="332"/>
      <c r="E257" s="333"/>
      <c r="F257" s="703"/>
      <c r="G257" s="333"/>
      <c r="H257" s="334"/>
    </row>
    <row r="258" spans="1:8" ht="16.2" thickBot="1" x14ac:dyDescent="0.3">
      <c r="A258" s="368" t="s">
        <v>339</v>
      </c>
      <c r="B258" s="336"/>
      <c r="C258" s="336"/>
      <c r="D258" s="337"/>
      <c r="E258" s="338" t="s">
        <v>340</v>
      </c>
      <c r="F258" s="704"/>
      <c r="G258" s="369" t="s">
        <v>389</v>
      </c>
      <c r="H258" s="334"/>
    </row>
    <row r="259" spans="1:8" ht="16.2" thickBot="1" x14ac:dyDescent="0.3">
      <c r="A259" s="340"/>
      <c r="B259" s="340"/>
      <c r="C259" s="340"/>
      <c r="D259" s="341"/>
      <c r="E259" s="369" t="s">
        <v>390</v>
      </c>
      <c r="F259" s="369" t="s">
        <v>343</v>
      </c>
      <c r="G259" s="370" t="s">
        <v>344</v>
      </c>
      <c r="H259" s="369" t="s">
        <v>345</v>
      </c>
    </row>
    <row r="260" spans="1:8" ht="15.6" x14ac:dyDescent="0.3">
      <c r="A260" s="330" t="s">
        <v>346</v>
      </c>
      <c r="B260" s="340"/>
      <c r="C260" s="343">
        <v>2005</v>
      </c>
      <c r="D260" s="344">
        <v>-9</v>
      </c>
      <c r="E260" s="378"/>
      <c r="F260" s="346"/>
      <c r="G260" s="347">
        <v>5010.3511525135718</v>
      </c>
      <c r="H260" s="348">
        <v>5010.3511525135718</v>
      </c>
    </row>
    <row r="261" spans="1:8" ht="15.6" x14ac:dyDescent="0.3">
      <c r="A261" s="368" t="s">
        <v>347</v>
      </c>
      <c r="B261" s="340"/>
      <c r="C261" s="349">
        <v>2006</v>
      </c>
      <c r="D261" s="350">
        <v>-8</v>
      </c>
      <c r="E261" s="351"/>
      <c r="F261" s="346"/>
      <c r="G261" s="352">
        <v>5308.8417989896734</v>
      </c>
      <c r="H261" s="353">
        <v>5308.8417989896734</v>
      </c>
    </row>
    <row r="262" spans="1:8" ht="15.6" x14ac:dyDescent="0.3">
      <c r="A262" s="340"/>
      <c r="B262" s="340"/>
      <c r="C262" s="349">
        <v>2007</v>
      </c>
      <c r="D262" s="350">
        <v>-7</v>
      </c>
      <c r="E262" s="351"/>
      <c r="F262" s="346"/>
      <c r="G262" s="352">
        <v>5639.3472774009297</v>
      </c>
      <c r="H262" s="353">
        <v>5639.3472774009297</v>
      </c>
    </row>
    <row r="263" spans="1:8" ht="15.6" x14ac:dyDescent="0.3">
      <c r="A263" s="354" t="s">
        <v>348</v>
      </c>
      <c r="B263" s="340"/>
      <c r="C263" s="349">
        <v>2008</v>
      </c>
      <c r="D263" s="350">
        <v>-6</v>
      </c>
      <c r="E263" s="351"/>
      <c r="F263" s="346"/>
      <c r="G263" s="352">
        <v>6000.9763682962621</v>
      </c>
      <c r="H263" s="353">
        <v>6000.9763682962621</v>
      </c>
    </row>
    <row r="264" spans="1:8" ht="15.6" x14ac:dyDescent="0.3">
      <c r="A264" s="700" t="s">
        <v>391</v>
      </c>
      <c r="B264" s="340"/>
      <c r="C264" s="349">
        <v>2009</v>
      </c>
      <c r="D264" s="350">
        <v>-5</v>
      </c>
      <c r="E264" s="351"/>
      <c r="F264" s="346"/>
      <c r="G264" s="352">
        <v>6392.8378522245939</v>
      </c>
      <c r="H264" s="353">
        <v>6392.8378522245939</v>
      </c>
    </row>
    <row r="265" spans="1:8" ht="15.6" x14ac:dyDescent="0.3">
      <c r="A265" s="701"/>
      <c r="B265" s="340"/>
      <c r="C265" s="349">
        <v>2010</v>
      </c>
      <c r="D265" s="350">
        <v>-4</v>
      </c>
      <c r="E265" s="351"/>
      <c r="F265" s="346"/>
      <c r="G265" s="352">
        <v>6814.0405097348494</v>
      </c>
      <c r="H265" s="353">
        <v>6814.0405097348494</v>
      </c>
    </row>
    <row r="266" spans="1:8" ht="15.6" x14ac:dyDescent="0.3">
      <c r="A266" s="701"/>
      <c r="B266" s="340"/>
      <c r="C266" s="349">
        <v>2011</v>
      </c>
      <c r="D266" s="350">
        <v>-3</v>
      </c>
      <c r="E266" s="351"/>
      <c r="F266" s="346"/>
      <c r="G266" s="352">
        <v>7263.6931213759517</v>
      </c>
      <c r="H266" s="353">
        <v>7263.6931213759517</v>
      </c>
    </row>
    <row r="267" spans="1:8" ht="15.6" x14ac:dyDescent="0.3">
      <c r="A267" s="702"/>
      <c r="B267" s="340"/>
      <c r="C267" s="349">
        <v>2012</v>
      </c>
      <c r="D267" s="350">
        <v>-2</v>
      </c>
      <c r="E267" s="351"/>
      <c r="F267" s="346"/>
      <c r="G267" s="355">
        <v>7740.9044676968242</v>
      </c>
      <c r="H267" s="356">
        <v>7740.9044676968242</v>
      </c>
    </row>
    <row r="268" spans="1:8" ht="15.6" x14ac:dyDescent="0.3">
      <c r="A268" s="340"/>
      <c r="B268" s="340"/>
      <c r="C268" s="349">
        <v>2013</v>
      </c>
      <c r="D268" s="350">
        <v>-1</v>
      </c>
      <c r="E268" s="351"/>
      <c r="F268" s="346"/>
      <c r="G268" s="355">
        <v>8244.7833292463893</v>
      </c>
      <c r="H268" s="356">
        <v>8244.7833292463893</v>
      </c>
    </row>
    <row r="269" spans="1:8" ht="15.6" x14ac:dyDescent="0.3">
      <c r="A269" s="357" t="s">
        <v>350</v>
      </c>
      <c r="B269" s="340"/>
      <c r="C269" s="349">
        <v>2014</v>
      </c>
      <c r="D269" s="350">
        <v>0</v>
      </c>
      <c r="E269" s="351">
        <v>8851.6582651577501</v>
      </c>
      <c r="F269" s="346">
        <v>8851.6582651577501</v>
      </c>
      <c r="G269" s="355">
        <v>8851.6582651577501</v>
      </c>
      <c r="H269" s="356">
        <v>8851.6582651577501</v>
      </c>
    </row>
    <row r="270" spans="1:8" ht="15.6" x14ac:dyDescent="0.3">
      <c r="A270" s="358">
        <v>2017</v>
      </c>
      <c r="B270" s="336"/>
      <c r="C270" s="349">
        <v>2015</v>
      </c>
      <c r="D270" s="350">
        <v>1</v>
      </c>
      <c r="E270" s="351"/>
      <c r="F270" s="346"/>
      <c r="G270" s="355">
        <v>9328.978720227291</v>
      </c>
      <c r="H270" s="356">
        <v>9328.978720227291</v>
      </c>
    </row>
    <row r="271" spans="1:8" ht="15.6" x14ac:dyDescent="0.3">
      <c r="A271" s="359"/>
      <c r="B271" s="336"/>
      <c r="C271" s="349">
        <v>2016</v>
      </c>
      <c r="D271" s="350">
        <v>2</v>
      </c>
      <c r="E271" s="351"/>
      <c r="F271" s="346"/>
      <c r="G271" s="355">
        <v>9907.5128107564742</v>
      </c>
      <c r="H271" s="356">
        <v>9907.5128107564742</v>
      </c>
    </row>
    <row r="272" spans="1:8" ht="15.6" x14ac:dyDescent="0.3">
      <c r="A272" s="357" t="s">
        <v>351</v>
      </c>
      <c r="B272" s="336"/>
      <c r="C272" s="349">
        <v>2017</v>
      </c>
      <c r="D272" s="350">
        <v>3</v>
      </c>
      <c r="E272" s="351"/>
      <c r="F272" s="346"/>
      <c r="G272" s="355">
        <v>10509.149538710044</v>
      </c>
      <c r="H272" s="356">
        <v>10509.149538710044</v>
      </c>
    </row>
    <row r="273" spans="1:8" ht="15.6" x14ac:dyDescent="0.3">
      <c r="A273" s="358" t="s">
        <v>390</v>
      </c>
      <c r="B273" s="336"/>
      <c r="C273" s="349">
        <v>2018</v>
      </c>
      <c r="D273" s="350">
        <v>4</v>
      </c>
      <c r="E273" s="351"/>
      <c r="F273" s="346"/>
      <c r="G273" s="355">
        <v>11132.997684636925</v>
      </c>
      <c r="H273" s="356">
        <v>11132.997684636925</v>
      </c>
    </row>
    <row r="274" spans="1:8" ht="15.6" x14ac:dyDescent="0.3">
      <c r="A274" s="360"/>
      <c r="B274" s="361"/>
      <c r="C274" s="349">
        <v>2019</v>
      </c>
      <c r="D274" s="350">
        <v>5</v>
      </c>
      <c r="E274" s="351"/>
      <c r="F274" s="346"/>
      <c r="G274" s="355">
        <v>11778.166029086035</v>
      </c>
      <c r="H274" s="356">
        <v>11778.166029086035</v>
      </c>
    </row>
    <row r="275" spans="1:8" ht="15.6" x14ac:dyDescent="0.3">
      <c r="A275" s="362" t="s">
        <v>352</v>
      </c>
      <c r="B275" s="336"/>
      <c r="C275" s="349">
        <v>2020</v>
      </c>
      <c r="D275" s="350">
        <v>6</v>
      </c>
      <c r="E275" s="351"/>
      <c r="F275" s="346"/>
      <c r="G275" s="355">
        <v>12443.763352606304</v>
      </c>
      <c r="H275" s="356">
        <v>12443.763352606304</v>
      </c>
    </row>
    <row r="276" spans="1:8" ht="15.6" x14ac:dyDescent="0.3">
      <c r="A276" s="363"/>
      <c r="B276" s="336"/>
      <c r="C276" s="349">
        <v>2021</v>
      </c>
      <c r="D276" s="350">
        <v>7</v>
      </c>
      <c r="E276" s="351"/>
      <c r="F276" s="346"/>
      <c r="G276" s="355">
        <v>13128.898435746651</v>
      </c>
      <c r="H276" s="356">
        <v>13128.898435746651</v>
      </c>
    </row>
    <row r="277" spans="1:8" ht="15.6" x14ac:dyDescent="0.3">
      <c r="A277" s="364"/>
      <c r="B277" s="336"/>
      <c r="C277" s="349">
        <v>2022</v>
      </c>
      <c r="D277" s="350">
        <v>8</v>
      </c>
      <c r="E277" s="351"/>
      <c r="F277" s="346"/>
      <c r="G277" s="355">
        <v>13832.680059056</v>
      </c>
      <c r="H277" s="356">
        <v>13832.680059056</v>
      </c>
    </row>
    <row r="278" spans="1:8" ht="15.6" x14ac:dyDescent="0.3">
      <c r="A278" s="358"/>
      <c r="B278" s="336"/>
      <c r="C278" s="349">
        <v>2023</v>
      </c>
      <c r="D278" s="350">
        <v>9</v>
      </c>
      <c r="E278" s="351"/>
      <c r="F278" s="346"/>
      <c r="G278" s="355">
        <v>14554.217003083275</v>
      </c>
      <c r="H278" s="356">
        <v>14554.217003083275</v>
      </c>
    </row>
    <row r="279" spans="1:8" ht="15.6" x14ac:dyDescent="0.3">
      <c r="A279" s="336"/>
      <c r="B279" s="336"/>
      <c r="C279" s="349">
        <v>2024</v>
      </c>
      <c r="D279" s="350">
        <v>10</v>
      </c>
      <c r="E279" s="351"/>
      <c r="F279" s="346"/>
      <c r="G279" s="355">
        <v>15292.618048377397</v>
      </c>
      <c r="H279" s="356">
        <v>15292.618048377397</v>
      </c>
    </row>
    <row r="280" spans="1:8" ht="15.6" x14ac:dyDescent="0.3">
      <c r="A280" s="336"/>
      <c r="B280" s="336"/>
      <c r="C280" s="349">
        <v>2025</v>
      </c>
      <c r="D280" s="350">
        <v>11</v>
      </c>
      <c r="E280" s="351">
        <v>15748.34111438131</v>
      </c>
      <c r="F280" s="346">
        <v>15748.34111438131</v>
      </c>
      <c r="G280" s="355">
        <v>15748.34111438131</v>
      </c>
      <c r="H280" s="356">
        <v>15748.34111438131</v>
      </c>
    </row>
    <row r="281" spans="1:8" ht="15.6" x14ac:dyDescent="0.3">
      <c r="A281" s="336"/>
      <c r="B281" s="336"/>
      <c r="C281" s="349">
        <v>2026</v>
      </c>
      <c r="D281" s="350">
        <v>12</v>
      </c>
      <c r="E281" s="351"/>
      <c r="F281" s="346"/>
      <c r="G281" s="355">
        <v>16816.447564961887</v>
      </c>
      <c r="H281" s="356">
        <v>16816.447564961887</v>
      </c>
    </row>
    <row r="282" spans="1:8" ht="15.6" x14ac:dyDescent="0.3">
      <c r="A282" s="336"/>
      <c r="B282" s="336"/>
      <c r="C282" s="349">
        <v>2027</v>
      </c>
      <c r="D282" s="350">
        <v>13</v>
      </c>
      <c r="E282" s="351"/>
      <c r="F282" s="346"/>
      <c r="G282" s="355">
        <v>17600.093597350096</v>
      </c>
      <c r="H282" s="356">
        <v>17600.093597350096</v>
      </c>
    </row>
    <row r="283" spans="1:8" ht="15.6" x14ac:dyDescent="0.3">
      <c r="A283" s="336"/>
      <c r="B283" s="336"/>
      <c r="C283" s="349">
        <v>2028</v>
      </c>
      <c r="D283" s="350">
        <v>14</v>
      </c>
      <c r="E283" s="351"/>
      <c r="F283" s="346"/>
      <c r="G283" s="355">
        <v>18397.038853200847</v>
      </c>
      <c r="H283" s="356">
        <v>18397.038853200847</v>
      </c>
    </row>
    <row r="284" spans="1:8" ht="15.6" x14ac:dyDescent="0.3">
      <c r="A284" s="336"/>
      <c r="B284" s="336"/>
      <c r="C284" s="349">
        <v>2029</v>
      </c>
      <c r="D284" s="350">
        <v>15</v>
      </c>
      <c r="E284" s="351"/>
      <c r="F284" s="346"/>
      <c r="G284" s="355">
        <v>19206.392113063062</v>
      </c>
      <c r="H284" s="356">
        <v>19206.392113063062</v>
      </c>
    </row>
    <row r="285" spans="1:8" ht="15.6" x14ac:dyDescent="0.3">
      <c r="A285" s="336"/>
      <c r="B285" s="336"/>
      <c r="C285" s="349">
        <v>2030</v>
      </c>
      <c r="D285" s="350">
        <v>16</v>
      </c>
      <c r="E285" s="351">
        <v>20063.643493529788</v>
      </c>
      <c r="F285" s="346">
        <v>20063.643493529788</v>
      </c>
      <c r="G285" s="355">
        <v>20063.643493529788</v>
      </c>
      <c r="H285" s="356">
        <v>20063.643493529788</v>
      </c>
    </row>
    <row r="286" spans="1:8" ht="15.6" x14ac:dyDescent="0.3">
      <c r="A286" s="336"/>
      <c r="B286" s="336"/>
      <c r="C286" s="349">
        <v>2031</v>
      </c>
      <c r="D286" s="350">
        <v>17</v>
      </c>
      <c r="E286" s="351"/>
      <c r="F286" s="346"/>
      <c r="G286" s="355">
        <v>20858.757767017589</v>
      </c>
      <c r="H286" s="356">
        <v>20858.757767017589</v>
      </c>
    </row>
    <row r="287" spans="1:8" ht="15.6" x14ac:dyDescent="0.3">
      <c r="A287" s="336"/>
      <c r="B287" s="336"/>
      <c r="C287" s="349">
        <v>2032</v>
      </c>
      <c r="D287" s="350">
        <v>18</v>
      </c>
      <c r="E287" s="351"/>
      <c r="F287" s="346"/>
      <c r="G287" s="355">
        <v>21699.987722207741</v>
      </c>
      <c r="H287" s="356">
        <v>21699.987722207741</v>
      </c>
    </row>
    <row r="288" spans="1:8" ht="15.6" x14ac:dyDescent="0.3">
      <c r="A288" s="361"/>
      <c r="B288" s="361"/>
      <c r="C288" s="349">
        <v>2033</v>
      </c>
      <c r="D288" s="350">
        <v>19</v>
      </c>
      <c r="E288" s="351"/>
      <c r="F288" s="346"/>
      <c r="G288" s="355">
        <v>22550.060803605051</v>
      </c>
      <c r="H288" s="356">
        <v>22550.060803605051</v>
      </c>
    </row>
    <row r="289" spans="1:8" ht="15.6" x14ac:dyDescent="0.3">
      <c r="A289" s="361"/>
      <c r="B289" s="361"/>
      <c r="C289" s="349">
        <v>2034</v>
      </c>
      <c r="D289" s="350">
        <v>20</v>
      </c>
      <c r="E289" s="351"/>
      <c r="F289" s="346"/>
      <c r="G289" s="355">
        <v>23408.085791758444</v>
      </c>
      <c r="H289" s="356">
        <v>23408.085791758444</v>
      </c>
    </row>
    <row r="290" spans="1:8" ht="15.6" x14ac:dyDescent="0.3">
      <c r="A290" s="361"/>
      <c r="B290" s="361"/>
      <c r="C290" s="349">
        <v>2035</v>
      </c>
      <c r="D290" s="350">
        <v>21</v>
      </c>
      <c r="E290" s="351">
        <v>24495.220159710781</v>
      </c>
      <c r="F290" s="346">
        <v>24495.220159710781</v>
      </c>
      <c r="G290" s="355">
        <v>24495.220159710781</v>
      </c>
      <c r="H290" s="356">
        <v>24495.220159710781</v>
      </c>
    </row>
    <row r="291" spans="1:8" ht="15.6" x14ac:dyDescent="0.3">
      <c r="A291" s="361"/>
      <c r="B291" s="361"/>
      <c r="C291" s="349">
        <v>2036</v>
      </c>
      <c r="D291" s="350">
        <v>22</v>
      </c>
      <c r="E291" s="351"/>
      <c r="F291" s="346"/>
      <c r="G291" s="355">
        <v>25144.426610529164</v>
      </c>
      <c r="H291" s="356">
        <v>25144.426610529164</v>
      </c>
    </row>
    <row r="292" spans="1:8" ht="15.6" x14ac:dyDescent="0.3">
      <c r="A292" s="361"/>
      <c r="B292" s="361"/>
      <c r="C292" s="349">
        <v>2037</v>
      </c>
      <c r="D292" s="350">
        <v>23</v>
      </c>
      <c r="E292" s="351"/>
      <c r="F292" s="346"/>
      <c r="G292" s="355">
        <v>26020.960002244341</v>
      </c>
      <c r="H292" s="356">
        <v>26020.960002244341</v>
      </c>
    </row>
    <row r="293" spans="1:8" ht="15.6" x14ac:dyDescent="0.3">
      <c r="A293" s="361"/>
      <c r="B293" s="361"/>
      <c r="C293" s="349">
        <v>2038</v>
      </c>
      <c r="D293" s="350">
        <v>24</v>
      </c>
      <c r="E293" s="351"/>
      <c r="F293" s="346"/>
      <c r="G293" s="355">
        <v>26901.880422911294</v>
      </c>
      <c r="H293" s="356">
        <v>26901.880422911294</v>
      </c>
    </row>
    <row r="294" spans="1:8" ht="15.6" x14ac:dyDescent="0.3">
      <c r="A294" s="361"/>
      <c r="B294" s="361"/>
      <c r="C294" s="349">
        <v>2039</v>
      </c>
      <c r="D294" s="350">
        <v>25</v>
      </c>
      <c r="E294" s="351"/>
      <c r="F294" s="346"/>
      <c r="G294" s="355">
        <v>27786.296653078942</v>
      </c>
      <c r="H294" s="356">
        <v>27786.296653078942</v>
      </c>
    </row>
    <row r="295" spans="1:8" ht="15.6" x14ac:dyDescent="0.3">
      <c r="A295" s="361"/>
      <c r="B295" s="361"/>
      <c r="C295" s="349">
        <v>2040</v>
      </c>
      <c r="D295" s="350">
        <v>26</v>
      </c>
      <c r="E295" s="351">
        <v>28807.295309656736</v>
      </c>
      <c r="F295" s="346">
        <v>28807.295309656736</v>
      </c>
      <c r="G295" s="355">
        <v>28807.295309656736</v>
      </c>
      <c r="H295" s="356">
        <v>28807.295309656736</v>
      </c>
    </row>
    <row r="296" spans="1:8" ht="15.6" x14ac:dyDescent="0.3">
      <c r="A296" s="361"/>
      <c r="B296" s="361"/>
      <c r="C296" s="349">
        <v>2041</v>
      </c>
      <c r="D296" s="350">
        <v>27</v>
      </c>
      <c r="E296" s="351"/>
      <c r="F296" s="346"/>
      <c r="G296" s="355">
        <v>29562.051664112027</v>
      </c>
      <c r="H296" s="356">
        <v>29562.051664112027</v>
      </c>
    </row>
    <row r="297" spans="1:8" ht="15.6" x14ac:dyDescent="0.3">
      <c r="A297" s="361"/>
      <c r="B297" s="361"/>
      <c r="C297" s="349">
        <v>2042</v>
      </c>
      <c r="D297" s="350">
        <v>28</v>
      </c>
      <c r="E297" s="351"/>
      <c r="F297" s="346"/>
      <c r="G297" s="355">
        <v>30451.608006075308</v>
      </c>
      <c r="H297" s="356">
        <v>30451.608006075308</v>
      </c>
    </row>
    <row r="298" spans="1:8" ht="15.6" x14ac:dyDescent="0.3">
      <c r="A298" s="361"/>
      <c r="B298" s="361"/>
      <c r="C298" s="349">
        <v>2043</v>
      </c>
      <c r="D298" s="350">
        <v>29</v>
      </c>
      <c r="E298" s="351"/>
      <c r="F298" s="346"/>
      <c r="G298" s="355">
        <v>31341.095279734978</v>
      </c>
      <c r="H298" s="356">
        <v>31341.095279734978</v>
      </c>
    </row>
    <row r="299" spans="1:8" ht="15.6" x14ac:dyDescent="0.3">
      <c r="A299" s="361"/>
      <c r="B299" s="361"/>
      <c r="C299" s="349">
        <v>2044</v>
      </c>
      <c r="D299" s="350">
        <v>30</v>
      </c>
      <c r="E299" s="351"/>
      <c r="F299" s="346"/>
      <c r="G299" s="355">
        <v>32229.622265639966</v>
      </c>
      <c r="H299" s="356">
        <v>32229.622265639966</v>
      </c>
    </row>
    <row r="300" spans="1:8" ht="15.6" x14ac:dyDescent="0.3">
      <c r="A300" s="361"/>
      <c r="B300" s="361"/>
      <c r="C300" s="349">
        <v>2045</v>
      </c>
      <c r="D300" s="350">
        <v>31</v>
      </c>
      <c r="E300" s="351">
        <v>33094.500776115907</v>
      </c>
      <c r="F300" s="346">
        <v>33094.500776115907</v>
      </c>
      <c r="G300" s="355">
        <v>33094.500776115907</v>
      </c>
      <c r="H300" s="356">
        <v>33094.500776115907</v>
      </c>
    </row>
    <row r="301" spans="1:8" ht="15.6" x14ac:dyDescent="0.3">
      <c r="A301" s="361"/>
      <c r="B301" s="361"/>
      <c r="C301" s="349">
        <v>2046</v>
      </c>
      <c r="D301" s="350">
        <v>32</v>
      </c>
      <c r="E301" s="351"/>
      <c r="F301" s="346"/>
      <c r="G301" s="355">
        <v>34000.23049638157</v>
      </c>
      <c r="H301" s="356">
        <v>34000.23049638157</v>
      </c>
    </row>
    <row r="302" spans="1:8" ht="15.6" x14ac:dyDescent="0.3">
      <c r="A302" s="365"/>
      <c r="B302" s="366"/>
      <c r="C302" s="349">
        <v>2047</v>
      </c>
      <c r="D302" s="350">
        <v>33</v>
      </c>
      <c r="E302" s="351"/>
      <c r="F302" s="346"/>
      <c r="G302" s="355">
        <v>34880.529302316041</v>
      </c>
      <c r="H302" s="356">
        <v>34880.529302316041</v>
      </c>
    </row>
    <row r="303" spans="1:8" ht="15.6" x14ac:dyDescent="0.3">
      <c r="A303" s="359"/>
      <c r="B303" s="366"/>
      <c r="C303" s="349">
        <v>2048</v>
      </c>
      <c r="D303" s="350">
        <v>34</v>
      </c>
      <c r="E303" s="351"/>
      <c r="F303" s="346"/>
      <c r="G303" s="355">
        <v>35756.302942691516</v>
      </c>
      <c r="H303" s="356">
        <v>35756.302942691516</v>
      </c>
    </row>
    <row r="304" spans="1:8" ht="15.6" x14ac:dyDescent="0.3">
      <c r="A304" s="359"/>
      <c r="B304" s="359"/>
      <c r="C304" s="349">
        <v>2049</v>
      </c>
      <c r="D304" s="350">
        <v>35</v>
      </c>
      <c r="E304" s="351"/>
      <c r="F304" s="346"/>
      <c r="G304" s="355">
        <v>36626.660198056925</v>
      </c>
      <c r="H304" s="356">
        <v>36626.660198056925</v>
      </c>
    </row>
    <row r="305" spans="1:8" ht="15.6" x14ac:dyDescent="0.3">
      <c r="A305" s="359"/>
      <c r="B305" s="359"/>
      <c r="C305" s="349">
        <v>2050</v>
      </c>
      <c r="D305" s="350">
        <v>36</v>
      </c>
      <c r="E305" s="351">
        <v>37344.964804896976</v>
      </c>
      <c r="F305" s="346">
        <v>37344.964804896976</v>
      </c>
      <c r="G305" s="355">
        <v>37344.964804896976</v>
      </c>
      <c r="H305" s="356">
        <v>37344.964804896976</v>
      </c>
    </row>
    <row r="306" spans="1:8" ht="15.6" x14ac:dyDescent="0.3">
      <c r="A306"/>
      <c r="B306"/>
      <c r="C306" s="349">
        <v>2051</v>
      </c>
      <c r="D306" s="350">
        <v>37</v>
      </c>
      <c r="E306" s="351"/>
      <c r="F306" s="346"/>
      <c r="G306" s="355">
        <v>38347.560675953224</v>
      </c>
      <c r="H306" s="356">
        <v>38347.560675953224</v>
      </c>
    </row>
    <row r="307" spans="1:8" ht="15.6" x14ac:dyDescent="0.3">
      <c r="A307"/>
      <c r="B307"/>
      <c r="C307" s="349">
        <v>2052</v>
      </c>
      <c r="D307" s="350">
        <v>38</v>
      </c>
      <c r="E307" s="351"/>
      <c r="F307" s="346"/>
      <c r="G307" s="355">
        <v>39196.321459581959</v>
      </c>
      <c r="H307" s="356">
        <v>39196.321459581959</v>
      </c>
    </row>
    <row r="308" spans="1:8" ht="15.6" x14ac:dyDescent="0.3">
      <c r="A308"/>
      <c r="B308"/>
      <c r="C308" s="349">
        <v>2053</v>
      </c>
      <c r="D308" s="350">
        <v>39</v>
      </c>
      <c r="E308" s="351"/>
      <c r="F308" s="346"/>
      <c r="G308" s="355">
        <v>40036.100980396317</v>
      </c>
      <c r="H308" s="356">
        <v>40036.100980396317</v>
      </c>
    </row>
    <row r="309" spans="1:8" ht="15.6" x14ac:dyDescent="0.3">
      <c r="A309"/>
      <c r="B309"/>
      <c r="C309" s="349">
        <v>2054</v>
      </c>
      <c r="D309" s="350">
        <v>40</v>
      </c>
      <c r="E309" s="351"/>
      <c r="F309" s="346"/>
      <c r="G309" s="355">
        <v>40866.008018945227</v>
      </c>
      <c r="H309" s="356">
        <v>40866.008018945227</v>
      </c>
    </row>
    <row r="310" spans="1:8" ht="15.6" x14ac:dyDescent="0.3">
      <c r="A310"/>
      <c r="B310"/>
      <c r="C310" s="349">
        <v>2055</v>
      </c>
      <c r="D310" s="350">
        <v>41</v>
      </c>
      <c r="E310" s="351">
        <v>41557.723589166737</v>
      </c>
      <c r="F310" s="346">
        <v>41557.723589166737</v>
      </c>
      <c r="G310" s="355">
        <v>41557.723589166737</v>
      </c>
      <c r="H310" s="356">
        <v>41557.723589166737</v>
      </c>
    </row>
    <row r="311" spans="1:8" ht="15.6" x14ac:dyDescent="0.3">
      <c r="A311"/>
      <c r="B311"/>
      <c r="C311" s="349">
        <v>2056</v>
      </c>
      <c r="D311" s="350">
        <v>42</v>
      </c>
      <c r="E311" s="351"/>
      <c r="F311" s="346"/>
      <c r="G311" s="355">
        <v>42492.639771442373</v>
      </c>
      <c r="H311" s="356">
        <v>42492.639771442373</v>
      </c>
    </row>
    <row r="312" spans="1:8" ht="15.6" x14ac:dyDescent="0.3">
      <c r="A312"/>
      <c r="B312"/>
      <c r="C312" s="349">
        <v>2057</v>
      </c>
      <c r="D312" s="350">
        <v>43</v>
      </c>
      <c r="E312" s="351"/>
      <c r="F312" s="346"/>
      <c r="G312" s="355">
        <v>43287.582046488453</v>
      </c>
      <c r="H312" s="356">
        <v>43287.582046488453</v>
      </c>
    </row>
    <row r="313" spans="1:8" ht="15.6" x14ac:dyDescent="0.3">
      <c r="A313"/>
      <c r="B313"/>
      <c r="C313" s="349">
        <v>2058</v>
      </c>
      <c r="D313" s="350">
        <v>44</v>
      </c>
      <c r="E313" s="351"/>
      <c r="F313" s="346"/>
      <c r="G313" s="355">
        <v>44069.086961464782</v>
      </c>
      <c r="H313" s="356">
        <v>44069.086961464782</v>
      </c>
    </row>
    <row r="314" spans="1:8" ht="15.6" x14ac:dyDescent="0.3">
      <c r="A314"/>
      <c r="B314"/>
      <c r="C314" s="349">
        <v>2059</v>
      </c>
      <c r="D314" s="350">
        <v>45</v>
      </c>
      <c r="E314" s="351"/>
      <c r="F314" s="346"/>
      <c r="G314" s="355">
        <v>44836.263296920275</v>
      </c>
      <c r="H314" s="356">
        <v>44836.263296920275</v>
      </c>
    </row>
    <row r="315" spans="1:8" ht="15.6" x14ac:dyDescent="0.3">
      <c r="A315"/>
      <c r="B315"/>
      <c r="C315" s="367">
        <v>2060</v>
      </c>
      <c r="D315" s="350">
        <v>46</v>
      </c>
      <c r="E315" s="351">
        <v>45712.212829925411</v>
      </c>
      <c r="F315" s="346">
        <v>45712.212829925411</v>
      </c>
      <c r="G315" s="355">
        <v>45712.212829925411</v>
      </c>
      <c r="H315" s="356">
        <v>45712.212829925411</v>
      </c>
    </row>
    <row r="322" spans="1:8" ht="15.6" x14ac:dyDescent="0.3">
      <c r="A322" s="327">
        <v>7</v>
      </c>
      <c r="B322" s="328" t="s">
        <v>392</v>
      </c>
      <c r="C322" s="329"/>
      <c r="D322" s="329"/>
      <c r="E322" s="329"/>
      <c r="F322" s="329"/>
      <c r="G322" s="329"/>
      <c r="H322" s="329"/>
    </row>
    <row r="323" spans="1:8" ht="15.6" x14ac:dyDescent="0.3">
      <c r="A323" s="330" t="s">
        <v>338</v>
      </c>
      <c r="B323" s="331"/>
      <c r="C323" s="331"/>
      <c r="D323" s="332"/>
      <c r="E323" s="333"/>
      <c r="F323" s="703"/>
      <c r="G323" s="333"/>
      <c r="H323" s="334"/>
    </row>
    <row r="324" spans="1:8" ht="16.2" thickBot="1" x14ac:dyDescent="0.3">
      <c r="A324" s="368" t="s">
        <v>339</v>
      </c>
      <c r="B324" s="336"/>
      <c r="C324" s="336"/>
      <c r="D324" s="337"/>
      <c r="E324" s="338" t="s">
        <v>340</v>
      </c>
      <c r="F324" s="704"/>
      <c r="G324" s="369" t="s">
        <v>393</v>
      </c>
      <c r="H324" s="334"/>
    </row>
    <row r="325" spans="1:8" ht="16.2" thickBot="1" x14ac:dyDescent="0.3">
      <c r="A325" s="340"/>
      <c r="B325" s="340"/>
      <c r="C325" s="340"/>
      <c r="D325" s="341"/>
      <c r="E325" s="369" t="s">
        <v>390</v>
      </c>
      <c r="F325" s="369" t="s">
        <v>343</v>
      </c>
      <c r="G325" s="370" t="s">
        <v>344</v>
      </c>
      <c r="H325" s="369" t="s">
        <v>345</v>
      </c>
    </row>
    <row r="326" spans="1:8" ht="15.6" x14ac:dyDescent="0.3">
      <c r="A326" s="330" t="s">
        <v>346</v>
      </c>
      <c r="B326" s="340"/>
      <c r="C326" s="343">
        <v>2005</v>
      </c>
      <c r="D326" s="344">
        <v>-9</v>
      </c>
      <c r="E326" s="345"/>
      <c r="F326" s="346"/>
      <c r="G326" s="347">
        <v>13425.390338268202</v>
      </c>
      <c r="H326" s="348">
        <v>13425.390338268202</v>
      </c>
    </row>
    <row r="327" spans="1:8" ht="15.6" x14ac:dyDescent="0.3">
      <c r="A327" s="368" t="s">
        <v>5</v>
      </c>
      <c r="B327" s="340"/>
      <c r="C327" s="349">
        <v>2006</v>
      </c>
      <c r="D327" s="350">
        <v>-8</v>
      </c>
      <c r="E327" s="351"/>
      <c r="F327" s="346"/>
      <c r="G327" s="352">
        <v>13595.367420400094</v>
      </c>
      <c r="H327" s="353">
        <v>13595.367420400094</v>
      </c>
    </row>
    <row r="328" spans="1:8" ht="15.6" x14ac:dyDescent="0.3">
      <c r="A328" s="340"/>
      <c r="B328" s="340"/>
      <c r="C328" s="349">
        <v>2007</v>
      </c>
      <c r="D328" s="350">
        <v>-7</v>
      </c>
      <c r="E328" s="351"/>
      <c r="F328" s="346"/>
      <c r="G328" s="352">
        <v>13777.982511035168</v>
      </c>
      <c r="H328" s="353">
        <v>13777.982511035168</v>
      </c>
    </row>
    <row r="329" spans="1:8" ht="15.6" x14ac:dyDescent="0.3">
      <c r="A329" s="354" t="s">
        <v>348</v>
      </c>
      <c r="B329" s="340"/>
      <c r="C329" s="349">
        <v>2008</v>
      </c>
      <c r="D329" s="350">
        <v>-6</v>
      </c>
      <c r="E329" s="351"/>
      <c r="F329" s="346"/>
      <c r="G329" s="352">
        <v>13972.926055524627</v>
      </c>
      <c r="H329" s="353">
        <v>13972.926055524627</v>
      </c>
    </row>
    <row r="330" spans="1:8" ht="15.6" x14ac:dyDescent="0.3">
      <c r="A330" s="700" t="s">
        <v>394</v>
      </c>
      <c r="B330" s="340"/>
      <c r="C330" s="349">
        <v>2009</v>
      </c>
      <c r="D330" s="350">
        <v>-5</v>
      </c>
      <c r="E330" s="351"/>
      <c r="F330" s="346"/>
      <c r="G330" s="352">
        <v>14179.888499219676</v>
      </c>
      <c r="H330" s="353">
        <v>14179.888499219676</v>
      </c>
    </row>
    <row r="331" spans="1:8" ht="15.6" x14ac:dyDescent="0.3">
      <c r="A331" s="701"/>
      <c r="B331" s="340"/>
      <c r="C331" s="349">
        <v>2010</v>
      </c>
      <c r="D331" s="350">
        <v>-4</v>
      </c>
      <c r="E331" s="351"/>
      <c r="F331" s="346"/>
      <c r="G331" s="352">
        <v>14398.560287471517</v>
      </c>
      <c r="H331" s="353">
        <v>14398.560287471517</v>
      </c>
    </row>
    <row r="332" spans="1:8" ht="15.6" x14ac:dyDescent="0.3">
      <c r="A332" s="701"/>
      <c r="B332" s="340"/>
      <c r="C332" s="349">
        <v>2011</v>
      </c>
      <c r="D332" s="350">
        <v>-3</v>
      </c>
      <c r="E332" s="351"/>
      <c r="F332" s="346"/>
      <c r="G332" s="352">
        <v>14628.631865631352</v>
      </c>
      <c r="H332" s="353">
        <v>14628.631865631352</v>
      </c>
    </row>
    <row r="333" spans="1:8" ht="15.6" x14ac:dyDescent="0.3">
      <c r="A333" s="702"/>
      <c r="B333" s="340"/>
      <c r="C333" s="349">
        <v>2012</v>
      </c>
      <c r="D333" s="350">
        <v>-2</v>
      </c>
      <c r="E333" s="351"/>
      <c r="F333" s="346"/>
      <c r="G333" s="355">
        <v>14869.793679050386</v>
      </c>
      <c r="H333" s="356">
        <v>14869.793679050386</v>
      </c>
    </row>
    <row r="334" spans="1:8" ht="15.6" x14ac:dyDescent="0.3">
      <c r="A334" s="340"/>
      <c r="B334" s="340"/>
      <c r="C334" s="349">
        <v>2013</v>
      </c>
      <c r="D334" s="350">
        <v>-1</v>
      </c>
      <c r="E334" s="351"/>
      <c r="F334" s="346"/>
      <c r="G334" s="355">
        <v>15121.736173079824</v>
      </c>
      <c r="H334" s="356">
        <v>15121.736173079824</v>
      </c>
    </row>
    <row r="335" spans="1:8" ht="15.6" x14ac:dyDescent="0.3">
      <c r="A335" s="357" t="s">
        <v>350</v>
      </c>
      <c r="B335" s="340"/>
      <c r="C335" s="349">
        <v>2014</v>
      </c>
      <c r="D335" s="350">
        <v>0</v>
      </c>
      <c r="E335" s="351">
        <v>15434.415646279336</v>
      </c>
      <c r="F335" s="346">
        <v>15434.415646279336</v>
      </c>
      <c r="G335" s="355">
        <v>15434.415646279336</v>
      </c>
      <c r="H335" s="356">
        <v>15434.415646279336</v>
      </c>
    </row>
    <row r="336" spans="1:8" ht="15.6" x14ac:dyDescent="0.3">
      <c r="A336" s="358">
        <v>2017</v>
      </c>
      <c r="B336" s="336"/>
      <c r="C336" s="349">
        <v>2015</v>
      </c>
      <c r="D336" s="350">
        <v>1</v>
      </c>
      <c r="E336" s="351"/>
      <c r="F336" s="346"/>
      <c r="G336" s="355">
        <v>15656.724984374714</v>
      </c>
      <c r="H336" s="356">
        <v>15656.724984374714</v>
      </c>
    </row>
    <row r="337" spans="1:8" ht="15.6" x14ac:dyDescent="0.3">
      <c r="A337" s="359"/>
      <c r="B337" s="336"/>
      <c r="C337" s="349">
        <v>2016</v>
      </c>
      <c r="D337" s="350">
        <v>2</v>
      </c>
      <c r="E337" s="351"/>
      <c r="F337" s="346"/>
      <c r="G337" s="355">
        <v>15939.152192342575</v>
      </c>
      <c r="H337" s="356">
        <v>15939.152192342575</v>
      </c>
    </row>
    <row r="338" spans="1:8" ht="15.6" x14ac:dyDescent="0.3">
      <c r="A338" s="357" t="s">
        <v>351</v>
      </c>
      <c r="B338" s="336"/>
      <c r="C338" s="349">
        <v>2017</v>
      </c>
      <c r="D338" s="350">
        <v>3</v>
      </c>
      <c r="E338" s="351"/>
      <c r="F338" s="346"/>
      <c r="G338" s="355">
        <v>16231.121862325652</v>
      </c>
      <c r="H338" s="356">
        <v>16231.121862325652</v>
      </c>
    </row>
    <row r="339" spans="1:8" ht="15.6" x14ac:dyDescent="0.3">
      <c r="A339" s="358" t="s">
        <v>390</v>
      </c>
      <c r="B339" s="336"/>
      <c r="C339" s="349">
        <v>2018</v>
      </c>
      <c r="D339" s="350">
        <v>4</v>
      </c>
      <c r="E339" s="351"/>
      <c r="F339" s="346"/>
      <c r="G339" s="355">
        <v>16532.324439675147</v>
      </c>
      <c r="H339" s="356">
        <v>16532.324439675147</v>
      </c>
    </row>
    <row r="340" spans="1:8" ht="15.6" x14ac:dyDescent="0.3">
      <c r="A340" s="360"/>
      <c r="B340" s="361"/>
      <c r="C340" s="349">
        <v>2019</v>
      </c>
      <c r="D340" s="350">
        <v>5</v>
      </c>
      <c r="E340" s="351"/>
      <c r="F340" s="346"/>
      <c r="G340" s="355">
        <v>16842.450369742259</v>
      </c>
      <c r="H340" s="356">
        <v>16842.450369742259</v>
      </c>
    </row>
    <row r="341" spans="1:8" ht="15.6" x14ac:dyDescent="0.3">
      <c r="A341" s="362" t="s">
        <v>352</v>
      </c>
      <c r="B341" s="336"/>
      <c r="C341" s="349">
        <v>2020</v>
      </c>
      <c r="D341" s="350">
        <v>6</v>
      </c>
      <c r="E341" s="351"/>
      <c r="F341" s="346"/>
      <c r="G341" s="355">
        <v>17161.1900978782</v>
      </c>
      <c r="H341" s="356">
        <v>17161.1900978782</v>
      </c>
    </row>
    <row r="342" spans="1:8" ht="15.6" x14ac:dyDescent="0.3">
      <c r="A342" s="363"/>
      <c r="B342" s="336"/>
      <c r="C342" s="349">
        <v>2021</v>
      </c>
      <c r="D342" s="350">
        <v>7</v>
      </c>
      <c r="E342" s="351"/>
      <c r="F342" s="346"/>
      <c r="G342" s="355">
        <v>17488.234069434166</v>
      </c>
      <c r="H342" s="356">
        <v>17488.234069434166</v>
      </c>
    </row>
    <row r="343" spans="1:8" ht="15.6" x14ac:dyDescent="0.3">
      <c r="A343" s="364"/>
      <c r="B343" s="336"/>
      <c r="C343" s="349">
        <v>2022</v>
      </c>
      <c r="D343" s="350">
        <v>8</v>
      </c>
      <c r="E343" s="351"/>
      <c r="F343" s="346"/>
      <c r="G343" s="355">
        <v>17823.272729761364</v>
      </c>
      <c r="H343" s="356">
        <v>17823.272729761364</v>
      </c>
    </row>
    <row r="344" spans="1:8" ht="15.6" x14ac:dyDescent="0.3">
      <c r="A344" s="358"/>
      <c r="B344" s="336"/>
      <c r="C344" s="349">
        <v>2023</v>
      </c>
      <c r="D344" s="350">
        <v>9</v>
      </c>
      <c r="E344" s="351"/>
      <c r="F344" s="346"/>
      <c r="G344" s="355">
        <v>18165.996524210997</v>
      </c>
      <c r="H344" s="356">
        <v>18165.996524210997</v>
      </c>
    </row>
    <row r="345" spans="1:8" ht="15.6" x14ac:dyDescent="0.3">
      <c r="A345" s="336"/>
      <c r="B345" s="336"/>
      <c r="C345" s="349">
        <v>2024</v>
      </c>
      <c r="D345" s="350">
        <v>10</v>
      </c>
      <c r="E345" s="351"/>
      <c r="F345" s="346"/>
      <c r="G345" s="355">
        <v>18516.095898134263</v>
      </c>
      <c r="H345" s="356">
        <v>18516.095898134263</v>
      </c>
    </row>
    <row r="346" spans="1:8" ht="15.6" x14ac:dyDescent="0.3">
      <c r="A346" s="336"/>
      <c r="B346" s="336"/>
      <c r="C346" s="349">
        <v>2025</v>
      </c>
      <c r="D346" s="350">
        <v>11</v>
      </c>
      <c r="E346" s="351">
        <v>18690.014120989861</v>
      </c>
      <c r="F346" s="346">
        <v>18690.014120989861</v>
      </c>
      <c r="G346" s="355">
        <v>18690.014120989861</v>
      </c>
      <c r="H346" s="356">
        <v>18690.014120989861</v>
      </c>
    </row>
    <row r="347" spans="1:8" ht="15.6" x14ac:dyDescent="0.3">
      <c r="A347" s="336"/>
      <c r="B347" s="336"/>
      <c r="C347" s="349">
        <v>2026</v>
      </c>
      <c r="D347" s="350">
        <v>12</v>
      </c>
      <c r="E347" s="351"/>
      <c r="F347" s="346"/>
      <c r="G347" s="355">
        <v>19237.183165806528</v>
      </c>
      <c r="H347" s="356">
        <v>19237.183165806528</v>
      </c>
    </row>
    <row r="348" spans="1:8" ht="15.6" x14ac:dyDescent="0.3">
      <c r="A348" s="336"/>
      <c r="B348" s="336"/>
      <c r="C348" s="349">
        <v>2027</v>
      </c>
      <c r="D348" s="350">
        <v>13</v>
      </c>
      <c r="E348" s="351"/>
      <c r="F348" s="346"/>
      <c r="G348" s="355">
        <v>19607.551950257926</v>
      </c>
      <c r="H348" s="356">
        <v>19607.551950257926</v>
      </c>
    </row>
    <row r="349" spans="1:8" ht="15.6" x14ac:dyDescent="0.3">
      <c r="A349" s="336"/>
      <c r="B349" s="336"/>
      <c r="C349" s="349">
        <v>2028</v>
      </c>
      <c r="D349" s="350">
        <v>14</v>
      </c>
      <c r="E349" s="351"/>
      <c r="F349" s="346"/>
      <c r="G349" s="355">
        <v>19984.058095587774</v>
      </c>
      <c r="H349" s="356">
        <v>19984.058095587774</v>
      </c>
    </row>
    <row r="350" spans="1:8" ht="15.6" x14ac:dyDescent="0.3">
      <c r="A350" s="336"/>
      <c r="B350" s="336"/>
      <c r="C350" s="349">
        <v>2029</v>
      </c>
      <c r="D350" s="350">
        <v>15</v>
      </c>
      <c r="E350" s="351"/>
      <c r="F350" s="346"/>
      <c r="G350" s="355">
        <v>20366.392047147281</v>
      </c>
      <c r="H350" s="356">
        <v>20366.392047147281</v>
      </c>
    </row>
    <row r="351" spans="1:8" ht="15.6" x14ac:dyDescent="0.3">
      <c r="A351" s="336"/>
      <c r="B351" s="336"/>
      <c r="C351" s="349">
        <v>2030</v>
      </c>
      <c r="D351" s="350">
        <v>16</v>
      </c>
      <c r="E351" s="351">
        <v>20757.262970515272</v>
      </c>
      <c r="F351" s="346">
        <v>20757.262970515272</v>
      </c>
      <c r="G351" s="355">
        <v>20757.262970515272</v>
      </c>
      <c r="H351" s="356">
        <v>20757.262970515272</v>
      </c>
    </row>
    <row r="352" spans="1:8" ht="15.6" x14ac:dyDescent="0.3">
      <c r="A352" s="336"/>
      <c r="B352" s="336"/>
      <c r="C352" s="349">
        <v>2031</v>
      </c>
      <c r="D352" s="350">
        <v>17</v>
      </c>
      <c r="E352" s="351"/>
      <c r="F352" s="346"/>
      <c r="G352" s="355">
        <v>21147.305150360058</v>
      </c>
      <c r="H352" s="356">
        <v>21147.305150360058</v>
      </c>
    </row>
    <row r="353" spans="1:8" ht="15.6" x14ac:dyDescent="0.3">
      <c r="A353" s="336"/>
      <c r="B353" s="336"/>
      <c r="C353" s="349">
        <v>2032</v>
      </c>
      <c r="D353" s="350">
        <v>18</v>
      </c>
      <c r="E353" s="351"/>
      <c r="F353" s="346"/>
      <c r="G353" s="355">
        <v>21545.265192715742</v>
      </c>
      <c r="H353" s="356">
        <v>21545.265192715742</v>
      </c>
    </row>
    <row r="354" spans="1:8" ht="15.6" x14ac:dyDescent="0.3">
      <c r="A354" s="361"/>
      <c r="B354" s="361"/>
      <c r="C354" s="349">
        <v>2033</v>
      </c>
      <c r="D354" s="350">
        <v>19</v>
      </c>
      <c r="E354" s="351"/>
      <c r="F354" s="346"/>
      <c r="G354" s="355">
        <v>21947.814822705892</v>
      </c>
      <c r="H354" s="356">
        <v>21947.814822705892</v>
      </c>
    </row>
    <row r="355" spans="1:8" ht="15.6" x14ac:dyDescent="0.3">
      <c r="A355" s="361"/>
      <c r="B355" s="361"/>
      <c r="C355" s="349">
        <v>2034</v>
      </c>
      <c r="D355" s="350">
        <v>20</v>
      </c>
      <c r="E355" s="351"/>
      <c r="F355" s="346"/>
      <c r="G355" s="355">
        <v>22354.644485681711</v>
      </c>
      <c r="H355" s="356">
        <v>22354.644485681711</v>
      </c>
    </row>
    <row r="356" spans="1:8" ht="15.6" x14ac:dyDescent="0.3">
      <c r="A356" s="361"/>
      <c r="B356" s="361"/>
      <c r="C356" s="349">
        <v>2035</v>
      </c>
      <c r="D356" s="350">
        <v>21</v>
      </c>
      <c r="E356" s="351">
        <v>22900.147185221278</v>
      </c>
      <c r="F356" s="346">
        <v>22900.147185221278</v>
      </c>
      <c r="G356" s="355">
        <v>22900.147185221278</v>
      </c>
      <c r="H356" s="356">
        <v>22900.147185221278</v>
      </c>
    </row>
    <row r="357" spans="1:8" ht="15.6" x14ac:dyDescent="0.3">
      <c r="A357" s="361"/>
      <c r="B357" s="361"/>
      <c r="C357" s="349">
        <v>2036</v>
      </c>
      <c r="D357" s="350">
        <v>22</v>
      </c>
      <c r="E357" s="351"/>
      <c r="F357" s="346"/>
      <c r="G357" s="355">
        <v>23179.905691995165</v>
      </c>
      <c r="H357" s="356">
        <v>23179.905691995165</v>
      </c>
    </row>
    <row r="358" spans="1:8" ht="15.6" x14ac:dyDescent="0.3">
      <c r="A358" s="361"/>
      <c r="B358" s="361"/>
      <c r="C358" s="349">
        <v>2037</v>
      </c>
      <c r="D358" s="350">
        <v>23</v>
      </c>
      <c r="E358" s="351"/>
      <c r="F358" s="346"/>
      <c r="G358" s="355">
        <v>23597.718126035212</v>
      </c>
      <c r="H358" s="356">
        <v>23597.718126035212</v>
      </c>
    </row>
    <row r="359" spans="1:8" ht="15.6" x14ac:dyDescent="0.3">
      <c r="A359" s="361"/>
      <c r="B359" s="361"/>
      <c r="C359" s="349">
        <v>2038</v>
      </c>
      <c r="D359" s="350">
        <v>24</v>
      </c>
      <c r="E359" s="351"/>
      <c r="F359" s="346"/>
      <c r="G359" s="355">
        <v>24018.572374465737</v>
      </c>
      <c r="H359" s="356">
        <v>24018.572374465737</v>
      </c>
    </row>
    <row r="360" spans="1:8" ht="15.6" x14ac:dyDescent="0.3">
      <c r="A360" s="361"/>
      <c r="B360" s="361"/>
      <c r="C360" s="349">
        <v>2039</v>
      </c>
      <c r="D360" s="350">
        <v>25</v>
      </c>
      <c r="E360" s="351"/>
      <c r="F360" s="346"/>
      <c r="G360" s="355">
        <v>24442.158882637952</v>
      </c>
      <c r="H360" s="356">
        <v>24442.158882637952</v>
      </c>
    </row>
    <row r="361" spans="1:8" ht="15.6" x14ac:dyDescent="0.3">
      <c r="A361" s="361"/>
      <c r="B361" s="361"/>
      <c r="C361" s="349">
        <v>2040</v>
      </c>
      <c r="D361" s="350">
        <v>26</v>
      </c>
      <c r="E361" s="351">
        <v>24984.301964445986</v>
      </c>
      <c r="F361" s="346">
        <v>24984.301964445986</v>
      </c>
      <c r="G361" s="355">
        <v>24984.301964445986</v>
      </c>
      <c r="H361" s="356">
        <v>24984.301964445986</v>
      </c>
    </row>
    <row r="362" spans="1:8" ht="15.6" x14ac:dyDescent="0.3">
      <c r="A362" s="361"/>
      <c r="B362" s="361"/>
      <c r="C362" s="349">
        <v>2041</v>
      </c>
      <c r="D362" s="350">
        <v>27</v>
      </c>
      <c r="E362" s="351"/>
      <c r="F362" s="346"/>
      <c r="G362" s="355">
        <v>25296.29045961225</v>
      </c>
      <c r="H362" s="356">
        <v>25296.29045961225</v>
      </c>
    </row>
    <row r="363" spans="1:8" ht="15.6" x14ac:dyDescent="0.3">
      <c r="A363" s="361"/>
      <c r="B363" s="361"/>
      <c r="C363" s="349">
        <v>2042</v>
      </c>
      <c r="D363" s="350">
        <v>28</v>
      </c>
      <c r="E363" s="351"/>
      <c r="F363" s="346"/>
      <c r="G363" s="355">
        <v>25726.216419116739</v>
      </c>
      <c r="H363" s="356">
        <v>25726.216419116739</v>
      </c>
    </row>
    <row r="364" spans="1:8" ht="15.6" x14ac:dyDescent="0.3">
      <c r="A364" s="361"/>
      <c r="B364" s="361"/>
      <c r="C364" s="349">
        <v>2043</v>
      </c>
      <c r="D364" s="350">
        <v>29</v>
      </c>
      <c r="E364" s="351"/>
      <c r="F364" s="346"/>
      <c r="G364" s="355">
        <v>26157.636419767725</v>
      </c>
      <c r="H364" s="356">
        <v>26157.636419767725</v>
      </c>
    </row>
    <row r="365" spans="1:8" ht="15.6" x14ac:dyDescent="0.3">
      <c r="A365" s="361"/>
      <c r="B365" s="361"/>
      <c r="C365" s="349">
        <v>2044</v>
      </c>
      <c r="D365" s="350">
        <v>30</v>
      </c>
      <c r="E365" s="351"/>
      <c r="F365" s="346"/>
      <c r="G365" s="355">
        <v>26590.240906916413</v>
      </c>
      <c r="H365" s="356">
        <v>26590.240906916413</v>
      </c>
    </row>
    <row r="366" spans="1:8" ht="15.6" x14ac:dyDescent="0.3">
      <c r="A366" s="361"/>
      <c r="B366" s="361"/>
      <c r="C366" s="349">
        <v>2045</v>
      </c>
      <c r="D366" s="350">
        <v>31</v>
      </c>
      <c r="E366" s="351">
        <v>27014.968861901973</v>
      </c>
      <c r="F366" s="346">
        <v>27014.968861901973</v>
      </c>
      <c r="G366" s="355">
        <v>27014.968861901973</v>
      </c>
      <c r="H366" s="356">
        <v>27014.968861901973</v>
      </c>
    </row>
    <row r="367" spans="1:8" ht="15.6" x14ac:dyDescent="0.3">
      <c r="A367" s="361"/>
      <c r="B367" s="361"/>
      <c r="C367" s="349">
        <v>2046</v>
      </c>
      <c r="D367" s="350">
        <v>32</v>
      </c>
      <c r="E367" s="351"/>
      <c r="F367" s="346"/>
      <c r="G367" s="355">
        <v>27457.765122111712</v>
      </c>
      <c r="H367" s="356">
        <v>27457.765122111712</v>
      </c>
    </row>
    <row r="368" spans="1:8" ht="15.6" x14ac:dyDescent="0.3">
      <c r="A368" s="365"/>
      <c r="B368" s="366"/>
      <c r="C368" s="349">
        <v>2047</v>
      </c>
      <c r="D368" s="350">
        <v>33</v>
      </c>
      <c r="E368" s="351"/>
      <c r="F368" s="346"/>
      <c r="G368" s="355">
        <v>27892.065740860726</v>
      </c>
      <c r="H368" s="356">
        <v>27892.065740860726</v>
      </c>
    </row>
    <row r="369" spans="1:8" ht="15.6" x14ac:dyDescent="0.3">
      <c r="A369" s="359"/>
      <c r="B369" s="366"/>
      <c r="C369" s="349">
        <v>2048</v>
      </c>
      <c r="D369" s="350">
        <v>34</v>
      </c>
      <c r="E369" s="351"/>
      <c r="F369" s="346"/>
      <c r="G369" s="355">
        <v>28326.312627512256</v>
      </c>
      <c r="H369" s="356">
        <v>28326.312627512256</v>
      </c>
    </row>
    <row r="370" spans="1:8" ht="15.6" x14ac:dyDescent="0.3">
      <c r="A370" s="359"/>
      <c r="B370" s="359"/>
      <c r="C370" s="349">
        <v>2049</v>
      </c>
      <c r="D370" s="350">
        <v>35</v>
      </c>
      <c r="E370" s="351"/>
      <c r="F370" s="346"/>
      <c r="G370" s="355">
        <v>28760.196227417502</v>
      </c>
      <c r="H370" s="356">
        <v>28760.196227417502</v>
      </c>
    </row>
    <row r="371" spans="1:8" ht="15.6" x14ac:dyDescent="0.3">
      <c r="A371" s="359"/>
      <c r="B371" s="359"/>
      <c r="C371" s="349">
        <v>2050</v>
      </c>
      <c r="D371" s="350">
        <v>36</v>
      </c>
      <c r="E371" s="351">
        <v>29082.714491742001</v>
      </c>
      <c r="F371" s="346">
        <v>29082.714491742001</v>
      </c>
      <c r="G371" s="355">
        <v>29082.714491742001</v>
      </c>
      <c r="H371" s="356">
        <v>29082.714491742001</v>
      </c>
    </row>
    <row r="372" spans="1:8" ht="15.6" x14ac:dyDescent="0.3">
      <c r="A372"/>
      <c r="B372"/>
      <c r="C372" s="349">
        <v>2051</v>
      </c>
      <c r="D372" s="350">
        <v>37</v>
      </c>
      <c r="E372" s="351"/>
      <c r="F372" s="346"/>
      <c r="G372" s="355">
        <v>29625.63534839396</v>
      </c>
      <c r="H372" s="356">
        <v>29625.63534839396</v>
      </c>
    </row>
    <row r="373" spans="1:8" ht="15.6" x14ac:dyDescent="0.3">
      <c r="A373"/>
      <c r="B373"/>
      <c r="C373" s="349">
        <v>2052</v>
      </c>
      <c r="D373" s="350">
        <v>38</v>
      </c>
      <c r="E373" s="351"/>
      <c r="F373" s="346"/>
      <c r="G373" s="355">
        <v>30056.571760167575</v>
      </c>
      <c r="H373" s="356">
        <v>30056.571760167575</v>
      </c>
    </row>
    <row r="374" spans="1:8" ht="15.6" x14ac:dyDescent="0.3">
      <c r="A374"/>
      <c r="B374"/>
      <c r="C374" s="349">
        <v>2053</v>
      </c>
      <c r="D374" s="350">
        <v>39</v>
      </c>
      <c r="E374" s="351"/>
      <c r="F374" s="346"/>
      <c r="G374" s="355">
        <v>30485.906666599723</v>
      </c>
      <c r="H374" s="356">
        <v>30485.906666599723</v>
      </c>
    </row>
    <row r="375" spans="1:8" ht="15.6" x14ac:dyDescent="0.3">
      <c r="A375"/>
      <c r="B375"/>
      <c r="C375" s="349">
        <v>2054</v>
      </c>
      <c r="D375" s="350">
        <v>40</v>
      </c>
      <c r="E375" s="351"/>
      <c r="F375" s="346"/>
      <c r="G375" s="355">
        <v>30913.330513041605</v>
      </c>
      <c r="H375" s="356">
        <v>30913.330513041605</v>
      </c>
    </row>
    <row r="376" spans="1:8" ht="15.6" x14ac:dyDescent="0.3">
      <c r="A376"/>
      <c r="B376"/>
      <c r="C376" s="349">
        <v>2055</v>
      </c>
      <c r="D376" s="350">
        <v>41</v>
      </c>
      <c r="E376" s="351">
        <v>31250.296920309571</v>
      </c>
      <c r="F376" s="346">
        <v>31250.296920309571</v>
      </c>
      <c r="G376" s="355">
        <v>31250.296920309571</v>
      </c>
      <c r="H376" s="356">
        <v>31250.296920309571</v>
      </c>
    </row>
    <row r="377" spans="1:8" ht="15.6" x14ac:dyDescent="0.3">
      <c r="A377"/>
      <c r="B377"/>
      <c r="C377" s="349">
        <v>2056</v>
      </c>
      <c r="D377" s="350">
        <v>42</v>
      </c>
      <c r="E377" s="351"/>
      <c r="F377" s="346"/>
      <c r="G377" s="355">
        <v>31761.206807359384</v>
      </c>
      <c r="H377" s="356">
        <v>31761.206807359384</v>
      </c>
    </row>
    <row r="378" spans="1:8" ht="15.6" x14ac:dyDescent="0.3">
      <c r="A378"/>
      <c r="B378"/>
      <c r="C378" s="349">
        <v>2057</v>
      </c>
      <c r="D378" s="350">
        <v>43</v>
      </c>
      <c r="E378" s="351"/>
      <c r="F378" s="346"/>
      <c r="G378" s="355">
        <v>32181.040145937688</v>
      </c>
      <c r="H378" s="356">
        <v>32181.040145937688</v>
      </c>
    </row>
    <row r="379" spans="1:8" ht="15.6" x14ac:dyDescent="0.3">
      <c r="A379"/>
      <c r="B379"/>
      <c r="C379" s="349">
        <v>2058</v>
      </c>
      <c r="D379" s="350">
        <v>44</v>
      </c>
      <c r="E379" s="351"/>
      <c r="F379" s="346"/>
      <c r="G379" s="355">
        <v>32597.724205930539</v>
      </c>
      <c r="H379" s="356">
        <v>32597.724205930539</v>
      </c>
    </row>
    <row r="380" spans="1:8" ht="15.6" x14ac:dyDescent="0.3">
      <c r="A380"/>
      <c r="B380"/>
      <c r="C380" s="349">
        <v>2059</v>
      </c>
      <c r="D380" s="350">
        <v>45</v>
      </c>
      <c r="E380" s="351"/>
      <c r="F380" s="346"/>
      <c r="G380" s="355">
        <v>33010.949432689144</v>
      </c>
      <c r="H380" s="356">
        <v>33010.949432689144</v>
      </c>
    </row>
    <row r="381" spans="1:8" ht="15.6" x14ac:dyDescent="0.3">
      <c r="A381"/>
      <c r="B381"/>
      <c r="C381" s="367">
        <v>2060</v>
      </c>
      <c r="D381" s="350">
        <v>46</v>
      </c>
      <c r="E381" s="351">
        <v>33507.213229983841</v>
      </c>
      <c r="F381" s="346">
        <v>33507.213229983841</v>
      </c>
      <c r="G381" s="355">
        <v>33507.213229983841</v>
      </c>
      <c r="H381" s="356">
        <v>33507.213229983841</v>
      </c>
    </row>
    <row r="394" spans="1:8" ht="15.6" x14ac:dyDescent="0.3">
      <c r="A394" s="327">
        <v>10</v>
      </c>
      <c r="B394" s="328" t="s">
        <v>431</v>
      </c>
      <c r="C394" s="329"/>
      <c r="D394" s="329"/>
      <c r="E394" s="329"/>
      <c r="F394" s="329"/>
      <c r="G394" s="329"/>
      <c r="H394" s="329"/>
    </row>
    <row r="395" spans="1:8" ht="15.6" x14ac:dyDescent="0.3">
      <c r="A395" s="330" t="s">
        <v>338</v>
      </c>
      <c r="B395" s="331"/>
      <c r="C395" s="331"/>
      <c r="D395" s="332"/>
      <c r="E395" s="333"/>
      <c r="F395" s="703"/>
      <c r="G395" s="333"/>
      <c r="H395" s="334"/>
    </row>
    <row r="396" spans="1:8" ht="16.2" thickBot="1" x14ac:dyDescent="0.3">
      <c r="A396" s="368" t="s">
        <v>339</v>
      </c>
      <c r="B396" s="336"/>
      <c r="C396" s="336"/>
      <c r="D396" s="337"/>
      <c r="E396" s="338" t="s">
        <v>340</v>
      </c>
      <c r="F396" s="704"/>
      <c r="G396" s="369" t="s">
        <v>432</v>
      </c>
      <c r="H396" s="334"/>
    </row>
    <row r="397" spans="1:8" ht="16.2" thickBot="1" x14ac:dyDescent="0.3">
      <c r="A397" s="340"/>
      <c r="B397" s="340"/>
      <c r="C397" s="340"/>
      <c r="D397" s="341"/>
      <c r="E397" s="369" t="s">
        <v>390</v>
      </c>
      <c r="F397" s="369" t="s">
        <v>343</v>
      </c>
      <c r="G397" s="370" t="s">
        <v>344</v>
      </c>
      <c r="H397" s="369" t="s">
        <v>345</v>
      </c>
    </row>
    <row r="398" spans="1:8" ht="15.6" x14ac:dyDescent="0.3">
      <c r="A398" s="330" t="s">
        <v>346</v>
      </c>
      <c r="B398" s="340"/>
      <c r="C398" s="343">
        <v>2005</v>
      </c>
      <c r="D398" s="344">
        <v>-9</v>
      </c>
      <c r="E398" s="378"/>
      <c r="F398" s="346"/>
      <c r="G398" s="347">
        <v>9582.8688373011391</v>
      </c>
      <c r="H398" s="348">
        <v>9582.8688373011391</v>
      </c>
    </row>
    <row r="399" spans="1:8" ht="15.6" x14ac:dyDescent="0.3">
      <c r="A399" s="368" t="s">
        <v>347</v>
      </c>
      <c r="B399" s="340"/>
      <c r="C399" s="349">
        <v>2006</v>
      </c>
      <c r="D399" s="350">
        <v>-8</v>
      </c>
      <c r="E399" s="351"/>
      <c r="F399" s="346"/>
      <c r="G399" s="352">
        <v>10011.854835162514</v>
      </c>
      <c r="H399" s="353">
        <v>10011.854835162514</v>
      </c>
    </row>
    <row r="400" spans="1:8" ht="15.6" x14ac:dyDescent="0.3">
      <c r="A400" s="340"/>
      <c r="B400" s="340"/>
      <c r="C400" s="349">
        <v>2007</v>
      </c>
      <c r="D400" s="350">
        <v>-7</v>
      </c>
      <c r="E400" s="351"/>
      <c r="F400" s="346"/>
      <c r="G400" s="352">
        <v>10464.109832731789</v>
      </c>
      <c r="H400" s="353">
        <v>10464.109832731789</v>
      </c>
    </row>
    <row r="401" spans="1:8" ht="15.6" x14ac:dyDescent="0.3">
      <c r="A401" s="354" t="s">
        <v>348</v>
      </c>
      <c r="B401" s="340"/>
      <c r="C401" s="349">
        <v>2008</v>
      </c>
      <c r="D401" s="350">
        <v>-6</v>
      </c>
      <c r="E401" s="351"/>
      <c r="F401" s="346"/>
      <c r="G401" s="352">
        <v>10938.906173551892</v>
      </c>
      <c r="H401" s="353">
        <v>10938.906173551892</v>
      </c>
    </row>
    <row r="402" spans="1:8" ht="15.6" x14ac:dyDescent="0.3">
      <c r="A402" s="700" t="s">
        <v>433</v>
      </c>
      <c r="B402" s="340"/>
      <c r="C402" s="349">
        <v>2009</v>
      </c>
      <c r="D402" s="350">
        <v>-5</v>
      </c>
      <c r="E402" s="351"/>
      <c r="F402" s="346"/>
      <c r="G402" s="352">
        <v>11435.516201165745</v>
      </c>
      <c r="H402" s="353">
        <v>11435.516201165745</v>
      </c>
    </row>
    <row r="403" spans="1:8" ht="15.6" x14ac:dyDescent="0.3">
      <c r="A403" s="701"/>
      <c r="B403" s="340"/>
      <c r="C403" s="349">
        <v>2010</v>
      </c>
      <c r="D403" s="350">
        <v>-4</v>
      </c>
      <c r="E403" s="351"/>
      <c r="F403" s="346"/>
      <c r="G403" s="352">
        <v>11953.212259116277</v>
      </c>
      <c r="H403" s="353">
        <v>11953.212259116277</v>
      </c>
    </row>
    <row r="404" spans="1:8" ht="15.6" x14ac:dyDescent="0.3">
      <c r="A404" s="701"/>
      <c r="B404" s="340"/>
      <c r="C404" s="349">
        <v>2011</v>
      </c>
      <c r="D404" s="350">
        <v>-3</v>
      </c>
      <c r="E404" s="351"/>
      <c r="F404" s="346"/>
      <c r="G404" s="352">
        <v>12491.266690946411</v>
      </c>
      <c r="H404" s="353">
        <v>12491.266690946411</v>
      </c>
    </row>
    <row r="405" spans="1:8" ht="15.6" x14ac:dyDescent="0.3">
      <c r="A405" s="702"/>
      <c r="B405" s="340"/>
      <c r="C405" s="349">
        <v>2012</v>
      </c>
      <c r="D405" s="350">
        <v>-2</v>
      </c>
      <c r="E405" s="351"/>
      <c r="F405" s="346"/>
      <c r="G405" s="355">
        <v>13048.951840199074</v>
      </c>
      <c r="H405" s="356">
        <v>13048.951840199074</v>
      </c>
    </row>
    <row r="406" spans="1:8" ht="15.6" x14ac:dyDescent="0.3">
      <c r="A406" s="340"/>
      <c r="B406" s="340"/>
      <c r="C406" s="349">
        <v>2013</v>
      </c>
      <c r="D406" s="350">
        <v>-1</v>
      </c>
      <c r="E406" s="351"/>
      <c r="F406" s="346"/>
      <c r="G406" s="355">
        <v>13625.540050417188</v>
      </c>
      <c r="H406" s="356">
        <v>13625.540050417188</v>
      </c>
    </row>
    <row r="407" spans="1:8" ht="15.6" x14ac:dyDescent="0.3">
      <c r="A407" s="357" t="s">
        <v>350</v>
      </c>
      <c r="B407" s="340"/>
      <c r="C407" s="349">
        <v>2014</v>
      </c>
      <c r="D407" s="350">
        <v>0</v>
      </c>
      <c r="E407" s="351">
        <v>14330.077936840264</v>
      </c>
      <c r="F407" s="346">
        <v>14330.077936840264</v>
      </c>
      <c r="G407" s="355">
        <v>14330.077936840264</v>
      </c>
      <c r="H407" s="356">
        <v>14330.077936840264</v>
      </c>
    </row>
    <row r="408" spans="1:8" ht="15.6" x14ac:dyDescent="0.3">
      <c r="A408" s="358">
        <v>2017</v>
      </c>
      <c r="B408" s="336"/>
      <c r="C408" s="349">
        <v>2015</v>
      </c>
      <c r="D408" s="350">
        <v>1</v>
      </c>
      <c r="E408" s="351"/>
      <c r="F408" s="346"/>
      <c r="G408" s="355">
        <v>14832.515027921481</v>
      </c>
      <c r="H408" s="356">
        <v>14832.515027921481</v>
      </c>
    </row>
    <row r="409" spans="1:8" ht="15.6" x14ac:dyDescent="0.3">
      <c r="A409" s="359"/>
      <c r="B409" s="336"/>
      <c r="C409" s="349">
        <v>2016</v>
      </c>
      <c r="D409" s="350">
        <v>2</v>
      </c>
      <c r="E409" s="351"/>
      <c r="F409" s="346"/>
      <c r="G409" s="355">
        <v>15461.44648229351</v>
      </c>
      <c r="H409" s="356">
        <v>15461.44648229351</v>
      </c>
    </row>
    <row r="410" spans="1:8" ht="15.6" x14ac:dyDescent="0.3">
      <c r="A410" s="357" t="s">
        <v>351</v>
      </c>
      <c r="B410" s="336"/>
      <c r="C410" s="349">
        <v>2017</v>
      </c>
      <c r="D410" s="350">
        <v>3</v>
      </c>
      <c r="E410" s="351"/>
      <c r="F410" s="346"/>
      <c r="G410" s="355">
        <v>16106.370371802694</v>
      </c>
      <c r="H410" s="356">
        <v>16106.370371802694</v>
      </c>
    </row>
    <row r="411" spans="1:8" ht="15.6" x14ac:dyDescent="0.3">
      <c r="A411" s="358" t="s">
        <v>390</v>
      </c>
      <c r="B411" s="336"/>
      <c r="C411" s="349">
        <v>2018</v>
      </c>
      <c r="D411" s="350">
        <v>4</v>
      </c>
      <c r="E411" s="351"/>
      <c r="F411" s="346"/>
      <c r="G411" s="355">
        <v>16766.559039991957</v>
      </c>
      <c r="H411" s="356">
        <v>16766.559039991957</v>
      </c>
    </row>
    <row r="412" spans="1:8" ht="15.6" x14ac:dyDescent="0.3">
      <c r="A412" s="360"/>
      <c r="B412" s="361"/>
      <c r="C412" s="349">
        <v>2019</v>
      </c>
      <c r="D412" s="350">
        <v>5</v>
      </c>
      <c r="E412" s="351"/>
      <c r="F412" s="346"/>
      <c r="G412" s="355">
        <v>17441.284830404227</v>
      </c>
      <c r="H412" s="356">
        <v>17441.284830404227</v>
      </c>
    </row>
    <row r="413" spans="1:8" ht="15.6" x14ac:dyDescent="0.3">
      <c r="A413" s="362" t="s">
        <v>352</v>
      </c>
      <c r="B413" s="336"/>
      <c r="C413" s="349">
        <v>2020</v>
      </c>
      <c r="D413" s="350">
        <v>6</v>
      </c>
      <c r="E413" s="351"/>
      <c r="F413" s="346"/>
      <c r="G413" s="355">
        <v>18129.820086582429</v>
      </c>
      <c r="H413" s="356">
        <v>18129.820086582429</v>
      </c>
    </row>
    <row r="414" spans="1:8" ht="15.6" x14ac:dyDescent="0.3">
      <c r="A414" s="363"/>
      <c r="B414" s="336"/>
      <c r="C414" s="349">
        <v>2021</v>
      </c>
      <c r="D414" s="350">
        <v>7</v>
      </c>
      <c r="E414" s="351"/>
      <c r="F414" s="346"/>
      <c r="G414" s="355">
        <v>18831.437152069488</v>
      </c>
      <c r="H414" s="356">
        <v>18831.437152069488</v>
      </c>
    </row>
    <row r="415" spans="1:8" ht="15.6" x14ac:dyDescent="0.3">
      <c r="A415" s="364"/>
      <c r="B415" s="336"/>
      <c r="C415" s="349">
        <v>2022</v>
      </c>
      <c r="D415" s="350">
        <v>8</v>
      </c>
      <c r="E415" s="351"/>
      <c r="F415" s="346"/>
      <c r="G415" s="355">
        <v>19545.408370408328</v>
      </c>
      <c r="H415" s="356">
        <v>19545.408370408328</v>
      </c>
    </row>
    <row r="416" spans="1:8" ht="15.6" x14ac:dyDescent="0.3">
      <c r="A416" s="358"/>
      <c r="B416" s="336"/>
      <c r="C416" s="349">
        <v>2023</v>
      </c>
      <c r="D416" s="350">
        <v>9</v>
      </c>
      <c r="E416" s="351"/>
      <c r="F416" s="346"/>
      <c r="G416" s="355">
        <v>20271.006085141875</v>
      </c>
      <c r="H416" s="356">
        <v>20271.006085141875</v>
      </c>
    </row>
    <row r="417" spans="1:8" ht="15.6" x14ac:dyDescent="0.3">
      <c r="A417" s="336"/>
      <c r="B417" s="336"/>
      <c r="C417" s="349">
        <v>2024</v>
      </c>
      <c r="D417" s="350">
        <v>10</v>
      </c>
      <c r="E417" s="351"/>
      <c r="F417" s="346"/>
      <c r="G417" s="355">
        <v>21007.502639813058</v>
      </c>
      <c r="H417" s="356">
        <v>21007.502639813058</v>
      </c>
    </row>
    <row r="418" spans="1:8" ht="15.6" x14ac:dyDescent="0.3">
      <c r="A418" s="336"/>
      <c r="B418" s="336"/>
      <c r="C418" s="349">
        <v>2025</v>
      </c>
      <c r="D418" s="350">
        <v>11</v>
      </c>
      <c r="E418" s="351">
        <v>21324.844911536871</v>
      </c>
      <c r="F418" s="346">
        <v>21324.844911536871</v>
      </c>
      <c r="G418" s="355">
        <v>21324.844911536871</v>
      </c>
      <c r="H418" s="356">
        <v>21324.844911536871</v>
      </c>
    </row>
    <row r="419" spans="1:8" ht="15.6" x14ac:dyDescent="0.3">
      <c r="A419" s="336"/>
      <c r="B419" s="336"/>
      <c r="C419" s="349">
        <v>2026</v>
      </c>
      <c r="D419" s="350">
        <v>12</v>
      </c>
      <c r="E419" s="351"/>
      <c r="F419" s="346"/>
      <c r="G419" s="355">
        <v>22510.281643140021</v>
      </c>
      <c r="H419" s="356">
        <v>22510.281643140021</v>
      </c>
    </row>
    <row r="420" spans="1:8" ht="15.6" x14ac:dyDescent="0.3">
      <c r="A420" s="336"/>
      <c r="B420" s="336"/>
      <c r="C420" s="349">
        <v>2027</v>
      </c>
      <c r="D420" s="350">
        <v>13</v>
      </c>
      <c r="E420" s="351"/>
      <c r="F420" s="346"/>
      <c r="G420" s="355">
        <v>23275.108778881651</v>
      </c>
      <c r="H420" s="356">
        <v>23275.108778881651</v>
      </c>
    </row>
    <row r="421" spans="1:8" ht="15.6" x14ac:dyDescent="0.3">
      <c r="A421" s="336"/>
      <c r="B421" s="336"/>
      <c r="C421" s="349">
        <v>2028</v>
      </c>
      <c r="D421" s="350">
        <v>14</v>
      </c>
      <c r="E421" s="351"/>
      <c r="F421" s="346"/>
      <c r="G421" s="355">
        <v>24047.924128732619</v>
      </c>
      <c r="H421" s="356">
        <v>24047.924128732619</v>
      </c>
    </row>
    <row r="422" spans="1:8" ht="15.6" x14ac:dyDescent="0.3">
      <c r="A422" s="336"/>
      <c r="B422" s="336"/>
      <c r="C422" s="349">
        <v>2029</v>
      </c>
      <c r="D422" s="350">
        <v>15</v>
      </c>
      <c r="E422" s="351"/>
      <c r="F422" s="346"/>
      <c r="G422" s="355">
        <v>24828.000036235844</v>
      </c>
      <c r="H422" s="356">
        <v>24828.000036235844</v>
      </c>
    </row>
    <row r="423" spans="1:8" ht="15.6" x14ac:dyDescent="0.3">
      <c r="A423" s="336"/>
      <c r="B423" s="336"/>
      <c r="C423" s="349">
        <v>2030</v>
      </c>
      <c r="D423" s="350">
        <v>16</v>
      </c>
      <c r="E423" s="351">
        <v>25690.191944286238</v>
      </c>
      <c r="F423" s="346">
        <v>25690.191944286238</v>
      </c>
      <c r="G423" s="355">
        <v>25690.191944286238</v>
      </c>
      <c r="H423" s="356">
        <v>25690.191944286238</v>
      </c>
    </row>
    <row r="424" spans="1:8" ht="15.6" x14ac:dyDescent="0.3">
      <c r="A424" s="336"/>
      <c r="B424" s="336"/>
      <c r="C424" s="349">
        <v>2031</v>
      </c>
      <c r="D424" s="350">
        <v>17</v>
      </c>
      <c r="E424" s="351"/>
      <c r="F424" s="346"/>
      <c r="G424" s="355">
        <v>26407.022898370782</v>
      </c>
      <c r="H424" s="356">
        <v>26407.022898370782</v>
      </c>
    </row>
    <row r="425" spans="1:8" ht="15.6" x14ac:dyDescent="0.3">
      <c r="A425" s="336"/>
      <c r="B425" s="336"/>
      <c r="C425" s="349">
        <v>2032</v>
      </c>
      <c r="D425" s="350">
        <v>18</v>
      </c>
      <c r="E425" s="351"/>
      <c r="F425" s="346"/>
      <c r="G425" s="355">
        <v>27204.514540088341</v>
      </c>
      <c r="H425" s="356">
        <v>27204.514540088341</v>
      </c>
    </row>
    <row r="426" spans="1:8" ht="15.6" x14ac:dyDescent="0.3">
      <c r="A426" s="361"/>
      <c r="B426" s="361"/>
      <c r="C426" s="349">
        <v>2033</v>
      </c>
      <c r="D426" s="350">
        <v>19</v>
      </c>
      <c r="E426" s="351"/>
      <c r="F426" s="346"/>
      <c r="G426" s="355">
        <v>28006.356113629863</v>
      </c>
      <c r="H426" s="356">
        <v>28006.356113629863</v>
      </c>
    </row>
    <row r="427" spans="1:8" ht="15.6" x14ac:dyDescent="0.3">
      <c r="A427" s="361"/>
      <c r="B427" s="361"/>
      <c r="C427" s="349">
        <v>2034</v>
      </c>
      <c r="D427" s="350">
        <v>20</v>
      </c>
      <c r="E427" s="351"/>
      <c r="F427" s="346"/>
      <c r="G427" s="355">
        <v>28811.819962538269</v>
      </c>
      <c r="H427" s="356">
        <v>28811.819962538269</v>
      </c>
    </row>
    <row r="428" spans="1:8" ht="15.6" x14ac:dyDescent="0.3">
      <c r="A428" s="361"/>
      <c r="B428" s="361"/>
      <c r="C428" s="349">
        <v>2035</v>
      </c>
      <c r="D428" s="350">
        <v>21</v>
      </c>
      <c r="E428" s="351">
        <v>29889.162941195966</v>
      </c>
      <c r="F428" s="346">
        <v>29889.162941195966</v>
      </c>
      <c r="G428" s="355">
        <v>29889.162941195966</v>
      </c>
      <c r="H428" s="356">
        <v>29889.162941195966</v>
      </c>
    </row>
    <row r="429" spans="1:8" ht="15.6" x14ac:dyDescent="0.3">
      <c r="A429" s="361"/>
      <c r="B429" s="361"/>
      <c r="C429" s="349">
        <v>2036</v>
      </c>
      <c r="D429" s="350">
        <v>22</v>
      </c>
      <c r="E429" s="351"/>
      <c r="F429" s="346"/>
      <c r="G429" s="355">
        <v>30430.703860627451</v>
      </c>
      <c r="H429" s="356">
        <v>30430.703860627451</v>
      </c>
    </row>
    <row r="430" spans="1:8" ht="15.6" x14ac:dyDescent="0.3">
      <c r="A430" s="361"/>
      <c r="B430" s="361"/>
      <c r="C430" s="349">
        <v>2037</v>
      </c>
      <c r="D430" s="350">
        <v>23</v>
      </c>
      <c r="E430" s="351"/>
      <c r="F430" s="346"/>
      <c r="G430" s="355">
        <v>31242.668596894073</v>
      </c>
      <c r="H430" s="356">
        <v>31242.668596894073</v>
      </c>
    </row>
    <row r="431" spans="1:8" ht="15.6" x14ac:dyDescent="0.3">
      <c r="A431" s="361"/>
      <c r="B431" s="361"/>
      <c r="C431" s="349">
        <v>2038</v>
      </c>
      <c r="D431" s="350">
        <v>24</v>
      </c>
      <c r="E431" s="351"/>
      <c r="F431" s="346"/>
      <c r="G431" s="355">
        <v>32055.344982699287</v>
      </c>
      <c r="H431" s="356">
        <v>32055.344982699287</v>
      </c>
    </row>
    <row r="432" spans="1:8" ht="15.6" x14ac:dyDescent="0.3">
      <c r="A432" s="361"/>
      <c r="B432" s="361"/>
      <c r="C432" s="349">
        <v>2039</v>
      </c>
      <c r="D432" s="350">
        <v>25</v>
      </c>
      <c r="E432" s="351"/>
      <c r="F432" s="346"/>
      <c r="G432" s="355">
        <v>32868.005361586009</v>
      </c>
      <c r="H432" s="356">
        <v>32868.005361586009</v>
      </c>
    </row>
    <row r="433" spans="1:8" ht="15.6" x14ac:dyDescent="0.3">
      <c r="A433" s="361"/>
      <c r="B433" s="361"/>
      <c r="C433" s="349">
        <v>2040</v>
      </c>
      <c r="D433" s="350">
        <v>26</v>
      </c>
      <c r="E433" s="351">
        <v>33909.815369072494</v>
      </c>
      <c r="F433" s="346">
        <v>33909.815369072494</v>
      </c>
      <c r="G433" s="355">
        <v>33909.815369072494</v>
      </c>
      <c r="H433" s="356">
        <v>33909.815369072494</v>
      </c>
    </row>
    <row r="434" spans="1:8" ht="15.6" x14ac:dyDescent="0.3">
      <c r="A434" s="361"/>
      <c r="B434" s="361"/>
      <c r="C434" s="349">
        <v>2041</v>
      </c>
      <c r="D434" s="350">
        <v>27</v>
      </c>
      <c r="E434" s="351"/>
      <c r="F434" s="346"/>
      <c r="G434" s="355">
        <v>34490.367472775702</v>
      </c>
      <c r="H434" s="356">
        <v>34490.367472775702</v>
      </c>
    </row>
    <row r="435" spans="1:8" ht="15.6" x14ac:dyDescent="0.3">
      <c r="A435" s="361"/>
      <c r="B435" s="361"/>
      <c r="C435" s="349">
        <v>2042</v>
      </c>
      <c r="D435" s="350">
        <v>28</v>
      </c>
      <c r="E435" s="351"/>
      <c r="F435" s="346"/>
      <c r="G435" s="355">
        <v>35298.613892164525</v>
      </c>
      <c r="H435" s="356">
        <v>35298.613892164525</v>
      </c>
    </row>
    <row r="436" spans="1:8" ht="15.6" x14ac:dyDescent="0.3">
      <c r="A436" s="361"/>
      <c r="B436" s="361"/>
      <c r="C436" s="349">
        <v>2043</v>
      </c>
      <c r="D436" s="350">
        <v>29</v>
      </c>
      <c r="E436" s="351"/>
      <c r="F436" s="346"/>
      <c r="G436" s="355">
        <v>36103.933678806563</v>
      </c>
      <c r="H436" s="356">
        <v>36103.933678806563</v>
      </c>
    </row>
    <row r="437" spans="1:8" ht="15.6" x14ac:dyDescent="0.3">
      <c r="A437" s="361"/>
      <c r="B437" s="361"/>
      <c r="C437" s="349">
        <v>2044</v>
      </c>
      <c r="D437" s="350">
        <v>30</v>
      </c>
      <c r="E437" s="351"/>
      <c r="F437" s="346"/>
      <c r="G437" s="355">
        <v>36905.599176244737</v>
      </c>
      <c r="H437" s="356">
        <v>36905.599176244737</v>
      </c>
    </row>
    <row r="438" spans="1:8" ht="15.6" x14ac:dyDescent="0.3">
      <c r="A438" s="361"/>
      <c r="B438" s="361"/>
      <c r="C438" s="349">
        <v>2045</v>
      </c>
      <c r="D438" s="350">
        <v>31</v>
      </c>
      <c r="E438" s="351">
        <v>37670.548521514909</v>
      </c>
      <c r="F438" s="346">
        <v>37670.548521514909</v>
      </c>
      <c r="G438" s="355">
        <v>37670.548521514909</v>
      </c>
      <c r="H438" s="356">
        <v>37670.548521514909</v>
      </c>
    </row>
    <row r="439" spans="1:8" ht="15.6" x14ac:dyDescent="0.3">
      <c r="A439" s="361"/>
      <c r="B439" s="361"/>
      <c r="C439" s="349">
        <v>2046</v>
      </c>
      <c r="D439" s="350">
        <v>32</v>
      </c>
      <c r="E439" s="351"/>
      <c r="F439" s="346"/>
      <c r="G439" s="355">
        <v>38495.056677681219</v>
      </c>
      <c r="H439" s="356">
        <v>38495.056677681219</v>
      </c>
    </row>
    <row r="440" spans="1:8" ht="15.6" x14ac:dyDescent="0.3">
      <c r="A440" s="365"/>
      <c r="B440" s="366"/>
      <c r="C440" s="349">
        <v>2047</v>
      </c>
      <c r="D440" s="350">
        <v>33</v>
      </c>
      <c r="E440" s="351"/>
      <c r="F440" s="346"/>
      <c r="G440" s="355">
        <v>39281.39336876537</v>
      </c>
      <c r="H440" s="356">
        <v>39281.39336876537</v>
      </c>
    </row>
    <row r="441" spans="1:8" ht="15.6" x14ac:dyDescent="0.3">
      <c r="A441" s="359"/>
      <c r="B441" s="366"/>
      <c r="C441" s="349">
        <v>2048</v>
      </c>
      <c r="D441" s="350">
        <v>34</v>
      </c>
      <c r="E441" s="351"/>
      <c r="F441" s="346"/>
      <c r="G441" s="355">
        <v>40061.165144817372</v>
      </c>
      <c r="H441" s="356">
        <v>40061.165144817372</v>
      </c>
    </row>
    <row r="442" spans="1:8" ht="15.6" x14ac:dyDescent="0.3">
      <c r="A442" s="359"/>
      <c r="B442" s="359"/>
      <c r="C442" s="349">
        <v>2049</v>
      </c>
      <c r="D442" s="350">
        <v>35</v>
      </c>
      <c r="E442" s="351"/>
      <c r="F442" s="346"/>
      <c r="G442" s="355">
        <v>40833.644349380134</v>
      </c>
      <c r="H442" s="356">
        <v>40833.644349380134</v>
      </c>
    </row>
    <row r="443" spans="1:8" ht="15.6" x14ac:dyDescent="0.3">
      <c r="A443" s="359"/>
      <c r="B443" s="359"/>
      <c r="C443" s="349">
        <v>2050</v>
      </c>
      <c r="D443" s="350">
        <v>36</v>
      </c>
      <c r="E443" s="351">
        <v>41367.303861582419</v>
      </c>
      <c r="F443" s="346">
        <v>41367.303861582419</v>
      </c>
      <c r="G443" s="355">
        <v>41367.303861582419</v>
      </c>
      <c r="H443" s="356">
        <v>41367.303861582419</v>
      </c>
    </row>
    <row r="444" spans="1:8" ht="15.6" x14ac:dyDescent="0.3">
      <c r="A444"/>
      <c r="B444"/>
      <c r="C444" s="349">
        <v>2051</v>
      </c>
      <c r="D444" s="350">
        <v>37</v>
      </c>
      <c r="E444" s="351"/>
      <c r="F444" s="346"/>
      <c r="G444" s="355">
        <v>42353.814418209673</v>
      </c>
      <c r="H444" s="356">
        <v>42353.814418209673</v>
      </c>
    </row>
    <row r="445" spans="1:8" ht="15.6" x14ac:dyDescent="0.3">
      <c r="A445"/>
      <c r="B445"/>
      <c r="C445" s="349">
        <v>2052</v>
      </c>
      <c r="D445" s="350">
        <v>38</v>
      </c>
      <c r="E445" s="351"/>
      <c r="F445" s="346"/>
      <c r="G445" s="355">
        <v>43100.0499695623</v>
      </c>
      <c r="H445" s="356">
        <v>43100.0499695623</v>
      </c>
    </row>
    <row r="446" spans="1:8" ht="15.6" x14ac:dyDescent="0.3">
      <c r="A446"/>
      <c r="B446"/>
      <c r="C446" s="349">
        <v>2053</v>
      </c>
      <c r="D446" s="350">
        <v>39</v>
      </c>
      <c r="E446" s="351"/>
      <c r="F446" s="346"/>
      <c r="G446" s="355">
        <v>43836.082323597388</v>
      </c>
      <c r="H446" s="356">
        <v>43836.082323597388</v>
      </c>
    </row>
    <row r="447" spans="1:8" ht="15.6" x14ac:dyDescent="0.3">
      <c r="A447"/>
      <c r="B447"/>
      <c r="C447" s="349">
        <v>2054</v>
      </c>
      <c r="D447" s="350">
        <v>40</v>
      </c>
      <c r="E447" s="351"/>
      <c r="F447" s="346"/>
      <c r="G447" s="355">
        <v>44561.183823857878</v>
      </c>
      <c r="H447" s="356">
        <v>44561.183823857878</v>
      </c>
    </row>
    <row r="448" spans="1:8" ht="15.6" x14ac:dyDescent="0.3">
      <c r="A448"/>
      <c r="B448"/>
      <c r="C448" s="349">
        <v>2055</v>
      </c>
      <c r="D448" s="350">
        <v>41</v>
      </c>
      <c r="E448" s="351">
        <v>45110.589009412499</v>
      </c>
      <c r="F448" s="346">
        <v>45110.589009412499</v>
      </c>
      <c r="G448" s="355">
        <v>45110.589009412499</v>
      </c>
      <c r="H448" s="356">
        <v>45110.589009412499</v>
      </c>
    </row>
    <row r="449" spans="1:8" ht="15.6" x14ac:dyDescent="0.3">
      <c r="A449"/>
      <c r="B449"/>
      <c r="C449" s="349">
        <v>2056</v>
      </c>
      <c r="D449" s="350">
        <v>42</v>
      </c>
      <c r="E449" s="351"/>
      <c r="F449" s="346"/>
      <c r="G449" s="355">
        <v>45975.683637226743</v>
      </c>
      <c r="H449" s="356">
        <v>45975.683637226743</v>
      </c>
    </row>
    <row r="450" spans="1:8" ht="15.6" x14ac:dyDescent="0.3">
      <c r="A450"/>
      <c r="B450"/>
      <c r="C450" s="349">
        <v>2057</v>
      </c>
      <c r="D450" s="350">
        <v>43</v>
      </c>
      <c r="E450" s="351"/>
      <c r="F450" s="346"/>
      <c r="G450" s="355">
        <v>46663.626637420966</v>
      </c>
      <c r="H450" s="356">
        <v>46663.626637420966</v>
      </c>
    </row>
    <row r="451" spans="1:8" ht="15.6" x14ac:dyDescent="0.3">
      <c r="A451"/>
      <c r="B451"/>
      <c r="C451" s="349">
        <v>2058</v>
      </c>
      <c r="D451" s="350">
        <v>44</v>
      </c>
      <c r="E451" s="351"/>
      <c r="F451" s="346"/>
      <c r="G451" s="355">
        <v>47337.728158012294</v>
      </c>
      <c r="H451" s="356">
        <v>47337.728158012294</v>
      </c>
    </row>
    <row r="452" spans="1:8" ht="15.6" x14ac:dyDescent="0.3">
      <c r="A452"/>
      <c r="B452"/>
      <c r="C452" s="349">
        <v>2059</v>
      </c>
      <c r="D452" s="350">
        <v>45</v>
      </c>
      <c r="E452" s="351"/>
      <c r="F452" s="346"/>
      <c r="G452" s="355">
        <v>47997.260542543641</v>
      </c>
      <c r="H452" s="356">
        <v>47997.260542543641</v>
      </c>
    </row>
    <row r="453" spans="1:8" ht="15.6" x14ac:dyDescent="0.3">
      <c r="A453"/>
      <c r="B453"/>
      <c r="C453" s="367">
        <v>2060</v>
      </c>
      <c r="D453" s="350">
        <v>46</v>
      </c>
      <c r="E453" s="351">
        <v>48813.7579025179</v>
      </c>
      <c r="F453" s="346">
        <v>48813.7579025179</v>
      </c>
      <c r="G453" s="355">
        <v>48813.7579025179</v>
      </c>
      <c r="H453" s="356">
        <v>48813.7579025179</v>
      </c>
    </row>
  </sheetData>
  <mergeCells count="20">
    <mergeCell ref="Y23:Z23"/>
    <mergeCell ref="J24:M24"/>
    <mergeCell ref="U23:V23"/>
    <mergeCell ref="F395:F396"/>
    <mergeCell ref="A402:A405"/>
    <mergeCell ref="F257:F258"/>
    <mergeCell ref="A264:A267"/>
    <mergeCell ref="F323:F324"/>
    <mergeCell ref="A330:A333"/>
    <mergeCell ref="C1:G1"/>
    <mergeCell ref="I1:T1"/>
    <mergeCell ref="D2:E2"/>
    <mergeCell ref="I2:L3"/>
    <mergeCell ref="S3:W5"/>
    <mergeCell ref="I5:L6"/>
    <mergeCell ref="O22:R22"/>
    <mergeCell ref="B23:D23"/>
    <mergeCell ref="E23:H23"/>
    <mergeCell ref="J23:M23"/>
    <mergeCell ref="O23:R23"/>
  </mergeCells>
  <conditionalFormatting sqref="A264">
    <cfRule type="cellIs" dxfId="7" priority="3" operator="equal">
      <formula>#REF!</formula>
    </cfRule>
  </conditionalFormatting>
  <conditionalFormatting sqref="A330">
    <cfRule type="cellIs" dxfId="6" priority="2" operator="equal">
      <formula>#REF!</formula>
    </cfRule>
  </conditionalFormatting>
  <conditionalFormatting sqref="A402">
    <cfRule type="cellIs" dxfId="5" priority="1" operator="equal">
      <formula>#REF!</formula>
    </cfRule>
  </conditionalFormatting>
  <dataValidations count="1">
    <dataValidation type="list" allowBlank="1" showInputMessage="1" showErrorMessage="1" sqref="C83:G83 F17 O24:R24 F3:G14">
      <formula1>"Y,N"</formula1>
    </dataValidation>
  </dataValidation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sheetPr>
  <dimension ref="A1:EG453"/>
  <sheetViews>
    <sheetView showGridLines="0" topLeftCell="A179" zoomScale="96" zoomScaleNormal="96" zoomScalePageLayoutView="80" workbookViewId="0">
      <selection activeCell="E135" sqref="E135"/>
    </sheetView>
  </sheetViews>
  <sheetFormatPr defaultColWidth="8.796875" defaultRowHeight="13.2" x14ac:dyDescent="0.25"/>
  <cols>
    <col min="1" max="1" width="24.69921875" style="153" customWidth="1"/>
    <col min="2" max="2" width="37.5" style="153" bestFit="1" customWidth="1"/>
    <col min="3" max="3" width="21.5" style="153" customWidth="1"/>
    <col min="4" max="4" width="28.19921875" style="153" customWidth="1"/>
    <col min="5" max="5" width="37.5" style="153" bestFit="1" customWidth="1"/>
    <col min="6" max="6" width="28.296875" style="153" bestFit="1" customWidth="1"/>
    <col min="7" max="7" width="18.296875" style="153" bestFit="1" customWidth="1"/>
    <col min="8" max="8" width="45.5" style="153" bestFit="1" customWidth="1"/>
    <col min="9" max="11" width="7.296875" style="153" bestFit="1" customWidth="1"/>
    <col min="12" max="12" width="10.796875" style="153" bestFit="1" customWidth="1"/>
    <col min="13" max="13" width="7.19921875" style="153" bestFit="1" customWidth="1"/>
    <col min="14" max="14" width="19.5" style="153" customWidth="1"/>
    <col min="15" max="15" width="24.5" style="153" customWidth="1"/>
    <col min="16" max="16" width="23.19921875" style="153" customWidth="1"/>
    <col min="17" max="17" width="18.796875" style="153" customWidth="1"/>
    <col min="18" max="18" width="19" style="153" bestFit="1" customWidth="1"/>
    <col min="19" max="19" width="8.796875" style="153"/>
    <col min="20" max="20" width="10.19921875" style="153" bestFit="1" customWidth="1"/>
    <col min="21" max="21" width="24.5" style="153" customWidth="1"/>
    <col min="22" max="22" width="15" style="153" customWidth="1"/>
    <col min="23" max="23" width="19" style="153" bestFit="1" customWidth="1"/>
    <col min="24" max="24" width="21.19921875" style="153" customWidth="1"/>
    <col min="25" max="25" width="16.296875" style="153" bestFit="1" customWidth="1"/>
    <col min="26" max="28" width="8.796875" style="153"/>
    <col min="29" max="29" width="41.69921875" style="153" bestFit="1" customWidth="1"/>
    <col min="30" max="31" width="8.796875" style="153"/>
    <col min="32" max="33" width="7" style="153" bestFit="1" customWidth="1"/>
    <col min="34" max="34" width="7.5" style="153" bestFit="1" customWidth="1"/>
    <col min="35" max="35" width="5.296875" style="153" bestFit="1" customWidth="1"/>
    <col min="36" max="16384" width="8.796875" style="153"/>
  </cols>
  <sheetData>
    <row r="1" spans="1:137" s="160" customFormat="1" ht="21.6" thickBot="1" x14ac:dyDescent="0.45">
      <c r="A1" s="155" t="str">
        <f ca="1">MID(CELL("filename",A1),FIND("]",CELL("filename",A1))+1,256)</f>
        <v>GFreight-km_cluster_mdc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381</v>
      </c>
      <c r="E3" s="249">
        <v>9.7568524801131835E-3</v>
      </c>
      <c r="F3" s="167" t="s">
        <v>211</v>
      </c>
      <c r="G3" s="167" t="s">
        <v>211</v>
      </c>
      <c r="I3" s="618"/>
      <c r="J3" s="618"/>
      <c r="K3" s="618"/>
      <c r="L3" s="618"/>
      <c r="M3" s="166"/>
      <c r="N3" s="164">
        <f ca="1">SUM(OFFSET(O27,B3-2015,0,B4-B3+1,4))/1000</f>
        <v>2.9812721428024513</v>
      </c>
      <c r="O3" s="165" t="s">
        <v>209</v>
      </c>
      <c r="Q3" s="165"/>
      <c r="S3" s="671" t="s">
        <v>210</v>
      </c>
      <c r="T3" s="671"/>
      <c r="U3" s="671"/>
      <c r="V3" s="671"/>
      <c r="W3" s="671"/>
    </row>
    <row r="4" spans="1:137" ht="13.8" x14ac:dyDescent="0.25">
      <c r="A4" s="153" t="s">
        <v>215</v>
      </c>
      <c r="B4" s="234">
        <v>2050</v>
      </c>
      <c r="D4" s="248" t="s">
        <v>382</v>
      </c>
      <c r="E4" s="249">
        <v>0.15995837216037567</v>
      </c>
      <c r="F4" s="167"/>
      <c r="G4" s="167" t="s">
        <v>213</v>
      </c>
      <c r="I4" s="168"/>
      <c r="J4" s="168"/>
      <c r="K4" s="168"/>
      <c r="L4" s="168"/>
      <c r="M4" s="168"/>
      <c r="N4" s="168"/>
      <c r="S4" s="671"/>
      <c r="T4" s="671"/>
      <c r="U4" s="671"/>
      <c r="V4" s="671"/>
      <c r="W4" s="671"/>
    </row>
    <row r="5" spans="1:137" ht="12.75" customHeight="1" x14ac:dyDescent="0.25">
      <c r="D5" s="248" t="s">
        <v>383</v>
      </c>
      <c r="E5" s="249">
        <v>8.2782447177430232E-2</v>
      </c>
      <c r="F5" s="167"/>
      <c r="G5" s="167" t="s">
        <v>213</v>
      </c>
      <c r="I5" s="618" t="s">
        <v>214</v>
      </c>
      <c r="J5" s="618"/>
      <c r="K5" s="618"/>
      <c r="L5" s="618"/>
      <c r="M5" s="169"/>
      <c r="N5" s="164">
        <f>SUM(J27:M72)/1000</f>
        <v>0</v>
      </c>
      <c r="O5" s="165" t="s">
        <v>208</v>
      </c>
      <c r="S5" s="671"/>
      <c r="T5" s="671"/>
      <c r="U5" s="671"/>
      <c r="V5" s="671"/>
      <c r="W5" s="671"/>
    </row>
    <row r="6" spans="1:137" ht="13.8" x14ac:dyDescent="0.25">
      <c r="D6" s="248" t="s">
        <v>384</v>
      </c>
      <c r="E6" s="249">
        <v>0.72838808686149303</v>
      </c>
      <c r="F6" s="167"/>
      <c r="G6" s="167" t="s">
        <v>211</v>
      </c>
      <c r="I6" s="618"/>
      <c r="J6" s="618"/>
      <c r="K6" s="618"/>
      <c r="L6" s="618"/>
      <c r="M6" s="163"/>
      <c r="N6" s="164">
        <f>SUM(O27:R72)/1000</f>
        <v>6.8761167631762463</v>
      </c>
      <c r="O6" s="165" t="s">
        <v>209</v>
      </c>
    </row>
    <row r="7" spans="1:137" ht="13.8" x14ac:dyDescent="0.25">
      <c r="D7" s="248" t="s">
        <v>385</v>
      </c>
      <c r="E7" s="249">
        <v>1.7792809668857161E-3</v>
      </c>
      <c r="F7" s="167"/>
      <c r="G7" s="167" t="s">
        <v>211</v>
      </c>
      <c r="I7" s="321"/>
      <c r="J7" s="321"/>
      <c r="K7" s="321"/>
      <c r="L7" s="321"/>
      <c r="M7" s="321"/>
      <c r="N7" s="321"/>
      <c r="O7" s="321"/>
      <c r="P7" s="165"/>
    </row>
    <row r="8" spans="1:137" ht="13.8" x14ac:dyDescent="0.25">
      <c r="D8" s="248" t="s">
        <v>386</v>
      </c>
      <c r="E8" s="249">
        <v>1.733496035370221E-2</v>
      </c>
      <c r="F8" s="167"/>
      <c r="G8" s="167" t="s">
        <v>211</v>
      </c>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322</v>
      </c>
      <c r="P15" s="260" t="s">
        <v>435</v>
      </c>
    </row>
    <row r="16" spans="1:137" ht="13.8" x14ac:dyDescent="0.25">
      <c r="F16" s="153" t="s">
        <v>217</v>
      </c>
      <c r="O16" s="261"/>
      <c r="P16" s="371">
        <v>12609.082342957821</v>
      </c>
    </row>
    <row r="17" spans="1:26" x14ac:dyDescent="0.25">
      <c r="D17" s="171" t="s">
        <v>216</v>
      </c>
      <c r="E17" s="233">
        <v>1</v>
      </c>
      <c r="F17" s="167" t="s">
        <v>211</v>
      </c>
    </row>
    <row r="18" spans="1:26" ht="27.6" x14ac:dyDescent="0.25">
      <c r="P18" s="260" t="s">
        <v>436</v>
      </c>
    </row>
    <row r="19" spans="1:26" ht="13.8" x14ac:dyDescent="0.25">
      <c r="P19" s="371">
        <v>37954</v>
      </c>
    </row>
    <row r="22" spans="1:26" x14ac:dyDescent="0.25">
      <c r="D22" s="170"/>
      <c r="I22" s="321"/>
      <c r="J22" s="321"/>
      <c r="K22" s="321"/>
      <c r="L22" s="321"/>
      <c r="M22" s="321"/>
      <c r="N22" s="321"/>
      <c r="O22" s="667" t="s">
        <v>378</v>
      </c>
      <c r="P22" s="667"/>
      <c r="Q22" s="667"/>
      <c r="R22" s="667"/>
    </row>
    <row r="23" spans="1:26" ht="67.5" customHeight="1" x14ac:dyDescent="0.25">
      <c r="B23" s="665" t="s">
        <v>376</v>
      </c>
      <c r="C23" s="665"/>
      <c r="D23" s="665"/>
      <c r="E23" s="666" t="s">
        <v>375</v>
      </c>
      <c r="F23" s="666"/>
      <c r="G23" s="666"/>
      <c r="H23" s="666"/>
      <c r="J23" s="665" t="s">
        <v>377</v>
      </c>
      <c r="K23" s="665"/>
      <c r="L23" s="665"/>
      <c r="M23" s="665"/>
      <c r="N23" s="163"/>
      <c r="O23" s="664" t="s">
        <v>223</v>
      </c>
      <c r="P23" s="664"/>
      <c r="Q23" s="664"/>
      <c r="R23" s="664"/>
      <c r="U23" s="668" t="str">
        <f>CONCATENATE(B3," to ",B4," only")</f>
        <v>2020 to 2050 only</v>
      </c>
      <c r="V23" s="668"/>
      <c r="W23" s="320"/>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IFERROR(IF($F$17="Y",$E$17,1-$Y85)*(SUMIF($G$3:$G$14,"Y",$E$3:$E$14))*(B85-B137),0)</f>
        <v>-46.908549821083682</v>
      </c>
      <c r="F26" s="183" t="str">
        <f>IFERROR(E26-E25,"")</f>
        <v/>
      </c>
      <c r="G26" s="247">
        <f t="shared" ref="G26:G72" si="1">IFERROR(E26/(B85-B137),"")</f>
        <v>0.24274081933780592</v>
      </c>
      <c r="H26" s="245" t="s">
        <v>264</v>
      </c>
      <c r="J26" s="182"/>
      <c r="K26" s="182"/>
      <c r="L26" s="182"/>
      <c r="M26" s="182"/>
      <c r="N26" s="163"/>
      <c r="O26" s="259" t="str">
        <f>IF($O$24="Y",IFERROR(E26*$E$6*$O$16*'Emissions Factors'!B12,""),"")</f>
        <v/>
      </c>
      <c r="P26" s="259">
        <f>IF($P$24="Y",IFERROR(($E26*($E$5/(SUMIF($G$3:$G$14,"Y",$E$3:$E$14)))*('Emissions Factors'!$R$22*$P$16)/10^6)+($E26*($E$4/(SUMIF($G$3:$G$14,"Y",$E$3:$E$14)))*('Emissions Factors'!$R$22*$P$19)/10^6),""),"")</f>
        <v>-3.6970375266597716E-3</v>
      </c>
      <c r="Q26" s="259"/>
      <c r="R26" s="245" t="s">
        <v>264</v>
      </c>
      <c r="T26" s="180" t="str">
        <f t="shared" ref="T26:T72" si="2">IF(AND(A26&gt;=$B$3,A26&lt;=$B$4),SUM(O26:R26),"")</f>
        <v/>
      </c>
      <c r="U26" s="180" t="str">
        <f t="shared" ref="U26:U72" si="3">IF(AND(A26&gt;=$B$3,A26&lt;=$B$4),SUM(J26:M26),"")</f>
        <v/>
      </c>
      <c r="V26" s="177"/>
      <c r="X26" s="180">
        <f t="shared" ref="X26:X72" si="4">SUM(O26:R26)</f>
        <v>-3.6970375266597716E-3</v>
      </c>
      <c r="Y26" s="180">
        <f t="shared" ref="Y26:Y72" si="5">SUM(J26:M26)</f>
        <v>0</v>
      </c>
    </row>
    <row r="27" spans="1:26" ht="15.6" x14ac:dyDescent="0.3">
      <c r="A27" s="152">
        <v>2015</v>
      </c>
      <c r="B27" s="178">
        <f t="shared" si="0"/>
        <v>0</v>
      </c>
      <c r="C27" s="182">
        <f>IFERROR(B27-B26,"")</f>
        <v>0</v>
      </c>
      <c r="D27" s="183"/>
      <c r="E27" s="179">
        <f t="shared" ref="E27:E72" si="6">IFERROR(IF($F$17="Y",$E$17,1-$Y86)*(SUMIF($G$3:$G$14,"Y",$E$3:$E$14))*(B86-B138),0)</f>
        <v>-45.642683583003731</v>
      </c>
      <c r="F27" s="183">
        <f>IFERROR(E27-E26,"")</f>
        <v>1.2658662380799512</v>
      </c>
      <c r="G27" s="247">
        <f t="shared" si="1"/>
        <v>0.24274081933780589</v>
      </c>
      <c r="H27" s="246"/>
      <c r="J27" s="182"/>
      <c r="K27" s="182"/>
      <c r="L27" s="182"/>
      <c r="M27" s="182"/>
      <c r="N27" s="163"/>
      <c r="O27" s="259" t="str">
        <f>IF($O$24="Y",IFERROR(E27*$E$6*$O$16*'Emissions Factors'!B12,""),"")</f>
        <v/>
      </c>
      <c r="P27" s="259">
        <f>IF($P$24="Y",IFERROR(($E27*($E$5/(SUMIF($G$3:$G$14,"Y",$E$3:$E$14)))*('Emissions Factors'!$R$22*$P$16)/10^6)+($E27*($E$4/(SUMIF($G$3:$G$14,"Y",$E$3:$E$14)))*('Emissions Factors'!$R$22*$P$19)/10^6),""),"")</f>
        <v>-3.597269893600057E-3</v>
      </c>
      <c r="Q27" s="259"/>
      <c r="R27" s="258"/>
      <c r="T27" s="180" t="str">
        <f t="shared" si="2"/>
        <v/>
      </c>
      <c r="U27" s="180" t="str">
        <f t="shared" si="3"/>
        <v/>
      </c>
      <c r="V27" s="177"/>
      <c r="X27" s="180">
        <f t="shared" si="4"/>
        <v>-3.597269893600057E-3</v>
      </c>
      <c r="Y27" s="180">
        <f t="shared" si="5"/>
        <v>0</v>
      </c>
    </row>
    <row r="28" spans="1:26" ht="15.6" x14ac:dyDescent="0.3">
      <c r="A28" s="152">
        <v>2016</v>
      </c>
      <c r="B28" s="178">
        <f t="shared" si="0"/>
        <v>0</v>
      </c>
      <c r="C28" s="182">
        <f t="shared" ref="C28:C72" si="7">IFERROR(B28-B27,"")</f>
        <v>0</v>
      </c>
      <c r="D28" s="183"/>
      <c r="E28" s="179">
        <f t="shared" si="6"/>
        <v>-45.287065601519757</v>
      </c>
      <c r="F28" s="183">
        <f t="shared" ref="F28:F72" si="8">IFERROR(E28-E27,"")</f>
        <v>0.35561798148397372</v>
      </c>
      <c r="G28" s="247">
        <f t="shared" si="1"/>
        <v>0.24274081933780586</v>
      </c>
      <c r="H28" s="246"/>
      <c r="J28" s="182"/>
      <c r="K28" s="182"/>
      <c r="L28" s="182"/>
      <c r="M28" s="182"/>
      <c r="N28" s="163"/>
      <c r="O28" s="259" t="str">
        <f>IF($O$24="Y",IFERROR(E28*$E$6*$O$16*'Emissions Factors'!B13,""),"")</f>
        <v/>
      </c>
      <c r="P28" s="259">
        <f>IF($P$24="Y",IFERROR(($E28*($E$5/(SUMIF($G$3:$G$14,"Y",$E$3:$E$14)))*('Emissions Factors'!$R$22*$P$16)/10^6)+($E28*($E$4/(SUMIF($G$3:$G$14,"Y",$E$3:$E$14)))*('Emissions Factors'!$R$22*$P$19)/10^6),""),"")</f>
        <v>-3.5692423159470309E-3</v>
      </c>
      <c r="Q28" s="259"/>
      <c r="R28" s="258"/>
      <c r="T28" s="180" t="str">
        <f t="shared" si="2"/>
        <v/>
      </c>
      <c r="U28" s="180" t="str">
        <f t="shared" si="3"/>
        <v/>
      </c>
      <c r="V28" s="177"/>
      <c r="X28" s="180">
        <f t="shared" si="4"/>
        <v>-3.5692423159470309E-3</v>
      </c>
      <c r="Y28" s="180">
        <f t="shared" si="5"/>
        <v>0</v>
      </c>
    </row>
    <row r="29" spans="1:26" ht="15.6" x14ac:dyDescent="0.3">
      <c r="A29" s="152">
        <v>2017</v>
      </c>
      <c r="B29" s="178">
        <f t="shared" si="0"/>
        <v>0</v>
      </c>
      <c r="C29" s="182">
        <f>IFERROR(B29-B28,"")</f>
        <v>0</v>
      </c>
      <c r="D29" s="183"/>
      <c r="E29" s="179">
        <f t="shared" si="6"/>
        <v>-44.754837521934853</v>
      </c>
      <c r="F29" s="183">
        <f>IFERROR(E29-E28,"")</f>
        <v>0.53222807958490392</v>
      </c>
      <c r="G29" s="247">
        <f t="shared" si="1"/>
        <v>0.24274081933780586</v>
      </c>
      <c r="H29" s="246"/>
      <c r="J29" s="182"/>
      <c r="K29" s="182"/>
      <c r="L29" s="182"/>
      <c r="M29" s="182"/>
      <c r="N29" s="163"/>
      <c r="O29" s="259" t="str">
        <f>IF($O$24="Y",IFERROR(E29*$E$6*$O$16*'Emissions Factors'!B14,""),"")</f>
        <v/>
      </c>
      <c r="P29" s="259">
        <f>IF($P$24="Y",IFERROR(($E29*($E$5/(SUMIF($G$3:$G$14,"Y",$E$3:$E$14)))*('Emissions Factors'!$R$22*$P$16)/10^6)+($E29*($E$4/(SUMIF($G$3:$G$14,"Y",$E$3:$E$14)))*('Emissions Factors'!$R$22*$P$19)/10^6),""),"")</f>
        <v>-3.5272954386619216E-3</v>
      </c>
      <c r="Q29" s="259"/>
      <c r="R29" s="258"/>
      <c r="T29" s="180" t="str">
        <f t="shared" si="2"/>
        <v/>
      </c>
      <c r="U29" s="180" t="str">
        <f t="shared" si="3"/>
        <v/>
      </c>
      <c r="V29" s="177"/>
      <c r="X29" s="180">
        <f t="shared" si="4"/>
        <v>-3.5272954386619216E-3</v>
      </c>
      <c r="Y29" s="180">
        <f t="shared" si="5"/>
        <v>0</v>
      </c>
    </row>
    <row r="30" spans="1:26" ht="15.6" x14ac:dyDescent="0.3">
      <c r="A30" s="152">
        <v>2018</v>
      </c>
      <c r="B30" s="178">
        <f t="shared" si="0"/>
        <v>0</v>
      </c>
      <c r="C30" s="182">
        <f t="shared" si="7"/>
        <v>0</v>
      </c>
      <c r="D30" s="183"/>
      <c r="E30" s="179">
        <f t="shared" si="6"/>
        <v>-44.061561055696053</v>
      </c>
      <c r="F30" s="183">
        <f t="shared" si="8"/>
        <v>0.69327646623879957</v>
      </c>
      <c r="G30" s="247">
        <f t="shared" si="1"/>
        <v>0.24274081933780589</v>
      </c>
      <c r="H30" s="246"/>
      <c r="J30" s="182"/>
      <c r="K30" s="182"/>
      <c r="L30" s="182"/>
      <c r="M30" s="182"/>
      <c r="N30" s="163"/>
      <c r="O30" s="259" t="str">
        <f>IF($O$24="Y",IFERROR(E30*$E$6*$O$16*'Emissions Factors'!B15,""),"")</f>
        <v/>
      </c>
      <c r="P30" s="259">
        <f>IF($P$24="Y",IFERROR(($E30*($E$5/(SUMIF($G$3:$G$14,"Y",$E$3:$E$14)))*('Emissions Factors'!$R$22*$P$16)/10^6)+($E30*($E$4/(SUMIF($G$3:$G$14,"Y",$E$3:$E$14)))*('Emissions Factors'!$R$22*$P$19)/10^6),""),"")</f>
        <v>-3.4726557381849115E-3</v>
      </c>
      <c r="Q30" s="259"/>
      <c r="R30" s="258"/>
      <c r="T30" s="180" t="str">
        <f t="shared" si="2"/>
        <v/>
      </c>
      <c r="U30" s="180" t="str">
        <f t="shared" si="3"/>
        <v/>
      </c>
      <c r="V30" s="177"/>
      <c r="X30" s="180">
        <f t="shared" si="4"/>
        <v>-3.4726557381849115E-3</v>
      </c>
      <c r="Y30" s="180">
        <f t="shared" si="5"/>
        <v>0</v>
      </c>
    </row>
    <row r="31" spans="1:26" ht="15.6" x14ac:dyDescent="0.3">
      <c r="A31" s="152">
        <v>2019</v>
      </c>
      <c r="B31" s="178">
        <f t="shared" si="0"/>
        <v>0</v>
      </c>
      <c r="C31" s="182">
        <f t="shared" si="7"/>
        <v>0</v>
      </c>
      <c r="D31" s="183"/>
      <c r="E31" s="179">
        <f t="shared" si="6"/>
        <v>-43.443154913031087</v>
      </c>
      <c r="F31" s="183">
        <f t="shared" si="8"/>
        <v>0.6184061426649663</v>
      </c>
      <c r="G31" s="247">
        <f t="shared" si="1"/>
        <v>0.24274081933780589</v>
      </c>
      <c r="H31" s="246"/>
      <c r="J31" s="182"/>
      <c r="K31" s="182"/>
      <c r="L31" s="182"/>
      <c r="M31" s="182"/>
      <c r="N31" s="163"/>
      <c r="O31" s="259" t="str">
        <f>IF($O$24="Y",IFERROR(E31*$E$6*$O$16*'Emissions Factors'!B16,""),"")</f>
        <v/>
      </c>
      <c r="P31" s="259">
        <f>IF($P$24="Y",IFERROR(($E31*($E$5/(SUMIF($G$3:$G$14,"Y",$E$3:$E$14)))*('Emissions Factors'!$R$22*$P$16)/10^6)+($E31*($E$4/(SUMIF($G$3:$G$14,"Y",$E$3:$E$14)))*('Emissions Factors'!$R$22*$P$19)/10^6),""),"")</f>
        <v>-3.4239168467702446E-3</v>
      </c>
      <c r="Q31" s="259"/>
      <c r="R31" s="258"/>
      <c r="T31" s="180" t="str">
        <f t="shared" si="2"/>
        <v/>
      </c>
      <c r="U31" s="180" t="str">
        <f t="shared" si="3"/>
        <v/>
      </c>
      <c r="V31" s="177"/>
      <c r="X31" s="180">
        <f t="shared" si="4"/>
        <v>-3.4239168467702446E-3</v>
      </c>
      <c r="Y31" s="180">
        <f t="shared" si="5"/>
        <v>0</v>
      </c>
    </row>
    <row r="32" spans="1:26" ht="15.6" x14ac:dyDescent="0.3">
      <c r="A32" s="152">
        <v>2020</v>
      </c>
      <c r="B32" s="178">
        <f t="shared" si="0"/>
        <v>0</v>
      </c>
      <c r="C32" s="182">
        <f t="shared" si="7"/>
        <v>0</v>
      </c>
      <c r="D32" s="183"/>
      <c r="E32" s="179">
        <f t="shared" si="6"/>
        <v>-42.914151405567075</v>
      </c>
      <c r="F32" s="183">
        <f t="shared" si="8"/>
        <v>0.52900350746401159</v>
      </c>
      <c r="G32" s="247">
        <f t="shared" si="1"/>
        <v>0.24274081933780586</v>
      </c>
      <c r="H32" s="246"/>
      <c r="J32" s="182"/>
      <c r="K32" s="182"/>
      <c r="L32" s="182"/>
      <c r="M32" s="182"/>
      <c r="N32" s="163"/>
      <c r="O32" s="259" t="str">
        <f>IF($O$24="Y",IFERROR(E32*$E$6*$O$16*'Emissions Factors'!B17,""),"")</f>
        <v/>
      </c>
      <c r="P32" s="259">
        <f>IF($P$24="Y",IFERROR(($E32*($E$5/(SUMIF($G$3:$G$14,"Y",$E$3:$E$14)))*('Emissions Factors'!$R$22*$P$16)/10^6)+($E32*($E$4/(SUMIF($G$3:$G$14,"Y",$E$3:$E$14)))*('Emissions Factors'!$R$22*$P$19)/10^6),""),"")</f>
        <v>-3.3822241100242008E-3</v>
      </c>
      <c r="Q32" s="259"/>
      <c r="R32" s="258"/>
      <c r="T32" s="180">
        <f t="shared" si="2"/>
        <v>-3.3822241100242008E-3</v>
      </c>
      <c r="U32" s="180">
        <f t="shared" si="3"/>
        <v>0</v>
      </c>
      <c r="V32" s="177"/>
      <c r="X32" s="180">
        <f t="shared" si="4"/>
        <v>-3.3822241100242008E-3</v>
      </c>
      <c r="Y32" s="180">
        <f t="shared" si="5"/>
        <v>0</v>
      </c>
    </row>
    <row r="33" spans="1:25" ht="15.6" x14ac:dyDescent="0.3">
      <c r="A33" s="152">
        <v>2021</v>
      </c>
      <c r="B33" s="178">
        <f t="shared" si="0"/>
        <v>0</v>
      </c>
      <c r="C33" s="182">
        <f t="shared" si="7"/>
        <v>0</v>
      </c>
      <c r="D33" s="183"/>
      <c r="E33" s="179">
        <f t="shared" si="6"/>
        <v>27595.478470245751</v>
      </c>
      <c r="F33" s="183">
        <f t="shared" si="8"/>
        <v>27638.392621651317</v>
      </c>
      <c r="G33" s="247">
        <f t="shared" si="1"/>
        <v>0.17546471949433681</v>
      </c>
      <c r="H33" s="246"/>
      <c r="J33" s="182"/>
      <c r="K33" s="182"/>
      <c r="L33" s="182"/>
      <c r="M33" s="182"/>
      <c r="N33" s="163"/>
      <c r="O33" s="259" t="str">
        <f>IF($O$24="Y",IFERROR(E33*$E$6*$O$16*'Emissions Factors'!B18,""),"")</f>
        <v/>
      </c>
      <c r="P33" s="259">
        <f>IF($P$24="Y",IFERROR(($E33*($E$5/(SUMIF($G$3:$G$14,"Y",$E$3:$E$14)))*('Emissions Factors'!$R$22*$P$16)/10^6)+($E33*($E$4/(SUMIF($G$3:$G$14,"Y",$E$3:$E$14)))*('Emissions Factors'!$R$22*$P$19)/10^6),""),"")</f>
        <v>2.1749024401682822</v>
      </c>
      <c r="Q33" s="259"/>
      <c r="R33" s="258"/>
      <c r="T33" s="180">
        <f t="shared" si="2"/>
        <v>2.1749024401682822</v>
      </c>
      <c r="U33" s="180">
        <f t="shared" si="3"/>
        <v>0</v>
      </c>
      <c r="V33" s="177"/>
      <c r="X33" s="180">
        <f t="shared" si="4"/>
        <v>2.1749024401682822</v>
      </c>
      <c r="Y33" s="180">
        <f t="shared" si="5"/>
        <v>0</v>
      </c>
    </row>
    <row r="34" spans="1:25" ht="15.6" x14ac:dyDescent="0.3">
      <c r="A34" s="152">
        <v>2022</v>
      </c>
      <c r="B34" s="178">
        <f t="shared" si="0"/>
        <v>0</v>
      </c>
      <c r="C34" s="182">
        <f t="shared" si="7"/>
        <v>0</v>
      </c>
      <c r="D34" s="183"/>
      <c r="E34" s="179">
        <f t="shared" si="6"/>
        <v>63257.287566341241</v>
      </c>
      <c r="F34" s="183">
        <f t="shared" si="8"/>
        <v>35661.809096095487</v>
      </c>
      <c r="G34" s="247">
        <f>IFERROR(E34/(B93-B145),"")</f>
        <v>0.17719120267128821</v>
      </c>
      <c r="H34" s="246"/>
      <c r="J34" s="182"/>
      <c r="K34" s="182"/>
      <c r="L34" s="182"/>
      <c r="M34" s="182"/>
      <c r="N34" s="163"/>
      <c r="O34" s="259" t="str">
        <f>IF($O$24="Y",IFERROR(E34*$E$6*$O$16*'Emissions Factors'!B19,""),"")</f>
        <v/>
      </c>
      <c r="P34" s="259">
        <f>IF($P$24="Y",IFERROR(($E34*($E$5/(SUMIF($G$3:$G$14,"Y",$E$3:$E$14)))*('Emissions Factors'!$R$22*$P$16)/10^6)+($E34*($E$4/(SUMIF($G$3:$G$14,"Y",$E$3:$E$14)))*('Emissions Factors'!$R$22*$P$19)/10^6),""),"")</f>
        <v>4.9855424407590316</v>
      </c>
      <c r="Q34" s="259"/>
      <c r="R34" s="258"/>
      <c r="T34" s="180">
        <f t="shared" si="2"/>
        <v>4.9855424407590316</v>
      </c>
      <c r="U34" s="180">
        <f t="shared" si="3"/>
        <v>0</v>
      </c>
      <c r="V34" s="177"/>
      <c r="X34" s="180">
        <f t="shared" si="4"/>
        <v>4.9855424407590316</v>
      </c>
      <c r="Y34" s="180">
        <f t="shared" si="5"/>
        <v>0</v>
      </c>
    </row>
    <row r="35" spans="1:25" ht="15.6" x14ac:dyDescent="0.3">
      <c r="A35" s="152">
        <v>2023</v>
      </c>
      <c r="B35" s="178">
        <f t="shared" si="0"/>
        <v>0</v>
      </c>
      <c r="C35" s="182">
        <f t="shared" si="7"/>
        <v>0</v>
      </c>
      <c r="D35" s="183"/>
      <c r="E35" s="179">
        <f t="shared" si="6"/>
        <v>105758.93803380232</v>
      </c>
      <c r="F35" s="183">
        <f t="shared" si="8"/>
        <v>42501.650467461077</v>
      </c>
      <c r="G35" s="247">
        <f t="shared" si="1"/>
        <v>0.17795598078563588</v>
      </c>
      <c r="H35" s="246"/>
      <c r="J35" s="182"/>
      <c r="K35" s="182"/>
      <c r="L35" s="182"/>
      <c r="M35" s="182"/>
      <c r="N35" s="163"/>
      <c r="O35" s="259" t="str">
        <f>IF($O$24="Y",IFERROR(E35*$E$6*$O$16*'Emissions Factors'!B20,""),"")</f>
        <v/>
      </c>
      <c r="P35" s="259">
        <f>IF($P$24="Y",IFERROR(($E35*($E$5/(SUMIF($G$3:$G$14,"Y",$E$3:$E$14)))*('Emissions Factors'!$R$22*$P$16)/10^6)+($E35*($E$4/(SUMIF($G$3:$G$14,"Y",$E$3:$E$14)))*('Emissions Factors'!$R$22*$P$19)/10^6),""),"")</f>
        <v>8.3352558154529586</v>
      </c>
      <c r="Q35" s="259"/>
      <c r="R35" s="258"/>
      <c r="T35" s="180">
        <f t="shared" si="2"/>
        <v>8.3352558154529586</v>
      </c>
      <c r="U35" s="180">
        <f t="shared" si="3"/>
        <v>0</v>
      </c>
      <c r="V35" s="177"/>
      <c r="X35" s="180">
        <f t="shared" si="4"/>
        <v>8.3352558154529586</v>
      </c>
      <c r="Y35" s="180">
        <f t="shared" si="5"/>
        <v>0</v>
      </c>
    </row>
    <row r="36" spans="1:25" ht="15.6" x14ac:dyDescent="0.3">
      <c r="A36" s="152">
        <v>2024</v>
      </c>
      <c r="B36" s="178">
        <f t="shared" si="0"/>
        <v>0</v>
      </c>
      <c r="C36" s="182">
        <f t="shared" si="7"/>
        <v>0</v>
      </c>
      <c r="D36" s="183"/>
      <c r="E36" s="179">
        <f t="shared" si="6"/>
        <v>154521.91682942875</v>
      </c>
      <c r="F36" s="183">
        <f t="shared" si="8"/>
        <v>48762.978795626434</v>
      </c>
      <c r="G36" s="247">
        <f t="shared" si="1"/>
        <v>0.17819334752673532</v>
      </c>
      <c r="H36" s="246"/>
      <c r="J36" s="182"/>
      <c r="K36" s="182"/>
      <c r="L36" s="182"/>
      <c r="M36" s="182"/>
      <c r="N36" s="163"/>
      <c r="O36" s="259" t="str">
        <f>IF($O$24="Y",IFERROR(E36*$E$6*$O$16*'Emissions Factors'!B21,""),"")</f>
        <v/>
      </c>
      <c r="P36" s="259">
        <f>IF($P$24="Y",IFERROR(($E36*($E$5/(SUMIF($G$3:$G$14,"Y",$E$3:$E$14)))*('Emissions Factors'!$R$22*$P$16)/10^6)+($E36*($E$4/(SUMIF($G$3:$G$14,"Y",$E$3:$E$14)))*('Emissions Factors'!$R$22*$P$19)/10^6),""),"")</f>
        <v>12.178447796589776</v>
      </c>
      <c r="Q36" s="259"/>
      <c r="R36" s="258"/>
      <c r="T36" s="180">
        <f t="shared" si="2"/>
        <v>12.178447796589776</v>
      </c>
      <c r="U36" s="180">
        <f t="shared" si="3"/>
        <v>0</v>
      </c>
      <c r="V36" s="177"/>
      <c r="X36" s="180">
        <f t="shared" si="4"/>
        <v>12.178447796589776</v>
      </c>
      <c r="Y36" s="180">
        <f t="shared" si="5"/>
        <v>0</v>
      </c>
    </row>
    <row r="37" spans="1:25" ht="15.6" x14ac:dyDescent="0.3">
      <c r="A37" s="152">
        <v>2025</v>
      </c>
      <c r="B37" s="178">
        <f t="shared" si="0"/>
        <v>0</v>
      </c>
      <c r="C37" s="182">
        <f t="shared" si="7"/>
        <v>0</v>
      </c>
      <c r="D37" s="183"/>
      <c r="E37" s="179">
        <f t="shared" si="6"/>
        <v>209315.2583969899</v>
      </c>
      <c r="F37" s="183">
        <f t="shared" si="8"/>
        <v>54793.341567561147</v>
      </c>
      <c r="G37" s="247">
        <f t="shared" si="1"/>
        <v>0.1782457119400381</v>
      </c>
      <c r="H37" s="246"/>
      <c r="J37" s="182"/>
      <c r="K37" s="182"/>
      <c r="L37" s="182"/>
      <c r="M37" s="182"/>
      <c r="N37" s="163"/>
      <c r="O37" s="259" t="str">
        <f>IF($O$24="Y",IFERROR(E37*$E$6*$O$16*'Emissions Factors'!B22,""),"")</f>
        <v/>
      </c>
      <c r="P37" s="259">
        <f>IF($P$24="Y",IFERROR(($E37*($E$5/(SUMIF($G$3:$G$14,"Y",$E$3:$E$14)))*('Emissions Factors'!$R$22*$P$16)/10^6)+($E37*($E$4/(SUMIF($G$3:$G$14,"Y",$E$3:$E$14)))*('Emissions Factors'!$R$22*$P$19)/10^6),""),"")</f>
        <v>16.496915128430228</v>
      </c>
      <c r="Q37" s="259"/>
      <c r="R37" s="258"/>
      <c r="T37" s="180">
        <f t="shared" si="2"/>
        <v>16.496915128430228</v>
      </c>
      <c r="U37" s="180">
        <f t="shared" si="3"/>
        <v>0</v>
      </c>
      <c r="V37" s="177"/>
      <c r="X37" s="180">
        <f t="shared" si="4"/>
        <v>16.496915128430228</v>
      </c>
      <c r="Y37" s="180">
        <f t="shared" si="5"/>
        <v>0</v>
      </c>
    </row>
    <row r="38" spans="1:25" ht="15.6" x14ac:dyDescent="0.3">
      <c r="A38" s="152">
        <v>2026</v>
      </c>
      <c r="B38" s="178">
        <f t="shared" si="0"/>
        <v>0</v>
      </c>
      <c r="C38" s="182">
        <f t="shared" si="7"/>
        <v>0</v>
      </c>
      <c r="D38" s="183"/>
      <c r="E38" s="179">
        <f t="shared" si="6"/>
        <v>269149.3203798547</v>
      </c>
      <c r="F38" s="183">
        <f t="shared" si="8"/>
        <v>59834.061982864805</v>
      </c>
      <c r="G38" s="247">
        <f t="shared" si="1"/>
        <v>0.17772119057897126</v>
      </c>
      <c r="H38" s="246"/>
      <c r="J38" s="182"/>
      <c r="K38" s="182"/>
      <c r="L38" s="182"/>
      <c r="M38" s="182"/>
      <c r="N38" s="163"/>
      <c r="O38" s="259" t="str">
        <f>IF($O$24="Y",IFERROR(E38*$E$6*$O$16*'Emissions Factors'!B23,""),"")</f>
        <v/>
      </c>
      <c r="P38" s="259">
        <f>IF($P$24="Y",IFERROR(($E38*($E$5/(SUMIF($G$3:$G$14,"Y",$E$3:$E$14)))*('Emissions Factors'!$R$22*$P$16)/10^6)+($E38*($E$4/(SUMIF($G$3:$G$14,"Y",$E$3:$E$14)))*('Emissions Factors'!$R$22*$P$19)/10^6),""),"")</f>
        <v>21.212660410833156</v>
      </c>
      <c r="Q38" s="259"/>
      <c r="R38" s="258"/>
      <c r="T38" s="180">
        <f t="shared" si="2"/>
        <v>21.212660410833156</v>
      </c>
      <c r="U38" s="180">
        <f t="shared" si="3"/>
        <v>0</v>
      </c>
      <c r="V38" s="177"/>
      <c r="X38" s="180">
        <f t="shared" si="4"/>
        <v>21.212660410833156</v>
      </c>
      <c r="Y38" s="180">
        <f t="shared" si="5"/>
        <v>0</v>
      </c>
    </row>
    <row r="39" spans="1:25" ht="15.6" x14ac:dyDescent="0.3">
      <c r="A39" s="152">
        <v>2027</v>
      </c>
      <c r="B39" s="178">
        <f t="shared" si="0"/>
        <v>0</v>
      </c>
      <c r="C39" s="182">
        <f t="shared" si="7"/>
        <v>0</v>
      </c>
      <c r="D39" s="183"/>
      <c r="E39" s="179">
        <f t="shared" si="6"/>
        <v>334163.19324815151</v>
      </c>
      <c r="F39" s="183">
        <f t="shared" si="8"/>
        <v>65013.872868296807</v>
      </c>
      <c r="G39" s="247">
        <f t="shared" si="1"/>
        <v>0.17713289855163136</v>
      </c>
      <c r="H39" s="246"/>
      <c r="J39" s="182"/>
      <c r="K39" s="182"/>
      <c r="L39" s="182"/>
      <c r="M39" s="182"/>
      <c r="N39" s="163"/>
      <c r="O39" s="259" t="str">
        <f>IF($O$24="Y",IFERROR(E39*$E$6*$O$16*'Emissions Factors'!B24,""),"")</f>
        <v/>
      </c>
      <c r="P39" s="259">
        <f>IF($P$24="Y",IFERROR(($E39*($E$5/(SUMIF($G$3:$G$14,"Y",$E$3:$E$14)))*('Emissions Factors'!$R$22*$P$16)/10^6)+($E39*($E$4/(SUMIF($G$3:$G$14,"Y",$E$3:$E$14)))*('Emissions Factors'!$R$22*$P$19)/10^6),""),"")</f>
        <v>26.33664588180477</v>
      </c>
      <c r="Q39" s="259"/>
      <c r="R39" s="258"/>
      <c r="T39" s="180">
        <f t="shared" si="2"/>
        <v>26.33664588180477</v>
      </c>
      <c r="U39" s="180">
        <f t="shared" si="3"/>
        <v>0</v>
      </c>
      <c r="V39" s="177"/>
      <c r="X39" s="180">
        <f t="shared" si="4"/>
        <v>26.33664588180477</v>
      </c>
      <c r="Y39" s="180">
        <f t="shared" si="5"/>
        <v>0</v>
      </c>
    </row>
    <row r="40" spans="1:25" ht="15.6" x14ac:dyDescent="0.3">
      <c r="A40" s="152">
        <v>2028</v>
      </c>
      <c r="B40" s="178">
        <f t="shared" si="0"/>
        <v>0</v>
      </c>
      <c r="C40" s="182">
        <f t="shared" si="7"/>
        <v>0</v>
      </c>
      <c r="D40" s="183"/>
      <c r="E40" s="179">
        <f t="shared" si="6"/>
        <v>404231.06154909491</v>
      </c>
      <c r="F40" s="183">
        <f t="shared" si="8"/>
        <v>70067.868300943403</v>
      </c>
      <c r="G40" s="247">
        <f t="shared" si="1"/>
        <v>0.17644261860517974</v>
      </c>
      <c r="H40" s="246"/>
      <c r="J40" s="182"/>
      <c r="K40" s="182"/>
      <c r="L40" s="182"/>
      <c r="M40" s="182"/>
      <c r="N40" s="163"/>
      <c r="O40" s="259" t="str">
        <f>IF($O$24="Y",IFERROR(E40*$E$6*$O$16*'Emissions Factors'!B25,""),"")</f>
        <v/>
      </c>
      <c r="P40" s="259">
        <f>IF($P$24="Y",IFERROR(($E40*($E$5/(SUMIF($G$3:$G$14,"Y",$E$3:$E$14)))*('Emissions Factors'!$R$22*$P$16)/10^6)+($E40*($E$4/(SUMIF($G$3:$G$14,"Y",$E$3:$E$14)))*('Emissions Factors'!$R$22*$P$19)/10^6),""),"")</f>
        <v>31.85895555689968</v>
      </c>
      <c r="Q40" s="259"/>
      <c r="R40" s="258"/>
      <c r="T40" s="180">
        <f t="shared" si="2"/>
        <v>31.85895555689968</v>
      </c>
      <c r="U40" s="180">
        <f t="shared" si="3"/>
        <v>0</v>
      </c>
      <c r="V40" s="177"/>
      <c r="X40" s="180">
        <f t="shared" si="4"/>
        <v>31.85895555689968</v>
      </c>
      <c r="Y40" s="180">
        <f t="shared" si="5"/>
        <v>0</v>
      </c>
    </row>
    <row r="41" spans="1:25" ht="15.6" x14ac:dyDescent="0.3">
      <c r="A41" s="152">
        <v>2029</v>
      </c>
      <c r="B41" s="178">
        <f t="shared" si="0"/>
        <v>0</v>
      </c>
      <c r="C41" s="182">
        <f t="shared" si="7"/>
        <v>0</v>
      </c>
      <c r="D41" s="183"/>
      <c r="E41" s="179">
        <f t="shared" si="6"/>
        <v>479587.23826402705</v>
      </c>
      <c r="F41" s="183">
        <f t="shared" si="8"/>
        <v>75356.176714932139</v>
      </c>
      <c r="G41" s="247">
        <f t="shared" si="1"/>
        <v>0.17573380828795138</v>
      </c>
      <c r="H41" s="246"/>
      <c r="J41" s="182"/>
      <c r="K41" s="182"/>
      <c r="L41" s="182"/>
      <c r="M41" s="182"/>
      <c r="N41" s="163"/>
      <c r="O41" s="259" t="str">
        <f>IF($O$24="Y",IFERROR(E41*$E$6*$O$16*'Emissions Factors'!B26,""),"")</f>
        <v/>
      </c>
      <c r="P41" s="259">
        <f>IF($P$24="Y",IFERROR(($E41*($E$5/(SUMIF($G$3:$G$14,"Y",$E$3:$E$14)))*('Emissions Factors'!$R$22*$P$16)/10^6)+($E41*($E$4/(SUMIF($G$3:$G$14,"Y",$E$3:$E$14)))*('Emissions Factors'!$R$22*$P$19)/10^6),""),"")</f>
        <v>37.798056514898001</v>
      </c>
      <c r="Q41" s="259"/>
      <c r="R41" s="258"/>
      <c r="T41" s="180">
        <f t="shared" si="2"/>
        <v>37.798056514898001</v>
      </c>
      <c r="U41" s="180">
        <f t="shared" si="3"/>
        <v>0</v>
      </c>
      <c r="V41" s="177"/>
      <c r="X41" s="180">
        <f t="shared" si="4"/>
        <v>37.798056514898001</v>
      </c>
      <c r="Y41" s="180">
        <f t="shared" si="5"/>
        <v>0</v>
      </c>
    </row>
    <row r="42" spans="1:25" ht="15.6" x14ac:dyDescent="0.3">
      <c r="A42" s="152">
        <v>2030</v>
      </c>
      <c r="B42" s="178">
        <f t="shared" si="0"/>
        <v>0</v>
      </c>
      <c r="C42" s="182">
        <f t="shared" si="7"/>
        <v>0</v>
      </c>
      <c r="D42" s="183"/>
      <c r="E42" s="179">
        <f t="shared" si="6"/>
        <v>560492.78442750638</v>
      </c>
      <c r="F42" s="183">
        <f t="shared" si="8"/>
        <v>80905.546163479332</v>
      </c>
      <c r="G42" s="247">
        <f t="shared" si="1"/>
        <v>0.17504141092815717</v>
      </c>
      <c r="H42" s="246"/>
      <c r="J42" s="182"/>
      <c r="K42" s="182"/>
      <c r="L42" s="182"/>
      <c r="M42" s="182"/>
      <c r="N42" s="163"/>
      <c r="O42" s="259" t="str">
        <f>IF($O$24="Y",IFERROR(E42*$E$6*$O$16*'Emissions Factors'!B27,""),"")</f>
        <v/>
      </c>
      <c r="P42" s="259">
        <f>IF($P$24="Y",IFERROR(($E42*($E$5/(SUMIF($G$3:$G$14,"Y",$E$3:$E$14)))*('Emissions Factors'!$R$22*$P$16)/10^6)+($E42*($E$4/(SUMIF($G$3:$G$14,"Y",$E$3:$E$14)))*('Emissions Factors'!$R$22*$P$19)/10^6),""),"")</f>
        <v>44.174523948279358</v>
      </c>
      <c r="Q42" s="259"/>
      <c r="R42" s="258"/>
      <c r="T42" s="180">
        <f t="shared" si="2"/>
        <v>44.174523948279358</v>
      </c>
      <c r="U42" s="180">
        <f t="shared" si="3"/>
        <v>0</v>
      </c>
      <c r="V42" s="177"/>
      <c r="X42" s="180">
        <f t="shared" si="4"/>
        <v>44.174523948279358</v>
      </c>
      <c r="Y42" s="180">
        <f t="shared" si="5"/>
        <v>0</v>
      </c>
    </row>
    <row r="43" spans="1:25" ht="15.6" x14ac:dyDescent="0.3">
      <c r="A43" s="152">
        <v>2031</v>
      </c>
      <c r="B43" s="178">
        <f t="shared" si="0"/>
        <v>0</v>
      </c>
      <c r="C43" s="182">
        <f t="shared" si="7"/>
        <v>0</v>
      </c>
      <c r="D43" s="183"/>
      <c r="E43" s="179">
        <f t="shared" si="6"/>
        <v>647024.59741587681</v>
      </c>
      <c r="F43" s="183">
        <f t="shared" si="8"/>
        <v>86531.812988370424</v>
      </c>
      <c r="G43" s="247">
        <f t="shared" si="1"/>
        <v>0.17435601068673226</v>
      </c>
      <c r="H43" s="246"/>
      <c r="J43" s="182"/>
      <c r="K43" s="182"/>
      <c r="L43" s="182"/>
      <c r="M43" s="182"/>
      <c r="N43" s="163"/>
      <c r="O43" s="259" t="str">
        <f>IF($O$24="Y",IFERROR(E43*$E$6*$O$16*'Emissions Factors'!B28,""),"")</f>
        <v/>
      </c>
      <c r="P43" s="259">
        <f>IF($P$24="Y",IFERROR(($E43*($E$5/(SUMIF($G$3:$G$14,"Y",$E$3:$E$14)))*('Emissions Factors'!$R$22*$P$16)/10^6)+($E43*($E$4/(SUMIF($G$3:$G$14,"Y",$E$3:$E$14)))*('Emissions Factors'!$R$22*$P$19)/10^6),""),"")</f>
        <v>50.994418425684898</v>
      </c>
      <c r="Q43" s="259"/>
      <c r="R43" s="258"/>
      <c r="T43" s="180">
        <f t="shared" si="2"/>
        <v>50.994418425684898</v>
      </c>
      <c r="U43" s="180">
        <f t="shared" si="3"/>
        <v>0</v>
      </c>
      <c r="V43" s="177"/>
      <c r="X43" s="180">
        <f t="shared" si="4"/>
        <v>50.994418425684898</v>
      </c>
      <c r="Y43" s="180">
        <f t="shared" si="5"/>
        <v>0</v>
      </c>
    </row>
    <row r="44" spans="1:25" ht="15.6" x14ac:dyDescent="0.3">
      <c r="A44" s="152">
        <v>2032</v>
      </c>
      <c r="B44" s="178">
        <f t="shared" si="0"/>
        <v>0</v>
      </c>
      <c r="C44" s="182">
        <f t="shared" si="7"/>
        <v>0</v>
      </c>
      <c r="D44" s="183"/>
      <c r="E44" s="179">
        <f t="shared" si="6"/>
        <v>738832.33988360828</v>
      </c>
      <c r="F44" s="183">
        <f t="shared" si="8"/>
        <v>91807.74246773147</v>
      </c>
      <c r="G44" s="247">
        <f t="shared" si="1"/>
        <v>0.17365876794131616</v>
      </c>
      <c r="H44" s="246"/>
      <c r="J44" s="182"/>
      <c r="K44" s="182"/>
      <c r="L44" s="182"/>
      <c r="M44" s="182"/>
      <c r="N44" s="163"/>
      <c r="O44" s="259" t="str">
        <f>IF($O$24="Y",IFERROR(E44*$E$6*$O$16*'Emissions Factors'!B29,""),"")</f>
        <v/>
      </c>
      <c r="P44" s="259">
        <f>IF($P$24="Y",IFERROR(($E44*($E$5/(SUMIF($G$3:$G$14,"Y",$E$3:$E$14)))*('Emissions Factors'!$R$22*$P$16)/10^6)+($E44*($E$4/(SUMIF($G$3:$G$14,"Y",$E$3:$E$14)))*('Emissions Factors'!$R$22*$P$19)/10^6),""),"")</f>
        <v>58.230128556049316</v>
      </c>
      <c r="Q44" s="259"/>
      <c r="R44" s="258"/>
      <c r="T44" s="180">
        <f t="shared" si="2"/>
        <v>58.230128556049316</v>
      </c>
      <c r="U44" s="180">
        <f t="shared" si="3"/>
        <v>0</v>
      </c>
      <c r="V44" s="177"/>
      <c r="X44" s="180">
        <f t="shared" si="4"/>
        <v>58.230128556049316</v>
      </c>
      <c r="Y44" s="180">
        <f t="shared" si="5"/>
        <v>0</v>
      </c>
    </row>
    <row r="45" spans="1:25" ht="15.6" x14ac:dyDescent="0.3">
      <c r="A45" s="152">
        <v>2033</v>
      </c>
      <c r="B45" s="178">
        <f t="shared" si="0"/>
        <v>0</v>
      </c>
      <c r="C45" s="182">
        <f t="shared" si="7"/>
        <v>0</v>
      </c>
      <c r="D45" s="183"/>
      <c r="E45" s="179">
        <f t="shared" si="6"/>
        <v>834982.03366891399</v>
      </c>
      <c r="F45" s="183">
        <f t="shared" si="8"/>
        <v>96149.693785305717</v>
      </c>
      <c r="G45" s="247">
        <f t="shared" si="1"/>
        <v>0.1729461823275209</v>
      </c>
      <c r="H45" s="246"/>
      <c r="J45" s="182"/>
      <c r="K45" s="182"/>
      <c r="L45" s="182"/>
      <c r="M45" s="182"/>
      <c r="N45" s="163"/>
      <c r="O45" s="259" t="str">
        <f>IF($O$24="Y",IFERROR(E45*$E$6*$O$16*'Emissions Factors'!B30,""),"")</f>
        <v/>
      </c>
      <c r="P45" s="259">
        <f>IF($P$24="Y",IFERROR(($E45*($E$5/(SUMIF($G$3:$G$14,"Y",$E$3:$E$14)))*('Emissions Factors'!$R$22*$P$16)/10^6)+($E45*($E$4/(SUMIF($G$3:$G$14,"Y",$E$3:$E$14)))*('Emissions Factors'!$R$22*$P$19)/10^6),""),"")</f>
        <v>65.80804404175359</v>
      </c>
      <c r="Q45" s="259"/>
      <c r="R45" s="258"/>
      <c r="T45" s="180">
        <f t="shared" si="2"/>
        <v>65.80804404175359</v>
      </c>
      <c r="U45" s="180">
        <f t="shared" si="3"/>
        <v>0</v>
      </c>
      <c r="V45" s="177"/>
      <c r="X45" s="180">
        <f t="shared" si="4"/>
        <v>65.80804404175359</v>
      </c>
      <c r="Y45" s="180">
        <f t="shared" si="5"/>
        <v>0</v>
      </c>
    </row>
    <row r="46" spans="1:25" ht="15.6" x14ac:dyDescent="0.3">
      <c r="A46" s="152">
        <v>2034</v>
      </c>
      <c r="B46" s="178">
        <f t="shared" si="0"/>
        <v>0</v>
      </c>
      <c r="C46" s="182">
        <f t="shared" si="7"/>
        <v>0</v>
      </c>
      <c r="D46" s="183"/>
      <c r="E46" s="179">
        <f t="shared" si="6"/>
        <v>934215.89845437219</v>
      </c>
      <c r="F46" s="183">
        <f t="shared" si="8"/>
        <v>99233.864785458194</v>
      </c>
      <c r="G46" s="247">
        <f t="shared" si="1"/>
        <v>0.17221556864871621</v>
      </c>
      <c r="H46" s="246"/>
      <c r="J46" s="182"/>
      <c r="K46" s="182"/>
      <c r="L46" s="182"/>
      <c r="M46" s="182"/>
      <c r="N46" s="163"/>
      <c r="O46" s="259" t="str">
        <f>IF($O$24="Y",IFERROR(E46*$E$6*$O$16*'Emissions Factors'!B31,""),"")</f>
        <v/>
      </c>
      <c r="P46" s="259">
        <f>IF($P$24="Y",IFERROR(($E46*($E$5/(SUMIF($G$3:$G$14,"Y",$E$3:$E$14)))*('Emissions Factors'!$R$22*$P$16)/10^6)+($E46*($E$4/(SUMIF($G$3:$G$14,"Y",$E$3:$E$14)))*('Emissions Factors'!$R$22*$P$19)/10^6),""),"")</f>
        <v>73.62903453126188</v>
      </c>
      <c r="Q46" s="259"/>
      <c r="R46" s="258"/>
      <c r="T46" s="180">
        <f t="shared" si="2"/>
        <v>73.62903453126188</v>
      </c>
      <c r="U46" s="180">
        <f t="shared" si="3"/>
        <v>0</v>
      </c>
      <c r="V46" s="177"/>
      <c r="X46" s="180">
        <f t="shared" si="4"/>
        <v>73.62903453126188</v>
      </c>
      <c r="Y46" s="180">
        <f t="shared" si="5"/>
        <v>0</v>
      </c>
    </row>
    <row r="47" spans="1:25" ht="15.6" x14ac:dyDescent="0.3">
      <c r="A47" s="152">
        <v>2035</v>
      </c>
      <c r="B47" s="178">
        <f t="shared" si="0"/>
        <v>0</v>
      </c>
      <c r="C47" s="182">
        <f t="shared" si="7"/>
        <v>0</v>
      </c>
      <c r="D47" s="183"/>
      <c r="E47" s="179">
        <f t="shared" si="6"/>
        <v>1035296.8016154136</v>
      </c>
      <c r="F47" s="183">
        <f t="shared" si="8"/>
        <v>101080.90316104144</v>
      </c>
      <c r="G47" s="247">
        <f t="shared" si="1"/>
        <v>0.17140358134462244</v>
      </c>
      <c r="H47" s="246"/>
      <c r="J47" s="182"/>
      <c r="K47" s="182"/>
      <c r="L47" s="182"/>
      <c r="M47" s="182"/>
      <c r="N47" s="163"/>
      <c r="O47" s="259" t="str">
        <f>IF($O$24="Y",IFERROR(E47*$E$6*$O$16*'Emissions Factors'!B32,""),"")</f>
        <v/>
      </c>
      <c r="P47" s="259">
        <f>IF($P$24="Y",IFERROR(($E47*($E$5/(SUMIF($G$3:$G$14,"Y",$E$3:$E$14)))*('Emissions Factors'!$R$22*$P$16)/10^6)+($E47*($E$4/(SUMIF($G$3:$G$14,"Y",$E$3:$E$14)))*('Emissions Factors'!$R$22*$P$19)/10^6),""),"")</f>
        <v>81.595596994616216</v>
      </c>
      <c r="Q47" s="259"/>
      <c r="R47" s="258"/>
      <c r="T47" s="180">
        <f t="shared" si="2"/>
        <v>81.595596994616216</v>
      </c>
      <c r="U47" s="180">
        <f t="shared" si="3"/>
        <v>0</v>
      </c>
      <c r="V47" s="177"/>
      <c r="X47" s="180">
        <f t="shared" si="4"/>
        <v>81.595596994616216</v>
      </c>
      <c r="Y47" s="180">
        <f t="shared" si="5"/>
        <v>0</v>
      </c>
    </row>
    <row r="48" spans="1:25" ht="15.6" x14ac:dyDescent="0.3">
      <c r="A48" s="152">
        <v>2036</v>
      </c>
      <c r="B48" s="178">
        <f t="shared" si="0"/>
        <v>0</v>
      </c>
      <c r="C48" s="182">
        <f t="shared" si="7"/>
        <v>0</v>
      </c>
      <c r="D48" s="183"/>
      <c r="E48" s="179">
        <f t="shared" si="6"/>
        <v>1139218.2075839904</v>
      </c>
      <c r="F48" s="183">
        <f t="shared" si="8"/>
        <v>103921.40596857679</v>
      </c>
      <c r="G48" s="247">
        <f t="shared" si="1"/>
        <v>0.17071358127150188</v>
      </c>
      <c r="H48" s="246"/>
      <c r="J48" s="182"/>
      <c r="K48" s="182"/>
      <c r="L48" s="182"/>
      <c r="M48" s="182"/>
      <c r="N48" s="163"/>
      <c r="O48" s="259" t="str">
        <f>IF($O$24="Y",IFERROR(E48*$E$6*$O$16*'Emissions Factors'!B33,""),"")</f>
        <v/>
      </c>
      <c r="P48" s="259">
        <f>IF($P$24="Y",IFERROR(($E48*($E$5/(SUMIF($G$3:$G$14,"Y",$E$3:$E$14)))*('Emissions Factors'!$R$22*$P$16)/10^6)+($E48*($E$4/(SUMIF($G$3:$G$14,"Y",$E$3:$E$14)))*('Emissions Factors'!$R$22*$P$19)/10^6),""),"")</f>
        <v>89.786030063949539</v>
      </c>
      <c r="Q48" s="259"/>
      <c r="R48" s="258"/>
      <c r="T48" s="180">
        <f t="shared" si="2"/>
        <v>89.786030063949539</v>
      </c>
      <c r="U48" s="180">
        <f t="shared" si="3"/>
        <v>0</v>
      </c>
      <c r="V48" s="177"/>
      <c r="X48" s="180">
        <f t="shared" si="4"/>
        <v>89.786030063949539</v>
      </c>
      <c r="Y48" s="180">
        <f t="shared" si="5"/>
        <v>0</v>
      </c>
    </row>
    <row r="49" spans="1:25" ht="15.6" x14ac:dyDescent="0.3">
      <c r="A49" s="152">
        <v>2037</v>
      </c>
      <c r="B49" s="178">
        <f t="shared" si="0"/>
        <v>0</v>
      </c>
      <c r="C49" s="182">
        <f t="shared" si="7"/>
        <v>0</v>
      </c>
      <c r="D49" s="183"/>
      <c r="E49" s="179">
        <f t="shared" si="6"/>
        <v>1245306.0593367668</v>
      </c>
      <c r="F49" s="183">
        <f t="shared" si="8"/>
        <v>106087.85175277642</v>
      </c>
      <c r="G49" s="247">
        <f t="shared" si="1"/>
        <v>0.16995610259178393</v>
      </c>
      <c r="H49" s="246"/>
      <c r="J49" s="182"/>
      <c r="K49" s="182"/>
      <c r="L49" s="182"/>
      <c r="M49" s="182"/>
      <c r="N49" s="163"/>
      <c r="O49" s="259" t="str">
        <f>IF($O$24="Y",IFERROR(E49*$E$6*$O$16*'Emissions Factors'!B34,""),"")</f>
        <v/>
      </c>
      <c r="P49" s="259">
        <f>IF($P$24="Y",IFERROR(($E49*($E$5/(SUMIF($G$3:$G$14,"Y",$E$3:$E$14)))*('Emissions Factors'!$R$22*$P$16)/10^6)+($E49*($E$4/(SUMIF($G$3:$G$14,"Y",$E$3:$E$14)))*('Emissions Factors'!$R$22*$P$19)/10^6),""),"")</f>
        <v>98.147208794664607</v>
      </c>
      <c r="Q49" s="259"/>
      <c r="R49" s="258"/>
      <c r="T49" s="180">
        <f t="shared" si="2"/>
        <v>98.147208794664607</v>
      </c>
      <c r="U49" s="180">
        <f t="shared" si="3"/>
        <v>0</v>
      </c>
      <c r="V49" s="177"/>
      <c r="X49" s="180">
        <f t="shared" si="4"/>
        <v>98.147208794664607</v>
      </c>
      <c r="Y49" s="180">
        <f t="shared" si="5"/>
        <v>0</v>
      </c>
    </row>
    <row r="50" spans="1:25" ht="15.6" x14ac:dyDescent="0.3">
      <c r="A50" s="152">
        <v>2038</v>
      </c>
      <c r="B50" s="178">
        <f t="shared" si="0"/>
        <v>0</v>
      </c>
      <c r="C50" s="182">
        <f t="shared" si="7"/>
        <v>0</v>
      </c>
      <c r="D50" s="183"/>
      <c r="E50" s="179">
        <f t="shared" si="6"/>
        <v>1354728.7730988455</v>
      </c>
      <c r="F50" s="183">
        <f t="shared" si="8"/>
        <v>109422.71376207867</v>
      </c>
      <c r="G50" s="247">
        <f t="shared" si="1"/>
        <v>0.16919903167793407</v>
      </c>
      <c r="H50" s="246"/>
      <c r="J50" s="182"/>
      <c r="K50" s="182"/>
      <c r="L50" s="182"/>
      <c r="M50" s="182"/>
      <c r="N50" s="163"/>
      <c r="O50" s="259" t="str">
        <f>IF($O$24="Y",IFERROR(E50*$E$6*$O$16*'Emissions Factors'!B35,""),"")</f>
        <v/>
      </c>
      <c r="P50" s="259">
        <f>IF($P$24="Y",IFERROR(($E50*($E$5/(SUMIF($G$3:$G$14,"Y",$E$3:$E$14)))*('Emissions Factors'!$R$22*$P$16)/10^6)+($E50*($E$4/(SUMIF($G$3:$G$14,"Y",$E$3:$E$14)))*('Emissions Factors'!$R$22*$P$19)/10^6),""),"")</f>
        <v>106.77122042133675</v>
      </c>
      <c r="Q50" s="259"/>
      <c r="R50" s="258"/>
      <c r="T50" s="180">
        <f t="shared" si="2"/>
        <v>106.77122042133675</v>
      </c>
      <c r="U50" s="180">
        <f t="shared" si="3"/>
        <v>0</v>
      </c>
      <c r="V50" s="177"/>
      <c r="X50" s="180">
        <f t="shared" si="4"/>
        <v>106.77122042133675</v>
      </c>
      <c r="Y50" s="180">
        <f t="shared" si="5"/>
        <v>0</v>
      </c>
    </row>
    <row r="51" spans="1:25" ht="15.6" x14ac:dyDescent="0.3">
      <c r="A51" s="152">
        <v>2039</v>
      </c>
      <c r="B51" s="178">
        <f t="shared" si="0"/>
        <v>0</v>
      </c>
      <c r="C51" s="182">
        <f t="shared" si="7"/>
        <v>0</v>
      </c>
      <c r="D51" s="183"/>
      <c r="E51" s="179">
        <f t="shared" si="6"/>
        <v>1468634.2404663039</v>
      </c>
      <c r="F51" s="183">
        <f t="shared" si="8"/>
        <v>113905.46736745839</v>
      </c>
      <c r="G51" s="247">
        <f t="shared" si="1"/>
        <v>0.16844334034385053</v>
      </c>
      <c r="H51" s="246"/>
      <c r="J51" s="182"/>
      <c r="K51" s="182"/>
      <c r="L51" s="182"/>
      <c r="M51" s="182"/>
      <c r="N51" s="163"/>
      <c r="O51" s="259" t="str">
        <f>IF($O$24="Y",IFERROR(E51*$E$6*$O$16*'Emissions Factors'!B36,""),"")</f>
        <v/>
      </c>
      <c r="P51" s="259">
        <f>IF($P$24="Y",IFERROR(($E51*($E$5/(SUMIF($G$3:$G$14,"Y",$E$3:$E$14)))*('Emissions Factors'!$R$22*$P$16)/10^6)+($E51*($E$4/(SUMIF($G$3:$G$14,"Y",$E$3:$E$14)))*('Emissions Factors'!$R$22*$P$19)/10^6),""),"")</f>
        <v>115.74853455608195</v>
      </c>
      <c r="Q51" s="259"/>
      <c r="R51" s="258"/>
      <c r="T51" s="180">
        <f t="shared" si="2"/>
        <v>115.74853455608195</v>
      </c>
      <c r="U51" s="180">
        <f t="shared" si="3"/>
        <v>0</v>
      </c>
      <c r="V51" s="177"/>
      <c r="X51" s="180">
        <f t="shared" si="4"/>
        <v>115.74853455608195</v>
      </c>
      <c r="Y51" s="180">
        <f t="shared" si="5"/>
        <v>0</v>
      </c>
    </row>
    <row r="52" spans="1:25" ht="15.6" x14ac:dyDescent="0.3">
      <c r="A52" s="152">
        <v>2040</v>
      </c>
      <c r="B52" s="178">
        <f t="shared" si="0"/>
        <v>0</v>
      </c>
      <c r="C52" s="182">
        <f t="shared" si="7"/>
        <v>0</v>
      </c>
      <c r="D52" s="183"/>
      <c r="E52" s="179">
        <f t="shared" si="6"/>
        <v>1588738.2121992053</v>
      </c>
      <c r="F52" s="183">
        <f t="shared" si="8"/>
        <v>120103.97173290141</v>
      </c>
      <c r="G52" s="247">
        <f t="shared" si="1"/>
        <v>0.16775967324399663</v>
      </c>
      <c r="H52" s="246"/>
      <c r="J52" s="182"/>
      <c r="K52" s="182"/>
      <c r="L52" s="182"/>
      <c r="M52" s="182"/>
      <c r="N52" s="163"/>
      <c r="O52" s="259" t="str">
        <f>IF($O$24="Y",IFERROR(E52*$E$6*$O$16*'Emissions Factors'!B37,""),"")</f>
        <v/>
      </c>
      <c r="P52" s="259">
        <f>IF($P$24="Y",IFERROR(($E52*($E$5/(SUMIF($G$3:$G$14,"Y",$E$3:$E$14)))*('Emissions Factors'!$R$22*$P$16)/10^6)+($E52*($E$4/(SUMIF($G$3:$G$14,"Y",$E$3:$E$14)))*('Emissions Factors'!$R$22*$P$19)/10^6),""),"")</f>
        <v>125.21437590677418</v>
      </c>
      <c r="Q52" s="259"/>
      <c r="R52" s="258"/>
      <c r="T52" s="180">
        <f t="shared" si="2"/>
        <v>125.21437590677418</v>
      </c>
      <c r="U52" s="180">
        <f t="shared" si="3"/>
        <v>0</v>
      </c>
      <c r="V52" s="177"/>
      <c r="X52" s="180">
        <f t="shared" si="4"/>
        <v>125.21437590677418</v>
      </c>
      <c r="Y52" s="180">
        <f t="shared" si="5"/>
        <v>0</v>
      </c>
    </row>
    <row r="53" spans="1:25" ht="15.6" x14ac:dyDescent="0.3">
      <c r="A53" s="152">
        <v>2041</v>
      </c>
      <c r="B53" s="178">
        <f t="shared" si="0"/>
        <v>0</v>
      </c>
      <c r="C53" s="182">
        <f t="shared" si="7"/>
        <v>0</v>
      </c>
      <c r="D53" s="183"/>
      <c r="E53" s="179">
        <f t="shared" si="6"/>
        <v>1713675.1457652138</v>
      </c>
      <c r="F53" s="183">
        <f t="shared" si="8"/>
        <v>124936.93356600846</v>
      </c>
      <c r="G53" s="247">
        <f t="shared" si="1"/>
        <v>0.1669455945354224</v>
      </c>
      <c r="H53" s="246"/>
      <c r="J53" s="182"/>
      <c r="K53" s="182"/>
      <c r="L53" s="182"/>
      <c r="M53" s="182"/>
      <c r="N53" s="163"/>
      <c r="O53" s="259" t="str">
        <f>IF($O$24="Y",IFERROR(E53*$E$6*$O$16*'Emissions Factors'!B38,""),"")</f>
        <v/>
      </c>
      <c r="P53" s="259">
        <f>IF($P$24="Y",IFERROR(($E53*($E$5/(SUMIF($G$3:$G$14,"Y",$E$3:$E$14)))*('Emissions Factors'!$R$22*$P$16)/10^6)+($E53*($E$4/(SUMIF($G$3:$G$14,"Y",$E$3:$E$14)))*('Emissions Factors'!$R$22*$P$19)/10^6),""),"")</f>
        <v>135.06112098034978</v>
      </c>
      <c r="Q53" s="259"/>
      <c r="R53" s="258"/>
      <c r="T53" s="180">
        <f t="shared" si="2"/>
        <v>135.06112098034978</v>
      </c>
      <c r="U53" s="180">
        <f t="shared" si="3"/>
        <v>0</v>
      </c>
      <c r="V53" s="177"/>
      <c r="X53" s="180">
        <f t="shared" si="4"/>
        <v>135.06112098034978</v>
      </c>
      <c r="Y53" s="180">
        <f t="shared" si="5"/>
        <v>0</v>
      </c>
    </row>
    <row r="54" spans="1:25" ht="15.6" x14ac:dyDescent="0.3">
      <c r="A54" s="152">
        <v>2042</v>
      </c>
      <c r="B54" s="178">
        <f t="shared" si="0"/>
        <v>0</v>
      </c>
      <c r="C54" s="182">
        <f t="shared" si="7"/>
        <v>0</v>
      </c>
      <c r="D54" s="183"/>
      <c r="E54" s="179">
        <f t="shared" si="6"/>
        <v>1845882.9107591198</v>
      </c>
      <c r="F54" s="183">
        <f t="shared" si="8"/>
        <v>132207.76499390602</v>
      </c>
      <c r="G54" s="247">
        <f t="shared" si="1"/>
        <v>0.16621088176003387</v>
      </c>
      <c r="H54" s="246"/>
      <c r="J54" s="182"/>
      <c r="K54" s="182"/>
      <c r="L54" s="182"/>
      <c r="M54" s="182"/>
      <c r="N54" s="163"/>
      <c r="O54" s="259" t="str">
        <f>IF($O$24="Y",IFERROR(E54*$E$6*$O$16*'Emissions Factors'!B39,""),"")</f>
        <v/>
      </c>
      <c r="P54" s="259">
        <f>IF($P$24="Y",IFERROR(($E54*($E$5/(SUMIF($G$3:$G$14,"Y",$E$3:$E$14)))*('Emissions Factors'!$R$22*$P$16)/10^6)+($E54*($E$4/(SUMIF($G$3:$G$14,"Y",$E$3:$E$14)))*('Emissions Factors'!$R$22*$P$19)/10^6),""),"")</f>
        <v>145.48090735964647</v>
      </c>
      <c r="Q54" s="259"/>
      <c r="R54" s="258"/>
      <c r="T54" s="180">
        <f t="shared" si="2"/>
        <v>145.48090735964647</v>
      </c>
      <c r="U54" s="180">
        <f t="shared" si="3"/>
        <v>0</v>
      </c>
      <c r="V54" s="177"/>
      <c r="X54" s="180">
        <f t="shared" si="4"/>
        <v>145.48090735964647</v>
      </c>
      <c r="Y54" s="180">
        <f t="shared" si="5"/>
        <v>0</v>
      </c>
    </row>
    <row r="55" spans="1:25" ht="15.6" x14ac:dyDescent="0.3">
      <c r="A55" s="152">
        <v>2043</v>
      </c>
      <c r="B55" s="178">
        <f t="shared" si="0"/>
        <v>0</v>
      </c>
      <c r="C55" s="182">
        <f t="shared" si="7"/>
        <v>0</v>
      </c>
      <c r="D55" s="183"/>
      <c r="E55" s="179">
        <f t="shared" si="6"/>
        <v>1985709.0696056194</v>
      </c>
      <c r="F55" s="183">
        <f t="shared" si="8"/>
        <v>139826.15884649963</v>
      </c>
      <c r="G55" s="247">
        <f t="shared" si="1"/>
        <v>0.16549290147905757</v>
      </c>
      <c r="H55" s="246"/>
      <c r="J55" s="182"/>
      <c r="K55" s="182"/>
      <c r="L55" s="182"/>
      <c r="M55" s="182"/>
      <c r="N55" s="163"/>
      <c r="O55" s="259" t="str">
        <f>IF($O$24="Y",IFERROR(E55*$E$6*$O$16*'Emissions Factors'!B40,""),"")</f>
        <v/>
      </c>
      <c r="P55" s="259">
        <f>IF($P$24="Y",IFERROR(($E55*($E$5/(SUMIF($G$3:$G$14,"Y",$E$3:$E$14)))*('Emissions Factors'!$R$22*$P$16)/10^6)+($E55*($E$4/(SUMIF($G$3:$G$14,"Y",$E$3:$E$14)))*('Emissions Factors'!$R$22*$P$19)/10^6),""),"")</f>
        <v>156.5011277338831</v>
      </c>
      <c r="Q55" s="259"/>
      <c r="R55" s="258"/>
      <c r="T55" s="180">
        <f t="shared" si="2"/>
        <v>156.5011277338831</v>
      </c>
      <c r="U55" s="180">
        <f t="shared" si="3"/>
        <v>0</v>
      </c>
      <c r="V55" s="177"/>
      <c r="X55" s="180">
        <f t="shared" si="4"/>
        <v>156.5011277338831</v>
      </c>
      <c r="Y55" s="180">
        <f t="shared" si="5"/>
        <v>0</v>
      </c>
    </row>
    <row r="56" spans="1:25" ht="15.6" x14ac:dyDescent="0.3">
      <c r="A56" s="152">
        <v>2044</v>
      </c>
      <c r="B56" s="178">
        <f t="shared" si="0"/>
        <v>0</v>
      </c>
      <c r="C56" s="182">
        <f t="shared" si="7"/>
        <v>0</v>
      </c>
      <c r="D56" s="183"/>
      <c r="E56" s="179">
        <f t="shared" si="6"/>
        <v>2134300.7965739388</v>
      </c>
      <c r="F56" s="183">
        <f t="shared" si="8"/>
        <v>148591.72696831939</v>
      </c>
      <c r="G56" s="247">
        <f t="shared" si="1"/>
        <v>0.16479810534838685</v>
      </c>
      <c r="H56" s="246"/>
      <c r="J56" s="182"/>
      <c r="K56" s="182"/>
      <c r="L56" s="182"/>
      <c r="M56" s="182"/>
      <c r="N56" s="163"/>
      <c r="O56" s="259" t="str">
        <f>IF($O$24="Y",IFERROR(E56*$E$6*$O$16*'Emissions Factors'!B41,""),"")</f>
        <v/>
      </c>
      <c r="P56" s="259">
        <f>IF($P$24="Y",IFERROR(($E56*($E$5/(SUMIF($G$3:$G$14,"Y",$E$3:$E$14)))*('Emissions Factors'!$R$22*$P$16)/10^6)+($E56*($E$4/(SUMIF($G$3:$G$14,"Y",$E$3:$E$14)))*('Emissions Factors'!$R$22*$P$19)/10^6),""),"")</f>
        <v>168.21219517997469</v>
      </c>
      <c r="Q56" s="259"/>
      <c r="R56" s="258"/>
      <c r="T56" s="180">
        <f t="shared" si="2"/>
        <v>168.21219517997469</v>
      </c>
      <c r="U56" s="180">
        <f t="shared" si="3"/>
        <v>0</v>
      </c>
      <c r="V56" s="177"/>
      <c r="X56" s="180">
        <f t="shared" si="4"/>
        <v>168.21219517997469</v>
      </c>
      <c r="Y56" s="180">
        <f t="shared" si="5"/>
        <v>0</v>
      </c>
    </row>
    <row r="57" spans="1:25" ht="15.6" x14ac:dyDescent="0.3">
      <c r="A57" s="152">
        <v>2045</v>
      </c>
      <c r="B57" s="178">
        <f t="shared" si="0"/>
        <v>0</v>
      </c>
      <c r="C57" s="182">
        <f t="shared" si="7"/>
        <v>0</v>
      </c>
      <c r="D57" s="183"/>
      <c r="E57" s="179">
        <f t="shared" si="6"/>
        <v>2292797.5292738634</v>
      </c>
      <c r="F57" s="183">
        <f t="shared" si="8"/>
        <v>158496.73269992461</v>
      </c>
      <c r="G57" s="247">
        <f t="shared" si="1"/>
        <v>0.16413072852180616</v>
      </c>
      <c r="H57" s="246"/>
      <c r="J57" s="182"/>
      <c r="K57" s="182"/>
      <c r="L57" s="182"/>
      <c r="M57" s="182"/>
      <c r="N57" s="163"/>
      <c r="O57" s="259" t="str">
        <f>IF($O$24="Y",IFERROR(E57*$E$6*$O$16*'Emissions Factors'!B42,""),"")</f>
        <v/>
      </c>
      <c r="P57" s="259">
        <f>IF($P$24="Y",IFERROR(($E57*($E$5/(SUMIF($G$3:$G$14,"Y",$E$3:$E$14)))*('Emissions Factors'!$R$22*$P$16)/10^6)+($E57*($E$4/(SUMIF($G$3:$G$14,"Y",$E$3:$E$14)))*('Emissions Factors'!$R$22*$P$19)/10^6),""),"")</f>
        <v>180.70391301988991</v>
      </c>
      <c r="Q57" s="259"/>
      <c r="R57" s="258"/>
      <c r="T57" s="180">
        <f t="shared" si="2"/>
        <v>180.70391301988991</v>
      </c>
      <c r="U57" s="180">
        <f t="shared" si="3"/>
        <v>0</v>
      </c>
      <c r="V57" s="177"/>
      <c r="X57" s="180">
        <f t="shared" si="4"/>
        <v>180.70391301988991</v>
      </c>
      <c r="Y57" s="180">
        <f t="shared" si="5"/>
        <v>0</v>
      </c>
    </row>
    <row r="58" spans="1:25" ht="15.6" x14ac:dyDescent="0.3">
      <c r="A58" s="152">
        <v>2046</v>
      </c>
      <c r="B58" s="178">
        <f t="shared" si="0"/>
        <v>0</v>
      </c>
      <c r="C58" s="182">
        <f t="shared" si="7"/>
        <v>0</v>
      </c>
      <c r="D58" s="183"/>
      <c r="E58" s="179">
        <f t="shared" si="6"/>
        <v>2462161.8814343009</v>
      </c>
      <c r="F58" s="183">
        <f t="shared" si="8"/>
        <v>169364.3521604375</v>
      </c>
      <c r="G58" s="247">
        <f t="shared" si="1"/>
        <v>0.16349119414449925</v>
      </c>
      <c r="H58" s="246"/>
      <c r="J58" s="182"/>
      <c r="K58" s="182"/>
      <c r="L58" s="182"/>
      <c r="M58" s="182"/>
      <c r="N58" s="163"/>
      <c r="O58" s="259" t="str">
        <f>IF($O$24="Y",IFERROR(E58*$E$6*$O$16*'Emissions Factors'!B43,""),"")</f>
        <v/>
      </c>
      <c r="P58" s="259">
        <f>IF($P$24="Y",IFERROR(($E58*($E$5/(SUMIF($G$3:$G$14,"Y",$E$3:$E$14)))*('Emissions Factors'!$R$22*$P$16)/10^6)+($E58*($E$4/(SUMIF($G$3:$G$14,"Y",$E$3:$E$14)))*('Emissions Factors'!$R$22*$P$19)/10^6),""),"")</f>
        <v>194.05214842694846</v>
      </c>
      <c r="Q58" s="259"/>
      <c r="R58" s="258"/>
      <c r="T58" s="180">
        <f t="shared" si="2"/>
        <v>194.05214842694846</v>
      </c>
      <c r="U58" s="180">
        <f t="shared" si="3"/>
        <v>0</v>
      </c>
      <c r="V58" s="177"/>
      <c r="X58" s="180">
        <f t="shared" si="4"/>
        <v>194.05214842694846</v>
      </c>
      <c r="Y58" s="180">
        <f t="shared" si="5"/>
        <v>0</v>
      </c>
    </row>
    <row r="59" spans="1:25" ht="15.6" x14ac:dyDescent="0.3">
      <c r="A59" s="152">
        <v>2047</v>
      </c>
      <c r="B59" s="178">
        <f t="shared" si="0"/>
        <v>0</v>
      </c>
      <c r="C59" s="182">
        <f t="shared" si="7"/>
        <v>0</v>
      </c>
      <c r="D59" s="183"/>
      <c r="E59" s="179">
        <f t="shared" si="6"/>
        <v>2643370.6688356395</v>
      </c>
      <c r="F59" s="183">
        <f t="shared" si="8"/>
        <v>181208.78740133857</v>
      </c>
      <c r="G59" s="247">
        <f t="shared" si="1"/>
        <v>0.16287980800920435</v>
      </c>
      <c r="H59" s="246"/>
      <c r="J59" s="182"/>
      <c r="K59" s="182"/>
      <c r="L59" s="182"/>
      <c r="M59" s="182"/>
      <c r="N59" s="163"/>
      <c r="O59" s="259" t="str">
        <f>IF($O$24="Y",IFERROR(E59*$E$6*$O$16*'Emissions Factors'!B44,""),"")</f>
        <v/>
      </c>
      <c r="P59" s="259">
        <f>IF($P$24="Y",IFERROR(($E59*($E$5/(SUMIF($G$3:$G$14,"Y",$E$3:$E$14)))*('Emissions Factors'!$R$22*$P$16)/10^6)+($E59*($E$4/(SUMIF($G$3:$G$14,"Y",$E$3:$E$14)))*('Emissions Factors'!$R$22*$P$19)/10^6),""),"")</f>
        <v>208.33388789104399</v>
      </c>
      <c r="Q59" s="259"/>
      <c r="R59" s="258"/>
      <c r="T59" s="180">
        <f t="shared" si="2"/>
        <v>208.33388789104399</v>
      </c>
      <c r="U59" s="180">
        <f t="shared" si="3"/>
        <v>0</v>
      </c>
      <c r="V59" s="177"/>
      <c r="X59" s="180">
        <f t="shared" si="4"/>
        <v>208.33388789104399</v>
      </c>
      <c r="Y59" s="180">
        <f t="shared" si="5"/>
        <v>0</v>
      </c>
    </row>
    <row r="60" spans="1:25" ht="15.6" x14ac:dyDescent="0.3">
      <c r="A60" s="152">
        <v>2048</v>
      </c>
      <c r="B60" s="178">
        <f t="shared" si="0"/>
        <v>0</v>
      </c>
      <c r="C60" s="182">
        <f t="shared" si="7"/>
        <v>0</v>
      </c>
      <c r="D60" s="183"/>
      <c r="E60" s="179">
        <f t="shared" si="6"/>
        <v>2837671.96774058</v>
      </c>
      <c r="F60" s="183">
        <f t="shared" si="8"/>
        <v>194301.29890494049</v>
      </c>
      <c r="G60" s="247">
        <f t="shared" si="1"/>
        <v>0.16230037741758663</v>
      </c>
      <c r="H60" s="246"/>
      <c r="J60" s="182"/>
      <c r="K60" s="182"/>
      <c r="L60" s="182"/>
      <c r="M60" s="182"/>
      <c r="N60" s="163"/>
      <c r="O60" s="259" t="str">
        <f>IF($O$24="Y",IFERROR(E60*$E$6*$O$16*'Emissions Factors'!B45,""),"")</f>
        <v/>
      </c>
      <c r="P60" s="259">
        <f>IF($P$24="Y",IFERROR(($E60*($E$5/(SUMIF($G$3:$G$14,"Y",$E$3:$E$14)))*('Emissions Factors'!$R$22*$P$16)/10^6)+($E60*($E$4/(SUMIF($G$3:$G$14,"Y",$E$3:$E$14)))*('Emissions Factors'!$R$22*$P$19)/10^6),""),"")</f>
        <v>223.64749695101611</v>
      </c>
      <c r="Q60" s="259"/>
      <c r="R60" s="258"/>
      <c r="T60" s="180">
        <f t="shared" si="2"/>
        <v>223.64749695101611</v>
      </c>
      <c r="U60" s="180">
        <f t="shared" si="3"/>
        <v>0</v>
      </c>
      <c r="V60" s="177"/>
      <c r="X60" s="180">
        <f t="shared" si="4"/>
        <v>223.64749695101611</v>
      </c>
      <c r="Y60" s="180">
        <f t="shared" si="5"/>
        <v>0</v>
      </c>
    </row>
    <row r="61" spans="1:25" ht="15.6" x14ac:dyDescent="0.3">
      <c r="A61" s="152">
        <v>2049</v>
      </c>
      <c r="B61" s="178">
        <f t="shared" si="0"/>
        <v>0</v>
      </c>
      <c r="C61" s="182">
        <f t="shared" si="7"/>
        <v>0</v>
      </c>
      <c r="D61" s="183"/>
      <c r="E61" s="179">
        <f t="shared" si="6"/>
        <v>3046417.018904666</v>
      </c>
      <c r="F61" s="183">
        <f t="shared" si="8"/>
        <v>208745.05116408598</v>
      </c>
      <c r="G61" s="247">
        <f t="shared" si="1"/>
        <v>0.1617563571479495</v>
      </c>
      <c r="H61" s="246"/>
      <c r="J61" s="182"/>
      <c r="K61" s="182"/>
      <c r="L61" s="182"/>
      <c r="M61" s="182"/>
      <c r="N61" s="163"/>
      <c r="O61" s="259" t="str">
        <f>IF($O$24="Y",IFERROR(E61*$E$6*$O$16*'Emissions Factors'!B46,""),"")</f>
        <v/>
      </c>
      <c r="P61" s="259">
        <f>IF($P$24="Y",IFERROR(($E61*($E$5/(SUMIF($G$3:$G$14,"Y",$E$3:$E$14)))*('Emissions Factors'!$R$22*$P$16)/10^6)+($E61*($E$4/(SUMIF($G$3:$G$14,"Y",$E$3:$E$14)))*('Emissions Factors'!$R$22*$P$19)/10^6),""),"")</f>
        <v>240.09947192363131</v>
      </c>
      <c r="Q61" s="259"/>
      <c r="R61" s="258"/>
      <c r="T61" s="180">
        <f t="shared" si="2"/>
        <v>240.09947192363131</v>
      </c>
      <c r="U61" s="180">
        <f t="shared" si="3"/>
        <v>0</v>
      </c>
      <c r="V61" s="177"/>
      <c r="X61" s="180">
        <f t="shared" si="4"/>
        <v>240.09947192363131</v>
      </c>
      <c r="Y61" s="180">
        <f t="shared" si="5"/>
        <v>0</v>
      </c>
    </row>
    <row r="62" spans="1:25" ht="15.6" x14ac:dyDescent="0.3">
      <c r="A62" s="152">
        <v>2050</v>
      </c>
      <c r="B62" s="178">
        <f t="shared" si="0"/>
        <v>0</v>
      </c>
      <c r="C62" s="182">
        <f t="shared" si="7"/>
        <v>0</v>
      </c>
      <c r="D62" s="183"/>
      <c r="E62" s="179">
        <f t="shared" si="6"/>
        <v>3269820.8169254437</v>
      </c>
      <c r="F62" s="183">
        <f t="shared" si="8"/>
        <v>223403.79802077776</v>
      </c>
      <c r="G62" s="247">
        <f t="shared" si="1"/>
        <v>0.16119368551424804</v>
      </c>
      <c r="H62" s="246"/>
      <c r="J62" s="182"/>
      <c r="K62" s="182"/>
      <c r="L62" s="182"/>
      <c r="M62" s="182"/>
      <c r="N62" s="163"/>
      <c r="O62" s="259" t="str">
        <f>IF($O$24="Y",IFERROR(E62*$E$6*$O$16*'Emissions Factors'!B47,""),"")</f>
        <v/>
      </c>
      <c r="P62" s="259">
        <f>IF($P$24="Y",IFERROR(($E62*($E$5/(SUMIF($G$3:$G$14,"Y",$E$3:$E$14)))*('Emissions Factors'!$R$22*$P$16)/10^6)+($E62*($E$4/(SUMIF($G$3:$G$14,"Y",$E$3:$E$14)))*('Emissions Factors'!$R$22*$P$19)/10^6),""),"")</f>
        <v>257.70675733388941</v>
      </c>
      <c r="Q62" s="259"/>
      <c r="R62" s="258"/>
      <c r="T62" s="180">
        <f t="shared" si="2"/>
        <v>257.70675733388941</v>
      </c>
      <c r="U62" s="180">
        <f t="shared" si="3"/>
        <v>0</v>
      </c>
      <c r="V62" s="177"/>
      <c r="X62" s="180">
        <f t="shared" si="4"/>
        <v>257.70675733388941</v>
      </c>
      <c r="Y62" s="180">
        <f t="shared" si="5"/>
        <v>0</v>
      </c>
    </row>
    <row r="63" spans="1:25" ht="15.6" x14ac:dyDescent="0.3">
      <c r="A63" s="152">
        <v>2051</v>
      </c>
      <c r="B63" s="178">
        <f t="shared" si="0"/>
        <v>0</v>
      </c>
      <c r="C63" s="182">
        <f t="shared" si="7"/>
        <v>0</v>
      </c>
      <c r="D63" s="183"/>
      <c r="E63" s="179">
        <f t="shared" si="6"/>
        <v>3512536.592093749</v>
      </c>
      <c r="F63" s="183">
        <f t="shared" si="8"/>
        <v>242715.77516830526</v>
      </c>
      <c r="G63" s="247">
        <f t="shared" si="1"/>
        <v>0.16077779948758911</v>
      </c>
      <c r="H63" s="246"/>
      <c r="J63" s="182"/>
      <c r="K63" s="182"/>
      <c r="L63" s="182"/>
      <c r="M63" s="182"/>
      <c r="N63" s="163"/>
      <c r="O63" s="259" t="str">
        <f>IF($O$24="Y",IFERROR(E63*$E$6*$O$16*'Emissions Factors'!B48,""),"")</f>
        <v/>
      </c>
      <c r="P63" s="259">
        <f>IF($P$24="Y",IFERROR(($E63*($E$5/(SUMIF($G$3:$G$14,"Y",$E$3:$E$14)))*('Emissions Factors'!$R$22*$P$16)/10^6)+($E63*($E$4/(SUMIF($G$3:$G$14,"Y",$E$3:$E$14)))*('Emissions Factors'!$R$22*$P$19)/10^6),""),"")</f>
        <v>276.83609159240075</v>
      </c>
      <c r="Q63" s="259"/>
      <c r="R63" s="258"/>
      <c r="T63" s="180" t="str">
        <f t="shared" si="2"/>
        <v/>
      </c>
      <c r="U63" s="180" t="str">
        <f t="shared" si="3"/>
        <v/>
      </c>
      <c r="V63" s="177"/>
      <c r="X63" s="180">
        <f t="shared" si="4"/>
        <v>276.83609159240075</v>
      </c>
      <c r="Y63" s="180">
        <f t="shared" si="5"/>
        <v>0</v>
      </c>
    </row>
    <row r="64" spans="1:25" ht="15.6" x14ac:dyDescent="0.3">
      <c r="A64" s="152">
        <v>2052</v>
      </c>
      <c r="B64" s="178">
        <f t="shared" si="0"/>
        <v>0</v>
      </c>
      <c r="C64" s="182">
        <f t="shared" si="7"/>
        <v>0</v>
      </c>
      <c r="D64" s="183"/>
      <c r="E64" s="179">
        <f t="shared" si="6"/>
        <v>3772381.7398957205</v>
      </c>
      <c r="F64" s="183">
        <f t="shared" si="8"/>
        <v>259845.14780197153</v>
      </c>
      <c r="G64" s="247">
        <f t="shared" si="1"/>
        <v>0.16033916943809756</v>
      </c>
      <c r="H64" s="246"/>
      <c r="J64" s="182"/>
      <c r="K64" s="182"/>
      <c r="L64" s="182"/>
      <c r="M64" s="182"/>
      <c r="N64" s="163"/>
      <c r="O64" s="259" t="str">
        <f>IF($O$24="Y",IFERROR(E64*$E$6*$O$16*'Emissions Factors'!B49,""),"")</f>
        <v/>
      </c>
      <c r="P64" s="259">
        <f>IF($P$24="Y",IFERROR(($E64*($E$5/(SUMIF($G$3:$G$14,"Y",$E$3:$E$14)))*('Emissions Factors'!$R$22*$P$16)/10^6)+($E64*($E$4/(SUMIF($G$3:$G$14,"Y",$E$3:$E$14)))*('Emissions Factors'!$R$22*$P$19)/10^6),""),"")</f>
        <v>297.31545550811416</v>
      </c>
      <c r="Q64" s="259"/>
      <c r="R64" s="258"/>
      <c r="T64" s="180" t="str">
        <f t="shared" si="2"/>
        <v/>
      </c>
      <c r="U64" s="180" t="str">
        <f t="shared" si="3"/>
        <v/>
      </c>
      <c r="V64" s="177"/>
      <c r="X64" s="180">
        <f t="shared" si="4"/>
        <v>297.31545550811416</v>
      </c>
      <c r="Y64" s="180">
        <f t="shared" si="5"/>
        <v>0</v>
      </c>
    </row>
    <row r="65" spans="1:25" ht="15.6" x14ac:dyDescent="0.3">
      <c r="A65" s="152">
        <v>2053</v>
      </c>
      <c r="B65" s="178">
        <f t="shared" si="0"/>
        <v>0</v>
      </c>
      <c r="C65" s="182">
        <f t="shared" si="7"/>
        <v>0</v>
      </c>
      <c r="D65" s="183"/>
      <c r="E65" s="179">
        <f t="shared" si="6"/>
        <v>4051704.1523246556</v>
      </c>
      <c r="F65" s="183">
        <f t="shared" si="8"/>
        <v>279322.41242893506</v>
      </c>
      <c r="G65" s="247">
        <f t="shared" si="1"/>
        <v>0.15993102627532707</v>
      </c>
      <c r="H65" s="246"/>
      <c r="J65" s="182"/>
      <c r="K65" s="182"/>
      <c r="L65" s="182"/>
      <c r="M65" s="182"/>
      <c r="N65" s="163"/>
      <c r="O65" s="259" t="str">
        <f>IF($O$24="Y",IFERROR(E65*$E$6*$O$16*'Emissions Factors'!B50,""),"")</f>
        <v/>
      </c>
      <c r="P65" s="259">
        <f>IF($P$24="Y",IFERROR(($E65*($E$5/(SUMIF($G$3:$G$14,"Y",$E$3:$E$14)))*('Emissions Factors'!$R$22*$P$16)/10^6)+($E65*($E$4/(SUMIF($G$3:$G$14,"Y",$E$3:$E$14)))*('Emissions Factors'!$R$22*$P$19)/10^6),""),"")</f>
        <v>319.32989519396364</v>
      </c>
      <c r="Q65" s="259"/>
      <c r="R65" s="258"/>
      <c r="T65" s="180" t="str">
        <f t="shared" si="2"/>
        <v/>
      </c>
      <c r="U65" s="180" t="str">
        <f t="shared" si="3"/>
        <v/>
      </c>
      <c r="V65" s="177"/>
      <c r="X65" s="180">
        <f t="shared" si="4"/>
        <v>319.32989519396364</v>
      </c>
      <c r="Y65" s="180">
        <f t="shared" si="5"/>
        <v>0</v>
      </c>
    </row>
    <row r="66" spans="1:25" ht="15.6" x14ac:dyDescent="0.3">
      <c r="A66" s="152">
        <v>2054</v>
      </c>
      <c r="B66" s="178">
        <f t="shared" si="0"/>
        <v>0</v>
      </c>
      <c r="C66" s="182">
        <f t="shared" si="7"/>
        <v>0</v>
      </c>
      <c r="D66" s="183"/>
      <c r="E66" s="179">
        <f t="shared" si="6"/>
        <v>4351690.8239947734</v>
      </c>
      <c r="F66" s="183">
        <f t="shared" si="8"/>
        <v>299986.67167011788</v>
      </c>
      <c r="G66" s="247">
        <f t="shared" si="1"/>
        <v>0.15955037112442011</v>
      </c>
      <c r="H66" s="246"/>
      <c r="J66" s="182"/>
      <c r="K66" s="182"/>
      <c r="L66" s="182"/>
      <c r="M66" s="182"/>
      <c r="N66" s="163"/>
      <c r="O66" s="259" t="str">
        <f>IF($O$24="Y",IFERROR(E66*$E$6*$O$16*'Emissions Factors'!B51,""),"")</f>
        <v/>
      </c>
      <c r="P66" s="259">
        <f>IF($P$24="Y",IFERROR(($E66*($E$5/(SUMIF($G$3:$G$14,"Y",$E$3:$E$14)))*('Emissions Factors'!$R$22*$P$16)/10^6)+($E66*($E$4/(SUMIF($G$3:$G$14,"Y",$E$3:$E$14)))*('Emissions Factors'!$R$22*$P$19)/10^6),""),"")</f>
        <v>342.97296211656766</v>
      </c>
      <c r="Q66" s="259"/>
      <c r="R66" s="258"/>
      <c r="T66" s="180" t="str">
        <f t="shared" si="2"/>
        <v/>
      </c>
      <c r="U66" s="180" t="str">
        <f t="shared" si="3"/>
        <v/>
      </c>
      <c r="V66" s="177"/>
      <c r="X66" s="180">
        <f t="shared" si="4"/>
        <v>342.97296211656766</v>
      </c>
      <c r="Y66" s="180">
        <f t="shared" si="5"/>
        <v>0</v>
      </c>
    </row>
    <row r="67" spans="1:25" ht="15.6" x14ac:dyDescent="0.3">
      <c r="A67" s="152">
        <v>2055</v>
      </c>
      <c r="B67" s="178">
        <f t="shared" si="0"/>
        <v>0</v>
      </c>
      <c r="C67" s="182">
        <f t="shared" si="7"/>
        <v>0</v>
      </c>
      <c r="D67" s="183"/>
      <c r="E67" s="179">
        <f t="shared" si="6"/>
        <v>4673115.8881211011</v>
      </c>
      <c r="F67" s="183">
        <f t="shared" si="8"/>
        <v>321425.06412632763</v>
      </c>
      <c r="G67" s="247">
        <f t="shared" si="1"/>
        <v>0.1591789199946356</v>
      </c>
      <c r="H67" s="246"/>
      <c r="J67" s="182"/>
      <c r="K67" s="182"/>
      <c r="L67" s="182"/>
      <c r="M67" s="182"/>
      <c r="N67" s="163"/>
      <c r="O67" s="259" t="str">
        <f>IF($O$24="Y",IFERROR(E67*$E$6*$O$16*'Emissions Factors'!B52,""),"")</f>
        <v/>
      </c>
      <c r="P67" s="259">
        <f>IF($P$24="Y",IFERROR(($E67*($E$5/(SUMIF($G$3:$G$14,"Y",$E$3:$E$14)))*('Emissions Factors'!$R$22*$P$16)/10^6)+($E67*($E$4/(SUMIF($G$3:$G$14,"Y",$E$3:$E$14)))*('Emissions Factors'!$R$22*$P$19)/10^6),""),"")</f>
        <v>368.30566859793385</v>
      </c>
      <c r="Q67" s="259"/>
      <c r="R67" s="258"/>
      <c r="T67" s="180" t="str">
        <f t="shared" si="2"/>
        <v/>
      </c>
      <c r="U67" s="180" t="str">
        <f t="shared" si="3"/>
        <v/>
      </c>
      <c r="V67" s="177"/>
      <c r="X67" s="180">
        <f t="shared" si="4"/>
        <v>368.30566859793385</v>
      </c>
      <c r="Y67" s="180">
        <f t="shared" si="5"/>
        <v>0</v>
      </c>
    </row>
    <row r="68" spans="1:25" ht="15.6" x14ac:dyDescent="0.3">
      <c r="A68" s="152">
        <v>2056</v>
      </c>
      <c r="B68" s="178">
        <f t="shared" si="0"/>
        <v>0</v>
      </c>
      <c r="C68" s="182">
        <f t="shared" si="7"/>
        <v>0</v>
      </c>
      <c r="D68" s="183"/>
      <c r="E68" s="179">
        <f t="shared" si="6"/>
        <v>5018755.4072268531</v>
      </c>
      <c r="F68" s="183">
        <f t="shared" si="8"/>
        <v>345639.519105752</v>
      </c>
      <c r="G68" s="247">
        <f t="shared" si="1"/>
        <v>0.15886110596289521</v>
      </c>
      <c r="H68" s="246"/>
      <c r="J68" s="182"/>
      <c r="K68" s="182"/>
      <c r="L68" s="182"/>
      <c r="M68" s="182"/>
      <c r="N68" s="163"/>
      <c r="O68" s="259" t="str">
        <f>IF($O$24="Y",IFERROR(E68*$E$6*$O$16*'Emissions Factors'!B53,""),"")</f>
        <v/>
      </c>
      <c r="P68" s="259">
        <f>IF($P$24="Y",IFERROR(($E68*($E$5/(SUMIF($G$3:$G$14,"Y",$E$3:$E$14)))*('Emissions Factors'!$R$22*$P$16)/10^6)+($E68*($E$4/(SUMIF($G$3:$G$14,"Y",$E$3:$E$14)))*('Emissions Factors'!$R$22*$P$19)/10^6),""),"")</f>
        <v>395.54680646522007</v>
      </c>
      <c r="Q68" s="259"/>
      <c r="R68" s="258"/>
      <c r="T68" s="180" t="str">
        <f t="shared" si="2"/>
        <v/>
      </c>
      <c r="U68" s="180" t="str">
        <f t="shared" si="3"/>
        <v/>
      </c>
      <c r="V68" s="177"/>
      <c r="X68" s="180">
        <f t="shared" si="4"/>
        <v>395.54680646522007</v>
      </c>
      <c r="Y68" s="180">
        <f t="shared" si="5"/>
        <v>0</v>
      </c>
    </row>
    <row r="69" spans="1:25" ht="15.6" x14ac:dyDescent="0.3">
      <c r="A69" s="152">
        <v>2057</v>
      </c>
      <c r="B69" s="178">
        <f t="shared" si="0"/>
        <v>0</v>
      </c>
      <c r="C69" s="182">
        <f t="shared" si="7"/>
        <v>0</v>
      </c>
      <c r="D69" s="183"/>
      <c r="E69" s="179">
        <f t="shared" si="6"/>
        <v>5388627.8081781566</v>
      </c>
      <c r="F69" s="183">
        <f t="shared" si="8"/>
        <v>369872.40095130354</v>
      </c>
      <c r="G69" s="247">
        <f t="shared" si="1"/>
        <v>0.15854807042818062</v>
      </c>
      <c r="H69" s="246"/>
      <c r="J69" s="182"/>
      <c r="K69" s="182"/>
      <c r="L69" s="182"/>
      <c r="M69" s="182"/>
      <c r="N69" s="163"/>
      <c r="O69" s="259" t="str">
        <f>IF($O$24="Y",IFERROR(E69*$E$6*$O$16*'Emissions Factors'!B54,""),"")</f>
        <v/>
      </c>
      <c r="P69" s="259">
        <f>IF($P$24="Y",IFERROR(($E69*($E$5/(SUMIF($G$3:$G$14,"Y",$E$3:$E$14)))*('Emissions Factors'!$R$22*$P$16)/10^6)+($E69*($E$4/(SUMIF($G$3:$G$14,"Y",$E$3:$E$14)))*('Emissions Factors'!$R$22*$P$19)/10^6),""),"")</f>
        <v>424.69782800837817</v>
      </c>
      <c r="Q69" s="259"/>
      <c r="R69" s="258"/>
      <c r="T69" s="180" t="str">
        <f t="shared" si="2"/>
        <v/>
      </c>
      <c r="U69" s="180" t="str">
        <f t="shared" si="3"/>
        <v/>
      </c>
      <c r="V69" s="177"/>
      <c r="X69" s="180">
        <f t="shared" si="4"/>
        <v>424.69782800837817</v>
      </c>
      <c r="Y69" s="180">
        <f t="shared" si="5"/>
        <v>0</v>
      </c>
    </row>
    <row r="70" spans="1:25" ht="15.6" x14ac:dyDescent="0.3">
      <c r="A70" s="152">
        <v>2058</v>
      </c>
      <c r="B70" s="178">
        <f t="shared" si="0"/>
        <v>0</v>
      </c>
      <c r="C70" s="182">
        <f t="shared" si="7"/>
        <v>0</v>
      </c>
      <c r="D70" s="183"/>
      <c r="E70" s="179">
        <f t="shared" si="6"/>
        <v>5784326.2221952425</v>
      </c>
      <c r="F70" s="183">
        <f t="shared" si="8"/>
        <v>395698.41401708592</v>
      </c>
      <c r="G70" s="247">
        <f t="shared" si="1"/>
        <v>0.15825177084777683</v>
      </c>
      <c r="H70" s="246"/>
      <c r="J70" s="182"/>
      <c r="K70" s="182"/>
      <c r="L70" s="182"/>
      <c r="M70" s="182"/>
      <c r="N70" s="163"/>
      <c r="O70" s="259" t="str">
        <f>IF($O$24="Y",IFERROR(E70*$E$6*$O$16*'Emissions Factors'!B55,""),"")</f>
        <v/>
      </c>
      <c r="P70" s="259">
        <f>IF($P$24="Y",IFERROR(($E70*($E$5/(SUMIF($G$3:$G$14,"Y",$E$3:$E$14)))*('Emissions Factors'!$R$22*$P$16)/10^6)+($E70*($E$4/(SUMIF($G$3:$G$14,"Y",$E$3:$E$14)))*('Emissions Factors'!$R$22*$P$19)/10^6),""),"")</f>
        <v>455.88429383264031</v>
      </c>
      <c r="Q70" s="259"/>
      <c r="R70" s="258"/>
      <c r="T70" s="180" t="str">
        <f t="shared" si="2"/>
        <v/>
      </c>
      <c r="U70" s="180" t="str">
        <f t="shared" si="3"/>
        <v/>
      </c>
      <c r="V70" s="177"/>
      <c r="X70" s="180">
        <f t="shared" si="4"/>
        <v>455.88429383264031</v>
      </c>
      <c r="Y70" s="180">
        <f t="shared" si="5"/>
        <v>0</v>
      </c>
    </row>
    <row r="71" spans="1:25" ht="15.6" x14ac:dyDescent="0.3">
      <c r="A71" s="152">
        <v>2059</v>
      </c>
      <c r="B71" s="178">
        <f t="shared" si="0"/>
        <v>0</v>
      </c>
      <c r="C71" s="182">
        <f t="shared" si="7"/>
        <v>0</v>
      </c>
      <c r="D71" s="183"/>
      <c r="E71" s="179">
        <f t="shared" si="6"/>
        <v>6206878.8902429231</v>
      </c>
      <c r="F71" s="183">
        <f t="shared" si="8"/>
        <v>422552.66804768052</v>
      </c>
      <c r="G71" s="247">
        <f t="shared" si="1"/>
        <v>0.15796838153612</v>
      </c>
      <c r="H71" s="246"/>
      <c r="J71" s="182"/>
      <c r="K71" s="182"/>
      <c r="L71" s="182"/>
      <c r="M71" s="182"/>
      <c r="N71" s="163"/>
      <c r="O71" s="259" t="str">
        <f>IF($O$24="Y",IFERROR(E71*$E$6*$O$16*'Emissions Factors'!B56,""),"")</f>
        <v/>
      </c>
      <c r="P71" s="259">
        <f>IF($P$24="Y",IFERROR(($E71*($E$5/(SUMIF($G$3:$G$14,"Y",$E$3:$E$14)))*('Emissions Factors'!$R$22*$P$16)/10^6)+($E71*($E$4/(SUMIF($G$3:$G$14,"Y",$E$3:$E$14)))*('Emissions Factors'!$R$22*$P$19)/10^6),""),"")</f>
        <v>489.18724343822237</v>
      </c>
      <c r="Q71" s="259"/>
      <c r="R71" s="258"/>
      <c r="T71" s="180" t="str">
        <f t="shared" si="2"/>
        <v/>
      </c>
      <c r="U71" s="180" t="str">
        <f t="shared" si="3"/>
        <v/>
      </c>
      <c r="V71" s="177"/>
      <c r="X71" s="180">
        <f t="shared" si="4"/>
        <v>489.18724343822237</v>
      </c>
      <c r="Y71" s="180">
        <f t="shared" si="5"/>
        <v>0</v>
      </c>
    </row>
    <row r="72" spans="1:25" ht="15.6" x14ac:dyDescent="0.3">
      <c r="A72" s="152">
        <v>2060</v>
      </c>
      <c r="B72" s="178">
        <f t="shared" si="0"/>
        <v>0</v>
      </c>
      <c r="C72" s="182">
        <f t="shared" si="7"/>
        <v>0</v>
      </c>
      <c r="D72" s="183"/>
      <c r="E72" s="179">
        <f t="shared" si="6"/>
        <v>6658560.6594545841</v>
      </c>
      <c r="F72" s="183">
        <f t="shared" si="8"/>
        <v>451681.76921166107</v>
      </c>
      <c r="G72" s="247">
        <f t="shared" si="1"/>
        <v>0.15772219275329924</v>
      </c>
      <c r="H72" s="246"/>
      <c r="J72" s="182"/>
      <c r="K72" s="182"/>
      <c r="L72" s="182"/>
      <c r="M72" s="182"/>
      <c r="N72" s="163"/>
      <c r="O72" s="259" t="str">
        <f>IF($O$24="Y",IFERROR(E72*$E$6*$O$16*'Emissions Factors'!B57,""),"")</f>
        <v/>
      </c>
      <c r="P72" s="259">
        <f>IF($P$24="Y",IFERROR(($E72*($E$5/(SUMIF($G$3:$G$14,"Y",$E$3:$E$14)))*('Emissions Factors'!$R$22*$P$16)/10^6)+($E72*($E$4/(SUMIF($G$3:$G$14,"Y",$E$3:$E$14)))*('Emissions Factors'!$R$22*$P$19)/10^6),""),"")</f>
        <v>524.78596600058631</v>
      </c>
      <c r="Q72" s="259"/>
      <c r="R72" s="258"/>
      <c r="T72" s="180" t="str">
        <f t="shared" si="2"/>
        <v/>
      </c>
      <c r="U72" s="180" t="str">
        <f t="shared" si="3"/>
        <v/>
      </c>
      <c r="V72" s="177"/>
      <c r="X72" s="180">
        <f t="shared" si="4"/>
        <v>524.78596600058631</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213</v>
      </c>
      <c r="E83" s="188" t="s">
        <v>211</v>
      </c>
      <c r="F83" s="188" t="s">
        <v>211</v>
      </c>
      <c r="G83" s="188" t="s">
        <v>211</v>
      </c>
      <c r="N83" s="232" t="s">
        <v>639</v>
      </c>
      <c r="O83" s="232"/>
      <c r="P83" s="232"/>
      <c r="Q83" s="232"/>
      <c r="R83" s="232"/>
      <c r="U83" s="232" t="s">
        <v>640</v>
      </c>
      <c r="V83" s="232"/>
      <c r="W83" s="232"/>
      <c r="X83" s="232"/>
      <c r="Y83" s="232"/>
      <c r="AC83" s="153" t="s">
        <v>263</v>
      </c>
    </row>
    <row r="84" spans="1:35" ht="119.4" thickBot="1" x14ac:dyDescent="0.3">
      <c r="A84" s="189"/>
      <c r="B84" s="190" t="s">
        <v>4</v>
      </c>
      <c r="C84" s="191" t="s">
        <v>5</v>
      </c>
      <c r="D84" s="191" t="str">
        <f>D136</f>
        <v>IEA (2017) ETP - Total Ground Freight (no Shipping, Airfreight) - RTS Scenario - Non OECD Region (less China, Mexico, Brazil, Russia)</v>
      </c>
      <c r="E84" s="191" t="str">
        <f>E136</f>
        <v>IEA (2017) ETP - Total freight - RTS (Only Brazil, Mexico,China, Russia)</v>
      </c>
      <c r="F84" s="191"/>
      <c r="G84" s="191"/>
      <c r="H84" s="191"/>
      <c r="I84" s="191"/>
      <c r="J84" s="191"/>
      <c r="K84" s="192"/>
      <c r="N84" s="193" t="str">
        <f>D84</f>
        <v>IEA (2017) ETP - Total Ground Freight (no Shipping, Airfreight) - RTS Scenario - Non OECD Region (less China, Mexico, Brazil, Russia)</v>
      </c>
      <c r="O84" s="193" t="str">
        <f>E84</f>
        <v>IEA (2017) ETP - Total freight - RTS (Only Brazil, Mexico,China, Russia)</v>
      </c>
      <c r="P84" s="193" t="str">
        <f>C84</f>
        <v>OECD90</v>
      </c>
      <c r="Q84" s="193" t="s">
        <v>235</v>
      </c>
      <c r="R84" s="193" t="str">
        <f>CONCATENATE("% ",$N$84)</f>
        <v>% IEA (2017) ETP - Total Ground Freight (no Shipping, Airfreight) - RTS Scenario - Non OECD Region (less China, Mexico, Brazil, Russia)</v>
      </c>
      <c r="U84" s="193" t="str">
        <f>N84</f>
        <v>IEA (2017) ETP - Total Ground Freight (no Shipping, Airfreight) - RTS Scenario - Non OECD Region (less China, Mexico, Brazil, Russia)</v>
      </c>
      <c r="V84" s="193" t="s">
        <v>10</v>
      </c>
      <c r="W84" s="193" t="str">
        <f>P84</f>
        <v>OECD90</v>
      </c>
      <c r="X84" s="193" t="s">
        <v>235</v>
      </c>
      <c r="Y84" s="193" t="str">
        <f>R84</f>
        <v>% IEA (2017) ETP - Total Ground Freight (no Shipping, Airfreight) - RTS Scenario - Non OECD Region (less China, Mexico, Brazil, Russia)</v>
      </c>
    </row>
    <row r="85" spans="1:35" ht="15.6" x14ac:dyDescent="0.3">
      <c r="A85" s="194">
        <v>2014</v>
      </c>
      <c r="B85" s="253">
        <f>(B137/Population_Tables!O3)*Population_Tables!C3</f>
        <v>114253351.42125393</v>
      </c>
      <c r="C85" s="253">
        <f>(C137/Population_Tables!P3)*Population_Tables!D3</f>
        <v>15434415.646279337</v>
      </c>
      <c r="D85" s="253">
        <f>(D137/Population_Tables!Q3)*Population_Tables!E3</f>
        <v>8851658.2651577499</v>
      </c>
      <c r="E85" s="253">
        <f>(E137/Population_Tables!R3)*Population_Tables!F3</f>
        <v>14330033.251515649</v>
      </c>
      <c r="F85" s="253">
        <f>(F137/Population_Tables!S3)*Population_Tables!G3</f>
        <v>0</v>
      </c>
      <c r="G85" s="253">
        <f>(G137/Population_Tables!T3)*Population_Tables!H3</f>
        <v>0</v>
      </c>
      <c r="H85" s="253">
        <f>(H137/Population_Tables!U3)*Population_Tables!I3</f>
        <v>0</v>
      </c>
      <c r="I85" s="253">
        <f>(I137/Population_Tables!V3)*Population_Tables!J3</f>
        <v>0</v>
      </c>
      <c r="J85" s="253">
        <f>(J137/Population_Tables!W3)*Population_Tables!K3</f>
        <v>0</v>
      </c>
      <c r="K85" s="253">
        <f>(K137/Population_Tables!X3)*Population_Tables!L3</f>
        <v>0</v>
      </c>
      <c r="N85" s="195">
        <f>D85</f>
        <v>8851658.2651577499</v>
      </c>
      <c r="O85" s="195">
        <f>E85</f>
        <v>14330033.251515649</v>
      </c>
      <c r="P85" s="195">
        <f>C85</f>
        <v>15434415.646279337</v>
      </c>
      <c r="Q85" s="195">
        <f>N85+P85+O85</f>
        <v>38616107.162952736</v>
      </c>
      <c r="R85" s="196">
        <f>N85/Q85</f>
        <v>0.22922192099284919</v>
      </c>
      <c r="U85" s="197">
        <v>0</v>
      </c>
      <c r="V85" s="195">
        <f>O85-O137</f>
        <v>-44.685324614867568</v>
      </c>
      <c r="W85" s="197">
        <v>0</v>
      </c>
      <c r="X85" s="195">
        <f>U85+V85+W85</f>
        <v>-44.685324614867568</v>
      </c>
      <c r="Y85" s="196">
        <v>0</v>
      </c>
      <c r="AC85" s="251">
        <f>(B85-B137)/((SUM(C85:G85)-SUM(C137:G137)))</f>
        <v>4.3245833927494823</v>
      </c>
      <c r="AF85" s="250">
        <f>B85</f>
        <v>114253351.42125393</v>
      </c>
      <c r="AG85" s="250">
        <f>SUM(C85:G85)</f>
        <v>38616107.162952736</v>
      </c>
      <c r="AH85" s="250">
        <f>AG85-AF85</f>
        <v>-75637244.258301198</v>
      </c>
      <c r="AI85" s="251">
        <f>AH85/AG85</f>
        <v>-1.9586967671061768</v>
      </c>
    </row>
    <row r="86" spans="1:35" ht="15.6" x14ac:dyDescent="0.3">
      <c r="A86" s="194">
        <v>2015</v>
      </c>
      <c r="B86" s="253">
        <f>(B138/Population_Tables!O4)*Population_Tables!C4</f>
        <v>113155010.47841047</v>
      </c>
      <c r="C86" s="253">
        <f>(C138/Population_Tables!P4)*Population_Tables!D4</f>
        <v>15656724.984374711</v>
      </c>
      <c r="D86" s="253">
        <f>(D138/Population_Tables!Q4)*Population_Tables!E4</f>
        <v>9328978.7202272918</v>
      </c>
      <c r="E86" s="253">
        <f>(E138/Population_Tables!R4)*Population_Tables!F4</f>
        <v>14832469.504557867</v>
      </c>
      <c r="F86" s="253">
        <f>(F138/Population_Tables!S4)*Population_Tables!G4</f>
        <v>0</v>
      </c>
      <c r="G86" s="253">
        <f>(G138/Population_Tables!T4)*Population_Tables!H4</f>
        <v>0</v>
      </c>
      <c r="H86" s="253">
        <f>(H138/Population_Tables!U4)*Population_Tables!I4</f>
        <v>0</v>
      </c>
      <c r="I86" s="253">
        <f>(I138/Population_Tables!V4)*Population_Tables!J4</f>
        <v>0</v>
      </c>
      <c r="J86" s="253">
        <f>(J138/Population_Tables!W4)*Population_Tables!K4</f>
        <v>0</v>
      </c>
      <c r="K86" s="253">
        <f>(K138/Population_Tables!X4)*Population_Tables!L4</f>
        <v>0</v>
      </c>
      <c r="N86" s="195">
        <f t="shared" ref="N86:O131" si="9">D86</f>
        <v>9328978.7202272918</v>
      </c>
      <c r="O86" s="195">
        <f t="shared" si="9"/>
        <v>14832469.504557867</v>
      </c>
      <c r="P86" s="195">
        <f t="shared" ref="P86:P131" si="10">C86</f>
        <v>15656724.984374711</v>
      </c>
      <c r="Q86" s="195">
        <f t="shared" ref="Q86:Q131" si="11">N86+P86+O86</f>
        <v>39818173.209159866</v>
      </c>
      <c r="R86" s="196">
        <f t="shared" ref="R86:R130" si="12">N86/Q86</f>
        <v>0.23428947056971544</v>
      </c>
      <c r="U86" s="197">
        <v>0</v>
      </c>
      <c r="V86" s="195">
        <f t="shared" ref="V86:W131" si="13">O86-O138</f>
        <v>-45.523363614454865</v>
      </c>
      <c r="W86" s="197">
        <v>0</v>
      </c>
      <c r="X86" s="195">
        <f>U86+V86+W86</f>
        <v>-45.523363614454865</v>
      </c>
      <c r="Y86" s="196">
        <v>0</v>
      </c>
      <c r="AC86" s="251">
        <f t="shared" ref="AC86:AC131" si="14">(B86-B138)/((SUM(C86:G86)-SUM(C138:G138)))</f>
        <v>4.1304180879833092</v>
      </c>
    </row>
    <row r="87" spans="1:35" ht="15.6" x14ac:dyDescent="0.3">
      <c r="A87" s="194">
        <v>2016</v>
      </c>
      <c r="B87" s="253">
        <f>(B139/Population_Tables!O5)*Population_Tables!C5</f>
        <v>115094199.18578364</v>
      </c>
      <c r="C87" s="253">
        <f>(C139/Population_Tables!P5)*Population_Tables!D5</f>
        <v>15939152.192342574</v>
      </c>
      <c r="D87" s="253">
        <f>(D139/Population_Tables!Q5)*Population_Tables!E5</f>
        <v>9907512.8107564747</v>
      </c>
      <c r="E87" s="253">
        <f>(E139/Population_Tables!R5)*Population_Tables!F5</f>
        <v>15461400.105476769</v>
      </c>
      <c r="F87" s="253">
        <f>(F139/Population_Tables!S5)*Population_Tables!G5</f>
        <v>0</v>
      </c>
      <c r="G87" s="253">
        <f>(G139/Population_Tables!T5)*Population_Tables!H5</f>
        <v>0</v>
      </c>
      <c r="H87" s="253">
        <f>(H139/Population_Tables!U5)*Population_Tables!I5</f>
        <v>0</v>
      </c>
      <c r="I87" s="253">
        <f>(I139/Population_Tables!V5)*Population_Tables!J5</f>
        <v>0</v>
      </c>
      <c r="J87" s="253">
        <f>(J139/Population_Tables!W5)*Population_Tables!K5</f>
        <v>0</v>
      </c>
      <c r="K87" s="253">
        <f>(K139/Population_Tables!X5)*Population_Tables!L5</f>
        <v>0</v>
      </c>
      <c r="N87" s="195">
        <f t="shared" si="9"/>
        <v>9907512.8107564747</v>
      </c>
      <c r="O87" s="195">
        <f t="shared" si="9"/>
        <v>15461400.105476769</v>
      </c>
      <c r="P87" s="195">
        <f t="shared" si="10"/>
        <v>15939152.192342574</v>
      </c>
      <c r="Q87" s="195">
        <f t="shared" si="11"/>
        <v>41308065.108575813</v>
      </c>
      <c r="R87" s="196">
        <f t="shared" si="12"/>
        <v>0.23984451425442371</v>
      </c>
      <c r="U87" s="195">
        <f>N87-N139</f>
        <v>0</v>
      </c>
      <c r="V87" s="195">
        <f>O87-O139</f>
        <v>-46.376816740259528</v>
      </c>
      <c r="W87" s="195">
        <f>P87-P139</f>
        <v>0</v>
      </c>
      <c r="X87" s="195">
        <f>U87+V87+W87</f>
        <v>-46.376816740259528</v>
      </c>
      <c r="Y87" s="196">
        <f t="shared" ref="Y87:Y131" si="15">U87/X87</f>
        <v>0</v>
      </c>
      <c r="AC87" s="251">
        <f>(B87-B139)/((SUM(C87:G87)-SUM(C139:G139)))</f>
        <v>4.0228184378010479</v>
      </c>
    </row>
    <row r="88" spans="1:35" ht="15.6" x14ac:dyDescent="0.3">
      <c r="A88" s="194">
        <v>2017</v>
      </c>
      <c r="B88" s="253">
        <f>(B140/Population_Tables!O6)*Population_Tables!C6</f>
        <v>116991997.70645301</v>
      </c>
      <c r="C88" s="253">
        <f>(C140/Population_Tables!P6)*Population_Tables!D6</f>
        <v>16231121.862325653</v>
      </c>
      <c r="D88" s="253">
        <f>(D140/Population_Tables!Q6)*Population_Tables!E6</f>
        <v>10509149.538710045</v>
      </c>
      <c r="E88" s="253">
        <f>(E140/Population_Tables!R6)*Population_Tables!F6</f>
        <v>16106323.313335896</v>
      </c>
      <c r="F88" s="253">
        <f>(F140/Population_Tables!S6)*Population_Tables!G6</f>
        <v>0</v>
      </c>
      <c r="G88" s="253">
        <f>(G140/Population_Tables!T6)*Population_Tables!H6</f>
        <v>0</v>
      </c>
      <c r="H88" s="253">
        <f>(H140/Population_Tables!U6)*Population_Tables!I6</f>
        <v>0</v>
      </c>
      <c r="I88" s="253">
        <f>(I140/Population_Tables!V6)*Population_Tables!J6</f>
        <v>0</v>
      </c>
      <c r="J88" s="253">
        <f>(J140/Population_Tables!W6)*Population_Tables!K6</f>
        <v>0</v>
      </c>
      <c r="K88" s="253">
        <f>(K140/Population_Tables!X6)*Population_Tables!L6</f>
        <v>0</v>
      </c>
      <c r="N88" s="195">
        <f t="shared" si="9"/>
        <v>10509149.538710045</v>
      </c>
      <c r="O88" s="195">
        <f t="shared" si="9"/>
        <v>16106323.313335896</v>
      </c>
      <c r="P88" s="195">
        <f t="shared" si="10"/>
        <v>16231121.862325653</v>
      </c>
      <c r="Q88" s="195">
        <f t="shared" si="11"/>
        <v>42846594.714371592</v>
      </c>
      <c r="R88" s="196">
        <f t="shared" si="12"/>
        <v>0.24527385685530498</v>
      </c>
      <c r="U88" s="195">
        <f>N88-N140</f>
        <v>0</v>
      </c>
      <c r="V88" s="195">
        <f t="shared" si="13"/>
        <v>-47.058466797694564</v>
      </c>
      <c r="W88" s="195">
        <f t="shared" si="13"/>
        <v>0</v>
      </c>
      <c r="X88" s="195">
        <f t="shared" ref="X88:X131" si="16">U88+V88+W88</f>
        <v>-47.058466797694564</v>
      </c>
      <c r="Y88" s="196">
        <f t="shared" si="15"/>
        <v>0</v>
      </c>
      <c r="AC88" s="251">
        <f t="shared" si="14"/>
        <v>3.9179545877785857</v>
      </c>
    </row>
    <row r="89" spans="1:35" ht="15.6" x14ac:dyDescent="0.3">
      <c r="A89" s="194">
        <v>2018</v>
      </c>
      <c r="B89" s="253">
        <f>(B141/Population_Tables!O7)*Population_Tables!C7</f>
        <v>118858297.65396814</v>
      </c>
      <c r="C89" s="253">
        <f>(C141/Population_Tables!P7)*Population_Tables!D7</f>
        <v>16532324.439675147</v>
      </c>
      <c r="D89" s="253">
        <f>(D141/Population_Tables!Q7)*Population_Tables!E7</f>
        <v>11132997.684636924</v>
      </c>
      <c r="E89" s="253">
        <f>(E141/Population_Tables!R7)*Population_Tables!F7</f>
        <v>16766511.475649668</v>
      </c>
      <c r="F89" s="253">
        <f>(F141/Population_Tables!S7)*Population_Tables!G7</f>
        <v>0</v>
      </c>
      <c r="G89" s="253">
        <f>(G141/Population_Tables!T7)*Population_Tables!H7</f>
        <v>0</v>
      </c>
      <c r="H89" s="253">
        <f>(H141/Population_Tables!U7)*Population_Tables!I7</f>
        <v>0</v>
      </c>
      <c r="I89" s="253">
        <f>(I141/Population_Tables!V7)*Population_Tables!J7</f>
        <v>0</v>
      </c>
      <c r="J89" s="253">
        <f>(J141/Population_Tables!W7)*Population_Tables!K7</f>
        <v>0</v>
      </c>
      <c r="K89" s="253">
        <f>(K141/Population_Tables!X7)*Population_Tables!L7</f>
        <v>0</v>
      </c>
      <c r="N89" s="195">
        <f t="shared" si="9"/>
        <v>11132997.684636924</v>
      </c>
      <c r="O89" s="195">
        <f t="shared" si="9"/>
        <v>16766511.475649668</v>
      </c>
      <c r="P89" s="195">
        <f t="shared" si="10"/>
        <v>16532324.439675147</v>
      </c>
      <c r="Q89" s="195">
        <f t="shared" si="11"/>
        <v>44431833.599961743</v>
      </c>
      <c r="R89" s="196">
        <f t="shared" si="12"/>
        <v>0.25056354380672036</v>
      </c>
      <c r="U89" s="195">
        <f t="shared" ref="U89:U131" si="17">N89-N141</f>
        <v>0</v>
      </c>
      <c r="V89" s="195">
        <f t="shared" si="13"/>
        <v>-47.564342288300395</v>
      </c>
      <c r="W89" s="195">
        <f t="shared" si="13"/>
        <v>0</v>
      </c>
      <c r="X89" s="195">
        <f t="shared" si="16"/>
        <v>-47.564342288300395</v>
      </c>
      <c r="Y89" s="196">
        <f t="shared" si="15"/>
        <v>0</v>
      </c>
      <c r="AC89" s="251">
        <f t="shared" si="14"/>
        <v>3.8162390431036131</v>
      </c>
    </row>
    <row r="90" spans="1:35" ht="16.2" thickBot="1" x14ac:dyDescent="0.35">
      <c r="A90" s="198">
        <v>2019</v>
      </c>
      <c r="B90" s="253">
        <f>(B142/Population_Tables!O8)*Population_Tables!C8</f>
        <v>120702989.73409142</v>
      </c>
      <c r="C90" s="253">
        <f>(C142/Population_Tables!P8)*Population_Tables!D8</f>
        <v>16842450.369742259</v>
      </c>
      <c r="D90" s="253">
        <f>(D142/Population_Tables!Q8)*Population_Tables!E8</f>
        <v>11778166.029086035</v>
      </c>
      <c r="E90" s="253">
        <f>(E142/Population_Tables!R8)*Population_Tables!F8</f>
        <v>17441236.694023237</v>
      </c>
      <c r="F90" s="253">
        <f>(F142/Population_Tables!S8)*Population_Tables!G8</f>
        <v>0</v>
      </c>
      <c r="G90" s="253">
        <f>(G142/Population_Tables!T8)*Population_Tables!H8</f>
        <v>0</v>
      </c>
      <c r="H90" s="253">
        <f>(H142/Population_Tables!U8)*Population_Tables!I8</f>
        <v>0</v>
      </c>
      <c r="I90" s="253">
        <f>(I142/Population_Tables!V8)*Population_Tables!J8</f>
        <v>0</v>
      </c>
      <c r="J90" s="253">
        <f>(J142/Population_Tables!W8)*Population_Tables!K8</f>
        <v>0</v>
      </c>
      <c r="K90" s="253">
        <f>(K142/Population_Tables!X8)*Population_Tables!L8</f>
        <v>0</v>
      </c>
      <c r="N90" s="195">
        <f t="shared" si="9"/>
        <v>11778166.029086035</v>
      </c>
      <c r="O90" s="195">
        <f t="shared" si="9"/>
        <v>17441236.694023237</v>
      </c>
      <c r="P90" s="195">
        <f t="shared" si="10"/>
        <v>16842450.369742259</v>
      </c>
      <c r="Q90" s="195">
        <f t="shared" si="11"/>
        <v>46061853.092851534</v>
      </c>
      <c r="R90" s="199">
        <f t="shared" si="12"/>
        <v>0.25570326068609517</v>
      </c>
      <c r="U90" s="200">
        <f t="shared" si="17"/>
        <v>0</v>
      </c>
      <c r="V90" s="195">
        <f t="shared" si="13"/>
        <v>-48.136380989104509</v>
      </c>
      <c r="W90" s="200">
        <f t="shared" si="13"/>
        <v>0</v>
      </c>
      <c r="X90" s="195">
        <f t="shared" si="16"/>
        <v>-48.136380989104509</v>
      </c>
      <c r="Y90" s="199">
        <f t="shared" si="15"/>
        <v>0</v>
      </c>
      <c r="AC90" s="251">
        <f t="shared" si="14"/>
        <v>3.7179633774389016</v>
      </c>
    </row>
    <row r="91" spans="1:35" ht="15.6" x14ac:dyDescent="0.3">
      <c r="A91" s="201">
        <v>2020</v>
      </c>
      <c r="B91" s="253">
        <f>(B143/Population_Tables!O9)*Population_Tables!C9</f>
        <v>122535965.5646131</v>
      </c>
      <c r="C91" s="253">
        <f>(C143/Population_Tables!P9)*Population_Tables!D9</f>
        <v>17161190.097878199</v>
      </c>
      <c r="D91" s="253">
        <f>(D143/Population_Tables!Q9)*Population_Tables!E9</f>
        <v>12443763.352606304</v>
      </c>
      <c r="E91" s="253">
        <f>(E143/Population_Tables!R9)*Population_Tables!F9</f>
        <v>18129771.290949874</v>
      </c>
      <c r="F91" s="253">
        <f>(F143/Population_Tables!S9)*Population_Tables!G9</f>
        <v>0</v>
      </c>
      <c r="G91" s="253">
        <f>(G143/Population_Tables!T9)*Population_Tables!H9</f>
        <v>0</v>
      </c>
      <c r="H91" s="253">
        <f>(H143/Population_Tables!U9)*Population_Tables!I9</f>
        <v>0</v>
      </c>
      <c r="I91" s="253">
        <f>(I143/Population_Tables!V9)*Population_Tables!J9</f>
        <v>0</v>
      </c>
      <c r="J91" s="253">
        <f>(J143/Population_Tables!W9)*Population_Tables!K9</f>
        <v>0</v>
      </c>
      <c r="K91" s="253">
        <f>(K143/Population_Tables!X9)*Population_Tables!L9</f>
        <v>0</v>
      </c>
      <c r="L91" s="202"/>
      <c r="M91" s="202"/>
      <c r="N91" s="195">
        <f t="shared" si="9"/>
        <v>12443763.352606304</v>
      </c>
      <c r="O91" s="195">
        <f t="shared" si="9"/>
        <v>18129771.290949874</v>
      </c>
      <c r="P91" s="195">
        <f t="shared" si="10"/>
        <v>17161190.097878199</v>
      </c>
      <c r="Q91" s="195">
        <f t="shared" si="11"/>
        <v>47734724.74143438</v>
      </c>
      <c r="R91" s="203">
        <f t="shared" si="12"/>
        <v>0.26068576743682259</v>
      </c>
      <c r="S91" s="202"/>
      <c r="T91" s="202"/>
      <c r="U91" s="204">
        <f>N91-N143</f>
        <v>0</v>
      </c>
      <c r="V91" s="195">
        <f t="shared" si="13"/>
        <v>-48.795632556080818</v>
      </c>
      <c r="W91" s="204">
        <f t="shared" si="13"/>
        <v>0</v>
      </c>
      <c r="X91" s="195">
        <f t="shared" si="16"/>
        <v>-48.795632556080818</v>
      </c>
      <c r="Y91" s="205">
        <f>U91/X91</f>
        <v>0</v>
      </c>
      <c r="AC91" s="251">
        <f t="shared" si="14"/>
        <v>3.6230703198692793</v>
      </c>
    </row>
    <row r="92" spans="1:35" ht="15.6" x14ac:dyDescent="0.3">
      <c r="A92" s="206">
        <v>2021</v>
      </c>
      <c r="B92" s="253">
        <f>(B144/Population_Tables!O10)*Population_Tables!C10</f>
        <v>124524562.61169159</v>
      </c>
      <c r="C92" s="253">
        <f>(C144/Population_Tables!P10)*Population_Tables!D10</f>
        <v>17506373.373044308</v>
      </c>
      <c r="D92" s="253">
        <f>(D144/Population_Tables!Q10)*Population_Tables!E10</f>
        <v>13144474.07835732</v>
      </c>
      <c r="E92" s="253">
        <f>(E144/Population_Tables!R10)*Population_Tables!F10</f>
        <v>18853921.127275802</v>
      </c>
      <c r="F92" s="253">
        <f>(F144/Population_Tables!S10)*Population_Tables!G10</f>
        <v>0</v>
      </c>
      <c r="G92" s="253">
        <f>(G144/Population_Tables!T10)*Population_Tables!H10</f>
        <v>0</v>
      </c>
      <c r="H92" s="253">
        <f>(H144/Population_Tables!U10)*Population_Tables!I10</f>
        <v>0</v>
      </c>
      <c r="I92" s="253">
        <f>(I144/Population_Tables!V10)*Population_Tables!J10</f>
        <v>0</v>
      </c>
      <c r="J92" s="253">
        <f>(J144/Population_Tables!W10)*Population_Tables!K10</f>
        <v>0</v>
      </c>
      <c r="K92" s="253">
        <f>(K144/Population_Tables!X10)*Population_Tables!L10</f>
        <v>0</v>
      </c>
      <c r="L92" s="170"/>
      <c r="M92" s="170"/>
      <c r="N92" s="195">
        <f t="shared" si="9"/>
        <v>13144474.07835732</v>
      </c>
      <c r="O92" s="195">
        <f t="shared" si="9"/>
        <v>18853921.127275802</v>
      </c>
      <c r="P92" s="195">
        <f t="shared" si="10"/>
        <v>17506373.373044308</v>
      </c>
      <c r="Q92" s="195">
        <f t="shared" si="11"/>
        <v>49504768.578677431</v>
      </c>
      <c r="R92" s="196">
        <f t="shared" si="12"/>
        <v>0.26551935208962629</v>
      </c>
      <c r="S92" s="170"/>
      <c r="T92" s="170"/>
      <c r="U92" s="195">
        <f t="shared" si="17"/>
        <v>15575.642610669136</v>
      </c>
      <c r="V92" s="195">
        <f t="shared" si="13"/>
        <v>22483.975206315517</v>
      </c>
      <c r="W92" s="195">
        <f t="shared" si="13"/>
        <v>18139.30361014232</v>
      </c>
      <c r="X92" s="195">
        <f t="shared" si="16"/>
        <v>56198.921427126974</v>
      </c>
      <c r="Y92" s="207">
        <f t="shared" si="15"/>
        <v>0.27715198468472457</v>
      </c>
      <c r="AC92" s="251">
        <f t="shared" si="14"/>
        <v>2.7984666873901958</v>
      </c>
    </row>
    <row r="93" spans="1:35" ht="15.6" x14ac:dyDescent="0.3">
      <c r="A93" s="206">
        <v>2022</v>
      </c>
      <c r="B93" s="253">
        <f>(B145/Population_Tables!O11)*Population_Tables!C11</f>
        <v>126563508.88304071</v>
      </c>
      <c r="C93" s="253">
        <f>(C145/Population_Tables!P11)*Population_Tables!D11</f>
        <v>17865354.293803867</v>
      </c>
      <c r="D93" s="253">
        <f>(D145/Population_Tables!Q11)*Population_Tables!E11</f>
        <v>13868297.279566651</v>
      </c>
      <c r="E93" s="253">
        <f>(E145/Population_Tables!R11)*Population_Tables!F11</f>
        <v>19599605.906977475</v>
      </c>
      <c r="F93" s="253">
        <f>(F145/Population_Tables!S11)*Population_Tables!G11</f>
        <v>0</v>
      </c>
      <c r="G93" s="253">
        <f>(G145/Population_Tables!T11)*Population_Tables!H11</f>
        <v>0</v>
      </c>
      <c r="H93" s="253">
        <f>(H145/Population_Tables!U11)*Population_Tables!I11</f>
        <v>0</v>
      </c>
      <c r="I93" s="253">
        <f>(I145/Population_Tables!V11)*Population_Tables!J11</f>
        <v>0</v>
      </c>
      <c r="J93" s="253">
        <f>(J145/Population_Tables!W11)*Population_Tables!K11</f>
        <v>0</v>
      </c>
      <c r="K93" s="253">
        <f>(K145/Population_Tables!X11)*Population_Tables!L11</f>
        <v>0</v>
      </c>
      <c r="L93" s="170"/>
      <c r="M93" s="170"/>
      <c r="N93" s="195">
        <f t="shared" si="9"/>
        <v>13868297.279566651</v>
      </c>
      <c r="O93" s="195">
        <f t="shared" si="9"/>
        <v>19599605.906977475</v>
      </c>
      <c r="P93" s="195">
        <f t="shared" si="10"/>
        <v>17865354.293803867</v>
      </c>
      <c r="Q93" s="195">
        <f t="shared" si="11"/>
        <v>51333257.480347991</v>
      </c>
      <c r="R93" s="196">
        <f t="shared" si="12"/>
        <v>0.27016203452266552</v>
      </c>
      <c r="S93" s="170"/>
      <c r="T93" s="170"/>
      <c r="U93" s="195">
        <f t="shared" si="17"/>
        <v>35617.220510652289</v>
      </c>
      <c r="V93" s="195">
        <f t="shared" si="13"/>
        <v>54197.536569148302</v>
      </c>
      <c r="W93" s="195">
        <f t="shared" si="13"/>
        <v>42081.564042504877</v>
      </c>
      <c r="X93" s="195">
        <f t="shared" si="16"/>
        <v>131896.32112230547</v>
      </c>
      <c r="Y93" s="207">
        <f t="shared" si="15"/>
        <v>0.27003952959101096</v>
      </c>
      <c r="AC93" s="251">
        <f t="shared" si="14"/>
        <v>2.7066726060592909</v>
      </c>
    </row>
    <row r="94" spans="1:35" ht="15.6" x14ac:dyDescent="0.3">
      <c r="A94" s="206">
        <v>2023</v>
      </c>
      <c r="B94" s="253">
        <f>(B146/Population_Tables!O12)*Population_Tables!C12</f>
        <v>128657983.10372443</v>
      </c>
      <c r="C94" s="253">
        <f>(C146/Population_Tables!P12)*Population_Tables!D12</f>
        <v>18237258.673661649</v>
      </c>
      <c r="D94" s="253">
        <f>(D146/Population_Tables!Q12)*Population_Tables!E12</f>
        <v>14614519.602393869</v>
      </c>
      <c r="E94" s="253">
        <f>(E146/Population_Tables!R12)*Population_Tables!F12</f>
        <v>20365387.756746642</v>
      </c>
      <c r="F94" s="253">
        <f>(F146/Population_Tables!S12)*Population_Tables!G12</f>
        <v>0</v>
      </c>
      <c r="G94" s="253">
        <f>(G146/Population_Tables!T12)*Population_Tables!H12</f>
        <v>0</v>
      </c>
      <c r="H94" s="253">
        <f>(H146/Population_Tables!U12)*Population_Tables!I12</f>
        <v>0</v>
      </c>
      <c r="I94" s="253">
        <f>(I146/Population_Tables!V12)*Population_Tables!J12</f>
        <v>0</v>
      </c>
      <c r="J94" s="253">
        <f>(J146/Population_Tables!W12)*Population_Tables!K12</f>
        <v>0</v>
      </c>
      <c r="K94" s="253">
        <f>(K146/Population_Tables!X12)*Population_Tables!L12</f>
        <v>0</v>
      </c>
      <c r="L94" s="170"/>
      <c r="M94" s="170"/>
      <c r="N94" s="195">
        <f t="shared" si="9"/>
        <v>14614519.602393869</v>
      </c>
      <c r="O94" s="195">
        <f t="shared" si="9"/>
        <v>20365387.756746642</v>
      </c>
      <c r="P94" s="195">
        <f t="shared" si="10"/>
        <v>18237258.673661649</v>
      </c>
      <c r="Q94" s="195">
        <f t="shared" si="11"/>
        <v>53217166.032802165</v>
      </c>
      <c r="R94" s="196">
        <f t="shared" si="12"/>
        <v>0.27462040337483823</v>
      </c>
      <c r="S94" s="170"/>
      <c r="T94" s="170"/>
      <c r="U94" s="195">
        <f>N94-N146</f>
        <v>60302.59931059368</v>
      </c>
      <c r="V94" s="195">
        <f t="shared" si="13"/>
        <v>94381.671604767442</v>
      </c>
      <c r="W94" s="195">
        <f t="shared" si="13"/>
        <v>71262.149450652301</v>
      </c>
      <c r="X94" s="195">
        <f t="shared" si="16"/>
        <v>225946.42036601342</v>
      </c>
      <c r="Y94" s="207">
        <f t="shared" si="15"/>
        <v>0.26688893416814813</v>
      </c>
      <c r="AC94" s="251">
        <f t="shared" si="14"/>
        <v>2.6302621022154762</v>
      </c>
    </row>
    <row r="95" spans="1:35" ht="15.6" x14ac:dyDescent="0.3">
      <c r="A95" s="206">
        <v>2024</v>
      </c>
      <c r="B95" s="253">
        <f>(B147/Population_Tables!O13)*Population_Tables!C13</f>
        <v>130815870.42912826</v>
      </c>
      <c r="C95" s="253">
        <f>(C147/Population_Tables!P13)*Population_Tables!D13</f>
        <v>18621329.172067862</v>
      </c>
      <c r="D95" s="253">
        <f>(D147/Population_Tables!Q13)*Population_Tables!E13</f>
        <v>15382357.640320877</v>
      </c>
      <c r="E95" s="253">
        <f>(E147/Population_Tables!R13)*Population_Tables!F13</f>
        <v>21150009.484050117</v>
      </c>
      <c r="F95" s="253">
        <f>(F147/Population_Tables!S13)*Population_Tables!G13</f>
        <v>0</v>
      </c>
      <c r="G95" s="253">
        <f>(G147/Population_Tables!T13)*Population_Tables!H13</f>
        <v>0</v>
      </c>
      <c r="H95" s="253">
        <f>(H147/Population_Tables!U13)*Population_Tables!I13</f>
        <v>0</v>
      </c>
      <c r="I95" s="253">
        <f>(I147/Population_Tables!V13)*Population_Tables!J13</f>
        <v>0</v>
      </c>
      <c r="J95" s="253">
        <f>(J147/Population_Tables!W13)*Population_Tables!K13</f>
        <v>0</v>
      </c>
      <c r="K95" s="253">
        <f>(K147/Population_Tables!X13)*Population_Tables!L13</f>
        <v>0</v>
      </c>
      <c r="L95" s="170"/>
      <c r="M95" s="170"/>
      <c r="N95" s="195">
        <f t="shared" si="9"/>
        <v>15382357.640320877</v>
      </c>
      <c r="O95" s="195">
        <f t="shared" si="9"/>
        <v>21150009.484050117</v>
      </c>
      <c r="P95" s="195">
        <f t="shared" si="10"/>
        <v>18621329.172067862</v>
      </c>
      <c r="Q95" s="195">
        <f t="shared" si="11"/>
        <v>55153696.296438858</v>
      </c>
      <c r="R95" s="196">
        <f t="shared" si="12"/>
        <v>0.27889985029551101</v>
      </c>
      <c r="S95" s="170"/>
      <c r="T95" s="170"/>
      <c r="U95" s="195">
        <f t="shared" si="17"/>
        <v>89739.591943480074</v>
      </c>
      <c r="V95" s="195">
        <f t="shared" si="13"/>
        <v>142506.84423705935</v>
      </c>
      <c r="W95" s="195">
        <f t="shared" si="13"/>
        <v>105233.27393360063</v>
      </c>
      <c r="X95" s="195">
        <f t="shared" si="16"/>
        <v>337479.71011414006</v>
      </c>
      <c r="Y95" s="207">
        <f t="shared" si="15"/>
        <v>0.26591107332979802</v>
      </c>
      <c r="AC95" s="251">
        <f t="shared" si="14"/>
        <v>2.5695136727187009</v>
      </c>
    </row>
    <row r="96" spans="1:35" ht="15.6" x14ac:dyDescent="0.3">
      <c r="A96" s="206">
        <v>2025</v>
      </c>
      <c r="B96" s="253">
        <f>(B148/Population_Tables!O14)*Population_Tables!C14</f>
        <v>133045788.50848261</v>
      </c>
      <c r="C96" s="253">
        <f>(C148/Population_Tables!P14)*Population_Tables!D14</f>
        <v>18832288.891123246</v>
      </c>
      <c r="D96" s="253">
        <f>(D148/Population_Tables!Q14)*Population_Tables!E14</f>
        <v>15870122.564513022</v>
      </c>
      <c r="E96" s="253">
        <f>(E148/Population_Tables!R14)*Population_Tables!F14</f>
        <v>21519138.637149084</v>
      </c>
      <c r="F96" s="253">
        <f>(F148/Population_Tables!S14)*Population_Tables!G14</f>
        <v>0</v>
      </c>
      <c r="G96" s="253">
        <f>(G148/Population_Tables!T14)*Population_Tables!H14</f>
        <v>0</v>
      </c>
      <c r="H96" s="253">
        <f>(H148/Population_Tables!U14)*Population_Tables!I14</f>
        <v>0</v>
      </c>
      <c r="I96" s="253">
        <f>(I148/Population_Tables!V14)*Population_Tables!J14</f>
        <v>0</v>
      </c>
      <c r="J96" s="253">
        <f>(J148/Population_Tables!W14)*Population_Tables!K14</f>
        <v>0</v>
      </c>
      <c r="K96" s="253">
        <f>(K148/Population_Tables!X14)*Population_Tables!L14</f>
        <v>0</v>
      </c>
      <c r="L96" s="170"/>
      <c r="M96" s="170"/>
      <c r="N96" s="195">
        <f t="shared" si="9"/>
        <v>15870122.564513022</v>
      </c>
      <c r="O96" s="195">
        <f t="shared" si="9"/>
        <v>21519138.637149084</v>
      </c>
      <c r="P96" s="195">
        <f t="shared" si="10"/>
        <v>18832288.891123246</v>
      </c>
      <c r="Q96" s="195">
        <f t="shared" si="11"/>
        <v>56221550.092785358</v>
      </c>
      <c r="R96" s="196">
        <f t="shared" si="12"/>
        <v>0.28227828187450776</v>
      </c>
      <c r="S96" s="170"/>
      <c r="T96" s="170"/>
      <c r="U96" s="195">
        <f t="shared" si="17"/>
        <v>121781.45013171248</v>
      </c>
      <c r="V96" s="195">
        <f t="shared" si="13"/>
        <v>194293.72561221197</v>
      </c>
      <c r="W96" s="195">
        <f t="shared" si="13"/>
        <v>142274.77013338357</v>
      </c>
      <c r="X96" s="195">
        <f t="shared" si="16"/>
        <v>458349.94587730803</v>
      </c>
      <c r="Y96" s="207">
        <f t="shared" si="15"/>
        <v>0.26569535183126469</v>
      </c>
      <c r="AC96" s="251">
        <f t="shared" si="14"/>
        <v>2.5620323722236482</v>
      </c>
    </row>
    <row r="97" spans="1:29" ht="15.6" x14ac:dyDescent="0.3">
      <c r="A97" s="206">
        <v>2026</v>
      </c>
      <c r="B97" s="253">
        <f>(B149/Population_Tables!O15)*Population_Tables!C15</f>
        <v>135356331.68374544</v>
      </c>
      <c r="C97" s="253">
        <f>(C149/Population_Tables!P15)*Population_Tables!D15</f>
        <v>19423573.69369125</v>
      </c>
      <c r="D97" s="253">
        <f>(D149/Population_Tables!Q15)*Population_Tables!E15</f>
        <v>16980230.034252513</v>
      </c>
      <c r="E97" s="253">
        <f>(E149/Population_Tables!R15)*Population_Tables!F15</f>
        <v>22771565.394452699</v>
      </c>
      <c r="F97" s="253">
        <f>(F149/Population_Tables!S15)*Population_Tables!G15</f>
        <v>0</v>
      </c>
      <c r="G97" s="253">
        <f>(G149/Population_Tables!T15)*Population_Tables!H15</f>
        <v>0</v>
      </c>
      <c r="H97" s="253">
        <f>(H149/Population_Tables!U15)*Population_Tables!I15</f>
        <v>0</v>
      </c>
      <c r="I97" s="253">
        <f>(I149/Population_Tables!V15)*Population_Tables!J15</f>
        <v>0</v>
      </c>
      <c r="J97" s="253">
        <f>(J149/Population_Tables!W15)*Population_Tables!K15</f>
        <v>0</v>
      </c>
      <c r="K97" s="253">
        <f>(K149/Population_Tables!X15)*Population_Tables!L15</f>
        <v>0</v>
      </c>
      <c r="L97" s="170"/>
      <c r="M97" s="170"/>
      <c r="N97" s="195">
        <f t="shared" si="9"/>
        <v>16980230.034252513</v>
      </c>
      <c r="O97" s="195">
        <f t="shared" si="9"/>
        <v>22771565.394452699</v>
      </c>
      <c r="P97" s="195">
        <f t="shared" si="10"/>
        <v>19423573.69369125</v>
      </c>
      <c r="Q97" s="195">
        <f t="shared" si="11"/>
        <v>59175369.122396462</v>
      </c>
      <c r="R97" s="196">
        <f t="shared" si="12"/>
        <v>0.28694759806451131</v>
      </c>
      <c r="S97" s="170"/>
      <c r="T97" s="170"/>
      <c r="U97" s="195">
        <f>N97-N149</f>
        <v>163782.4692906253</v>
      </c>
      <c r="V97" s="195">
        <f t="shared" si="13"/>
        <v>261283.75131267682</v>
      </c>
      <c r="W97" s="195">
        <f t="shared" si="13"/>
        <v>186390.52788472176</v>
      </c>
      <c r="X97" s="195">
        <f t="shared" si="16"/>
        <v>611456.74848802388</v>
      </c>
      <c r="Y97" s="207">
        <f t="shared" si="15"/>
        <v>0.26785618066301087</v>
      </c>
      <c r="AC97" s="251">
        <f t="shared" si="14"/>
        <v>2.4767851264843475</v>
      </c>
    </row>
    <row r="98" spans="1:29" ht="15.6" x14ac:dyDescent="0.3">
      <c r="A98" s="206">
        <v>2027</v>
      </c>
      <c r="B98" s="253">
        <f>(B150/Population_Tables!O16)*Population_Tables!C16</f>
        <v>137756325.33895871</v>
      </c>
      <c r="C98" s="253">
        <f>(C150/Population_Tables!P16)*Population_Tables!D16</f>
        <v>19840911.273213793</v>
      </c>
      <c r="D98" s="253">
        <f>(D150/Population_Tables!Q16)*Population_Tables!E16</f>
        <v>17809413.163644239</v>
      </c>
      <c r="E98" s="253">
        <f>(E150/Population_Tables!R16)*Population_Tables!F16</f>
        <v>23606885.205648627</v>
      </c>
      <c r="F98" s="253">
        <f>(F150/Population_Tables!S16)*Population_Tables!G16</f>
        <v>0</v>
      </c>
      <c r="G98" s="253">
        <f>(G150/Population_Tables!T16)*Population_Tables!H16</f>
        <v>0</v>
      </c>
      <c r="H98" s="253">
        <f>(H150/Population_Tables!U16)*Population_Tables!I16</f>
        <v>0</v>
      </c>
      <c r="I98" s="253">
        <f>(I150/Population_Tables!V16)*Population_Tables!J16</f>
        <v>0</v>
      </c>
      <c r="J98" s="253">
        <f>(J150/Population_Tables!W16)*Population_Tables!K16</f>
        <v>0</v>
      </c>
      <c r="K98" s="253">
        <f>(K150/Population_Tables!X16)*Population_Tables!L16</f>
        <v>0</v>
      </c>
      <c r="L98" s="170"/>
      <c r="M98" s="170"/>
      <c r="N98" s="195">
        <f t="shared" si="9"/>
        <v>17809413.163644239</v>
      </c>
      <c r="O98" s="195">
        <f t="shared" si="9"/>
        <v>23606885.205648627</v>
      </c>
      <c r="P98" s="195">
        <f t="shared" si="10"/>
        <v>19840911.273213793</v>
      </c>
      <c r="Q98" s="195">
        <f t="shared" si="11"/>
        <v>61257209.642506659</v>
      </c>
      <c r="R98" s="196">
        <f t="shared" si="12"/>
        <v>0.29073170762394973</v>
      </c>
      <c r="S98" s="170"/>
      <c r="T98" s="170"/>
      <c r="U98" s="195">
        <f t="shared" si="17"/>
        <v>209319.56629414111</v>
      </c>
      <c r="V98" s="195">
        <f t="shared" si="13"/>
        <v>331776.42676697671</v>
      </c>
      <c r="W98" s="195">
        <f t="shared" si="13"/>
        <v>233359.32295586541</v>
      </c>
      <c r="X98" s="195">
        <f t="shared" si="16"/>
        <v>774455.31601698324</v>
      </c>
      <c r="Y98" s="207">
        <f t="shared" si="15"/>
        <v>0.27027972042424575</v>
      </c>
      <c r="AC98" s="251">
        <f t="shared" si="14"/>
        <v>2.4359199811382157</v>
      </c>
    </row>
    <row r="99" spans="1:29" ht="15.6" x14ac:dyDescent="0.3">
      <c r="A99" s="206">
        <v>2028</v>
      </c>
      <c r="B99" s="253">
        <f>(B151/Population_Tables!O17)*Population_Tables!C17</f>
        <v>140256166.95080429</v>
      </c>
      <c r="C99" s="253">
        <f>(C151/Population_Tables!P17)*Population_Tables!D17</f>
        <v>20268740.121335119</v>
      </c>
      <c r="D99" s="253">
        <f>(D151/Population_Tables!Q17)*Population_Tables!E17</f>
        <v>18658064.347922724</v>
      </c>
      <c r="E99" s="253">
        <f>(E151/Population_Tables!R17)*Population_Tables!F17</f>
        <v>24457921.917859577</v>
      </c>
      <c r="F99" s="253">
        <f>(F151/Population_Tables!S17)*Population_Tables!G17</f>
        <v>0</v>
      </c>
      <c r="G99" s="253">
        <f>(G151/Population_Tables!T17)*Population_Tables!H17</f>
        <v>0</v>
      </c>
      <c r="H99" s="253">
        <f>(H151/Population_Tables!U17)*Population_Tables!I17</f>
        <v>0</v>
      </c>
      <c r="I99" s="253">
        <f>(I151/Population_Tables!V17)*Population_Tables!J17</f>
        <v>0</v>
      </c>
      <c r="J99" s="253">
        <f>(J151/Population_Tables!W17)*Population_Tables!K17</f>
        <v>0</v>
      </c>
      <c r="K99" s="253">
        <f>(K151/Population_Tables!X17)*Population_Tables!L17</f>
        <v>0</v>
      </c>
      <c r="L99" s="170"/>
      <c r="M99" s="170"/>
      <c r="N99" s="195">
        <f t="shared" si="9"/>
        <v>18658064.347922724</v>
      </c>
      <c r="O99" s="195">
        <f t="shared" si="9"/>
        <v>24457921.917859577</v>
      </c>
      <c r="P99" s="195">
        <f t="shared" si="10"/>
        <v>20268740.121335119</v>
      </c>
      <c r="Q99" s="195">
        <f t="shared" si="11"/>
        <v>63384726.387117423</v>
      </c>
      <c r="R99" s="196">
        <f t="shared" si="12"/>
        <v>0.29436215018062878</v>
      </c>
      <c r="S99" s="170"/>
      <c r="T99" s="170"/>
      <c r="U99" s="195">
        <f t="shared" si="17"/>
        <v>261025.49472187459</v>
      </c>
      <c r="V99" s="195">
        <f t="shared" si="13"/>
        <v>409997.7891269587</v>
      </c>
      <c r="W99" s="195">
        <f t="shared" si="13"/>
        <v>284682.0257473439</v>
      </c>
      <c r="X99" s="195">
        <f t="shared" si="16"/>
        <v>955705.30959617719</v>
      </c>
      <c r="Y99" s="207">
        <f t="shared" si="15"/>
        <v>0.27312341168447424</v>
      </c>
      <c r="AC99" s="251">
        <f t="shared" si="14"/>
        <v>2.3971885173048508</v>
      </c>
    </row>
    <row r="100" spans="1:29" ht="15.6" x14ac:dyDescent="0.3">
      <c r="A100" s="206">
        <v>2029</v>
      </c>
      <c r="B100" s="253">
        <f>(B152/Population_Tables!O18)*Population_Tables!C18</f>
        <v>142866872.42827418</v>
      </c>
      <c r="C100" s="253">
        <f>(C152/Population_Tables!P18)*Population_Tables!D18</f>
        <v>20706957.258734424</v>
      </c>
      <c r="D100" s="253">
        <f>(D152/Population_Tables!Q18)*Population_Tables!E18</f>
        <v>19525554.01636995</v>
      </c>
      <c r="E100" s="253">
        <f>(E152/Population_Tables!R18)*Population_Tables!F18</f>
        <v>25324474.64853847</v>
      </c>
      <c r="F100" s="253">
        <f>(F152/Population_Tables!S18)*Population_Tables!G18</f>
        <v>0</v>
      </c>
      <c r="G100" s="253">
        <f>(G152/Population_Tables!T18)*Population_Tables!H18</f>
        <v>0</v>
      </c>
      <c r="H100" s="253">
        <f>(H152/Population_Tables!U18)*Population_Tables!I18</f>
        <v>0</v>
      </c>
      <c r="I100" s="253">
        <f>(I152/Population_Tables!V18)*Population_Tables!J18</f>
        <v>0</v>
      </c>
      <c r="J100" s="253">
        <f>(J152/Population_Tables!W18)*Population_Tables!K18</f>
        <v>0</v>
      </c>
      <c r="K100" s="253">
        <f>(K152/Population_Tables!X18)*Population_Tables!L18</f>
        <v>0</v>
      </c>
      <c r="L100" s="170"/>
      <c r="M100" s="170"/>
      <c r="N100" s="195">
        <f t="shared" si="9"/>
        <v>19525554.01636995</v>
      </c>
      <c r="O100" s="195">
        <f t="shared" si="9"/>
        <v>25324474.64853847</v>
      </c>
      <c r="P100" s="195">
        <f t="shared" si="10"/>
        <v>20706957.258734424</v>
      </c>
      <c r="Q100" s="195">
        <f t="shared" si="11"/>
        <v>65556985.923642844</v>
      </c>
      <c r="R100" s="196">
        <f t="shared" si="12"/>
        <v>0.29784093550475671</v>
      </c>
      <c r="S100" s="170"/>
      <c r="T100" s="170"/>
      <c r="U100" s="195">
        <f t="shared" si="17"/>
        <v>319161.90330688655</v>
      </c>
      <c r="V100" s="195">
        <f t="shared" si="13"/>
        <v>496474.61230262741</v>
      </c>
      <c r="W100" s="195">
        <f t="shared" si="13"/>
        <v>340565.2115871422</v>
      </c>
      <c r="X100" s="195">
        <f t="shared" si="16"/>
        <v>1156201.7271966562</v>
      </c>
      <c r="Y100" s="207">
        <f t="shared" si="15"/>
        <v>0.27604344103578815</v>
      </c>
      <c r="AC100" s="251">
        <f t="shared" si="14"/>
        <v>2.360362377259885</v>
      </c>
    </row>
    <row r="101" spans="1:29" ht="15.6" x14ac:dyDescent="0.3">
      <c r="A101" s="206">
        <v>2030</v>
      </c>
      <c r="B101" s="253">
        <f>(B153/Population_Tables!O19)*Population_Tables!C19</f>
        <v>145599732.67589664</v>
      </c>
      <c r="C101" s="253">
        <f>(C153/Population_Tables!P19)*Population_Tables!D19</f>
        <v>21158526.241152916</v>
      </c>
      <c r="D101" s="253">
        <f>(D153/Population_Tables!Q19)*Population_Tables!E19</f>
        <v>20448368.107632112</v>
      </c>
      <c r="E101" s="253">
        <f>(E153/Population_Tables!R19)*Population_Tables!F19</f>
        <v>26283660.250382189</v>
      </c>
      <c r="F101" s="253">
        <f>(F153/Population_Tables!S19)*Population_Tables!G19</f>
        <v>0</v>
      </c>
      <c r="G101" s="253">
        <f>(G153/Population_Tables!T19)*Population_Tables!H19</f>
        <v>0</v>
      </c>
      <c r="H101" s="253">
        <f>(H153/Population_Tables!U19)*Population_Tables!I19</f>
        <v>0</v>
      </c>
      <c r="I101" s="253">
        <f>(I153/Population_Tables!V19)*Population_Tables!J19</f>
        <v>0</v>
      </c>
      <c r="J101" s="253">
        <f>(J153/Population_Tables!W19)*Population_Tables!K19</f>
        <v>0</v>
      </c>
      <c r="K101" s="253">
        <f>(K153/Population_Tables!X19)*Population_Tables!L19</f>
        <v>0</v>
      </c>
      <c r="L101" s="170"/>
      <c r="M101" s="170"/>
      <c r="N101" s="195">
        <f t="shared" si="9"/>
        <v>20448368.107632112</v>
      </c>
      <c r="O101" s="195">
        <f t="shared" si="9"/>
        <v>26283660.250382189</v>
      </c>
      <c r="P101" s="195">
        <f t="shared" si="10"/>
        <v>21158526.241152916</v>
      </c>
      <c r="Q101" s="195">
        <f t="shared" si="11"/>
        <v>67890554.599167213</v>
      </c>
      <c r="R101" s="196">
        <f t="shared" si="12"/>
        <v>0.30119606811818478</v>
      </c>
      <c r="S101" s="170"/>
      <c r="T101" s="170"/>
      <c r="U101" s="195">
        <f t="shared" si="17"/>
        <v>384724.61410232261</v>
      </c>
      <c r="V101" s="195">
        <f t="shared" si="13"/>
        <v>593468.30609595031</v>
      </c>
      <c r="W101" s="195">
        <f t="shared" si="13"/>
        <v>401263.27063764259</v>
      </c>
      <c r="X101" s="195">
        <f t="shared" si="16"/>
        <v>1379456.1908359155</v>
      </c>
      <c r="Y101" s="207">
        <f t="shared" si="15"/>
        <v>0.27889585523494531</v>
      </c>
      <c r="AC101" s="251">
        <f t="shared" si="14"/>
        <v>2.3212467469768581</v>
      </c>
    </row>
    <row r="102" spans="1:29" ht="15.6" x14ac:dyDescent="0.3">
      <c r="A102" s="206">
        <v>2031</v>
      </c>
      <c r="B102" s="253">
        <f>(B154/Population_Tables!O20)*Population_Tables!C20</f>
        <v>148465563.6070514</v>
      </c>
      <c r="C102" s="253">
        <f>(C154/Population_Tables!P20)*Population_Tables!D20</f>
        <v>21613938.710843839</v>
      </c>
      <c r="D102" s="253">
        <f>(D154/Population_Tables!Q20)*Population_Tables!E20</f>
        <v>21314729.446304295</v>
      </c>
      <c r="E102" s="253">
        <f>(E154/Population_Tables!R20)*Population_Tables!F20</f>
        <v>27102948.750639156</v>
      </c>
      <c r="F102" s="253">
        <f>(F154/Population_Tables!S20)*Population_Tables!G20</f>
        <v>0</v>
      </c>
      <c r="G102" s="253">
        <f>(G154/Population_Tables!T20)*Population_Tables!H20</f>
        <v>0</v>
      </c>
      <c r="H102" s="253">
        <f>(H154/Population_Tables!U20)*Population_Tables!I20</f>
        <v>0</v>
      </c>
      <c r="I102" s="253">
        <f>(I154/Population_Tables!V20)*Population_Tables!J20</f>
        <v>0</v>
      </c>
      <c r="J102" s="253">
        <f>(J154/Population_Tables!W20)*Population_Tables!K20</f>
        <v>0</v>
      </c>
      <c r="K102" s="253">
        <f>(K154/Population_Tables!X20)*Population_Tables!L20</f>
        <v>0</v>
      </c>
      <c r="L102" s="170"/>
      <c r="M102" s="170"/>
      <c r="N102" s="195">
        <f t="shared" si="9"/>
        <v>21314729.446304295</v>
      </c>
      <c r="O102" s="195">
        <f t="shared" si="9"/>
        <v>27102948.750639156</v>
      </c>
      <c r="P102" s="195">
        <f t="shared" si="10"/>
        <v>21613938.710843839</v>
      </c>
      <c r="Q102" s="195">
        <f t="shared" si="11"/>
        <v>70031616.907787293</v>
      </c>
      <c r="R102" s="196">
        <f t="shared" si="12"/>
        <v>0.30435866523501853</v>
      </c>
      <c r="S102" s="170"/>
      <c r="T102" s="170"/>
      <c r="U102" s="195">
        <f t="shared" si="17"/>
        <v>455971.67928670719</v>
      </c>
      <c r="V102" s="195">
        <f t="shared" si="13"/>
        <v>695925.85226837173</v>
      </c>
      <c r="W102" s="195">
        <f t="shared" si="13"/>
        <v>466633.56048377976</v>
      </c>
      <c r="X102" s="195">
        <f t="shared" si="16"/>
        <v>1618531.0920388587</v>
      </c>
      <c r="Y102" s="207">
        <f t="shared" si="15"/>
        <v>0.28171944396342802</v>
      </c>
      <c r="AC102" s="251">
        <f t="shared" si="14"/>
        <v>2.292782302791263</v>
      </c>
    </row>
    <row r="103" spans="1:29" ht="15.6" x14ac:dyDescent="0.3">
      <c r="A103" s="206">
        <v>2032</v>
      </c>
      <c r="B103" s="253">
        <f>(B155/Population_Tables!O21)*Population_Tables!C21</f>
        <v>151473064.49719477</v>
      </c>
      <c r="C103" s="253">
        <f>(C155/Population_Tables!P21)*Population_Tables!D21</f>
        <v>22081837.605451699</v>
      </c>
      <c r="D103" s="253">
        <f>(D155/Population_Tables!Q21)*Population_Tables!E21</f>
        <v>22235155.620643318</v>
      </c>
      <c r="E103" s="253">
        <f>(E155/Population_Tables!R21)*Population_Tables!F21</f>
        <v>28013249.569811862</v>
      </c>
      <c r="F103" s="253">
        <f>(F155/Population_Tables!S21)*Population_Tables!G21</f>
        <v>0</v>
      </c>
      <c r="G103" s="253">
        <f>(G155/Population_Tables!T21)*Population_Tables!H21</f>
        <v>0</v>
      </c>
      <c r="H103" s="253">
        <f>(H155/Population_Tables!U21)*Population_Tables!I21</f>
        <v>0</v>
      </c>
      <c r="I103" s="253">
        <f>(I155/Population_Tables!V21)*Population_Tables!J21</f>
        <v>0</v>
      </c>
      <c r="J103" s="253">
        <f>(J155/Population_Tables!W21)*Population_Tables!K21</f>
        <v>0</v>
      </c>
      <c r="K103" s="253">
        <f>(K155/Population_Tables!X21)*Population_Tables!L21</f>
        <v>0</v>
      </c>
      <c r="L103" s="170"/>
      <c r="M103" s="170"/>
      <c r="N103" s="195">
        <f t="shared" si="9"/>
        <v>22235155.620643318</v>
      </c>
      <c r="O103" s="195">
        <f t="shared" si="9"/>
        <v>28013249.569811862</v>
      </c>
      <c r="P103" s="195">
        <f t="shared" si="10"/>
        <v>22081837.605451699</v>
      </c>
      <c r="Q103" s="195">
        <f t="shared" si="11"/>
        <v>72330242.795906886</v>
      </c>
      <c r="R103" s="196">
        <f t="shared" si="12"/>
        <v>0.30741159936907592</v>
      </c>
      <c r="S103" s="170"/>
      <c r="T103" s="170"/>
      <c r="U103" s="195">
        <f t="shared" si="17"/>
        <v>535167.89843557775</v>
      </c>
      <c r="V103" s="195">
        <f t="shared" si="13"/>
        <v>808735.02972352132</v>
      </c>
      <c r="W103" s="195">
        <f t="shared" si="13"/>
        <v>536572.41273595765</v>
      </c>
      <c r="X103" s="195">
        <f t="shared" si="16"/>
        <v>1880475.3408950567</v>
      </c>
      <c r="Y103" s="207">
        <f t="shared" si="15"/>
        <v>0.28459181931141514</v>
      </c>
      <c r="AC103" s="251">
        <f t="shared" si="14"/>
        <v>2.2624632766940853</v>
      </c>
    </row>
    <row r="104" spans="1:29" ht="15.6" x14ac:dyDescent="0.3">
      <c r="A104" s="206">
        <v>2033</v>
      </c>
      <c r="B104" s="253">
        <f>(B156/Population_Tables!O22)*Population_Tables!C22</f>
        <v>154627355.61431417</v>
      </c>
      <c r="C104" s="253">
        <f>(C156/Population_Tables!P22)*Population_Tables!D22</f>
        <v>22558164.035670266</v>
      </c>
      <c r="D104" s="253">
        <f>(D156/Population_Tables!Q22)*Population_Tables!E22</f>
        <v>23171341.935996968</v>
      </c>
      <c r="E104" s="253">
        <f>(E156/Population_Tables!R22)*Population_Tables!F22</f>
        <v>28935497.678208578</v>
      </c>
      <c r="F104" s="253">
        <f>(F156/Population_Tables!S22)*Population_Tables!G22</f>
        <v>0</v>
      </c>
      <c r="G104" s="253">
        <f>(G156/Population_Tables!T22)*Population_Tables!H22</f>
        <v>0</v>
      </c>
      <c r="H104" s="253">
        <f>(H156/Population_Tables!U22)*Population_Tables!I22</f>
        <v>0</v>
      </c>
      <c r="I104" s="253">
        <f>(I156/Population_Tables!V22)*Population_Tables!J22</f>
        <v>0</v>
      </c>
      <c r="J104" s="253">
        <f>(J156/Population_Tables!W22)*Population_Tables!K22</f>
        <v>0</v>
      </c>
      <c r="K104" s="253">
        <f>(K156/Population_Tables!X22)*Population_Tables!L22</f>
        <v>0</v>
      </c>
      <c r="L104" s="170"/>
      <c r="M104" s="170"/>
      <c r="N104" s="195">
        <f t="shared" si="9"/>
        <v>23171341.935996968</v>
      </c>
      <c r="O104" s="195">
        <f t="shared" si="9"/>
        <v>28935497.678208578</v>
      </c>
      <c r="P104" s="195">
        <f t="shared" si="10"/>
        <v>22558164.035670266</v>
      </c>
      <c r="Q104" s="195">
        <f t="shared" si="11"/>
        <v>74665003.649875805</v>
      </c>
      <c r="R104" s="196">
        <f t="shared" si="12"/>
        <v>0.310337384360866</v>
      </c>
      <c r="S104" s="170"/>
      <c r="T104" s="170"/>
      <c r="U104" s="195">
        <f t="shared" si="17"/>
        <v>621281.13239191845</v>
      </c>
      <c r="V104" s="195">
        <f t="shared" si="13"/>
        <v>929141.56457871571</v>
      </c>
      <c r="W104" s="195">
        <f t="shared" si="13"/>
        <v>610349.21296437457</v>
      </c>
      <c r="X104" s="195">
        <f t="shared" si="16"/>
        <v>2160771.9099350087</v>
      </c>
      <c r="Y104" s="207">
        <f t="shared" si="15"/>
        <v>0.28752740145099592</v>
      </c>
      <c r="AC104" s="251">
        <f t="shared" si="14"/>
        <v>2.2343809798642793</v>
      </c>
    </row>
    <row r="105" spans="1:29" ht="15.6" x14ac:dyDescent="0.3">
      <c r="A105" s="206">
        <v>2034</v>
      </c>
      <c r="B105" s="253">
        <f>(B157/Population_Tables!O23)*Population_Tables!C23</f>
        <v>157931634.41001374</v>
      </c>
      <c r="C105" s="253">
        <f>(C157/Population_Tables!P23)*Population_Tables!D23</f>
        <v>23041658.937200364</v>
      </c>
      <c r="D105" s="253">
        <f>(D157/Population_Tables!Q23)*Population_Tables!E23</f>
        <v>24121736.187330667</v>
      </c>
      <c r="E105" s="253">
        <f>(E157/Population_Tables!R23)*Population_Tables!F23</f>
        <v>29867467.996994507</v>
      </c>
      <c r="F105" s="253">
        <f>(F157/Population_Tables!S23)*Population_Tables!G23</f>
        <v>0</v>
      </c>
      <c r="G105" s="253">
        <f>(G157/Population_Tables!T23)*Population_Tables!H23</f>
        <v>0</v>
      </c>
      <c r="H105" s="253">
        <f>(H157/Population_Tables!U23)*Population_Tables!I23</f>
        <v>0</v>
      </c>
      <c r="I105" s="253">
        <f>(I157/Population_Tables!V23)*Population_Tables!J23</f>
        <v>0</v>
      </c>
      <c r="J105" s="253">
        <f>(J157/Population_Tables!W23)*Population_Tables!K23</f>
        <v>0</v>
      </c>
      <c r="K105" s="253">
        <f>(K157/Population_Tables!X23)*Population_Tables!L23</f>
        <v>0</v>
      </c>
      <c r="L105" s="170"/>
      <c r="M105" s="170"/>
      <c r="N105" s="195">
        <f t="shared" si="9"/>
        <v>24121736.187330667</v>
      </c>
      <c r="O105" s="195">
        <f t="shared" si="9"/>
        <v>29867467.996994507</v>
      </c>
      <c r="P105" s="195">
        <f t="shared" si="10"/>
        <v>23041658.937200364</v>
      </c>
      <c r="Q105" s="195">
        <f t="shared" si="11"/>
        <v>77030863.121525541</v>
      </c>
      <c r="R105" s="196">
        <f t="shared" si="12"/>
        <v>0.31314378691662453</v>
      </c>
      <c r="S105" s="170"/>
      <c r="T105" s="170"/>
      <c r="U105" s="195">
        <f t="shared" si="17"/>
        <v>713650.39557222277</v>
      </c>
      <c r="V105" s="195">
        <f t="shared" si="13"/>
        <v>1055648.0344562382</v>
      </c>
      <c r="W105" s="195">
        <f t="shared" si="13"/>
        <v>687014.45151865482</v>
      </c>
      <c r="X105" s="195">
        <f t="shared" si="16"/>
        <v>2456312.8815471157</v>
      </c>
      <c r="Y105" s="207">
        <f t="shared" si="15"/>
        <v>0.29053725237264072</v>
      </c>
      <c r="AC105" s="251">
        <f t="shared" si="14"/>
        <v>2.2084682398087994</v>
      </c>
    </row>
    <row r="106" spans="1:29" ht="15.6" x14ac:dyDescent="0.3">
      <c r="A106" s="206">
        <v>2035</v>
      </c>
      <c r="B106" s="253">
        <f>(B158/Population_Tables!O24)*Population_Tables!C24</f>
        <v>161391294.01782703</v>
      </c>
      <c r="C106" s="253">
        <f>(C158/Population_Tables!P24)*Population_Tables!D24</f>
        <v>23670491.999271367</v>
      </c>
      <c r="D106" s="253">
        <f>(D158/Population_Tables!Q24)*Population_Tables!E24</f>
        <v>25314369.990176048</v>
      </c>
      <c r="E106" s="253">
        <f>(E158/Population_Tables!R24)*Population_Tables!F24</f>
        <v>31087007.792871419</v>
      </c>
      <c r="F106" s="253">
        <f>(F158/Population_Tables!S24)*Population_Tables!G24</f>
        <v>0</v>
      </c>
      <c r="G106" s="253">
        <f>(G158/Population_Tables!T24)*Population_Tables!H24</f>
        <v>0</v>
      </c>
      <c r="H106" s="253">
        <f>(H158/Population_Tables!U24)*Population_Tables!I24</f>
        <v>0</v>
      </c>
      <c r="I106" s="253">
        <f>(I158/Population_Tables!V24)*Population_Tables!J24</f>
        <v>0</v>
      </c>
      <c r="J106" s="253">
        <f>(J158/Population_Tables!W24)*Population_Tables!K24</f>
        <v>0</v>
      </c>
      <c r="K106" s="253">
        <f>(K158/Population_Tables!X24)*Population_Tables!L24</f>
        <v>0</v>
      </c>
      <c r="L106" s="170"/>
      <c r="M106" s="170"/>
      <c r="N106" s="195">
        <f t="shared" si="9"/>
        <v>25314369.990176048</v>
      </c>
      <c r="O106" s="195">
        <f t="shared" si="9"/>
        <v>31087007.792871419</v>
      </c>
      <c r="P106" s="195">
        <f t="shared" si="10"/>
        <v>23670491.999271367</v>
      </c>
      <c r="Q106" s="195">
        <f t="shared" si="11"/>
        <v>80071869.78231883</v>
      </c>
      <c r="R106" s="196">
        <f t="shared" si="12"/>
        <v>0.31614560842646727</v>
      </c>
      <c r="S106" s="170"/>
      <c r="T106" s="170"/>
      <c r="U106" s="195">
        <f t="shared" si="17"/>
        <v>819149.83046526834</v>
      </c>
      <c r="V106" s="195">
        <f t="shared" si="13"/>
        <v>1197844.8516754545</v>
      </c>
      <c r="W106" s="195">
        <f t="shared" si="13"/>
        <v>770344.81405008957</v>
      </c>
      <c r="X106" s="195">
        <f t="shared" si="16"/>
        <v>2787339.4961908124</v>
      </c>
      <c r="Y106" s="207">
        <f t="shared" si="15"/>
        <v>0.29388233173057005</v>
      </c>
      <c r="AC106" s="251">
        <f t="shared" si="14"/>
        <v>2.1669810409793215</v>
      </c>
    </row>
    <row r="107" spans="1:29" ht="15.6" x14ac:dyDescent="0.3">
      <c r="A107" s="206">
        <v>2036</v>
      </c>
      <c r="B107" s="253">
        <f>(B159/Population_Tables!O25)*Population_Tables!C25</f>
        <v>165015242.15425894</v>
      </c>
      <c r="C107" s="253">
        <f>(C159/Population_Tables!P25)*Population_Tables!D25</f>
        <v>24026253.00915549</v>
      </c>
      <c r="D107" s="253">
        <f>(D159/Population_Tables!Q25)*Population_Tables!E25</f>
        <v>26059639.449022733</v>
      </c>
      <c r="E107" s="253">
        <f>(E159/Population_Tables!R25)*Population_Tables!F25</f>
        <v>31753525.672804959</v>
      </c>
      <c r="F107" s="253">
        <f>(F159/Population_Tables!S25)*Population_Tables!G25</f>
        <v>0</v>
      </c>
      <c r="G107" s="253">
        <f>(G159/Population_Tables!T25)*Population_Tables!H25</f>
        <v>0</v>
      </c>
      <c r="H107" s="253">
        <f>(H159/Population_Tables!U25)*Population_Tables!I25</f>
        <v>0</v>
      </c>
      <c r="I107" s="253">
        <f>(I159/Population_Tables!V25)*Population_Tables!J25</f>
        <v>0</v>
      </c>
      <c r="J107" s="253">
        <f>(J159/Population_Tables!W25)*Population_Tables!K25</f>
        <v>0</v>
      </c>
      <c r="K107" s="253">
        <f>(K159/Population_Tables!X25)*Population_Tables!L25</f>
        <v>0</v>
      </c>
      <c r="L107" s="170"/>
      <c r="M107" s="170"/>
      <c r="N107" s="195">
        <f t="shared" si="9"/>
        <v>26059639.449022733</v>
      </c>
      <c r="O107" s="195">
        <f t="shared" si="9"/>
        <v>31753525.672804959</v>
      </c>
      <c r="P107" s="195">
        <f t="shared" si="10"/>
        <v>24026253.00915549</v>
      </c>
      <c r="Q107" s="195">
        <f t="shared" si="11"/>
        <v>81839418.130983174</v>
      </c>
      <c r="R107" s="196">
        <f t="shared" si="12"/>
        <v>0.3184240558420704</v>
      </c>
      <c r="S107" s="170"/>
      <c r="T107" s="170"/>
      <c r="U107" s="195">
        <f t="shared" si="17"/>
        <v>915212.83849356696</v>
      </c>
      <c r="V107" s="195">
        <f t="shared" si="13"/>
        <v>1322821.8121775091</v>
      </c>
      <c r="W107" s="195">
        <f t="shared" si="13"/>
        <v>846347.31716032326</v>
      </c>
      <c r="X107" s="195">
        <f t="shared" si="16"/>
        <v>3084381.9678313993</v>
      </c>
      <c r="Y107" s="207">
        <f t="shared" si="15"/>
        <v>0.29672487001895059</v>
      </c>
      <c r="AC107" s="251">
        <f t="shared" si="14"/>
        <v>2.1635686945049901</v>
      </c>
    </row>
    <row r="108" spans="1:29" ht="15.6" x14ac:dyDescent="0.3">
      <c r="A108" s="206">
        <v>2037</v>
      </c>
      <c r="B108" s="253">
        <f>(B160/Population_Tables!O26)*Population_Tables!C26</f>
        <v>168816422.03397617</v>
      </c>
      <c r="C108" s="253">
        <f>(C160/Population_Tables!P26)*Population_Tables!D26</f>
        <v>24526374.714125566</v>
      </c>
      <c r="D108" s="253">
        <f>(D160/Population_Tables!Q26)*Population_Tables!E26</f>
        <v>27045246.212697484</v>
      </c>
      <c r="E108" s="253">
        <f>(E160/Population_Tables!R26)*Population_Tables!F26</f>
        <v>32705773.631983195</v>
      </c>
      <c r="F108" s="253">
        <f>(F160/Population_Tables!S26)*Population_Tables!G26</f>
        <v>0</v>
      </c>
      <c r="G108" s="253">
        <f>(G160/Population_Tables!T26)*Population_Tables!H26</f>
        <v>0</v>
      </c>
      <c r="H108" s="253">
        <f>(H160/Population_Tables!U26)*Population_Tables!I26</f>
        <v>0</v>
      </c>
      <c r="I108" s="253">
        <f>(I160/Population_Tables!V26)*Population_Tables!J26</f>
        <v>0</v>
      </c>
      <c r="J108" s="253">
        <f>(J160/Population_Tables!W26)*Population_Tables!K26</f>
        <v>0</v>
      </c>
      <c r="K108" s="253">
        <f>(K160/Population_Tables!X26)*Population_Tables!L26</f>
        <v>0</v>
      </c>
      <c r="L108" s="170"/>
      <c r="M108" s="170"/>
      <c r="N108" s="195">
        <f t="shared" si="9"/>
        <v>27045246.212697484</v>
      </c>
      <c r="O108" s="195">
        <f t="shared" si="9"/>
        <v>32705773.631983195</v>
      </c>
      <c r="P108" s="195">
        <f t="shared" si="10"/>
        <v>24526374.714125566</v>
      </c>
      <c r="Q108" s="195">
        <f t="shared" si="11"/>
        <v>84277394.558806241</v>
      </c>
      <c r="R108" s="196">
        <f t="shared" si="12"/>
        <v>0.32090747885930576</v>
      </c>
      <c r="S108" s="170"/>
      <c r="T108" s="170"/>
      <c r="U108" s="195">
        <f t="shared" si="17"/>
        <v>1024286.2104531415</v>
      </c>
      <c r="V108" s="195">
        <f t="shared" si="13"/>
        <v>1463105.0350891203</v>
      </c>
      <c r="W108" s="195">
        <f t="shared" si="13"/>
        <v>928656.58809035271</v>
      </c>
      <c r="X108" s="195">
        <f t="shared" si="16"/>
        <v>3416047.8336326145</v>
      </c>
      <c r="Y108" s="207">
        <f t="shared" si="15"/>
        <v>0.29984539454294429</v>
      </c>
      <c r="AC108" s="251">
        <f t="shared" si="14"/>
        <v>2.1449412166395638</v>
      </c>
    </row>
    <row r="109" spans="1:29" ht="15.6" x14ac:dyDescent="0.3">
      <c r="A109" s="206">
        <v>2038</v>
      </c>
      <c r="B109" s="253">
        <f>(B161/Population_Tables!O27)*Population_Tables!C27</f>
        <v>172809481.96279201</v>
      </c>
      <c r="C109" s="253">
        <f>(C161/Population_Tables!P27)*Population_Tables!D27</f>
        <v>25031540.515960366</v>
      </c>
      <c r="D109" s="253">
        <f>(D161/Population_Tables!Q27)*Population_Tables!E27</f>
        <v>28041252.846834235</v>
      </c>
      <c r="E109" s="253">
        <f>(E161/Population_Tables!R27)*Population_Tables!F27</f>
        <v>33663753.299170382</v>
      </c>
      <c r="F109" s="253">
        <f>(F161/Population_Tables!S27)*Population_Tables!G27</f>
        <v>0</v>
      </c>
      <c r="G109" s="253">
        <f>(G161/Population_Tables!T27)*Population_Tables!H27</f>
        <v>0</v>
      </c>
      <c r="H109" s="253">
        <f>(H161/Population_Tables!U27)*Population_Tables!I27</f>
        <v>0</v>
      </c>
      <c r="I109" s="253">
        <f>(I161/Population_Tables!V27)*Population_Tables!J27</f>
        <v>0</v>
      </c>
      <c r="J109" s="253">
        <f>(J161/Population_Tables!W27)*Population_Tables!K27</f>
        <v>0</v>
      </c>
      <c r="K109" s="253">
        <f>(K161/Population_Tables!X27)*Population_Tables!L27</f>
        <v>0</v>
      </c>
      <c r="L109" s="170"/>
      <c r="M109" s="170"/>
      <c r="N109" s="195">
        <f t="shared" si="9"/>
        <v>28041252.846834235</v>
      </c>
      <c r="O109" s="195">
        <f t="shared" si="9"/>
        <v>33663753.299170382</v>
      </c>
      <c r="P109" s="195">
        <f t="shared" si="10"/>
        <v>25031540.515960366</v>
      </c>
      <c r="Q109" s="195">
        <f t="shared" si="11"/>
        <v>86736546.661964983</v>
      </c>
      <c r="R109" s="196">
        <f t="shared" si="12"/>
        <v>0.32329224445744115</v>
      </c>
      <c r="S109" s="170"/>
      <c r="T109" s="170"/>
      <c r="U109" s="195">
        <f t="shared" si="17"/>
        <v>1139372.4239229411</v>
      </c>
      <c r="V109" s="195">
        <f t="shared" si="13"/>
        <v>1608408.3164710961</v>
      </c>
      <c r="W109" s="195">
        <f t="shared" si="13"/>
        <v>1012968.141494628</v>
      </c>
      <c r="X109" s="195">
        <f t="shared" si="16"/>
        <v>3760748.8818886653</v>
      </c>
      <c r="Y109" s="207">
        <f t="shared" si="15"/>
        <v>0.30296423922640192</v>
      </c>
      <c r="AC109" s="251">
        <f t="shared" si="14"/>
        <v>2.1290219871788794</v>
      </c>
    </row>
    <row r="110" spans="1:29" ht="15.6" x14ac:dyDescent="0.3">
      <c r="A110" s="206">
        <v>2039</v>
      </c>
      <c r="B110" s="253">
        <f>(B162/Population_Tables!O28)*Population_Tables!C28</f>
        <v>177011417.57364348</v>
      </c>
      <c r="C110" s="253">
        <f>(C162/Population_Tables!P28)*Population_Tables!D28</f>
        <v>25541929.696963679</v>
      </c>
      <c r="D110" s="253">
        <f>(D162/Population_Tables!Q28)*Population_Tables!E28</f>
        <v>29047557.191685781</v>
      </c>
      <c r="E110" s="253">
        <f>(E162/Population_Tables!R28)*Population_Tables!F28</f>
        <v>34627698.166262805</v>
      </c>
      <c r="F110" s="253">
        <f>(F162/Population_Tables!S28)*Population_Tables!G28</f>
        <v>0</v>
      </c>
      <c r="G110" s="253">
        <f>(G162/Population_Tables!T28)*Population_Tables!H28</f>
        <v>0</v>
      </c>
      <c r="H110" s="253">
        <f>(H162/Population_Tables!U28)*Population_Tables!I28</f>
        <v>0</v>
      </c>
      <c r="I110" s="253">
        <f>(I162/Population_Tables!V28)*Population_Tables!J28</f>
        <v>0</v>
      </c>
      <c r="J110" s="253">
        <f>(J162/Population_Tables!W28)*Population_Tables!K28</f>
        <v>0</v>
      </c>
      <c r="K110" s="253">
        <f>(K162/Population_Tables!X28)*Population_Tables!L28</f>
        <v>0</v>
      </c>
      <c r="L110" s="170"/>
      <c r="M110" s="170"/>
      <c r="N110" s="195">
        <f t="shared" si="9"/>
        <v>29047557.191685781</v>
      </c>
      <c r="O110" s="195">
        <f t="shared" si="9"/>
        <v>34627698.166262805</v>
      </c>
      <c r="P110" s="195">
        <f t="shared" si="10"/>
        <v>25541929.696963679</v>
      </c>
      <c r="Q110" s="195">
        <f t="shared" si="11"/>
        <v>89217185.054912269</v>
      </c>
      <c r="R110" s="196">
        <f t="shared" si="12"/>
        <v>0.32558253405784215</v>
      </c>
      <c r="S110" s="170"/>
      <c r="T110" s="170"/>
      <c r="U110" s="195">
        <f t="shared" si="17"/>
        <v>1261260.5386068374</v>
      </c>
      <c r="V110" s="195">
        <f t="shared" si="13"/>
        <v>1759692.8046767972</v>
      </c>
      <c r="W110" s="195">
        <f t="shared" si="13"/>
        <v>1099770.8143257275</v>
      </c>
      <c r="X110" s="195">
        <f t="shared" si="16"/>
        <v>4120724.1576093622</v>
      </c>
      <c r="Y110" s="207">
        <f t="shared" si="15"/>
        <v>0.30607740056508842</v>
      </c>
      <c r="AC110" s="251">
        <f t="shared" si="14"/>
        <v>2.1158567459459343</v>
      </c>
    </row>
    <row r="111" spans="1:29" ht="15.6" x14ac:dyDescent="0.3">
      <c r="A111" s="206">
        <v>2040</v>
      </c>
      <c r="B111" s="253">
        <f>(B163/Population_Tables!O29)*Population_Tables!C29</f>
        <v>181438786.42437905</v>
      </c>
      <c r="C111" s="253">
        <f>(C163/Population_Tables!P29)*Population_Tables!D29</f>
        <v>26179331.116767786</v>
      </c>
      <c r="D111" s="253">
        <f>(D163/Population_Tables!Q29)*Population_Tables!E29</f>
        <v>30204459.180022977</v>
      </c>
      <c r="E111" s="253">
        <f>(E163/Population_Tables!R29)*Population_Tables!F29</f>
        <v>35840742.094615176</v>
      </c>
      <c r="F111" s="253">
        <f>(F163/Population_Tables!S29)*Population_Tables!G29</f>
        <v>0</v>
      </c>
      <c r="G111" s="253">
        <f>(G163/Population_Tables!T29)*Population_Tables!H29</f>
        <v>0</v>
      </c>
      <c r="H111" s="253">
        <f>(H163/Population_Tables!U29)*Population_Tables!I29</f>
        <v>0</v>
      </c>
      <c r="I111" s="253">
        <f>(I163/Population_Tables!V29)*Population_Tables!J29</f>
        <v>0</v>
      </c>
      <c r="J111" s="253">
        <f>(J163/Population_Tables!W29)*Population_Tables!K29</f>
        <v>0</v>
      </c>
      <c r="K111" s="253">
        <f>(K163/Population_Tables!X29)*Population_Tables!L29</f>
        <v>0</v>
      </c>
      <c r="L111" s="170"/>
      <c r="M111" s="170"/>
      <c r="N111" s="195">
        <f t="shared" si="9"/>
        <v>30204459.180022977</v>
      </c>
      <c r="O111" s="195">
        <f t="shared" si="9"/>
        <v>35840742.094615176</v>
      </c>
      <c r="P111" s="195">
        <f t="shared" si="10"/>
        <v>26179331.116767786</v>
      </c>
      <c r="Q111" s="195">
        <f t="shared" si="11"/>
        <v>92224532.39140594</v>
      </c>
      <c r="R111" s="196">
        <f>N111/Q111</f>
        <v>0.32751002793739964</v>
      </c>
      <c r="S111" s="170"/>
      <c r="T111" s="170"/>
      <c r="U111" s="195">
        <f t="shared" si="17"/>
        <v>1397163.8703662418</v>
      </c>
      <c r="V111" s="195">
        <f t="shared" si="13"/>
        <v>1930926.7255426794</v>
      </c>
      <c r="W111" s="195">
        <f t="shared" si="13"/>
        <v>1195029.1523218006</v>
      </c>
      <c r="X111" s="195">
        <f t="shared" si="16"/>
        <v>4523119.7482307218</v>
      </c>
      <c r="Y111" s="207">
        <f t="shared" si="15"/>
        <v>0.30889384940842235</v>
      </c>
      <c r="AC111" s="251">
        <f t="shared" si="14"/>
        <v>2.0937589653796809</v>
      </c>
    </row>
    <row r="112" spans="1:29" ht="15.6" x14ac:dyDescent="0.3">
      <c r="A112" s="206">
        <v>2041</v>
      </c>
      <c r="B112" s="253">
        <f>(B164/Population_Tables!O30)*Population_Tables!C30</f>
        <v>186105253.5045085</v>
      </c>
      <c r="C112" s="253">
        <f>(C164/Population_Tables!P30)*Population_Tables!D30</f>
        <v>26578477.712192252</v>
      </c>
      <c r="D112" s="253">
        <f>(D164/Population_Tables!Q30)*Population_Tables!E30</f>
        <v>31089929.195192412</v>
      </c>
      <c r="E112" s="253">
        <f>(E164/Population_Tables!R30)*Population_Tables!F30</f>
        <v>36573463.765017472</v>
      </c>
      <c r="F112" s="253">
        <f>(F164/Population_Tables!S30)*Population_Tables!G30</f>
        <v>0</v>
      </c>
      <c r="G112" s="253">
        <f>(G164/Population_Tables!T30)*Population_Tables!H30</f>
        <v>0</v>
      </c>
      <c r="H112" s="253">
        <f>(H164/Population_Tables!U30)*Population_Tables!I30</f>
        <v>0</v>
      </c>
      <c r="I112" s="253">
        <f>(I164/Population_Tables!V30)*Population_Tables!J30</f>
        <v>0</v>
      </c>
      <c r="J112" s="253">
        <f>(J164/Population_Tables!W30)*Population_Tables!K30</f>
        <v>0</v>
      </c>
      <c r="K112" s="253">
        <f>(K164/Population_Tables!X30)*Population_Tables!L30</f>
        <v>0</v>
      </c>
      <c r="L112" s="170"/>
      <c r="M112" s="170"/>
      <c r="N112" s="195">
        <f t="shared" si="9"/>
        <v>31089929.195192412</v>
      </c>
      <c r="O112" s="195">
        <f t="shared" si="9"/>
        <v>36573463.765017472</v>
      </c>
      <c r="P112" s="195">
        <f t="shared" si="10"/>
        <v>26578477.712192252</v>
      </c>
      <c r="Q112" s="195">
        <f t="shared" si="11"/>
        <v>94241870.672402143</v>
      </c>
      <c r="R112" s="196">
        <f t="shared" si="12"/>
        <v>0.32989507713896438</v>
      </c>
      <c r="S112" s="170"/>
      <c r="T112" s="170"/>
      <c r="U112" s="195">
        <f t="shared" si="17"/>
        <v>1527877.5310803838</v>
      </c>
      <c r="V112" s="195">
        <f t="shared" si="13"/>
        <v>2083096.292241767</v>
      </c>
      <c r="W112" s="195">
        <f t="shared" si="13"/>
        <v>1282187.252580002</v>
      </c>
      <c r="X112" s="195">
        <f t="shared" si="16"/>
        <v>4893161.0759021528</v>
      </c>
      <c r="Y112" s="207">
        <f t="shared" si="15"/>
        <v>0.31224754455864479</v>
      </c>
      <c r="AC112" s="251">
        <f t="shared" si="14"/>
        <v>2.097799717253336</v>
      </c>
    </row>
    <row r="113" spans="1:29" ht="15.6" x14ac:dyDescent="0.3">
      <c r="A113" s="206">
        <v>2042</v>
      </c>
      <c r="B113" s="253">
        <f>(B165/Population_Tables!O31)*Population_Tables!C31</f>
        <v>191023868.53348044</v>
      </c>
      <c r="C113" s="253">
        <f>(C165/Population_Tables!P31)*Population_Tables!D31</f>
        <v>27104078.512142524</v>
      </c>
      <c r="D113" s="253">
        <f>(D165/Population_Tables!Q31)*Population_Tables!E31</f>
        <v>32124597.924290195</v>
      </c>
      <c r="E113" s="253">
        <f>(E165/Population_Tables!R31)*Population_Tables!F31</f>
        <v>37554220.455761664</v>
      </c>
      <c r="F113" s="253">
        <f>(F165/Population_Tables!S31)*Population_Tables!G31</f>
        <v>0</v>
      </c>
      <c r="G113" s="253">
        <f>(G165/Population_Tables!T31)*Population_Tables!H31</f>
        <v>0</v>
      </c>
      <c r="H113" s="253">
        <f>(H165/Population_Tables!U31)*Population_Tables!I31</f>
        <v>0</v>
      </c>
      <c r="I113" s="253">
        <f>(I165/Population_Tables!V31)*Population_Tables!J31</f>
        <v>0</v>
      </c>
      <c r="J113" s="253">
        <f>(J165/Population_Tables!W31)*Population_Tables!K31</f>
        <v>0</v>
      </c>
      <c r="K113" s="253">
        <f>(K165/Population_Tables!X31)*Population_Tables!L31</f>
        <v>0</v>
      </c>
      <c r="L113" s="170"/>
      <c r="M113" s="170"/>
      <c r="N113" s="195">
        <f t="shared" si="9"/>
        <v>32124597.924290195</v>
      </c>
      <c r="O113" s="195">
        <f t="shared" si="9"/>
        <v>37554220.455761664</v>
      </c>
      <c r="P113" s="195">
        <f t="shared" si="10"/>
        <v>27104078.512142524</v>
      </c>
      <c r="Q113" s="195">
        <f t="shared" si="11"/>
        <v>96782896.89219439</v>
      </c>
      <c r="R113" s="196">
        <f t="shared" si="12"/>
        <v>0.33192432708512021</v>
      </c>
      <c r="S113" s="170"/>
      <c r="T113" s="170"/>
      <c r="U113" s="195">
        <f t="shared" si="17"/>
        <v>1672989.9182148874</v>
      </c>
      <c r="V113" s="195">
        <f t="shared" si="13"/>
        <v>2255606.5635971352</v>
      </c>
      <c r="W113" s="195">
        <f t="shared" si="13"/>
        <v>1377862.0930257849</v>
      </c>
      <c r="X113" s="195">
        <f t="shared" si="16"/>
        <v>5306458.5748378076</v>
      </c>
      <c r="Y113" s="207">
        <f t="shared" si="15"/>
        <v>0.31527428220167014</v>
      </c>
      <c r="AC113" s="251">
        <f t="shared" si="14"/>
        <v>2.0928587463186243</v>
      </c>
    </row>
    <row r="114" spans="1:29" ht="15.6" x14ac:dyDescent="0.3">
      <c r="A114" s="206">
        <v>2043</v>
      </c>
      <c r="B114" s="253">
        <f>(B166/Population_Tables!O32)*Population_Tables!C32</f>
        <v>196210568.46361494</v>
      </c>
      <c r="C114" s="253">
        <f>(C166/Population_Tables!P32)*Population_Tables!D32</f>
        <v>27634299.522859</v>
      </c>
      <c r="D114" s="253">
        <f>(D166/Population_Tables!Q32)*Population_Tables!E32</f>
        <v>33167477.310217712</v>
      </c>
      <c r="E114" s="253">
        <f>(E166/Population_Tables!R32)*Population_Tables!F32</f>
        <v>38540039.616124712</v>
      </c>
      <c r="F114" s="253">
        <f>(F166/Population_Tables!S32)*Population_Tables!G32</f>
        <v>0</v>
      </c>
      <c r="G114" s="253">
        <f>(G166/Population_Tables!T32)*Population_Tables!H32</f>
        <v>0</v>
      </c>
      <c r="H114" s="253">
        <f>(H166/Population_Tables!U32)*Population_Tables!I32</f>
        <v>0</v>
      </c>
      <c r="I114" s="253">
        <f>(I166/Population_Tables!V32)*Population_Tables!J32</f>
        <v>0</v>
      </c>
      <c r="J114" s="253">
        <f>(J166/Population_Tables!W32)*Population_Tables!K32</f>
        <v>0</v>
      </c>
      <c r="K114" s="253">
        <f>(K166/Population_Tables!X32)*Population_Tables!L32</f>
        <v>0</v>
      </c>
      <c r="L114" s="170"/>
      <c r="M114" s="170"/>
      <c r="N114" s="195">
        <f t="shared" si="9"/>
        <v>33167477.310217712</v>
      </c>
      <c r="O114" s="195">
        <f t="shared" si="9"/>
        <v>38540039.616124712</v>
      </c>
      <c r="P114" s="195">
        <f t="shared" si="10"/>
        <v>27634299.522859</v>
      </c>
      <c r="Q114" s="195">
        <f t="shared" si="11"/>
        <v>99341816.449201435</v>
      </c>
      <c r="R114" s="196">
        <f t="shared" si="12"/>
        <v>0.33387226543394183</v>
      </c>
      <c r="S114" s="170"/>
      <c r="T114" s="170"/>
      <c r="U114" s="195">
        <f t="shared" si="17"/>
        <v>1826382.0304827355</v>
      </c>
      <c r="V114" s="195">
        <f t="shared" si="13"/>
        <v>2436105.9373181462</v>
      </c>
      <c r="W114" s="195">
        <f t="shared" si="13"/>
        <v>1476663.1030912735</v>
      </c>
      <c r="X114" s="195">
        <f t="shared" si="16"/>
        <v>5739151.0708921552</v>
      </c>
      <c r="Y114" s="207">
        <f t="shared" si="15"/>
        <v>0.31823208832152644</v>
      </c>
      <c r="AC114" s="251">
        <f t="shared" si="14"/>
        <v>2.0906849475236977</v>
      </c>
    </row>
    <row r="115" spans="1:29" ht="15.6" x14ac:dyDescent="0.3">
      <c r="A115" s="206">
        <v>2044</v>
      </c>
      <c r="B115" s="253">
        <f>(B167/Population_Tables!O33)*Population_Tables!C33</f>
        <v>201682110.74719593</v>
      </c>
      <c r="C115" s="253">
        <f>(C167/Population_Tables!P33)*Population_Tables!D33</f>
        <v>28169004.677607406</v>
      </c>
      <c r="D115" s="253">
        <f>(D167/Population_Tables!Q33)*Population_Tables!E33</f>
        <v>34218067.841091529</v>
      </c>
      <c r="E115" s="253">
        <f>(E167/Population_Tables!R33)*Population_Tables!F33</f>
        <v>39531103.471806683</v>
      </c>
      <c r="F115" s="253">
        <f>(F167/Population_Tables!S33)*Population_Tables!G33</f>
        <v>0</v>
      </c>
      <c r="G115" s="253">
        <f>(G167/Population_Tables!T33)*Population_Tables!H33</f>
        <v>0</v>
      </c>
      <c r="H115" s="253">
        <f>(H167/Population_Tables!U33)*Population_Tables!I33</f>
        <v>0</v>
      </c>
      <c r="I115" s="253">
        <f>(I167/Population_Tables!V33)*Population_Tables!J33</f>
        <v>0</v>
      </c>
      <c r="J115" s="253">
        <f>(J167/Population_Tables!W33)*Population_Tables!K33</f>
        <v>0</v>
      </c>
      <c r="K115" s="253">
        <f>(K167/Population_Tables!X33)*Population_Tables!L33</f>
        <v>0</v>
      </c>
      <c r="L115" s="170"/>
      <c r="M115" s="170"/>
      <c r="N115" s="195">
        <f t="shared" si="9"/>
        <v>34218067.841091529</v>
      </c>
      <c r="O115" s="195">
        <f t="shared" si="9"/>
        <v>39531103.471806683</v>
      </c>
      <c r="P115" s="195">
        <f t="shared" si="10"/>
        <v>28169004.677607406</v>
      </c>
      <c r="Q115" s="195">
        <f t="shared" si="11"/>
        <v>101918175.99050561</v>
      </c>
      <c r="R115" s="196">
        <f t="shared" si="12"/>
        <v>0.33574058315446287</v>
      </c>
      <c r="S115" s="170"/>
      <c r="T115" s="170"/>
      <c r="U115" s="195">
        <f t="shared" si="17"/>
        <v>1988445.575451564</v>
      </c>
      <c r="V115" s="195">
        <f t="shared" si="13"/>
        <v>2625504.2955619469</v>
      </c>
      <c r="W115" s="195">
        <f t="shared" si="13"/>
        <v>1578763.7706909925</v>
      </c>
      <c r="X115" s="195">
        <f t="shared" si="16"/>
        <v>6192713.6417045034</v>
      </c>
      <c r="Y115" s="207">
        <f t="shared" si="15"/>
        <v>0.32109438454581241</v>
      </c>
      <c r="AC115" s="251">
        <f t="shared" si="14"/>
        <v>2.0913292606276253</v>
      </c>
    </row>
    <row r="116" spans="1:29" ht="15.6" x14ac:dyDescent="0.3">
      <c r="A116" s="206">
        <v>2045</v>
      </c>
      <c r="B116" s="253">
        <f>(B168/Population_Tables!O34)*Population_Tables!C34</f>
        <v>207455316.79275617</v>
      </c>
      <c r="C116" s="253">
        <f>(C168/Population_Tables!P34)*Population_Tables!D34</f>
        <v>28698798.099619143</v>
      </c>
      <c r="D116" s="253">
        <f>(D168/Population_Tables!Q34)*Population_Tables!E34</f>
        <v>35252667.30263605</v>
      </c>
      <c r="E116" s="253">
        <f>(E168/Population_Tables!R34)*Population_Tables!F34</f>
        <v>40492774.938894771</v>
      </c>
      <c r="F116" s="253">
        <f>(F168/Population_Tables!S34)*Population_Tables!G34</f>
        <v>0</v>
      </c>
      <c r="G116" s="253">
        <f>(G168/Population_Tables!T34)*Population_Tables!H34</f>
        <v>0</v>
      </c>
      <c r="H116" s="253">
        <f>(H168/Population_Tables!U34)*Population_Tables!I34</f>
        <v>0</v>
      </c>
      <c r="I116" s="253">
        <f>(I168/Population_Tables!V34)*Population_Tables!J34</f>
        <v>0</v>
      </c>
      <c r="J116" s="253">
        <f>(J168/Population_Tables!W34)*Population_Tables!K34</f>
        <v>0</v>
      </c>
      <c r="K116" s="253">
        <f>(K168/Population_Tables!X34)*Population_Tables!L34</f>
        <v>0</v>
      </c>
      <c r="L116" s="170"/>
      <c r="M116" s="170"/>
      <c r="N116" s="195">
        <f t="shared" si="9"/>
        <v>35252667.30263605</v>
      </c>
      <c r="O116" s="195">
        <f t="shared" si="9"/>
        <v>40492774.938894771</v>
      </c>
      <c r="P116" s="195">
        <f t="shared" si="10"/>
        <v>28698798.099619143</v>
      </c>
      <c r="Q116" s="195">
        <f t="shared" si="11"/>
        <v>104444240.34114996</v>
      </c>
      <c r="R116" s="196">
        <f t="shared" si="12"/>
        <v>0.33752619759106872</v>
      </c>
      <c r="S116" s="170"/>
      <c r="T116" s="170"/>
      <c r="U116" s="195">
        <f t="shared" si="17"/>
        <v>2158166.5265201442</v>
      </c>
      <c r="V116" s="195">
        <f t="shared" si="13"/>
        <v>2822226.4173798636</v>
      </c>
      <c r="W116" s="195">
        <f t="shared" si="13"/>
        <v>1683829.2377171703</v>
      </c>
      <c r="X116" s="195">
        <f t="shared" si="16"/>
        <v>6664222.181617178</v>
      </c>
      <c r="Y116" s="207">
        <f t="shared" si="15"/>
        <v>0.32384372364914626</v>
      </c>
      <c r="AC116" s="251">
        <f t="shared" si="14"/>
        <v>2.0961692225766977</v>
      </c>
    </row>
    <row r="117" spans="1:29" ht="15.6" x14ac:dyDescent="0.3">
      <c r="A117" s="206">
        <v>2046</v>
      </c>
      <c r="B117" s="253">
        <f>(B169/Population_Tables!O35)*Population_Tables!C35</f>
        <v>213546224.13777354</v>
      </c>
      <c r="C117" s="253">
        <f>(C169/Population_Tables!P35)*Population_Tables!D35</f>
        <v>29251437.168950122</v>
      </c>
      <c r="D117" s="253">
        <f>(D169/Population_Tables!Q35)*Population_Tables!E35</f>
        <v>36340408.255398624</v>
      </c>
      <c r="E117" s="253">
        <f>(E169/Population_Tables!R35)*Population_Tables!F35</f>
        <v>41529148.237280801</v>
      </c>
      <c r="F117" s="253">
        <f>(F169/Population_Tables!S35)*Population_Tables!G35</f>
        <v>0</v>
      </c>
      <c r="G117" s="253">
        <f>(G169/Population_Tables!T35)*Population_Tables!H35</f>
        <v>0</v>
      </c>
      <c r="H117" s="253">
        <f>(H169/Population_Tables!U35)*Population_Tables!I35</f>
        <v>0</v>
      </c>
      <c r="I117" s="253">
        <f>(I169/Population_Tables!V35)*Population_Tables!J35</f>
        <v>0</v>
      </c>
      <c r="J117" s="253">
        <f>(J169/Population_Tables!W35)*Population_Tables!K35</f>
        <v>0</v>
      </c>
      <c r="K117" s="253">
        <f>(K169/Population_Tables!X35)*Population_Tables!L35</f>
        <v>0</v>
      </c>
      <c r="L117" s="170"/>
      <c r="M117" s="170"/>
      <c r="N117" s="195">
        <f t="shared" si="9"/>
        <v>36340408.255398624</v>
      </c>
      <c r="O117" s="195">
        <f t="shared" si="9"/>
        <v>41529148.237280801</v>
      </c>
      <c r="P117" s="195">
        <f t="shared" si="10"/>
        <v>29251437.168950122</v>
      </c>
      <c r="Q117" s="195">
        <f t="shared" si="11"/>
        <v>107120993.66162954</v>
      </c>
      <c r="R117" s="196">
        <f t="shared" si="12"/>
        <v>0.33924637004572206</v>
      </c>
      <c r="S117" s="170"/>
      <c r="T117" s="170"/>
      <c r="U117" s="195">
        <f t="shared" si="17"/>
        <v>2340177.7590170577</v>
      </c>
      <c r="V117" s="195">
        <f t="shared" si="13"/>
        <v>3034091.5595995784</v>
      </c>
      <c r="W117" s="195">
        <f t="shared" si="13"/>
        <v>1793672.0468384102</v>
      </c>
      <c r="X117" s="195">
        <f t="shared" si="16"/>
        <v>7167941.3654550463</v>
      </c>
      <c r="Y117" s="207">
        <f t="shared" si="15"/>
        <v>0.32647836243405082</v>
      </c>
      <c r="AC117" s="251">
        <f t="shared" si="14"/>
        <v>2.1010084222620953</v>
      </c>
    </row>
    <row r="118" spans="1:29" ht="15.6" x14ac:dyDescent="0.3">
      <c r="A118" s="206">
        <v>2047</v>
      </c>
      <c r="B118" s="253">
        <f>(B170/Population_Tables!O36)*Population_Tables!C36</f>
        <v>219970982.75743762</v>
      </c>
      <c r="C118" s="253">
        <f>(C170/Population_Tables!P36)*Population_Tables!D36</f>
        <v>29798980.750749189</v>
      </c>
      <c r="D118" s="253">
        <f>(D170/Population_Tables!Q36)*Population_Tables!E36</f>
        <v>37411113.295264766</v>
      </c>
      <c r="E118" s="253">
        <f>(E170/Population_Tables!R36)*Population_Tables!F36</f>
        <v>42535708.201392502</v>
      </c>
      <c r="F118" s="253">
        <f>(F170/Population_Tables!S36)*Population_Tables!G36</f>
        <v>0</v>
      </c>
      <c r="G118" s="253">
        <f>(G170/Population_Tables!T36)*Population_Tables!H36</f>
        <v>0</v>
      </c>
      <c r="H118" s="253">
        <f>(H170/Population_Tables!U36)*Population_Tables!I36</f>
        <v>0</v>
      </c>
      <c r="I118" s="253">
        <f>(I170/Population_Tables!V36)*Population_Tables!J36</f>
        <v>0</v>
      </c>
      <c r="J118" s="253">
        <f>(J170/Population_Tables!W36)*Population_Tables!K36</f>
        <v>0</v>
      </c>
      <c r="K118" s="253">
        <f>(K170/Population_Tables!X36)*Population_Tables!L36</f>
        <v>0</v>
      </c>
      <c r="L118" s="170"/>
      <c r="M118" s="170"/>
      <c r="N118" s="195">
        <f t="shared" si="9"/>
        <v>37411113.295264766</v>
      </c>
      <c r="O118" s="195">
        <f t="shared" si="9"/>
        <v>42535708.201392502</v>
      </c>
      <c r="P118" s="195">
        <f t="shared" si="10"/>
        <v>29798980.750749189</v>
      </c>
      <c r="Q118" s="195">
        <f t="shared" si="11"/>
        <v>109745802.24740645</v>
      </c>
      <c r="R118" s="196">
        <f t="shared" si="12"/>
        <v>0.34088878598679045</v>
      </c>
      <c r="S118" s="170"/>
      <c r="T118" s="170"/>
      <c r="U118" s="195">
        <f t="shared" si="17"/>
        <v>2530583.9929487258</v>
      </c>
      <c r="V118" s="195">
        <f t="shared" si="13"/>
        <v>3254314.8326271325</v>
      </c>
      <c r="W118" s="195">
        <f t="shared" si="13"/>
        <v>1906915.0098884627</v>
      </c>
      <c r="X118" s="195">
        <f t="shared" si="16"/>
        <v>7691813.8354643211</v>
      </c>
      <c r="Y118" s="207">
        <f t="shared" si="15"/>
        <v>0.32899704115056311</v>
      </c>
      <c r="AC118" s="251">
        <f t="shared" si="14"/>
        <v>2.1099008809910509</v>
      </c>
    </row>
    <row r="119" spans="1:29" ht="15.6" x14ac:dyDescent="0.3">
      <c r="A119" s="206">
        <v>2048</v>
      </c>
      <c r="B119" s="253">
        <f>(B171/Population_Tables!O37)*Population_Tables!C37</f>
        <v>226747043.05168229</v>
      </c>
      <c r="C119" s="253">
        <f>(C171/Population_Tables!P37)*Population_Tables!D37</f>
        <v>30350842.200341612</v>
      </c>
      <c r="D119" s="253">
        <f>(D171/Population_Tables!Q37)*Population_Tables!E37</f>
        <v>38487493.92414052</v>
      </c>
      <c r="E119" s="253">
        <f>(E171/Population_Tables!R37)*Population_Tables!F37</f>
        <v>43547213.541317426</v>
      </c>
      <c r="F119" s="253">
        <f>(F171/Population_Tables!S37)*Population_Tables!G37</f>
        <v>0</v>
      </c>
      <c r="G119" s="253">
        <f>(G171/Population_Tables!T37)*Population_Tables!H37</f>
        <v>0</v>
      </c>
      <c r="H119" s="253">
        <f>(H171/Population_Tables!U37)*Population_Tables!I37</f>
        <v>0</v>
      </c>
      <c r="I119" s="253">
        <f>(I171/Population_Tables!V37)*Population_Tables!J37</f>
        <v>0</v>
      </c>
      <c r="J119" s="253">
        <f>(J171/Population_Tables!W37)*Population_Tables!K37</f>
        <v>0</v>
      </c>
      <c r="K119" s="253">
        <f>(K171/Population_Tables!X37)*Population_Tables!L37</f>
        <v>0</v>
      </c>
      <c r="L119" s="170"/>
      <c r="M119" s="170"/>
      <c r="N119" s="195">
        <f t="shared" si="9"/>
        <v>38487493.92414052</v>
      </c>
      <c r="O119" s="195">
        <f t="shared" si="9"/>
        <v>43547213.541317426</v>
      </c>
      <c r="P119" s="195">
        <f t="shared" si="10"/>
        <v>30350842.200341612</v>
      </c>
      <c r="Q119" s="195">
        <f t="shared" si="11"/>
        <v>112385549.66579956</v>
      </c>
      <c r="R119" s="196">
        <f t="shared" si="12"/>
        <v>0.34245945353820506</v>
      </c>
      <c r="S119" s="170"/>
      <c r="T119" s="170"/>
      <c r="U119" s="195">
        <f t="shared" si="17"/>
        <v>2731190.9814490005</v>
      </c>
      <c r="V119" s="195">
        <f t="shared" si="13"/>
        <v>3486048.396500051</v>
      </c>
      <c r="W119" s="195">
        <f t="shared" si="13"/>
        <v>2024529.5728293546</v>
      </c>
      <c r="X119" s="195">
        <f t="shared" si="16"/>
        <v>8241768.9507784061</v>
      </c>
      <c r="Y119" s="207">
        <f t="shared" si="15"/>
        <v>0.3313840751615646</v>
      </c>
      <c r="AC119" s="251">
        <f t="shared" si="14"/>
        <v>2.1213983408784745</v>
      </c>
    </row>
    <row r="120" spans="1:29" ht="15.6" x14ac:dyDescent="0.3">
      <c r="A120" s="206">
        <v>2049</v>
      </c>
      <c r="B120" s="253">
        <f>(B172/Population_Tables!O38)*Population_Tables!C38</f>
        <v>233892429.06214273</v>
      </c>
      <c r="C120" s="253">
        <f>(C172/Population_Tables!P38)*Population_Tables!D38</f>
        <v>30907235.786416516</v>
      </c>
      <c r="D120" s="253">
        <f>(D172/Population_Tables!Q38)*Population_Tables!E38</f>
        <v>39569069.896129079</v>
      </c>
      <c r="E120" s="253">
        <f>(E172/Population_Tables!R38)*Population_Tables!F38</f>
        <v>44563700.978056557</v>
      </c>
      <c r="F120" s="253">
        <f>(F172/Population_Tables!S38)*Population_Tables!G38</f>
        <v>0</v>
      </c>
      <c r="G120" s="253">
        <f>(G172/Population_Tables!T38)*Population_Tables!H38</f>
        <v>0</v>
      </c>
      <c r="H120" s="253">
        <f>(H172/Population_Tables!U38)*Population_Tables!I38</f>
        <v>0</v>
      </c>
      <c r="I120" s="253">
        <f>(I172/Population_Tables!V38)*Population_Tables!J38</f>
        <v>0</v>
      </c>
      <c r="J120" s="253">
        <f>(J172/Population_Tables!W38)*Population_Tables!K38</f>
        <v>0</v>
      </c>
      <c r="K120" s="253">
        <f>(K172/Population_Tables!X38)*Population_Tables!L38</f>
        <v>0</v>
      </c>
      <c r="L120" s="170"/>
      <c r="M120" s="170"/>
      <c r="N120" s="195">
        <f t="shared" si="9"/>
        <v>39569069.896129079</v>
      </c>
      <c r="O120" s="195">
        <f t="shared" si="9"/>
        <v>44563700.978056557</v>
      </c>
      <c r="P120" s="195">
        <f t="shared" si="10"/>
        <v>30907235.786416516</v>
      </c>
      <c r="Q120" s="195">
        <f t="shared" si="11"/>
        <v>115040006.66060215</v>
      </c>
      <c r="R120" s="196">
        <f t="shared" si="12"/>
        <v>0.34395921075411701</v>
      </c>
      <c r="S120" s="170"/>
      <c r="T120" s="170"/>
      <c r="U120" s="195">
        <f t="shared" si="17"/>
        <v>2942409.6980721578</v>
      </c>
      <c r="V120" s="195">
        <f t="shared" si="13"/>
        <v>3730056.6286764219</v>
      </c>
      <c r="W120" s="195">
        <f t="shared" si="13"/>
        <v>2147039.5589990132</v>
      </c>
      <c r="X120" s="195">
        <f t="shared" si="16"/>
        <v>8819505.8857475929</v>
      </c>
      <c r="Y120" s="207">
        <f t="shared" si="15"/>
        <v>0.33362523209232398</v>
      </c>
      <c r="AC120" s="251">
        <f t="shared" si="14"/>
        <v>2.1354221378970055</v>
      </c>
    </row>
    <row r="121" spans="1:29" ht="16.2" thickBot="1" x14ac:dyDescent="0.35">
      <c r="A121" s="208">
        <v>2050</v>
      </c>
      <c r="B121" s="253">
        <f>(B173/Population_Tables!O39)*Population_Tables!C39</f>
        <v>241425231.11618915</v>
      </c>
      <c r="C121" s="253">
        <f>(C173/Population_Tables!P39)*Population_Tables!D39</f>
        <v>31349006.579162098</v>
      </c>
      <c r="D121" s="253">
        <f>(D173/Population_Tables!Q39)*Population_Tables!E39</f>
        <v>40497286.686440378</v>
      </c>
      <c r="E121" s="253">
        <f>(E173/Population_Tables!R39)*Population_Tables!F39</f>
        <v>45332185.798164591</v>
      </c>
      <c r="F121" s="253">
        <f>(F173/Population_Tables!S39)*Population_Tables!G39</f>
        <v>0</v>
      </c>
      <c r="G121" s="253">
        <f>(G173/Population_Tables!T39)*Population_Tables!H39</f>
        <v>0</v>
      </c>
      <c r="H121" s="253">
        <f>(H173/Population_Tables!U39)*Population_Tables!I39</f>
        <v>0</v>
      </c>
      <c r="I121" s="253">
        <f>(I173/Population_Tables!V39)*Population_Tables!J39</f>
        <v>0</v>
      </c>
      <c r="J121" s="253">
        <f>(J173/Population_Tables!W39)*Population_Tables!K39</f>
        <v>0</v>
      </c>
      <c r="K121" s="253">
        <f>(K173/Population_Tables!X39)*Population_Tables!L39</f>
        <v>0</v>
      </c>
      <c r="L121" s="209"/>
      <c r="M121" s="209"/>
      <c r="N121" s="195">
        <f t="shared" si="9"/>
        <v>40497286.686440378</v>
      </c>
      <c r="O121" s="195">
        <f t="shared" si="9"/>
        <v>45332185.798164591</v>
      </c>
      <c r="P121" s="195">
        <f t="shared" si="10"/>
        <v>31349006.579162098</v>
      </c>
      <c r="Q121" s="195">
        <f t="shared" si="11"/>
        <v>117178479.06376706</v>
      </c>
      <c r="R121" s="210">
        <f t="shared" si="12"/>
        <v>0.34560345048003449</v>
      </c>
      <c r="S121" s="209"/>
      <c r="T121" s="209"/>
      <c r="U121" s="211">
        <f t="shared" si="17"/>
        <v>3152321.8815434054</v>
      </c>
      <c r="V121" s="195">
        <f t="shared" si="13"/>
        <v>3964881.9365821704</v>
      </c>
      <c r="W121" s="211">
        <f t="shared" si="13"/>
        <v>2266292.0874200985</v>
      </c>
      <c r="X121" s="195">
        <f t="shared" si="16"/>
        <v>9383495.9055456743</v>
      </c>
      <c r="Y121" s="212">
        <f t="shared" si="15"/>
        <v>0.33594322556056894</v>
      </c>
      <c r="AC121" s="251">
        <f t="shared" si="14"/>
        <v>2.1617788347463454</v>
      </c>
    </row>
    <row r="122" spans="1:29" ht="15.6" x14ac:dyDescent="0.3">
      <c r="A122" s="213">
        <v>2051</v>
      </c>
      <c r="B122" s="253">
        <f>(B174/Population_Tables!O40)*Population_Tables!C40</f>
        <v>249363391.03693742</v>
      </c>
      <c r="C122" s="253">
        <f>(C174/Population_Tables!P40)*Population_Tables!D40</f>
        <v>32034096.749701653</v>
      </c>
      <c r="D122" s="253">
        <f>(D174/Population_Tables!Q40)*Population_Tables!E40</f>
        <v>41745760.106206127</v>
      </c>
      <c r="E122" s="253">
        <f>(E174/Population_Tables!R40)*Population_Tables!F40</f>
        <v>46611225.353163831</v>
      </c>
      <c r="F122" s="253">
        <f>(F174/Population_Tables!S40)*Population_Tables!G40</f>
        <v>0</v>
      </c>
      <c r="G122" s="253">
        <f>(G174/Population_Tables!T40)*Population_Tables!H40</f>
        <v>0</v>
      </c>
      <c r="H122" s="253">
        <f>(H174/Population_Tables!U40)*Population_Tables!I40</f>
        <v>0</v>
      </c>
      <c r="I122" s="253">
        <f>(I174/Population_Tables!V40)*Population_Tables!J40</f>
        <v>0</v>
      </c>
      <c r="J122" s="253">
        <f>(J174/Population_Tables!W40)*Population_Tables!K40</f>
        <v>0</v>
      </c>
      <c r="K122" s="253">
        <f>(K174/Population_Tables!X40)*Population_Tables!L40</f>
        <v>0</v>
      </c>
      <c r="N122" s="195">
        <f t="shared" si="9"/>
        <v>41745760.106206127</v>
      </c>
      <c r="O122" s="195">
        <f t="shared" si="9"/>
        <v>46611225.353163831</v>
      </c>
      <c r="P122" s="195">
        <f t="shared" si="10"/>
        <v>32034096.749701653</v>
      </c>
      <c r="Q122" s="195">
        <f t="shared" si="11"/>
        <v>120391082.20907161</v>
      </c>
      <c r="R122" s="214">
        <f t="shared" si="12"/>
        <v>0.34675126546092744</v>
      </c>
      <c r="U122" s="215">
        <f t="shared" si="17"/>
        <v>3398199.4302529022</v>
      </c>
      <c r="V122" s="195">
        <f t="shared" si="13"/>
        <v>4257410.934954159</v>
      </c>
      <c r="W122" s="215">
        <f t="shared" si="13"/>
        <v>2408461.4013076909</v>
      </c>
      <c r="X122" s="195">
        <f t="shared" si="16"/>
        <v>10064071.766514752</v>
      </c>
      <c r="Y122" s="214">
        <f t="shared" si="15"/>
        <v>0.33765651806651603</v>
      </c>
      <c r="AC122" s="251">
        <f t="shared" si="14"/>
        <v>2.1708061928404354</v>
      </c>
    </row>
    <row r="123" spans="1:29" ht="15.6" x14ac:dyDescent="0.3">
      <c r="A123" s="194">
        <v>2052</v>
      </c>
      <c r="B123" s="253">
        <f>(B175/Population_Tables!O41)*Population_Tables!C41</f>
        <v>257724625.0169495</v>
      </c>
      <c r="C123" s="253">
        <f>(C175/Population_Tables!P41)*Population_Tables!D41</f>
        <v>32604483.071661286</v>
      </c>
      <c r="D123" s="253">
        <f>(D175/Population_Tables!Q41)*Population_Tables!E41</f>
        <v>42839771.268489763</v>
      </c>
      <c r="E123" s="253">
        <f>(E175/Population_Tables!R41)*Population_Tables!F41</f>
        <v>47641653.454928756</v>
      </c>
      <c r="F123" s="253">
        <f>(F175/Population_Tables!S41)*Population_Tables!G41</f>
        <v>0</v>
      </c>
      <c r="G123" s="253">
        <f>(G175/Population_Tables!T41)*Population_Tables!H41</f>
        <v>0</v>
      </c>
      <c r="H123" s="253">
        <f>(H175/Population_Tables!U41)*Population_Tables!I41</f>
        <v>0</v>
      </c>
      <c r="I123" s="253">
        <f>(I175/Population_Tables!V41)*Population_Tables!J41</f>
        <v>0</v>
      </c>
      <c r="J123" s="253">
        <f>(J175/Population_Tables!W41)*Population_Tables!K41</f>
        <v>0</v>
      </c>
      <c r="K123" s="253">
        <f>(K175/Population_Tables!X41)*Population_Tables!L41</f>
        <v>0</v>
      </c>
      <c r="N123" s="195">
        <f t="shared" si="9"/>
        <v>42839771.268489763</v>
      </c>
      <c r="O123" s="195">
        <f t="shared" si="9"/>
        <v>47641653.454928756</v>
      </c>
      <c r="P123" s="195">
        <f t="shared" si="10"/>
        <v>32604483.071661286</v>
      </c>
      <c r="Q123" s="195">
        <f t="shared" si="11"/>
        <v>123085907.7950798</v>
      </c>
      <c r="R123" s="196">
        <f t="shared" si="12"/>
        <v>0.34804773378128528</v>
      </c>
      <c r="U123" s="195">
        <f t="shared" si="17"/>
        <v>3643449.8089078069</v>
      </c>
      <c r="V123" s="195">
        <f t="shared" si="13"/>
        <v>4541603.4853664562</v>
      </c>
      <c r="W123" s="195">
        <f t="shared" si="13"/>
        <v>2547911.3114937097</v>
      </c>
      <c r="X123" s="195">
        <f t="shared" si="16"/>
        <v>10732964.605767973</v>
      </c>
      <c r="Y123" s="196">
        <f t="shared" si="15"/>
        <v>0.33946350730997388</v>
      </c>
      <c r="AC123" s="251">
        <f t="shared" si="14"/>
        <v>2.1920795331988812</v>
      </c>
    </row>
    <row r="124" spans="1:29" ht="15.6" x14ac:dyDescent="0.3">
      <c r="A124" s="194">
        <v>2053</v>
      </c>
      <c r="B124" s="253">
        <f>(B176/Population_Tables!O42)*Population_Tables!C42</f>
        <v>266526765.81885734</v>
      </c>
      <c r="C124" s="253">
        <f>(C176/Population_Tables!P42)*Population_Tables!D42</f>
        <v>33179564.817432888</v>
      </c>
      <c r="D124" s="253">
        <f>(D176/Population_Tables!Q42)*Population_Tables!E42</f>
        <v>43936787.704772592</v>
      </c>
      <c r="E124" s="253">
        <f>(E176/Population_Tables!R42)*Population_Tables!F42</f>
        <v>48675842.720705315</v>
      </c>
      <c r="F124" s="253">
        <f>(F176/Population_Tables!S42)*Population_Tables!G42</f>
        <v>0</v>
      </c>
      <c r="G124" s="253">
        <f>(G176/Population_Tables!T42)*Population_Tables!H42</f>
        <v>0</v>
      </c>
      <c r="H124" s="253">
        <f>(H176/Population_Tables!U42)*Population_Tables!I42</f>
        <v>0</v>
      </c>
      <c r="I124" s="253">
        <f>(I176/Population_Tables!V42)*Population_Tables!J42</f>
        <v>0</v>
      </c>
      <c r="J124" s="253">
        <f>(J176/Population_Tables!W42)*Population_Tables!K42</f>
        <v>0</v>
      </c>
      <c r="K124" s="253">
        <f>(K176/Population_Tables!X42)*Population_Tables!L42</f>
        <v>0</v>
      </c>
      <c r="N124" s="195">
        <f t="shared" si="9"/>
        <v>43936787.704772592</v>
      </c>
      <c r="O124" s="195">
        <f t="shared" si="9"/>
        <v>48675842.720705315</v>
      </c>
      <c r="P124" s="195">
        <f t="shared" si="10"/>
        <v>33179564.817432888</v>
      </c>
      <c r="Q124" s="195">
        <f t="shared" si="11"/>
        <v>125792195.24291079</v>
      </c>
      <c r="R124" s="196">
        <f t="shared" si="12"/>
        <v>0.34928071348090028</v>
      </c>
      <c r="U124" s="195">
        <f t="shared" si="17"/>
        <v>3900686.7243762761</v>
      </c>
      <c r="V124" s="195">
        <f t="shared" si="13"/>
        <v>4839760.397107929</v>
      </c>
      <c r="W124" s="195">
        <f t="shared" si="13"/>
        <v>2693658.1508331634</v>
      </c>
      <c r="X124" s="195">
        <f t="shared" si="16"/>
        <v>11434105.272317369</v>
      </c>
      <c r="Y124" s="196">
        <f t="shared" si="15"/>
        <v>0.34114490215688892</v>
      </c>
      <c r="AC124" s="251">
        <f t="shared" si="14"/>
        <v>2.2156584627203375</v>
      </c>
    </row>
    <row r="125" spans="1:29" ht="15.6" x14ac:dyDescent="0.3">
      <c r="A125" s="194">
        <v>2054</v>
      </c>
      <c r="B125" s="253">
        <f>(B177/Population_Tables!O43)*Population_Tables!C43</f>
        <v>275787590.12229967</v>
      </c>
      <c r="C125" s="253">
        <f>(C177/Population_Tables!P43)*Population_Tables!D43</f>
        <v>33759425.837652281</v>
      </c>
      <c r="D125" s="253">
        <f>(D177/Population_Tables!Q43)*Population_Tables!E43</f>
        <v>45036207.50338991</v>
      </c>
      <c r="E125" s="253">
        <f>(E177/Population_Tables!R43)*Population_Tables!F43</f>
        <v>49713084.539602175</v>
      </c>
      <c r="F125" s="253">
        <f>(F177/Population_Tables!S43)*Population_Tables!G43</f>
        <v>0</v>
      </c>
      <c r="G125" s="253">
        <f>(G177/Population_Tables!T43)*Population_Tables!H43</f>
        <v>0</v>
      </c>
      <c r="H125" s="253">
        <f>(H177/Population_Tables!U43)*Population_Tables!I43</f>
        <v>0</v>
      </c>
      <c r="I125" s="253">
        <f>(I177/Population_Tables!V43)*Population_Tables!J43</f>
        <v>0</v>
      </c>
      <c r="J125" s="253">
        <f>(J177/Population_Tables!W43)*Population_Tables!K43</f>
        <v>0</v>
      </c>
      <c r="K125" s="253">
        <f>(K177/Population_Tables!X43)*Population_Tables!L43</f>
        <v>0</v>
      </c>
      <c r="N125" s="195">
        <f t="shared" si="9"/>
        <v>45036207.50338991</v>
      </c>
      <c r="O125" s="195">
        <f t="shared" si="9"/>
        <v>49713084.539602175</v>
      </c>
      <c r="P125" s="195">
        <f t="shared" si="10"/>
        <v>33759425.837652281</v>
      </c>
      <c r="Q125" s="195">
        <f t="shared" si="11"/>
        <v>128508717.88064437</v>
      </c>
      <c r="R125" s="196">
        <f t="shared" si="12"/>
        <v>0.35045254708103457</v>
      </c>
      <c r="U125" s="195">
        <f t="shared" si="17"/>
        <v>4170199.4844446853</v>
      </c>
      <c r="V125" s="195">
        <f t="shared" si="13"/>
        <v>5151900.7157442942</v>
      </c>
      <c r="W125" s="195">
        <f t="shared" si="13"/>
        <v>2846095.3246106766</v>
      </c>
      <c r="X125" s="195">
        <f t="shared" si="16"/>
        <v>12168195.524799656</v>
      </c>
      <c r="Y125" s="196">
        <f t="shared" si="15"/>
        <v>0.34271305683291492</v>
      </c>
      <c r="AC125" s="251">
        <f t="shared" si="14"/>
        <v>2.2414756949387833</v>
      </c>
    </row>
    <row r="126" spans="1:29" ht="15.6" x14ac:dyDescent="0.3">
      <c r="A126" s="194">
        <v>2055</v>
      </c>
      <c r="B126" s="253">
        <f>(B178/Population_Tables!O44)*Population_Tables!C44</f>
        <v>285525180.65365577</v>
      </c>
      <c r="C126" s="253">
        <f>(C178/Population_Tables!P44)*Population_Tables!D44</f>
        <v>34247397.823310301</v>
      </c>
      <c r="D126" s="253">
        <f>(D178/Population_Tables!Q44)*Population_Tables!E44</f>
        <v>45996360.30764138</v>
      </c>
      <c r="E126" s="253">
        <f>(E178/Population_Tables!R44)*Population_Tables!F44</f>
        <v>50568745.881175041</v>
      </c>
      <c r="F126" s="253">
        <f>(F178/Population_Tables!S44)*Population_Tables!G44</f>
        <v>0</v>
      </c>
      <c r="G126" s="253">
        <f>(G178/Population_Tables!T44)*Population_Tables!H44</f>
        <v>0</v>
      </c>
      <c r="H126" s="253">
        <f>(H178/Population_Tables!U44)*Population_Tables!I44</f>
        <v>0</v>
      </c>
      <c r="I126" s="253">
        <f>(I178/Population_Tables!V44)*Population_Tables!J44</f>
        <v>0</v>
      </c>
      <c r="J126" s="253">
        <f>(J178/Population_Tables!W44)*Population_Tables!K44</f>
        <v>0</v>
      </c>
      <c r="K126" s="253">
        <f>(K178/Population_Tables!X44)*Population_Tables!L44</f>
        <v>0</v>
      </c>
      <c r="N126" s="195">
        <f t="shared" si="9"/>
        <v>45996360.30764138</v>
      </c>
      <c r="O126" s="195">
        <f t="shared" si="9"/>
        <v>50568745.881175041</v>
      </c>
      <c r="P126" s="195">
        <f t="shared" si="10"/>
        <v>34247397.823310301</v>
      </c>
      <c r="Q126" s="195">
        <f t="shared" si="11"/>
        <v>130812504.01212671</v>
      </c>
      <c r="R126" s="196">
        <f t="shared" si="12"/>
        <v>0.35162051712867892</v>
      </c>
      <c r="U126" s="195">
        <f t="shared" si="17"/>
        <v>4438636.7184746414</v>
      </c>
      <c r="V126" s="195">
        <f t="shared" si="13"/>
        <v>5458156.8717625439</v>
      </c>
      <c r="W126" s="195">
        <f t="shared" si="13"/>
        <v>2997100.903000731</v>
      </c>
      <c r="X126" s="195">
        <f t="shared" si="16"/>
        <v>12893894.493237916</v>
      </c>
      <c r="Y126" s="196">
        <f t="shared" si="15"/>
        <v>0.3442432944369479</v>
      </c>
      <c r="AC126" s="251">
        <f t="shared" si="14"/>
        <v>2.2768629242730376</v>
      </c>
    </row>
    <row r="127" spans="1:29" ht="15.6" x14ac:dyDescent="0.3">
      <c r="A127" s="194">
        <v>2056</v>
      </c>
      <c r="B127" s="253">
        <f>(B179/Population_Tables!O45)*Population_Tables!C45</f>
        <v>295758706.18769324</v>
      </c>
      <c r="C127" s="253">
        <f>(C179/Population_Tables!P45)*Population_Tables!D45</f>
        <v>34933530.439001068</v>
      </c>
      <c r="D127" s="253">
        <f>(D179/Population_Tables!Q45)*Population_Tables!E45</f>
        <v>47239712.578323685</v>
      </c>
      <c r="E127" s="253">
        <f>(E179/Population_Tables!R45)*Population_Tables!F45</f>
        <v>51793915.717392206</v>
      </c>
      <c r="F127" s="253">
        <f>(F179/Population_Tables!S45)*Population_Tables!G45</f>
        <v>0</v>
      </c>
      <c r="G127" s="253">
        <f>(G179/Population_Tables!T45)*Population_Tables!H45</f>
        <v>0</v>
      </c>
      <c r="H127" s="253">
        <f>(H179/Population_Tables!U45)*Population_Tables!I45</f>
        <v>0</v>
      </c>
      <c r="I127" s="253">
        <f>(I179/Population_Tables!V45)*Population_Tables!J45</f>
        <v>0</v>
      </c>
      <c r="J127" s="253">
        <f>(J179/Population_Tables!W45)*Population_Tables!K45</f>
        <v>0</v>
      </c>
      <c r="K127" s="253">
        <f>(K179/Population_Tables!X45)*Population_Tables!L45</f>
        <v>0</v>
      </c>
      <c r="N127" s="195">
        <f t="shared" si="9"/>
        <v>47239712.578323685</v>
      </c>
      <c r="O127" s="195">
        <f t="shared" si="9"/>
        <v>51793915.717392206</v>
      </c>
      <c r="P127" s="195">
        <f t="shared" si="10"/>
        <v>34933530.439001068</v>
      </c>
      <c r="Q127" s="195">
        <f t="shared" si="11"/>
        <v>133967158.73471695</v>
      </c>
      <c r="R127" s="196">
        <f t="shared" si="12"/>
        <v>0.35262159042925001</v>
      </c>
      <c r="U127" s="195">
        <f t="shared" si="17"/>
        <v>4747072.8068813086</v>
      </c>
      <c r="V127" s="195">
        <f t="shared" si="13"/>
        <v>5818232.0801654607</v>
      </c>
      <c r="W127" s="195">
        <f t="shared" si="13"/>
        <v>3172323.631641686</v>
      </c>
      <c r="X127" s="195">
        <f t="shared" si="16"/>
        <v>13737628.518688455</v>
      </c>
      <c r="Y127" s="196">
        <f t="shared" si="15"/>
        <v>0.34555256756458835</v>
      </c>
      <c r="AC127" s="251">
        <f t="shared" si="14"/>
        <v>2.2996761462503241</v>
      </c>
    </row>
    <row r="128" spans="1:29" ht="15.6" x14ac:dyDescent="0.3">
      <c r="A128" s="194">
        <v>2057</v>
      </c>
      <c r="B128" s="253">
        <f>(B180/Population_Tables!O46)*Population_Tables!C46</f>
        <v>306507289.00134706</v>
      </c>
      <c r="C128" s="253">
        <f>(C180/Population_Tables!P46)*Population_Tables!D46</f>
        <v>35527557.882684924</v>
      </c>
      <c r="D128" s="253">
        <f>(D180/Population_Tables!Q46)*Population_Tables!E46</f>
        <v>48342464.200754702</v>
      </c>
      <c r="E128" s="253">
        <f>(E180/Population_Tables!R46)*Population_Tables!F46</f>
        <v>52836239.968137123</v>
      </c>
      <c r="F128" s="253">
        <f>(F180/Population_Tables!S46)*Population_Tables!G46</f>
        <v>0</v>
      </c>
      <c r="G128" s="253">
        <f>(G180/Population_Tables!T46)*Population_Tables!H46</f>
        <v>0</v>
      </c>
      <c r="H128" s="253">
        <f>(H180/Population_Tables!U46)*Population_Tables!I46</f>
        <v>0</v>
      </c>
      <c r="I128" s="253">
        <f>(I180/Population_Tables!V46)*Population_Tables!J46</f>
        <v>0</v>
      </c>
      <c r="J128" s="253">
        <f>(J180/Population_Tables!W46)*Population_Tables!K46</f>
        <v>0</v>
      </c>
      <c r="K128" s="253">
        <f>(K180/Population_Tables!X46)*Population_Tables!L46</f>
        <v>0</v>
      </c>
      <c r="N128" s="195">
        <f t="shared" si="9"/>
        <v>48342464.200754702</v>
      </c>
      <c r="O128" s="195">
        <f t="shared" si="9"/>
        <v>52836239.968137123</v>
      </c>
      <c r="P128" s="195">
        <f t="shared" si="10"/>
        <v>35527557.882684924</v>
      </c>
      <c r="Q128" s="195">
        <f t="shared" si="11"/>
        <v>136706262.05157673</v>
      </c>
      <c r="R128" s="196">
        <f t="shared" si="12"/>
        <v>0.35362289536170616</v>
      </c>
      <c r="U128" s="195">
        <f t="shared" si="17"/>
        <v>5054882.1542662457</v>
      </c>
      <c r="V128" s="195">
        <f t="shared" si="13"/>
        <v>6172613.3307161555</v>
      </c>
      <c r="W128" s="195">
        <f t="shared" si="13"/>
        <v>3346517.7367472351</v>
      </c>
      <c r="X128" s="195">
        <f t="shared" si="16"/>
        <v>14574013.221729636</v>
      </c>
      <c r="Y128" s="196">
        <f t="shared" si="15"/>
        <v>0.346842155099015</v>
      </c>
      <c r="AC128" s="251">
        <f t="shared" si="14"/>
        <v>2.3320511289715911</v>
      </c>
    </row>
    <row r="129" spans="1:29" ht="15.6" x14ac:dyDescent="0.3">
      <c r="A129" s="194">
        <v>2058</v>
      </c>
      <c r="B129" s="253">
        <f>(B181/Population_Tables!O47)*Population_Tables!C47</f>
        <v>317788863.77193338</v>
      </c>
      <c r="C129" s="253">
        <f>(C181/Population_Tables!P47)*Population_Tables!D47</f>
        <v>36125872.238071337</v>
      </c>
      <c r="D129" s="253">
        <f>(D181/Population_Tables!Q47)*Population_Tables!E47</f>
        <v>49444773.75069721</v>
      </c>
      <c r="E129" s="253">
        <f>(E181/Population_Tables!R47)*Population_Tables!F47</f>
        <v>53878482.180312641</v>
      </c>
      <c r="F129" s="253">
        <f>(F181/Population_Tables!S47)*Population_Tables!G47</f>
        <v>0</v>
      </c>
      <c r="G129" s="253">
        <f>(G181/Population_Tables!T47)*Population_Tables!H47</f>
        <v>0</v>
      </c>
      <c r="H129" s="253">
        <f>(H181/Population_Tables!U47)*Population_Tables!I47</f>
        <v>0</v>
      </c>
      <c r="I129" s="253">
        <f>(I181/Population_Tables!V47)*Population_Tables!J47</f>
        <v>0</v>
      </c>
      <c r="J129" s="253">
        <f>(J181/Population_Tables!W47)*Population_Tables!K47</f>
        <v>0</v>
      </c>
      <c r="K129" s="253">
        <f>(K181/Population_Tables!X47)*Population_Tables!L47</f>
        <v>0</v>
      </c>
      <c r="N129" s="195">
        <f t="shared" si="9"/>
        <v>49444773.75069721</v>
      </c>
      <c r="O129" s="195">
        <f t="shared" si="9"/>
        <v>53878482.180312641</v>
      </c>
      <c r="P129" s="195">
        <f t="shared" si="10"/>
        <v>36125872.238071337</v>
      </c>
      <c r="Q129" s="195">
        <f t="shared" si="11"/>
        <v>139449128.16908118</v>
      </c>
      <c r="R129" s="196">
        <f t="shared" si="12"/>
        <v>0.35457212533265708</v>
      </c>
      <c r="U129" s="195">
        <f t="shared" si="17"/>
        <v>5375686.7892324254</v>
      </c>
      <c r="V129" s="195">
        <f t="shared" si="13"/>
        <v>6540754.0223003477</v>
      </c>
      <c r="W129" s="195">
        <f t="shared" si="13"/>
        <v>3528148.0321407989</v>
      </c>
      <c r="X129" s="195">
        <f t="shared" si="16"/>
        <v>15444588.843673572</v>
      </c>
      <c r="Y129" s="196">
        <f t="shared" si="15"/>
        <v>0.34806279685680463</v>
      </c>
      <c r="AC129" s="251">
        <f t="shared" si="14"/>
        <v>2.3666162836370055</v>
      </c>
    </row>
    <row r="130" spans="1:29" ht="15.6" x14ac:dyDescent="0.3">
      <c r="A130" s="194">
        <v>2059</v>
      </c>
      <c r="B130" s="253">
        <f>(B182/Population_Tables!O48)*Population_Tables!C48</f>
        <v>329620917.75633073</v>
      </c>
      <c r="C130" s="253">
        <f>(C182/Population_Tables!P48)*Population_Tables!D48</f>
        <v>36728056.34974476</v>
      </c>
      <c r="D130" s="253">
        <f>(D182/Population_Tables!Q48)*Population_Tables!E48</f>
        <v>50545676.978666261</v>
      </c>
      <c r="E130" s="253">
        <f>(E182/Population_Tables!R48)*Population_Tables!F48</f>
        <v>54919305.479720265</v>
      </c>
      <c r="F130" s="253">
        <f>(F182/Population_Tables!S48)*Population_Tables!G48</f>
        <v>0</v>
      </c>
      <c r="G130" s="253">
        <f>(G182/Population_Tables!T48)*Population_Tables!H48</f>
        <v>0</v>
      </c>
      <c r="H130" s="253">
        <f>(H182/Population_Tables!U48)*Population_Tables!I48</f>
        <v>0</v>
      </c>
      <c r="I130" s="253">
        <f>(I182/Population_Tables!V48)*Population_Tables!J48</f>
        <v>0</v>
      </c>
      <c r="J130" s="253">
        <f>(J182/Population_Tables!W48)*Population_Tables!K48</f>
        <v>0</v>
      </c>
      <c r="K130" s="253">
        <f>(K182/Population_Tables!X48)*Population_Tables!L48</f>
        <v>0</v>
      </c>
      <c r="N130" s="195">
        <f t="shared" si="9"/>
        <v>50545676.978666261</v>
      </c>
      <c r="O130" s="195">
        <f t="shared" si="9"/>
        <v>54919305.479720265</v>
      </c>
      <c r="P130" s="195">
        <f t="shared" si="10"/>
        <v>36728056.34974476</v>
      </c>
      <c r="Q130" s="195">
        <f t="shared" si="11"/>
        <v>142193038.80813128</v>
      </c>
      <c r="R130" s="196">
        <f t="shared" si="12"/>
        <v>0.35547223269396655</v>
      </c>
      <c r="U130" s="195">
        <f t="shared" si="17"/>
        <v>5709413.6817459837</v>
      </c>
      <c r="V130" s="195">
        <f t="shared" si="13"/>
        <v>6922044.9371766225</v>
      </c>
      <c r="W130" s="195">
        <f t="shared" si="13"/>
        <v>3717106.9170556143</v>
      </c>
      <c r="X130" s="195">
        <f t="shared" si="16"/>
        <v>16348565.53597822</v>
      </c>
      <c r="Y130" s="196">
        <f t="shared" si="15"/>
        <v>0.3492302532097572</v>
      </c>
      <c r="AC130" s="251">
        <f t="shared" si="14"/>
        <v>2.4033855750604887</v>
      </c>
    </row>
    <row r="131" spans="1:29" ht="15.6" x14ac:dyDescent="0.3">
      <c r="A131" s="194">
        <v>2060</v>
      </c>
      <c r="B131" s="253">
        <f>(B183/Population_Tables!O49)*Population_Tables!C49</f>
        <v>342021543.31005436</v>
      </c>
      <c r="C131" s="253">
        <f>(C183/Population_Tables!P49)*Population_Tables!D49</f>
        <v>37430648.421201244</v>
      </c>
      <c r="D131" s="253">
        <f>(D183/Population_Tables!Q49)*Population_Tables!E49</f>
        <v>51784646.068258658</v>
      </c>
      <c r="E131" s="253">
        <f>(E183/Population_Tables!R49)*Population_Tables!F49</f>
        <v>56155589.208471537</v>
      </c>
      <c r="F131" s="253">
        <f>(F183/Population_Tables!S49)*Population_Tables!G49</f>
        <v>0</v>
      </c>
      <c r="G131" s="253">
        <f>(G183/Population_Tables!T49)*Population_Tables!H49</f>
        <v>0</v>
      </c>
      <c r="H131" s="253">
        <f>(H183/Population_Tables!U49)*Population_Tables!I49</f>
        <v>0</v>
      </c>
      <c r="I131" s="253">
        <f>(I183/Population_Tables!V49)*Population_Tables!J49</f>
        <v>0</v>
      </c>
      <c r="J131" s="253">
        <f>(J183/Population_Tables!W49)*Population_Tables!K49</f>
        <v>0</v>
      </c>
      <c r="K131" s="253">
        <f>(K183/Population_Tables!X49)*Population_Tables!L49</f>
        <v>0</v>
      </c>
      <c r="N131" s="195">
        <f t="shared" si="9"/>
        <v>51784646.068258658</v>
      </c>
      <c r="O131" s="195">
        <f t="shared" si="9"/>
        <v>56155589.208471537</v>
      </c>
      <c r="P131" s="195">
        <f t="shared" si="10"/>
        <v>37430648.421201244</v>
      </c>
      <c r="Q131" s="195">
        <f t="shared" si="11"/>
        <v>145370883.69793144</v>
      </c>
      <c r="R131" s="196">
        <f>N131/Q131</f>
        <v>0.35622433289917138</v>
      </c>
      <c r="U131" s="195">
        <f t="shared" si="17"/>
        <v>6072433.2383332476</v>
      </c>
      <c r="V131" s="195">
        <f t="shared" si="13"/>
        <v>7341831.3059536368</v>
      </c>
      <c r="W131" s="195">
        <f t="shared" si="13"/>
        <v>3923435.1912174039</v>
      </c>
      <c r="X131" s="195">
        <f t="shared" si="16"/>
        <v>17337699.735504288</v>
      </c>
      <c r="Y131" s="196">
        <f t="shared" si="15"/>
        <v>0.35024445751001604</v>
      </c>
      <c r="AC131" s="251">
        <f t="shared" si="14"/>
        <v>2.434983804139875</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357</v>
      </c>
      <c r="B135" s="255"/>
      <c r="C135" s="406"/>
      <c r="D135" s="406"/>
      <c r="E135" s="406"/>
      <c r="F135" s="13"/>
      <c r="G135" s="13"/>
      <c r="H135" s="13"/>
      <c r="I135" s="13"/>
      <c r="J135" s="13"/>
      <c r="K135" s="13"/>
      <c r="N135" s="232" t="s">
        <v>638</v>
      </c>
      <c r="O135" s="232"/>
      <c r="P135" s="232"/>
      <c r="Q135" s="232"/>
      <c r="R135" s="232"/>
      <c r="AC135" s="251"/>
    </row>
    <row r="136" spans="1:29" ht="69" customHeight="1" thickBot="1" x14ac:dyDescent="0.3">
      <c r="A136" s="194"/>
      <c r="B136" s="218" t="s">
        <v>434</v>
      </c>
      <c r="C136" s="191" t="str">
        <f>A330</f>
        <v>IEA (2017) ETP - Total Ground Freight (no Shipping, Airfreight) - RTS Scenario -  OECD Region</v>
      </c>
      <c r="D136" s="191" t="str">
        <f>A264</f>
        <v>IEA (2017) ETP - Total Ground Freight (no Shipping, Airfreight) - RTS Scenario - Non OECD Region (less China, Mexico, Brazil, Russia)</v>
      </c>
      <c r="E136" s="191" t="str">
        <f>A402</f>
        <v>IEA (2017) ETP - Total freight - RTS (Only Brazil, Mexico,China, Russia)</v>
      </c>
      <c r="F136" s="191"/>
      <c r="G136" s="191"/>
      <c r="H136" s="191"/>
      <c r="I136" s="191"/>
      <c r="J136" s="191"/>
      <c r="K136" s="192"/>
      <c r="N136" s="219" t="str">
        <f t="shared" ref="N136:N183" si="18">D136</f>
        <v>IEA (2017) ETP - Total Ground Freight (no Shipping, Airfreight) - RTS Scenario - Non OECD Region (less China, Mexico, Brazil, Russia)</v>
      </c>
      <c r="O136" s="219" t="str">
        <f t="shared" ref="O136:O183" si="19">E136</f>
        <v>IEA (2017) ETP - Total freight - RTS (Only Brazil, Mexico,China, Russia)</v>
      </c>
      <c r="P136" s="219" t="str">
        <f t="shared" ref="P136:P183" si="20">C136</f>
        <v>IEA (2017) ETP - Total Ground Freight (no Shipping, Airfreight) - RTS Scenario -  OECD Region</v>
      </c>
      <c r="Q136" s="219" t="str">
        <f>Q84</f>
        <v>Total</v>
      </c>
      <c r="R136" s="219" t="str">
        <f>R84</f>
        <v>% IEA (2017) ETP - Total Ground Freight (no Shipping, Airfreight) - RTS Scenario - Non OECD Region (less China, Mexico, Brazil, Russia)</v>
      </c>
      <c r="AC136" s="251"/>
    </row>
    <row r="137" spans="1:29" ht="15.6" x14ac:dyDescent="0.3">
      <c r="A137" s="194">
        <v>2014</v>
      </c>
      <c r="B137" s="229">
        <v>114253544.66666667</v>
      </c>
      <c r="C137" s="229">
        <f t="shared" ref="C137:C183" si="21">H335*1000</f>
        <v>15434415.646279337</v>
      </c>
      <c r="D137" s="229">
        <f t="shared" ref="D137:D183" si="22">H269*1000</f>
        <v>8851658.2651577499</v>
      </c>
      <c r="E137" s="229">
        <f t="shared" ref="E137:E183" si="23">H407*1000</f>
        <v>14330077.936840264</v>
      </c>
      <c r="F137" s="229"/>
      <c r="G137" s="229"/>
      <c r="H137" s="229"/>
      <c r="I137" s="229"/>
      <c r="J137" s="229"/>
      <c r="K137" s="229"/>
      <c r="N137" s="195">
        <f t="shared" si="18"/>
        <v>8851658.2651577499</v>
      </c>
      <c r="O137" s="195">
        <f t="shared" si="19"/>
        <v>14330077.936840264</v>
      </c>
      <c r="P137" s="195">
        <f t="shared" si="20"/>
        <v>15434415.646279337</v>
      </c>
      <c r="Q137" s="195">
        <f>N137+P137+O137</f>
        <v>38616151.848277353</v>
      </c>
      <c r="R137" s="196">
        <f>N137/Q137</f>
        <v>0.2292216557448776</v>
      </c>
      <c r="AC137" s="251"/>
    </row>
    <row r="138" spans="1:29" ht="15.6" x14ac:dyDescent="0.3">
      <c r="A138" s="194">
        <v>2015</v>
      </c>
      <c r="B138" s="229">
        <v>113155198.50893499</v>
      </c>
      <c r="C138" s="229">
        <f t="shared" si="21"/>
        <v>15656724.984374713</v>
      </c>
      <c r="D138" s="229">
        <f t="shared" si="22"/>
        <v>9328978.7202272918</v>
      </c>
      <c r="E138" s="229">
        <f t="shared" si="23"/>
        <v>14832515.027921481</v>
      </c>
      <c r="F138" s="229"/>
      <c r="G138" s="229"/>
      <c r="H138" s="229"/>
      <c r="I138" s="229"/>
      <c r="J138" s="229"/>
      <c r="K138" s="229"/>
      <c r="N138" s="195">
        <f t="shared" si="18"/>
        <v>9328978.7202272918</v>
      </c>
      <c r="O138" s="195">
        <f t="shared" si="19"/>
        <v>14832515.027921481</v>
      </c>
      <c r="P138" s="195">
        <f t="shared" si="20"/>
        <v>15656724.984374713</v>
      </c>
      <c r="Q138" s="195">
        <f t="shared" ref="Q138:Q183" si="24">N138+P138+O138</f>
        <v>39818218.732523486</v>
      </c>
      <c r="R138" s="196">
        <f t="shared" ref="R138:R182" si="25">N138/Q138</f>
        <v>0.23428920271130538</v>
      </c>
      <c r="AC138" s="251"/>
    </row>
    <row r="139" spans="1:29" ht="15.6" x14ac:dyDescent="0.3">
      <c r="A139" s="194">
        <v>2016</v>
      </c>
      <c r="B139" s="229">
        <v>115094385.75129712</v>
      </c>
      <c r="C139" s="229">
        <f t="shared" si="21"/>
        <v>15939152.192342576</v>
      </c>
      <c r="D139" s="229">
        <f t="shared" si="22"/>
        <v>9907512.8107564747</v>
      </c>
      <c r="E139" s="229">
        <f t="shared" si="23"/>
        <v>15461446.482293509</v>
      </c>
      <c r="F139" s="229"/>
      <c r="G139" s="229"/>
      <c r="H139" s="229"/>
      <c r="I139" s="229"/>
      <c r="J139" s="229"/>
      <c r="K139" s="229"/>
      <c r="N139" s="195">
        <f t="shared" si="18"/>
        <v>9907512.8107564747</v>
      </c>
      <c r="O139" s="195">
        <f t="shared" si="19"/>
        <v>15461446.482293509</v>
      </c>
      <c r="P139" s="195">
        <f t="shared" si="20"/>
        <v>15939152.192342576</v>
      </c>
      <c r="Q139" s="195">
        <f t="shared" si="24"/>
        <v>41308111.485392556</v>
      </c>
      <c r="R139" s="196">
        <f t="shared" si="25"/>
        <v>0.23984424497982645</v>
      </c>
      <c r="AC139" s="251"/>
    </row>
    <row r="140" spans="1:29" ht="15.6" x14ac:dyDescent="0.3">
      <c r="A140" s="194">
        <v>2017</v>
      </c>
      <c r="B140" s="229">
        <v>116992182.0793889</v>
      </c>
      <c r="C140" s="229">
        <f t="shared" si="21"/>
        <v>16231121.862325652</v>
      </c>
      <c r="D140" s="229">
        <f t="shared" si="22"/>
        <v>10509149.538710045</v>
      </c>
      <c r="E140" s="229">
        <f t="shared" si="23"/>
        <v>16106370.371802693</v>
      </c>
      <c r="F140" s="229"/>
      <c r="G140" s="229"/>
      <c r="H140" s="229"/>
      <c r="I140" s="229"/>
      <c r="J140" s="229"/>
      <c r="K140" s="229"/>
      <c r="N140" s="195">
        <f t="shared" si="18"/>
        <v>10509149.538710045</v>
      </c>
      <c r="O140" s="195">
        <f t="shared" si="19"/>
        <v>16106370.371802693</v>
      </c>
      <c r="P140" s="195">
        <f t="shared" si="20"/>
        <v>16231121.862325652</v>
      </c>
      <c r="Q140" s="195">
        <f t="shared" si="24"/>
        <v>42846641.772838391</v>
      </c>
      <c r="R140" s="196">
        <f t="shared" si="25"/>
        <v>0.24527358747102718</v>
      </c>
      <c r="AC140" s="251"/>
    </row>
    <row r="141" spans="1:29" ht="15.6" x14ac:dyDescent="0.3">
      <c r="A141" s="194">
        <v>2018</v>
      </c>
      <c r="B141" s="229">
        <v>118858479.17086825</v>
      </c>
      <c r="C141" s="229">
        <f t="shared" si="21"/>
        <v>16532324.439675147</v>
      </c>
      <c r="D141" s="229">
        <f t="shared" si="22"/>
        <v>11132997.684636924</v>
      </c>
      <c r="E141" s="229">
        <f t="shared" si="23"/>
        <v>16766559.039991956</v>
      </c>
      <c r="F141" s="229"/>
      <c r="G141" s="229"/>
      <c r="H141" s="229"/>
      <c r="I141" s="229"/>
      <c r="J141" s="229"/>
      <c r="K141" s="229"/>
      <c r="N141" s="195">
        <f t="shared" si="18"/>
        <v>11132997.684636924</v>
      </c>
      <c r="O141" s="195">
        <f t="shared" si="19"/>
        <v>16766559.039991956</v>
      </c>
      <c r="P141" s="195">
        <f t="shared" si="20"/>
        <v>16532324.439675147</v>
      </c>
      <c r="Q141" s="195">
        <f t="shared" si="24"/>
        <v>44431881.164304033</v>
      </c>
      <c r="R141" s="196">
        <f t="shared" si="25"/>
        <v>0.2505632755783706</v>
      </c>
      <c r="AC141" s="251"/>
    </row>
    <row r="142" spans="1:29" ht="16.2" thickBot="1" x14ac:dyDescent="0.35">
      <c r="A142" s="198">
        <v>2019</v>
      </c>
      <c r="B142" s="230">
        <v>120703168.70339304</v>
      </c>
      <c r="C142" s="229">
        <f t="shared" si="21"/>
        <v>16842450.369742259</v>
      </c>
      <c r="D142" s="229">
        <f t="shared" si="22"/>
        <v>11778166.029086035</v>
      </c>
      <c r="E142" s="229">
        <f t="shared" si="23"/>
        <v>17441284.830404226</v>
      </c>
      <c r="F142" s="230"/>
      <c r="G142" s="230"/>
      <c r="H142" s="230"/>
      <c r="I142" s="230"/>
      <c r="J142" s="230"/>
      <c r="K142" s="230"/>
      <c r="N142" s="195">
        <f t="shared" si="18"/>
        <v>11778166.029086035</v>
      </c>
      <c r="O142" s="195">
        <f t="shared" si="19"/>
        <v>17441284.830404226</v>
      </c>
      <c r="P142" s="195">
        <f t="shared" si="20"/>
        <v>16842450.369742259</v>
      </c>
      <c r="Q142" s="195">
        <f t="shared" si="24"/>
        <v>46061901.22923252</v>
      </c>
      <c r="R142" s="199">
        <f t="shared" si="25"/>
        <v>0.25570299346678271</v>
      </c>
      <c r="AC142" s="251"/>
    </row>
    <row r="143" spans="1:29" ht="15.6" x14ac:dyDescent="0.3">
      <c r="A143" s="201">
        <v>2020</v>
      </c>
      <c r="B143" s="228">
        <v>122536142.35462116</v>
      </c>
      <c r="C143" s="229">
        <f t="shared" si="21"/>
        <v>17161190.097878199</v>
      </c>
      <c r="D143" s="229">
        <f t="shared" si="22"/>
        <v>12443763.352606304</v>
      </c>
      <c r="E143" s="229">
        <f t="shared" si="23"/>
        <v>18129820.08658243</v>
      </c>
      <c r="F143" s="228"/>
      <c r="G143" s="228"/>
      <c r="H143" s="228"/>
      <c r="I143" s="228"/>
      <c r="J143" s="228"/>
      <c r="K143" s="228"/>
      <c r="L143" s="202"/>
      <c r="M143" s="202"/>
      <c r="N143" s="195">
        <f t="shared" si="18"/>
        <v>12443763.352606304</v>
      </c>
      <c r="O143" s="195">
        <f t="shared" si="19"/>
        <v>18129820.08658243</v>
      </c>
      <c r="P143" s="195">
        <f t="shared" si="20"/>
        <v>17161190.097878199</v>
      </c>
      <c r="Q143" s="195">
        <f t="shared" si="24"/>
        <v>47734773.537066936</v>
      </c>
      <c r="R143" s="220">
        <f t="shared" si="25"/>
        <v>0.26068550095756693</v>
      </c>
      <c r="AC143" s="251"/>
    </row>
    <row r="144" spans="1:29" ht="15.6" x14ac:dyDescent="0.3">
      <c r="A144" s="206">
        <v>2021</v>
      </c>
      <c r="B144" s="229">
        <v>124367291.80221051</v>
      </c>
      <c r="C144" s="229">
        <f t="shared" si="21"/>
        <v>17488234.069434166</v>
      </c>
      <c r="D144" s="229">
        <f t="shared" si="22"/>
        <v>13128898.435746651</v>
      </c>
      <c r="E144" s="229">
        <f t="shared" si="23"/>
        <v>18831437.152069487</v>
      </c>
      <c r="F144" s="229"/>
      <c r="G144" s="229"/>
      <c r="H144" s="229"/>
      <c r="I144" s="229"/>
      <c r="J144" s="229"/>
      <c r="K144" s="229"/>
      <c r="L144" s="170"/>
      <c r="M144" s="170"/>
      <c r="N144" s="195">
        <f t="shared" si="18"/>
        <v>13128898.435746651</v>
      </c>
      <c r="O144" s="195">
        <f t="shared" si="19"/>
        <v>18831437.152069487</v>
      </c>
      <c r="P144" s="195">
        <f t="shared" si="20"/>
        <v>17488234.069434166</v>
      </c>
      <c r="Q144" s="195">
        <f t="shared" si="24"/>
        <v>49448569.6572503</v>
      </c>
      <c r="R144" s="221">
        <f t="shared" si="25"/>
        <v>0.26550613145635554</v>
      </c>
      <c r="AC144" s="251"/>
    </row>
    <row r="145" spans="1:29" ht="15.6" x14ac:dyDescent="0.3">
      <c r="A145" s="206">
        <v>2022</v>
      </c>
      <c r="B145" s="229">
        <v>126206508.72381897</v>
      </c>
      <c r="C145" s="229">
        <f t="shared" si="21"/>
        <v>17823272.729761362</v>
      </c>
      <c r="D145" s="229">
        <f t="shared" si="22"/>
        <v>13832680.059055999</v>
      </c>
      <c r="E145" s="229">
        <f t="shared" si="23"/>
        <v>19545408.370408326</v>
      </c>
      <c r="F145" s="229"/>
      <c r="G145" s="229"/>
      <c r="H145" s="229"/>
      <c r="I145" s="229"/>
      <c r="J145" s="229"/>
      <c r="K145" s="229"/>
      <c r="L145" s="170"/>
      <c r="M145" s="170"/>
      <c r="N145" s="195">
        <f t="shared" si="18"/>
        <v>13832680.059055999</v>
      </c>
      <c r="O145" s="195">
        <f t="shared" si="19"/>
        <v>19545408.370408326</v>
      </c>
      <c r="P145" s="195">
        <f t="shared" si="20"/>
        <v>17823272.729761362</v>
      </c>
      <c r="Q145" s="195">
        <f t="shared" si="24"/>
        <v>51201361.159225687</v>
      </c>
      <c r="R145" s="221">
        <f t="shared" si="25"/>
        <v>0.27016235009923295</v>
      </c>
      <c r="AC145" s="251"/>
    </row>
    <row r="146" spans="1:29" ht="15.6" x14ac:dyDescent="0.3">
      <c r="A146" s="206">
        <v>2023</v>
      </c>
      <c r="B146" s="229">
        <v>128063684.79710445</v>
      </c>
      <c r="C146" s="229">
        <f t="shared" si="21"/>
        <v>18165996.524210997</v>
      </c>
      <c r="D146" s="229">
        <f t="shared" si="22"/>
        <v>14554217.003083276</v>
      </c>
      <c r="E146" s="229">
        <f t="shared" si="23"/>
        <v>20271006.085141875</v>
      </c>
      <c r="F146" s="229"/>
      <c r="G146" s="229"/>
      <c r="H146" s="229"/>
      <c r="I146" s="229"/>
      <c r="J146" s="229"/>
      <c r="K146" s="229"/>
      <c r="L146" s="170"/>
      <c r="M146" s="170"/>
      <c r="N146" s="195">
        <f t="shared" si="18"/>
        <v>14554217.003083276</v>
      </c>
      <c r="O146" s="195">
        <f t="shared" si="19"/>
        <v>20271006.085141875</v>
      </c>
      <c r="P146" s="195">
        <f t="shared" si="20"/>
        <v>18165996.524210997</v>
      </c>
      <c r="Q146" s="195">
        <f>N146+P146+O146</f>
        <v>52991219.612436146</v>
      </c>
      <c r="R146" s="221">
        <f t="shared" si="25"/>
        <v>0.27465336917189287</v>
      </c>
      <c r="AC146" s="251"/>
    </row>
    <row r="147" spans="1:29" ht="15.6" x14ac:dyDescent="0.3">
      <c r="A147" s="206">
        <v>2024</v>
      </c>
      <c r="B147" s="229">
        <v>129948711.69972482</v>
      </c>
      <c r="C147" s="229">
        <f t="shared" si="21"/>
        <v>18516095.898134261</v>
      </c>
      <c r="D147" s="229">
        <f t="shared" si="22"/>
        <v>15292618.048377397</v>
      </c>
      <c r="E147" s="229">
        <f t="shared" si="23"/>
        <v>21007502.639813058</v>
      </c>
      <c r="F147" s="229"/>
      <c r="G147" s="229"/>
      <c r="H147" s="229"/>
      <c r="I147" s="229"/>
      <c r="J147" s="229"/>
      <c r="K147" s="229"/>
      <c r="L147" s="170"/>
      <c r="M147" s="170"/>
      <c r="N147" s="195">
        <f t="shared" si="18"/>
        <v>15292618.048377397</v>
      </c>
      <c r="O147" s="195">
        <f t="shared" si="19"/>
        <v>21007502.639813058</v>
      </c>
      <c r="P147" s="195">
        <f t="shared" si="20"/>
        <v>18516095.898134261</v>
      </c>
      <c r="Q147" s="195">
        <f t="shared" si="24"/>
        <v>54816216.586324714</v>
      </c>
      <c r="R147" s="221">
        <f t="shared" si="25"/>
        <v>0.27897981657115178</v>
      </c>
      <c r="AC147" s="251"/>
    </row>
    <row r="148" spans="1:29" ht="15.6" x14ac:dyDescent="0.3">
      <c r="A148" s="206">
        <v>2025</v>
      </c>
      <c r="B148" s="229">
        <v>131871481.10933797</v>
      </c>
      <c r="C148" s="229">
        <f t="shared" si="21"/>
        <v>18690014.120989863</v>
      </c>
      <c r="D148" s="229">
        <f t="shared" si="22"/>
        <v>15748341.11438131</v>
      </c>
      <c r="E148" s="229">
        <f t="shared" si="23"/>
        <v>21324844.911536872</v>
      </c>
      <c r="F148" s="229"/>
      <c r="G148" s="229"/>
      <c r="H148" s="229"/>
      <c r="I148" s="229"/>
      <c r="J148" s="229"/>
      <c r="K148" s="229"/>
      <c r="L148" s="170"/>
      <c r="M148" s="170"/>
      <c r="N148" s="195">
        <f t="shared" si="18"/>
        <v>15748341.11438131</v>
      </c>
      <c r="O148" s="195">
        <f t="shared" si="19"/>
        <v>21324844.911536872</v>
      </c>
      <c r="P148" s="195">
        <f t="shared" si="20"/>
        <v>18690014.120989863</v>
      </c>
      <c r="Q148" s="195">
        <f t="shared" si="24"/>
        <v>55763200.146908045</v>
      </c>
      <c r="R148" s="221">
        <f t="shared" si="25"/>
        <v>0.28241458655336021</v>
      </c>
      <c r="AC148" s="251"/>
    </row>
    <row r="149" spans="1:29" ht="15.6" x14ac:dyDescent="0.3">
      <c r="A149" s="206">
        <v>2026</v>
      </c>
      <c r="B149" s="229">
        <v>133841884.70360181</v>
      </c>
      <c r="C149" s="229">
        <f t="shared" si="21"/>
        <v>19237183.165806528</v>
      </c>
      <c r="D149" s="229">
        <f t="shared" si="22"/>
        <v>16816447.564961888</v>
      </c>
      <c r="E149" s="229">
        <f t="shared" si="23"/>
        <v>22510281.643140022</v>
      </c>
      <c r="F149" s="229"/>
      <c r="G149" s="229"/>
      <c r="H149" s="229"/>
      <c r="I149" s="229"/>
      <c r="J149" s="229"/>
      <c r="K149" s="229"/>
      <c r="L149" s="170"/>
      <c r="M149" s="170"/>
      <c r="N149" s="195">
        <f t="shared" si="18"/>
        <v>16816447.564961888</v>
      </c>
      <c r="O149" s="195">
        <f t="shared" si="19"/>
        <v>22510281.643140022</v>
      </c>
      <c r="P149" s="195">
        <f t="shared" si="20"/>
        <v>19237183.165806528</v>
      </c>
      <c r="Q149" s="195">
        <f t="shared" si="24"/>
        <v>58563912.37390843</v>
      </c>
      <c r="R149" s="221">
        <f t="shared" si="25"/>
        <v>0.28714692859990687</v>
      </c>
      <c r="AC149" s="251"/>
    </row>
    <row r="150" spans="1:29" ht="15.6" x14ac:dyDescent="0.3">
      <c r="A150" s="206">
        <v>2027</v>
      </c>
      <c r="B150" s="229">
        <v>135869814.16017422</v>
      </c>
      <c r="C150" s="229">
        <f t="shared" si="21"/>
        <v>19607551.950257927</v>
      </c>
      <c r="D150" s="229">
        <f t="shared" si="22"/>
        <v>17600093.597350098</v>
      </c>
      <c r="E150" s="229">
        <f t="shared" si="23"/>
        <v>23275108.77888165</v>
      </c>
      <c r="F150" s="229"/>
      <c r="G150" s="229"/>
      <c r="H150" s="229"/>
      <c r="I150" s="229"/>
      <c r="J150" s="229"/>
      <c r="K150" s="229"/>
      <c r="L150" s="170"/>
      <c r="M150" s="170"/>
      <c r="N150" s="195">
        <f t="shared" si="18"/>
        <v>17600093.597350098</v>
      </c>
      <c r="O150" s="195">
        <f t="shared" si="19"/>
        <v>23275108.77888165</v>
      </c>
      <c r="P150" s="195">
        <f t="shared" si="20"/>
        <v>19607551.950257927</v>
      </c>
      <c r="Q150" s="195">
        <f t="shared" si="24"/>
        <v>60482754.326489672</v>
      </c>
      <c r="R150" s="221">
        <f t="shared" si="25"/>
        <v>0.29099358640884138</v>
      </c>
      <c r="AC150" s="251"/>
    </row>
    <row r="151" spans="1:29" ht="15.6" x14ac:dyDescent="0.3">
      <c r="A151" s="206">
        <v>2028</v>
      </c>
      <c r="B151" s="229">
        <v>137965161.15671307</v>
      </c>
      <c r="C151" s="229">
        <f t="shared" si="21"/>
        <v>19984058.095587775</v>
      </c>
      <c r="D151" s="229">
        <f t="shared" si="22"/>
        <v>18397038.853200849</v>
      </c>
      <c r="E151" s="229">
        <f t="shared" si="23"/>
        <v>24047924.128732618</v>
      </c>
      <c r="F151" s="229"/>
      <c r="G151" s="229"/>
      <c r="H151" s="229"/>
      <c r="I151" s="229"/>
      <c r="J151" s="229"/>
      <c r="K151" s="229"/>
      <c r="L151" s="170"/>
      <c r="M151" s="170"/>
      <c r="N151" s="195">
        <f t="shared" si="18"/>
        <v>18397038.853200849</v>
      </c>
      <c r="O151" s="195">
        <f t="shared" si="19"/>
        <v>24047924.128732618</v>
      </c>
      <c r="P151" s="195">
        <f t="shared" si="20"/>
        <v>19984058.095587775</v>
      </c>
      <c r="Q151" s="195">
        <f t="shared" si="24"/>
        <v>62429021.07752125</v>
      </c>
      <c r="R151" s="221">
        <f t="shared" si="25"/>
        <v>0.29468728702883745</v>
      </c>
      <c r="AC151" s="251"/>
    </row>
    <row r="152" spans="1:29" ht="15.6" x14ac:dyDescent="0.3">
      <c r="A152" s="206">
        <v>2029</v>
      </c>
      <c r="B152" s="229">
        <v>140137817.37087628</v>
      </c>
      <c r="C152" s="229">
        <f t="shared" si="21"/>
        <v>20366392.047147281</v>
      </c>
      <c r="D152" s="229">
        <f t="shared" si="22"/>
        <v>19206392.113063063</v>
      </c>
      <c r="E152" s="229">
        <f t="shared" si="23"/>
        <v>24828000.036235843</v>
      </c>
      <c r="F152" s="229"/>
      <c r="G152" s="229"/>
      <c r="H152" s="229"/>
      <c r="I152" s="229"/>
      <c r="J152" s="229"/>
      <c r="K152" s="229"/>
      <c r="L152" s="170"/>
      <c r="M152" s="170"/>
      <c r="N152" s="195">
        <f t="shared" si="18"/>
        <v>19206392.113063063</v>
      </c>
      <c r="O152" s="195">
        <f t="shared" si="19"/>
        <v>24828000.036235843</v>
      </c>
      <c r="P152" s="195">
        <f t="shared" si="20"/>
        <v>20366392.047147281</v>
      </c>
      <c r="Q152" s="195">
        <f t="shared" si="24"/>
        <v>64400784.19644618</v>
      </c>
      <c r="R152" s="221">
        <f t="shared" si="25"/>
        <v>0.29823227081329434</v>
      </c>
      <c r="AC152" s="251"/>
    </row>
    <row r="153" spans="1:29" ht="15.6" x14ac:dyDescent="0.3">
      <c r="A153" s="206">
        <v>2030</v>
      </c>
      <c r="B153" s="229">
        <v>142397674.48032171</v>
      </c>
      <c r="C153" s="229">
        <f t="shared" si="21"/>
        <v>20757262.970515274</v>
      </c>
      <c r="D153" s="229">
        <f t="shared" si="22"/>
        <v>20063643.493529789</v>
      </c>
      <c r="E153" s="229">
        <f t="shared" si="23"/>
        <v>25690191.944286238</v>
      </c>
      <c r="F153" s="229"/>
      <c r="G153" s="229"/>
      <c r="H153" s="229"/>
      <c r="I153" s="229"/>
      <c r="J153" s="229"/>
      <c r="K153" s="229"/>
      <c r="L153" s="170"/>
      <c r="M153" s="170"/>
      <c r="N153" s="195">
        <f t="shared" si="18"/>
        <v>20063643.493529789</v>
      </c>
      <c r="O153" s="195">
        <f t="shared" si="19"/>
        <v>25690191.944286238</v>
      </c>
      <c r="P153" s="195">
        <f t="shared" si="20"/>
        <v>20757262.970515274</v>
      </c>
      <c r="Q153" s="195">
        <f t="shared" si="24"/>
        <v>66511098.408331305</v>
      </c>
      <c r="R153" s="221">
        <f t="shared" si="25"/>
        <v>0.30165857990125416</v>
      </c>
      <c r="AC153" s="251"/>
    </row>
    <row r="154" spans="1:29" ht="15.6" x14ac:dyDescent="0.3">
      <c r="A154" s="206">
        <v>2031</v>
      </c>
      <c r="B154" s="229">
        <v>144754624.1627073</v>
      </c>
      <c r="C154" s="229">
        <f t="shared" si="21"/>
        <v>21147305.150360059</v>
      </c>
      <c r="D154" s="229">
        <f t="shared" si="22"/>
        <v>20858757.767017588</v>
      </c>
      <c r="E154" s="229">
        <f t="shared" si="23"/>
        <v>26407022.898370784</v>
      </c>
      <c r="F154" s="229"/>
      <c r="G154" s="229"/>
      <c r="H154" s="229"/>
      <c r="I154" s="229"/>
      <c r="J154" s="229"/>
      <c r="K154" s="229"/>
      <c r="L154" s="170"/>
      <c r="M154" s="170"/>
      <c r="N154" s="195">
        <f t="shared" si="18"/>
        <v>20858757.767017588</v>
      </c>
      <c r="O154" s="195">
        <f t="shared" si="19"/>
        <v>26407022.898370784</v>
      </c>
      <c r="P154" s="195">
        <f t="shared" si="20"/>
        <v>21147305.150360059</v>
      </c>
      <c r="Q154" s="195">
        <f t="shared" si="24"/>
        <v>68413085.815748438</v>
      </c>
      <c r="R154" s="221">
        <f t="shared" si="25"/>
        <v>0.30489426866659447</v>
      </c>
      <c r="AC154" s="251"/>
    </row>
    <row r="155" spans="1:29" ht="15.6" x14ac:dyDescent="0.3">
      <c r="A155" s="206">
        <v>2032</v>
      </c>
      <c r="B155" s="229">
        <v>147218558.09569088</v>
      </c>
      <c r="C155" s="229">
        <f t="shared" si="21"/>
        <v>21545265.192715742</v>
      </c>
      <c r="D155" s="229">
        <f t="shared" si="22"/>
        <v>21699987.72220774</v>
      </c>
      <c r="E155" s="229">
        <f t="shared" si="23"/>
        <v>27204514.540088341</v>
      </c>
      <c r="F155" s="229"/>
      <c r="G155" s="229"/>
      <c r="H155" s="229"/>
      <c r="I155" s="229"/>
      <c r="J155" s="229"/>
      <c r="K155" s="229"/>
      <c r="L155" s="170"/>
      <c r="M155" s="170"/>
      <c r="N155" s="195">
        <f t="shared" si="18"/>
        <v>21699987.72220774</v>
      </c>
      <c r="O155" s="195">
        <f t="shared" si="19"/>
        <v>27204514.540088341</v>
      </c>
      <c r="P155" s="195">
        <f t="shared" si="20"/>
        <v>21545265.192715742</v>
      </c>
      <c r="Q155" s="195">
        <f t="shared" si="24"/>
        <v>70449767.455011815</v>
      </c>
      <c r="R155" s="221">
        <f t="shared" si="25"/>
        <v>0.30802071470377856</v>
      </c>
      <c r="AC155" s="251"/>
    </row>
    <row r="156" spans="1:29" ht="15.6" x14ac:dyDescent="0.3">
      <c r="A156" s="206">
        <v>2033</v>
      </c>
      <c r="B156" s="229">
        <v>149799367.9569304</v>
      </c>
      <c r="C156" s="229">
        <f t="shared" si="21"/>
        <v>21947814.822705891</v>
      </c>
      <c r="D156" s="229">
        <f t="shared" si="22"/>
        <v>22550060.80360505</v>
      </c>
      <c r="E156" s="229">
        <f t="shared" si="23"/>
        <v>28006356.113629863</v>
      </c>
      <c r="F156" s="229"/>
      <c r="G156" s="229"/>
      <c r="H156" s="229"/>
      <c r="I156" s="229"/>
      <c r="J156" s="229"/>
      <c r="K156" s="229"/>
      <c r="L156" s="170"/>
      <c r="M156" s="170"/>
      <c r="N156" s="195">
        <f t="shared" si="18"/>
        <v>22550060.80360505</v>
      </c>
      <c r="O156" s="195">
        <f t="shared" si="19"/>
        <v>28006356.113629863</v>
      </c>
      <c r="P156" s="195">
        <f t="shared" si="20"/>
        <v>21947814.822705891</v>
      </c>
      <c r="Q156" s="195">
        <f t="shared" si="24"/>
        <v>72504231.739940807</v>
      </c>
      <c r="R156" s="221">
        <f t="shared" si="25"/>
        <v>0.31101716772185001</v>
      </c>
      <c r="AC156" s="251"/>
    </row>
    <row r="157" spans="1:29" ht="15.6" x14ac:dyDescent="0.3">
      <c r="A157" s="206">
        <v>2034</v>
      </c>
      <c r="B157" s="229">
        <v>152506945.42408368</v>
      </c>
      <c r="C157" s="229">
        <f t="shared" si="21"/>
        <v>22354644.485681709</v>
      </c>
      <c r="D157" s="229">
        <f t="shared" si="22"/>
        <v>23408085.791758444</v>
      </c>
      <c r="E157" s="229">
        <f t="shared" si="23"/>
        <v>28811819.962538268</v>
      </c>
      <c r="F157" s="229"/>
      <c r="G157" s="229"/>
      <c r="H157" s="229"/>
      <c r="I157" s="229"/>
      <c r="J157" s="229"/>
      <c r="K157" s="229"/>
      <c r="L157" s="170"/>
      <c r="M157" s="170"/>
      <c r="N157" s="195">
        <f t="shared" si="18"/>
        <v>23408085.791758444</v>
      </c>
      <c r="O157" s="195">
        <f t="shared" si="19"/>
        <v>28811819.962538268</v>
      </c>
      <c r="P157" s="195">
        <f t="shared" si="20"/>
        <v>22354644.485681709</v>
      </c>
      <c r="Q157" s="195">
        <f t="shared" si="24"/>
        <v>74574550.239978418</v>
      </c>
      <c r="R157" s="221">
        <f t="shared" si="25"/>
        <v>0.31388839378088107</v>
      </c>
      <c r="AC157" s="251"/>
    </row>
    <row r="158" spans="1:29" ht="15.6" x14ac:dyDescent="0.3">
      <c r="A158" s="206">
        <v>2035</v>
      </c>
      <c r="B158" s="229">
        <v>155351182.17480868</v>
      </c>
      <c r="C158" s="229">
        <f t="shared" si="21"/>
        <v>22900147.185221277</v>
      </c>
      <c r="D158" s="229">
        <f t="shared" si="22"/>
        <v>24495220.15971078</v>
      </c>
      <c r="E158" s="229">
        <f t="shared" si="23"/>
        <v>29889162.941195965</v>
      </c>
      <c r="F158" s="229"/>
      <c r="G158" s="229"/>
      <c r="H158" s="229"/>
      <c r="I158" s="229"/>
      <c r="J158" s="229"/>
      <c r="K158" s="229"/>
      <c r="L158" s="170"/>
      <c r="M158" s="170"/>
      <c r="N158" s="195">
        <f t="shared" si="18"/>
        <v>24495220.15971078</v>
      </c>
      <c r="O158" s="195">
        <f t="shared" si="19"/>
        <v>29889162.941195965</v>
      </c>
      <c r="P158" s="195">
        <f t="shared" si="20"/>
        <v>22900147.185221277</v>
      </c>
      <c r="Q158" s="195">
        <f t="shared" si="24"/>
        <v>77284530.286128014</v>
      </c>
      <c r="R158" s="221">
        <f t="shared" si="25"/>
        <v>0.31694855450402454</v>
      </c>
      <c r="AC158" s="251"/>
    </row>
    <row r="159" spans="1:29" ht="15.6" x14ac:dyDescent="0.3">
      <c r="A159" s="206">
        <v>2036</v>
      </c>
      <c r="B159" s="229">
        <v>158341969.88676322</v>
      </c>
      <c r="C159" s="229">
        <f t="shared" si="21"/>
        <v>23179905.691995166</v>
      </c>
      <c r="D159" s="229">
        <f t="shared" si="22"/>
        <v>25144426.610529166</v>
      </c>
      <c r="E159" s="229">
        <f t="shared" si="23"/>
        <v>30430703.86062745</v>
      </c>
      <c r="F159" s="229"/>
      <c r="G159" s="229"/>
      <c r="H159" s="229"/>
      <c r="I159" s="229"/>
      <c r="J159" s="229"/>
      <c r="K159" s="229"/>
      <c r="L159" s="170"/>
      <c r="M159" s="170"/>
      <c r="N159" s="195">
        <f t="shared" si="18"/>
        <v>25144426.610529166</v>
      </c>
      <c r="O159" s="195">
        <f t="shared" si="19"/>
        <v>30430703.86062745</v>
      </c>
      <c r="P159" s="195">
        <f t="shared" si="20"/>
        <v>23179905.691995166</v>
      </c>
      <c r="Q159" s="195">
        <f t="shared" si="24"/>
        <v>78755036.163151771</v>
      </c>
      <c r="R159" s="221">
        <f t="shared" si="25"/>
        <v>0.31927388819223024</v>
      </c>
      <c r="AC159" s="251"/>
    </row>
    <row r="160" spans="1:29" ht="15.6" x14ac:dyDescent="0.3">
      <c r="A160" s="206">
        <v>2037</v>
      </c>
      <c r="B160" s="229">
        <v>161489200.23760527</v>
      </c>
      <c r="C160" s="229">
        <f t="shared" si="21"/>
        <v>23597718.126035213</v>
      </c>
      <c r="D160" s="229">
        <f t="shared" si="22"/>
        <v>26020960.002244342</v>
      </c>
      <c r="E160" s="229">
        <f t="shared" si="23"/>
        <v>31242668.596894074</v>
      </c>
      <c r="F160" s="229"/>
      <c r="G160" s="229"/>
      <c r="H160" s="229"/>
      <c r="I160" s="229"/>
      <c r="J160" s="229"/>
      <c r="K160" s="229"/>
      <c r="L160" s="170"/>
      <c r="M160" s="170"/>
      <c r="N160" s="195">
        <f t="shared" si="18"/>
        <v>26020960.002244342</v>
      </c>
      <c r="O160" s="195">
        <f t="shared" si="19"/>
        <v>31242668.596894074</v>
      </c>
      <c r="P160" s="195">
        <f t="shared" si="20"/>
        <v>23597718.126035213</v>
      </c>
      <c r="Q160" s="195">
        <f t="shared" si="24"/>
        <v>80861346.725173622</v>
      </c>
      <c r="R160" s="221">
        <f t="shared" si="25"/>
        <v>0.32179726230237937</v>
      </c>
      <c r="AC160" s="251"/>
    </row>
    <row r="161" spans="1:29" ht="15.6" x14ac:dyDescent="0.3">
      <c r="A161" s="206">
        <v>2038</v>
      </c>
      <c r="B161" s="229">
        <v>164802764.90499267</v>
      </c>
      <c r="C161" s="229">
        <f t="shared" si="21"/>
        <v>24018572.374465737</v>
      </c>
      <c r="D161" s="229">
        <f t="shared" si="22"/>
        <v>26901880.422911294</v>
      </c>
      <c r="E161" s="229">
        <f t="shared" si="23"/>
        <v>32055344.982699286</v>
      </c>
      <c r="F161" s="229"/>
      <c r="G161" s="229"/>
      <c r="H161" s="229"/>
      <c r="I161" s="229"/>
      <c r="J161" s="229"/>
      <c r="K161" s="229"/>
      <c r="L161" s="170"/>
      <c r="M161" s="170"/>
      <c r="N161" s="195">
        <f t="shared" si="18"/>
        <v>26901880.422911294</v>
      </c>
      <c r="O161" s="195">
        <f t="shared" si="19"/>
        <v>32055344.982699286</v>
      </c>
      <c r="P161" s="195">
        <f t="shared" si="20"/>
        <v>24018572.374465737</v>
      </c>
      <c r="Q161" s="195">
        <f t="shared" si="24"/>
        <v>82975797.780076325</v>
      </c>
      <c r="R161" s="221">
        <f t="shared" si="25"/>
        <v>0.32421357965383518</v>
      </c>
      <c r="AC161" s="251"/>
    </row>
    <row r="162" spans="1:29" ht="15.6" x14ac:dyDescent="0.3">
      <c r="A162" s="206">
        <v>2039</v>
      </c>
      <c r="B162" s="229">
        <v>168292555.56658331</v>
      </c>
      <c r="C162" s="229">
        <f t="shared" si="21"/>
        <v>24442158.882637952</v>
      </c>
      <c r="D162" s="229">
        <f t="shared" si="22"/>
        <v>27786296.653078943</v>
      </c>
      <c r="E162" s="229">
        <f t="shared" si="23"/>
        <v>32868005.361586008</v>
      </c>
      <c r="F162" s="229"/>
      <c r="G162" s="229"/>
      <c r="H162" s="229"/>
      <c r="I162" s="229"/>
      <c r="J162" s="229"/>
      <c r="K162" s="229"/>
      <c r="L162" s="170"/>
      <c r="M162" s="170"/>
      <c r="N162" s="195">
        <f t="shared" si="18"/>
        <v>27786296.653078943</v>
      </c>
      <c r="O162" s="195">
        <f t="shared" si="19"/>
        <v>32868005.361586008</v>
      </c>
      <c r="P162" s="195">
        <f t="shared" si="20"/>
        <v>24442158.882637952</v>
      </c>
      <c r="Q162" s="195">
        <f t="shared" si="24"/>
        <v>85096460.897302896</v>
      </c>
      <c r="R162" s="221">
        <f t="shared" si="25"/>
        <v>0.32652705365282259</v>
      </c>
      <c r="AC162" s="251"/>
    </row>
    <row r="163" spans="1:29" ht="15.6" x14ac:dyDescent="0.3">
      <c r="A163" s="206">
        <v>2040</v>
      </c>
      <c r="B163" s="229">
        <v>171968463.90003508</v>
      </c>
      <c r="C163" s="229">
        <f t="shared" si="21"/>
        <v>24984301.964445986</v>
      </c>
      <c r="D163" s="229">
        <f t="shared" si="22"/>
        <v>28807295.309656736</v>
      </c>
      <c r="E163" s="229">
        <f t="shared" si="23"/>
        <v>33909815.369072497</v>
      </c>
      <c r="F163" s="229"/>
      <c r="G163" s="229"/>
      <c r="H163" s="229"/>
      <c r="I163" s="229"/>
      <c r="J163" s="229"/>
      <c r="K163" s="229"/>
      <c r="L163" s="170"/>
      <c r="M163" s="170"/>
      <c r="N163" s="195">
        <f t="shared" si="18"/>
        <v>28807295.309656736</v>
      </c>
      <c r="O163" s="195">
        <f t="shared" si="19"/>
        <v>33909815.369072497</v>
      </c>
      <c r="P163" s="195">
        <f t="shared" si="20"/>
        <v>24984301.964445986</v>
      </c>
      <c r="Q163" s="195">
        <f t="shared" si="24"/>
        <v>87701412.643175215</v>
      </c>
      <c r="R163" s="221">
        <f t="shared" si="25"/>
        <v>0.32847014023437709</v>
      </c>
      <c r="AC163" s="251"/>
    </row>
    <row r="164" spans="1:29" ht="15.6" x14ac:dyDescent="0.3">
      <c r="A164" s="206">
        <v>2041</v>
      </c>
      <c r="B164" s="229">
        <v>175840381.58300591</v>
      </c>
      <c r="C164" s="229">
        <f t="shared" si="21"/>
        <v>25296290.45961225</v>
      </c>
      <c r="D164" s="229">
        <f t="shared" si="22"/>
        <v>29562051.664112028</v>
      </c>
      <c r="E164" s="229">
        <f t="shared" si="23"/>
        <v>34490367.472775705</v>
      </c>
      <c r="F164" s="229"/>
      <c r="G164" s="229"/>
      <c r="H164" s="229"/>
      <c r="I164" s="229"/>
      <c r="J164" s="229"/>
      <c r="K164" s="229"/>
      <c r="L164" s="170"/>
      <c r="M164" s="170"/>
      <c r="N164" s="195">
        <f t="shared" si="18"/>
        <v>29562051.664112028</v>
      </c>
      <c r="O164" s="195">
        <f t="shared" si="19"/>
        <v>34490367.472775705</v>
      </c>
      <c r="P164" s="195">
        <f t="shared" si="20"/>
        <v>25296290.45961225</v>
      </c>
      <c r="Q164" s="195">
        <f>N164+P164+O164</f>
        <v>89348709.596499979</v>
      </c>
      <c r="R164" s="221">
        <f>N164/Q164</f>
        <v>0.33086154011193519</v>
      </c>
      <c r="AC164" s="251"/>
    </row>
    <row r="165" spans="1:29" ht="15.6" x14ac:dyDescent="0.3">
      <c r="A165" s="206">
        <v>2042</v>
      </c>
      <c r="B165" s="229">
        <v>179918200.29315364</v>
      </c>
      <c r="C165" s="229">
        <f t="shared" si="21"/>
        <v>25726216.419116739</v>
      </c>
      <c r="D165" s="229">
        <f t="shared" si="22"/>
        <v>30451608.006075308</v>
      </c>
      <c r="E165" s="229">
        <f t="shared" si="23"/>
        <v>35298613.892164528</v>
      </c>
      <c r="F165" s="229"/>
      <c r="G165" s="229"/>
      <c r="H165" s="229"/>
      <c r="I165" s="229"/>
      <c r="J165" s="229"/>
      <c r="K165" s="229"/>
      <c r="L165" s="170"/>
      <c r="M165" s="170"/>
      <c r="N165" s="195">
        <f t="shared" si="18"/>
        <v>30451608.006075308</v>
      </c>
      <c r="O165" s="195">
        <f t="shared" si="19"/>
        <v>35298613.892164528</v>
      </c>
      <c r="P165" s="195">
        <f t="shared" si="20"/>
        <v>25726216.419116739</v>
      </c>
      <c r="Q165" s="195">
        <f t="shared" si="24"/>
        <v>91476438.317356572</v>
      </c>
      <c r="R165" s="221">
        <f t="shared" si="25"/>
        <v>0.33289017987812797</v>
      </c>
      <c r="AC165" s="251"/>
    </row>
    <row r="166" spans="1:29" ht="15.6" x14ac:dyDescent="0.3">
      <c r="A166" s="206">
        <v>2043</v>
      </c>
      <c r="B166" s="229">
        <v>184211811.7081362</v>
      </c>
      <c r="C166" s="229">
        <f t="shared" si="21"/>
        <v>26157636.419767726</v>
      </c>
      <c r="D166" s="229">
        <f t="shared" si="22"/>
        <v>31341095.279734977</v>
      </c>
      <c r="E166" s="229">
        <f t="shared" si="23"/>
        <v>36103933.678806566</v>
      </c>
      <c r="F166" s="229"/>
      <c r="G166" s="229"/>
      <c r="H166" s="229"/>
      <c r="I166" s="229"/>
      <c r="J166" s="229"/>
      <c r="K166" s="229"/>
      <c r="L166" s="170"/>
      <c r="M166" s="170"/>
      <c r="N166" s="195">
        <f t="shared" si="18"/>
        <v>31341095.279734977</v>
      </c>
      <c r="O166" s="195">
        <f t="shared" si="19"/>
        <v>36103933.678806566</v>
      </c>
      <c r="P166" s="195">
        <f t="shared" si="20"/>
        <v>26157636.419767726</v>
      </c>
      <c r="Q166" s="195">
        <f t="shared" si="24"/>
        <v>93602665.37830928</v>
      </c>
      <c r="R166" s="221">
        <f t="shared" si="25"/>
        <v>0.33483122679322447</v>
      </c>
      <c r="AC166" s="251"/>
    </row>
    <row r="167" spans="1:29" ht="15.6" x14ac:dyDescent="0.3">
      <c r="A167" s="206">
        <v>2044</v>
      </c>
      <c r="B167" s="229">
        <v>188731107.50561145</v>
      </c>
      <c r="C167" s="229">
        <f t="shared" si="21"/>
        <v>26590240.906916413</v>
      </c>
      <c r="D167" s="229">
        <f t="shared" si="22"/>
        <v>32229622.265639964</v>
      </c>
      <c r="E167" s="229">
        <f t="shared" si="23"/>
        <v>36905599.176244736</v>
      </c>
      <c r="F167" s="229"/>
      <c r="G167" s="229"/>
      <c r="H167" s="229"/>
      <c r="I167" s="229"/>
      <c r="J167" s="229"/>
      <c r="K167" s="229"/>
      <c r="L167" s="170"/>
      <c r="M167" s="170"/>
      <c r="N167" s="195">
        <f t="shared" si="18"/>
        <v>32229622.265639964</v>
      </c>
      <c r="O167" s="195">
        <f t="shared" si="19"/>
        <v>36905599.176244736</v>
      </c>
      <c r="P167" s="195">
        <f t="shared" si="20"/>
        <v>26590240.906916413</v>
      </c>
      <c r="Q167" s="195">
        <f t="shared" si="24"/>
        <v>95725462.348801106</v>
      </c>
      <c r="R167" s="221">
        <f t="shared" si="25"/>
        <v>0.33668808146575246</v>
      </c>
      <c r="AC167" s="251"/>
    </row>
    <row r="168" spans="1:29" ht="15.6" x14ac:dyDescent="0.3">
      <c r="A168" s="206">
        <v>2045</v>
      </c>
      <c r="B168" s="229">
        <v>193485979.36323732</v>
      </c>
      <c r="C168" s="229">
        <f t="shared" si="21"/>
        <v>27014968.861901972</v>
      </c>
      <c r="D168" s="229">
        <f t="shared" si="22"/>
        <v>33094500.776115905</v>
      </c>
      <c r="E168" s="229">
        <f t="shared" si="23"/>
        <v>37670548.521514907</v>
      </c>
      <c r="F168" s="229"/>
      <c r="G168" s="229"/>
      <c r="H168" s="229"/>
      <c r="I168" s="229"/>
      <c r="J168" s="229"/>
      <c r="K168" s="229"/>
      <c r="L168" s="170"/>
      <c r="M168" s="170"/>
      <c r="N168" s="195">
        <f t="shared" si="18"/>
        <v>33094500.776115905</v>
      </c>
      <c r="O168" s="195">
        <f t="shared" si="19"/>
        <v>37670548.521514907</v>
      </c>
      <c r="P168" s="195">
        <f t="shared" si="20"/>
        <v>27014968.861901972</v>
      </c>
      <c r="Q168" s="195">
        <f t="shared" si="24"/>
        <v>97780018.159532785</v>
      </c>
      <c r="R168" s="221">
        <f t="shared" si="25"/>
        <v>0.33845873010701061</v>
      </c>
      <c r="AC168" s="251"/>
    </row>
    <row r="169" spans="1:29" ht="15.6" x14ac:dyDescent="0.3">
      <c r="A169" s="206">
        <v>2046</v>
      </c>
      <c r="B169" s="229">
        <v>198486318.95867163</v>
      </c>
      <c r="C169" s="229">
        <f t="shared" si="21"/>
        <v>27457765.122111712</v>
      </c>
      <c r="D169" s="229">
        <f t="shared" si="22"/>
        <v>34000230.496381566</v>
      </c>
      <c r="E169" s="229">
        <f t="shared" si="23"/>
        <v>38495056.677681223</v>
      </c>
      <c r="F169" s="229"/>
      <c r="G169" s="229"/>
      <c r="H169" s="229"/>
      <c r="I169" s="229"/>
      <c r="J169" s="229"/>
      <c r="K169" s="229"/>
      <c r="L169" s="170"/>
      <c r="M169" s="170"/>
      <c r="N169" s="195">
        <f t="shared" si="18"/>
        <v>34000230.496381566</v>
      </c>
      <c r="O169" s="195">
        <f t="shared" si="19"/>
        <v>38495056.677681223</v>
      </c>
      <c r="P169" s="195">
        <f t="shared" si="20"/>
        <v>27457765.122111712</v>
      </c>
      <c r="Q169" s="195">
        <f t="shared" si="24"/>
        <v>99953052.296174496</v>
      </c>
      <c r="R169" s="221">
        <f t="shared" si="25"/>
        <v>0.34016200321361129</v>
      </c>
      <c r="AC169" s="251"/>
    </row>
    <row r="170" spans="1:29" ht="15.6" x14ac:dyDescent="0.3">
      <c r="A170" s="206">
        <v>2047</v>
      </c>
      <c r="B170" s="229">
        <v>203742017.96957231</v>
      </c>
      <c r="C170" s="229">
        <f t="shared" si="21"/>
        <v>27892065.740860727</v>
      </c>
      <c r="D170" s="229">
        <f t="shared" si="22"/>
        <v>34880529.30231604</v>
      </c>
      <c r="E170" s="229">
        <f t="shared" si="23"/>
        <v>39281393.368765369</v>
      </c>
      <c r="F170" s="229"/>
      <c r="G170" s="229"/>
      <c r="H170" s="229"/>
      <c r="I170" s="229"/>
      <c r="J170" s="229"/>
      <c r="K170" s="229"/>
      <c r="L170" s="170"/>
      <c r="M170" s="170"/>
      <c r="N170" s="195">
        <f t="shared" si="18"/>
        <v>34880529.30231604</v>
      </c>
      <c r="O170" s="195">
        <f t="shared" si="19"/>
        <v>39281393.368765369</v>
      </c>
      <c r="P170" s="195">
        <f t="shared" si="20"/>
        <v>27892065.740860727</v>
      </c>
      <c r="Q170" s="195">
        <f t="shared" si="24"/>
        <v>102053988.41194214</v>
      </c>
      <c r="R170" s="221">
        <f t="shared" si="25"/>
        <v>0.34178506734612241</v>
      </c>
      <c r="AC170" s="251"/>
    </row>
    <row r="171" spans="1:29" ht="15.6" x14ac:dyDescent="0.3">
      <c r="A171" s="206">
        <v>2048</v>
      </c>
      <c r="B171" s="229">
        <v>209262968.07359728</v>
      </c>
      <c r="C171" s="229">
        <f t="shared" si="21"/>
        <v>28326312.627512258</v>
      </c>
      <c r="D171" s="229">
        <f t="shared" si="22"/>
        <v>35756302.94269152</v>
      </c>
      <c r="E171" s="229">
        <f t="shared" si="23"/>
        <v>40061165.144817375</v>
      </c>
      <c r="F171" s="229"/>
      <c r="G171" s="229"/>
      <c r="H171" s="229"/>
      <c r="I171" s="229"/>
      <c r="J171" s="229"/>
      <c r="K171" s="229"/>
      <c r="L171" s="170"/>
      <c r="M171" s="170"/>
      <c r="N171" s="195">
        <f t="shared" si="18"/>
        <v>35756302.94269152</v>
      </c>
      <c r="O171" s="195">
        <f t="shared" si="19"/>
        <v>40061165.144817375</v>
      </c>
      <c r="P171" s="195">
        <f t="shared" si="20"/>
        <v>28326312.627512258</v>
      </c>
      <c r="Q171" s="195">
        <f t="shared" si="24"/>
        <v>104143780.71502116</v>
      </c>
      <c r="R171" s="221">
        <f t="shared" si="25"/>
        <v>0.3433359409193622</v>
      </c>
      <c r="AC171" s="251"/>
    </row>
    <row r="172" spans="1:29" ht="15.6" x14ac:dyDescent="0.3">
      <c r="A172" s="206">
        <v>2049</v>
      </c>
      <c r="B172" s="229">
        <v>215059060.94840437</v>
      </c>
      <c r="C172" s="229">
        <f t="shared" si="21"/>
        <v>28760196.227417503</v>
      </c>
      <c r="D172" s="229">
        <f t="shared" si="22"/>
        <v>36626660.198056921</v>
      </c>
      <c r="E172" s="229">
        <f t="shared" si="23"/>
        <v>40833644.349380136</v>
      </c>
      <c r="F172" s="229"/>
      <c r="G172" s="229"/>
      <c r="H172" s="229"/>
      <c r="I172" s="229"/>
      <c r="J172" s="229"/>
      <c r="K172" s="229"/>
      <c r="L172" s="170"/>
      <c r="M172" s="170"/>
      <c r="N172" s="195">
        <f t="shared" si="18"/>
        <v>36626660.198056921</v>
      </c>
      <c r="O172" s="195">
        <f t="shared" si="19"/>
        <v>40833644.349380136</v>
      </c>
      <c r="P172" s="195">
        <f t="shared" si="20"/>
        <v>28760196.227417503</v>
      </c>
      <c r="Q172" s="195">
        <f t="shared" si="24"/>
        <v>106220500.77485456</v>
      </c>
      <c r="R172" s="221">
        <f t="shared" si="25"/>
        <v>0.34481724272502678</v>
      </c>
      <c r="AC172" s="251"/>
    </row>
    <row r="173" spans="1:29" ht="16.2" thickBot="1" x14ac:dyDescent="0.35">
      <c r="A173" s="208">
        <v>2050</v>
      </c>
      <c r="B173" s="231">
        <v>221140188.27165154</v>
      </c>
      <c r="C173" s="229">
        <f t="shared" si="21"/>
        <v>29082714.491742</v>
      </c>
      <c r="D173" s="229">
        <f t="shared" si="22"/>
        <v>37344964.804896973</v>
      </c>
      <c r="E173" s="229">
        <f t="shared" si="23"/>
        <v>41367303.861582421</v>
      </c>
      <c r="F173" s="231"/>
      <c r="G173" s="231"/>
      <c r="H173" s="231"/>
      <c r="I173" s="231"/>
      <c r="J173" s="231"/>
      <c r="K173" s="231"/>
      <c r="L173" s="209"/>
      <c r="M173" s="209"/>
      <c r="N173" s="195">
        <f t="shared" si="18"/>
        <v>37344964.804896973</v>
      </c>
      <c r="O173" s="195">
        <f t="shared" si="19"/>
        <v>41367303.861582421</v>
      </c>
      <c r="P173" s="195">
        <f t="shared" si="20"/>
        <v>29082714.491742</v>
      </c>
      <c r="Q173" s="195">
        <f t="shared" si="24"/>
        <v>107794983.15822139</v>
      </c>
      <c r="R173" s="222">
        <f t="shared" si="25"/>
        <v>0.34644436791721617</v>
      </c>
      <c r="AC173" s="251"/>
    </row>
    <row r="174" spans="1:29" ht="15.6" x14ac:dyDescent="0.3">
      <c r="A174" s="213">
        <v>2051</v>
      </c>
      <c r="B174" s="227">
        <v>227516241.72099662</v>
      </c>
      <c r="C174" s="229">
        <f t="shared" si="21"/>
        <v>29625635.348393962</v>
      </c>
      <c r="D174" s="229">
        <f t="shared" si="22"/>
        <v>38347560.675953224</v>
      </c>
      <c r="E174" s="229">
        <f t="shared" si="23"/>
        <v>42353814.418209672</v>
      </c>
      <c r="F174" s="227"/>
      <c r="G174" s="227"/>
      <c r="H174" s="227"/>
      <c r="I174" s="227"/>
      <c r="J174" s="227"/>
      <c r="K174" s="227"/>
      <c r="N174" s="195">
        <f t="shared" si="18"/>
        <v>38347560.675953224</v>
      </c>
      <c r="O174" s="195">
        <f t="shared" si="19"/>
        <v>42353814.418209672</v>
      </c>
      <c r="P174" s="195">
        <f t="shared" si="20"/>
        <v>29625635.348393962</v>
      </c>
      <c r="Q174" s="195">
        <f t="shared" si="24"/>
        <v>110327010.44255686</v>
      </c>
      <c r="R174" s="214">
        <f t="shared" si="25"/>
        <v>0.3475808917701016</v>
      </c>
      <c r="AC174" s="251"/>
    </row>
    <row r="175" spans="1:29" ht="15.6" x14ac:dyDescent="0.3">
      <c r="A175" s="194">
        <v>2052</v>
      </c>
      <c r="B175" s="229">
        <v>234197112.97409755</v>
      </c>
      <c r="C175" s="229">
        <f t="shared" si="21"/>
        <v>30056571.760167576</v>
      </c>
      <c r="D175" s="229">
        <f t="shared" si="22"/>
        <v>39196321.459581956</v>
      </c>
      <c r="E175" s="229">
        <f t="shared" si="23"/>
        <v>43100049.9695623</v>
      </c>
      <c r="F175" s="229"/>
      <c r="G175" s="229"/>
      <c r="H175" s="229"/>
      <c r="I175" s="229"/>
      <c r="J175" s="229"/>
      <c r="K175" s="229"/>
      <c r="N175" s="195">
        <f t="shared" si="18"/>
        <v>39196321.459581956</v>
      </c>
      <c r="O175" s="195">
        <f t="shared" si="19"/>
        <v>43100049.9695623</v>
      </c>
      <c r="P175" s="195">
        <f t="shared" si="20"/>
        <v>30056571.760167576</v>
      </c>
      <c r="Q175" s="195">
        <f t="shared" si="24"/>
        <v>112352943.18931183</v>
      </c>
      <c r="R175" s="196">
        <f t="shared" si="25"/>
        <v>0.34886777637446631</v>
      </c>
      <c r="AC175" s="251"/>
    </row>
    <row r="176" spans="1:29" ht="15.6" x14ac:dyDescent="0.3">
      <c r="A176" s="194">
        <v>2053</v>
      </c>
      <c r="B176" s="229">
        <v>241192693.70861214</v>
      </c>
      <c r="C176" s="229">
        <f t="shared" si="21"/>
        <v>30485906.666599724</v>
      </c>
      <c r="D176" s="229">
        <f t="shared" si="22"/>
        <v>40036100.980396315</v>
      </c>
      <c r="E176" s="229">
        <f t="shared" si="23"/>
        <v>43836082.323597386</v>
      </c>
      <c r="F176" s="229"/>
      <c r="G176" s="229"/>
      <c r="H176" s="229"/>
      <c r="I176" s="229"/>
      <c r="J176" s="229"/>
      <c r="K176" s="229"/>
      <c r="N176" s="195">
        <f t="shared" si="18"/>
        <v>40036100.980396315</v>
      </c>
      <c r="O176" s="195">
        <f t="shared" si="19"/>
        <v>43836082.323597386</v>
      </c>
      <c r="P176" s="195">
        <f t="shared" si="20"/>
        <v>30485906.666599724</v>
      </c>
      <c r="Q176" s="195">
        <f t="shared" si="24"/>
        <v>114358089.97059342</v>
      </c>
      <c r="R176" s="196">
        <f t="shared" si="25"/>
        <v>0.35009417340470961</v>
      </c>
      <c r="AC176" s="251"/>
    </row>
    <row r="177" spans="1:29" ht="15.6" x14ac:dyDescent="0.3">
      <c r="A177" s="194">
        <v>2054</v>
      </c>
      <c r="B177" s="229">
        <v>248512875.60219836</v>
      </c>
      <c r="C177" s="229">
        <f t="shared" si="21"/>
        <v>30913330.513041604</v>
      </c>
      <c r="D177" s="229">
        <f t="shared" si="22"/>
        <v>40866008.018945225</v>
      </c>
      <c r="E177" s="229">
        <f t="shared" si="23"/>
        <v>44561183.823857881</v>
      </c>
      <c r="F177" s="229"/>
      <c r="G177" s="229"/>
      <c r="H177" s="229"/>
      <c r="I177" s="229"/>
      <c r="J177" s="229"/>
      <c r="K177" s="229"/>
      <c r="N177" s="195">
        <f t="shared" si="18"/>
        <v>40866008.018945225</v>
      </c>
      <c r="O177" s="195">
        <f t="shared" si="19"/>
        <v>44561183.823857881</v>
      </c>
      <c r="P177" s="195">
        <f t="shared" si="20"/>
        <v>30913330.513041604</v>
      </c>
      <c r="Q177" s="195">
        <f t="shared" si="24"/>
        <v>116340522.35584471</v>
      </c>
      <c r="R177" s="196">
        <f t="shared" si="25"/>
        <v>0.3512620296989083</v>
      </c>
      <c r="AC177" s="251"/>
    </row>
    <row r="178" spans="1:29" ht="15.6" x14ac:dyDescent="0.3">
      <c r="A178" s="194">
        <v>2055</v>
      </c>
      <c r="B178" s="229">
        <v>256167550.33251408</v>
      </c>
      <c r="C178" s="229">
        <f t="shared" si="21"/>
        <v>31250296.92030957</v>
      </c>
      <c r="D178" s="229">
        <f t="shared" si="22"/>
        <v>41557723.589166738</v>
      </c>
      <c r="E178" s="229">
        <f t="shared" si="23"/>
        <v>45110589.009412497</v>
      </c>
      <c r="F178" s="229"/>
      <c r="G178" s="229"/>
      <c r="H178" s="229"/>
      <c r="I178" s="229"/>
      <c r="J178" s="229"/>
      <c r="K178" s="229"/>
      <c r="N178" s="195">
        <f t="shared" si="18"/>
        <v>41557723.589166738</v>
      </c>
      <c r="O178" s="195">
        <f t="shared" si="19"/>
        <v>45110589.009412497</v>
      </c>
      <c r="P178" s="195">
        <f t="shared" si="20"/>
        <v>31250296.92030957</v>
      </c>
      <c r="Q178" s="195">
        <f t="shared" si="24"/>
        <v>117918609.5188888</v>
      </c>
      <c r="R178" s="196">
        <f t="shared" si="25"/>
        <v>0.35242718480758384</v>
      </c>
      <c r="AC178" s="251"/>
    </row>
    <row r="179" spans="1:29" ht="15.6" x14ac:dyDescent="0.3">
      <c r="A179" s="194">
        <v>2056</v>
      </c>
      <c r="B179" s="229">
        <v>264166609.57721722</v>
      </c>
      <c r="C179" s="229">
        <f t="shared" si="21"/>
        <v>31761206.807359383</v>
      </c>
      <c r="D179" s="229">
        <f t="shared" si="22"/>
        <v>42492639.771442376</v>
      </c>
      <c r="E179" s="229">
        <f t="shared" si="23"/>
        <v>45975683.637226745</v>
      </c>
      <c r="F179" s="229"/>
      <c r="G179" s="229"/>
      <c r="H179" s="229"/>
      <c r="I179" s="229"/>
      <c r="J179" s="229"/>
      <c r="K179" s="229"/>
      <c r="N179" s="195">
        <f t="shared" si="18"/>
        <v>42492639.771442376</v>
      </c>
      <c r="O179" s="195">
        <f t="shared" si="19"/>
        <v>45975683.637226745</v>
      </c>
      <c r="P179" s="195">
        <f t="shared" si="20"/>
        <v>31761206.807359383</v>
      </c>
      <c r="Q179" s="195">
        <f t="shared" si="24"/>
        <v>120229530.2160285</v>
      </c>
      <c r="R179" s="196">
        <f t="shared" si="25"/>
        <v>0.35342930888186597</v>
      </c>
      <c r="AC179" s="251"/>
    </row>
    <row r="180" spans="1:29" ht="15.6" x14ac:dyDescent="0.3">
      <c r="A180" s="194">
        <v>2057</v>
      </c>
      <c r="B180" s="229">
        <v>272519945.01396561</v>
      </c>
      <c r="C180" s="229">
        <f t="shared" si="21"/>
        <v>32181040.145937689</v>
      </c>
      <c r="D180" s="229">
        <f t="shared" si="22"/>
        <v>43287582.046488456</v>
      </c>
      <c r="E180" s="229">
        <f t="shared" si="23"/>
        <v>46663626.637420967</v>
      </c>
      <c r="F180" s="229"/>
      <c r="G180" s="229"/>
      <c r="H180" s="229"/>
      <c r="I180" s="229"/>
      <c r="J180" s="229"/>
      <c r="K180" s="229"/>
      <c r="N180" s="195">
        <f t="shared" si="18"/>
        <v>43287582.046488456</v>
      </c>
      <c r="O180" s="195">
        <f t="shared" si="19"/>
        <v>46663626.637420967</v>
      </c>
      <c r="P180" s="195">
        <f t="shared" si="20"/>
        <v>32181040.145937689</v>
      </c>
      <c r="Q180" s="195">
        <f t="shared" si="24"/>
        <v>122132248.82984711</v>
      </c>
      <c r="R180" s="196">
        <f t="shared" si="25"/>
        <v>0.35443203954097408</v>
      </c>
      <c r="AC180" s="251"/>
    </row>
    <row r="181" spans="1:29" ht="15.6" x14ac:dyDescent="0.3">
      <c r="A181" s="194">
        <v>2058</v>
      </c>
      <c r="B181" s="229">
        <v>281237448.32041711</v>
      </c>
      <c r="C181" s="229">
        <f t="shared" si="21"/>
        <v>32597724.205930538</v>
      </c>
      <c r="D181" s="229">
        <f t="shared" si="22"/>
        <v>44069086.961464785</v>
      </c>
      <c r="E181" s="229">
        <f t="shared" si="23"/>
        <v>47337728.158012293</v>
      </c>
      <c r="F181" s="229"/>
      <c r="G181" s="229"/>
      <c r="H181" s="229"/>
      <c r="I181" s="229"/>
      <c r="J181" s="229"/>
      <c r="K181" s="229"/>
      <c r="N181" s="195">
        <f t="shared" si="18"/>
        <v>44069086.961464785</v>
      </c>
      <c r="O181" s="195">
        <f t="shared" si="19"/>
        <v>47337728.158012293</v>
      </c>
      <c r="P181" s="195">
        <f t="shared" si="20"/>
        <v>32597724.205930538</v>
      </c>
      <c r="Q181" s="195">
        <f t="shared" si="24"/>
        <v>124004539.32540762</v>
      </c>
      <c r="R181" s="196">
        <f t="shared" si="25"/>
        <v>0.35538285292783112</v>
      </c>
      <c r="AC181" s="251"/>
    </row>
    <row r="182" spans="1:29" ht="15.6" x14ac:dyDescent="0.3">
      <c r="A182" s="194">
        <v>2059</v>
      </c>
      <c r="B182" s="229">
        <v>290329011.17422968</v>
      </c>
      <c r="C182" s="229">
        <f t="shared" si="21"/>
        <v>33010949.432689145</v>
      </c>
      <c r="D182" s="229">
        <f t="shared" si="22"/>
        <v>44836263.296920277</v>
      </c>
      <c r="E182" s="229">
        <f t="shared" si="23"/>
        <v>47997260.542543642</v>
      </c>
      <c r="F182" s="229"/>
      <c r="G182" s="229"/>
      <c r="H182" s="229"/>
      <c r="I182" s="229"/>
      <c r="J182" s="229"/>
      <c r="K182" s="229"/>
      <c r="N182" s="195">
        <f t="shared" si="18"/>
        <v>44836263.296920277</v>
      </c>
      <c r="O182" s="195">
        <f t="shared" si="19"/>
        <v>47997260.542543642</v>
      </c>
      <c r="P182" s="195">
        <f t="shared" si="20"/>
        <v>33010949.432689145</v>
      </c>
      <c r="Q182" s="195">
        <f t="shared" si="24"/>
        <v>125844473.27215308</v>
      </c>
      <c r="R182" s="196">
        <f t="shared" si="25"/>
        <v>0.35628313370549636</v>
      </c>
      <c r="AC182" s="251"/>
    </row>
    <row r="183" spans="1:29" ht="15.6" x14ac:dyDescent="0.3">
      <c r="A183" s="194">
        <v>2060</v>
      </c>
      <c r="B183" s="229">
        <v>299804525.25306123</v>
      </c>
      <c r="C183" s="229">
        <f t="shared" si="21"/>
        <v>33507213.22998384</v>
      </c>
      <c r="D183" s="229">
        <f t="shared" si="22"/>
        <v>45712212.82992541</v>
      </c>
      <c r="E183" s="229">
        <f t="shared" si="23"/>
        <v>48813757.9025179</v>
      </c>
      <c r="F183" s="229"/>
      <c r="G183" s="229"/>
      <c r="H183" s="229"/>
      <c r="I183" s="229"/>
      <c r="J183" s="229"/>
      <c r="K183" s="229"/>
      <c r="N183" s="195">
        <f t="shared" si="18"/>
        <v>45712212.82992541</v>
      </c>
      <c r="O183" s="195">
        <f t="shared" si="19"/>
        <v>48813757.9025179</v>
      </c>
      <c r="P183" s="195">
        <f t="shared" si="20"/>
        <v>33507213.22998384</v>
      </c>
      <c r="Q183" s="195">
        <f t="shared" si="24"/>
        <v>128033183.96242715</v>
      </c>
      <c r="R183" s="196">
        <f>N183/Q183</f>
        <v>0.35703410174771721</v>
      </c>
      <c r="AC183" s="251"/>
    </row>
    <row r="186" spans="1:29" x14ac:dyDescent="0.25">
      <c r="H186" s="250"/>
      <c r="I186" s="250"/>
      <c r="J186" s="250"/>
      <c r="K186" s="250"/>
    </row>
    <row r="187" spans="1:29" x14ac:dyDescent="0.25">
      <c r="H187" s="250"/>
      <c r="I187" s="250"/>
      <c r="J187" s="250"/>
      <c r="K187" s="250"/>
    </row>
    <row r="188" spans="1:29" x14ac:dyDescent="0.25">
      <c r="H188" s="250"/>
      <c r="I188" s="250"/>
      <c r="J188" s="250"/>
      <c r="K188" s="250"/>
    </row>
    <row r="189" spans="1:29" x14ac:dyDescent="0.25">
      <c r="H189" s="250"/>
      <c r="I189" s="250"/>
      <c r="J189" s="250"/>
      <c r="K189" s="250"/>
    </row>
    <row r="190" spans="1:29" x14ac:dyDescent="0.25">
      <c r="H190" s="250"/>
      <c r="I190" s="250"/>
      <c r="J190" s="250"/>
      <c r="K190" s="250"/>
    </row>
    <row r="191" spans="1:29" x14ac:dyDescent="0.25">
      <c r="H191" s="250"/>
      <c r="I191" s="250"/>
      <c r="J191" s="250"/>
      <c r="K191" s="250"/>
    </row>
    <row r="192" spans="1:29" x14ac:dyDescent="0.25">
      <c r="H192" s="250"/>
      <c r="I192" s="250"/>
      <c r="J192" s="250"/>
      <c r="K192" s="250"/>
    </row>
    <row r="193" spans="1:11" x14ac:dyDescent="0.25">
      <c r="H193" s="250"/>
      <c r="I193" s="250"/>
      <c r="J193" s="250"/>
      <c r="K193" s="250"/>
    </row>
    <row r="194" spans="1:11" x14ac:dyDescent="0.25">
      <c r="H194" s="250"/>
      <c r="I194" s="250"/>
      <c r="J194" s="250"/>
      <c r="K194" s="250"/>
    </row>
    <row r="195" spans="1:11" ht="13.8" thickBot="1" x14ac:dyDescent="0.3">
      <c r="H195" s="250"/>
      <c r="I195" s="250"/>
      <c r="J195" s="250"/>
      <c r="K195" s="250"/>
    </row>
    <row r="196" spans="1:11" ht="13.8" thickBot="1" x14ac:dyDescent="0.3">
      <c r="A196" s="194"/>
      <c r="B196" s="218" t="s">
        <v>4</v>
      </c>
      <c r="C196" s="191" t="s">
        <v>5</v>
      </c>
      <c r="D196" s="191" t="s">
        <v>6</v>
      </c>
      <c r="E196" s="191" t="s">
        <v>7</v>
      </c>
      <c r="F196" s="191" t="s">
        <v>8</v>
      </c>
      <c r="G196" s="191" t="s">
        <v>9</v>
      </c>
      <c r="H196" s="191" t="s">
        <v>10</v>
      </c>
      <c r="I196" s="191" t="s">
        <v>11</v>
      </c>
      <c r="J196" s="191" t="s">
        <v>12</v>
      </c>
      <c r="K196" s="192" t="s">
        <v>13</v>
      </c>
    </row>
    <row r="197" spans="1:11" ht="15.6" x14ac:dyDescent="0.3">
      <c r="A197" s="194">
        <v>2014</v>
      </c>
      <c r="B197" s="229"/>
      <c r="C197" s="229"/>
      <c r="D197" s="229"/>
      <c r="E197" s="229"/>
      <c r="F197" s="229"/>
      <c r="G197" s="229"/>
      <c r="H197" s="229"/>
      <c r="I197" s="229"/>
      <c r="J197" s="229"/>
      <c r="K197" s="229"/>
    </row>
    <row r="198" spans="1:11" ht="15.6" x14ac:dyDescent="0.3">
      <c r="A198" s="194">
        <v>2015</v>
      </c>
      <c r="B198" s="229"/>
      <c r="C198" s="229"/>
      <c r="D198" s="229"/>
      <c r="E198" s="229"/>
      <c r="F198" s="229"/>
      <c r="G198" s="229"/>
      <c r="H198" s="229"/>
      <c r="I198" s="229"/>
      <c r="J198" s="229"/>
      <c r="K198" s="229"/>
    </row>
    <row r="199" spans="1:11" ht="15.6" x14ac:dyDescent="0.3">
      <c r="A199" s="194">
        <v>2016</v>
      </c>
      <c r="B199" s="229"/>
      <c r="C199" s="229"/>
      <c r="D199" s="229"/>
      <c r="E199" s="229"/>
      <c r="F199" s="229"/>
      <c r="G199" s="229"/>
      <c r="H199" s="229"/>
      <c r="I199" s="229"/>
      <c r="J199" s="229"/>
      <c r="K199" s="229"/>
    </row>
    <row r="200" spans="1:11" ht="15.6" x14ac:dyDescent="0.3">
      <c r="A200" s="194">
        <v>2017</v>
      </c>
      <c r="B200" s="229"/>
      <c r="C200" s="229"/>
      <c r="D200" s="229"/>
      <c r="E200" s="229"/>
      <c r="F200" s="229"/>
      <c r="G200" s="229"/>
      <c r="H200" s="229"/>
      <c r="I200" s="229"/>
      <c r="J200" s="229"/>
      <c r="K200" s="229"/>
    </row>
    <row r="201" spans="1:11" ht="15.6" x14ac:dyDescent="0.3">
      <c r="A201" s="194">
        <v>2018</v>
      </c>
      <c r="B201" s="229"/>
      <c r="C201" s="229"/>
      <c r="D201" s="229"/>
      <c r="E201" s="229"/>
      <c r="F201" s="229"/>
      <c r="G201" s="229"/>
      <c r="H201" s="229"/>
      <c r="I201" s="229"/>
      <c r="J201" s="229"/>
      <c r="K201" s="229"/>
    </row>
    <row r="202" spans="1:11" ht="16.2" thickBot="1" x14ac:dyDescent="0.35">
      <c r="A202" s="198">
        <v>2019</v>
      </c>
      <c r="B202" s="230"/>
      <c r="C202" s="230"/>
      <c r="D202" s="230"/>
      <c r="E202" s="230"/>
      <c r="F202" s="230"/>
      <c r="G202" s="230"/>
      <c r="H202" s="230"/>
      <c r="I202" s="230"/>
      <c r="J202" s="230"/>
      <c r="K202" s="230"/>
    </row>
    <row r="203" spans="1:11" ht="15.6" x14ac:dyDescent="0.3">
      <c r="A203" s="201">
        <v>2020</v>
      </c>
      <c r="B203" s="228"/>
      <c r="C203" s="228"/>
      <c r="D203" s="228"/>
      <c r="E203" s="228"/>
      <c r="F203" s="228"/>
      <c r="G203" s="228"/>
      <c r="H203" s="228"/>
      <c r="I203" s="228"/>
      <c r="J203" s="228"/>
      <c r="K203" s="228"/>
    </row>
    <row r="204" spans="1:11" ht="15.6" x14ac:dyDescent="0.3">
      <c r="A204" s="206">
        <v>2021</v>
      </c>
      <c r="B204" s="229"/>
      <c r="C204" s="229"/>
      <c r="D204" s="229"/>
      <c r="E204" s="229"/>
      <c r="F204" s="229"/>
      <c r="G204" s="229"/>
      <c r="H204" s="229"/>
      <c r="I204" s="229"/>
      <c r="J204" s="229"/>
      <c r="K204" s="229"/>
    </row>
    <row r="205" spans="1:11" ht="15.6" x14ac:dyDescent="0.3">
      <c r="A205" s="206">
        <v>2022</v>
      </c>
      <c r="B205" s="229"/>
      <c r="C205" s="229"/>
      <c r="D205" s="229"/>
      <c r="E205" s="229"/>
      <c r="F205" s="229"/>
      <c r="G205" s="229"/>
      <c r="H205" s="229"/>
      <c r="I205" s="229"/>
      <c r="J205" s="229"/>
      <c r="K205" s="229"/>
    </row>
    <row r="206" spans="1:11" ht="15.6" x14ac:dyDescent="0.3">
      <c r="A206" s="206">
        <v>2023</v>
      </c>
      <c r="B206" s="229"/>
      <c r="C206" s="229"/>
      <c r="D206" s="229"/>
      <c r="E206" s="229"/>
      <c r="F206" s="229"/>
      <c r="G206" s="229"/>
      <c r="H206" s="229"/>
      <c r="I206" s="229"/>
      <c r="J206" s="229"/>
      <c r="K206" s="229"/>
    </row>
    <row r="207" spans="1:11" ht="15.6" x14ac:dyDescent="0.3">
      <c r="A207" s="206">
        <v>2024</v>
      </c>
      <c r="B207" s="229"/>
      <c r="C207" s="229"/>
      <c r="D207" s="229"/>
      <c r="E207" s="229"/>
      <c r="F207" s="229"/>
      <c r="G207" s="229"/>
      <c r="H207" s="229"/>
      <c r="I207" s="229"/>
      <c r="J207" s="229"/>
      <c r="K207" s="229"/>
    </row>
    <row r="208" spans="1:11" ht="15.6" x14ac:dyDescent="0.3">
      <c r="A208" s="206">
        <v>2025</v>
      </c>
      <c r="B208" s="229"/>
      <c r="C208" s="229"/>
      <c r="D208" s="229"/>
      <c r="E208" s="229"/>
      <c r="F208" s="229"/>
      <c r="G208" s="229"/>
      <c r="H208" s="229"/>
      <c r="I208" s="229"/>
      <c r="J208" s="229"/>
      <c r="K208" s="229"/>
    </row>
    <row r="209" spans="1:11" ht="15.6" x14ac:dyDescent="0.3">
      <c r="A209" s="206">
        <v>2026</v>
      </c>
      <c r="B209" s="229"/>
      <c r="C209" s="229"/>
      <c r="D209" s="229"/>
      <c r="E209" s="229"/>
      <c r="F209" s="229"/>
      <c r="G209" s="229"/>
      <c r="H209" s="229"/>
      <c r="I209" s="229"/>
      <c r="J209" s="229"/>
      <c r="K209" s="229"/>
    </row>
    <row r="210" spans="1:11" ht="15.6" x14ac:dyDescent="0.3">
      <c r="A210" s="206">
        <v>2027</v>
      </c>
      <c r="B210" s="229"/>
      <c r="C210" s="229"/>
      <c r="D210" s="229"/>
      <c r="E210" s="229"/>
      <c r="F210" s="229"/>
      <c r="G210" s="229"/>
      <c r="H210" s="229"/>
      <c r="I210" s="229"/>
      <c r="J210" s="229"/>
      <c r="K210" s="229"/>
    </row>
    <row r="211" spans="1:11" ht="15.6" x14ac:dyDescent="0.3">
      <c r="A211" s="206">
        <v>2028</v>
      </c>
      <c r="B211" s="229"/>
      <c r="C211" s="229"/>
      <c r="D211" s="229"/>
      <c r="E211" s="229"/>
      <c r="F211" s="229"/>
      <c r="G211" s="229"/>
      <c r="H211" s="229"/>
      <c r="I211" s="229"/>
      <c r="J211" s="229"/>
      <c r="K211" s="229"/>
    </row>
    <row r="212" spans="1:11" ht="15.6" x14ac:dyDescent="0.3">
      <c r="A212" s="206">
        <v>2029</v>
      </c>
      <c r="B212" s="229"/>
      <c r="C212" s="229"/>
      <c r="D212" s="229"/>
      <c r="E212" s="229"/>
      <c r="F212" s="229"/>
      <c r="G212" s="229"/>
      <c r="H212" s="229"/>
      <c r="I212" s="229"/>
      <c r="J212" s="229"/>
      <c r="K212" s="229"/>
    </row>
    <row r="213" spans="1:11" ht="15.6" x14ac:dyDescent="0.3">
      <c r="A213" s="206">
        <v>2030</v>
      </c>
      <c r="B213" s="229"/>
      <c r="C213" s="229"/>
      <c r="D213" s="229"/>
      <c r="E213" s="229"/>
      <c r="F213" s="229"/>
      <c r="G213" s="229"/>
      <c r="H213" s="229"/>
      <c r="I213" s="229"/>
      <c r="J213" s="229"/>
      <c r="K213" s="229"/>
    </row>
    <row r="214" spans="1:11" ht="15.6" x14ac:dyDescent="0.3">
      <c r="A214" s="206">
        <v>2031</v>
      </c>
      <c r="B214" s="229"/>
      <c r="C214" s="229"/>
      <c r="D214" s="229"/>
      <c r="E214" s="229"/>
      <c r="F214" s="229"/>
      <c r="G214" s="229"/>
      <c r="H214" s="229"/>
      <c r="I214" s="229"/>
      <c r="J214" s="229"/>
      <c r="K214" s="229"/>
    </row>
    <row r="215" spans="1:11" ht="15.6" x14ac:dyDescent="0.3">
      <c r="A215" s="206">
        <v>2032</v>
      </c>
      <c r="B215" s="229"/>
      <c r="C215" s="229"/>
      <c r="D215" s="229"/>
      <c r="E215" s="229"/>
      <c r="F215" s="229"/>
      <c r="G215" s="229"/>
      <c r="H215" s="229"/>
      <c r="I215" s="229"/>
      <c r="J215" s="229"/>
      <c r="K215" s="229"/>
    </row>
    <row r="216" spans="1:11" ht="15.6" x14ac:dyDescent="0.3">
      <c r="A216" s="206">
        <v>2033</v>
      </c>
      <c r="B216" s="229"/>
      <c r="C216" s="229"/>
      <c r="D216" s="229"/>
      <c r="E216" s="229"/>
      <c r="F216" s="229"/>
      <c r="G216" s="229"/>
      <c r="H216" s="229"/>
      <c r="I216" s="229"/>
      <c r="J216" s="229"/>
      <c r="K216" s="229"/>
    </row>
    <row r="217" spans="1:11" ht="15.6" x14ac:dyDescent="0.3">
      <c r="A217" s="206">
        <v>2034</v>
      </c>
      <c r="B217" s="229"/>
      <c r="C217" s="229"/>
      <c r="D217" s="229"/>
      <c r="E217" s="229"/>
      <c r="F217" s="229"/>
      <c r="G217" s="229"/>
      <c r="H217" s="229"/>
      <c r="I217" s="229"/>
      <c r="J217" s="229"/>
      <c r="K217" s="229"/>
    </row>
    <row r="218" spans="1:11" ht="15.6" x14ac:dyDescent="0.3">
      <c r="A218" s="206">
        <v>2035</v>
      </c>
      <c r="B218" s="229"/>
      <c r="C218" s="229"/>
      <c r="D218" s="229"/>
      <c r="E218" s="229"/>
      <c r="F218" s="229"/>
      <c r="G218" s="229"/>
      <c r="H218" s="229"/>
      <c r="I218" s="229"/>
      <c r="J218" s="229"/>
      <c r="K218" s="229"/>
    </row>
    <row r="219" spans="1:11" ht="15.6" x14ac:dyDescent="0.3">
      <c r="A219" s="206">
        <v>2036</v>
      </c>
      <c r="B219" s="229"/>
      <c r="C219" s="229"/>
      <c r="D219" s="229"/>
      <c r="E219" s="229"/>
      <c r="F219" s="229"/>
      <c r="G219" s="229"/>
      <c r="H219" s="229"/>
      <c r="I219" s="229"/>
      <c r="J219" s="229"/>
      <c r="K219" s="229"/>
    </row>
    <row r="220" spans="1:11" ht="15.6" x14ac:dyDescent="0.3">
      <c r="A220" s="206">
        <v>2037</v>
      </c>
      <c r="B220" s="229"/>
      <c r="C220" s="229"/>
      <c r="D220" s="229"/>
      <c r="E220" s="229"/>
      <c r="F220" s="229"/>
      <c r="G220" s="229"/>
      <c r="H220" s="229"/>
      <c r="I220" s="229"/>
      <c r="J220" s="229"/>
      <c r="K220" s="229"/>
    </row>
    <row r="221" spans="1:11" ht="15.6" x14ac:dyDescent="0.3">
      <c r="A221" s="206">
        <v>2038</v>
      </c>
      <c r="B221" s="229"/>
      <c r="C221" s="229"/>
      <c r="D221" s="229"/>
      <c r="E221" s="229"/>
      <c r="F221" s="229"/>
      <c r="G221" s="229"/>
      <c r="H221" s="229"/>
      <c r="I221" s="229"/>
      <c r="J221" s="229"/>
      <c r="K221" s="229"/>
    </row>
    <row r="222" spans="1:11" ht="15.6" x14ac:dyDescent="0.3">
      <c r="A222" s="206">
        <v>2039</v>
      </c>
      <c r="B222" s="229"/>
      <c r="C222" s="229"/>
      <c r="D222" s="229"/>
      <c r="E222" s="229"/>
      <c r="F222" s="229"/>
      <c r="G222" s="229"/>
      <c r="H222" s="229"/>
      <c r="I222" s="229"/>
      <c r="J222" s="229"/>
      <c r="K222" s="229"/>
    </row>
    <row r="223" spans="1:11" ht="15.6" x14ac:dyDescent="0.3">
      <c r="A223" s="206">
        <v>2040</v>
      </c>
      <c r="B223" s="229"/>
      <c r="C223" s="229"/>
      <c r="D223" s="229"/>
      <c r="E223" s="229"/>
      <c r="F223" s="229"/>
      <c r="G223" s="229"/>
      <c r="H223" s="229"/>
      <c r="I223" s="229"/>
      <c r="J223" s="229"/>
      <c r="K223" s="229"/>
    </row>
    <row r="224" spans="1:11" ht="15.6" x14ac:dyDescent="0.3">
      <c r="A224" s="206">
        <v>2041</v>
      </c>
      <c r="B224" s="229"/>
      <c r="C224" s="229"/>
      <c r="D224" s="229"/>
      <c r="E224" s="229"/>
      <c r="F224" s="229"/>
      <c r="G224" s="229"/>
      <c r="H224" s="229"/>
      <c r="I224" s="229"/>
      <c r="J224" s="229"/>
      <c r="K224" s="229"/>
    </row>
    <row r="225" spans="1:11" ht="15.6" x14ac:dyDescent="0.3">
      <c r="A225" s="206">
        <v>2042</v>
      </c>
      <c r="B225" s="229"/>
      <c r="C225" s="229"/>
      <c r="D225" s="229"/>
      <c r="E225" s="229"/>
      <c r="F225" s="229"/>
      <c r="G225" s="229"/>
      <c r="H225" s="229"/>
      <c r="I225" s="229"/>
      <c r="J225" s="229"/>
      <c r="K225" s="229"/>
    </row>
    <row r="226" spans="1:11" ht="15.6" x14ac:dyDescent="0.3">
      <c r="A226" s="206">
        <v>2043</v>
      </c>
      <c r="B226" s="229"/>
      <c r="C226" s="229"/>
      <c r="D226" s="229"/>
      <c r="E226" s="229"/>
      <c r="F226" s="229"/>
      <c r="G226" s="229"/>
      <c r="H226" s="229"/>
      <c r="I226" s="229"/>
      <c r="J226" s="229"/>
      <c r="K226" s="229"/>
    </row>
    <row r="227" spans="1:11" ht="15.6" x14ac:dyDescent="0.3">
      <c r="A227" s="206">
        <v>2044</v>
      </c>
      <c r="B227" s="229"/>
      <c r="C227" s="229"/>
      <c r="D227" s="229"/>
      <c r="E227" s="229"/>
      <c r="F227" s="229"/>
      <c r="G227" s="229"/>
      <c r="H227" s="229"/>
      <c r="I227" s="229"/>
      <c r="J227" s="229"/>
      <c r="K227" s="229"/>
    </row>
    <row r="228" spans="1:11" ht="15.6" x14ac:dyDescent="0.3">
      <c r="A228" s="206">
        <v>2045</v>
      </c>
      <c r="B228" s="229"/>
      <c r="C228" s="229"/>
      <c r="D228" s="229"/>
      <c r="E228" s="229"/>
      <c r="F228" s="229"/>
      <c r="G228" s="229"/>
      <c r="H228" s="229"/>
      <c r="I228" s="229"/>
      <c r="J228" s="229"/>
      <c r="K228" s="229"/>
    </row>
    <row r="229" spans="1:11" ht="15.6" x14ac:dyDescent="0.3">
      <c r="A229" s="206">
        <v>2046</v>
      </c>
      <c r="B229" s="229"/>
      <c r="C229" s="229"/>
      <c r="D229" s="229"/>
      <c r="E229" s="229"/>
      <c r="F229" s="229"/>
      <c r="G229" s="229"/>
      <c r="H229" s="229"/>
      <c r="I229" s="229"/>
      <c r="J229" s="229"/>
      <c r="K229" s="229"/>
    </row>
    <row r="230" spans="1:11" ht="15.6" x14ac:dyDescent="0.3">
      <c r="A230" s="206">
        <v>2047</v>
      </c>
      <c r="B230" s="229"/>
      <c r="C230" s="229"/>
      <c r="D230" s="229"/>
      <c r="E230" s="229"/>
      <c r="F230" s="229"/>
      <c r="G230" s="229"/>
      <c r="H230" s="229"/>
      <c r="I230" s="229"/>
      <c r="J230" s="229"/>
      <c r="K230" s="229"/>
    </row>
    <row r="231" spans="1:11" ht="15.6" x14ac:dyDescent="0.3">
      <c r="A231" s="206">
        <v>2048</v>
      </c>
      <c r="B231" s="229"/>
      <c r="C231" s="229"/>
      <c r="D231" s="229"/>
      <c r="E231" s="229"/>
      <c r="F231" s="229"/>
      <c r="G231" s="229"/>
      <c r="H231" s="229"/>
      <c r="I231" s="229"/>
      <c r="J231" s="229"/>
      <c r="K231" s="229"/>
    </row>
    <row r="232" spans="1:11" ht="15.6" x14ac:dyDescent="0.3">
      <c r="A232" s="206">
        <v>2049</v>
      </c>
      <c r="B232" s="229"/>
      <c r="C232" s="229"/>
      <c r="D232" s="229"/>
      <c r="E232" s="229"/>
      <c r="F232" s="229"/>
      <c r="G232" s="229"/>
      <c r="H232" s="229"/>
      <c r="I232" s="229"/>
      <c r="J232" s="229"/>
      <c r="K232" s="229"/>
    </row>
    <row r="233" spans="1:11" ht="16.2" thickBot="1" x14ac:dyDescent="0.35">
      <c r="A233" s="208">
        <v>2050</v>
      </c>
      <c r="B233" s="231"/>
      <c r="C233" s="231"/>
      <c r="D233" s="231"/>
      <c r="E233" s="231"/>
      <c r="F233" s="231"/>
      <c r="G233" s="231"/>
      <c r="H233" s="231"/>
      <c r="I233" s="231"/>
      <c r="J233" s="231"/>
      <c r="K233" s="231"/>
    </row>
    <row r="234" spans="1:11" ht="15.6" x14ac:dyDescent="0.3">
      <c r="A234" s="213">
        <v>2051</v>
      </c>
      <c r="B234" s="227"/>
      <c r="C234" s="227"/>
      <c r="D234" s="227"/>
      <c r="E234" s="227"/>
      <c r="F234" s="227"/>
      <c r="G234" s="227"/>
      <c r="H234" s="227"/>
      <c r="I234" s="227"/>
      <c r="J234" s="227"/>
      <c r="K234" s="227"/>
    </row>
    <row r="235" spans="1:11" ht="15.6" x14ac:dyDescent="0.3">
      <c r="A235" s="194">
        <v>2052</v>
      </c>
      <c r="B235" s="229"/>
      <c r="C235" s="229"/>
      <c r="D235" s="229"/>
      <c r="E235" s="229"/>
      <c r="F235" s="229"/>
      <c r="G235" s="229"/>
      <c r="H235" s="229"/>
      <c r="I235" s="229"/>
      <c r="J235" s="229"/>
      <c r="K235" s="229"/>
    </row>
    <row r="236" spans="1:11" ht="15.6" x14ac:dyDescent="0.3">
      <c r="A236" s="194">
        <v>2053</v>
      </c>
      <c r="B236" s="229"/>
      <c r="C236" s="229"/>
      <c r="D236" s="229"/>
      <c r="E236" s="229"/>
      <c r="F236" s="229"/>
      <c r="G236" s="229"/>
      <c r="H236" s="229"/>
      <c r="I236" s="229"/>
      <c r="J236" s="229"/>
      <c r="K236" s="229"/>
    </row>
    <row r="237" spans="1:11" ht="15.6" x14ac:dyDescent="0.3">
      <c r="A237" s="194">
        <v>2054</v>
      </c>
      <c r="B237" s="229"/>
      <c r="C237" s="229"/>
      <c r="D237" s="229"/>
      <c r="E237" s="229"/>
      <c r="F237" s="229"/>
      <c r="G237" s="229"/>
      <c r="H237" s="229"/>
      <c r="I237" s="229"/>
      <c r="J237" s="229"/>
      <c r="K237" s="229"/>
    </row>
    <row r="238" spans="1:11" ht="15.6" x14ac:dyDescent="0.3">
      <c r="A238" s="194">
        <v>2055</v>
      </c>
      <c r="B238" s="229"/>
      <c r="C238" s="229"/>
      <c r="D238" s="229"/>
      <c r="E238" s="229"/>
      <c r="F238" s="229"/>
      <c r="G238" s="229"/>
      <c r="H238" s="229"/>
      <c r="I238" s="229"/>
      <c r="J238" s="229"/>
      <c r="K238" s="229"/>
    </row>
    <row r="239" spans="1:11" ht="15.6" x14ac:dyDescent="0.3">
      <c r="A239" s="194">
        <v>2056</v>
      </c>
      <c r="B239" s="229"/>
      <c r="C239" s="229"/>
      <c r="D239" s="229"/>
      <c r="E239" s="229"/>
      <c r="F239" s="229"/>
      <c r="G239" s="229"/>
      <c r="H239" s="229"/>
      <c r="I239" s="229"/>
      <c r="J239" s="229"/>
      <c r="K239" s="229"/>
    </row>
    <row r="240" spans="1:11" ht="15.6" x14ac:dyDescent="0.3">
      <c r="A240" s="194">
        <v>2057</v>
      </c>
      <c r="B240" s="229"/>
      <c r="C240" s="229"/>
      <c r="D240" s="229"/>
      <c r="E240" s="229"/>
      <c r="F240" s="229"/>
      <c r="G240" s="229"/>
      <c r="H240" s="229"/>
      <c r="I240" s="229"/>
      <c r="J240" s="229"/>
      <c r="K240" s="229"/>
    </row>
    <row r="241" spans="1:11" ht="15.6" x14ac:dyDescent="0.3">
      <c r="A241" s="194">
        <v>2058</v>
      </c>
      <c r="B241" s="229"/>
      <c r="C241" s="229"/>
      <c r="D241" s="229"/>
      <c r="E241" s="229"/>
      <c r="F241" s="229"/>
      <c r="G241" s="229"/>
      <c r="H241" s="229"/>
      <c r="I241" s="229"/>
      <c r="J241" s="229"/>
      <c r="K241" s="229"/>
    </row>
    <row r="242" spans="1:11" ht="15.6" x14ac:dyDescent="0.3">
      <c r="A242" s="194">
        <v>2059</v>
      </c>
      <c r="B242" s="229"/>
      <c r="C242" s="229"/>
      <c r="D242" s="229"/>
      <c r="E242" s="229"/>
      <c r="F242" s="229"/>
      <c r="G242" s="229"/>
      <c r="H242" s="229"/>
      <c r="I242" s="229"/>
      <c r="J242" s="229"/>
      <c r="K242" s="229"/>
    </row>
    <row r="243" spans="1:11" ht="15.6" x14ac:dyDescent="0.3">
      <c r="A243" s="194">
        <v>2060</v>
      </c>
      <c r="B243" s="229"/>
      <c r="C243" s="229"/>
      <c r="D243" s="229"/>
      <c r="E243" s="229"/>
      <c r="F243" s="229"/>
      <c r="G243" s="229"/>
      <c r="H243" s="229"/>
      <c r="I243" s="229"/>
      <c r="J243" s="229"/>
      <c r="K243" s="229"/>
    </row>
    <row r="244" spans="1:11" x14ac:dyDescent="0.25">
      <c r="H244" s="250"/>
      <c r="I244" s="250"/>
      <c r="J244" s="250"/>
      <c r="K244" s="250"/>
    </row>
    <row r="245" spans="1:11" x14ac:dyDescent="0.25">
      <c r="H245" s="250"/>
      <c r="I245" s="250"/>
      <c r="J245" s="250"/>
      <c r="K245" s="250"/>
    </row>
    <row r="246" spans="1:11" x14ac:dyDescent="0.25">
      <c r="H246" s="250"/>
      <c r="I246" s="250"/>
      <c r="J246" s="250"/>
      <c r="K246" s="250"/>
    </row>
    <row r="247" spans="1:11" x14ac:dyDescent="0.25">
      <c r="H247" s="250"/>
      <c r="I247" s="250"/>
      <c r="J247" s="250"/>
      <c r="K247" s="250"/>
    </row>
    <row r="248" spans="1:11" x14ac:dyDescent="0.25">
      <c r="H248" s="250"/>
      <c r="I248" s="250"/>
      <c r="J248" s="250"/>
      <c r="K248" s="250"/>
    </row>
    <row r="249" spans="1:11" x14ac:dyDescent="0.25">
      <c r="H249" s="250"/>
      <c r="I249" s="250"/>
      <c r="J249" s="250"/>
      <c r="K249" s="250"/>
    </row>
    <row r="250" spans="1:11" x14ac:dyDescent="0.25">
      <c r="H250" s="250"/>
      <c r="I250" s="250"/>
      <c r="J250" s="250"/>
      <c r="K250" s="250"/>
    </row>
    <row r="251" spans="1:11" x14ac:dyDescent="0.25">
      <c r="H251" s="250"/>
      <c r="I251" s="250"/>
      <c r="J251" s="250"/>
      <c r="K251" s="250"/>
    </row>
    <row r="252" spans="1:11" x14ac:dyDescent="0.25">
      <c r="H252" s="250"/>
      <c r="I252" s="250"/>
      <c r="J252" s="250"/>
      <c r="K252" s="250"/>
    </row>
    <row r="253" spans="1:11" x14ac:dyDescent="0.25">
      <c r="H253" s="250"/>
      <c r="I253" s="250"/>
      <c r="J253" s="250"/>
      <c r="K253" s="250"/>
    </row>
    <row r="254" spans="1:11" x14ac:dyDescent="0.25">
      <c r="A254" s="373" t="s">
        <v>358</v>
      </c>
      <c r="B254" s="372"/>
      <c r="C254" s="372"/>
      <c r="D254" s="372"/>
      <c r="E254" s="372"/>
      <c r="F254" s="372"/>
      <c r="H254" s="250"/>
      <c r="I254" s="250"/>
      <c r="J254" s="250"/>
      <c r="K254" s="250"/>
    </row>
    <row r="256" spans="1:11" ht="15.6" x14ac:dyDescent="0.3">
      <c r="A256" s="327">
        <v>5</v>
      </c>
      <c r="B256" s="328" t="s">
        <v>388</v>
      </c>
      <c r="C256" s="329"/>
      <c r="D256" s="329"/>
      <c r="E256" s="329"/>
      <c r="F256" s="329"/>
      <c r="G256" s="329"/>
      <c r="H256" s="329"/>
    </row>
    <row r="257" spans="1:8" ht="15.6" x14ac:dyDescent="0.3">
      <c r="A257" s="330" t="s">
        <v>338</v>
      </c>
      <c r="B257" s="331"/>
      <c r="C257" s="331"/>
      <c r="D257" s="332"/>
      <c r="E257" s="333"/>
      <c r="F257" s="703"/>
      <c r="G257" s="333"/>
      <c r="H257" s="334"/>
    </row>
    <row r="258" spans="1:8" ht="16.2" thickBot="1" x14ac:dyDescent="0.3">
      <c r="A258" s="368" t="s">
        <v>339</v>
      </c>
      <c r="B258" s="336"/>
      <c r="C258" s="336"/>
      <c r="D258" s="337"/>
      <c r="E258" s="338" t="s">
        <v>340</v>
      </c>
      <c r="F258" s="704"/>
      <c r="G258" s="369" t="s">
        <v>389</v>
      </c>
      <c r="H258" s="334"/>
    </row>
    <row r="259" spans="1:8" ht="16.2" thickBot="1" x14ac:dyDescent="0.3">
      <c r="A259" s="340"/>
      <c r="B259" s="340"/>
      <c r="C259" s="340"/>
      <c r="D259" s="341"/>
      <c r="E259" s="369" t="s">
        <v>390</v>
      </c>
      <c r="F259" s="369" t="s">
        <v>343</v>
      </c>
      <c r="G259" s="370" t="s">
        <v>344</v>
      </c>
      <c r="H259" s="369" t="s">
        <v>345</v>
      </c>
    </row>
    <row r="260" spans="1:8" ht="15.6" x14ac:dyDescent="0.3">
      <c r="A260" s="330" t="s">
        <v>346</v>
      </c>
      <c r="B260" s="340"/>
      <c r="C260" s="343">
        <v>2005</v>
      </c>
      <c r="D260" s="344">
        <v>-9</v>
      </c>
      <c r="E260" s="378"/>
      <c r="F260" s="346"/>
      <c r="G260" s="347">
        <v>5010.3511525135718</v>
      </c>
      <c r="H260" s="348">
        <v>5010.3511525135718</v>
      </c>
    </row>
    <row r="261" spans="1:8" ht="15.6" x14ac:dyDescent="0.3">
      <c r="A261" s="368" t="s">
        <v>347</v>
      </c>
      <c r="B261" s="340"/>
      <c r="C261" s="349">
        <v>2006</v>
      </c>
      <c r="D261" s="350">
        <v>-8</v>
      </c>
      <c r="E261" s="351"/>
      <c r="F261" s="346"/>
      <c r="G261" s="352">
        <v>5308.8417989896734</v>
      </c>
      <c r="H261" s="353">
        <v>5308.8417989896734</v>
      </c>
    </row>
    <row r="262" spans="1:8" ht="15.6" x14ac:dyDescent="0.3">
      <c r="A262" s="340"/>
      <c r="B262" s="340"/>
      <c r="C262" s="349">
        <v>2007</v>
      </c>
      <c r="D262" s="350">
        <v>-7</v>
      </c>
      <c r="E262" s="351"/>
      <c r="F262" s="346"/>
      <c r="G262" s="352">
        <v>5639.3472774009297</v>
      </c>
      <c r="H262" s="353">
        <v>5639.3472774009297</v>
      </c>
    </row>
    <row r="263" spans="1:8" ht="15.6" x14ac:dyDescent="0.3">
      <c r="A263" s="354" t="s">
        <v>348</v>
      </c>
      <c r="B263" s="340"/>
      <c r="C263" s="349">
        <v>2008</v>
      </c>
      <c r="D263" s="350">
        <v>-6</v>
      </c>
      <c r="E263" s="351"/>
      <c r="F263" s="346"/>
      <c r="G263" s="352">
        <v>6000.9763682962621</v>
      </c>
      <c r="H263" s="353">
        <v>6000.9763682962621</v>
      </c>
    </row>
    <row r="264" spans="1:8" ht="15.6" x14ac:dyDescent="0.3">
      <c r="A264" s="700" t="s">
        <v>391</v>
      </c>
      <c r="B264" s="340"/>
      <c r="C264" s="349">
        <v>2009</v>
      </c>
      <c r="D264" s="350">
        <v>-5</v>
      </c>
      <c r="E264" s="351"/>
      <c r="F264" s="346"/>
      <c r="G264" s="352">
        <v>6392.8378522245939</v>
      </c>
      <c r="H264" s="353">
        <v>6392.8378522245939</v>
      </c>
    </row>
    <row r="265" spans="1:8" ht="15.6" x14ac:dyDescent="0.3">
      <c r="A265" s="701"/>
      <c r="B265" s="340"/>
      <c r="C265" s="349">
        <v>2010</v>
      </c>
      <c r="D265" s="350">
        <v>-4</v>
      </c>
      <c r="E265" s="351"/>
      <c r="F265" s="346"/>
      <c r="G265" s="352">
        <v>6814.0405097348494</v>
      </c>
      <c r="H265" s="353">
        <v>6814.0405097348494</v>
      </c>
    </row>
    <row r="266" spans="1:8" ht="15.6" x14ac:dyDescent="0.3">
      <c r="A266" s="701"/>
      <c r="B266" s="340"/>
      <c r="C266" s="349">
        <v>2011</v>
      </c>
      <c r="D266" s="350">
        <v>-3</v>
      </c>
      <c r="E266" s="351"/>
      <c r="F266" s="346"/>
      <c r="G266" s="352">
        <v>7263.6931213759517</v>
      </c>
      <c r="H266" s="353">
        <v>7263.6931213759517</v>
      </c>
    </row>
    <row r="267" spans="1:8" ht="15.6" x14ac:dyDescent="0.3">
      <c r="A267" s="702"/>
      <c r="B267" s="340"/>
      <c r="C267" s="349">
        <v>2012</v>
      </c>
      <c r="D267" s="350">
        <v>-2</v>
      </c>
      <c r="E267" s="351"/>
      <c r="F267" s="346"/>
      <c r="G267" s="355">
        <v>7740.9044676968242</v>
      </c>
      <c r="H267" s="356">
        <v>7740.9044676968242</v>
      </c>
    </row>
    <row r="268" spans="1:8" ht="15.6" x14ac:dyDescent="0.3">
      <c r="A268" s="340"/>
      <c r="B268" s="340"/>
      <c r="C268" s="349">
        <v>2013</v>
      </c>
      <c r="D268" s="350">
        <v>-1</v>
      </c>
      <c r="E268" s="351"/>
      <c r="F268" s="346"/>
      <c r="G268" s="355">
        <v>8244.7833292463893</v>
      </c>
      <c r="H268" s="356">
        <v>8244.7833292463893</v>
      </c>
    </row>
    <row r="269" spans="1:8" ht="15.6" x14ac:dyDescent="0.3">
      <c r="A269" s="357" t="s">
        <v>350</v>
      </c>
      <c r="B269" s="340"/>
      <c r="C269" s="349">
        <v>2014</v>
      </c>
      <c r="D269" s="350">
        <v>0</v>
      </c>
      <c r="E269" s="351">
        <v>8851.6582651577501</v>
      </c>
      <c r="F269" s="346">
        <v>8851.6582651577501</v>
      </c>
      <c r="G269" s="355">
        <v>8851.6582651577501</v>
      </c>
      <c r="H269" s="356">
        <v>8851.6582651577501</v>
      </c>
    </row>
    <row r="270" spans="1:8" ht="15.6" x14ac:dyDescent="0.3">
      <c r="A270" s="358">
        <v>2017</v>
      </c>
      <c r="B270" s="336"/>
      <c r="C270" s="349">
        <v>2015</v>
      </c>
      <c r="D270" s="350">
        <v>1</v>
      </c>
      <c r="E270" s="351"/>
      <c r="F270" s="346"/>
      <c r="G270" s="355">
        <v>9328.978720227291</v>
      </c>
      <c r="H270" s="356">
        <v>9328.978720227291</v>
      </c>
    </row>
    <row r="271" spans="1:8" ht="15.6" x14ac:dyDescent="0.3">
      <c r="A271" s="359"/>
      <c r="B271" s="336"/>
      <c r="C271" s="349">
        <v>2016</v>
      </c>
      <c r="D271" s="350">
        <v>2</v>
      </c>
      <c r="E271" s="351"/>
      <c r="F271" s="346"/>
      <c r="G271" s="355">
        <v>9907.5128107564742</v>
      </c>
      <c r="H271" s="356">
        <v>9907.5128107564742</v>
      </c>
    </row>
    <row r="272" spans="1:8" ht="15.6" x14ac:dyDescent="0.3">
      <c r="A272" s="357" t="s">
        <v>351</v>
      </c>
      <c r="B272" s="336"/>
      <c r="C272" s="349">
        <v>2017</v>
      </c>
      <c r="D272" s="350">
        <v>3</v>
      </c>
      <c r="E272" s="351"/>
      <c r="F272" s="346"/>
      <c r="G272" s="355">
        <v>10509.149538710044</v>
      </c>
      <c r="H272" s="356">
        <v>10509.149538710044</v>
      </c>
    </row>
    <row r="273" spans="1:8" ht="15.6" x14ac:dyDescent="0.3">
      <c r="A273" s="358" t="s">
        <v>390</v>
      </c>
      <c r="B273" s="336"/>
      <c r="C273" s="349">
        <v>2018</v>
      </c>
      <c r="D273" s="350">
        <v>4</v>
      </c>
      <c r="E273" s="351"/>
      <c r="F273" s="346"/>
      <c r="G273" s="355">
        <v>11132.997684636925</v>
      </c>
      <c r="H273" s="356">
        <v>11132.997684636925</v>
      </c>
    </row>
    <row r="274" spans="1:8" ht="15.6" x14ac:dyDescent="0.3">
      <c r="A274" s="360"/>
      <c r="B274" s="361"/>
      <c r="C274" s="349">
        <v>2019</v>
      </c>
      <c r="D274" s="350">
        <v>5</v>
      </c>
      <c r="E274" s="351"/>
      <c r="F274" s="346"/>
      <c r="G274" s="355">
        <v>11778.166029086035</v>
      </c>
      <c r="H274" s="356">
        <v>11778.166029086035</v>
      </c>
    </row>
    <row r="275" spans="1:8" ht="15.6" x14ac:dyDescent="0.3">
      <c r="A275" s="362" t="s">
        <v>352</v>
      </c>
      <c r="B275" s="336"/>
      <c r="C275" s="349">
        <v>2020</v>
      </c>
      <c r="D275" s="350">
        <v>6</v>
      </c>
      <c r="E275" s="351"/>
      <c r="F275" s="346"/>
      <c r="G275" s="355">
        <v>12443.763352606304</v>
      </c>
      <c r="H275" s="356">
        <v>12443.763352606304</v>
      </c>
    </row>
    <row r="276" spans="1:8" ht="15.6" x14ac:dyDescent="0.3">
      <c r="A276" s="363"/>
      <c r="B276" s="336"/>
      <c r="C276" s="349">
        <v>2021</v>
      </c>
      <c r="D276" s="350">
        <v>7</v>
      </c>
      <c r="E276" s="351"/>
      <c r="F276" s="346"/>
      <c r="G276" s="355">
        <v>13128.898435746651</v>
      </c>
      <c r="H276" s="356">
        <v>13128.898435746651</v>
      </c>
    </row>
    <row r="277" spans="1:8" ht="15.6" x14ac:dyDescent="0.3">
      <c r="A277" s="364"/>
      <c r="B277" s="336"/>
      <c r="C277" s="349">
        <v>2022</v>
      </c>
      <c r="D277" s="350">
        <v>8</v>
      </c>
      <c r="E277" s="351"/>
      <c r="F277" s="346"/>
      <c r="G277" s="355">
        <v>13832.680059056</v>
      </c>
      <c r="H277" s="356">
        <v>13832.680059056</v>
      </c>
    </row>
    <row r="278" spans="1:8" ht="15.6" x14ac:dyDescent="0.3">
      <c r="A278" s="358"/>
      <c r="B278" s="336"/>
      <c r="C278" s="349">
        <v>2023</v>
      </c>
      <c r="D278" s="350">
        <v>9</v>
      </c>
      <c r="E278" s="351"/>
      <c r="F278" s="346"/>
      <c r="G278" s="355">
        <v>14554.217003083275</v>
      </c>
      <c r="H278" s="356">
        <v>14554.217003083275</v>
      </c>
    </row>
    <row r="279" spans="1:8" ht="15.6" x14ac:dyDescent="0.3">
      <c r="A279" s="336"/>
      <c r="B279" s="336"/>
      <c r="C279" s="349">
        <v>2024</v>
      </c>
      <c r="D279" s="350">
        <v>10</v>
      </c>
      <c r="E279" s="351"/>
      <c r="F279" s="346"/>
      <c r="G279" s="355">
        <v>15292.618048377397</v>
      </c>
      <c r="H279" s="356">
        <v>15292.618048377397</v>
      </c>
    </row>
    <row r="280" spans="1:8" ht="15.6" x14ac:dyDescent="0.3">
      <c r="A280" s="336"/>
      <c r="B280" s="336"/>
      <c r="C280" s="349">
        <v>2025</v>
      </c>
      <c r="D280" s="350">
        <v>11</v>
      </c>
      <c r="E280" s="351">
        <v>15748.34111438131</v>
      </c>
      <c r="F280" s="346">
        <v>15748.34111438131</v>
      </c>
      <c r="G280" s="355">
        <v>15748.34111438131</v>
      </c>
      <c r="H280" s="356">
        <v>15748.34111438131</v>
      </c>
    </row>
    <row r="281" spans="1:8" ht="15.6" x14ac:dyDescent="0.3">
      <c r="A281" s="336"/>
      <c r="B281" s="336"/>
      <c r="C281" s="349">
        <v>2026</v>
      </c>
      <c r="D281" s="350">
        <v>12</v>
      </c>
      <c r="E281" s="351"/>
      <c r="F281" s="346"/>
      <c r="G281" s="355">
        <v>16816.447564961887</v>
      </c>
      <c r="H281" s="356">
        <v>16816.447564961887</v>
      </c>
    </row>
    <row r="282" spans="1:8" ht="15.6" x14ac:dyDescent="0.3">
      <c r="A282" s="336"/>
      <c r="B282" s="336"/>
      <c r="C282" s="349">
        <v>2027</v>
      </c>
      <c r="D282" s="350">
        <v>13</v>
      </c>
      <c r="E282" s="351"/>
      <c r="F282" s="346"/>
      <c r="G282" s="355">
        <v>17600.093597350096</v>
      </c>
      <c r="H282" s="356">
        <v>17600.093597350096</v>
      </c>
    </row>
    <row r="283" spans="1:8" ht="15.6" x14ac:dyDescent="0.3">
      <c r="A283" s="336"/>
      <c r="B283" s="336"/>
      <c r="C283" s="349">
        <v>2028</v>
      </c>
      <c r="D283" s="350">
        <v>14</v>
      </c>
      <c r="E283" s="351"/>
      <c r="F283" s="346"/>
      <c r="G283" s="355">
        <v>18397.038853200847</v>
      </c>
      <c r="H283" s="356">
        <v>18397.038853200847</v>
      </c>
    </row>
    <row r="284" spans="1:8" ht="15.6" x14ac:dyDescent="0.3">
      <c r="A284" s="336"/>
      <c r="B284" s="336"/>
      <c r="C284" s="349">
        <v>2029</v>
      </c>
      <c r="D284" s="350">
        <v>15</v>
      </c>
      <c r="E284" s="351"/>
      <c r="F284" s="346"/>
      <c r="G284" s="355">
        <v>19206.392113063062</v>
      </c>
      <c r="H284" s="356">
        <v>19206.392113063062</v>
      </c>
    </row>
    <row r="285" spans="1:8" ht="15.6" x14ac:dyDescent="0.3">
      <c r="A285" s="336"/>
      <c r="B285" s="336"/>
      <c r="C285" s="349">
        <v>2030</v>
      </c>
      <c r="D285" s="350">
        <v>16</v>
      </c>
      <c r="E285" s="351">
        <v>20063.643493529788</v>
      </c>
      <c r="F285" s="346">
        <v>20063.643493529788</v>
      </c>
      <c r="G285" s="355">
        <v>20063.643493529788</v>
      </c>
      <c r="H285" s="356">
        <v>20063.643493529788</v>
      </c>
    </row>
    <row r="286" spans="1:8" ht="15.6" x14ac:dyDescent="0.3">
      <c r="A286" s="336"/>
      <c r="B286" s="336"/>
      <c r="C286" s="349">
        <v>2031</v>
      </c>
      <c r="D286" s="350">
        <v>17</v>
      </c>
      <c r="E286" s="351"/>
      <c r="F286" s="346"/>
      <c r="G286" s="355">
        <v>20858.757767017589</v>
      </c>
      <c r="H286" s="356">
        <v>20858.757767017589</v>
      </c>
    </row>
    <row r="287" spans="1:8" ht="15.6" x14ac:dyDescent="0.3">
      <c r="A287" s="336"/>
      <c r="B287" s="336"/>
      <c r="C287" s="349">
        <v>2032</v>
      </c>
      <c r="D287" s="350">
        <v>18</v>
      </c>
      <c r="E287" s="351"/>
      <c r="F287" s="346"/>
      <c r="G287" s="355">
        <v>21699.987722207741</v>
      </c>
      <c r="H287" s="356">
        <v>21699.987722207741</v>
      </c>
    </row>
    <row r="288" spans="1:8" ht="15.6" x14ac:dyDescent="0.3">
      <c r="A288" s="361"/>
      <c r="B288" s="361"/>
      <c r="C288" s="349">
        <v>2033</v>
      </c>
      <c r="D288" s="350">
        <v>19</v>
      </c>
      <c r="E288" s="351"/>
      <c r="F288" s="346"/>
      <c r="G288" s="355">
        <v>22550.060803605051</v>
      </c>
      <c r="H288" s="356">
        <v>22550.060803605051</v>
      </c>
    </row>
    <row r="289" spans="1:8" ht="15.6" x14ac:dyDescent="0.3">
      <c r="A289" s="361"/>
      <c r="B289" s="361"/>
      <c r="C289" s="349">
        <v>2034</v>
      </c>
      <c r="D289" s="350">
        <v>20</v>
      </c>
      <c r="E289" s="351"/>
      <c r="F289" s="346"/>
      <c r="G289" s="355">
        <v>23408.085791758444</v>
      </c>
      <c r="H289" s="356">
        <v>23408.085791758444</v>
      </c>
    </row>
    <row r="290" spans="1:8" ht="15.6" x14ac:dyDescent="0.3">
      <c r="A290" s="361"/>
      <c r="B290" s="361"/>
      <c r="C290" s="349">
        <v>2035</v>
      </c>
      <c r="D290" s="350">
        <v>21</v>
      </c>
      <c r="E290" s="351">
        <v>24495.220159710781</v>
      </c>
      <c r="F290" s="346">
        <v>24495.220159710781</v>
      </c>
      <c r="G290" s="355">
        <v>24495.220159710781</v>
      </c>
      <c r="H290" s="356">
        <v>24495.220159710781</v>
      </c>
    </row>
    <row r="291" spans="1:8" ht="15.6" x14ac:dyDescent="0.3">
      <c r="A291" s="361"/>
      <c r="B291" s="361"/>
      <c r="C291" s="349">
        <v>2036</v>
      </c>
      <c r="D291" s="350">
        <v>22</v>
      </c>
      <c r="E291" s="351"/>
      <c r="F291" s="346"/>
      <c r="G291" s="355">
        <v>25144.426610529164</v>
      </c>
      <c r="H291" s="356">
        <v>25144.426610529164</v>
      </c>
    </row>
    <row r="292" spans="1:8" ht="15.6" x14ac:dyDescent="0.3">
      <c r="A292" s="361"/>
      <c r="B292" s="361"/>
      <c r="C292" s="349">
        <v>2037</v>
      </c>
      <c r="D292" s="350">
        <v>23</v>
      </c>
      <c r="E292" s="351"/>
      <c r="F292" s="346"/>
      <c r="G292" s="355">
        <v>26020.960002244341</v>
      </c>
      <c r="H292" s="356">
        <v>26020.960002244341</v>
      </c>
    </row>
    <row r="293" spans="1:8" ht="15.6" x14ac:dyDescent="0.3">
      <c r="A293" s="361"/>
      <c r="B293" s="361"/>
      <c r="C293" s="349">
        <v>2038</v>
      </c>
      <c r="D293" s="350">
        <v>24</v>
      </c>
      <c r="E293" s="351"/>
      <c r="F293" s="346"/>
      <c r="G293" s="355">
        <v>26901.880422911294</v>
      </c>
      <c r="H293" s="356">
        <v>26901.880422911294</v>
      </c>
    </row>
    <row r="294" spans="1:8" ht="15.6" x14ac:dyDescent="0.3">
      <c r="A294" s="361"/>
      <c r="B294" s="361"/>
      <c r="C294" s="349">
        <v>2039</v>
      </c>
      <c r="D294" s="350">
        <v>25</v>
      </c>
      <c r="E294" s="351"/>
      <c r="F294" s="346"/>
      <c r="G294" s="355">
        <v>27786.296653078942</v>
      </c>
      <c r="H294" s="356">
        <v>27786.296653078942</v>
      </c>
    </row>
    <row r="295" spans="1:8" ht="15.6" x14ac:dyDescent="0.3">
      <c r="A295" s="361"/>
      <c r="B295" s="361"/>
      <c r="C295" s="349">
        <v>2040</v>
      </c>
      <c r="D295" s="350">
        <v>26</v>
      </c>
      <c r="E295" s="351">
        <v>28807.295309656736</v>
      </c>
      <c r="F295" s="346">
        <v>28807.295309656736</v>
      </c>
      <c r="G295" s="355">
        <v>28807.295309656736</v>
      </c>
      <c r="H295" s="356">
        <v>28807.295309656736</v>
      </c>
    </row>
    <row r="296" spans="1:8" ht="15.6" x14ac:dyDescent="0.3">
      <c r="A296" s="361"/>
      <c r="B296" s="361"/>
      <c r="C296" s="349">
        <v>2041</v>
      </c>
      <c r="D296" s="350">
        <v>27</v>
      </c>
      <c r="E296" s="351"/>
      <c r="F296" s="346"/>
      <c r="G296" s="355">
        <v>29562.051664112027</v>
      </c>
      <c r="H296" s="356">
        <v>29562.051664112027</v>
      </c>
    </row>
    <row r="297" spans="1:8" ht="15.6" x14ac:dyDescent="0.3">
      <c r="A297" s="361"/>
      <c r="B297" s="361"/>
      <c r="C297" s="349">
        <v>2042</v>
      </c>
      <c r="D297" s="350">
        <v>28</v>
      </c>
      <c r="E297" s="351"/>
      <c r="F297" s="346"/>
      <c r="G297" s="355">
        <v>30451.608006075308</v>
      </c>
      <c r="H297" s="356">
        <v>30451.608006075308</v>
      </c>
    </row>
    <row r="298" spans="1:8" ht="15.6" x14ac:dyDescent="0.3">
      <c r="A298" s="361"/>
      <c r="B298" s="361"/>
      <c r="C298" s="349">
        <v>2043</v>
      </c>
      <c r="D298" s="350">
        <v>29</v>
      </c>
      <c r="E298" s="351"/>
      <c r="F298" s="346"/>
      <c r="G298" s="355">
        <v>31341.095279734978</v>
      </c>
      <c r="H298" s="356">
        <v>31341.095279734978</v>
      </c>
    </row>
    <row r="299" spans="1:8" ht="15.6" x14ac:dyDescent="0.3">
      <c r="A299" s="361"/>
      <c r="B299" s="361"/>
      <c r="C299" s="349">
        <v>2044</v>
      </c>
      <c r="D299" s="350">
        <v>30</v>
      </c>
      <c r="E299" s="351"/>
      <c r="F299" s="346"/>
      <c r="G299" s="355">
        <v>32229.622265639966</v>
      </c>
      <c r="H299" s="356">
        <v>32229.622265639966</v>
      </c>
    </row>
    <row r="300" spans="1:8" ht="15.6" x14ac:dyDescent="0.3">
      <c r="A300" s="361"/>
      <c r="B300" s="361"/>
      <c r="C300" s="349">
        <v>2045</v>
      </c>
      <c r="D300" s="350">
        <v>31</v>
      </c>
      <c r="E300" s="351">
        <v>33094.500776115907</v>
      </c>
      <c r="F300" s="346">
        <v>33094.500776115907</v>
      </c>
      <c r="G300" s="355">
        <v>33094.500776115907</v>
      </c>
      <c r="H300" s="356">
        <v>33094.500776115907</v>
      </c>
    </row>
    <row r="301" spans="1:8" ht="15.6" x14ac:dyDescent="0.3">
      <c r="A301" s="361"/>
      <c r="B301" s="361"/>
      <c r="C301" s="349">
        <v>2046</v>
      </c>
      <c r="D301" s="350">
        <v>32</v>
      </c>
      <c r="E301" s="351"/>
      <c r="F301" s="346"/>
      <c r="G301" s="355">
        <v>34000.23049638157</v>
      </c>
      <c r="H301" s="356">
        <v>34000.23049638157</v>
      </c>
    </row>
    <row r="302" spans="1:8" ht="15.6" x14ac:dyDescent="0.3">
      <c r="A302" s="365"/>
      <c r="B302" s="366"/>
      <c r="C302" s="349">
        <v>2047</v>
      </c>
      <c r="D302" s="350">
        <v>33</v>
      </c>
      <c r="E302" s="351"/>
      <c r="F302" s="346"/>
      <c r="G302" s="355">
        <v>34880.529302316041</v>
      </c>
      <c r="H302" s="356">
        <v>34880.529302316041</v>
      </c>
    </row>
    <row r="303" spans="1:8" ht="15.6" x14ac:dyDescent="0.3">
      <c r="A303" s="359"/>
      <c r="B303" s="366"/>
      <c r="C303" s="349">
        <v>2048</v>
      </c>
      <c r="D303" s="350">
        <v>34</v>
      </c>
      <c r="E303" s="351"/>
      <c r="F303" s="346"/>
      <c r="G303" s="355">
        <v>35756.302942691516</v>
      </c>
      <c r="H303" s="356">
        <v>35756.302942691516</v>
      </c>
    </row>
    <row r="304" spans="1:8" ht="15.6" x14ac:dyDescent="0.3">
      <c r="A304" s="359"/>
      <c r="B304" s="359"/>
      <c r="C304" s="349">
        <v>2049</v>
      </c>
      <c r="D304" s="350">
        <v>35</v>
      </c>
      <c r="E304" s="351"/>
      <c r="F304" s="346"/>
      <c r="G304" s="355">
        <v>36626.660198056925</v>
      </c>
      <c r="H304" s="356">
        <v>36626.660198056925</v>
      </c>
    </row>
    <row r="305" spans="1:8" ht="15.6" x14ac:dyDescent="0.3">
      <c r="A305" s="359"/>
      <c r="B305" s="359"/>
      <c r="C305" s="349">
        <v>2050</v>
      </c>
      <c r="D305" s="350">
        <v>36</v>
      </c>
      <c r="E305" s="351">
        <v>37344.964804896976</v>
      </c>
      <c r="F305" s="346">
        <v>37344.964804896976</v>
      </c>
      <c r="G305" s="355">
        <v>37344.964804896976</v>
      </c>
      <c r="H305" s="356">
        <v>37344.964804896976</v>
      </c>
    </row>
    <row r="306" spans="1:8" ht="15.6" x14ac:dyDescent="0.3">
      <c r="A306"/>
      <c r="B306"/>
      <c r="C306" s="349">
        <v>2051</v>
      </c>
      <c r="D306" s="350">
        <v>37</v>
      </c>
      <c r="E306" s="351"/>
      <c r="F306" s="346"/>
      <c r="G306" s="355">
        <v>38347.560675953224</v>
      </c>
      <c r="H306" s="356">
        <v>38347.560675953224</v>
      </c>
    </row>
    <row r="307" spans="1:8" ht="15.6" x14ac:dyDescent="0.3">
      <c r="A307"/>
      <c r="B307"/>
      <c r="C307" s="349">
        <v>2052</v>
      </c>
      <c r="D307" s="350">
        <v>38</v>
      </c>
      <c r="E307" s="351"/>
      <c r="F307" s="346"/>
      <c r="G307" s="355">
        <v>39196.321459581959</v>
      </c>
      <c r="H307" s="356">
        <v>39196.321459581959</v>
      </c>
    </row>
    <row r="308" spans="1:8" ht="15.6" x14ac:dyDescent="0.3">
      <c r="A308"/>
      <c r="B308"/>
      <c r="C308" s="349">
        <v>2053</v>
      </c>
      <c r="D308" s="350">
        <v>39</v>
      </c>
      <c r="E308" s="351"/>
      <c r="F308" s="346"/>
      <c r="G308" s="355">
        <v>40036.100980396317</v>
      </c>
      <c r="H308" s="356">
        <v>40036.100980396317</v>
      </c>
    </row>
    <row r="309" spans="1:8" ht="15.6" x14ac:dyDescent="0.3">
      <c r="A309"/>
      <c r="B309"/>
      <c r="C309" s="349">
        <v>2054</v>
      </c>
      <c r="D309" s="350">
        <v>40</v>
      </c>
      <c r="E309" s="351"/>
      <c r="F309" s="346"/>
      <c r="G309" s="355">
        <v>40866.008018945227</v>
      </c>
      <c r="H309" s="356">
        <v>40866.008018945227</v>
      </c>
    </row>
    <row r="310" spans="1:8" ht="15.6" x14ac:dyDescent="0.3">
      <c r="A310"/>
      <c r="B310"/>
      <c r="C310" s="349">
        <v>2055</v>
      </c>
      <c r="D310" s="350">
        <v>41</v>
      </c>
      <c r="E310" s="351">
        <v>41557.723589166737</v>
      </c>
      <c r="F310" s="346">
        <v>41557.723589166737</v>
      </c>
      <c r="G310" s="355">
        <v>41557.723589166737</v>
      </c>
      <c r="H310" s="356">
        <v>41557.723589166737</v>
      </c>
    </row>
    <row r="311" spans="1:8" ht="15.6" x14ac:dyDescent="0.3">
      <c r="A311"/>
      <c r="B311"/>
      <c r="C311" s="349">
        <v>2056</v>
      </c>
      <c r="D311" s="350">
        <v>42</v>
      </c>
      <c r="E311" s="351"/>
      <c r="F311" s="346"/>
      <c r="G311" s="355">
        <v>42492.639771442373</v>
      </c>
      <c r="H311" s="356">
        <v>42492.639771442373</v>
      </c>
    </row>
    <row r="312" spans="1:8" ht="15.6" x14ac:dyDescent="0.3">
      <c r="A312"/>
      <c r="B312"/>
      <c r="C312" s="349">
        <v>2057</v>
      </c>
      <c r="D312" s="350">
        <v>43</v>
      </c>
      <c r="E312" s="351"/>
      <c r="F312" s="346"/>
      <c r="G312" s="355">
        <v>43287.582046488453</v>
      </c>
      <c r="H312" s="356">
        <v>43287.582046488453</v>
      </c>
    </row>
    <row r="313" spans="1:8" ht="15.6" x14ac:dyDescent="0.3">
      <c r="A313"/>
      <c r="B313"/>
      <c r="C313" s="349">
        <v>2058</v>
      </c>
      <c r="D313" s="350">
        <v>44</v>
      </c>
      <c r="E313" s="351"/>
      <c r="F313" s="346"/>
      <c r="G313" s="355">
        <v>44069.086961464782</v>
      </c>
      <c r="H313" s="356">
        <v>44069.086961464782</v>
      </c>
    </row>
    <row r="314" spans="1:8" ht="15.6" x14ac:dyDescent="0.3">
      <c r="A314"/>
      <c r="B314"/>
      <c r="C314" s="349">
        <v>2059</v>
      </c>
      <c r="D314" s="350">
        <v>45</v>
      </c>
      <c r="E314" s="351"/>
      <c r="F314" s="346"/>
      <c r="G314" s="355">
        <v>44836.263296920275</v>
      </c>
      <c r="H314" s="356">
        <v>44836.263296920275</v>
      </c>
    </row>
    <row r="315" spans="1:8" ht="15.6" x14ac:dyDescent="0.3">
      <c r="A315"/>
      <c r="B315"/>
      <c r="C315" s="367">
        <v>2060</v>
      </c>
      <c r="D315" s="350">
        <v>46</v>
      </c>
      <c r="E315" s="351">
        <v>45712.212829925411</v>
      </c>
      <c r="F315" s="346">
        <v>45712.212829925411</v>
      </c>
      <c r="G315" s="355">
        <v>45712.212829925411</v>
      </c>
      <c r="H315" s="356">
        <v>45712.212829925411</v>
      </c>
    </row>
    <row r="322" spans="1:8" ht="15.6" x14ac:dyDescent="0.3">
      <c r="A322" s="327">
        <v>7</v>
      </c>
      <c r="B322" s="328" t="s">
        <v>392</v>
      </c>
      <c r="C322" s="329"/>
      <c r="D322" s="329"/>
      <c r="E322" s="329"/>
      <c r="F322" s="329"/>
      <c r="G322" s="329"/>
      <c r="H322" s="329"/>
    </row>
    <row r="323" spans="1:8" ht="15.6" x14ac:dyDescent="0.3">
      <c r="A323" s="330" t="s">
        <v>338</v>
      </c>
      <c r="B323" s="331"/>
      <c r="C323" s="331"/>
      <c r="D323" s="332"/>
      <c r="E323" s="333"/>
      <c r="F323" s="703"/>
      <c r="G323" s="333"/>
      <c r="H323" s="334"/>
    </row>
    <row r="324" spans="1:8" ht="16.2" thickBot="1" x14ac:dyDescent="0.3">
      <c r="A324" s="368" t="s">
        <v>339</v>
      </c>
      <c r="B324" s="336"/>
      <c r="C324" s="336"/>
      <c r="D324" s="337"/>
      <c r="E324" s="338" t="s">
        <v>340</v>
      </c>
      <c r="F324" s="704"/>
      <c r="G324" s="369" t="s">
        <v>393</v>
      </c>
      <c r="H324" s="334"/>
    </row>
    <row r="325" spans="1:8" ht="16.2" thickBot="1" x14ac:dyDescent="0.3">
      <c r="A325" s="340"/>
      <c r="B325" s="340"/>
      <c r="C325" s="340"/>
      <c r="D325" s="341"/>
      <c r="E325" s="369" t="s">
        <v>390</v>
      </c>
      <c r="F325" s="369" t="s">
        <v>343</v>
      </c>
      <c r="G325" s="370" t="s">
        <v>344</v>
      </c>
      <c r="H325" s="369" t="s">
        <v>345</v>
      </c>
    </row>
    <row r="326" spans="1:8" ht="15.6" x14ac:dyDescent="0.3">
      <c r="A326" s="330" t="s">
        <v>346</v>
      </c>
      <c r="B326" s="340"/>
      <c r="C326" s="343">
        <v>2005</v>
      </c>
      <c r="D326" s="344">
        <v>-9</v>
      </c>
      <c r="E326" s="345"/>
      <c r="F326" s="346"/>
      <c r="G326" s="347">
        <v>13425.390338268202</v>
      </c>
      <c r="H326" s="348">
        <v>13425.390338268202</v>
      </c>
    </row>
    <row r="327" spans="1:8" ht="15.6" x14ac:dyDescent="0.3">
      <c r="A327" s="368" t="s">
        <v>5</v>
      </c>
      <c r="B327" s="340"/>
      <c r="C327" s="349">
        <v>2006</v>
      </c>
      <c r="D327" s="350">
        <v>-8</v>
      </c>
      <c r="E327" s="351"/>
      <c r="F327" s="346"/>
      <c r="G327" s="352">
        <v>13595.367420400094</v>
      </c>
      <c r="H327" s="353">
        <v>13595.367420400094</v>
      </c>
    </row>
    <row r="328" spans="1:8" ht="15.6" x14ac:dyDescent="0.3">
      <c r="A328" s="340"/>
      <c r="B328" s="340"/>
      <c r="C328" s="349">
        <v>2007</v>
      </c>
      <c r="D328" s="350">
        <v>-7</v>
      </c>
      <c r="E328" s="351"/>
      <c r="F328" s="346"/>
      <c r="G328" s="352">
        <v>13777.982511035168</v>
      </c>
      <c r="H328" s="353">
        <v>13777.982511035168</v>
      </c>
    </row>
    <row r="329" spans="1:8" ht="15.6" x14ac:dyDescent="0.3">
      <c r="A329" s="354" t="s">
        <v>348</v>
      </c>
      <c r="B329" s="340"/>
      <c r="C329" s="349">
        <v>2008</v>
      </c>
      <c r="D329" s="350">
        <v>-6</v>
      </c>
      <c r="E329" s="351"/>
      <c r="F329" s="346"/>
      <c r="G329" s="352">
        <v>13972.926055524627</v>
      </c>
      <c r="H329" s="353">
        <v>13972.926055524627</v>
      </c>
    </row>
    <row r="330" spans="1:8" ht="15.6" x14ac:dyDescent="0.3">
      <c r="A330" s="700" t="s">
        <v>394</v>
      </c>
      <c r="B330" s="340"/>
      <c r="C330" s="349">
        <v>2009</v>
      </c>
      <c r="D330" s="350">
        <v>-5</v>
      </c>
      <c r="E330" s="351"/>
      <c r="F330" s="346"/>
      <c r="G330" s="352">
        <v>14179.888499219676</v>
      </c>
      <c r="H330" s="353">
        <v>14179.888499219676</v>
      </c>
    </row>
    <row r="331" spans="1:8" ht="15.6" x14ac:dyDescent="0.3">
      <c r="A331" s="701"/>
      <c r="B331" s="340"/>
      <c r="C331" s="349">
        <v>2010</v>
      </c>
      <c r="D331" s="350">
        <v>-4</v>
      </c>
      <c r="E331" s="351"/>
      <c r="F331" s="346"/>
      <c r="G331" s="352">
        <v>14398.560287471517</v>
      </c>
      <c r="H331" s="353">
        <v>14398.560287471517</v>
      </c>
    </row>
    <row r="332" spans="1:8" ht="15.6" x14ac:dyDescent="0.3">
      <c r="A332" s="701"/>
      <c r="B332" s="340"/>
      <c r="C332" s="349">
        <v>2011</v>
      </c>
      <c r="D332" s="350">
        <v>-3</v>
      </c>
      <c r="E332" s="351"/>
      <c r="F332" s="346"/>
      <c r="G332" s="352">
        <v>14628.631865631352</v>
      </c>
      <c r="H332" s="353">
        <v>14628.631865631352</v>
      </c>
    </row>
    <row r="333" spans="1:8" ht="15.6" x14ac:dyDescent="0.3">
      <c r="A333" s="702"/>
      <c r="B333" s="340"/>
      <c r="C333" s="349">
        <v>2012</v>
      </c>
      <c r="D333" s="350">
        <v>-2</v>
      </c>
      <c r="E333" s="351"/>
      <c r="F333" s="346"/>
      <c r="G333" s="355">
        <v>14869.793679050386</v>
      </c>
      <c r="H333" s="356">
        <v>14869.793679050386</v>
      </c>
    </row>
    <row r="334" spans="1:8" ht="15.6" x14ac:dyDescent="0.3">
      <c r="A334" s="340"/>
      <c r="B334" s="340"/>
      <c r="C334" s="349">
        <v>2013</v>
      </c>
      <c r="D334" s="350">
        <v>-1</v>
      </c>
      <c r="E334" s="351"/>
      <c r="F334" s="346"/>
      <c r="G334" s="355">
        <v>15121.736173079824</v>
      </c>
      <c r="H334" s="356">
        <v>15121.736173079824</v>
      </c>
    </row>
    <row r="335" spans="1:8" ht="15.6" x14ac:dyDescent="0.3">
      <c r="A335" s="357" t="s">
        <v>350</v>
      </c>
      <c r="B335" s="340"/>
      <c r="C335" s="349">
        <v>2014</v>
      </c>
      <c r="D335" s="350">
        <v>0</v>
      </c>
      <c r="E335" s="351">
        <v>15434.415646279336</v>
      </c>
      <c r="F335" s="346">
        <v>15434.415646279336</v>
      </c>
      <c r="G335" s="355">
        <v>15434.415646279336</v>
      </c>
      <c r="H335" s="356">
        <v>15434.415646279336</v>
      </c>
    </row>
    <row r="336" spans="1:8" ht="15.6" x14ac:dyDescent="0.3">
      <c r="A336" s="358">
        <v>2017</v>
      </c>
      <c r="B336" s="336"/>
      <c r="C336" s="349">
        <v>2015</v>
      </c>
      <c r="D336" s="350">
        <v>1</v>
      </c>
      <c r="E336" s="351"/>
      <c r="F336" s="346"/>
      <c r="G336" s="355">
        <v>15656.724984374714</v>
      </c>
      <c r="H336" s="356">
        <v>15656.724984374714</v>
      </c>
    </row>
    <row r="337" spans="1:8" ht="15.6" x14ac:dyDescent="0.3">
      <c r="A337" s="359"/>
      <c r="B337" s="336"/>
      <c r="C337" s="349">
        <v>2016</v>
      </c>
      <c r="D337" s="350">
        <v>2</v>
      </c>
      <c r="E337" s="351"/>
      <c r="F337" s="346"/>
      <c r="G337" s="355">
        <v>15939.152192342575</v>
      </c>
      <c r="H337" s="356">
        <v>15939.152192342575</v>
      </c>
    </row>
    <row r="338" spans="1:8" ht="15.6" x14ac:dyDescent="0.3">
      <c r="A338" s="357" t="s">
        <v>351</v>
      </c>
      <c r="B338" s="336"/>
      <c r="C338" s="349">
        <v>2017</v>
      </c>
      <c r="D338" s="350">
        <v>3</v>
      </c>
      <c r="E338" s="351"/>
      <c r="F338" s="346"/>
      <c r="G338" s="355">
        <v>16231.121862325652</v>
      </c>
      <c r="H338" s="356">
        <v>16231.121862325652</v>
      </c>
    </row>
    <row r="339" spans="1:8" ht="15.6" x14ac:dyDescent="0.3">
      <c r="A339" s="358" t="s">
        <v>390</v>
      </c>
      <c r="B339" s="336"/>
      <c r="C339" s="349">
        <v>2018</v>
      </c>
      <c r="D339" s="350">
        <v>4</v>
      </c>
      <c r="E339" s="351"/>
      <c r="F339" s="346"/>
      <c r="G339" s="355">
        <v>16532.324439675147</v>
      </c>
      <c r="H339" s="356">
        <v>16532.324439675147</v>
      </c>
    </row>
    <row r="340" spans="1:8" ht="15.6" x14ac:dyDescent="0.3">
      <c r="A340" s="360"/>
      <c r="B340" s="361"/>
      <c r="C340" s="349">
        <v>2019</v>
      </c>
      <c r="D340" s="350">
        <v>5</v>
      </c>
      <c r="E340" s="351"/>
      <c r="F340" s="346"/>
      <c r="G340" s="355">
        <v>16842.450369742259</v>
      </c>
      <c r="H340" s="356">
        <v>16842.450369742259</v>
      </c>
    </row>
    <row r="341" spans="1:8" ht="15.6" x14ac:dyDescent="0.3">
      <c r="A341" s="362" t="s">
        <v>352</v>
      </c>
      <c r="B341" s="336"/>
      <c r="C341" s="349">
        <v>2020</v>
      </c>
      <c r="D341" s="350">
        <v>6</v>
      </c>
      <c r="E341" s="351"/>
      <c r="F341" s="346"/>
      <c r="G341" s="355">
        <v>17161.1900978782</v>
      </c>
      <c r="H341" s="356">
        <v>17161.1900978782</v>
      </c>
    </row>
    <row r="342" spans="1:8" ht="15.6" x14ac:dyDescent="0.3">
      <c r="A342" s="363"/>
      <c r="B342" s="336"/>
      <c r="C342" s="349">
        <v>2021</v>
      </c>
      <c r="D342" s="350">
        <v>7</v>
      </c>
      <c r="E342" s="351"/>
      <c r="F342" s="346"/>
      <c r="G342" s="355">
        <v>17488.234069434166</v>
      </c>
      <c r="H342" s="356">
        <v>17488.234069434166</v>
      </c>
    </row>
    <row r="343" spans="1:8" ht="15.6" x14ac:dyDescent="0.3">
      <c r="A343" s="364"/>
      <c r="B343" s="336"/>
      <c r="C343" s="349">
        <v>2022</v>
      </c>
      <c r="D343" s="350">
        <v>8</v>
      </c>
      <c r="E343" s="351"/>
      <c r="F343" s="346"/>
      <c r="G343" s="355">
        <v>17823.272729761364</v>
      </c>
      <c r="H343" s="356">
        <v>17823.272729761364</v>
      </c>
    </row>
    <row r="344" spans="1:8" ht="15.6" x14ac:dyDescent="0.3">
      <c r="A344" s="358"/>
      <c r="B344" s="336"/>
      <c r="C344" s="349">
        <v>2023</v>
      </c>
      <c r="D344" s="350">
        <v>9</v>
      </c>
      <c r="E344" s="351"/>
      <c r="F344" s="346"/>
      <c r="G344" s="355">
        <v>18165.996524210997</v>
      </c>
      <c r="H344" s="356">
        <v>18165.996524210997</v>
      </c>
    </row>
    <row r="345" spans="1:8" ht="15.6" x14ac:dyDescent="0.3">
      <c r="A345" s="336"/>
      <c r="B345" s="336"/>
      <c r="C345" s="349">
        <v>2024</v>
      </c>
      <c r="D345" s="350">
        <v>10</v>
      </c>
      <c r="E345" s="351"/>
      <c r="F345" s="346"/>
      <c r="G345" s="355">
        <v>18516.095898134263</v>
      </c>
      <c r="H345" s="356">
        <v>18516.095898134263</v>
      </c>
    </row>
    <row r="346" spans="1:8" ht="15.6" x14ac:dyDescent="0.3">
      <c r="A346" s="336"/>
      <c r="B346" s="336"/>
      <c r="C346" s="349">
        <v>2025</v>
      </c>
      <c r="D346" s="350">
        <v>11</v>
      </c>
      <c r="E346" s="351">
        <v>18690.014120989861</v>
      </c>
      <c r="F346" s="346">
        <v>18690.014120989861</v>
      </c>
      <c r="G346" s="355">
        <v>18690.014120989861</v>
      </c>
      <c r="H346" s="356">
        <v>18690.014120989861</v>
      </c>
    </row>
    <row r="347" spans="1:8" ht="15.6" x14ac:dyDescent="0.3">
      <c r="A347" s="336"/>
      <c r="B347" s="336"/>
      <c r="C347" s="349">
        <v>2026</v>
      </c>
      <c r="D347" s="350">
        <v>12</v>
      </c>
      <c r="E347" s="351"/>
      <c r="F347" s="346"/>
      <c r="G347" s="355">
        <v>19237.183165806528</v>
      </c>
      <c r="H347" s="356">
        <v>19237.183165806528</v>
      </c>
    </row>
    <row r="348" spans="1:8" ht="15.6" x14ac:dyDescent="0.3">
      <c r="A348" s="336"/>
      <c r="B348" s="336"/>
      <c r="C348" s="349">
        <v>2027</v>
      </c>
      <c r="D348" s="350">
        <v>13</v>
      </c>
      <c r="E348" s="351"/>
      <c r="F348" s="346"/>
      <c r="G348" s="355">
        <v>19607.551950257926</v>
      </c>
      <c r="H348" s="356">
        <v>19607.551950257926</v>
      </c>
    </row>
    <row r="349" spans="1:8" ht="15.6" x14ac:dyDescent="0.3">
      <c r="A349" s="336"/>
      <c r="B349" s="336"/>
      <c r="C349" s="349">
        <v>2028</v>
      </c>
      <c r="D349" s="350">
        <v>14</v>
      </c>
      <c r="E349" s="351"/>
      <c r="F349" s="346"/>
      <c r="G349" s="355">
        <v>19984.058095587774</v>
      </c>
      <c r="H349" s="356">
        <v>19984.058095587774</v>
      </c>
    </row>
    <row r="350" spans="1:8" ht="15.6" x14ac:dyDescent="0.3">
      <c r="A350" s="336"/>
      <c r="B350" s="336"/>
      <c r="C350" s="349">
        <v>2029</v>
      </c>
      <c r="D350" s="350">
        <v>15</v>
      </c>
      <c r="E350" s="351"/>
      <c r="F350" s="346"/>
      <c r="G350" s="355">
        <v>20366.392047147281</v>
      </c>
      <c r="H350" s="356">
        <v>20366.392047147281</v>
      </c>
    </row>
    <row r="351" spans="1:8" ht="15.6" x14ac:dyDescent="0.3">
      <c r="A351" s="336"/>
      <c r="B351" s="336"/>
      <c r="C351" s="349">
        <v>2030</v>
      </c>
      <c r="D351" s="350">
        <v>16</v>
      </c>
      <c r="E351" s="351">
        <v>20757.262970515272</v>
      </c>
      <c r="F351" s="346">
        <v>20757.262970515272</v>
      </c>
      <c r="G351" s="355">
        <v>20757.262970515272</v>
      </c>
      <c r="H351" s="356">
        <v>20757.262970515272</v>
      </c>
    </row>
    <row r="352" spans="1:8" ht="15.6" x14ac:dyDescent="0.3">
      <c r="A352" s="336"/>
      <c r="B352" s="336"/>
      <c r="C352" s="349">
        <v>2031</v>
      </c>
      <c r="D352" s="350">
        <v>17</v>
      </c>
      <c r="E352" s="351"/>
      <c r="F352" s="346"/>
      <c r="G352" s="355">
        <v>21147.305150360058</v>
      </c>
      <c r="H352" s="356">
        <v>21147.305150360058</v>
      </c>
    </row>
    <row r="353" spans="1:8" ht="15.6" x14ac:dyDescent="0.3">
      <c r="A353" s="336"/>
      <c r="B353" s="336"/>
      <c r="C353" s="349">
        <v>2032</v>
      </c>
      <c r="D353" s="350">
        <v>18</v>
      </c>
      <c r="E353" s="351"/>
      <c r="F353" s="346"/>
      <c r="G353" s="355">
        <v>21545.265192715742</v>
      </c>
      <c r="H353" s="356">
        <v>21545.265192715742</v>
      </c>
    </row>
    <row r="354" spans="1:8" ht="15.6" x14ac:dyDescent="0.3">
      <c r="A354" s="361"/>
      <c r="B354" s="361"/>
      <c r="C354" s="349">
        <v>2033</v>
      </c>
      <c r="D354" s="350">
        <v>19</v>
      </c>
      <c r="E354" s="351"/>
      <c r="F354" s="346"/>
      <c r="G354" s="355">
        <v>21947.814822705892</v>
      </c>
      <c r="H354" s="356">
        <v>21947.814822705892</v>
      </c>
    </row>
    <row r="355" spans="1:8" ht="15.6" x14ac:dyDescent="0.3">
      <c r="A355" s="361"/>
      <c r="B355" s="361"/>
      <c r="C355" s="349">
        <v>2034</v>
      </c>
      <c r="D355" s="350">
        <v>20</v>
      </c>
      <c r="E355" s="351"/>
      <c r="F355" s="346"/>
      <c r="G355" s="355">
        <v>22354.644485681711</v>
      </c>
      <c r="H355" s="356">
        <v>22354.644485681711</v>
      </c>
    </row>
    <row r="356" spans="1:8" ht="15.6" x14ac:dyDescent="0.3">
      <c r="A356" s="361"/>
      <c r="B356" s="361"/>
      <c r="C356" s="349">
        <v>2035</v>
      </c>
      <c r="D356" s="350">
        <v>21</v>
      </c>
      <c r="E356" s="351">
        <v>22900.147185221278</v>
      </c>
      <c r="F356" s="346">
        <v>22900.147185221278</v>
      </c>
      <c r="G356" s="355">
        <v>22900.147185221278</v>
      </c>
      <c r="H356" s="356">
        <v>22900.147185221278</v>
      </c>
    </row>
    <row r="357" spans="1:8" ht="15.6" x14ac:dyDescent="0.3">
      <c r="A357" s="361"/>
      <c r="B357" s="361"/>
      <c r="C357" s="349">
        <v>2036</v>
      </c>
      <c r="D357" s="350">
        <v>22</v>
      </c>
      <c r="E357" s="351"/>
      <c r="F357" s="346"/>
      <c r="G357" s="355">
        <v>23179.905691995165</v>
      </c>
      <c r="H357" s="356">
        <v>23179.905691995165</v>
      </c>
    </row>
    <row r="358" spans="1:8" ht="15.6" x14ac:dyDescent="0.3">
      <c r="A358" s="361"/>
      <c r="B358" s="361"/>
      <c r="C358" s="349">
        <v>2037</v>
      </c>
      <c r="D358" s="350">
        <v>23</v>
      </c>
      <c r="E358" s="351"/>
      <c r="F358" s="346"/>
      <c r="G358" s="355">
        <v>23597.718126035212</v>
      </c>
      <c r="H358" s="356">
        <v>23597.718126035212</v>
      </c>
    </row>
    <row r="359" spans="1:8" ht="15.6" x14ac:dyDescent="0.3">
      <c r="A359" s="361"/>
      <c r="B359" s="361"/>
      <c r="C359" s="349">
        <v>2038</v>
      </c>
      <c r="D359" s="350">
        <v>24</v>
      </c>
      <c r="E359" s="351"/>
      <c r="F359" s="346"/>
      <c r="G359" s="355">
        <v>24018.572374465737</v>
      </c>
      <c r="H359" s="356">
        <v>24018.572374465737</v>
      </c>
    </row>
    <row r="360" spans="1:8" ht="15.6" x14ac:dyDescent="0.3">
      <c r="A360" s="361"/>
      <c r="B360" s="361"/>
      <c r="C360" s="349">
        <v>2039</v>
      </c>
      <c r="D360" s="350">
        <v>25</v>
      </c>
      <c r="E360" s="351"/>
      <c r="F360" s="346"/>
      <c r="G360" s="355">
        <v>24442.158882637952</v>
      </c>
      <c r="H360" s="356">
        <v>24442.158882637952</v>
      </c>
    </row>
    <row r="361" spans="1:8" ht="15.6" x14ac:dyDescent="0.3">
      <c r="A361" s="361"/>
      <c r="B361" s="361"/>
      <c r="C361" s="349">
        <v>2040</v>
      </c>
      <c r="D361" s="350">
        <v>26</v>
      </c>
      <c r="E361" s="351">
        <v>24984.301964445986</v>
      </c>
      <c r="F361" s="346">
        <v>24984.301964445986</v>
      </c>
      <c r="G361" s="355">
        <v>24984.301964445986</v>
      </c>
      <c r="H361" s="356">
        <v>24984.301964445986</v>
      </c>
    </row>
    <row r="362" spans="1:8" ht="15.6" x14ac:dyDescent="0.3">
      <c r="A362" s="361"/>
      <c r="B362" s="361"/>
      <c r="C362" s="349">
        <v>2041</v>
      </c>
      <c r="D362" s="350">
        <v>27</v>
      </c>
      <c r="E362" s="351"/>
      <c r="F362" s="346"/>
      <c r="G362" s="355">
        <v>25296.29045961225</v>
      </c>
      <c r="H362" s="356">
        <v>25296.29045961225</v>
      </c>
    </row>
    <row r="363" spans="1:8" ht="15.6" x14ac:dyDescent="0.3">
      <c r="A363" s="361"/>
      <c r="B363" s="361"/>
      <c r="C363" s="349">
        <v>2042</v>
      </c>
      <c r="D363" s="350">
        <v>28</v>
      </c>
      <c r="E363" s="351"/>
      <c r="F363" s="346"/>
      <c r="G363" s="355">
        <v>25726.216419116739</v>
      </c>
      <c r="H363" s="356">
        <v>25726.216419116739</v>
      </c>
    </row>
    <row r="364" spans="1:8" ht="15.6" x14ac:dyDescent="0.3">
      <c r="A364" s="361"/>
      <c r="B364" s="361"/>
      <c r="C364" s="349">
        <v>2043</v>
      </c>
      <c r="D364" s="350">
        <v>29</v>
      </c>
      <c r="E364" s="351"/>
      <c r="F364" s="346"/>
      <c r="G364" s="355">
        <v>26157.636419767725</v>
      </c>
      <c r="H364" s="356">
        <v>26157.636419767725</v>
      </c>
    </row>
    <row r="365" spans="1:8" ht="15.6" x14ac:dyDescent="0.3">
      <c r="A365" s="361"/>
      <c r="B365" s="361"/>
      <c r="C365" s="349">
        <v>2044</v>
      </c>
      <c r="D365" s="350">
        <v>30</v>
      </c>
      <c r="E365" s="351"/>
      <c r="F365" s="346"/>
      <c r="G365" s="355">
        <v>26590.240906916413</v>
      </c>
      <c r="H365" s="356">
        <v>26590.240906916413</v>
      </c>
    </row>
    <row r="366" spans="1:8" ht="15.6" x14ac:dyDescent="0.3">
      <c r="A366" s="361"/>
      <c r="B366" s="361"/>
      <c r="C366" s="349">
        <v>2045</v>
      </c>
      <c r="D366" s="350">
        <v>31</v>
      </c>
      <c r="E366" s="351">
        <v>27014.968861901973</v>
      </c>
      <c r="F366" s="346">
        <v>27014.968861901973</v>
      </c>
      <c r="G366" s="355">
        <v>27014.968861901973</v>
      </c>
      <c r="H366" s="356">
        <v>27014.968861901973</v>
      </c>
    </row>
    <row r="367" spans="1:8" ht="15.6" x14ac:dyDescent="0.3">
      <c r="A367" s="361"/>
      <c r="B367" s="361"/>
      <c r="C367" s="349">
        <v>2046</v>
      </c>
      <c r="D367" s="350">
        <v>32</v>
      </c>
      <c r="E367" s="351"/>
      <c r="F367" s="346"/>
      <c r="G367" s="355">
        <v>27457.765122111712</v>
      </c>
      <c r="H367" s="356">
        <v>27457.765122111712</v>
      </c>
    </row>
    <row r="368" spans="1:8" ht="15.6" x14ac:dyDescent="0.3">
      <c r="A368" s="365"/>
      <c r="B368" s="366"/>
      <c r="C368" s="349">
        <v>2047</v>
      </c>
      <c r="D368" s="350">
        <v>33</v>
      </c>
      <c r="E368" s="351"/>
      <c r="F368" s="346"/>
      <c r="G368" s="355">
        <v>27892.065740860726</v>
      </c>
      <c r="H368" s="356">
        <v>27892.065740860726</v>
      </c>
    </row>
    <row r="369" spans="1:8" ht="15.6" x14ac:dyDescent="0.3">
      <c r="A369" s="359"/>
      <c r="B369" s="366"/>
      <c r="C369" s="349">
        <v>2048</v>
      </c>
      <c r="D369" s="350">
        <v>34</v>
      </c>
      <c r="E369" s="351"/>
      <c r="F369" s="346"/>
      <c r="G369" s="355">
        <v>28326.312627512256</v>
      </c>
      <c r="H369" s="356">
        <v>28326.312627512256</v>
      </c>
    </row>
    <row r="370" spans="1:8" ht="15.6" x14ac:dyDescent="0.3">
      <c r="A370" s="359"/>
      <c r="B370" s="359"/>
      <c r="C370" s="349">
        <v>2049</v>
      </c>
      <c r="D370" s="350">
        <v>35</v>
      </c>
      <c r="E370" s="351"/>
      <c r="F370" s="346"/>
      <c r="G370" s="355">
        <v>28760.196227417502</v>
      </c>
      <c r="H370" s="356">
        <v>28760.196227417502</v>
      </c>
    </row>
    <row r="371" spans="1:8" ht="15.6" x14ac:dyDescent="0.3">
      <c r="A371" s="359"/>
      <c r="B371" s="359"/>
      <c r="C371" s="349">
        <v>2050</v>
      </c>
      <c r="D371" s="350">
        <v>36</v>
      </c>
      <c r="E371" s="351">
        <v>29082.714491742001</v>
      </c>
      <c r="F371" s="346">
        <v>29082.714491742001</v>
      </c>
      <c r="G371" s="355">
        <v>29082.714491742001</v>
      </c>
      <c r="H371" s="356">
        <v>29082.714491742001</v>
      </c>
    </row>
    <row r="372" spans="1:8" ht="15.6" x14ac:dyDescent="0.3">
      <c r="A372"/>
      <c r="B372"/>
      <c r="C372" s="349">
        <v>2051</v>
      </c>
      <c r="D372" s="350">
        <v>37</v>
      </c>
      <c r="E372" s="351"/>
      <c r="F372" s="346"/>
      <c r="G372" s="355">
        <v>29625.63534839396</v>
      </c>
      <c r="H372" s="356">
        <v>29625.63534839396</v>
      </c>
    </row>
    <row r="373" spans="1:8" ht="15.6" x14ac:dyDescent="0.3">
      <c r="A373"/>
      <c r="B373"/>
      <c r="C373" s="349">
        <v>2052</v>
      </c>
      <c r="D373" s="350">
        <v>38</v>
      </c>
      <c r="E373" s="351"/>
      <c r="F373" s="346"/>
      <c r="G373" s="355">
        <v>30056.571760167575</v>
      </c>
      <c r="H373" s="356">
        <v>30056.571760167575</v>
      </c>
    </row>
    <row r="374" spans="1:8" ht="15.6" x14ac:dyDescent="0.3">
      <c r="A374"/>
      <c r="B374"/>
      <c r="C374" s="349">
        <v>2053</v>
      </c>
      <c r="D374" s="350">
        <v>39</v>
      </c>
      <c r="E374" s="351"/>
      <c r="F374" s="346"/>
      <c r="G374" s="355">
        <v>30485.906666599723</v>
      </c>
      <c r="H374" s="356">
        <v>30485.906666599723</v>
      </c>
    </row>
    <row r="375" spans="1:8" ht="15.6" x14ac:dyDescent="0.3">
      <c r="A375"/>
      <c r="B375"/>
      <c r="C375" s="349">
        <v>2054</v>
      </c>
      <c r="D375" s="350">
        <v>40</v>
      </c>
      <c r="E375" s="351"/>
      <c r="F375" s="346"/>
      <c r="G375" s="355">
        <v>30913.330513041605</v>
      </c>
      <c r="H375" s="356">
        <v>30913.330513041605</v>
      </c>
    </row>
    <row r="376" spans="1:8" ht="15.6" x14ac:dyDescent="0.3">
      <c r="A376"/>
      <c r="B376"/>
      <c r="C376" s="349">
        <v>2055</v>
      </c>
      <c r="D376" s="350">
        <v>41</v>
      </c>
      <c r="E376" s="351">
        <v>31250.296920309571</v>
      </c>
      <c r="F376" s="346">
        <v>31250.296920309571</v>
      </c>
      <c r="G376" s="355">
        <v>31250.296920309571</v>
      </c>
      <c r="H376" s="356">
        <v>31250.296920309571</v>
      </c>
    </row>
    <row r="377" spans="1:8" ht="15.6" x14ac:dyDescent="0.3">
      <c r="A377"/>
      <c r="B377"/>
      <c r="C377" s="349">
        <v>2056</v>
      </c>
      <c r="D377" s="350">
        <v>42</v>
      </c>
      <c r="E377" s="351"/>
      <c r="F377" s="346"/>
      <c r="G377" s="355">
        <v>31761.206807359384</v>
      </c>
      <c r="H377" s="356">
        <v>31761.206807359384</v>
      </c>
    </row>
    <row r="378" spans="1:8" ht="15.6" x14ac:dyDescent="0.3">
      <c r="A378"/>
      <c r="B378"/>
      <c r="C378" s="349">
        <v>2057</v>
      </c>
      <c r="D378" s="350">
        <v>43</v>
      </c>
      <c r="E378" s="351"/>
      <c r="F378" s="346"/>
      <c r="G378" s="355">
        <v>32181.040145937688</v>
      </c>
      <c r="H378" s="356">
        <v>32181.040145937688</v>
      </c>
    </row>
    <row r="379" spans="1:8" ht="15.6" x14ac:dyDescent="0.3">
      <c r="A379"/>
      <c r="B379"/>
      <c r="C379" s="349">
        <v>2058</v>
      </c>
      <c r="D379" s="350">
        <v>44</v>
      </c>
      <c r="E379" s="351"/>
      <c r="F379" s="346"/>
      <c r="G379" s="355">
        <v>32597.724205930539</v>
      </c>
      <c r="H379" s="356">
        <v>32597.724205930539</v>
      </c>
    </row>
    <row r="380" spans="1:8" ht="15.6" x14ac:dyDescent="0.3">
      <c r="A380"/>
      <c r="B380"/>
      <c r="C380" s="349">
        <v>2059</v>
      </c>
      <c r="D380" s="350">
        <v>45</v>
      </c>
      <c r="E380" s="351"/>
      <c r="F380" s="346"/>
      <c r="G380" s="355">
        <v>33010.949432689144</v>
      </c>
      <c r="H380" s="356">
        <v>33010.949432689144</v>
      </c>
    </row>
    <row r="381" spans="1:8" ht="15.6" x14ac:dyDescent="0.3">
      <c r="A381"/>
      <c r="B381"/>
      <c r="C381" s="367">
        <v>2060</v>
      </c>
      <c r="D381" s="350">
        <v>46</v>
      </c>
      <c r="E381" s="351">
        <v>33507.213229983841</v>
      </c>
      <c r="F381" s="346">
        <v>33507.213229983841</v>
      </c>
      <c r="G381" s="355">
        <v>33507.213229983841</v>
      </c>
      <c r="H381" s="356">
        <v>33507.213229983841</v>
      </c>
    </row>
    <row r="394" spans="1:8" ht="15.6" x14ac:dyDescent="0.3">
      <c r="A394" s="327">
        <v>10</v>
      </c>
      <c r="B394" s="328" t="s">
        <v>431</v>
      </c>
      <c r="C394" s="329"/>
      <c r="D394" s="329"/>
      <c r="E394" s="329"/>
      <c r="F394" s="329"/>
      <c r="G394" s="329"/>
      <c r="H394" s="329"/>
    </row>
    <row r="395" spans="1:8" ht="15.6" x14ac:dyDescent="0.3">
      <c r="A395" s="330" t="s">
        <v>338</v>
      </c>
      <c r="B395" s="331"/>
      <c r="C395" s="331"/>
      <c r="D395" s="332"/>
      <c r="E395" s="333"/>
      <c r="F395" s="703"/>
      <c r="G395" s="333"/>
      <c r="H395" s="334"/>
    </row>
    <row r="396" spans="1:8" ht="16.2" thickBot="1" x14ac:dyDescent="0.3">
      <c r="A396" s="368" t="s">
        <v>339</v>
      </c>
      <c r="B396" s="336"/>
      <c r="C396" s="336"/>
      <c r="D396" s="337"/>
      <c r="E396" s="338" t="s">
        <v>340</v>
      </c>
      <c r="F396" s="704"/>
      <c r="G396" s="369" t="s">
        <v>432</v>
      </c>
      <c r="H396" s="334"/>
    </row>
    <row r="397" spans="1:8" ht="16.2" thickBot="1" x14ac:dyDescent="0.3">
      <c r="A397" s="340"/>
      <c r="B397" s="340"/>
      <c r="C397" s="340"/>
      <c r="D397" s="341"/>
      <c r="E397" s="369" t="s">
        <v>390</v>
      </c>
      <c r="F397" s="369" t="s">
        <v>343</v>
      </c>
      <c r="G397" s="370" t="s">
        <v>344</v>
      </c>
      <c r="H397" s="369" t="s">
        <v>345</v>
      </c>
    </row>
    <row r="398" spans="1:8" ht="15.6" x14ac:dyDescent="0.3">
      <c r="A398" s="330" t="s">
        <v>346</v>
      </c>
      <c r="B398" s="340"/>
      <c r="C398" s="343">
        <v>2005</v>
      </c>
      <c r="D398" s="344">
        <v>-9</v>
      </c>
      <c r="E398" s="378"/>
      <c r="F398" s="346"/>
      <c r="G398" s="347">
        <v>9582.8688373011391</v>
      </c>
      <c r="H398" s="348">
        <v>9582.8688373011391</v>
      </c>
    </row>
    <row r="399" spans="1:8" ht="15.6" x14ac:dyDescent="0.3">
      <c r="A399" s="368" t="s">
        <v>347</v>
      </c>
      <c r="B399" s="340"/>
      <c r="C399" s="349">
        <v>2006</v>
      </c>
      <c r="D399" s="350">
        <v>-8</v>
      </c>
      <c r="E399" s="351"/>
      <c r="F399" s="346"/>
      <c r="G399" s="352">
        <v>10011.854835162514</v>
      </c>
      <c r="H399" s="353">
        <v>10011.854835162514</v>
      </c>
    </row>
    <row r="400" spans="1:8" ht="15.6" x14ac:dyDescent="0.3">
      <c r="A400" s="340"/>
      <c r="B400" s="340"/>
      <c r="C400" s="349">
        <v>2007</v>
      </c>
      <c r="D400" s="350">
        <v>-7</v>
      </c>
      <c r="E400" s="351"/>
      <c r="F400" s="346"/>
      <c r="G400" s="352">
        <v>10464.109832731789</v>
      </c>
      <c r="H400" s="353">
        <v>10464.109832731789</v>
      </c>
    </row>
    <row r="401" spans="1:8" ht="15.6" x14ac:dyDescent="0.3">
      <c r="A401" s="354" t="s">
        <v>348</v>
      </c>
      <c r="B401" s="340"/>
      <c r="C401" s="349">
        <v>2008</v>
      </c>
      <c r="D401" s="350">
        <v>-6</v>
      </c>
      <c r="E401" s="351"/>
      <c r="F401" s="346"/>
      <c r="G401" s="352">
        <v>10938.906173551892</v>
      </c>
      <c r="H401" s="353">
        <v>10938.906173551892</v>
      </c>
    </row>
    <row r="402" spans="1:8" ht="15.6" x14ac:dyDescent="0.3">
      <c r="A402" s="700" t="s">
        <v>433</v>
      </c>
      <c r="B402" s="340"/>
      <c r="C402" s="349">
        <v>2009</v>
      </c>
      <c r="D402" s="350">
        <v>-5</v>
      </c>
      <c r="E402" s="351"/>
      <c r="F402" s="346"/>
      <c r="G402" s="352">
        <v>11435.516201165745</v>
      </c>
      <c r="H402" s="353">
        <v>11435.516201165745</v>
      </c>
    </row>
    <row r="403" spans="1:8" ht="15.6" x14ac:dyDescent="0.3">
      <c r="A403" s="701"/>
      <c r="B403" s="340"/>
      <c r="C403" s="349">
        <v>2010</v>
      </c>
      <c r="D403" s="350">
        <v>-4</v>
      </c>
      <c r="E403" s="351"/>
      <c r="F403" s="346"/>
      <c r="G403" s="352">
        <v>11953.212259116277</v>
      </c>
      <c r="H403" s="353">
        <v>11953.212259116277</v>
      </c>
    </row>
    <row r="404" spans="1:8" ht="15.6" x14ac:dyDescent="0.3">
      <c r="A404" s="701"/>
      <c r="B404" s="340"/>
      <c r="C404" s="349">
        <v>2011</v>
      </c>
      <c r="D404" s="350">
        <v>-3</v>
      </c>
      <c r="E404" s="351"/>
      <c r="F404" s="346"/>
      <c r="G404" s="352">
        <v>12491.266690946411</v>
      </c>
      <c r="H404" s="353">
        <v>12491.266690946411</v>
      </c>
    </row>
    <row r="405" spans="1:8" ht="15.6" x14ac:dyDescent="0.3">
      <c r="A405" s="702"/>
      <c r="B405" s="340"/>
      <c r="C405" s="349">
        <v>2012</v>
      </c>
      <c r="D405" s="350">
        <v>-2</v>
      </c>
      <c r="E405" s="351"/>
      <c r="F405" s="346"/>
      <c r="G405" s="355">
        <v>13048.951840199074</v>
      </c>
      <c r="H405" s="356">
        <v>13048.951840199074</v>
      </c>
    </row>
    <row r="406" spans="1:8" ht="15.6" x14ac:dyDescent="0.3">
      <c r="A406" s="340"/>
      <c r="B406" s="340"/>
      <c r="C406" s="349">
        <v>2013</v>
      </c>
      <c r="D406" s="350">
        <v>-1</v>
      </c>
      <c r="E406" s="351"/>
      <c r="F406" s="346"/>
      <c r="G406" s="355">
        <v>13625.540050417188</v>
      </c>
      <c r="H406" s="356">
        <v>13625.540050417188</v>
      </c>
    </row>
    <row r="407" spans="1:8" ht="15.6" x14ac:dyDescent="0.3">
      <c r="A407" s="357" t="s">
        <v>350</v>
      </c>
      <c r="B407" s="340"/>
      <c r="C407" s="349">
        <v>2014</v>
      </c>
      <c r="D407" s="350">
        <v>0</v>
      </c>
      <c r="E407" s="351">
        <v>14330.077936840264</v>
      </c>
      <c r="F407" s="346">
        <v>14330.077936840264</v>
      </c>
      <c r="G407" s="355">
        <v>14330.077936840264</v>
      </c>
      <c r="H407" s="356">
        <v>14330.077936840264</v>
      </c>
    </row>
    <row r="408" spans="1:8" ht="15.6" x14ac:dyDescent="0.3">
      <c r="A408" s="358">
        <v>2017</v>
      </c>
      <c r="B408" s="336"/>
      <c r="C408" s="349">
        <v>2015</v>
      </c>
      <c r="D408" s="350">
        <v>1</v>
      </c>
      <c r="E408" s="351"/>
      <c r="F408" s="346"/>
      <c r="G408" s="355">
        <v>14832.515027921481</v>
      </c>
      <c r="H408" s="356">
        <v>14832.515027921481</v>
      </c>
    </row>
    <row r="409" spans="1:8" ht="15.6" x14ac:dyDescent="0.3">
      <c r="A409" s="359"/>
      <c r="B409" s="336"/>
      <c r="C409" s="349">
        <v>2016</v>
      </c>
      <c r="D409" s="350">
        <v>2</v>
      </c>
      <c r="E409" s="351"/>
      <c r="F409" s="346"/>
      <c r="G409" s="355">
        <v>15461.44648229351</v>
      </c>
      <c r="H409" s="356">
        <v>15461.44648229351</v>
      </c>
    </row>
    <row r="410" spans="1:8" ht="15.6" x14ac:dyDescent="0.3">
      <c r="A410" s="357" t="s">
        <v>351</v>
      </c>
      <c r="B410" s="336"/>
      <c r="C410" s="349">
        <v>2017</v>
      </c>
      <c r="D410" s="350">
        <v>3</v>
      </c>
      <c r="E410" s="351"/>
      <c r="F410" s="346"/>
      <c r="G410" s="355">
        <v>16106.370371802694</v>
      </c>
      <c r="H410" s="356">
        <v>16106.370371802694</v>
      </c>
    </row>
    <row r="411" spans="1:8" ht="15.6" x14ac:dyDescent="0.3">
      <c r="A411" s="358" t="s">
        <v>390</v>
      </c>
      <c r="B411" s="336"/>
      <c r="C411" s="349">
        <v>2018</v>
      </c>
      <c r="D411" s="350">
        <v>4</v>
      </c>
      <c r="E411" s="351"/>
      <c r="F411" s="346"/>
      <c r="G411" s="355">
        <v>16766.559039991957</v>
      </c>
      <c r="H411" s="356">
        <v>16766.559039991957</v>
      </c>
    </row>
    <row r="412" spans="1:8" ht="15.6" x14ac:dyDescent="0.3">
      <c r="A412" s="360"/>
      <c r="B412" s="361"/>
      <c r="C412" s="349">
        <v>2019</v>
      </c>
      <c r="D412" s="350">
        <v>5</v>
      </c>
      <c r="E412" s="351"/>
      <c r="F412" s="346"/>
      <c r="G412" s="355">
        <v>17441.284830404227</v>
      </c>
      <c r="H412" s="356">
        <v>17441.284830404227</v>
      </c>
    </row>
    <row r="413" spans="1:8" ht="15.6" x14ac:dyDescent="0.3">
      <c r="A413" s="362" t="s">
        <v>352</v>
      </c>
      <c r="B413" s="336"/>
      <c r="C413" s="349">
        <v>2020</v>
      </c>
      <c r="D413" s="350">
        <v>6</v>
      </c>
      <c r="E413" s="351"/>
      <c r="F413" s="346"/>
      <c r="G413" s="355">
        <v>18129.820086582429</v>
      </c>
      <c r="H413" s="356">
        <v>18129.820086582429</v>
      </c>
    </row>
    <row r="414" spans="1:8" ht="15.6" x14ac:dyDescent="0.3">
      <c r="A414" s="363"/>
      <c r="B414" s="336"/>
      <c r="C414" s="349">
        <v>2021</v>
      </c>
      <c r="D414" s="350">
        <v>7</v>
      </c>
      <c r="E414" s="351"/>
      <c r="F414" s="346"/>
      <c r="G414" s="355">
        <v>18831.437152069488</v>
      </c>
      <c r="H414" s="356">
        <v>18831.437152069488</v>
      </c>
    </row>
    <row r="415" spans="1:8" ht="15.6" x14ac:dyDescent="0.3">
      <c r="A415" s="364"/>
      <c r="B415" s="336"/>
      <c r="C415" s="349">
        <v>2022</v>
      </c>
      <c r="D415" s="350">
        <v>8</v>
      </c>
      <c r="E415" s="351"/>
      <c r="F415" s="346"/>
      <c r="G415" s="355">
        <v>19545.408370408328</v>
      </c>
      <c r="H415" s="356">
        <v>19545.408370408328</v>
      </c>
    </row>
    <row r="416" spans="1:8" ht="15.6" x14ac:dyDescent="0.3">
      <c r="A416" s="358"/>
      <c r="B416" s="336"/>
      <c r="C416" s="349">
        <v>2023</v>
      </c>
      <c r="D416" s="350">
        <v>9</v>
      </c>
      <c r="E416" s="351"/>
      <c r="F416" s="346"/>
      <c r="G416" s="355">
        <v>20271.006085141875</v>
      </c>
      <c r="H416" s="356">
        <v>20271.006085141875</v>
      </c>
    </row>
    <row r="417" spans="1:8" ht="15.6" x14ac:dyDescent="0.3">
      <c r="A417" s="336"/>
      <c r="B417" s="336"/>
      <c r="C417" s="349">
        <v>2024</v>
      </c>
      <c r="D417" s="350">
        <v>10</v>
      </c>
      <c r="E417" s="351"/>
      <c r="F417" s="346"/>
      <c r="G417" s="355">
        <v>21007.502639813058</v>
      </c>
      <c r="H417" s="356">
        <v>21007.502639813058</v>
      </c>
    </row>
    <row r="418" spans="1:8" ht="15.6" x14ac:dyDescent="0.3">
      <c r="A418" s="336"/>
      <c r="B418" s="336"/>
      <c r="C418" s="349">
        <v>2025</v>
      </c>
      <c r="D418" s="350">
        <v>11</v>
      </c>
      <c r="E418" s="351">
        <v>21324.844911536871</v>
      </c>
      <c r="F418" s="346">
        <v>21324.844911536871</v>
      </c>
      <c r="G418" s="355">
        <v>21324.844911536871</v>
      </c>
      <c r="H418" s="356">
        <v>21324.844911536871</v>
      </c>
    </row>
    <row r="419" spans="1:8" ht="15.6" x14ac:dyDescent="0.3">
      <c r="A419" s="336"/>
      <c r="B419" s="336"/>
      <c r="C419" s="349">
        <v>2026</v>
      </c>
      <c r="D419" s="350">
        <v>12</v>
      </c>
      <c r="E419" s="351"/>
      <c r="F419" s="346"/>
      <c r="G419" s="355">
        <v>22510.281643140021</v>
      </c>
      <c r="H419" s="356">
        <v>22510.281643140021</v>
      </c>
    </row>
    <row r="420" spans="1:8" ht="15.6" x14ac:dyDescent="0.3">
      <c r="A420" s="336"/>
      <c r="B420" s="336"/>
      <c r="C420" s="349">
        <v>2027</v>
      </c>
      <c r="D420" s="350">
        <v>13</v>
      </c>
      <c r="E420" s="351"/>
      <c r="F420" s="346"/>
      <c r="G420" s="355">
        <v>23275.108778881651</v>
      </c>
      <c r="H420" s="356">
        <v>23275.108778881651</v>
      </c>
    </row>
    <row r="421" spans="1:8" ht="15.6" x14ac:dyDescent="0.3">
      <c r="A421" s="336"/>
      <c r="B421" s="336"/>
      <c r="C421" s="349">
        <v>2028</v>
      </c>
      <c r="D421" s="350">
        <v>14</v>
      </c>
      <c r="E421" s="351"/>
      <c r="F421" s="346"/>
      <c r="G421" s="355">
        <v>24047.924128732619</v>
      </c>
      <c r="H421" s="356">
        <v>24047.924128732619</v>
      </c>
    </row>
    <row r="422" spans="1:8" ht="15.6" x14ac:dyDescent="0.3">
      <c r="A422" s="336"/>
      <c r="B422" s="336"/>
      <c r="C422" s="349">
        <v>2029</v>
      </c>
      <c r="D422" s="350">
        <v>15</v>
      </c>
      <c r="E422" s="351"/>
      <c r="F422" s="346"/>
      <c r="G422" s="355">
        <v>24828.000036235844</v>
      </c>
      <c r="H422" s="356">
        <v>24828.000036235844</v>
      </c>
    </row>
    <row r="423" spans="1:8" ht="15.6" x14ac:dyDescent="0.3">
      <c r="A423" s="336"/>
      <c r="B423" s="336"/>
      <c r="C423" s="349">
        <v>2030</v>
      </c>
      <c r="D423" s="350">
        <v>16</v>
      </c>
      <c r="E423" s="351">
        <v>25690.191944286238</v>
      </c>
      <c r="F423" s="346">
        <v>25690.191944286238</v>
      </c>
      <c r="G423" s="355">
        <v>25690.191944286238</v>
      </c>
      <c r="H423" s="356">
        <v>25690.191944286238</v>
      </c>
    </row>
    <row r="424" spans="1:8" ht="15.6" x14ac:dyDescent="0.3">
      <c r="A424" s="336"/>
      <c r="B424" s="336"/>
      <c r="C424" s="349">
        <v>2031</v>
      </c>
      <c r="D424" s="350">
        <v>17</v>
      </c>
      <c r="E424" s="351"/>
      <c r="F424" s="346"/>
      <c r="G424" s="355">
        <v>26407.022898370782</v>
      </c>
      <c r="H424" s="356">
        <v>26407.022898370782</v>
      </c>
    </row>
    <row r="425" spans="1:8" ht="15.6" x14ac:dyDescent="0.3">
      <c r="A425" s="336"/>
      <c r="B425" s="336"/>
      <c r="C425" s="349">
        <v>2032</v>
      </c>
      <c r="D425" s="350">
        <v>18</v>
      </c>
      <c r="E425" s="351"/>
      <c r="F425" s="346"/>
      <c r="G425" s="355">
        <v>27204.514540088341</v>
      </c>
      <c r="H425" s="356">
        <v>27204.514540088341</v>
      </c>
    </row>
    <row r="426" spans="1:8" ht="15.6" x14ac:dyDescent="0.3">
      <c r="A426" s="361"/>
      <c r="B426" s="361"/>
      <c r="C426" s="349">
        <v>2033</v>
      </c>
      <c r="D426" s="350">
        <v>19</v>
      </c>
      <c r="E426" s="351"/>
      <c r="F426" s="346"/>
      <c r="G426" s="355">
        <v>28006.356113629863</v>
      </c>
      <c r="H426" s="356">
        <v>28006.356113629863</v>
      </c>
    </row>
    <row r="427" spans="1:8" ht="15.6" x14ac:dyDescent="0.3">
      <c r="A427" s="361"/>
      <c r="B427" s="361"/>
      <c r="C427" s="349">
        <v>2034</v>
      </c>
      <c r="D427" s="350">
        <v>20</v>
      </c>
      <c r="E427" s="351"/>
      <c r="F427" s="346"/>
      <c r="G427" s="355">
        <v>28811.819962538269</v>
      </c>
      <c r="H427" s="356">
        <v>28811.819962538269</v>
      </c>
    </row>
    <row r="428" spans="1:8" ht="15.6" x14ac:dyDescent="0.3">
      <c r="A428" s="361"/>
      <c r="B428" s="361"/>
      <c r="C428" s="349">
        <v>2035</v>
      </c>
      <c r="D428" s="350">
        <v>21</v>
      </c>
      <c r="E428" s="351">
        <v>29889.162941195966</v>
      </c>
      <c r="F428" s="346">
        <v>29889.162941195966</v>
      </c>
      <c r="G428" s="355">
        <v>29889.162941195966</v>
      </c>
      <c r="H428" s="356">
        <v>29889.162941195966</v>
      </c>
    </row>
    <row r="429" spans="1:8" ht="15.6" x14ac:dyDescent="0.3">
      <c r="A429" s="361"/>
      <c r="B429" s="361"/>
      <c r="C429" s="349">
        <v>2036</v>
      </c>
      <c r="D429" s="350">
        <v>22</v>
      </c>
      <c r="E429" s="351"/>
      <c r="F429" s="346"/>
      <c r="G429" s="355">
        <v>30430.703860627451</v>
      </c>
      <c r="H429" s="356">
        <v>30430.703860627451</v>
      </c>
    </row>
    <row r="430" spans="1:8" ht="15.6" x14ac:dyDescent="0.3">
      <c r="A430" s="361"/>
      <c r="B430" s="361"/>
      <c r="C430" s="349">
        <v>2037</v>
      </c>
      <c r="D430" s="350">
        <v>23</v>
      </c>
      <c r="E430" s="351"/>
      <c r="F430" s="346"/>
      <c r="G430" s="355">
        <v>31242.668596894073</v>
      </c>
      <c r="H430" s="356">
        <v>31242.668596894073</v>
      </c>
    </row>
    <row r="431" spans="1:8" ht="15.6" x14ac:dyDescent="0.3">
      <c r="A431" s="361"/>
      <c r="B431" s="361"/>
      <c r="C431" s="349">
        <v>2038</v>
      </c>
      <c r="D431" s="350">
        <v>24</v>
      </c>
      <c r="E431" s="351"/>
      <c r="F431" s="346"/>
      <c r="G431" s="355">
        <v>32055.344982699287</v>
      </c>
      <c r="H431" s="356">
        <v>32055.344982699287</v>
      </c>
    </row>
    <row r="432" spans="1:8" ht="15.6" x14ac:dyDescent="0.3">
      <c r="A432" s="361"/>
      <c r="B432" s="361"/>
      <c r="C432" s="349">
        <v>2039</v>
      </c>
      <c r="D432" s="350">
        <v>25</v>
      </c>
      <c r="E432" s="351"/>
      <c r="F432" s="346"/>
      <c r="G432" s="355">
        <v>32868.005361586009</v>
      </c>
      <c r="H432" s="356">
        <v>32868.005361586009</v>
      </c>
    </row>
    <row r="433" spans="1:8" ht="15.6" x14ac:dyDescent="0.3">
      <c r="A433" s="361"/>
      <c r="B433" s="361"/>
      <c r="C433" s="349">
        <v>2040</v>
      </c>
      <c r="D433" s="350">
        <v>26</v>
      </c>
      <c r="E433" s="351">
        <v>33909.815369072494</v>
      </c>
      <c r="F433" s="346">
        <v>33909.815369072494</v>
      </c>
      <c r="G433" s="355">
        <v>33909.815369072494</v>
      </c>
      <c r="H433" s="356">
        <v>33909.815369072494</v>
      </c>
    </row>
    <row r="434" spans="1:8" ht="15.6" x14ac:dyDescent="0.3">
      <c r="A434" s="361"/>
      <c r="B434" s="361"/>
      <c r="C434" s="349">
        <v>2041</v>
      </c>
      <c r="D434" s="350">
        <v>27</v>
      </c>
      <c r="E434" s="351"/>
      <c r="F434" s="346"/>
      <c r="G434" s="355">
        <v>34490.367472775702</v>
      </c>
      <c r="H434" s="356">
        <v>34490.367472775702</v>
      </c>
    </row>
    <row r="435" spans="1:8" ht="15.6" x14ac:dyDescent="0.3">
      <c r="A435" s="361"/>
      <c r="B435" s="361"/>
      <c r="C435" s="349">
        <v>2042</v>
      </c>
      <c r="D435" s="350">
        <v>28</v>
      </c>
      <c r="E435" s="351"/>
      <c r="F435" s="346"/>
      <c r="G435" s="355">
        <v>35298.613892164525</v>
      </c>
      <c r="H435" s="356">
        <v>35298.613892164525</v>
      </c>
    </row>
    <row r="436" spans="1:8" ht="15.6" x14ac:dyDescent="0.3">
      <c r="A436" s="361"/>
      <c r="B436" s="361"/>
      <c r="C436" s="349">
        <v>2043</v>
      </c>
      <c r="D436" s="350">
        <v>29</v>
      </c>
      <c r="E436" s="351"/>
      <c r="F436" s="346"/>
      <c r="G436" s="355">
        <v>36103.933678806563</v>
      </c>
      <c r="H436" s="356">
        <v>36103.933678806563</v>
      </c>
    </row>
    <row r="437" spans="1:8" ht="15.6" x14ac:dyDescent="0.3">
      <c r="A437" s="361"/>
      <c r="B437" s="361"/>
      <c r="C437" s="349">
        <v>2044</v>
      </c>
      <c r="D437" s="350">
        <v>30</v>
      </c>
      <c r="E437" s="351"/>
      <c r="F437" s="346"/>
      <c r="G437" s="355">
        <v>36905.599176244737</v>
      </c>
      <c r="H437" s="356">
        <v>36905.599176244737</v>
      </c>
    </row>
    <row r="438" spans="1:8" ht="15.6" x14ac:dyDescent="0.3">
      <c r="A438" s="361"/>
      <c r="B438" s="361"/>
      <c r="C438" s="349">
        <v>2045</v>
      </c>
      <c r="D438" s="350">
        <v>31</v>
      </c>
      <c r="E438" s="351">
        <v>37670.548521514909</v>
      </c>
      <c r="F438" s="346">
        <v>37670.548521514909</v>
      </c>
      <c r="G438" s="355">
        <v>37670.548521514909</v>
      </c>
      <c r="H438" s="356">
        <v>37670.548521514909</v>
      </c>
    </row>
    <row r="439" spans="1:8" ht="15.6" x14ac:dyDescent="0.3">
      <c r="A439" s="361"/>
      <c r="B439" s="361"/>
      <c r="C439" s="349">
        <v>2046</v>
      </c>
      <c r="D439" s="350">
        <v>32</v>
      </c>
      <c r="E439" s="351"/>
      <c r="F439" s="346"/>
      <c r="G439" s="355">
        <v>38495.056677681219</v>
      </c>
      <c r="H439" s="356">
        <v>38495.056677681219</v>
      </c>
    </row>
    <row r="440" spans="1:8" ht="15.6" x14ac:dyDescent="0.3">
      <c r="A440" s="365"/>
      <c r="B440" s="366"/>
      <c r="C440" s="349">
        <v>2047</v>
      </c>
      <c r="D440" s="350">
        <v>33</v>
      </c>
      <c r="E440" s="351"/>
      <c r="F440" s="346"/>
      <c r="G440" s="355">
        <v>39281.39336876537</v>
      </c>
      <c r="H440" s="356">
        <v>39281.39336876537</v>
      </c>
    </row>
    <row r="441" spans="1:8" ht="15.6" x14ac:dyDescent="0.3">
      <c r="A441" s="359"/>
      <c r="B441" s="366"/>
      <c r="C441" s="349">
        <v>2048</v>
      </c>
      <c r="D441" s="350">
        <v>34</v>
      </c>
      <c r="E441" s="351"/>
      <c r="F441" s="346"/>
      <c r="G441" s="355">
        <v>40061.165144817372</v>
      </c>
      <c r="H441" s="356">
        <v>40061.165144817372</v>
      </c>
    </row>
    <row r="442" spans="1:8" ht="15.6" x14ac:dyDescent="0.3">
      <c r="A442" s="359"/>
      <c r="B442" s="359"/>
      <c r="C442" s="349">
        <v>2049</v>
      </c>
      <c r="D442" s="350">
        <v>35</v>
      </c>
      <c r="E442" s="351"/>
      <c r="F442" s="346"/>
      <c r="G442" s="355">
        <v>40833.644349380134</v>
      </c>
      <c r="H442" s="356">
        <v>40833.644349380134</v>
      </c>
    </row>
    <row r="443" spans="1:8" ht="15.6" x14ac:dyDescent="0.3">
      <c r="A443" s="359"/>
      <c r="B443" s="359"/>
      <c r="C443" s="349">
        <v>2050</v>
      </c>
      <c r="D443" s="350">
        <v>36</v>
      </c>
      <c r="E443" s="351">
        <v>41367.303861582419</v>
      </c>
      <c r="F443" s="346">
        <v>41367.303861582419</v>
      </c>
      <c r="G443" s="355">
        <v>41367.303861582419</v>
      </c>
      <c r="H443" s="356">
        <v>41367.303861582419</v>
      </c>
    </row>
    <row r="444" spans="1:8" ht="15.6" x14ac:dyDescent="0.3">
      <c r="A444"/>
      <c r="B444"/>
      <c r="C444" s="349">
        <v>2051</v>
      </c>
      <c r="D444" s="350">
        <v>37</v>
      </c>
      <c r="E444" s="351"/>
      <c r="F444" s="346"/>
      <c r="G444" s="355">
        <v>42353.814418209673</v>
      </c>
      <c r="H444" s="356">
        <v>42353.814418209673</v>
      </c>
    </row>
    <row r="445" spans="1:8" ht="15.6" x14ac:dyDescent="0.3">
      <c r="A445"/>
      <c r="B445"/>
      <c r="C445" s="349">
        <v>2052</v>
      </c>
      <c r="D445" s="350">
        <v>38</v>
      </c>
      <c r="E445" s="351"/>
      <c r="F445" s="346"/>
      <c r="G445" s="355">
        <v>43100.0499695623</v>
      </c>
      <c r="H445" s="356">
        <v>43100.0499695623</v>
      </c>
    </row>
    <row r="446" spans="1:8" ht="15.6" x14ac:dyDescent="0.3">
      <c r="A446"/>
      <c r="B446"/>
      <c r="C446" s="349">
        <v>2053</v>
      </c>
      <c r="D446" s="350">
        <v>39</v>
      </c>
      <c r="E446" s="351"/>
      <c r="F446" s="346"/>
      <c r="G446" s="355">
        <v>43836.082323597388</v>
      </c>
      <c r="H446" s="356">
        <v>43836.082323597388</v>
      </c>
    </row>
    <row r="447" spans="1:8" ht="15.6" x14ac:dyDescent="0.3">
      <c r="A447"/>
      <c r="B447"/>
      <c r="C447" s="349">
        <v>2054</v>
      </c>
      <c r="D447" s="350">
        <v>40</v>
      </c>
      <c r="E447" s="351"/>
      <c r="F447" s="346"/>
      <c r="G447" s="355">
        <v>44561.183823857878</v>
      </c>
      <c r="H447" s="356">
        <v>44561.183823857878</v>
      </c>
    </row>
    <row r="448" spans="1:8" ht="15.6" x14ac:dyDescent="0.3">
      <c r="A448"/>
      <c r="B448"/>
      <c r="C448" s="349">
        <v>2055</v>
      </c>
      <c r="D448" s="350">
        <v>41</v>
      </c>
      <c r="E448" s="351">
        <v>45110.589009412499</v>
      </c>
      <c r="F448" s="346">
        <v>45110.589009412499</v>
      </c>
      <c r="G448" s="355">
        <v>45110.589009412499</v>
      </c>
      <c r="H448" s="356">
        <v>45110.589009412499</v>
      </c>
    </row>
    <row r="449" spans="1:8" ht="15.6" x14ac:dyDescent="0.3">
      <c r="A449"/>
      <c r="B449"/>
      <c r="C449" s="349">
        <v>2056</v>
      </c>
      <c r="D449" s="350">
        <v>42</v>
      </c>
      <c r="E449" s="351"/>
      <c r="F449" s="346"/>
      <c r="G449" s="355">
        <v>45975.683637226743</v>
      </c>
      <c r="H449" s="356">
        <v>45975.683637226743</v>
      </c>
    </row>
    <row r="450" spans="1:8" ht="15.6" x14ac:dyDescent="0.3">
      <c r="A450"/>
      <c r="B450"/>
      <c r="C450" s="349">
        <v>2057</v>
      </c>
      <c r="D450" s="350">
        <v>43</v>
      </c>
      <c r="E450" s="351"/>
      <c r="F450" s="346"/>
      <c r="G450" s="355">
        <v>46663.626637420966</v>
      </c>
      <c r="H450" s="356">
        <v>46663.626637420966</v>
      </c>
    </row>
    <row r="451" spans="1:8" ht="15.6" x14ac:dyDescent="0.3">
      <c r="A451"/>
      <c r="B451"/>
      <c r="C451" s="349">
        <v>2058</v>
      </c>
      <c r="D451" s="350">
        <v>44</v>
      </c>
      <c r="E451" s="351"/>
      <c r="F451" s="346"/>
      <c r="G451" s="355">
        <v>47337.728158012294</v>
      </c>
      <c r="H451" s="356">
        <v>47337.728158012294</v>
      </c>
    </row>
    <row r="452" spans="1:8" ht="15.6" x14ac:dyDescent="0.3">
      <c r="A452"/>
      <c r="B452"/>
      <c r="C452" s="349">
        <v>2059</v>
      </c>
      <c r="D452" s="350">
        <v>45</v>
      </c>
      <c r="E452" s="351"/>
      <c r="F452" s="346"/>
      <c r="G452" s="355">
        <v>47997.260542543641</v>
      </c>
      <c r="H452" s="356">
        <v>47997.260542543641</v>
      </c>
    </row>
    <row r="453" spans="1:8" ht="15.6" x14ac:dyDescent="0.3">
      <c r="A453"/>
      <c r="B453"/>
      <c r="C453" s="367">
        <v>2060</v>
      </c>
      <c r="D453" s="350">
        <v>46</v>
      </c>
      <c r="E453" s="351">
        <v>48813.7579025179</v>
      </c>
      <c r="F453" s="346">
        <v>48813.7579025179</v>
      </c>
      <c r="G453" s="355">
        <v>48813.7579025179</v>
      </c>
      <c r="H453" s="356">
        <v>48813.7579025179</v>
      </c>
    </row>
  </sheetData>
  <mergeCells count="20">
    <mergeCell ref="C1:G1"/>
    <mergeCell ref="I1:T1"/>
    <mergeCell ref="D2:E2"/>
    <mergeCell ref="I2:L3"/>
    <mergeCell ref="S3:W5"/>
    <mergeCell ref="I5:L6"/>
    <mergeCell ref="O22:R22"/>
    <mergeCell ref="B23:D23"/>
    <mergeCell ref="E23:H23"/>
    <mergeCell ref="J23:M23"/>
    <mergeCell ref="O23:R23"/>
    <mergeCell ref="F395:F396"/>
    <mergeCell ref="A402:A405"/>
    <mergeCell ref="Y23:Z23"/>
    <mergeCell ref="J24:M24"/>
    <mergeCell ref="F257:F258"/>
    <mergeCell ref="A264:A267"/>
    <mergeCell ref="F323:F324"/>
    <mergeCell ref="A330:A333"/>
    <mergeCell ref="U23:V23"/>
  </mergeCells>
  <conditionalFormatting sqref="A264">
    <cfRule type="cellIs" dxfId="4" priority="3" operator="equal">
      <formula>#REF!</formula>
    </cfRule>
  </conditionalFormatting>
  <conditionalFormatting sqref="A330">
    <cfRule type="cellIs" dxfId="3" priority="2" operator="equal">
      <formula>#REF!</formula>
    </cfRule>
  </conditionalFormatting>
  <conditionalFormatting sqref="A402">
    <cfRule type="cellIs" dxfId="2" priority="1" operator="equal">
      <formula>#REF!</formula>
    </cfRule>
  </conditionalFormatting>
  <dataValidations count="1">
    <dataValidation type="list" allowBlank="1" showInputMessage="1" showErrorMessage="1" sqref="C83:G83 F17 O24:R24 F3:G14">
      <formula1>"Y,N"</formula1>
    </dataValidation>
  </dataValidation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sheetPr>
  <dimension ref="A1:EG381"/>
  <sheetViews>
    <sheetView showGridLines="0" topLeftCell="G1" zoomScale="96" zoomScaleNormal="96" zoomScalePageLayoutView="80" workbookViewId="0">
      <selection activeCell="H11" sqref="H11"/>
    </sheetView>
  </sheetViews>
  <sheetFormatPr defaultColWidth="8.796875" defaultRowHeight="13.2" x14ac:dyDescent="0.25"/>
  <cols>
    <col min="1" max="1" width="24.69921875" style="153" customWidth="1"/>
    <col min="2" max="2" width="37.5" style="153" bestFit="1" customWidth="1"/>
    <col min="3" max="3" width="21.5" style="153" customWidth="1"/>
    <col min="4" max="4" width="28.19921875" style="153" customWidth="1"/>
    <col min="5" max="5" width="37.5" style="153" bestFit="1" customWidth="1"/>
    <col min="6" max="6" width="28.296875" style="153" bestFit="1" customWidth="1"/>
    <col min="7" max="7" width="18.296875" style="153" bestFit="1" customWidth="1"/>
    <col min="8" max="8" width="45.5" style="153" bestFit="1" customWidth="1"/>
    <col min="9" max="11" width="7.296875" style="153" bestFit="1" customWidth="1"/>
    <col min="12" max="12" width="10.796875" style="153" bestFit="1" customWidth="1"/>
    <col min="13" max="13" width="7.19921875" style="153" bestFit="1" customWidth="1"/>
    <col min="14" max="14" width="19.5" style="153" customWidth="1"/>
    <col min="15" max="15" width="24.5" style="153" customWidth="1"/>
    <col min="16" max="16" width="23.19921875" style="153" customWidth="1"/>
    <col min="17" max="17" width="18.796875" style="153" customWidth="1"/>
    <col min="18" max="18" width="19" style="153" bestFit="1" customWidth="1"/>
    <col min="19" max="19" width="8.796875" style="153"/>
    <col min="20" max="20" width="10.19921875" style="153" bestFit="1" customWidth="1"/>
    <col min="21" max="21" width="24.5" style="153" customWidth="1"/>
    <col min="22" max="22" width="6" style="153" bestFit="1" customWidth="1"/>
    <col min="23" max="23" width="19" style="153" bestFit="1" customWidth="1"/>
    <col min="24" max="24" width="21.19921875" style="153" customWidth="1"/>
    <col min="25" max="25" width="16.296875" style="153" bestFit="1" customWidth="1"/>
    <col min="26" max="28" width="8.796875" style="153"/>
    <col min="29" max="29" width="41.69921875" style="153" bestFit="1" customWidth="1"/>
    <col min="30" max="31" width="8.796875" style="153"/>
    <col min="32" max="33" width="7" style="153" bestFit="1" customWidth="1"/>
    <col min="34" max="34" width="7.5" style="153" bestFit="1" customWidth="1"/>
    <col min="35" max="35" width="5.296875" style="153" bestFit="1" customWidth="1"/>
    <col min="36" max="16384" width="8.796875" style="153"/>
  </cols>
  <sheetData>
    <row r="1" spans="1:137" s="160" customFormat="1" ht="21.6" thickBot="1" x14ac:dyDescent="0.45">
      <c r="A1" s="155" t="str">
        <f ca="1">MID(CELL("filename",A1),FIND("]",CELL("filename",A1))+1,256)</f>
        <v>Air-km_cluster_all</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396</v>
      </c>
      <c r="E3" s="249">
        <v>0.35609999999999997</v>
      </c>
      <c r="F3" s="167" t="s">
        <v>211</v>
      </c>
      <c r="G3" s="167" t="s">
        <v>213</v>
      </c>
      <c r="I3" s="618"/>
      <c r="J3" s="618"/>
      <c r="K3" s="618"/>
      <c r="L3" s="618"/>
      <c r="M3" s="166"/>
      <c r="N3" s="164">
        <f ca="1">SUM(OFFSET(O27,B3-2015,0,B4-B3+1,4))/1000</f>
        <v>1.9939946407924776</v>
      </c>
      <c r="O3" s="165" t="s">
        <v>209</v>
      </c>
      <c r="Q3" s="165"/>
      <c r="S3" s="671" t="s">
        <v>210</v>
      </c>
      <c r="T3" s="671"/>
      <c r="U3" s="671"/>
      <c r="V3" s="671"/>
      <c r="W3" s="671"/>
    </row>
    <row r="4" spans="1:137" ht="13.8" x14ac:dyDescent="0.25">
      <c r="A4" s="153" t="s">
        <v>215</v>
      </c>
      <c r="B4" s="234">
        <v>2050</v>
      </c>
      <c r="D4" s="248" t="s">
        <v>397</v>
      </c>
      <c r="E4" s="249">
        <v>7.0000000000000007E-2</v>
      </c>
      <c r="F4" s="167"/>
      <c r="G4" s="167" t="s">
        <v>213</v>
      </c>
      <c r="I4" s="168"/>
      <c r="J4" s="168"/>
      <c r="K4" s="168"/>
      <c r="L4" s="168"/>
      <c r="M4" s="168"/>
      <c r="N4" s="168"/>
      <c r="S4" s="671"/>
      <c r="T4" s="671"/>
      <c r="U4" s="671"/>
      <c r="V4" s="671"/>
      <c r="W4" s="671"/>
    </row>
    <row r="5" spans="1:137" ht="12.75" customHeight="1" x14ac:dyDescent="0.25">
      <c r="D5" s="248" t="s">
        <v>398</v>
      </c>
      <c r="E5" s="249">
        <v>0.12</v>
      </c>
      <c r="F5" s="167"/>
      <c r="G5" s="167" t="s">
        <v>213</v>
      </c>
      <c r="I5" s="618" t="s">
        <v>214</v>
      </c>
      <c r="J5" s="618"/>
      <c r="K5" s="618"/>
      <c r="L5" s="618"/>
      <c r="M5" s="169"/>
      <c r="N5" s="164">
        <f>SUM(J27:M72)/1000</f>
        <v>0</v>
      </c>
      <c r="O5" s="165" t="s">
        <v>208</v>
      </c>
      <c r="S5" s="671"/>
      <c r="T5" s="671"/>
      <c r="U5" s="671"/>
      <c r="V5" s="671"/>
      <c r="W5" s="671"/>
    </row>
    <row r="6" spans="1:137" ht="13.8" x14ac:dyDescent="0.25">
      <c r="D6" s="248"/>
      <c r="E6" s="249"/>
      <c r="F6" s="167"/>
      <c r="G6" s="167"/>
      <c r="I6" s="618"/>
      <c r="J6" s="618"/>
      <c r="K6" s="618"/>
      <c r="L6" s="618"/>
      <c r="M6" s="163"/>
      <c r="N6" s="164">
        <f>SUM(O27:R72)/1000</f>
        <v>5.0999709265125359</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27.6" x14ac:dyDescent="0.25">
      <c r="O15" s="260" t="s">
        <v>322</v>
      </c>
      <c r="P15" s="260" t="s">
        <v>387</v>
      </c>
    </row>
    <row r="16" spans="1:137" ht="13.8" x14ac:dyDescent="0.25">
      <c r="F16" s="153" t="s">
        <v>217</v>
      </c>
      <c r="O16" s="261"/>
      <c r="P16" s="371">
        <v>64340127.996129513</v>
      </c>
    </row>
    <row r="17" spans="1:26" x14ac:dyDescent="0.25">
      <c r="D17" s="171" t="s">
        <v>216</v>
      </c>
      <c r="E17" s="233">
        <v>1</v>
      </c>
      <c r="F17" s="167" t="s">
        <v>213</v>
      </c>
    </row>
    <row r="22" spans="1:26" x14ac:dyDescent="0.25">
      <c r="D22" s="170"/>
      <c r="I22" s="172"/>
      <c r="J22" s="172"/>
      <c r="K22" s="172"/>
      <c r="L22" s="172"/>
      <c r="M22" s="172"/>
      <c r="N22" s="172"/>
      <c r="O22" s="667" t="s">
        <v>378</v>
      </c>
      <c r="P22" s="667"/>
      <c r="Q22" s="667"/>
      <c r="R22" s="667"/>
    </row>
    <row r="23" spans="1:26" ht="67.5" customHeight="1" x14ac:dyDescent="0.25">
      <c r="B23" s="665" t="s">
        <v>376</v>
      </c>
      <c r="C23" s="665"/>
      <c r="D23" s="665"/>
      <c r="E23" s="666" t="s">
        <v>375</v>
      </c>
      <c r="F23" s="666"/>
      <c r="G23" s="666"/>
      <c r="H23" s="666"/>
      <c r="J23" s="665" t="s">
        <v>377</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213</v>
      </c>
      <c r="Q24" s="167" t="s">
        <v>211</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-5.3152034644940614E-3</v>
      </c>
      <c r="F26" s="183" t="str">
        <f>IFERROR(E26-E25,"")</f>
        <v/>
      </c>
      <c r="G26" s="247">
        <f t="shared" ref="G26:G72" si="1">IFERROR(E26/(B85-B137),"")</f>
        <v>0.54610000000000003</v>
      </c>
      <c r="H26" s="245" t="s">
        <v>264</v>
      </c>
      <c r="J26" s="182"/>
      <c r="K26" s="182"/>
      <c r="L26" s="182"/>
      <c r="M26" s="182"/>
      <c r="N26" s="163"/>
      <c r="O26" s="259" t="str">
        <f>IF($O$24="Y",IFERROR(E26*$E$6*$O$16*'Emissions Factors'!B12,""),"")</f>
        <v/>
      </c>
      <c r="P26" s="259">
        <f>IF($P$24="Y",IFERROR($E26*('Emissions Factors'!$R$39*$P$16)/10^6,""),"")</f>
        <v>-8.6545721145638748E-4</v>
      </c>
      <c r="Q26" s="259"/>
      <c r="R26" s="245" t="s">
        <v>264</v>
      </c>
      <c r="T26" s="180" t="str">
        <f t="shared" ref="T26:T72" si="2">IF(AND(A26&gt;=$B$3,A26&lt;=$B$4),SUM(O26:R26),"")</f>
        <v/>
      </c>
      <c r="U26" s="180" t="str">
        <f t="shared" ref="U26:U72" si="3">IF(AND(A26&gt;=$B$3,A26&lt;=$B$4),SUM(J26:M26),"")</f>
        <v/>
      </c>
      <c r="V26" s="177"/>
      <c r="X26" s="180">
        <f t="shared" ref="X26:X72" si="4">SUM(O26:R26)</f>
        <v>-8.6545721145638748E-4</v>
      </c>
      <c r="Y26" s="180">
        <f t="shared" ref="Y26:Y72" si="5">SUM(J26:M26)</f>
        <v>0</v>
      </c>
    </row>
    <row r="27" spans="1:26" ht="15.6" x14ac:dyDescent="0.3">
      <c r="A27" s="152">
        <v>2015</v>
      </c>
      <c r="B27" s="178">
        <f t="shared" si="0"/>
        <v>0</v>
      </c>
      <c r="C27" s="182">
        <f>IFERROR(B27-B26,"")</f>
        <v>0</v>
      </c>
      <c r="D27" s="183"/>
      <c r="E27" s="179">
        <f t="shared" ref="E27:E72" si="6">IFERROR(IF($F$17="Y",$E$17,$Y86)*(SUMIF($G$3:$G$14,"Y",$E$3:$E$14))*(B86-B138),0)</f>
        <v>-5.3940805380172608E-3</v>
      </c>
      <c r="F27" s="183">
        <f>IFERROR(E27-E26,"")</f>
        <v>-7.8877073523199448E-5</v>
      </c>
      <c r="G27" s="247">
        <f t="shared" si="1"/>
        <v>0.54610000000000003</v>
      </c>
      <c r="H27" s="246"/>
      <c r="J27" s="182"/>
      <c r="K27" s="182"/>
      <c r="L27" s="182"/>
      <c r="M27" s="182"/>
      <c r="N27" s="163"/>
      <c r="O27" s="259" t="str">
        <f>IF($O$24="Y",IFERROR(E27*$E$6*$O$16*'Emissions Factors'!B12,""),"")</f>
        <v/>
      </c>
      <c r="P27" s="259">
        <f>IF($P$24="Y",IFERROR($E27*('Emissions Factors'!$R$39*$P$16)/10^6,""),"")</f>
        <v>-8.7830050758893274E-4</v>
      </c>
      <c r="Q27" s="259"/>
      <c r="R27" s="258"/>
      <c r="T27" s="180" t="str">
        <f t="shared" si="2"/>
        <v/>
      </c>
      <c r="U27" s="180" t="str">
        <f t="shared" si="3"/>
        <v/>
      </c>
      <c r="V27" s="177"/>
      <c r="X27" s="180">
        <f t="shared" si="4"/>
        <v>-8.7830050758893274E-4</v>
      </c>
      <c r="Y27" s="180">
        <f t="shared" si="5"/>
        <v>0</v>
      </c>
    </row>
    <row r="28" spans="1:26" ht="15.6" x14ac:dyDescent="0.3">
      <c r="A28" s="152">
        <v>2016</v>
      </c>
      <c r="B28" s="178">
        <f t="shared" si="0"/>
        <v>0</v>
      </c>
      <c r="C28" s="182">
        <f t="shared" ref="C28:C72" si="7">IFERROR(B28-B27,"")</f>
        <v>0</v>
      </c>
      <c r="D28" s="183"/>
      <c r="E28" s="179">
        <f t="shared" si="6"/>
        <v>-5.4941792875728424E-3</v>
      </c>
      <c r="F28" s="183">
        <f t="shared" ref="F28:F72" si="8">IFERROR(E28-E27,"")</f>
        <v>-1.0009874955558152E-4</v>
      </c>
      <c r="G28" s="247">
        <f t="shared" si="1"/>
        <v>0.54610000000000003</v>
      </c>
      <c r="H28" s="246"/>
      <c r="J28" s="182"/>
      <c r="K28" s="182"/>
      <c r="L28" s="182"/>
      <c r="M28" s="182"/>
      <c r="N28" s="163"/>
      <c r="O28" s="259" t="str">
        <f>IF($O$24="Y",IFERROR(E28*$E$6*$O$16*'Emissions Factors'!B13,""),"")</f>
        <v/>
      </c>
      <c r="P28" s="259">
        <f>IF($P$24="Y",IFERROR($E28*('Emissions Factors'!$R$39*$P$16)/10^6,""),"")</f>
        <v>-8.9459925988305425E-4</v>
      </c>
      <c r="Q28" s="259"/>
      <c r="R28" s="258"/>
      <c r="T28" s="180" t="str">
        <f t="shared" si="2"/>
        <v/>
      </c>
      <c r="U28" s="180" t="str">
        <f t="shared" si="3"/>
        <v/>
      </c>
      <c r="V28" s="177"/>
      <c r="X28" s="180">
        <f t="shared" si="4"/>
        <v>-8.9459925988305425E-4</v>
      </c>
      <c r="Y28" s="180">
        <f t="shared" si="5"/>
        <v>0</v>
      </c>
    </row>
    <row r="29" spans="1:26" ht="15.6" x14ac:dyDescent="0.3">
      <c r="A29" s="152">
        <v>2017</v>
      </c>
      <c r="B29" s="178">
        <f t="shared" si="0"/>
        <v>0</v>
      </c>
      <c r="C29" s="182">
        <f>IFERROR(B29-B28,"")</f>
        <v>0</v>
      </c>
      <c r="D29" s="183"/>
      <c r="E29" s="179">
        <f t="shared" si="6"/>
        <v>-5.5764460471688839E-3</v>
      </c>
      <c r="F29" s="183">
        <f>IFERROR(E29-E28,"")</f>
        <v>-8.2266759596041558E-5</v>
      </c>
      <c r="G29" s="247">
        <f t="shared" si="1"/>
        <v>0.54610000000000003</v>
      </c>
      <c r="H29" s="246"/>
      <c r="J29" s="182"/>
      <c r="K29" s="182"/>
      <c r="L29" s="182"/>
      <c r="M29" s="182"/>
      <c r="N29" s="163"/>
      <c r="O29" s="259" t="str">
        <f>IF($O$24="Y",IFERROR(E29*$E$6*$O$16*'Emissions Factors'!B14,""),"")</f>
        <v/>
      </c>
      <c r="P29" s="259">
        <f>IF($P$24="Y",IFERROR($E29*('Emissions Factors'!$R$39*$P$16)/10^6,""),"")</f>
        <v>-9.0799448752225062E-4</v>
      </c>
      <c r="Q29" s="259"/>
      <c r="R29" s="258"/>
      <c r="T29" s="180" t="str">
        <f t="shared" si="2"/>
        <v/>
      </c>
      <c r="U29" s="180" t="str">
        <f t="shared" si="3"/>
        <v/>
      </c>
      <c r="V29" s="177"/>
      <c r="X29" s="180">
        <f t="shared" si="4"/>
        <v>-9.0799448752225062E-4</v>
      </c>
      <c r="Y29" s="180">
        <f t="shared" si="5"/>
        <v>0</v>
      </c>
    </row>
    <row r="30" spans="1:26" ht="15.6" x14ac:dyDescent="0.3">
      <c r="A30" s="152">
        <v>2018</v>
      </c>
      <c r="B30" s="178">
        <f t="shared" si="0"/>
        <v>0</v>
      </c>
      <c r="C30" s="182">
        <f t="shared" si="7"/>
        <v>0</v>
      </c>
      <c r="D30" s="183"/>
      <c r="E30" s="179">
        <f>IFERROR(IF($F$17="Y",$E$17,$Y89)*(SUMIF($G$3:$G$14,"Y",$E$3:$E$14))*(B89-B141),0)</f>
        <v>-5.6406317864153609E-3</v>
      </c>
      <c r="F30" s="183">
        <f t="shared" si="8"/>
        <v>-6.418573924647699E-5</v>
      </c>
      <c r="G30" s="247">
        <f t="shared" si="1"/>
        <v>0.54610000000000003</v>
      </c>
      <c r="H30" s="246"/>
      <c r="J30" s="182"/>
      <c r="K30" s="182"/>
      <c r="L30" s="182"/>
      <c r="M30" s="182"/>
      <c r="N30" s="163"/>
      <c r="O30" s="259" t="str">
        <f>IF($O$24="Y",IFERROR(E30*$E$6*$O$16*'Emissions Factors'!B15,""),"")</f>
        <v/>
      </c>
      <c r="P30" s="259">
        <f>IF($P$24="Y",IFERROR($E30*('Emissions Factors'!$R$39*$P$16)/10^6,""),"")</f>
        <v>-9.1844564170187918E-4</v>
      </c>
      <c r="Q30" s="259"/>
      <c r="R30" s="258"/>
      <c r="T30" s="180" t="str">
        <f t="shared" si="2"/>
        <v/>
      </c>
      <c r="U30" s="180" t="str">
        <f t="shared" si="3"/>
        <v/>
      </c>
      <c r="V30" s="177"/>
      <c r="X30" s="180">
        <f t="shared" si="4"/>
        <v>-9.1844564170187918E-4</v>
      </c>
      <c r="Y30" s="180">
        <f t="shared" si="5"/>
        <v>0</v>
      </c>
    </row>
    <row r="31" spans="1:26" ht="15.6" x14ac:dyDescent="0.3">
      <c r="A31" s="152">
        <v>2019</v>
      </c>
      <c r="B31" s="178">
        <f t="shared" si="0"/>
        <v>0</v>
      </c>
      <c r="C31" s="182">
        <f t="shared" si="7"/>
        <v>0</v>
      </c>
      <c r="D31" s="183"/>
      <c r="E31" s="179">
        <f t="shared" si="6"/>
        <v>-5.7155490276546515E-3</v>
      </c>
      <c r="F31" s="183">
        <f t="shared" si="8"/>
        <v>-7.4917241239290562E-5</v>
      </c>
      <c r="G31" s="247">
        <f t="shared" si="1"/>
        <v>0.54610000000000003</v>
      </c>
      <c r="H31" s="246"/>
      <c r="J31" s="182"/>
      <c r="K31" s="182"/>
      <c r="L31" s="182"/>
      <c r="M31" s="182"/>
      <c r="N31" s="163"/>
      <c r="O31" s="259" t="str">
        <f>IF($O$24="Y",IFERROR(E31*$E$6*$O$16*'Emissions Factors'!B16,""),"")</f>
        <v/>
      </c>
      <c r="P31" s="259">
        <f>IF($P$24="Y",IFERROR($E31*('Emissions Factors'!$R$39*$P$16)/10^6,""),"")</f>
        <v>-9.3064417128331121E-4</v>
      </c>
      <c r="Q31" s="259"/>
      <c r="R31" s="258"/>
      <c r="T31" s="180" t="str">
        <f t="shared" si="2"/>
        <v/>
      </c>
      <c r="U31" s="180" t="str">
        <f t="shared" si="3"/>
        <v/>
      </c>
      <c r="V31" s="177"/>
      <c r="X31" s="180">
        <f t="shared" si="4"/>
        <v>-9.3064417128331121E-4</v>
      </c>
      <c r="Y31" s="180">
        <f t="shared" si="5"/>
        <v>0</v>
      </c>
    </row>
    <row r="32" spans="1:26" ht="15.6" x14ac:dyDescent="0.3">
      <c r="A32" s="152">
        <v>2020</v>
      </c>
      <c r="B32" s="178">
        <f t="shared" si="0"/>
        <v>0</v>
      </c>
      <c r="C32" s="182">
        <f t="shared" si="7"/>
        <v>0</v>
      </c>
      <c r="D32" s="183"/>
      <c r="E32" s="179">
        <f t="shared" si="6"/>
        <v>-5.8034052382092347E-3</v>
      </c>
      <c r="F32" s="183">
        <f t="shared" si="8"/>
        <v>-8.7856210554583189E-5</v>
      </c>
      <c r="G32" s="247">
        <f t="shared" si="1"/>
        <v>0.54610000000000003</v>
      </c>
      <c r="H32" s="246"/>
      <c r="J32" s="182"/>
      <c r="K32" s="182"/>
      <c r="L32" s="182"/>
      <c r="M32" s="182"/>
      <c r="N32" s="163"/>
      <c r="O32" s="259" t="str">
        <f>IF($O$24="Y",IFERROR(E32*$E$6*$O$16*'Emissions Factors'!B17,""),"")</f>
        <v/>
      </c>
      <c r="P32" s="259">
        <f>IF($P$24="Y",IFERROR($E32*('Emissions Factors'!$R$39*$P$16)/10^6,""),"")</f>
        <v>-9.4494951095725214E-4</v>
      </c>
      <c r="Q32" s="259"/>
      <c r="R32" s="258"/>
      <c r="T32" s="180">
        <f t="shared" si="2"/>
        <v>-9.4494951095725214E-4</v>
      </c>
      <c r="U32" s="180">
        <f t="shared" si="3"/>
        <v>0</v>
      </c>
      <c r="V32" s="177"/>
      <c r="X32" s="180">
        <f t="shared" si="4"/>
        <v>-9.4494951095725214E-4</v>
      </c>
      <c r="Y32" s="180">
        <f t="shared" si="5"/>
        <v>0</v>
      </c>
    </row>
    <row r="33" spans="1:25" ht="15.6" x14ac:dyDescent="0.3">
      <c r="A33" s="152">
        <v>2021</v>
      </c>
      <c r="B33" s="178">
        <f t="shared" si="0"/>
        <v>0</v>
      </c>
      <c r="C33" s="182">
        <f t="shared" si="7"/>
        <v>0</v>
      </c>
      <c r="D33" s="183"/>
      <c r="E33" s="179">
        <f t="shared" si="6"/>
        <v>5.3070901166060898</v>
      </c>
      <c r="F33" s="183">
        <f t="shared" si="8"/>
        <v>5.3128935218442992</v>
      </c>
      <c r="G33" s="247">
        <f t="shared" si="1"/>
        <v>0.54610000000000003</v>
      </c>
      <c r="H33" s="246"/>
      <c r="J33" s="182"/>
      <c r="K33" s="182"/>
      <c r="L33" s="182"/>
      <c r="M33" s="182"/>
      <c r="N33" s="163"/>
      <c r="O33" s="259" t="str">
        <f>IF($O$24="Y",IFERROR(E33*$E$6*$O$16*'Emissions Factors'!B18,""),"")</f>
        <v/>
      </c>
      <c r="P33" s="259">
        <f>IF($P$24="Y",IFERROR($E33*('Emissions Factors'!$R$39*$P$16)/10^6,""),"")</f>
        <v>0.86413614153204577</v>
      </c>
      <c r="Q33" s="259"/>
      <c r="R33" s="258"/>
      <c r="T33" s="180">
        <f t="shared" si="2"/>
        <v>0.86413614153204577</v>
      </c>
      <c r="U33" s="180">
        <f t="shared" si="3"/>
        <v>0</v>
      </c>
      <c r="V33" s="177"/>
      <c r="X33" s="180">
        <f t="shared" si="4"/>
        <v>0.86413614153204577</v>
      </c>
      <c r="Y33" s="180">
        <f t="shared" si="5"/>
        <v>0</v>
      </c>
    </row>
    <row r="34" spans="1:25" ht="15.6" x14ac:dyDescent="0.3">
      <c r="A34" s="152">
        <v>2022</v>
      </c>
      <c r="B34" s="178">
        <f t="shared" si="0"/>
        <v>0</v>
      </c>
      <c r="C34" s="182">
        <f t="shared" si="7"/>
        <v>0</v>
      </c>
      <c r="D34" s="183"/>
      <c r="E34" s="179">
        <f t="shared" si="6"/>
        <v>12.383951899135274</v>
      </c>
      <c r="F34" s="183">
        <f t="shared" si="8"/>
        <v>7.0768617825291846</v>
      </c>
      <c r="G34" s="247">
        <f>IFERROR(E34/(B93-B145),"")</f>
        <v>0.54610000000000003</v>
      </c>
      <c r="H34" s="246"/>
      <c r="J34" s="182"/>
      <c r="K34" s="182"/>
      <c r="L34" s="182"/>
      <c r="M34" s="182"/>
      <c r="N34" s="163"/>
      <c r="O34" s="259" t="str">
        <f>IF($O$24="Y",IFERROR(E34*$E$6*$O$16*'Emissions Factors'!B19,""),"")</f>
        <v/>
      </c>
      <c r="P34" s="259">
        <f>IF($P$24="Y",IFERROR($E34*('Emissions Factors'!$R$39*$P$16)/10^6,""),"")</f>
        <v>2.0164384202846017</v>
      </c>
      <c r="Q34" s="259"/>
      <c r="R34" s="258"/>
      <c r="T34" s="180">
        <f t="shared" si="2"/>
        <v>2.0164384202846017</v>
      </c>
      <c r="U34" s="180">
        <f t="shared" si="3"/>
        <v>0</v>
      </c>
      <c r="V34" s="177"/>
      <c r="X34" s="180">
        <f t="shared" si="4"/>
        <v>2.0164384202846017</v>
      </c>
      <c r="Y34" s="180">
        <f t="shared" si="5"/>
        <v>0</v>
      </c>
    </row>
    <row r="35" spans="1:25" ht="15.6" x14ac:dyDescent="0.3">
      <c r="A35" s="152">
        <v>2023</v>
      </c>
      <c r="B35" s="178">
        <f t="shared" si="0"/>
        <v>0</v>
      </c>
      <c r="C35" s="182">
        <f t="shared" si="7"/>
        <v>0</v>
      </c>
      <c r="D35" s="183"/>
      <c r="E35" s="179">
        <f t="shared" si="6"/>
        <v>21.190477397641093</v>
      </c>
      <c r="F35" s="183">
        <f t="shared" si="8"/>
        <v>8.8065254985058186</v>
      </c>
      <c r="G35" s="247">
        <f t="shared" si="1"/>
        <v>0.54610000000000003</v>
      </c>
      <c r="H35" s="246"/>
      <c r="J35" s="182"/>
      <c r="K35" s="182"/>
      <c r="L35" s="182"/>
      <c r="M35" s="182"/>
      <c r="N35" s="163"/>
      <c r="O35" s="259" t="str">
        <f>IF($O$24="Y",IFERROR(E35*$E$6*$O$16*'Emissions Factors'!B20,""),"")</f>
        <v/>
      </c>
      <c r="P35" s="259">
        <f>IF($P$24="Y",IFERROR($E35*('Emissions Factors'!$R$39*$P$16)/10^6,""),"")</f>
        <v>3.4503761898299681</v>
      </c>
      <c r="Q35" s="259"/>
      <c r="R35" s="258"/>
      <c r="T35" s="180">
        <f t="shared" si="2"/>
        <v>3.4503761898299681</v>
      </c>
      <c r="U35" s="180">
        <f t="shared" si="3"/>
        <v>0</v>
      </c>
      <c r="V35" s="177"/>
      <c r="X35" s="180">
        <f t="shared" si="4"/>
        <v>3.4503761898299681</v>
      </c>
      <c r="Y35" s="180">
        <f t="shared" si="5"/>
        <v>0</v>
      </c>
    </row>
    <row r="36" spans="1:25" ht="15.6" x14ac:dyDescent="0.3">
      <c r="A36" s="152">
        <v>2024</v>
      </c>
      <c r="B36" s="178">
        <f t="shared" si="0"/>
        <v>0</v>
      </c>
      <c r="C36" s="182">
        <f t="shared" si="7"/>
        <v>0</v>
      </c>
      <c r="D36" s="183"/>
      <c r="E36" s="179">
        <f t="shared" si="6"/>
        <v>31.776661578852774</v>
      </c>
      <c r="F36" s="183">
        <f t="shared" si="8"/>
        <v>10.586184181211681</v>
      </c>
      <c r="G36" s="247">
        <f t="shared" si="1"/>
        <v>0.54610000000000003</v>
      </c>
      <c r="H36" s="246"/>
      <c r="J36" s="182"/>
      <c r="K36" s="182"/>
      <c r="L36" s="182"/>
      <c r="M36" s="182"/>
      <c r="N36" s="163"/>
      <c r="O36" s="259" t="str">
        <f>IF($O$24="Y",IFERROR(E36*$E$6*$O$16*'Emissions Factors'!B21,""),"")</f>
        <v/>
      </c>
      <c r="P36" s="259">
        <f>IF($P$24="Y",IFERROR($E36*('Emissions Factors'!$R$39*$P$16)/10^6,""),"")</f>
        <v>5.1740899672304481</v>
      </c>
      <c r="Q36" s="259"/>
      <c r="R36" s="258"/>
      <c r="T36" s="180">
        <f t="shared" si="2"/>
        <v>5.1740899672304481</v>
      </c>
      <c r="U36" s="180">
        <f t="shared" si="3"/>
        <v>0</v>
      </c>
      <c r="V36" s="177"/>
      <c r="X36" s="180">
        <f t="shared" si="4"/>
        <v>5.1740899672304481</v>
      </c>
      <c r="Y36" s="180">
        <f t="shared" si="5"/>
        <v>0</v>
      </c>
    </row>
    <row r="37" spans="1:25" ht="15.6" x14ac:dyDescent="0.3">
      <c r="A37" s="152">
        <v>2025</v>
      </c>
      <c r="B37" s="178">
        <f t="shared" si="0"/>
        <v>0</v>
      </c>
      <c r="C37" s="182">
        <f t="shared" si="7"/>
        <v>0</v>
      </c>
      <c r="D37" s="183"/>
      <c r="E37" s="179">
        <f t="shared" si="6"/>
        <v>44.213980439491323</v>
      </c>
      <c r="F37" s="183">
        <f t="shared" si="8"/>
        <v>12.437318860638548</v>
      </c>
      <c r="G37" s="247">
        <f t="shared" si="1"/>
        <v>0.54610000000000003</v>
      </c>
      <c r="H37" s="246"/>
      <c r="J37" s="182"/>
      <c r="K37" s="182"/>
      <c r="L37" s="182"/>
      <c r="M37" s="182"/>
      <c r="N37" s="163"/>
      <c r="O37" s="259" t="str">
        <f>IF($O$24="Y",IFERROR(E37*$E$6*$O$16*'Emissions Factors'!B22,""),"")</f>
        <v/>
      </c>
      <c r="P37" s="259">
        <f>IF($P$24="Y",IFERROR($E37*('Emissions Factors'!$R$39*$P$16)/10^6,""),"")</f>
        <v>7.199217955467633</v>
      </c>
      <c r="Q37" s="259"/>
      <c r="R37" s="258"/>
      <c r="T37" s="180">
        <f t="shared" si="2"/>
        <v>7.199217955467633</v>
      </c>
      <c r="U37" s="180">
        <f t="shared" si="3"/>
        <v>0</v>
      </c>
      <c r="V37" s="177"/>
      <c r="X37" s="180">
        <f t="shared" si="4"/>
        <v>7.199217955467633</v>
      </c>
      <c r="Y37" s="180">
        <f t="shared" si="5"/>
        <v>0</v>
      </c>
    </row>
    <row r="38" spans="1:25" ht="15.6" x14ac:dyDescent="0.3">
      <c r="A38" s="152">
        <v>2026</v>
      </c>
      <c r="B38" s="178">
        <f t="shared" si="0"/>
        <v>0</v>
      </c>
      <c r="C38" s="182">
        <f t="shared" si="7"/>
        <v>0</v>
      </c>
      <c r="D38" s="183"/>
      <c r="E38" s="179">
        <f t="shared" si="6"/>
        <v>58.568363360018921</v>
      </c>
      <c r="F38" s="183">
        <f t="shared" si="8"/>
        <v>14.354382920527598</v>
      </c>
      <c r="G38" s="247">
        <f t="shared" si="1"/>
        <v>0.54610000000000003</v>
      </c>
      <c r="H38" s="246"/>
      <c r="J38" s="182"/>
      <c r="K38" s="182"/>
      <c r="L38" s="182"/>
      <c r="M38" s="182"/>
      <c r="N38" s="163"/>
      <c r="O38" s="259" t="str">
        <f>IF($O$24="Y",IFERROR(E38*$E$6*$O$16*'Emissions Factors'!B23,""),"")</f>
        <v/>
      </c>
      <c r="P38" s="259">
        <f>IF($P$24="Y",IFERROR($E38*('Emissions Factors'!$R$39*$P$16)/10^6,""),"")</f>
        <v>9.5364952201225481</v>
      </c>
      <c r="Q38" s="259"/>
      <c r="R38" s="258"/>
      <c r="T38" s="180">
        <f t="shared" si="2"/>
        <v>9.5364952201225481</v>
      </c>
      <c r="U38" s="180">
        <f t="shared" si="3"/>
        <v>0</v>
      </c>
      <c r="V38" s="177"/>
      <c r="X38" s="180">
        <f t="shared" si="4"/>
        <v>9.5364952201225481</v>
      </c>
      <c r="Y38" s="180">
        <f t="shared" si="5"/>
        <v>0</v>
      </c>
    </row>
    <row r="39" spans="1:25" ht="15.6" x14ac:dyDescent="0.3">
      <c r="A39" s="152">
        <v>2027</v>
      </c>
      <c r="B39" s="178">
        <f t="shared" si="0"/>
        <v>0</v>
      </c>
      <c r="C39" s="182">
        <f t="shared" si="7"/>
        <v>0</v>
      </c>
      <c r="D39" s="183"/>
      <c r="E39" s="179">
        <f t="shared" si="6"/>
        <v>74.908759457617933</v>
      </c>
      <c r="F39" s="183">
        <f t="shared" si="8"/>
        <v>16.340396097599012</v>
      </c>
      <c r="G39" s="247">
        <f t="shared" si="1"/>
        <v>0.54610000000000003</v>
      </c>
      <c r="H39" s="246"/>
      <c r="J39" s="182"/>
      <c r="K39" s="182"/>
      <c r="L39" s="182"/>
      <c r="M39" s="182"/>
      <c r="N39" s="163"/>
      <c r="O39" s="259" t="str">
        <f>IF($O$24="Y",IFERROR(E39*$E$6*$O$16*'Emissions Factors'!B24,""),"")</f>
        <v/>
      </c>
      <c r="P39" s="259">
        <f>IF($P$24="Y",IFERROR($E39*('Emissions Factors'!$R$39*$P$16)/10^6,""),"")</f>
        <v>12.197148520638674</v>
      </c>
      <c r="Q39" s="259"/>
      <c r="R39" s="258"/>
      <c r="T39" s="180">
        <f t="shared" si="2"/>
        <v>12.197148520638674</v>
      </c>
      <c r="U39" s="180">
        <f t="shared" si="3"/>
        <v>0</v>
      </c>
      <c r="V39" s="177"/>
      <c r="X39" s="180">
        <f t="shared" si="4"/>
        <v>12.197148520638674</v>
      </c>
      <c r="Y39" s="180">
        <f t="shared" si="5"/>
        <v>0</v>
      </c>
    </row>
    <row r="40" spans="1:25" ht="15.6" x14ac:dyDescent="0.3">
      <c r="A40" s="152">
        <v>2028</v>
      </c>
      <c r="B40" s="178">
        <f t="shared" si="0"/>
        <v>0</v>
      </c>
      <c r="C40" s="182">
        <f t="shared" si="7"/>
        <v>0</v>
      </c>
      <c r="D40" s="183"/>
      <c r="E40" s="179">
        <f t="shared" si="6"/>
        <v>93.361596845731583</v>
      </c>
      <c r="F40" s="183">
        <f t="shared" si="8"/>
        <v>18.45283738811365</v>
      </c>
      <c r="G40" s="247">
        <f t="shared" si="1"/>
        <v>0.54610000000000003</v>
      </c>
      <c r="H40" s="246"/>
      <c r="J40" s="182"/>
      <c r="K40" s="182"/>
      <c r="L40" s="182"/>
      <c r="M40" s="182"/>
      <c r="N40" s="163"/>
      <c r="O40" s="259" t="str">
        <f>IF($O$24="Y",IFERROR(E40*$E$6*$O$16*'Emissions Factors'!B25,""),"")</f>
        <v/>
      </c>
      <c r="P40" s="259">
        <f>IF($P$24="Y",IFERROR($E40*('Emissions Factors'!$R$39*$P$16)/10^6,""),"")</f>
        <v>15.201763733594621</v>
      </c>
      <c r="Q40" s="259"/>
      <c r="R40" s="258"/>
      <c r="T40" s="180">
        <f t="shared" si="2"/>
        <v>15.201763733594621</v>
      </c>
      <c r="U40" s="180">
        <f t="shared" si="3"/>
        <v>0</v>
      </c>
      <c r="V40" s="177"/>
      <c r="X40" s="180">
        <f t="shared" si="4"/>
        <v>15.201763733594621</v>
      </c>
      <c r="Y40" s="180">
        <f t="shared" si="5"/>
        <v>0</v>
      </c>
    </row>
    <row r="41" spans="1:25" ht="15.6" x14ac:dyDescent="0.3">
      <c r="A41" s="152">
        <v>2029</v>
      </c>
      <c r="B41" s="178">
        <f t="shared" si="0"/>
        <v>0</v>
      </c>
      <c r="C41" s="182">
        <f t="shared" si="7"/>
        <v>0</v>
      </c>
      <c r="D41" s="183"/>
      <c r="E41" s="179">
        <f t="shared" si="6"/>
        <v>114.07783475147573</v>
      </c>
      <c r="F41" s="183">
        <f t="shared" si="8"/>
        <v>20.716237905744151</v>
      </c>
      <c r="G41" s="247">
        <f t="shared" si="1"/>
        <v>0.54610000000000003</v>
      </c>
      <c r="H41" s="246"/>
      <c r="J41" s="182"/>
      <c r="K41" s="182"/>
      <c r="L41" s="182"/>
      <c r="M41" s="182"/>
      <c r="N41" s="163"/>
      <c r="O41" s="259" t="str">
        <f>IF($O$24="Y",IFERROR(E41*$E$6*$O$16*'Emissions Factors'!B26,""),"")</f>
        <v/>
      </c>
      <c r="P41" s="259">
        <f>IF($P$24="Y",IFERROR($E41*('Emissions Factors'!$R$39*$P$16)/10^6,""),"")</f>
        <v>18.574921056647174</v>
      </c>
      <c r="Q41" s="259"/>
      <c r="R41" s="258"/>
      <c r="T41" s="180">
        <f t="shared" si="2"/>
        <v>18.574921056647174</v>
      </c>
      <c r="U41" s="180">
        <f t="shared" si="3"/>
        <v>0</v>
      </c>
      <c r="V41" s="177"/>
      <c r="X41" s="180">
        <f t="shared" si="4"/>
        <v>18.574921056647174</v>
      </c>
      <c r="Y41" s="180">
        <f t="shared" si="5"/>
        <v>0</v>
      </c>
    </row>
    <row r="42" spans="1:25" ht="15.6" x14ac:dyDescent="0.3">
      <c r="A42" s="152">
        <v>2030</v>
      </c>
      <c r="B42" s="178">
        <f t="shared" si="0"/>
        <v>0</v>
      </c>
      <c r="C42" s="182">
        <f t="shared" si="7"/>
        <v>0</v>
      </c>
      <c r="D42" s="183"/>
      <c r="E42" s="179">
        <f t="shared" si="6"/>
        <v>137.22026487991053</v>
      </c>
      <c r="F42" s="183">
        <f t="shared" si="8"/>
        <v>23.142430128434796</v>
      </c>
      <c r="G42" s="247">
        <f t="shared" si="1"/>
        <v>0.54610000000000003</v>
      </c>
      <c r="H42" s="246"/>
      <c r="J42" s="182"/>
      <c r="K42" s="182"/>
      <c r="L42" s="182"/>
      <c r="M42" s="182"/>
      <c r="N42" s="163"/>
      <c r="O42" s="259" t="str">
        <f>IF($O$24="Y",IFERROR(E42*$E$6*$O$16*'Emissions Factors'!B27,""),"")</f>
        <v/>
      </c>
      <c r="P42" s="259">
        <f>IF($P$24="Y",IFERROR($E42*('Emissions Factors'!$R$39*$P$16)/10^6,""),"")</f>
        <v>22.343127331171409</v>
      </c>
      <c r="Q42" s="259"/>
      <c r="R42" s="258"/>
      <c r="T42" s="180">
        <f t="shared" si="2"/>
        <v>22.343127331171409</v>
      </c>
      <c r="U42" s="180">
        <f t="shared" si="3"/>
        <v>0</v>
      </c>
      <c r="V42" s="177"/>
      <c r="X42" s="180">
        <f t="shared" si="4"/>
        <v>22.343127331171409</v>
      </c>
      <c r="Y42" s="180">
        <f t="shared" si="5"/>
        <v>0</v>
      </c>
    </row>
    <row r="43" spans="1:25" ht="15.6" x14ac:dyDescent="0.3">
      <c r="A43" s="152">
        <v>2031</v>
      </c>
      <c r="B43" s="178">
        <f t="shared" si="0"/>
        <v>0</v>
      </c>
      <c r="C43" s="182">
        <f t="shared" si="7"/>
        <v>0</v>
      </c>
      <c r="D43" s="183"/>
      <c r="E43" s="179">
        <f t="shared" si="6"/>
        <v>162.93076536120529</v>
      </c>
      <c r="F43" s="183">
        <f t="shared" si="8"/>
        <v>25.710500481294758</v>
      </c>
      <c r="G43" s="247">
        <f t="shared" si="1"/>
        <v>0.54610000000000003</v>
      </c>
      <c r="H43" s="246"/>
      <c r="J43" s="182"/>
      <c r="K43" s="182"/>
      <c r="L43" s="182"/>
      <c r="M43" s="182"/>
      <c r="N43" s="163"/>
      <c r="O43" s="259" t="str">
        <f>IF($O$24="Y",IFERROR(E43*$E$6*$O$16*'Emissions Factors'!B28,""),"")</f>
        <v/>
      </c>
      <c r="P43" s="259">
        <f>IF($P$24="Y",IFERROR($E43*('Emissions Factors'!$R$39*$P$16)/10^6,""),"")</f>
        <v>26.529484109482905</v>
      </c>
      <c r="Q43" s="259"/>
      <c r="R43" s="258"/>
      <c r="T43" s="180">
        <f t="shared" si="2"/>
        <v>26.529484109482905</v>
      </c>
      <c r="U43" s="180">
        <f t="shared" si="3"/>
        <v>0</v>
      </c>
      <c r="V43" s="177"/>
      <c r="X43" s="180">
        <f t="shared" si="4"/>
        <v>26.529484109482905</v>
      </c>
      <c r="Y43" s="180">
        <f t="shared" si="5"/>
        <v>0</v>
      </c>
    </row>
    <row r="44" spans="1:25" ht="15.6" x14ac:dyDescent="0.3">
      <c r="A44" s="152">
        <v>2032</v>
      </c>
      <c r="B44" s="178">
        <f t="shared" si="0"/>
        <v>0</v>
      </c>
      <c r="C44" s="182">
        <f t="shared" si="7"/>
        <v>0</v>
      </c>
      <c r="D44" s="183"/>
      <c r="E44" s="179">
        <f t="shared" si="6"/>
        <v>191.25269862209188</v>
      </c>
      <c r="F44" s="183">
        <f t="shared" si="8"/>
        <v>28.321933260886595</v>
      </c>
      <c r="G44" s="247">
        <f t="shared" si="1"/>
        <v>0.54610000000000003</v>
      </c>
      <c r="H44" s="246"/>
      <c r="J44" s="182"/>
      <c r="K44" s="182"/>
      <c r="L44" s="182"/>
      <c r="M44" s="182"/>
      <c r="N44" s="163"/>
      <c r="O44" s="259" t="str">
        <f>IF($O$24="Y",IFERROR(E44*$E$6*$O$16*'Emissions Factors'!B29,""),"")</f>
        <v/>
      </c>
      <c r="P44" s="259">
        <f>IF($P$24="Y",IFERROR($E44*('Emissions Factors'!$R$39*$P$16)/10^6,""),"")</f>
        <v>31.141051953829571</v>
      </c>
      <c r="Q44" s="259"/>
      <c r="R44" s="258"/>
      <c r="T44" s="180">
        <f t="shared" si="2"/>
        <v>31.141051953829571</v>
      </c>
      <c r="U44" s="180">
        <f t="shared" si="3"/>
        <v>0</v>
      </c>
      <c r="V44" s="177"/>
      <c r="X44" s="180">
        <f t="shared" si="4"/>
        <v>31.141051953829571</v>
      </c>
      <c r="Y44" s="180">
        <f t="shared" si="5"/>
        <v>0</v>
      </c>
    </row>
    <row r="45" spans="1:25" ht="15.6" x14ac:dyDescent="0.3">
      <c r="A45" s="152">
        <v>2033</v>
      </c>
      <c r="B45" s="178">
        <f t="shared" si="0"/>
        <v>0</v>
      </c>
      <c r="C45" s="182">
        <f t="shared" si="7"/>
        <v>0</v>
      </c>
      <c r="D45" s="183"/>
      <c r="E45" s="179">
        <f t="shared" si="6"/>
        <v>222.05133535584849</v>
      </c>
      <c r="F45" s="183">
        <f t="shared" si="8"/>
        <v>30.798636733756609</v>
      </c>
      <c r="G45" s="247">
        <f t="shared" si="1"/>
        <v>0.54610000000000003</v>
      </c>
      <c r="H45" s="246"/>
      <c r="J45" s="182"/>
      <c r="K45" s="182"/>
      <c r="L45" s="182"/>
      <c r="M45" s="182"/>
      <c r="N45" s="163"/>
      <c r="O45" s="259" t="str">
        <f>IF($O$24="Y",IFERROR(E45*$E$6*$O$16*'Emissions Factors'!B30,""),"")</f>
        <v/>
      </c>
      <c r="P45" s="259">
        <f>IF($P$24="Y",IFERROR($E45*('Emissions Factors'!$R$39*$P$16)/10^6,""),"")</f>
        <v>36.155893331457335</v>
      </c>
      <c r="Q45" s="259"/>
      <c r="R45" s="258"/>
      <c r="T45" s="180">
        <f t="shared" si="2"/>
        <v>36.155893331457335</v>
      </c>
      <c r="U45" s="180">
        <f t="shared" si="3"/>
        <v>0</v>
      </c>
      <c r="V45" s="177"/>
      <c r="X45" s="180">
        <f t="shared" si="4"/>
        <v>36.155893331457335</v>
      </c>
      <c r="Y45" s="180">
        <f t="shared" si="5"/>
        <v>0</v>
      </c>
    </row>
    <row r="46" spans="1:25" ht="15.6" x14ac:dyDescent="0.3">
      <c r="A46" s="152">
        <v>2034</v>
      </c>
      <c r="B46" s="178">
        <f t="shared" si="0"/>
        <v>0</v>
      </c>
      <c r="C46" s="182">
        <f t="shared" si="7"/>
        <v>0</v>
      </c>
      <c r="D46" s="183"/>
      <c r="E46" s="179">
        <f t="shared" si="6"/>
        <v>255.0722832832482</v>
      </c>
      <c r="F46" s="183">
        <f t="shared" si="8"/>
        <v>33.020947927399703</v>
      </c>
      <c r="G46" s="247">
        <f t="shared" si="1"/>
        <v>0.54610000000000003</v>
      </c>
      <c r="H46" s="246"/>
      <c r="J46" s="182"/>
      <c r="K46" s="182"/>
      <c r="L46" s="182"/>
      <c r="M46" s="182"/>
      <c r="N46" s="163"/>
      <c r="O46" s="259" t="str">
        <f>IF($O$24="Y",IFERROR(E46*$E$6*$O$16*'Emissions Factors'!B31,""),"")</f>
        <v/>
      </c>
      <c r="P46" s="259">
        <f>IF($P$24="Y",IFERROR($E46*('Emissions Factors'!$R$39*$P$16)/10^6,""),"")</f>
        <v>41.532586378825783</v>
      </c>
      <c r="Q46" s="259"/>
      <c r="R46" s="258"/>
      <c r="T46" s="180">
        <f t="shared" si="2"/>
        <v>41.532586378825783</v>
      </c>
      <c r="U46" s="180">
        <f t="shared" si="3"/>
        <v>0</v>
      </c>
      <c r="V46" s="177"/>
      <c r="X46" s="180">
        <f t="shared" si="4"/>
        <v>41.532586378825783</v>
      </c>
      <c r="Y46" s="180">
        <f t="shared" si="5"/>
        <v>0</v>
      </c>
    </row>
    <row r="47" spans="1:25" ht="15.6" x14ac:dyDescent="0.3">
      <c r="A47" s="152">
        <v>2035</v>
      </c>
      <c r="B47" s="178">
        <f t="shared" si="0"/>
        <v>0</v>
      </c>
      <c r="C47" s="182">
        <f t="shared" si="7"/>
        <v>0</v>
      </c>
      <c r="D47" s="183"/>
      <c r="E47" s="179">
        <f t="shared" si="6"/>
        <v>290.1292646626959</v>
      </c>
      <c r="F47" s="183">
        <f t="shared" si="8"/>
        <v>35.056981379447706</v>
      </c>
      <c r="G47" s="247">
        <f t="shared" si="1"/>
        <v>0.54610000000000003</v>
      </c>
      <c r="H47" s="246"/>
      <c r="J47" s="182"/>
      <c r="K47" s="182"/>
      <c r="L47" s="182"/>
      <c r="M47" s="182"/>
      <c r="N47" s="163"/>
      <c r="O47" s="259" t="str">
        <f>IF($O$24="Y",IFERROR(E47*$E$6*$O$16*'Emissions Factors'!B32,""),"")</f>
        <v/>
      </c>
      <c r="P47" s="259">
        <f>IF($P$24="Y",IFERROR($E47*('Emissions Factors'!$R$39*$P$16)/10^6,""),"")</f>
        <v>47.240800099976973</v>
      </c>
      <c r="Q47" s="259"/>
      <c r="R47" s="258"/>
      <c r="T47" s="180">
        <f t="shared" si="2"/>
        <v>47.240800099976973</v>
      </c>
      <c r="U47" s="180">
        <f t="shared" si="3"/>
        <v>0</v>
      </c>
      <c r="V47" s="177"/>
      <c r="X47" s="180">
        <f t="shared" si="4"/>
        <v>47.240800099976973</v>
      </c>
      <c r="Y47" s="180">
        <f t="shared" si="5"/>
        <v>0</v>
      </c>
    </row>
    <row r="48" spans="1:25" ht="15.6" x14ac:dyDescent="0.3">
      <c r="A48" s="152">
        <v>2036</v>
      </c>
      <c r="B48" s="178">
        <f t="shared" si="0"/>
        <v>0</v>
      </c>
      <c r="C48" s="182">
        <f t="shared" si="7"/>
        <v>0</v>
      </c>
      <c r="D48" s="183"/>
      <c r="E48" s="179">
        <f t="shared" si="6"/>
        <v>327.18021915358656</v>
      </c>
      <c r="F48" s="183">
        <f t="shared" si="8"/>
        <v>37.050954490890661</v>
      </c>
      <c r="G48" s="247">
        <f t="shared" si="1"/>
        <v>0.54610000000000003</v>
      </c>
      <c r="H48" s="246"/>
      <c r="J48" s="182"/>
      <c r="K48" s="182"/>
      <c r="L48" s="182"/>
      <c r="M48" s="182"/>
      <c r="N48" s="163"/>
      <c r="O48" s="259" t="str">
        <f>IF($O$24="Y",IFERROR(E48*$E$6*$O$16*'Emissions Factors'!B33,""),"")</f>
        <v/>
      </c>
      <c r="P48" s="259">
        <f>IF($P$24="Y",IFERROR($E48*('Emissions Factors'!$R$39*$P$16)/10^6,""),"")</f>
        <v>53.27368594709214</v>
      </c>
      <c r="Q48" s="259"/>
      <c r="R48" s="258"/>
      <c r="T48" s="180">
        <f t="shared" si="2"/>
        <v>53.27368594709214</v>
      </c>
      <c r="U48" s="180">
        <f t="shared" si="3"/>
        <v>0</v>
      </c>
      <c r="V48" s="177"/>
      <c r="X48" s="180">
        <f t="shared" si="4"/>
        <v>53.27368594709214</v>
      </c>
      <c r="Y48" s="180">
        <f t="shared" si="5"/>
        <v>0</v>
      </c>
    </row>
    <row r="49" spans="1:25" ht="15.6" x14ac:dyDescent="0.3">
      <c r="A49" s="152">
        <v>2037</v>
      </c>
      <c r="B49" s="178">
        <f t="shared" si="0"/>
        <v>0</v>
      </c>
      <c r="C49" s="182">
        <f t="shared" si="7"/>
        <v>0</v>
      </c>
      <c r="D49" s="183"/>
      <c r="E49" s="179">
        <f t="shared" si="6"/>
        <v>366.37109485933723</v>
      </c>
      <c r="F49" s="183">
        <f t="shared" si="8"/>
        <v>39.19087570575067</v>
      </c>
      <c r="G49" s="247">
        <f t="shared" si="1"/>
        <v>0.54610000000000003</v>
      </c>
      <c r="H49" s="246"/>
      <c r="J49" s="182"/>
      <c r="K49" s="182"/>
      <c r="L49" s="182"/>
      <c r="M49" s="182"/>
      <c r="N49" s="163"/>
      <c r="O49" s="259" t="str">
        <f>IF($O$24="Y",IFERROR(E49*$E$6*$O$16*'Emissions Factors'!B34,""),"")</f>
        <v/>
      </c>
      <c r="P49" s="259">
        <f>IF($P$24="Y",IFERROR($E49*('Emissions Factors'!$R$39*$P$16)/10^6,""),"")</f>
        <v>59.655008172931225</v>
      </c>
      <c r="Q49" s="259"/>
      <c r="R49" s="258"/>
      <c r="T49" s="180">
        <f t="shared" si="2"/>
        <v>59.655008172931225</v>
      </c>
      <c r="U49" s="180">
        <f t="shared" si="3"/>
        <v>0</v>
      </c>
      <c r="V49" s="177"/>
      <c r="X49" s="180">
        <f t="shared" si="4"/>
        <v>59.655008172931225</v>
      </c>
      <c r="Y49" s="180">
        <f t="shared" si="5"/>
        <v>0</v>
      </c>
    </row>
    <row r="50" spans="1:25" ht="15.6" x14ac:dyDescent="0.3">
      <c r="A50" s="152">
        <v>2038</v>
      </c>
      <c r="B50" s="178">
        <f t="shared" si="0"/>
        <v>0</v>
      </c>
      <c r="C50" s="182">
        <f t="shared" si="7"/>
        <v>0</v>
      </c>
      <c r="D50" s="183"/>
      <c r="E50" s="179">
        <f t="shared" si="6"/>
        <v>407.93645924384992</v>
      </c>
      <c r="F50" s="183">
        <f t="shared" si="8"/>
        <v>41.565364384512691</v>
      </c>
      <c r="G50" s="247">
        <f t="shared" si="1"/>
        <v>0.54610000000000003</v>
      </c>
      <c r="H50" s="246"/>
      <c r="J50" s="182"/>
      <c r="K50" s="182"/>
      <c r="L50" s="182"/>
      <c r="M50" s="182"/>
      <c r="N50" s="163"/>
      <c r="O50" s="259" t="str">
        <f>IF($O$24="Y",IFERROR(E50*$E$6*$O$16*'Emissions Factors'!B35,""),"")</f>
        <v/>
      </c>
      <c r="P50" s="259">
        <f>IF($P$24="Y",IFERROR($E50*('Emissions Factors'!$R$39*$P$16)/10^6,""),"")</f>
        <v>66.422960631137485</v>
      </c>
      <c r="Q50" s="259"/>
      <c r="R50" s="258"/>
      <c r="T50" s="180">
        <f t="shared" si="2"/>
        <v>66.422960631137485</v>
      </c>
      <c r="U50" s="180">
        <f t="shared" si="3"/>
        <v>0</v>
      </c>
      <c r="V50" s="177"/>
      <c r="X50" s="180">
        <f t="shared" si="4"/>
        <v>66.422960631137485</v>
      </c>
      <c r="Y50" s="180">
        <f t="shared" si="5"/>
        <v>0</v>
      </c>
    </row>
    <row r="51" spans="1:25" ht="15.6" x14ac:dyDescent="0.3">
      <c r="A51" s="152">
        <v>2039</v>
      </c>
      <c r="B51" s="178">
        <f t="shared" si="0"/>
        <v>0</v>
      </c>
      <c r="C51" s="182">
        <f t="shared" si="7"/>
        <v>0</v>
      </c>
      <c r="D51" s="183"/>
      <c r="E51" s="179">
        <f t="shared" si="6"/>
        <v>452.23995138539829</v>
      </c>
      <c r="F51" s="183">
        <f t="shared" si="8"/>
        <v>44.303492141548361</v>
      </c>
      <c r="G51" s="247">
        <f t="shared" si="1"/>
        <v>0.54610000000000003</v>
      </c>
      <c r="H51" s="246"/>
      <c r="J51" s="182"/>
      <c r="K51" s="182"/>
      <c r="L51" s="182"/>
      <c r="M51" s="182"/>
      <c r="N51" s="163"/>
      <c r="O51" s="259" t="str">
        <f>IF($O$24="Y",IFERROR(E51*$E$6*$O$16*'Emissions Factors'!B36,""),"")</f>
        <v/>
      </c>
      <c r="P51" s="259">
        <f>IF($P$24="Y",IFERROR($E51*('Emissions Factors'!$R$39*$P$16)/10^6,""),"")</f>
        <v>73.636753484550695</v>
      </c>
      <c r="Q51" s="259"/>
      <c r="R51" s="258"/>
      <c r="T51" s="180">
        <f t="shared" si="2"/>
        <v>73.636753484550695</v>
      </c>
      <c r="U51" s="180">
        <f t="shared" si="3"/>
        <v>0</v>
      </c>
      <c r="V51" s="177"/>
      <c r="X51" s="180">
        <f t="shared" si="4"/>
        <v>73.636753484550695</v>
      </c>
      <c r="Y51" s="180">
        <f t="shared" si="5"/>
        <v>0</v>
      </c>
    </row>
    <row r="52" spans="1:25" ht="15.6" x14ac:dyDescent="0.3">
      <c r="A52" s="152">
        <v>2040</v>
      </c>
      <c r="B52" s="178">
        <f t="shared" si="0"/>
        <v>0</v>
      </c>
      <c r="C52" s="182">
        <f t="shared" si="7"/>
        <v>0</v>
      </c>
      <c r="D52" s="183"/>
      <c r="E52" s="179">
        <f t="shared" si="6"/>
        <v>499.63650779842698</v>
      </c>
      <c r="F52" s="183">
        <f t="shared" si="8"/>
        <v>47.396556413028691</v>
      </c>
      <c r="G52" s="247">
        <f t="shared" si="1"/>
        <v>0.54610000000000003</v>
      </c>
      <c r="H52" s="246"/>
      <c r="J52" s="182"/>
      <c r="K52" s="182"/>
      <c r="L52" s="182"/>
      <c r="M52" s="182"/>
      <c r="N52" s="163"/>
      <c r="O52" s="259" t="str">
        <f>IF($O$24="Y",IFERROR(E52*$E$6*$O$16*'Emissions Factors'!B37,""),"")</f>
        <v/>
      </c>
      <c r="P52" s="259">
        <f>IF($P$24="Y",IFERROR($E52*('Emissions Factors'!$R$39*$P$16)/10^6,""),"")</f>
        <v>81.354179885980045</v>
      </c>
      <c r="Q52" s="259"/>
      <c r="R52" s="258"/>
      <c r="T52" s="180">
        <f t="shared" si="2"/>
        <v>81.354179885980045</v>
      </c>
      <c r="U52" s="180">
        <f t="shared" si="3"/>
        <v>0</v>
      </c>
      <c r="V52" s="177"/>
      <c r="X52" s="180">
        <f t="shared" si="4"/>
        <v>81.354179885980045</v>
      </c>
      <c r="Y52" s="180">
        <f t="shared" si="5"/>
        <v>0</v>
      </c>
    </row>
    <row r="53" spans="1:25" ht="15.6" x14ac:dyDescent="0.3">
      <c r="A53" s="152">
        <v>2041</v>
      </c>
      <c r="B53" s="178">
        <f t="shared" si="0"/>
        <v>0</v>
      </c>
      <c r="C53" s="182">
        <f t="shared" si="7"/>
        <v>0</v>
      </c>
      <c r="D53" s="183"/>
      <c r="E53" s="179">
        <f t="shared" si="6"/>
        <v>550.3367540420362</v>
      </c>
      <c r="F53" s="183">
        <f t="shared" si="8"/>
        <v>50.700246243609229</v>
      </c>
      <c r="G53" s="247">
        <f t="shared" si="1"/>
        <v>0.54610000000000003</v>
      </c>
      <c r="H53" s="246"/>
      <c r="J53" s="182"/>
      <c r="K53" s="182"/>
      <c r="L53" s="182"/>
      <c r="M53" s="182"/>
      <c r="N53" s="163"/>
      <c r="O53" s="259" t="str">
        <f>IF($O$24="Y",IFERROR(E53*$E$6*$O$16*'Emissions Factors'!B38,""),"")</f>
        <v/>
      </c>
      <c r="P53" s="259">
        <f>IF($P$24="Y",IFERROR($E53*('Emissions Factors'!$R$39*$P$16)/10^6,""),"")</f>
        <v>89.609535306945631</v>
      </c>
      <c r="Q53" s="259"/>
      <c r="R53" s="258"/>
      <c r="T53" s="180">
        <f t="shared" si="2"/>
        <v>89.609535306945631</v>
      </c>
      <c r="U53" s="180">
        <f t="shared" si="3"/>
        <v>0</v>
      </c>
      <c r="V53" s="177"/>
      <c r="X53" s="180">
        <f t="shared" si="4"/>
        <v>89.609535306945631</v>
      </c>
      <c r="Y53" s="180">
        <f t="shared" si="5"/>
        <v>0</v>
      </c>
    </row>
    <row r="54" spans="1:25" ht="15.6" x14ac:dyDescent="0.3">
      <c r="A54" s="152">
        <v>2042</v>
      </c>
      <c r="B54" s="178">
        <f t="shared" si="0"/>
        <v>0</v>
      </c>
      <c r="C54" s="182">
        <f t="shared" si="7"/>
        <v>0</v>
      </c>
      <c r="D54" s="183"/>
      <c r="E54" s="179">
        <f t="shared" si="6"/>
        <v>604.51695031516124</v>
      </c>
      <c r="F54" s="183">
        <f t="shared" si="8"/>
        <v>54.180196273125034</v>
      </c>
      <c r="G54" s="247">
        <f t="shared" si="1"/>
        <v>0.54610000000000003</v>
      </c>
      <c r="H54" s="246"/>
      <c r="J54" s="182"/>
      <c r="K54" s="182"/>
      <c r="L54" s="182"/>
      <c r="M54" s="182"/>
      <c r="N54" s="163"/>
      <c r="O54" s="259" t="str">
        <f>IF($O$24="Y",IFERROR(E54*$E$6*$O$16*'Emissions Factors'!B39,""),"")</f>
        <v/>
      </c>
      <c r="P54" s="259">
        <f>IF($P$24="Y",IFERROR($E54*('Emissions Factors'!$R$39*$P$16)/10^6,""),"")</f>
        <v>98.431519619668833</v>
      </c>
      <c r="Q54" s="259"/>
      <c r="R54" s="258"/>
      <c r="T54" s="180">
        <f t="shared" si="2"/>
        <v>98.431519619668833</v>
      </c>
      <c r="U54" s="180">
        <f t="shared" si="3"/>
        <v>0</v>
      </c>
      <c r="V54" s="177"/>
      <c r="X54" s="180">
        <f t="shared" si="4"/>
        <v>98.431519619668833</v>
      </c>
      <c r="Y54" s="180">
        <f t="shared" si="5"/>
        <v>0</v>
      </c>
    </row>
    <row r="55" spans="1:25" ht="15.6" x14ac:dyDescent="0.3">
      <c r="A55" s="152">
        <v>2043</v>
      </c>
      <c r="B55" s="178">
        <f t="shared" si="0"/>
        <v>0</v>
      </c>
      <c r="C55" s="182">
        <f t="shared" si="7"/>
        <v>0</v>
      </c>
      <c r="D55" s="183"/>
      <c r="E55" s="179">
        <f t="shared" si="6"/>
        <v>662.50880926794503</v>
      </c>
      <c r="F55" s="183">
        <f t="shared" si="8"/>
        <v>57.991858952783787</v>
      </c>
      <c r="G55" s="247">
        <f t="shared" si="1"/>
        <v>0.54610000000000003</v>
      </c>
      <c r="H55" s="246"/>
      <c r="J55" s="182"/>
      <c r="K55" s="182"/>
      <c r="L55" s="182"/>
      <c r="M55" s="182"/>
      <c r="N55" s="163"/>
      <c r="O55" s="259" t="str">
        <f>IF($O$24="Y",IFERROR(E55*$E$6*$O$16*'Emissions Factors'!B40,""),"")</f>
        <v/>
      </c>
      <c r="P55" s="259">
        <f>IF($P$24="Y",IFERROR($E55*('Emissions Factors'!$R$39*$P$16)/10^6,""),"")</f>
        <v>107.87414451102391</v>
      </c>
      <c r="Q55" s="259"/>
      <c r="R55" s="258"/>
      <c r="T55" s="180">
        <f t="shared" si="2"/>
        <v>107.87414451102391</v>
      </c>
      <c r="U55" s="180">
        <f t="shared" si="3"/>
        <v>0</v>
      </c>
      <c r="V55" s="177"/>
      <c r="X55" s="180">
        <f t="shared" si="4"/>
        <v>107.87414451102391</v>
      </c>
      <c r="Y55" s="180">
        <f t="shared" si="5"/>
        <v>0</v>
      </c>
    </row>
    <row r="56" spans="1:25" ht="15.6" x14ac:dyDescent="0.3">
      <c r="A56" s="152">
        <v>2044</v>
      </c>
      <c r="B56" s="178">
        <f t="shared" si="0"/>
        <v>0</v>
      </c>
      <c r="C56" s="182">
        <f t="shared" si="7"/>
        <v>0</v>
      </c>
      <c r="D56" s="183"/>
      <c r="E56" s="179">
        <f t="shared" si="6"/>
        <v>724.69368721550927</v>
      </c>
      <c r="F56" s="183">
        <f t="shared" si="8"/>
        <v>62.184877947564246</v>
      </c>
      <c r="G56" s="247">
        <f t="shared" si="1"/>
        <v>0.54610000000000003</v>
      </c>
      <c r="H56" s="246"/>
      <c r="J56" s="182"/>
      <c r="K56" s="182"/>
      <c r="L56" s="182"/>
      <c r="M56" s="182"/>
      <c r="N56" s="163"/>
      <c r="O56" s="259" t="str">
        <f>IF($O$24="Y",IFERROR(E56*$E$6*$O$16*'Emissions Factors'!B41,""),"")</f>
        <v/>
      </c>
      <c r="P56" s="259">
        <f>IF($P$24="Y",IFERROR($E56*('Emissions Factors'!$R$39*$P$16)/10^6,""),"")</f>
        <v>117.99950498363143</v>
      </c>
      <c r="Q56" s="259"/>
      <c r="R56" s="258"/>
      <c r="T56" s="180">
        <f t="shared" si="2"/>
        <v>117.99950498363143</v>
      </c>
      <c r="U56" s="180">
        <f t="shared" si="3"/>
        <v>0</v>
      </c>
      <c r="V56" s="177"/>
      <c r="X56" s="180">
        <f t="shared" si="4"/>
        <v>117.99950498363143</v>
      </c>
      <c r="Y56" s="180">
        <f t="shared" si="5"/>
        <v>0</v>
      </c>
    </row>
    <row r="57" spans="1:25" ht="15.6" x14ac:dyDescent="0.3">
      <c r="A57" s="152">
        <v>2045</v>
      </c>
      <c r="B57" s="178">
        <f t="shared" si="0"/>
        <v>0</v>
      </c>
      <c r="C57" s="182">
        <f t="shared" si="7"/>
        <v>0</v>
      </c>
      <c r="D57" s="183"/>
      <c r="E57" s="179">
        <f t="shared" si="6"/>
        <v>791.46062412855736</v>
      </c>
      <c r="F57" s="183">
        <f t="shared" si="8"/>
        <v>66.766936913048085</v>
      </c>
      <c r="G57" s="247">
        <f t="shared" si="1"/>
        <v>0.54610000000000003</v>
      </c>
      <c r="H57" s="246"/>
      <c r="J57" s="182"/>
      <c r="K57" s="182"/>
      <c r="L57" s="182"/>
      <c r="M57" s="182"/>
      <c r="N57" s="163"/>
      <c r="O57" s="259" t="str">
        <f>IF($O$24="Y",IFERROR(E57*$E$6*$O$16*'Emissions Factors'!B42,""),"")</f>
        <v/>
      </c>
      <c r="P57" s="259">
        <f>IF($P$24="Y",IFERROR($E57*('Emissions Factors'!$R$39*$P$16)/10^6,""),"")</f>
        <v>128.8709471446422</v>
      </c>
      <c r="Q57" s="259"/>
      <c r="R57" s="258"/>
      <c r="T57" s="180">
        <f t="shared" si="2"/>
        <v>128.8709471446422</v>
      </c>
      <c r="U57" s="180">
        <f t="shared" si="3"/>
        <v>0</v>
      </c>
      <c r="V57" s="177"/>
      <c r="X57" s="180">
        <f t="shared" si="4"/>
        <v>128.8709471446422</v>
      </c>
      <c r="Y57" s="180">
        <f t="shared" si="5"/>
        <v>0</v>
      </c>
    </row>
    <row r="58" spans="1:25" ht="15.6" x14ac:dyDescent="0.3">
      <c r="A58" s="152">
        <v>2046</v>
      </c>
      <c r="B58" s="178">
        <f t="shared" si="0"/>
        <v>0</v>
      </c>
      <c r="C58" s="182">
        <f t="shared" si="7"/>
        <v>0</v>
      </c>
      <c r="D58" s="183"/>
      <c r="E58" s="179">
        <f t="shared" si="6"/>
        <v>863.15567653191738</v>
      </c>
      <c r="F58" s="183">
        <f t="shared" si="8"/>
        <v>71.695052403360023</v>
      </c>
      <c r="G58" s="247">
        <f t="shared" si="1"/>
        <v>0.54610000000000003</v>
      </c>
      <c r="H58" s="246"/>
      <c r="J58" s="182"/>
      <c r="K58" s="182"/>
      <c r="L58" s="182"/>
      <c r="M58" s="182"/>
      <c r="N58" s="163"/>
      <c r="O58" s="259" t="str">
        <f>IF($O$24="Y",IFERROR(E58*$E$6*$O$16*'Emissions Factors'!B43,""),"")</f>
        <v/>
      </c>
      <c r="P58" s="259">
        <f>IF($P$24="Y",IFERROR($E58*('Emissions Factors'!$R$39*$P$16)/10^6,""),"")</f>
        <v>140.54481824717348</v>
      </c>
      <c r="Q58" s="259"/>
      <c r="R58" s="258"/>
      <c r="T58" s="180">
        <f t="shared" si="2"/>
        <v>140.54481824717348</v>
      </c>
      <c r="U58" s="180">
        <f t="shared" si="3"/>
        <v>0</v>
      </c>
      <c r="V58" s="177"/>
      <c r="X58" s="180">
        <f t="shared" si="4"/>
        <v>140.54481824717348</v>
      </c>
      <c r="Y58" s="180">
        <f t="shared" si="5"/>
        <v>0</v>
      </c>
    </row>
    <row r="59" spans="1:25" ht="15.6" x14ac:dyDescent="0.3">
      <c r="A59" s="152">
        <v>2047</v>
      </c>
      <c r="B59" s="178">
        <f t="shared" si="0"/>
        <v>0</v>
      </c>
      <c r="C59" s="182">
        <f t="shared" si="7"/>
        <v>0</v>
      </c>
      <c r="D59" s="183"/>
      <c r="E59" s="179">
        <f t="shared" si="6"/>
        <v>940.1291787880358</v>
      </c>
      <c r="F59" s="183">
        <f t="shared" si="8"/>
        <v>76.973502256118422</v>
      </c>
      <c r="G59" s="247">
        <f t="shared" si="1"/>
        <v>0.54610000000000003</v>
      </c>
      <c r="H59" s="246"/>
      <c r="J59" s="182"/>
      <c r="K59" s="182"/>
      <c r="L59" s="182"/>
      <c r="M59" s="182"/>
      <c r="N59" s="163"/>
      <c r="O59" s="259" t="str">
        <f>IF($O$24="Y",IFERROR(E59*$E$6*$O$16*'Emissions Factors'!B44,""),"")</f>
        <v/>
      </c>
      <c r="P59" s="259">
        <f>IF($P$24="Y",IFERROR($E59*('Emissions Factors'!$R$39*$P$16)/10^6,""),"")</f>
        <v>153.07816209066328</v>
      </c>
      <c r="Q59" s="259"/>
      <c r="R59" s="258"/>
      <c r="T59" s="180">
        <f t="shared" si="2"/>
        <v>153.07816209066328</v>
      </c>
      <c r="U59" s="180">
        <f t="shared" si="3"/>
        <v>0</v>
      </c>
      <c r="V59" s="177"/>
      <c r="X59" s="180">
        <f t="shared" si="4"/>
        <v>153.07816209066328</v>
      </c>
      <c r="Y59" s="180">
        <f t="shared" si="5"/>
        <v>0</v>
      </c>
    </row>
    <row r="60" spans="1:25" ht="15.6" x14ac:dyDescent="0.3">
      <c r="A60" s="152">
        <v>2048</v>
      </c>
      <c r="B60" s="178">
        <f t="shared" si="0"/>
        <v>0</v>
      </c>
      <c r="C60" s="182">
        <f t="shared" si="7"/>
        <v>0</v>
      </c>
      <c r="D60" s="183"/>
      <c r="E60" s="179">
        <f t="shared" si="6"/>
        <v>1022.8037539812636</v>
      </c>
      <c r="F60" s="183">
        <f t="shared" si="8"/>
        <v>82.674575193227838</v>
      </c>
      <c r="G60" s="247">
        <f t="shared" si="1"/>
        <v>0.54610000000000003</v>
      </c>
      <c r="H60" s="246"/>
      <c r="J60" s="182"/>
      <c r="K60" s="182"/>
      <c r="L60" s="182"/>
      <c r="M60" s="182"/>
      <c r="N60" s="163"/>
      <c r="O60" s="259" t="str">
        <f>IF($O$24="Y",IFERROR(E60*$E$6*$O$16*'Emissions Factors'!B45,""),"")</f>
        <v/>
      </c>
      <c r="P60" s="259">
        <f>IF($P$24="Y",IFERROR($E60*('Emissions Factors'!$R$39*$P$16)/10^6,""),"")</f>
        <v>166.5397930109169</v>
      </c>
      <c r="Q60" s="259"/>
      <c r="R60" s="258"/>
      <c r="T60" s="180">
        <f t="shared" si="2"/>
        <v>166.5397930109169</v>
      </c>
      <c r="U60" s="180">
        <f t="shared" si="3"/>
        <v>0</v>
      </c>
      <c r="V60" s="177"/>
      <c r="X60" s="180">
        <f t="shared" si="4"/>
        <v>166.5397930109169</v>
      </c>
      <c r="Y60" s="180">
        <f t="shared" si="5"/>
        <v>0</v>
      </c>
    </row>
    <row r="61" spans="1:25" ht="15.6" x14ac:dyDescent="0.3">
      <c r="A61" s="152">
        <v>2049</v>
      </c>
      <c r="B61" s="178">
        <f t="shared" si="0"/>
        <v>0</v>
      </c>
      <c r="C61" s="182">
        <f t="shared" si="7"/>
        <v>0</v>
      </c>
      <c r="D61" s="183"/>
      <c r="E61" s="179">
        <f t="shared" si="6"/>
        <v>1111.6331219810415</v>
      </c>
      <c r="F61" s="183">
        <f t="shared" si="8"/>
        <v>88.829367999777901</v>
      </c>
      <c r="G61" s="247">
        <f t="shared" si="1"/>
        <v>0.54610000000000003</v>
      </c>
      <c r="H61" s="246"/>
      <c r="J61" s="182"/>
      <c r="K61" s="182"/>
      <c r="L61" s="182"/>
      <c r="M61" s="182"/>
      <c r="N61" s="163"/>
      <c r="O61" s="259" t="str">
        <f>IF($O$24="Y",IFERROR(E61*$E$6*$O$16*'Emissions Factors'!B46,""),"")</f>
        <v/>
      </c>
      <c r="P61" s="259">
        <f>IF($P$24="Y",IFERROR($E61*('Emissions Factors'!$R$39*$P$16)/10^6,""),"")</f>
        <v>181.00358873163984</v>
      </c>
      <c r="Q61" s="259"/>
      <c r="R61" s="258"/>
      <c r="T61" s="180">
        <f t="shared" si="2"/>
        <v>181.00358873163984</v>
      </c>
      <c r="U61" s="180">
        <f t="shared" si="3"/>
        <v>0</v>
      </c>
      <c r="V61" s="177"/>
      <c r="X61" s="180">
        <f t="shared" si="4"/>
        <v>181.00358873163984</v>
      </c>
      <c r="Y61" s="180">
        <f t="shared" si="5"/>
        <v>0</v>
      </c>
    </row>
    <row r="62" spans="1:25" ht="15.6" x14ac:dyDescent="0.3">
      <c r="A62" s="152">
        <v>2050</v>
      </c>
      <c r="B62" s="178">
        <f t="shared" si="0"/>
        <v>0</v>
      </c>
      <c r="C62" s="182">
        <f t="shared" si="7"/>
        <v>0</v>
      </c>
      <c r="D62" s="183"/>
      <c r="E62" s="179">
        <f t="shared" si="6"/>
        <v>1207.0711659430337</v>
      </c>
      <c r="F62" s="183">
        <f t="shared" si="8"/>
        <v>95.438043961992207</v>
      </c>
      <c r="G62" s="247">
        <f t="shared" si="1"/>
        <v>0.54610000000000003</v>
      </c>
      <c r="H62" s="246"/>
      <c r="J62" s="182"/>
      <c r="K62" s="182"/>
      <c r="L62" s="182"/>
      <c r="M62" s="182"/>
      <c r="N62" s="163"/>
      <c r="O62" s="259" t="str">
        <f>IF($O$24="Y",IFERROR(E62*$E$6*$O$16*'Emissions Factors'!B47,""),"")</f>
        <v/>
      </c>
      <c r="P62" s="259">
        <f>IF($P$24="Y",IFERROR($E62*('Emissions Factors'!$R$39*$P$16)/10^6,""),"")</f>
        <v>196.54345356389987</v>
      </c>
      <c r="Q62" s="259"/>
      <c r="R62" s="258"/>
      <c r="T62" s="180">
        <f t="shared" si="2"/>
        <v>196.54345356389987</v>
      </c>
      <c r="U62" s="180">
        <f t="shared" si="3"/>
        <v>0</v>
      </c>
      <c r="V62" s="177"/>
      <c r="X62" s="180">
        <f t="shared" si="4"/>
        <v>196.54345356389987</v>
      </c>
      <c r="Y62" s="180">
        <f t="shared" si="5"/>
        <v>0</v>
      </c>
    </row>
    <row r="63" spans="1:25" ht="15.6" x14ac:dyDescent="0.3">
      <c r="A63" s="152">
        <v>2051</v>
      </c>
      <c r="B63" s="178">
        <f t="shared" si="0"/>
        <v>0</v>
      </c>
      <c r="C63" s="182">
        <f t="shared" si="7"/>
        <v>0</v>
      </c>
      <c r="D63" s="183"/>
      <c r="E63" s="179">
        <f t="shared" si="6"/>
        <v>1309.5570172380153</v>
      </c>
      <c r="F63" s="183">
        <f t="shared" si="8"/>
        <v>102.48585129498156</v>
      </c>
      <c r="G63" s="247">
        <f t="shared" si="1"/>
        <v>0.54610000000000003</v>
      </c>
      <c r="H63" s="246"/>
      <c r="J63" s="182"/>
      <c r="K63" s="182"/>
      <c r="L63" s="182"/>
      <c r="M63" s="182"/>
      <c r="N63" s="163"/>
      <c r="O63" s="259" t="str">
        <f>IF($O$24="Y",IFERROR(E63*$E$6*$O$16*'Emissions Factors'!B48,""),"")</f>
        <v/>
      </c>
      <c r="P63" s="259">
        <f>IF($P$24="Y",IFERROR($E63*('Emissions Factors'!$R$39*$P$16)/10^6,""),"")</f>
        <v>213.23088983383604</v>
      </c>
      <c r="Q63" s="259"/>
      <c r="R63" s="258"/>
      <c r="T63" s="180" t="str">
        <f t="shared" si="2"/>
        <v/>
      </c>
      <c r="U63" s="180" t="str">
        <f t="shared" si="3"/>
        <v/>
      </c>
      <c r="V63" s="177"/>
      <c r="X63" s="180">
        <f t="shared" si="4"/>
        <v>213.23088983383604</v>
      </c>
      <c r="Y63" s="180">
        <f t="shared" si="5"/>
        <v>0</v>
      </c>
    </row>
    <row r="64" spans="1:25" ht="15.6" x14ac:dyDescent="0.3">
      <c r="A64" s="152">
        <v>2052</v>
      </c>
      <c r="B64" s="178">
        <f t="shared" si="0"/>
        <v>0</v>
      </c>
      <c r="C64" s="182">
        <f t="shared" si="7"/>
        <v>0</v>
      </c>
      <c r="D64" s="183"/>
      <c r="E64" s="179">
        <f t="shared" si="6"/>
        <v>1419.5081178100322</v>
      </c>
      <c r="F64" s="183">
        <f t="shared" si="8"/>
        <v>109.95110057201691</v>
      </c>
      <c r="G64" s="247">
        <f t="shared" si="1"/>
        <v>0.54610000000000003</v>
      </c>
      <c r="H64" s="246"/>
      <c r="J64" s="182"/>
      <c r="K64" s="182"/>
      <c r="L64" s="182"/>
      <c r="M64" s="182"/>
      <c r="N64" s="163"/>
      <c r="O64" s="259" t="str">
        <f>IF($O$24="Y",IFERROR(E64*$E$6*$O$16*'Emissions Factors'!B49,""),"")</f>
        <v/>
      </c>
      <c r="P64" s="259">
        <f>IF($P$24="Y",IFERROR($E64*('Emissions Factors'!$R$39*$P$16)/10^6,""),"")</f>
        <v>231.13386824910853</v>
      </c>
      <c r="Q64" s="259"/>
      <c r="R64" s="258"/>
      <c r="T64" s="180" t="str">
        <f t="shared" si="2"/>
        <v/>
      </c>
      <c r="U64" s="180" t="str">
        <f t="shared" si="3"/>
        <v/>
      </c>
      <c r="V64" s="177"/>
      <c r="X64" s="180">
        <f t="shared" si="4"/>
        <v>231.13386824910853</v>
      </c>
      <c r="Y64" s="180">
        <f t="shared" si="5"/>
        <v>0</v>
      </c>
    </row>
    <row r="65" spans="1:25" ht="15.6" x14ac:dyDescent="0.3">
      <c r="A65" s="152">
        <v>2053</v>
      </c>
      <c r="B65" s="178">
        <f t="shared" si="0"/>
        <v>0</v>
      </c>
      <c r="C65" s="182">
        <f t="shared" si="7"/>
        <v>0</v>
      </c>
      <c r="D65" s="183"/>
      <c r="E65" s="179">
        <f t="shared" si="6"/>
        <v>1537.3389061164075</v>
      </c>
      <c r="F65" s="183">
        <f t="shared" si="8"/>
        <v>117.83078830637533</v>
      </c>
      <c r="G65" s="247">
        <f t="shared" si="1"/>
        <v>0.54610000000000003</v>
      </c>
      <c r="H65" s="246"/>
      <c r="J65" s="182"/>
      <c r="K65" s="182"/>
      <c r="L65" s="182"/>
      <c r="M65" s="182"/>
      <c r="N65" s="163"/>
      <c r="O65" s="259" t="str">
        <f>IF($O$24="Y",IFERROR(E65*$E$6*$O$16*'Emissions Factors'!B50,""),"")</f>
        <v/>
      </c>
      <c r="P65" s="259">
        <f>IF($P$24="Y",IFERROR($E65*('Emissions Factors'!$R$39*$P$16)/10^6,""),"")</f>
        <v>250.3198704694488</v>
      </c>
      <c r="Q65" s="259"/>
      <c r="R65" s="258"/>
      <c r="T65" s="180" t="str">
        <f t="shared" si="2"/>
        <v/>
      </c>
      <c r="U65" s="180" t="str">
        <f t="shared" si="3"/>
        <v/>
      </c>
      <c r="V65" s="177"/>
      <c r="X65" s="180">
        <f t="shared" si="4"/>
        <v>250.3198704694488</v>
      </c>
      <c r="Y65" s="180">
        <f t="shared" si="5"/>
        <v>0</v>
      </c>
    </row>
    <row r="66" spans="1:25" ht="15.6" x14ac:dyDescent="0.3">
      <c r="A66" s="152">
        <v>2054</v>
      </c>
      <c r="B66" s="178">
        <f t="shared" si="0"/>
        <v>0</v>
      </c>
      <c r="C66" s="182">
        <f t="shared" si="7"/>
        <v>0</v>
      </c>
      <c r="D66" s="183"/>
      <c r="E66" s="179">
        <f t="shared" si="6"/>
        <v>1663.4491281697733</v>
      </c>
      <c r="F66" s="183">
        <f t="shared" si="8"/>
        <v>126.11022205336576</v>
      </c>
      <c r="G66" s="247">
        <f t="shared" si="1"/>
        <v>0.54610000000000003</v>
      </c>
      <c r="H66" s="246"/>
      <c r="J66" s="182"/>
      <c r="K66" s="182"/>
      <c r="L66" s="182"/>
      <c r="M66" s="182"/>
      <c r="N66" s="163"/>
      <c r="O66" s="259" t="str">
        <f>IF($O$24="Y",IFERROR(E66*$E$6*$O$16*'Emissions Factors'!B51,""),"")</f>
        <v/>
      </c>
      <c r="P66" s="259">
        <f>IF($P$24="Y",IFERROR($E66*('Emissions Factors'!$R$39*$P$16)/10^6,""),"")</f>
        <v>270.85398583183041</v>
      </c>
      <c r="Q66" s="259"/>
      <c r="R66" s="258"/>
      <c r="T66" s="180" t="str">
        <f t="shared" si="2"/>
        <v/>
      </c>
      <c r="U66" s="180" t="str">
        <f t="shared" si="3"/>
        <v/>
      </c>
      <c r="V66" s="177"/>
      <c r="X66" s="180">
        <f t="shared" si="4"/>
        <v>270.85398583183041</v>
      </c>
      <c r="Y66" s="180">
        <f t="shared" si="5"/>
        <v>0</v>
      </c>
    </row>
    <row r="67" spans="1:25" ht="15.6" x14ac:dyDescent="0.3">
      <c r="A67" s="152">
        <v>2055</v>
      </c>
      <c r="B67" s="178">
        <f t="shared" si="0"/>
        <v>0</v>
      </c>
      <c r="C67" s="182">
        <f t="shared" si="7"/>
        <v>0</v>
      </c>
      <c r="D67" s="183"/>
      <c r="E67" s="179">
        <f t="shared" si="6"/>
        <v>1798.2448113388059</v>
      </c>
      <c r="F67" s="183">
        <f t="shared" si="8"/>
        <v>134.7956831690326</v>
      </c>
      <c r="G67" s="247">
        <f t="shared" si="1"/>
        <v>0.54610000000000003</v>
      </c>
      <c r="H67" s="246"/>
      <c r="J67" s="182"/>
      <c r="K67" s="182"/>
      <c r="L67" s="182"/>
      <c r="M67" s="182"/>
      <c r="N67" s="163"/>
      <c r="O67" s="259" t="str">
        <f>IF($O$24="Y",IFERROR(E67*$E$6*$O$16*'Emissions Factors'!B52,""),"")</f>
        <v/>
      </c>
      <c r="P67" s="259">
        <f>IF($P$24="Y",IFERROR($E67*('Emissions Factors'!$R$39*$P$16)/10^6,""),"")</f>
        <v>292.80232644590592</v>
      </c>
      <c r="Q67" s="259"/>
      <c r="R67" s="258"/>
      <c r="T67" s="180" t="str">
        <f t="shared" si="2"/>
        <v/>
      </c>
      <c r="U67" s="180" t="str">
        <f t="shared" si="3"/>
        <v/>
      </c>
      <c r="V67" s="177"/>
      <c r="X67" s="180">
        <f t="shared" si="4"/>
        <v>292.80232644590592</v>
      </c>
      <c r="Y67" s="180">
        <f t="shared" si="5"/>
        <v>0</v>
      </c>
    </row>
    <row r="68" spans="1:25" ht="15.6" x14ac:dyDescent="0.3">
      <c r="A68" s="152">
        <v>2056</v>
      </c>
      <c r="B68" s="178">
        <f t="shared" si="0"/>
        <v>0</v>
      </c>
      <c r="C68" s="182">
        <f t="shared" si="7"/>
        <v>0</v>
      </c>
      <c r="D68" s="183"/>
      <c r="E68" s="179">
        <f t="shared" si="6"/>
        <v>1942.1856995819876</v>
      </c>
      <c r="F68" s="183">
        <f t="shared" si="8"/>
        <v>143.94088824318169</v>
      </c>
      <c r="G68" s="247">
        <f t="shared" si="1"/>
        <v>0.54610000000000003</v>
      </c>
      <c r="H68" s="246"/>
      <c r="J68" s="182"/>
      <c r="K68" s="182"/>
      <c r="L68" s="182"/>
      <c r="M68" s="182"/>
      <c r="N68" s="163"/>
      <c r="O68" s="259" t="str">
        <f>IF($O$24="Y",IFERROR(E68*$E$6*$O$16*'Emissions Factors'!B53,""),"")</f>
        <v/>
      </c>
      <c r="P68" s="259">
        <f>IF($P$24="Y",IFERROR($E68*('Emissions Factors'!$R$39*$P$16)/10^6,""),"")</f>
        <v>316.23975091811423</v>
      </c>
      <c r="Q68" s="259"/>
      <c r="R68" s="258"/>
      <c r="T68" s="180" t="str">
        <f t="shared" si="2"/>
        <v/>
      </c>
      <c r="U68" s="180" t="str">
        <f t="shared" si="3"/>
        <v/>
      </c>
      <c r="V68" s="177"/>
      <c r="X68" s="180">
        <f t="shared" si="4"/>
        <v>316.23975091811423</v>
      </c>
      <c r="Y68" s="180">
        <f t="shared" si="5"/>
        <v>0</v>
      </c>
    </row>
    <row r="69" spans="1:25" ht="15.6" x14ac:dyDescent="0.3">
      <c r="A69" s="152">
        <v>2057</v>
      </c>
      <c r="B69" s="178">
        <f t="shared" si="0"/>
        <v>0</v>
      </c>
      <c r="C69" s="182">
        <f t="shared" si="7"/>
        <v>0</v>
      </c>
      <c r="D69" s="183"/>
      <c r="E69" s="179">
        <f t="shared" si="6"/>
        <v>2095.7156836310351</v>
      </c>
      <c r="F69" s="183">
        <f t="shared" si="8"/>
        <v>153.52998404904747</v>
      </c>
      <c r="G69" s="247">
        <f t="shared" si="1"/>
        <v>0.54610000000000003</v>
      </c>
      <c r="H69" s="246"/>
      <c r="J69" s="182"/>
      <c r="K69" s="182"/>
      <c r="L69" s="182"/>
      <c r="M69" s="182"/>
      <c r="N69" s="163"/>
      <c r="O69" s="259" t="str">
        <f>IF($O$24="Y",IFERROR(E69*$E$6*$O$16*'Emissions Factors'!B54,""),"")</f>
        <v/>
      </c>
      <c r="P69" s="259">
        <f>IF($P$24="Y",IFERROR($E69*('Emissions Factors'!$R$39*$P$16)/10^6,""),"")</f>
        <v>341.2385365257843</v>
      </c>
      <c r="Q69" s="259"/>
      <c r="R69" s="258"/>
      <c r="T69" s="180" t="str">
        <f t="shared" si="2"/>
        <v/>
      </c>
      <c r="U69" s="180" t="str">
        <f t="shared" si="3"/>
        <v/>
      </c>
      <c r="V69" s="177"/>
      <c r="X69" s="180">
        <f t="shared" si="4"/>
        <v>341.2385365257843</v>
      </c>
      <c r="Y69" s="180">
        <f t="shared" si="5"/>
        <v>0</v>
      </c>
    </row>
    <row r="70" spans="1:25" ht="15.6" x14ac:dyDescent="0.3">
      <c r="A70" s="152">
        <v>2058</v>
      </c>
      <c r="B70" s="178">
        <f t="shared" si="0"/>
        <v>0</v>
      </c>
      <c r="C70" s="182">
        <f t="shared" si="7"/>
        <v>0</v>
      </c>
      <c r="D70" s="183"/>
      <c r="E70" s="179">
        <f t="shared" si="6"/>
        <v>2259.1913250383209</v>
      </c>
      <c r="F70" s="183">
        <f t="shared" si="8"/>
        <v>163.47564140728582</v>
      </c>
      <c r="G70" s="247">
        <f t="shared" si="1"/>
        <v>0.54610000000000003</v>
      </c>
      <c r="H70" s="246"/>
      <c r="J70" s="182"/>
      <c r="K70" s="182"/>
      <c r="L70" s="182"/>
      <c r="M70" s="182"/>
      <c r="N70" s="163"/>
      <c r="O70" s="259" t="str">
        <f>IF($O$24="Y",IFERROR(E70*$E$6*$O$16*'Emissions Factors'!B55,""),"")</f>
        <v/>
      </c>
      <c r="P70" s="259">
        <f>IF($P$24="Y",IFERROR($E70*('Emissions Factors'!$R$39*$P$16)/10^6,""),"")</f>
        <v>367.85674102134095</v>
      </c>
      <c r="Q70" s="259"/>
      <c r="R70" s="258"/>
      <c r="T70" s="180" t="str">
        <f t="shared" si="2"/>
        <v/>
      </c>
      <c r="U70" s="180" t="str">
        <f t="shared" si="3"/>
        <v/>
      </c>
      <c r="V70" s="177"/>
      <c r="X70" s="180">
        <f t="shared" si="4"/>
        <v>367.85674102134095</v>
      </c>
      <c r="Y70" s="180">
        <f t="shared" si="5"/>
        <v>0</v>
      </c>
    </row>
    <row r="71" spans="1:25" ht="15.6" x14ac:dyDescent="0.3">
      <c r="A71" s="152">
        <v>2059</v>
      </c>
      <c r="B71" s="178">
        <f t="shared" si="0"/>
        <v>0</v>
      </c>
      <c r="C71" s="182">
        <f t="shared" si="7"/>
        <v>0</v>
      </c>
      <c r="D71" s="183"/>
      <c r="E71" s="179">
        <f t="shared" si="6"/>
        <v>2432.9263881929583</v>
      </c>
      <c r="F71" s="183">
        <f t="shared" si="8"/>
        <v>173.73506315463737</v>
      </c>
      <c r="G71" s="247">
        <f t="shared" si="1"/>
        <v>0.54610000000000003</v>
      </c>
      <c r="H71" s="246"/>
      <c r="J71" s="182"/>
      <c r="K71" s="182"/>
      <c r="L71" s="182"/>
      <c r="M71" s="182"/>
      <c r="N71" s="163"/>
      <c r="O71" s="259" t="str">
        <f>IF($O$24="Y",IFERROR(E71*$E$6*$O$16*'Emissions Factors'!B56,""),"")</f>
        <v/>
      </c>
      <c r="P71" s="259">
        <f>IF($P$24="Y",IFERROR($E71*('Emissions Factors'!$R$39*$P$16)/10^6,""),"")</f>
        <v>396.14545363496507</v>
      </c>
      <c r="Q71" s="259"/>
      <c r="R71" s="258"/>
      <c r="T71" s="180" t="str">
        <f t="shared" si="2"/>
        <v/>
      </c>
      <c r="U71" s="180" t="str">
        <f t="shared" si="3"/>
        <v/>
      </c>
      <c r="V71" s="177"/>
      <c r="X71" s="180">
        <f t="shared" si="4"/>
        <v>396.14545363496507</v>
      </c>
      <c r="Y71" s="180">
        <f t="shared" si="5"/>
        <v>0</v>
      </c>
    </row>
    <row r="72" spans="1:25" ht="15.6" x14ac:dyDescent="0.3">
      <c r="A72" s="152">
        <v>2060</v>
      </c>
      <c r="B72" s="178">
        <f t="shared" si="0"/>
        <v>0</v>
      </c>
      <c r="C72" s="182">
        <f t="shared" si="7"/>
        <v>0</v>
      </c>
      <c r="D72" s="183"/>
      <c r="E72" s="179">
        <f t="shared" si="6"/>
        <v>2617.2569260659398</v>
      </c>
      <c r="F72" s="183">
        <f t="shared" si="8"/>
        <v>184.33053787298149</v>
      </c>
      <c r="G72" s="247">
        <f t="shared" si="1"/>
        <v>0.54610000000000003</v>
      </c>
      <c r="H72" s="246"/>
      <c r="J72" s="182"/>
      <c r="K72" s="182"/>
      <c r="L72" s="182"/>
      <c r="M72" s="182"/>
      <c r="N72" s="163"/>
      <c r="O72" s="259" t="str">
        <f>IF($O$24="Y",IFERROR(E72*$E$6*$O$16*'Emissions Factors'!B57,""),"")</f>
        <v/>
      </c>
      <c r="P72" s="259">
        <f>IF($P$24="Y",IFERROR($E72*('Emissions Factors'!$R$39*$P$16)/10^6,""),"")</f>
        <v>426.15939277379198</v>
      </c>
      <c r="Q72" s="259"/>
      <c r="R72" s="258"/>
      <c r="T72" s="180" t="str">
        <f t="shared" si="2"/>
        <v/>
      </c>
      <c r="U72" s="180" t="str">
        <f t="shared" si="3"/>
        <v/>
      </c>
      <c r="V72" s="177"/>
      <c r="X72" s="180">
        <f t="shared" si="4"/>
        <v>426.15939277379198</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53.4" thickBot="1" x14ac:dyDescent="0.3">
      <c r="A84" s="189"/>
      <c r="B84" s="190" t="s">
        <v>4</v>
      </c>
      <c r="C84" s="191" t="s">
        <v>5</v>
      </c>
      <c r="D84" s="191" t="str">
        <f>D136</f>
        <v>Non OECD Region (less China, Mexico, Brazil, Russia)</v>
      </c>
      <c r="E84" s="191"/>
      <c r="F84" s="191"/>
      <c r="G84" s="191"/>
      <c r="H84" s="191"/>
      <c r="I84" s="191"/>
      <c r="J84" s="191"/>
      <c r="K84" s="192"/>
      <c r="N84" s="193" t="str">
        <f>D84</f>
        <v>Non OECD Region (less China, Mexico, Brazil, Russia)</v>
      </c>
      <c r="O84" s="193"/>
      <c r="P84" s="193" t="str">
        <f>C84</f>
        <v>OECD90</v>
      </c>
      <c r="Q84" s="193" t="s">
        <v>235</v>
      </c>
      <c r="R84" s="193" t="str">
        <f>CONCATENATE("% ",$N$84)</f>
        <v>% Non OECD Region (less China, Mexico, Brazil, Russia)</v>
      </c>
      <c r="U84" s="193" t="str">
        <f>N84</f>
        <v>Non OECD Region (less China, Mexico, Brazil, Russia)</v>
      </c>
      <c r="V84" s="193" t="s">
        <v>10</v>
      </c>
      <c r="W84" s="193" t="str">
        <f>P84</f>
        <v>OECD90</v>
      </c>
      <c r="X84" s="193" t="s">
        <v>235</v>
      </c>
      <c r="Y84" s="193" t="str">
        <f>R84</f>
        <v>% Non OECD Region (less China, Mexico, Brazil, Russia)</v>
      </c>
    </row>
    <row r="85" spans="1:35" ht="15.6" x14ac:dyDescent="0.3">
      <c r="A85" s="194">
        <v>2014</v>
      </c>
      <c r="B85" s="253">
        <f>(B137/Population_Tables!O3)*Population_Tables!C3</f>
        <v>5754.4983792582652</v>
      </c>
      <c r="C85" s="253">
        <f>(C137/Population_Tables!P3)*Population_Tables!D3</f>
        <v>0</v>
      </c>
      <c r="D85" s="253">
        <f>(D137/Population_Tables!Q3)*Population_Tables!E3</f>
        <v>0</v>
      </c>
      <c r="E85" s="253">
        <f>(E137/Population_Tables!R3)*Population_Tables!F3</f>
        <v>0</v>
      </c>
      <c r="F85" s="253">
        <f>(F137/Population_Tables!S3)*Population_Tables!G3</f>
        <v>0</v>
      </c>
      <c r="G85" s="253">
        <f>(G137/Population_Tables!T3)*Population_Tables!H3</f>
        <v>0</v>
      </c>
      <c r="H85" s="253">
        <f>(H137/Population_Tables!U3)*Population_Tables!I3</f>
        <v>0</v>
      </c>
      <c r="I85" s="253">
        <f>(I137/Population_Tables!V3)*Population_Tables!J3</f>
        <v>0</v>
      </c>
      <c r="J85" s="253">
        <f>(J137/Population_Tables!W3)*Population_Tables!K3</f>
        <v>0</v>
      </c>
      <c r="K85" s="253">
        <f>(K137/Population_Tables!X3)*Population_Tables!L3</f>
        <v>0</v>
      </c>
      <c r="N85" s="195">
        <f>D85</f>
        <v>0</v>
      </c>
      <c r="O85" s="195">
        <f>H85</f>
        <v>0</v>
      </c>
      <c r="P85" s="195">
        <f>C85</f>
        <v>0</v>
      </c>
      <c r="Q85" s="195">
        <f>N85+P85+O85</f>
        <v>0</v>
      </c>
      <c r="R85" s="196" t="e">
        <f>N85/Q85</f>
        <v>#DIV/0!</v>
      </c>
      <c r="U85" s="197">
        <v>0</v>
      </c>
      <c r="V85" s="195">
        <f>O85-O137</f>
        <v>0</v>
      </c>
      <c r="W85" s="197">
        <v>0</v>
      </c>
      <c r="X85" s="195">
        <f>U85+V85+W85</f>
        <v>0</v>
      </c>
      <c r="Y85" s="196">
        <v>0</v>
      </c>
      <c r="AC85" s="251" t="e">
        <f>(B85-B137)/((SUM(C85:G85)-SUM(C137:G137)))</f>
        <v>#DIV/0!</v>
      </c>
      <c r="AF85" s="250">
        <f>B85</f>
        <v>5754.4983792582652</v>
      </c>
      <c r="AG85" s="250">
        <f>SUM(C85:G85)</f>
        <v>0</v>
      </c>
      <c r="AH85" s="250">
        <f>AG85-AF85</f>
        <v>-5754.4983792582652</v>
      </c>
      <c r="AI85" s="251" t="e">
        <f>AH85/AG85</f>
        <v>#DIV/0!</v>
      </c>
    </row>
    <row r="86" spans="1:35" ht="15.6" x14ac:dyDescent="0.3">
      <c r="A86" s="194">
        <v>2015</v>
      </c>
      <c r="B86" s="253">
        <f>(B138/Population_Tables!O4)*Population_Tables!C4</f>
        <v>5944.1626103873459</v>
      </c>
      <c r="C86" s="253">
        <f>(C138/Population_Tables!P4)*Population_Tables!D4</f>
        <v>0</v>
      </c>
      <c r="D86" s="253">
        <f>(D138/Population_Tables!Q4)*Population_Tables!E4</f>
        <v>0</v>
      </c>
      <c r="E86" s="253">
        <f>(E138/Population_Tables!R4)*Population_Tables!F4</f>
        <v>0</v>
      </c>
      <c r="F86" s="253">
        <f>(F138/Population_Tables!S4)*Population_Tables!G4</f>
        <v>0</v>
      </c>
      <c r="G86" s="253">
        <f>(G138/Population_Tables!T4)*Population_Tables!H4</f>
        <v>0</v>
      </c>
      <c r="H86" s="253">
        <f>(H138/Population_Tables!U4)*Population_Tables!I4</f>
        <v>0</v>
      </c>
      <c r="I86" s="253">
        <f>(I138/Population_Tables!V4)*Population_Tables!J4</f>
        <v>0</v>
      </c>
      <c r="J86" s="253">
        <f>(J138/Population_Tables!W4)*Population_Tables!K4</f>
        <v>0</v>
      </c>
      <c r="K86" s="253">
        <f>(K138/Population_Tables!X4)*Population_Tables!L4</f>
        <v>0</v>
      </c>
      <c r="N86" s="195">
        <f t="shared" ref="N86:N131" si="9">D86</f>
        <v>0</v>
      </c>
      <c r="O86" s="195">
        <f t="shared" ref="O86:O131" si="10">H86</f>
        <v>0</v>
      </c>
      <c r="P86" s="195">
        <f t="shared" ref="P86:P131" si="11">C86</f>
        <v>0</v>
      </c>
      <c r="Q86" s="195">
        <f t="shared" ref="Q86:Q131" si="12">N86+P86+O86</f>
        <v>0</v>
      </c>
      <c r="R86" s="196" t="e">
        <f t="shared" ref="R86:R130" si="13">N86/Q86</f>
        <v>#DIV/0!</v>
      </c>
      <c r="U86" s="197">
        <v>0</v>
      </c>
      <c r="V86" s="195">
        <f t="shared" ref="V86:W131" si="14">O86-O138</f>
        <v>0</v>
      </c>
      <c r="W86" s="197">
        <v>0</v>
      </c>
      <c r="X86" s="195">
        <f>U86+V86+W86</f>
        <v>0</v>
      </c>
      <c r="Y86" s="196">
        <v>0</v>
      </c>
      <c r="AC86" s="251" t="e">
        <f t="shared" ref="AC86:AC131" si="15">(B86-B138)/((SUM(C86:G86)-SUM(C138:G138)))</f>
        <v>#DIV/0!</v>
      </c>
    </row>
    <row r="87" spans="1:35" ht="15.6" x14ac:dyDescent="0.3">
      <c r="A87" s="194">
        <v>2016</v>
      </c>
      <c r="B87" s="253">
        <f>(B139/Population_Tables!O5)*Population_Tables!C5</f>
        <v>6206.5851578685842</v>
      </c>
      <c r="C87" s="253">
        <f>(C139/Population_Tables!P5)*Population_Tables!D5</f>
        <v>0</v>
      </c>
      <c r="D87" s="253">
        <f>(D139/Population_Tables!Q5)*Population_Tables!E5</f>
        <v>0</v>
      </c>
      <c r="E87" s="253">
        <f>(E139/Population_Tables!R5)*Population_Tables!F5</f>
        <v>0</v>
      </c>
      <c r="F87" s="253">
        <f>(F139/Population_Tables!S5)*Population_Tables!G5</f>
        <v>0</v>
      </c>
      <c r="G87" s="253">
        <f>(G139/Population_Tables!T5)*Population_Tables!H5</f>
        <v>0</v>
      </c>
      <c r="H87" s="253">
        <f>(H139/Population_Tables!U5)*Population_Tables!I5</f>
        <v>0</v>
      </c>
      <c r="I87" s="253">
        <f>(I139/Population_Tables!V5)*Population_Tables!J5</f>
        <v>0</v>
      </c>
      <c r="J87" s="253">
        <f>(J139/Population_Tables!W5)*Population_Tables!K5</f>
        <v>0</v>
      </c>
      <c r="K87" s="253">
        <f>(K139/Population_Tables!X5)*Population_Tables!L5</f>
        <v>0</v>
      </c>
      <c r="N87" s="195">
        <f t="shared" si="9"/>
        <v>0</v>
      </c>
      <c r="O87" s="195">
        <f t="shared" si="10"/>
        <v>0</v>
      </c>
      <c r="P87" s="195">
        <f t="shared" si="11"/>
        <v>0</v>
      </c>
      <c r="Q87" s="195">
        <f t="shared" si="12"/>
        <v>0</v>
      </c>
      <c r="R87" s="196" t="e">
        <f t="shared" si="13"/>
        <v>#DIV/0!</v>
      </c>
      <c r="U87" s="195">
        <f>N87-N139</f>
        <v>0</v>
      </c>
      <c r="V87" s="195">
        <f>O87-O139</f>
        <v>0</v>
      </c>
      <c r="W87" s="195">
        <f>P87-P139</f>
        <v>0</v>
      </c>
      <c r="X87" s="195">
        <f>U87+V87+W87</f>
        <v>0</v>
      </c>
      <c r="Y87" s="196" t="e">
        <f t="shared" ref="Y87:Y131" si="16">U87/X87</f>
        <v>#DIV/0!</v>
      </c>
      <c r="AC87" s="251" t="e">
        <f>(B87-B139)/((SUM(C87:G87)-SUM(C139:G139)))</f>
        <v>#DIV/0!</v>
      </c>
    </row>
    <row r="88" spans="1:35" ht="15.6" x14ac:dyDescent="0.3">
      <c r="A88" s="194">
        <v>2017</v>
      </c>
      <c r="B88" s="253">
        <f>(B140/Population_Tables!O6)*Population_Tables!C6</f>
        <v>6479.542066209422</v>
      </c>
      <c r="C88" s="253">
        <f>(C140/Population_Tables!P6)*Population_Tables!D6</f>
        <v>0</v>
      </c>
      <c r="D88" s="253">
        <f>(D140/Population_Tables!Q6)*Population_Tables!E6</f>
        <v>0</v>
      </c>
      <c r="E88" s="253">
        <f>(E140/Population_Tables!R6)*Population_Tables!F6</f>
        <v>0</v>
      </c>
      <c r="F88" s="253">
        <f>(F140/Population_Tables!S6)*Population_Tables!G6</f>
        <v>0</v>
      </c>
      <c r="G88" s="253">
        <f>(G140/Population_Tables!T6)*Population_Tables!H6</f>
        <v>0</v>
      </c>
      <c r="H88" s="253">
        <f>(H140/Population_Tables!U6)*Population_Tables!I6</f>
        <v>0</v>
      </c>
      <c r="I88" s="253">
        <f>(I140/Population_Tables!V6)*Population_Tables!J6</f>
        <v>0</v>
      </c>
      <c r="J88" s="253">
        <f>(J140/Population_Tables!W6)*Population_Tables!K6</f>
        <v>0</v>
      </c>
      <c r="K88" s="253">
        <f>(K140/Population_Tables!X6)*Population_Tables!L6</f>
        <v>0</v>
      </c>
      <c r="N88" s="195">
        <f t="shared" si="9"/>
        <v>0</v>
      </c>
      <c r="O88" s="195">
        <f>H88</f>
        <v>0</v>
      </c>
      <c r="P88" s="195">
        <f t="shared" si="11"/>
        <v>0</v>
      </c>
      <c r="Q88" s="195">
        <f t="shared" si="12"/>
        <v>0</v>
      </c>
      <c r="R88" s="196" t="e">
        <f t="shared" si="13"/>
        <v>#DIV/0!</v>
      </c>
      <c r="U88" s="195">
        <f>N88-N140</f>
        <v>0</v>
      </c>
      <c r="V88" s="195">
        <f t="shared" si="14"/>
        <v>0</v>
      </c>
      <c r="W88" s="195">
        <f t="shared" si="14"/>
        <v>0</v>
      </c>
      <c r="X88" s="195">
        <f t="shared" ref="X88:X131" si="17">U88+V88+W88</f>
        <v>0</v>
      </c>
      <c r="Y88" s="196" t="e">
        <f t="shared" si="16"/>
        <v>#DIV/0!</v>
      </c>
      <c r="AC88" s="251" t="e">
        <f t="shared" si="15"/>
        <v>#DIV/0!</v>
      </c>
    </row>
    <row r="89" spans="1:35" ht="15.6" x14ac:dyDescent="0.3">
      <c r="A89" s="194">
        <v>2018</v>
      </c>
      <c r="B89" s="253">
        <f>(B141/Population_Tables!O7)*Population_Tables!C7</f>
        <v>6763.4457915185203</v>
      </c>
      <c r="C89" s="253">
        <f>(C141/Population_Tables!P7)*Population_Tables!D7</f>
        <v>0</v>
      </c>
      <c r="D89" s="253">
        <f>(D141/Population_Tables!Q7)*Population_Tables!E7</f>
        <v>0</v>
      </c>
      <c r="E89" s="253">
        <f>(E141/Population_Tables!R7)*Population_Tables!F7</f>
        <v>0</v>
      </c>
      <c r="F89" s="253">
        <f>(F141/Population_Tables!S7)*Population_Tables!G7</f>
        <v>0</v>
      </c>
      <c r="G89" s="253">
        <f>(G141/Population_Tables!T7)*Population_Tables!H7</f>
        <v>0</v>
      </c>
      <c r="H89" s="253">
        <f>(H141/Population_Tables!U7)*Population_Tables!I7</f>
        <v>0</v>
      </c>
      <c r="I89" s="253">
        <f>(I141/Population_Tables!V7)*Population_Tables!J7</f>
        <v>0</v>
      </c>
      <c r="J89" s="253">
        <f>(J141/Population_Tables!W7)*Population_Tables!K7</f>
        <v>0</v>
      </c>
      <c r="K89" s="253">
        <f>(K141/Population_Tables!X7)*Population_Tables!L7</f>
        <v>0</v>
      </c>
      <c r="N89" s="195">
        <f t="shared" si="9"/>
        <v>0</v>
      </c>
      <c r="O89" s="195">
        <f t="shared" si="10"/>
        <v>0</v>
      </c>
      <c r="P89" s="195">
        <f t="shared" si="11"/>
        <v>0</v>
      </c>
      <c r="Q89" s="195">
        <f t="shared" si="12"/>
        <v>0</v>
      </c>
      <c r="R89" s="196" t="e">
        <f t="shared" si="13"/>
        <v>#DIV/0!</v>
      </c>
      <c r="U89" s="195">
        <f t="shared" ref="U89:U131" si="18">N89-N141</f>
        <v>0</v>
      </c>
      <c r="V89" s="195">
        <f t="shared" si="14"/>
        <v>0</v>
      </c>
      <c r="W89" s="195">
        <f t="shared" si="14"/>
        <v>0</v>
      </c>
      <c r="X89" s="195">
        <f t="shared" si="17"/>
        <v>0</v>
      </c>
      <c r="Y89" s="196" t="e">
        <f t="shared" si="16"/>
        <v>#DIV/0!</v>
      </c>
      <c r="AC89" s="251" t="e">
        <f t="shared" si="15"/>
        <v>#DIV/0!</v>
      </c>
    </row>
    <row r="90" spans="1:35" ht="16.2" thickBot="1" x14ac:dyDescent="0.35">
      <c r="A90" s="198">
        <v>2019</v>
      </c>
      <c r="B90" s="253">
        <f>(B142/Population_Tables!O8)*Population_Tables!C8</f>
        <v>7058.7087366880005</v>
      </c>
      <c r="C90" s="253">
        <f>(C142/Population_Tables!P8)*Population_Tables!D8</f>
        <v>0</v>
      </c>
      <c r="D90" s="253">
        <f>(D142/Population_Tables!Q8)*Population_Tables!E8</f>
        <v>0</v>
      </c>
      <c r="E90" s="253">
        <f>(E142/Population_Tables!R8)*Population_Tables!F8</f>
        <v>0</v>
      </c>
      <c r="F90" s="253">
        <f>(F142/Population_Tables!S8)*Population_Tables!G8</f>
        <v>0</v>
      </c>
      <c r="G90" s="253">
        <f>(G142/Population_Tables!T8)*Population_Tables!H8</f>
        <v>0</v>
      </c>
      <c r="H90" s="253">
        <f>(H142/Population_Tables!U8)*Population_Tables!I8</f>
        <v>0</v>
      </c>
      <c r="I90" s="253">
        <f>(I142/Population_Tables!V8)*Population_Tables!J8</f>
        <v>0</v>
      </c>
      <c r="J90" s="253">
        <f>(J142/Population_Tables!W8)*Population_Tables!K8</f>
        <v>0</v>
      </c>
      <c r="K90" s="253">
        <f>(K142/Population_Tables!X8)*Population_Tables!L8</f>
        <v>0</v>
      </c>
      <c r="N90" s="195">
        <f t="shared" si="9"/>
        <v>0</v>
      </c>
      <c r="O90" s="195">
        <f t="shared" si="10"/>
        <v>0</v>
      </c>
      <c r="P90" s="195">
        <f t="shared" si="11"/>
        <v>0</v>
      </c>
      <c r="Q90" s="195">
        <f t="shared" si="12"/>
        <v>0</v>
      </c>
      <c r="R90" s="199" t="e">
        <f t="shared" si="13"/>
        <v>#DIV/0!</v>
      </c>
      <c r="U90" s="200">
        <f t="shared" si="18"/>
        <v>0</v>
      </c>
      <c r="V90" s="195">
        <f t="shared" si="14"/>
        <v>0</v>
      </c>
      <c r="W90" s="200">
        <f t="shared" si="14"/>
        <v>0</v>
      </c>
      <c r="X90" s="195">
        <f t="shared" si="17"/>
        <v>0</v>
      </c>
      <c r="Y90" s="199" t="e">
        <f t="shared" si="16"/>
        <v>#DIV/0!</v>
      </c>
      <c r="AC90" s="251" t="e">
        <f t="shared" si="15"/>
        <v>#DIV/0!</v>
      </c>
    </row>
    <row r="91" spans="1:35" ht="15.6" x14ac:dyDescent="0.3">
      <c r="A91" s="201">
        <v>2020</v>
      </c>
      <c r="B91" s="253">
        <f>(B143/Population_Tables!O9)*Population_Tables!C9</f>
        <v>7365.7433533282674</v>
      </c>
      <c r="C91" s="253">
        <f>(C143/Population_Tables!P9)*Population_Tables!D9</f>
        <v>0</v>
      </c>
      <c r="D91" s="253">
        <f>(D143/Population_Tables!Q9)*Population_Tables!E9</f>
        <v>0</v>
      </c>
      <c r="E91" s="253">
        <f>(E143/Population_Tables!R9)*Population_Tables!F9</f>
        <v>0</v>
      </c>
      <c r="F91" s="253">
        <f>(F143/Population_Tables!S9)*Population_Tables!G9</f>
        <v>0</v>
      </c>
      <c r="G91" s="253">
        <f>(G143/Population_Tables!T9)*Population_Tables!H9</f>
        <v>0</v>
      </c>
      <c r="H91" s="253">
        <f>(H143/Population_Tables!U9)*Population_Tables!I9</f>
        <v>0</v>
      </c>
      <c r="I91" s="253">
        <f>(I143/Population_Tables!V9)*Population_Tables!J9</f>
        <v>0</v>
      </c>
      <c r="J91" s="253">
        <f>(J143/Population_Tables!W9)*Population_Tables!K9</f>
        <v>0</v>
      </c>
      <c r="K91" s="253">
        <f>(K143/Population_Tables!X9)*Population_Tables!L9</f>
        <v>0</v>
      </c>
      <c r="L91" s="202"/>
      <c r="M91" s="202"/>
      <c r="N91" s="195">
        <f t="shared" si="9"/>
        <v>0</v>
      </c>
      <c r="O91" s="195">
        <f t="shared" si="10"/>
        <v>0</v>
      </c>
      <c r="P91" s="195">
        <f t="shared" si="11"/>
        <v>0</v>
      </c>
      <c r="Q91" s="195">
        <f t="shared" si="12"/>
        <v>0</v>
      </c>
      <c r="R91" s="203" t="e">
        <f t="shared" si="13"/>
        <v>#DIV/0!</v>
      </c>
      <c r="S91" s="202"/>
      <c r="T91" s="202"/>
      <c r="U91" s="204">
        <f>N91-N143</f>
        <v>0</v>
      </c>
      <c r="V91" s="195">
        <f t="shared" si="14"/>
        <v>0</v>
      </c>
      <c r="W91" s="204">
        <f t="shared" si="14"/>
        <v>0</v>
      </c>
      <c r="X91" s="195">
        <f t="shared" si="17"/>
        <v>0</v>
      </c>
      <c r="Y91" s="205" t="e">
        <f>U91/X91</f>
        <v>#DIV/0!</v>
      </c>
      <c r="AC91" s="251" t="e">
        <f t="shared" si="15"/>
        <v>#DIV/0!</v>
      </c>
    </row>
    <row r="92" spans="1:35" ht="15.6" x14ac:dyDescent="0.3">
      <c r="A92" s="206">
        <v>2021</v>
      </c>
      <c r="B92" s="253">
        <f>(B144/Population_Tables!O10)*Population_Tables!C10</f>
        <v>7694.6910740504436</v>
      </c>
      <c r="C92" s="253">
        <f>(C144/Population_Tables!P10)*Population_Tables!D10</f>
        <v>0</v>
      </c>
      <c r="D92" s="253">
        <f>(D144/Population_Tables!Q10)*Population_Tables!E10</f>
        <v>0</v>
      </c>
      <c r="E92" s="253">
        <f>(E144/Population_Tables!R10)*Population_Tables!F10</f>
        <v>0</v>
      </c>
      <c r="F92" s="253">
        <f>(F144/Population_Tables!S10)*Population_Tables!G10</f>
        <v>0</v>
      </c>
      <c r="G92" s="253">
        <f>(G144/Population_Tables!T10)*Population_Tables!H10</f>
        <v>0</v>
      </c>
      <c r="H92" s="253">
        <f>(H144/Population_Tables!U10)*Population_Tables!I10</f>
        <v>0</v>
      </c>
      <c r="I92" s="253">
        <f>(I144/Population_Tables!V10)*Population_Tables!J10</f>
        <v>0</v>
      </c>
      <c r="J92" s="253">
        <f>(J144/Population_Tables!W10)*Population_Tables!K10</f>
        <v>0</v>
      </c>
      <c r="K92" s="253">
        <f>(K144/Population_Tables!X10)*Population_Tables!L10</f>
        <v>0</v>
      </c>
      <c r="L92" s="170"/>
      <c r="M92" s="170"/>
      <c r="N92" s="195">
        <f t="shared" si="9"/>
        <v>0</v>
      </c>
      <c r="O92" s="195">
        <f t="shared" si="10"/>
        <v>0</v>
      </c>
      <c r="P92" s="195">
        <f t="shared" si="11"/>
        <v>0</v>
      </c>
      <c r="Q92" s="195">
        <f t="shared" si="12"/>
        <v>0</v>
      </c>
      <c r="R92" s="196" t="e">
        <f t="shared" si="13"/>
        <v>#DIV/0!</v>
      </c>
      <c r="S92" s="170"/>
      <c r="T92" s="170"/>
      <c r="U92" s="195">
        <f t="shared" si="18"/>
        <v>0</v>
      </c>
      <c r="V92" s="195">
        <f t="shared" si="14"/>
        <v>0</v>
      </c>
      <c r="W92" s="195">
        <f t="shared" si="14"/>
        <v>0</v>
      </c>
      <c r="X92" s="195">
        <f t="shared" si="17"/>
        <v>0</v>
      </c>
      <c r="Y92" s="207" t="e">
        <f t="shared" si="16"/>
        <v>#DIV/0!</v>
      </c>
      <c r="AC92" s="251" t="e">
        <f t="shared" si="15"/>
        <v>#DIV/0!</v>
      </c>
    </row>
    <row r="93" spans="1:35" ht="15.6" x14ac:dyDescent="0.3">
      <c r="A93" s="206">
        <v>2022</v>
      </c>
      <c r="B93" s="253">
        <f>(B145/Population_Tables!O11)*Population_Tables!C11</f>
        <v>8039.4655207452824</v>
      </c>
      <c r="C93" s="253">
        <f>(C145/Population_Tables!P11)*Population_Tables!D11</f>
        <v>0</v>
      </c>
      <c r="D93" s="253">
        <f>(D145/Population_Tables!Q11)*Population_Tables!E11</f>
        <v>0</v>
      </c>
      <c r="E93" s="253">
        <f>(E145/Population_Tables!R11)*Population_Tables!F11</f>
        <v>0</v>
      </c>
      <c r="F93" s="253">
        <f>(F145/Population_Tables!S11)*Population_Tables!G11</f>
        <v>0</v>
      </c>
      <c r="G93" s="253">
        <f>(G145/Population_Tables!T11)*Population_Tables!H11</f>
        <v>0</v>
      </c>
      <c r="H93" s="253">
        <f>(H145/Population_Tables!U11)*Population_Tables!I11</f>
        <v>0</v>
      </c>
      <c r="I93" s="253">
        <f>(I145/Population_Tables!V11)*Population_Tables!J11</f>
        <v>0</v>
      </c>
      <c r="J93" s="253">
        <f>(J145/Population_Tables!W11)*Population_Tables!K11</f>
        <v>0</v>
      </c>
      <c r="K93" s="253">
        <f>(K145/Population_Tables!X11)*Population_Tables!L11</f>
        <v>0</v>
      </c>
      <c r="L93" s="170"/>
      <c r="M93" s="170"/>
      <c r="N93" s="195">
        <f t="shared" si="9"/>
        <v>0</v>
      </c>
      <c r="O93" s="195">
        <f t="shared" si="10"/>
        <v>0</v>
      </c>
      <c r="P93" s="195">
        <f t="shared" si="11"/>
        <v>0</v>
      </c>
      <c r="Q93" s="195">
        <f t="shared" si="12"/>
        <v>0</v>
      </c>
      <c r="R93" s="196" t="e">
        <f t="shared" si="13"/>
        <v>#DIV/0!</v>
      </c>
      <c r="S93" s="170"/>
      <c r="T93" s="170"/>
      <c r="U93" s="195">
        <f t="shared" si="18"/>
        <v>0</v>
      </c>
      <c r="V93" s="195">
        <f t="shared" si="14"/>
        <v>0</v>
      </c>
      <c r="W93" s="195">
        <f t="shared" si="14"/>
        <v>0</v>
      </c>
      <c r="X93" s="195">
        <f t="shared" si="17"/>
        <v>0</v>
      </c>
      <c r="Y93" s="207" t="e">
        <f t="shared" si="16"/>
        <v>#DIV/0!</v>
      </c>
      <c r="AC93" s="251" t="e">
        <f t="shared" si="15"/>
        <v>#DIV/0!</v>
      </c>
    </row>
    <row r="94" spans="1:35" ht="15.6" x14ac:dyDescent="0.3">
      <c r="A94" s="206">
        <v>2023</v>
      </c>
      <c r="B94" s="253">
        <f>(B146/Population_Tables!O12)*Population_Tables!C12</f>
        <v>8400.4163317339699</v>
      </c>
      <c r="C94" s="253">
        <f>(C146/Population_Tables!P12)*Population_Tables!D12</f>
        <v>0</v>
      </c>
      <c r="D94" s="253">
        <f>(D146/Population_Tables!Q12)*Population_Tables!E12</f>
        <v>0</v>
      </c>
      <c r="E94" s="253">
        <f>(E146/Population_Tables!R12)*Population_Tables!F12</f>
        <v>0</v>
      </c>
      <c r="F94" s="253">
        <f>(F146/Population_Tables!S12)*Population_Tables!G12</f>
        <v>0</v>
      </c>
      <c r="G94" s="253">
        <f>(G146/Population_Tables!T12)*Population_Tables!H12</f>
        <v>0</v>
      </c>
      <c r="H94" s="253">
        <f>(H146/Population_Tables!U12)*Population_Tables!I12</f>
        <v>0</v>
      </c>
      <c r="I94" s="253">
        <f>(I146/Population_Tables!V12)*Population_Tables!J12</f>
        <v>0</v>
      </c>
      <c r="J94" s="253">
        <f>(J146/Population_Tables!W12)*Population_Tables!K12</f>
        <v>0</v>
      </c>
      <c r="K94" s="253">
        <f>(K146/Population_Tables!X12)*Population_Tables!L12</f>
        <v>0</v>
      </c>
      <c r="L94" s="170"/>
      <c r="M94" s="170"/>
      <c r="N94" s="195">
        <f t="shared" si="9"/>
        <v>0</v>
      </c>
      <c r="O94" s="195">
        <f t="shared" si="10"/>
        <v>0</v>
      </c>
      <c r="P94" s="195">
        <f t="shared" si="11"/>
        <v>0</v>
      </c>
      <c r="Q94" s="195">
        <f t="shared" si="12"/>
        <v>0</v>
      </c>
      <c r="R94" s="196" t="e">
        <f t="shared" si="13"/>
        <v>#DIV/0!</v>
      </c>
      <c r="S94" s="170"/>
      <c r="T94" s="170"/>
      <c r="U94" s="195">
        <f>N94-N146</f>
        <v>0</v>
      </c>
      <c r="V94" s="195">
        <f t="shared" si="14"/>
        <v>0</v>
      </c>
      <c r="W94" s="195">
        <f t="shared" si="14"/>
        <v>0</v>
      </c>
      <c r="X94" s="195">
        <f t="shared" si="17"/>
        <v>0</v>
      </c>
      <c r="Y94" s="207" t="e">
        <f t="shared" si="16"/>
        <v>#DIV/0!</v>
      </c>
      <c r="AC94" s="251" t="e">
        <f t="shared" si="15"/>
        <v>#DIV/0!</v>
      </c>
    </row>
    <row r="95" spans="1:35" ht="15.6" x14ac:dyDescent="0.3">
      <c r="A95" s="206">
        <v>2024</v>
      </c>
      <c r="B95" s="253">
        <f>(B147/Population_Tables!O13)*Population_Tables!C13</f>
        <v>8778.0475117750502</v>
      </c>
      <c r="C95" s="253">
        <f>(C147/Population_Tables!P13)*Population_Tables!D13</f>
        <v>0</v>
      </c>
      <c r="D95" s="253">
        <f>(D147/Population_Tables!Q13)*Population_Tables!E13</f>
        <v>0</v>
      </c>
      <c r="E95" s="253">
        <f>(E147/Population_Tables!R13)*Population_Tables!F13</f>
        <v>0</v>
      </c>
      <c r="F95" s="253">
        <f>(F147/Population_Tables!S13)*Population_Tables!G13</f>
        <v>0</v>
      </c>
      <c r="G95" s="253">
        <f>(G147/Population_Tables!T13)*Population_Tables!H13</f>
        <v>0</v>
      </c>
      <c r="H95" s="253">
        <f>(H147/Population_Tables!U13)*Population_Tables!I13</f>
        <v>0</v>
      </c>
      <c r="I95" s="253">
        <f>(I147/Population_Tables!V13)*Population_Tables!J13</f>
        <v>0</v>
      </c>
      <c r="J95" s="253">
        <f>(J147/Population_Tables!W13)*Population_Tables!K13</f>
        <v>0</v>
      </c>
      <c r="K95" s="253">
        <f>(K147/Population_Tables!X13)*Population_Tables!L13</f>
        <v>0</v>
      </c>
      <c r="L95" s="170"/>
      <c r="M95" s="170"/>
      <c r="N95" s="195">
        <f t="shared" si="9"/>
        <v>0</v>
      </c>
      <c r="O95" s="195">
        <f t="shared" si="10"/>
        <v>0</v>
      </c>
      <c r="P95" s="195">
        <f t="shared" si="11"/>
        <v>0</v>
      </c>
      <c r="Q95" s="195">
        <f t="shared" si="12"/>
        <v>0</v>
      </c>
      <c r="R95" s="196" t="e">
        <f t="shared" si="13"/>
        <v>#DIV/0!</v>
      </c>
      <c r="S95" s="170"/>
      <c r="T95" s="170"/>
      <c r="U95" s="195">
        <f t="shared" si="18"/>
        <v>0</v>
      </c>
      <c r="V95" s="195">
        <f t="shared" si="14"/>
        <v>0</v>
      </c>
      <c r="W95" s="195">
        <f t="shared" si="14"/>
        <v>0</v>
      </c>
      <c r="X95" s="195">
        <f t="shared" si="17"/>
        <v>0</v>
      </c>
      <c r="Y95" s="207" t="e">
        <f t="shared" si="16"/>
        <v>#DIV/0!</v>
      </c>
      <c r="AC95" s="251" t="e">
        <f t="shared" si="15"/>
        <v>#DIV/0!</v>
      </c>
    </row>
    <row r="96" spans="1:35" ht="15.6" x14ac:dyDescent="0.3">
      <c r="A96" s="206">
        <v>2025</v>
      </c>
      <c r="B96" s="253">
        <f>(B148/Population_Tables!O14)*Population_Tables!C14</f>
        <v>9172.9024009685563</v>
      </c>
      <c r="C96" s="253">
        <f>(C148/Population_Tables!P14)*Population_Tables!D14</f>
        <v>0</v>
      </c>
      <c r="D96" s="253">
        <f>(D148/Population_Tables!Q14)*Population_Tables!E14</f>
        <v>0</v>
      </c>
      <c r="E96" s="253">
        <f>(E148/Population_Tables!R14)*Population_Tables!F14</f>
        <v>0</v>
      </c>
      <c r="F96" s="253">
        <f>(F148/Population_Tables!S14)*Population_Tables!G14</f>
        <v>0</v>
      </c>
      <c r="G96" s="253">
        <f>(G148/Population_Tables!T14)*Population_Tables!H14</f>
        <v>0</v>
      </c>
      <c r="H96" s="253">
        <f>(H148/Population_Tables!U14)*Population_Tables!I14</f>
        <v>0</v>
      </c>
      <c r="I96" s="253">
        <f>(I148/Population_Tables!V14)*Population_Tables!J14</f>
        <v>0</v>
      </c>
      <c r="J96" s="253">
        <f>(J148/Population_Tables!W14)*Population_Tables!K14</f>
        <v>0</v>
      </c>
      <c r="K96" s="253">
        <f>(K148/Population_Tables!X14)*Population_Tables!L14</f>
        <v>0</v>
      </c>
      <c r="L96" s="170"/>
      <c r="M96" s="170"/>
      <c r="N96" s="195">
        <f t="shared" si="9"/>
        <v>0</v>
      </c>
      <c r="O96" s="195">
        <f t="shared" si="10"/>
        <v>0</v>
      </c>
      <c r="P96" s="195">
        <f t="shared" si="11"/>
        <v>0</v>
      </c>
      <c r="Q96" s="195">
        <f t="shared" si="12"/>
        <v>0</v>
      </c>
      <c r="R96" s="196" t="e">
        <f t="shared" si="13"/>
        <v>#DIV/0!</v>
      </c>
      <c r="S96" s="170"/>
      <c r="T96" s="170"/>
      <c r="U96" s="195">
        <f t="shared" si="18"/>
        <v>0</v>
      </c>
      <c r="V96" s="195">
        <f t="shared" si="14"/>
        <v>0</v>
      </c>
      <c r="W96" s="195">
        <f t="shared" si="14"/>
        <v>0</v>
      </c>
      <c r="X96" s="195">
        <f t="shared" si="17"/>
        <v>0</v>
      </c>
      <c r="Y96" s="207" t="e">
        <f t="shared" si="16"/>
        <v>#DIV/0!</v>
      </c>
      <c r="AC96" s="251" t="e">
        <f t="shared" si="15"/>
        <v>#DIV/0!</v>
      </c>
    </row>
    <row r="97" spans="1:29" ht="15.6" x14ac:dyDescent="0.3">
      <c r="A97" s="206">
        <v>2026</v>
      </c>
      <c r="B97" s="253">
        <f>(B149/Population_Tables!O15)*Population_Tables!C15</f>
        <v>9585.514182636909</v>
      </c>
      <c r="C97" s="253">
        <f>(C149/Population_Tables!P15)*Population_Tables!D15</f>
        <v>0</v>
      </c>
      <c r="D97" s="253">
        <f>(D149/Population_Tables!Q15)*Population_Tables!E15</f>
        <v>0</v>
      </c>
      <c r="E97" s="253">
        <f>(E149/Population_Tables!R15)*Population_Tables!F15</f>
        <v>0</v>
      </c>
      <c r="F97" s="253">
        <f>(F149/Population_Tables!S15)*Population_Tables!G15</f>
        <v>0</v>
      </c>
      <c r="G97" s="253">
        <f>(G149/Population_Tables!T15)*Population_Tables!H15</f>
        <v>0</v>
      </c>
      <c r="H97" s="253">
        <f>(H149/Population_Tables!U15)*Population_Tables!I15</f>
        <v>0</v>
      </c>
      <c r="I97" s="253">
        <f>(I149/Population_Tables!V15)*Population_Tables!J15</f>
        <v>0</v>
      </c>
      <c r="J97" s="253">
        <f>(J149/Population_Tables!W15)*Population_Tables!K15</f>
        <v>0</v>
      </c>
      <c r="K97" s="253">
        <f>(K149/Population_Tables!X15)*Population_Tables!L15</f>
        <v>0</v>
      </c>
      <c r="L97" s="170"/>
      <c r="M97" s="170"/>
      <c r="N97" s="195">
        <f t="shared" si="9"/>
        <v>0</v>
      </c>
      <c r="O97" s="195">
        <f t="shared" si="10"/>
        <v>0</v>
      </c>
      <c r="P97" s="195">
        <f t="shared" si="11"/>
        <v>0</v>
      </c>
      <c r="Q97" s="195">
        <f t="shared" si="12"/>
        <v>0</v>
      </c>
      <c r="R97" s="196" t="e">
        <f t="shared" si="13"/>
        <v>#DIV/0!</v>
      </c>
      <c r="S97" s="170"/>
      <c r="T97" s="170"/>
      <c r="U97" s="195">
        <f>N97-N149</f>
        <v>0</v>
      </c>
      <c r="V97" s="195">
        <f t="shared" si="14"/>
        <v>0</v>
      </c>
      <c r="W97" s="195">
        <f t="shared" si="14"/>
        <v>0</v>
      </c>
      <c r="X97" s="195">
        <f t="shared" si="17"/>
        <v>0</v>
      </c>
      <c r="Y97" s="207" t="e">
        <f t="shared" si="16"/>
        <v>#DIV/0!</v>
      </c>
      <c r="AC97" s="251" t="e">
        <f t="shared" si="15"/>
        <v>#DIV/0!</v>
      </c>
    </row>
    <row r="98" spans="1:29" ht="15.6" x14ac:dyDescent="0.3">
      <c r="A98" s="206">
        <v>2027</v>
      </c>
      <c r="B98" s="253">
        <f>(B150/Population_Tables!O16)*Population_Tables!C16</f>
        <v>10016.421569743105</v>
      </c>
      <c r="C98" s="253">
        <f>(C150/Population_Tables!P16)*Population_Tables!D16</f>
        <v>0</v>
      </c>
      <c r="D98" s="253">
        <f>(D150/Population_Tables!Q16)*Population_Tables!E16</f>
        <v>0</v>
      </c>
      <c r="E98" s="253">
        <f>(E150/Population_Tables!R16)*Population_Tables!F16</f>
        <v>0</v>
      </c>
      <c r="F98" s="253">
        <f>(F150/Population_Tables!S16)*Population_Tables!G16</f>
        <v>0</v>
      </c>
      <c r="G98" s="253">
        <f>(G150/Population_Tables!T16)*Population_Tables!H16</f>
        <v>0</v>
      </c>
      <c r="H98" s="253">
        <f>(H150/Population_Tables!U16)*Population_Tables!I16</f>
        <v>0</v>
      </c>
      <c r="I98" s="253">
        <f>(I150/Population_Tables!V16)*Population_Tables!J16</f>
        <v>0</v>
      </c>
      <c r="J98" s="253">
        <f>(J150/Population_Tables!W16)*Population_Tables!K16</f>
        <v>0</v>
      </c>
      <c r="K98" s="253">
        <f>(K150/Population_Tables!X16)*Population_Tables!L16</f>
        <v>0</v>
      </c>
      <c r="L98" s="170"/>
      <c r="M98" s="170"/>
      <c r="N98" s="195">
        <f t="shared" si="9"/>
        <v>0</v>
      </c>
      <c r="O98" s="195">
        <f t="shared" si="10"/>
        <v>0</v>
      </c>
      <c r="P98" s="195">
        <f t="shared" si="11"/>
        <v>0</v>
      </c>
      <c r="Q98" s="195">
        <f t="shared" si="12"/>
        <v>0</v>
      </c>
      <c r="R98" s="196" t="e">
        <f t="shared" si="13"/>
        <v>#DIV/0!</v>
      </c>
      <c r="S98" s="170"/>
      <c r="T98" s="170"/>
      <c r="U98" s="195">
        <f t="shared" si="18"/>
        <v>0</v>
      </c>
      <c r="V98" s="195">
        <f t="shared" si="14"/>
        <v>0</v>
      </c>
      <c r="W98" s="195">
        <f t="shared" si="14"/>
        <v>0</v>
      </c>
      <c r="X98" s="195">
        <f t="shared" si="17"/>
        <v>0</v>
      </c>
      <c r="Y98" s="207" t="e">
        <f t="shared" si="16"/>
        <v>#DIV/0!</v>
      </c>
      <c r="AC98" s="251" t="e">
        <f t="shared" si="15"/>
        <v>#DIV/0!</v>
      </c>
    </row>
    <row r="99" spans="1:29" ht="15.6" x14ac:dyDescent="0.3">
      <c r="A99" s="206">
        <v>2028</v>
      </c>
      <c r="B99" s="253">
        <f>(B151/Population_Tables!O17)*Population_Tables!C17</f>
        <v>10466.268528859842</v>
      </c>
      <c r="C99" s="253">
        <f>(C151/Population_Tables!P17)*Population_Tables!D17</f>
        <v>0</v>
      </c>
      <c r="D99" s="253">
        <f>(D151/Population_Tables!Q17)*Population_Tables!E17</f>
        <v>0</v>
      </c>
      <c r="E99" s="253">
        <f>(E151/Population_Tables!R17)*Population_Tables!F17</f>
        <v>0</v>
      </c>
      <c r="F99" s="253">
        <f>(F151/Population_Tables!S17)*Population_Tables!G17</f>
        <v>0</v>
      </c>
      <c r="G99" s="253">
        <f>(G151/Population_Tables!T17)*Population_Tables!H17</f>
        <v>0</v>
      </c>
      <c r="H99" s="253">
        <f>(H151/Population_Tables!U17)*Population_Tables!I17</f>
        <v>0</v>
      </c>
      <c r="I99" s="253">
        <f>(I151/Population_Tables!V17)*Population_Tables!J17</f>
        <v>0</v>
      </c>
      <c r="J99" s="253">
        <f>(J151/Population_Tables!W17)*Population_Tables!K17</f>
        <v>0</v>
      </c>
      <c r="K99" s="253">
        <f>(K151/Population_Tables!X17)*Population_Tables!L17</f>
        <v>0</v>
      </c>
      <c r="L99" s="170"/>
      <c r="M99" s="170"/>
      <c r="N99" s="195">
        <f t="shared" si="9"/>
        <v>0</v>
      </c>
      <c r="O99" s="195">
        <f t="shared" si="10"/>
        <v>0</v>
      </c>
      <c r="P99" s="195">
        <f t="shared" si="11"/>
        <v>0</v>
      </c>
      <c r="Q99" s="195">
        <f t="shared" si="12"/>
        <v>0</v>
      </c>
      <c r="R99" s="196" t="e">
        <f t="shared" si="13"/>
        <v>#DIV/0!</v>
      </c>
      <c r="S99" s="170"/>
      <c r="T99" s="170"/>
      <c r="U99" s="195">
        <f t="shared" si="18"/>
        <v>0</v>
      </c>
      <c r="V99" s="195">
        <f t="shared" si="14"/>
        <v>0</v>
      </c>
      <c r="W99" s="195">
        <f t="shared" si="14"/>
        <v>0</v>
      </c>
      <c r="X99" s="195">
        <f t="shared" si="17"/>
        <v>0</v>
      </c>
      <c r="Y99" s="207" t="e">
        <f t="shared" si="16"/>
        <v>#DIV/0!</v>
      </c>
      <c r="AC99" s="251" t="e">
        <f t="shared" si="15"/>
        <v>#DIV/0!</v>
      </c>
    </row>
    <row r="100" spans="1:29" ht="15.6" x14ac:dyDescent="0.3">
      <c r="A100" s="206">
        <v>2029</v>
      </c>
      <c r="B100" s="253">
        <f>(B152/Population_Tables!O18)*Population_Tables!C18</f>
        <v>10935.743947112242</v>
      </c>
      <c r="C100" s="253">
        <f>(C152/Population_Tables!P18)*Population_Tables!D18</f>
        <v>0</v>
      </c>
      <c r="D100" s="253">
        <f>(D152/Population_Tables!Q18)*Population_Tables!E18</f>
        <v>0</v>
      </c>
      <c r="E100" s="253">
        <f>(E152/Population_Tables!R18)*Population_Tables!F18</f>
        <v>0</v>
      </c>
      <c r="F100" s="253">
        <f>(F152/Population_Tables!S18)*Population_Tables!G18</f>
        <v>0</v>
      </c>
      <c r="G100" s="253">
        <f>(G152/Population_Tables!T18)*Population_Tables!H18</f>
        <v>0</v>
      </c>
      <c r="H100" s="253">
        <f>(H152/Population_Tables!U18)*Population_Tables!I18</f>
        <v>0</v>
      </c>
      <c r="I100" s="253">
        <f>(I152/Population_Tables!V18)*Population_Tables!J18</f>
        <v>0</v>
      </c>
      <c r="J100" s="253">
        <f>(J152/Population_Tables!W18)*Population_Tables!K18</f>
        <v>0</v>
      </c>
      <c r="K100" s="253">
        <f>(K152/Population_Tables!X18)*Population_Tables!L18</f>
        <v>0</v>
      </c>
      <c r="L100" s="170"/>
      <c r="M100" s="170"/>
      <c r="N100" s="195">
        <f t="shared" si="9"/>
        <v>0</v>
      </c>
      <c r="O100" s="195">
        <f t="shared" si="10"/>
        <v>0</v>
      </c>
      <c r="P100" s="195">
        <f t="shared" si="11"/>
        <v>0</v>
      </c>
      <c r="Q100" s="195">
        <f t="shared" si="12"/>
        <v>0</v>
      </c>
      <c r="R100" s="196" t="e">
        <f t="shared" si="13"/>
        <v>#DIV/0!</v>
      </c>
      <c r="S100" s="170"/>
      <c r="T100" s="170"/>
      <c r="U100" s="195">
        <f t="shared" si="18"/>
        <v>0</v>
      </c>
      <c r="V100" s="195">
        <f t="shared" si="14"/>
        <v>0</v>
      </c>
      <c r="W100" s="195">
        <f t="shared" si="14"/>
        <v>0</v>
      </c>
      <c r="X100" s="195">
        <f t="shared" si="17"/>
        <v>0</v>
      </c>
      <c r="Y100" s="207" t="e">
        <f t="shared" si="16"/>
        <v>#DIV/0!</v>
      </c>
      <c r="AC100" s="251" t="e">
        <f t="shared" si="15"/>
        <v>#DIV/0!</v>
      </c>
    </row>
    <row r="101" spans="1:29" ht="15.6" x14ac:dyDescent="0.3">
      <c r="A101" s="206">
        <v>2030</v>
      </c>
      <c r="B101" s="253">
        <f>(B153/Population_Tables!O19)*Population_Tables!C19</f>
        <v>11425.558378862079</v>
      </c>
      <c r="C101" s="253">
        <f>(C153/Population_Tables!P19)*Population_Tables!D19</f>
        <v>0</v>
      </c>
      <c r="D101" s="253">
        <f>(D153/Population_Tables!Q19)*Population_Tables!E19</f>
        <v>0</v>
      </c>
      <c r="E101" s="253">
        <f>(E153/Population_Tables!R19)*Population_Tables!F19</f>
        <v>0</v>
      </c>
      <c r="F101" s="253">
        <f>(F153/Population_Tables!S19)*Population_Tables!G19</f>
        <v>0</v>
      </c>
      <c r="G101" s="253">
        <f>(G153/Population_Tables!T19)*Population_Tables!H19</f>
        <v>0</v>
      </c>
      <c r="H101" s="253">
        <f>(H153/Population_Tables!U19)*Population_Tables!I19</f>
        <v>0</v>
      </c>
      <c r="I101" s="253">
        <f>(I153/Population_Tables!V19)*Population_Tables!J19</f>
        <v>0</v>
      </c>
      <c r="J101" s="253">
        <f>(J153/Population_Tables!W19)*Population_Tables!K19</f>
        <v>0</v>
      </c>
      <c r="K101" s="253">
        <f>(K153/Population_Tables!X19)*Population_Tables!L19</f>
        <v>0</v>
      </c>
      <c r="L101" s="170"/>
      <c r="M101" s="170"/>
      <c r="N101" s="195">
        <f t="shared" si="9"/>
        <v>0</v>
      </c>
      <c r="O101" s="195">
        <f t="shared" si="10"/>
        <v>0</v>
      </c>
      <c r="P101" s="195">
        <f t="shared" si="11"/>
        <v>0</v>
      </c>
      <c r="Q101" s="195">
        <f t="shared" si="12"/>
        <v>0</v>
      </c>
      <c r="R101" s="196" t="e">
        <f t="shared" si="13"/>
        <v>#DIV/0!</v>
      </c>
      <c r="S101" s="170"/>
      <c r="T101" s="170"/>
      <c r="U101" s="195">
        <f t="shared" si="18"/>
        <v>0</v>
      </c>
      <c r="V101" s="195">
        <f t="shared" si="14"/>
        <v>0</v>
      </c>
      <c r="W101" s="195">
        <f t="shared" si="14"/>
        <v>0</v>
      </c>
      <c r="X101" s="195">
        <f t="shared" si="17"/>
        <v>0</v>
      </c>
      <c r="Y101" s="207" t="e">
        <f t="shared" si="16"/>
        <v>#DIV/0!</v>
      </c>
      <c r="AC101" s="251" t="e">
        <f t="shared" si="15"/>
        <v>#DIV/0!</v>
      </c>
    </row>
    <row r="102" spans="1:29" ht="15.6" x14ac:dyDescent="0.3">
      <c r="A102" s="206">
        <v>2031</v>
      </c>
      <c r="B102" s="253">
        <f>(B154/Population_Tables!O20)*Population_Tables!C20</f>
        <v>11936.384082234394</v>
      </c>
      <c r="C102" s="253">
        <f>(C154/Population_Tables!P20)*Population_Tables!D20</f>
        <v>0</v>
      </c>
      <c r="D102" s="253">
        <f>(D154/Population_Tables!Q20)*Population_Tables!E20</f>
        <v>0</v>
      </c>
      <c r="E102" s="253">
        <f>(E154/Population_Tables!R20)*Population_Tables!F20</f>
        <v>0</v>
      </c>
      <c r="F102" s="253">
        <f>(F154/Population_Tables!S20)*Population_Tables!G20</f>
        <v>0</v>
      </c>
      <c r="G102" s="253">
        <f>(G154/Population_Tables!T20)*Population_Tables!H20</f>
        <v>0</v>
      </c>
      <c r="H102" s="253">
        <f>(H154/Population_Tables!U20)*Population_Tables!I20</f>
        <v>0</v>
      </c>
      <c r="I102" s="253">
        <f>(I154/Population_Tables!V20)*Population_Tables!J20</f>
        <v>0</v>
      </c>
      <c r="J102" s="253">
        <f>(J154/Population_Tables!W20)*Population_Tables!K20</f>
        <v>0</v>
      </c>
      <c r="K102" s="253">
        <f>(K154/Population_Tables!X20)*Population_Tables!L20</f>
        <v>0</v>
      </c>
      <c r="L102" s="170"/>
      <c r="M102" s="170"/>
      <c r="N102" s="195">
        <f t="shared" si="9"/>
        <v>0</v>
      </c>
      <c r="O102" s="195">
        <f t="shared" si="10"/>
        <v>0</v>
      </c>
      <c r="P102" s="195">
        <f t="shared" si="11"/>
        <v>0</v>
      </c>
      <c r="Q102" s="195">
        <f t="shared" si="12"/>
        <v>0</v>
      </c>
      <c r="R102" s="196" t="e">
        <f t="shared" si="13"/>
        <v>#DIV/0!</v>
      </c>
      <c r="S102" s="170"/>
      <c r="T102" s="170"/>
      <c r="U102" s="195">
        <f t="shared" si="18"/>
        <v>0</v>
      </c>
      <c r="V102" s="195">
        <f t="shared" si="14"/>
        <v>0</v>
      </c>
      <c r="W102" s="195">
        <f t="shared" si="14"/>
        <v>0</v>
      </c>
      <c r="X102" s="195">
        <f t="shared" si="17"/>
        <v>0</v>
      </c>
      <c r="Y102" s="207" t="e">
        <f t="shared" si="16"/>
        <v>#DIV/0!</v>
      </c>
      <c r="AC102" s="251" t="e">
        <f t="shared" si="15"/>
        <v>#DIV/0!</v>
      </c>
    </row>
    <row r="103" spans="1:29" ht="15.6" x14ac:dyDescent="0.3">
      <c r="A103" s="206">
        <v>2032</v>
      </c>
      <c r="B103" s="253">
        <f>(B155/Population_Tables!O21)*Population_Tables!C21</f>
        <v>12468.712916702976</v>
      </c>
      <c r="C103" s="253">
        <f>(C155/Population_Tables!P21)*Population_Tables!D21</f>
        <v>0</v>
      </c>
      <c r="D103" s="253">
        <f>(D155/Population_Tables!Q21)*Population_Tables!E21</f>
        <v>0</v>
      </c>
      <c r="E103" s="253">
        <f>(E155/Population_Tables!R21)*Population_Tables!F21</f>
        <v>0</v>
      </c>
      <c r="F103" s="253">
        <f>(F155/Population_Tables!S21)*Population_Tables!G21</f>
        <v>0</v>
      </c>
      <c r="G103" s="253">
        <f>(G155/Population_Tables!T21)*Population_Tables!H21</f>
        <v>0</v>
      </c>
      <c r="H103" s="253">
        <f>(H155/Population_Tables!U21)*Population_Tables!I21</f>
        <v>0</v>
      </c>
      <c r="I103" s="253">
        <f>(I155/Population_Tables!V21)*Population_Tables!J21</f>
        <v>0</v>
      </c>
      <c r="J103" s="253">
        <f>(J155/Population_Tables!W21)*Population_Tables!K21</f>
        <v>0</v>
      </c>
      <c r="K103" s="253">
        <f>(K155/Population_Tables!X21)*Population_Tables!L21</f>
        <v>0</v>
      </c>
      <c r="L103" s="170"/>
      <c r="M103" s="170"/>
      <c r="N103" s="195">
        <f t="shared" si="9"/>
        <v>0</v>
      </c>
      <c r="O103" s="195">
        <f t="shared" si="10"/>
        <v>0</v>
      </c>
      <c r="P103" s="195">
        <f t="shared" si="11"/>
        <v>0</v>
      </c>
      <c r="Q103" s="195">
        <f t="shared" si="12"/>
        <v>0</v>
      </c>
      <c r="R103" s="196" t="e">
        <f t="shared" si="13"/>
        <v>#DIV/0!</v>
      </c>
      <c r="S103" s="170"/>
      <c r="T103" s="170"/>
      <c r="U103" s="195">
        <f t="shared" si="18"/>
        <v>0</v>
      </c>
      <c r="V103" s="195">
        <f t="shared" si="14"/>
        <v>0</v>
      </c>
      <c r="W103" s="195">
        <f t="shared" si="14"/>
        <v>0</v>
      </c>
      <c r="X103" s="195">
        <f t="shared" si="17"/>
        <v>0</v>
      </c>
      <c r="Y103" s="207" t="e">
        <f t="shared" si="16"/>
        <v>#DIV/0!</v>
      </c>
      <c r="AC103" s="251" t="e">
        <f t="shared" si="15"/>
        <v>#DIV/0!</v>
      </c>
    </row>
    <row r="104" spans="1:29" ht="15.6" x14ac:dyDescent="0.3">
      <c r="A104" s="206">
        <v>2033</v>
      </c>
      <c r="B104" s="253">
        <f>(B156/Population_Tables!O22)*Population_Tables!C22</f>
        <v>13022.710626133769</v>
      </c>
      <c r="C104" s="253">
        <f>(C156/Population_Tables!P22)*Population_Tables!D22</f>
        <v>0</v>
      </c>
      <c r="D104" s="253">
        <f>(D156/Population_Tables!Q22)*Population_Tables!E22</f>
        <v>0</v>
      </c>
      <c r="E104" s="253">
        <f>(E156/Population_Tables!R22)*Population_Tables!F22</f>
        <v>0</v>
      </c>
      <c r="F104" s="253">
        <f>(F156/Population_Tables!S22)*Population_Tables!G22</f>
        <v>0</v>
      </c>
      <c r="G104" s="253">
        <f>(G156/Population_Tables!T22)*Population_Tables!H22</f>
        <v>0</v>
      </c>
      <c r="H104" s="253">
        <f>(H156/Population_Tables!U22)*Population_Tables!I22</f>
        <v>0</v>
      </c>
      <c r="I104" s="253">
        <f>(I156/Population_Tables!V22)*Population_Tables!J22</f>
        <v>0</v>
      </c>
      <c r="J104" s="253">
        <f>(J156/Population_Tables!W22)*Population_Tables!K22</f>
        <v>0</v>
      </c>
      <c r="K104" s="253">
        <f>(K156/Population_Tables!X22)*Population_Tables!L22</f>
        <v>0</v>
      </c>
      <c r="L104" s="170"/>
      <c r="M104" s="170"/>
      <c r="N104" s="195">
        <f t="shared" si="9"/>
        <v>0</v>
      </c>
      <c r="O104" s="195">
        <f t="shared" si="10"/>
        <v>0</v>
      </c>
      <c r="P104" s="195">
        <f t="shared" si="11"/>
        <v>0</v>
      </c>
      <c r="Q104" s="195">
        <f t="shared" si="12"/>
        <v>0</v>
      </c>
      <c r="R104" s="196" t="e">
        <f t="shared" si="13"/>
        <v>#DIV/0!</v>
      </c>
      <c r="S104" s="170"/>
      <c r="T104" s="170"/>
      <c r="U104" s="195">
        <f t="shared" si="18"/>
        <v>0</v>
      </c>
      <c r="V104" s="195">
        <f t="shared" si="14"/>
        <v>0</v>
      </c>
      <c r="W104" s="195">
        <f t="shared" si="14"/>
        <v>0</v>
      </c>
      <c r="X104" s="195">
        <f t="shared" si="17"/>
        <v>0</v>
      </c>
      <c r="Y104" s="207" t="e">
        <f t="shared" si="16"/>
        <v>#DIV/0!</v>
      </c>
      <c r="AC104" s="251" t="e">
        <f t="shared" si="15"/>
        <v>#DIV/0!</v>
      </c>
    </row>
    <row r="105" spans="1:29" ht="15.6" x14ac:dyDescent="0.3">
      <c r="A105" s="206">
        <v>2034</v>
      </c>
      <c r="B105" s="253">
        <f>(B157/Population_Tables!O23)*Population_Tables!C23</f>
        <v>13598.323831571781</v>
      </c>
      <c r="C105" s="253">
        <f>(C157/Population_Tables!P23)*Population_Tables!D23</f>
        <v>0</v>
      </c>
      <c r="D105" s="253">
        <f>(D157/Population_Tables!Q23)*Population_Tables!E23</f>
        <v>0</v>
      </c>
      <c r="E105" s="253">
        <f>(E157/Population_Tables!R23)*Population_Tables!F23</f>
        <v>0</v>
      </c>
      <c r="F105" s="253">
        <f>(F157/Population_Tables!S23)*Population_Tables!G23</f>
        <v>0</v>
      </c>
      <c r="G105" s="253">
        <f>(G157/Population_Tables!T23)*Population_Tables!H23</f>
        <v>0</v>
      </c>
      <c r="H105" s="253">
        <f>(H157/Population_Tables!U23)*Population_Tables!I23</f>
        <v>0</v>
      </c>
      <c r="I105" s="253">
        <f>(I157/Population_Tables!V23)*Population_Tables!J23</f>
        <v>0</v>
      </c>
      <c r="J105" s="253">
        <f>(J157/Population_Tables!W23)*Population_Tables!K23</f>
        <v>0</v>
      </c>
      <c r="K105" s="253">
        <f>(K157/Population_Tables!X23)*Population_Tables!L23</f>
        <v>0</v>
      </c>
      <c r="L105" s="170"/>
      <c r="M105" s="170"/>
      <c r="N105" s="195">
        <f t="shared" si="9"/>
        <v>0</v>
      </c>
      <c r="O105" s="195">
        <f t="shared" si="10"/>
        <v>0</v>
      </c>
      <c r="P105" s="195">
        <f t="shared" si="11"/>
        <v>0</v>
      </c>
      <c r="Q105" s="195">
        <f t="shared" si="12"/>
        <v>0</v>
      </c>
      <c r="R105" s="196" t="e">
        <f t="shared" si="13"/>
        <v>#DIV/0!</v>
      </c>
      <c r="S105" s="170"/>
      <c r="T105" s="170"/>
      <c r="U105" s="195">
        <f t="shared" si="18"/>
        <v>0</v>
      </c>
      <c r="V105" s="195">
        <f t="shared" si="14"/>
        <v>0</v>
      </c>
      <c r="W105" s="195">
        <f t="shared" si="14"/>
        <v>0</v>
      </c>
      <c r="X105" s="195">
        <f t="shared" si="17"/>
        <v>0</v>
      </c>
      <c r="Y105" s="207" t="e">
        <f t="shared" si="16"/>
        <v>#DIV/0!</v>
      </c>
      <c r="AC105" s="251" t="e">
        <f t="shared" si="15"/>
        <v>#DIV/0!</v>
      </c>
    </row>
    <row r="106" spans="1:29" ht="15.6" x14ac:dyDescent="0.3">
      <c r="A106" s="206">
        <v>2035</v>
      </c>
      <c r="B106" s="253">
        <f>(B158/Population_Tables!O24)*Population_Tables!C24</f>
        <v>14195.623883118309</v>
      </c>
      <c r="C106" s="253">
        <f>(C158/Population_Tables!P24)*Population_Tables!D24</f>
        <v>0</v>
      </c>
      <c r="D106" s="253">
        <f>(D158/Population_Tables!Q24)*Population_Tables!E24</f>
        <v>0</v>
      </c>
      <c r="E106" s="253">
        <f>(E158/Population_Tables!R24)*Population_Tables!F24</f>
        <v>0</v>
      </c>
      <c r="F106" s="253">
        <f>(F158/Population_Tables!S24)*Population_Tables!G24</f>
        <v>0</v>
      </c>
      <c r="G106" s="253">
        <f>(G158/Population_Tables!T24)*Population_Tables!H24</f>
        <v>0</v>
      </c>
      <c r="H106" s="253">
        <f>(H158/Population_Tables!U24)*Population_Tables!I24</f>
        <v>0</v>
      </c>
      <c r="I106" s="253">
        <f>(I158/Population_Tables!V24)*Population_Tables!J24</f>
        <v>0</v>
      </c>
      <c r="J106" s="253">
        <f>(J158/Population_Tables!W24)*Population_Tables!K24</f>
        <v>0</v>
      </c>
      <c r="K106" s="253">
        <f>(K158/Population_Tables!X24)*Population_Tables!L24</f>
        <v>0</v>
      </c>
      <c r="L106" s="170"/>
      <c r="M106" s="170"/>
      <c r="N106" s="195">
        <f t="shared" si="9"/>
        <v>0</v>
      </c>
      <c r="O106" s="195">
        <f t="shared" si="10"/>
        <v>0</v>
      </c>
      <c r="P106" s="195">
        <f t="shared" si="11"/>
        <v>0</v>
      </c>
      <c r="Q106" s="195">
        <f t="shared" si="12"/>
        <v>0</v>
      </c>
      <c r="R106" s="196" t="e">
        <f t="shared" si="13"/>
        <v>#DIV/0!</v>
      </c>
      <c r="S106" s="170"/>
      <c r="T106" s="170"/>
      <c r="U106" s="195">
        <f t="shared" si="18"/>
        <v>0</v>
      </c>
      <c r="V106" s="195">
        <f t="shared" si="14"/>
        <v>0</v>
      </c>
      <c r="W106" s="195">
        <f t="shared" si="14"/>
        <v>0</v>
      </c>
      <c r="X106" s="195">
        <f t="shared" si="17"/>
        <v>0</v>
      </c>
      <c r="Y106" s="207" t="e">
        <f t="shared" si="16"/>
        <v>#DIV/0!</v>
      </c>
      <c r="AC106" s="251" t="e">
        <f t="shared" si="15"/>
        <v>#DIV/0!</v>
      </c>
    </row>
    <row r="107" spans="1:29" ht="15.6" x14ac:dyDescent="0.3">
      <c r="A107" s="206">
        <v>2036</v>
      </c>
      <c r="B107" s="253">
        <f>(B159/Population_Tables!O25)*Population_Tables!C25</f>
        <v>14814.946216941275</v>
      </c>
      <c r="C107" s="253">
        <f>(C159/Population_Tables!P25)*Population_Tables!D25</f>
        <v>0</v>
      </c>
      <c r="D107" s="253">
        <f>(D159/Population_Tables!Q25)*Population_Tables!E25</f>
        <v>0</v>
      </c>
      <c r="E107" s="253">
        <f>(E159/Population_Tables!R25)*Population_Tables!F25</f>
        <v>0</v>
      </c>
      <c r="F107" s="253">
        <f>(F159/Population_Tables!S25)*Population_Tables!G25</f>
        <v>0</v>
      </c>
      <c r="G107" s="253">
        <f>(G159/Population_Tables!T25)*Population_Tables!H25</f>
        <v>0</v>
      </c>
      <c r="H107" s="253">
        <f>(H159/Population_Tables!U25)*Population_Tables!I25</f>
        <v>0</v>
      </c>
      <c r="I107" s="253">
        <f>(I159/Population_Tables!V25)*Population_Tables!J25</f>
        <v>0</v>
      </c>
      <c r="J107" s="253">
        <f>(J159/Population_Tables!W25)*Population_Tables!K25</f>
        <v>0</v>
      </c>
      <c r="K107" s="253">
        <f>(K159/Population_Tables!X25)*Population_Tables!L25</f>
        <v>0</v>
      </c>
      <c r="L107" s="170"/>
      <c r="M107" s="170"/>
      <c r="N107" s="195">
        <f t="shared" si="9"/>
        <v>0</v>
      </c>
      <c r="O107" s="195">
        <f t="shared" si="10"/>
        <v>0</v>
      </c>
      <c r="P107" s="195">
        <f t="shared" si="11"/>
        <v>0</v>
      </c>
      <c r="Q107" s="195">
        <f t="shared" si="12"/>
        <v>0</v>
      </c>
      <c r="R107" s="196" t="e">
        <f t="shared" si="13"/>
        <v>#DIV/0!</v>
      </c>
      <c r="S107" s="170"/>
      <c r="T107" s="170"/>
      <c r="U107" s="195">
        <f t="shared" si="18"/>
        <v>0</v>
      </c>
      <c r="V107" s="195">
        <f t="shared" si="14"/>
        <v>0</v>
      </c>
      <c r="W107" s="195">
        <f t="shared" si="14"/>
        <v>0</v>
      </c>
      <c r="X107" s="195">
        <f t="shared" si="17"/>
        <v>0</v>
      </c>
      <c r="Y107" s="207" t="e">
        <f t="shared" si="16"/>
        <v>#DIV/0!</v>
      </c>
      <c r="AC107" s="251" t="e">
        <f t="shared" si="15"/>
        <v>#DIV/0!</v>
      </c>
    </row>
    <row r="108" spans="1:29" ht="15.6" x14ac:dyDescent="0.3">
      <c r="A108" s="206">
        <v>2037</v>
      </c>
      <c r="B108" s="253">
        <f>(B160/Population_Tables!O26)*Population_Tables!C26</f>
        <v>15456.970543964186</v>
      </c>
      <c r="C108" s="253">
        <f>(C160/Population_Tables!P26)*Population_Tables!D26</f>
        <v>0</v>
      </c>
      <c r="D108" s="253">
        <f>(D160/Population_Tables!Q26)*Population_Tables!E26</f>
        <v>0</v>
      </c>
      <c r="E108" s="253">
        <f>(E160/Population_Tables!R26)*Population_Tables!F26</f>
        <v>0</v>
      </c>
      <c r="F108" s="253">
        <f>(F160/Population_Tables!S26)*Population_Tables!G26</f>
        <v>0</v>
      </c>
      <c r="G108" s="253">
        <f>(G160/Population_Tables!T26)*Population_Tables!H26</f>
        <v>0</v>
      </c>
      <c r="H108" s="253">
        <f>(H160/Population_Tables!U26)*Population_Tables!I26</f>
        <v>0</v>
      </c>
      <c r="I108" s="253">
        <f>(I160/Population_Tables!V26)*Population_Tables!J26</f>
        <v>0</v>
      </c>
      <c r="J108" s="253">
        <f>(J160/Population_Tables!W26)*Population_Tables!K26</f>
        <v>0</v>
      </c>
      <c r="K108" s="253">
        <f>(K160/Population_Tables!X26)*Population_Tables!L26</f>
        <v>0</v>
      </c>
      <c r="L108" s="170"/>
      <c r="M108" s="170"/>
      <c r="N108" s="195">
        <f t="shared" si="9"/>
        <v>0</v>
      </c>
      <c r="O108" s="195">
        <f t="shared" si="10"/>
        <v>0</v>
      </c>
      <c r="P108" s="195">
        <f t="shared" si="11"/>
        <v>0</v>
      </c>
      <c r="Q108" s="195">
        <f t="shared" si="12"/>
        <v>0</v>
      </c>
      <c r="R108" s="196" t="e">
        <f t="shared" si="13"/>
        <v>#DIV/0!</v>
      </c>
      <c r="S108" s="170"/>
      <c r="T108" s="170"/>
      <c r="U108" s="195">
        <f t="shared" si="18"/>
        <v>0</v>
      </c>
      <c r="V108" s="195">
        <f t="shared" si="14"/>
        <v>0</v>
      </c>
      <c r="W108" s="195">
        <f t="shared" si="14"/>
        <v>0</v>
      </c>
      <c r="X108" s="195">
        <f t="shared" si="17"/>
        <v>0</v>
      </c>
      <c r="Y108" s="207" t="e">
        <f t="shared" si="16"/>
        <v>#DIV/0!</v>
      </c>
      <c r="AC108" s="251" t="e">
        <f t="shared" si="15"/>
        <v>#DIV/0!</v>
      </c>
    </row>
    <row r="109" spans="1:29" ht="15.6" x14ac:dyDescent="0.3">
      <c r="A109" s="206">
        <v>2038</v>
      </c>
      <c r="B109" s="253">
        <f>(B161/Population_Tables!O27)*Population_Tables!C27</f>
        <v>16122.538851910556</v>
      </c>
      <c r="C109" s="253">
        <f>(C161/Population_Tables!P27)*Population_Tables!D27</f>
        <v>0</v>
      </c>
      <c r="D109" s="253">
        <f>(D161/Population_Tables!Q27)*Population_Tables!E27</f>
        <v>0</v>
      </c>
      <c r="E109" s="253">
        <f>(E161/Population_Tables!R27)*Population_Tables!F27</f>
        <v>0</v>
      </c>
      <c r="F109" s="253">
        <f>(F161/Population_Tables!S27)*Population_Tables!G27</f>
        <v>0</v>
      </c>
      <c r="G109" s="253">
        <f>(G161/Population_Tables!T27)*Population_Tables!H27</f>
        <v>0</v>
      </c>
      <c r="H109" s="253">
        <f>(H161/Population_Tables!U27)*Population_Tables!I27</f>
        <v>0</v>
      </c>
      <c r="I109" s="253">
        <f>(I161/Population_Tables!V27)*Population_Tables!J27</f>
        <v>0</v>
      </c>
      <c r="J109" s="253">
        <f>(J161/Population_Tables!W27)*Population_Tables!K27</f>
        <v>0</v>
      </c>
      <c r="K109" s="253">
        <f>(K161/Population_Tables!X27)*Population_Tables!L27</f>
        <v>0</v>
      </c>
      <c r="L109" s="170"/>
      <c r="M109" s="170"/>
      <c r="N109" s="195">
        <f t="shared" si="9"/>
        <v>0</v>
      </c>
      <c r="O109" s="195">
        <f t="shared" si="10"/>
        <v>0</v>
      </c>
      <c r="P109" s="195">
        <f t="shared" si="11"/>
        <v>0</v>
      </c>
      <c r="Q109" s="195">
        <f t="shared" si="12"/>
        <v>0</v>
      </c>
      <c r="R109" s="196" t="e">
        <f t="shared" si="13"/>
        <v>#DIV/0!</v>
      </c>
      <c r="S109" s="170"/>
      <c r="T109" s="170"/>
      <c r="U109" s="195">
        <f t="shared" si="18"/>
        <v>0</v>
      </c>
      <c r="V109" s="195">
        <f t="shared" si="14"/>
        <v>0</v>
      </c>
      <c r="W109" s="195">
        <f t="shared" si="14"/>
        <v>0</v>
      </c>
      <c r="X109" s="195">
        <f t="shared" si="17"/>
        <v>0</v>
      </c>
      <c r="Y109" s="207" t="e">
        <f t="shared" si="16"/>
        <v>#DIV/0!</v>
      </c>
      <c r="AC109" s="251" t="e">
        <f t="shared" si="15"/>
        <v>#DIV/0!</v>
      </c>
    </row>
    <row r="110" spans="1:29" ht="15.6" x14ac:dyDescent="0.3">
      <c r="A110" s="206">
        <v>2039</v>
      </c>
      <c r="B110" s="253">
        <f>(B162/Population_Tables!O28)*Population_Tables!C28</f>
        <v>16812.72948011418</v>
      </c>
      <c r="C110" s="253">
        <f>(C162/Population_Tables!P28)*Population_Tables!D28</f>
        <v>0</v>
      </c>
      <c r="D110" s="253">
        <f>(D162/Population_Tables!Q28)*Population_Tables!E28</f>
        <v>0</v>
      </c>
      <c r="E110" s="253">
        <f>(E162/Population_Tables!R28)*Population_Tables!F28</f>
        <v>0</v>
      </c>
      <c r="F110" s="253">
        <f>(F162/Population_Tables!S28)*Population_Tables!G28</f>
        <v>0</v>
      </c>
      <c r="G110" s="253">
        <f>(G162/Population_Tables!T28)*Population_Tables!H28</f>
        <v>0</v>
      </c>
      <c r="H110" s="253">
        <f>(H162/Population_Tables!U28)*Population_Tables!I28</f>
        <v>0</v>
      </c>
      <c r="I110" s="253">
        <f>(I162/Population_Tables!V28)*Population_Tables!J28</f>
        <v>0</v>
      </c>
      <c r="J110" s="253">
        <f>(J162/Population_Tables!W28)*Population_Tables!K28</f>
        <v>0</v>
      </c>
      <c r="K110" s="253">
        <f>(K162/Population_Tables!X28)*Population_Tables!L28</f>
        <v>0</v>
      </c>
      <c r="L110" s="170"/>
      <c r="M110" s="170"/>
      <c r="N110" s="195">
        <f t="shared" si="9"/>
        <v>0</v>
      </c>
      <c r="O110" s="195">
        <f t="shared" si="10"/>
        <v>0</v>
      </c>
      <c r="P110" s="195">
        <f t="shared" si="11"/>
        <v>0</v>
      </c>
      <c r="Q110" s="195">
        <f t="shared" si="12"/>
        <v>0</v>
      </c>
      <c r="R110" s="196" t="e">
        <f t="shared" si="13"/>
        <v>#DIV/0!</v>
      </c>
      <c r="S110" s="170"/>
      <c r="T110" s="170"/>
      <c r="U110" s="195">
        <f t="shared" si="18"/>
        <v>0</v>
      </c>
      <c r="V110" s="195">
        <f t="shared" si="14"/>
        <v>0</v>
      </c>
      <c r="W110" s="195">
        <f t="shared" si="14"/>
        <v>0</v>
      </c>
      <c r="X110" s="195">
        <f t="shared" si="17"/>
        <v>0</v>
      </c>
      <c r="Y110" s="207" t="e">
        <f t="shared" si="16"/>
        <v>#DIV/0!</v>
      </c>
      <c r="AC110" s="251" t="e">
        <f t="shared" si="15"/>
        <v>#DIV/0!</v>
      </c>
    </row>
    <row r="111" spans="1:29" ht="15.6" x14ac:dyDescent="0.3">
      <c r="A111" s="206">
        <v>2040</v>
      </c>
      <c r="B111" s="253">
        <f>(B163/Population_Tables!O29)*Population_Tables!C29</f>
        <v>17528.60483206591</v>
      </c>
      <c r="C111" s="253">
        <f>(C163/Population_Tables!P29)*Population_Tables!D29</f>
        <v>0</v>
      </c>
      <c r="D111" s="253">
        <f>(D163/Population_Tables!Q29)*Population_Tables!E29</f>
        <v>0</v>
      </c>
      <c r="E111" s="253">
        <f>(E163/Population_Tables!R29)*Population_Tables!F29</f>
        <v>0</v>
      </c>
      <c r="F111" s="253">
        <f>(F163/Population_Tables!S29)*Population_Tables!G29</f>
        <v>0</v>
      </c>
      <c r="G111" s="253">
        <f>(G163/Population_Tables!T29)*Population_Tables!H29</f>
        <v>0</v>
      </c>
      <c r="H111" s="253">
        <f>(H163/Population_Tables!U29)*Population_Tables!I29</f>
        <v>0</v>
      </c>
      <c r="I111" s="253">
        <f>(I163/Population_Tables!V29)*Population_Tables!J29</f>
        <v>0</v>
      </c>
      <c r="J111" s="253">
        <f>(J163/Population_Tables!W29)*Population_Tables!K29</f>
        <v>0</v>
      </c>
      <c r="K111" s="253">
        <f>(K163/Population_Tables!X29)*Population_Tables!L29</f>
        <v>0</v>
      </c>
      <c r="L111" s="170"/>
      <c r="M111" s="170"/>
      <c r="N111" s="195">
        <f t="shared" si="9"/>
        <v>0</v>
      </c>
      <c r="O111" s="195">
        <f t="shared" si="10"/>
        <v>0</v>
      </c>
      <c r="P111" s="195">
        <f t="shared" si="11"/>
        <v>0</v>
      </c>
      <c r="Q111" s="195">
        <f t="shared" si="12"/>
        <v>0</v>
      </c>
      <c r="R111" s="196" t="e">
        <f>N111/Q111</f>
        <v>#DIV/0!</v>
      </c>
      <c r="S111" s="170"/>
      <c r="T111" s="170"/>
      <c r="U111" s="195">
        <f t="shared" si="18"/>
        <v>0</v>
      </c>
      <c r="V111" s="195">
        <f t="shared" si="14"/>
        <v>0</v>
      </c>
      <c r="W111" s="195">
        <f t="shared" si="14"/>
        <v>0</v>
      </c>
      <c r="X111" s="195">
        <f t="shared" si="17"/>
        <v>0</v>
      </c>
      <c r="Y111" s="207" t="e">
        <f t="shared" si="16"/>
        <v>#DIV/0!</v>
      </c>
      <c r="AC111" s="251" t="e">
        <f t="shared" si="15"/>
        <v>#DIV/0!</v>
      </c>
    </row>
    <row r="112" spans="1:29" ht="15.6" x14ac:dyDescent="0.3">
      <c r="A112" s="206">
        <v>2041</v>
      </c>
      <c r="B112" s="253">
        <f>(B164/Population_Tables!O30)*Population_Tables!C30</f>
        <v>18270.963053876359</v>
      </c>
      <c r="C112" s="253">
        <f>(C164/Population_Tables!P30)*Population_Tables!D30</f>
        <v>0</v>
      </c>
      <c r="D112" s="253">
        <f>(D164/Population_Tables!Q30)*Population_Tables!E30</f>
        <v>0</v>
      </c>
      <c r="E112" s="253">
        <f>(E164/Population_Tables!R30)*Population_Tables!F30</f>
        <v>0</v>
      </c>
      <c r="F112" s="253">
        <f>(F164/Population_Tables!S30)*Population_Tables!G30</f>
        <v>0</v>
      </c>
      <c r="G112" s="253">
        <f>(G164/Population_Tables!T30)*Population_Tables!H30</f>
        <v>0</v>
      </c>
      <c r="H112" s="253">
        <f>(H164/Population_Tables!U30)*Population_Tables!I30</f>
        <v>0</v>
      </c>
      <c r="I112" s="253">
        <f>(I164/Population_Tables!V30)*Population_Tables!J30</f>
        <v>0</v>
      </c>
      <c r="J112" s="253">
        <f>(J164/Population_Tables!W30)*Population_Tables!K30</f>
        <v>0</v>
      </c>
      <c r="K112" s="253">
        <f>(K164/Population_Tables!X30)*Population_Tables!L30</f>
        <v>0</v>
      </c>
      <c r="L112" s="170"/>
      <c r="M112" s="170"/>
      <c r="N112" s="195">
        <f t="shared" si="9"/>
        <v>0</v>
      </c>
      <c r="O112" s="195">
        <f t="shared" si="10"/>
        <v>0</v>
      </c>
      <c r="P112" s="195">
        <f t="shared" si="11"/>
        <v>0</v>
      </c>
      <c r="Q112" s="195">
        <f t="shared" si="12"/>
        <v>0</v>
      </c>
      <c r="R112" s="196" t="e">
        <f t="shared" si="13"/>
        <v>#DIV/0!</v>
      </c>
      <c r="S112" s="170"/>
      <c r="T112" s="170"/>
      <c r="U112" s="195">
        <f t="shared" si="18"/>
        <v>0</v>
      </c>
      <c r="V112" s="195">
        <f t="shared" si="14"/>
        <v>0</v>
      </c>
      <c r="W112" s="195">
        <f t="shared" si="14"/>
        <v>0</v>
      </c>
      <c r="X112" s="195">
        <f t="shared" si="17"/>
        <v>0</v>
      </c>
      <c r="Y112" s="207" t="e">
        <f t="shared" si="16"/>
        <v>#DIV/0!</v>
      </c>
      <c r="AC112" s="251" t="e">
        <f t="shared" si="15"/>
        <v>#DIV/0!</v>
      </c>
    </row>
    <row r="113" spans="1:29" ht="15.6" x14ac:dyDescent="0.3">
      <c r="A113" s="206">
        <v>2042</v>
      </c>
      <c r="B113" s="253">
        <f>(B165/Population_Tables!O31)*Population_Tables!C31</f>
        <v>19040.539362961474</v>
      </c>
      <c r="C113" s="253">
        <f>(C165/Population_Tables!P31)*Population_Tables!D31</f>
        <v>0</v>
      </c>
      <c r="D113" s="253">
        <f>(D165/Population_Tables!Q31)*Population_Tables!E31</f>
        <v>0</v>
      </c>
      <c r="E113" s="253">
        <f>(E165/Population_Tables!R31)*Population_Tables!F31</f>
        <v>0</v>
      </c>
      <c r="F113" s="253">
        <f>(F165/Population_Tables!S31)*Population_Tables!G31</f>
        <v>0</v>
      </c>
      <c r="G113" s="253">
        <f>(G165/Population_Tables!T31)*Population_Tables!H31</f>
        <v>0</v>
      </c>
      <c r="H113" s="253">
        <f>(H165/Population_Tables!U31)*Population_Tables!I31</f>
        <v>0</v>
      </c>
      <c r="I113" s="253">
        <f>(I165/Population_Tables!V31)*Population_Tables!J31</f>
        <v>0</v>
      </c>
      <c r="J113" s="253">
        <f>(J165/Population_Tables!W31)*Population_Tables!K31</f>
        <v>0</v>
      </c>
      <c r="K113" s="253">
        <f>(K165/Population_Tables!X31)*Population_Tables!L31</f>
        <v>0</v>
      </c>
      <c r="L113" s="170"/>
      <c r="M113" s="170"/>
      <c r="N113" s="195">
        <f t="shared" si="9"/>
        <v>0</v>
      </c>
      <c r="O113" s="195">
        <f t="shared" si="10"/>
        <v>0</v>
      </c>
      <c r="P113" s="195">
        <f t="shared" si="11"/>
        <v>0</v>
      </c>
      <c r="Q113" s="195">
        <f t="shared" si="12"/>
        <v>0</v>
      </c>
      <c r="R113" s="196" t="e">
        <f t="shared" si="13"/>
        <v>#DIV/0!</v>
      </c>
      <c r="S113" s="170"/>
      <c r="T113" s="170"/>
      <c r="U113" s="195">
        <f t="shared" si="18"/>
        <v>0</v>
      </c>
      <c r="V113" s="195">
        <f t="shared" si="14"/>
        <v>0</v>
      </c>
      <c r="W113" s="195">
        <f t="shared" si="14"/>
        <v>0</v>
      </c>
      <c r="X113" s="195">
        <f t="shared" si="17"/>
        <v>0</v>
      </c>
      <c r="Y113" s="207" t="e">
        <f t="shared" si="16"/>
        <v>#DIV/0!</v>
      </c>
      <c r="AC113" s="251" t="e">
        <f t="shared" si="15"/>
        <v>#DIV/0!</v>
      </c>
    </row>
    <row r="114" spans="1:29" ht="15.6" x14ac:dyDescent="0.3">
      <c r="A114" s="206">
        <v>2043</v>
      </c>
      <c r="B114" s="253">
        <f>(B166/Population_Tables!O32)*Population_Tables!C32</f>
        <v>19838.353636050888</v>
      </c>
      <c r="C114" s="253">
        <f>(C166/Population_Tables!P32)*Population_Tables!D32</f>
        <v>0</v>
      </c>
      <c r="D114" s="253">
        <f>(D166/Population_Tables!Q32)*Population_Tables!E32</f>
        <v>0</v>
      </c>
      <c r="E114" s="253">
        <f>(E166/Population_Tables!R32)*Population_Tables!F32</f>
        <v>0</v>
      </c>
      <c r="F114" s="253">
        <f>(F166/Population_Tables!S32)*Population_Tables!G32</f>
        <v>0</v>
      </c>
      <c r="G114" s="253">
        <f>(G166/Population_Tables!T32)*Population_Tables!H32</f>
        <v>0</v>
      </c>
      <c r="H114" s="253">
        <f>(H166/Population_Tables!U32)*Population_Tables!I32</f>
        <v>0</v>
      </c>
      <c r="I114" s="253">
        <f>(I166/Population_Tables!V32)*Population_Tables!J32</f>
        <v>0</v>
      </c>
      <c r="J114" s="253">
        <f>(J166/Population_Tables!W32)*Population_Tables!K32</f>
        <v>0</v>
      </c>
      <c r="K114" s="253">
        <f>(K166/Population_Tables!X32)*Population_Tables!L32</f>
        <v>0</v>
      </c>
      <c r="L114" s="170"/>
      <c r="M114" s="170"/>
      <c r="N114" s="195">
        <f t="shared" si="9"/>
        <v>0</v>
      </c>
      <c r="O114" s="195">
        <f t="shared" si="10"/>
        <v>0</v>
      </c>
      <c r="P114" s="195">
        <f t="shared" si="11"/>
        <v>0</v>
      </c>
      <c r="Q114" s="195">
        <f t="shared" si="12"/>
        <v>0</v>
      </c>
      <c r="R114" s="196" t="e">
        <f t="shared" si="13"/>
        <v>#DIV/0!</v>
      </c>
      <c r="S114" s="170"/>
      <c r="T114" s="170"/>
      <c r="U114" s="195">
        <f t="shared" si="18"/>
        <v>0</v>
      </c>
      <c r="V114" s="195">
        <f t="shared" si="14"/>
        <v>0</v>
      </c>
      <c r="W114" s="195">
        <f t="shared" si="14"/>
        <v>0</v>
      </c>
      <c r="X114" s="195">
        <f t="shared" si="17"/>
        <v>0</v>
      </c>
      <c r="Y114" s="207" t="e">
        <f t="shared" si="16"/>
        <v>#DIV/0!</v>
      </c>
      <c r="AC114" s="251" t="e">
        <f t="shared" si="15"/>
        <v>#DIV/0!</v>
      </c>
    </row>
    <row r="115" spans="1:29" ht="15.6" x14ac:dyDescent="0.3">
      <c r="A115" s="206">
        <v>2044</v>
      </c>
      <c r="B115" s="253">
        <f>(B167/Population_Tables!O33)*Population_Tables!C33</f>
        <v>20665.516655688149</v>
      </c>
      <c r="C115" s="253">
        <f>(C167/Population_Tables!P33)*Population_Tables!D33</f>
        <v>0</v>
      </c>
      <c r="D115" s="253">
        <f>(D167/Population_Tables!Q33)*Population_Tables!E33</f>
        <v>0</v>
      </c>
      <c r="E115" s="253">
        <f>(E167/Population_Tables!R33)*Population_Tables!F33</f>
        <v>0</v>
      </c>
      <c r="F115" s="253">
        <f>(F167/Population_Tables!S33)*Population_Tables!G33</f>
        <v>0</v>
      </c>
      <c r="G115" s="253">
        <f>(G167/Population_Tables!T33)*Population_Tables!H33</f>
        <v>0</v>
      </c>
      <c r="H115" s="253">
        <f>(H167/Population_Tables!U33)*Population_Tables!I33</f>
        <v>0</v>
      </c>
      <c r="I115" s="253">
        <f>(I167/Population_Tables!V33)*Population_Tables!J33</f>
        <v>0</v>
      </c>
      <c r="J115" s="253">
        <f>(J167/Population_Tables!W33)*Population_Tables!K33</f>
        <v>0</v>
      </c>
      <c r="K115" s="253">
        <f>(K167/Population_Tables!X33)*Population_Tables!L33</f>
        <v>0</v>
      </c>
      <c r="L115" s="170"/>
      <c r="M115" s="170"/>
      <c r="N115" s="195">
        <f t="shared" si="9"/>
        <v>0</v>
      </c>
      <c r="O115" s="195">
        <f t="shared" si="10"/>
        <v>0</v>
      </c>
      <c r="P115" s="195">
        <f t="shared" si="11"/>
        <v>0</v>
      </c>
      <c r="Q115" s="195">
        <f t="shared" si="12"/>
        <v>0</v>
      </c>
      <c r="R115" s="196" t="e">
        <f t="shared" si="13"/>
        <v>#DIV/0!</v>
      </c>
      <c r="S115" s="170"/>
      <c r="T115" s="170"/>
      <c r="U115" s="195">
        <f t="shared" si="18"/>
        <v>0</v>
      </c>
      <c r="V115" s="195">
        <f t="shared" si="14"/>
        <v>0</v>
      </c>
      <c r="W115" s="195">
        <f t="shared" si="14"/>
        <v>0</v>
      </c>
      <c r="X115" s="195">
        <f t="shared" si="17"/>
        <v>0</v>
      </c>
      <c r="Y115" s="207" t="e">
        <f t="shared" si="16"/>
        <v>#DIV/0!</v>
      </c>
      <c r="AC115" s="251" t="e">
        <f t="shared" si="15"/>
        <v>#DIV/0!</v>
      </c>
    </row>
    <row r="116" spans="1:29" ht="15.6" x14ac:dyDescent="0.3">
      <c r="A116" s="206">
        <v>2045</v>
      </c>
      <c r="B116" s="253">
        <f>(B168/Population_Tables!O34)*Population_Tables!C34</f>
        <v>21523.153274469136</v>
      </c>
      <c r="C116" s="253">
        <f>(C168/Population_Tables!P34)*Population_Tables!D34</f>
        <v>0</v>
      </c>
      <c r="D116" s="253">
        <f>(D168/Population_Tables!Q34)*Population_Tables!E34</f>
        <v>0</v>
      </c>
      <c r="E116" s="253">
        <f>(E168/Population_Tables!R34)*Population_Tables!F34</f>
        <v>0</v>
      </c>
      <c r="F116" s="253">
        <f>(F168/Population_Tables!S34)*Population_Tables!G34</f>
        <v>0</v>
      </c>
      <c r="G116" s="253">
        <f>(G168/Population_Tables!T34)*Population_Tables!H34</f>
        <v>0</v>
      </c>
      <c r="H116" s="253">
        <f>(H168/Population_Tables!U34)*Population_Tables!I34</f>
        <v>0</v>
      </c>
      <c r="I116" s="253">
        <f>(I168/Population_Tables!V34)*Population_Tables!J34</f>
        <v>0</v>
      </c>
      <c r="J116" s="253">
        <f>(J168/Population_Tables!W34)*Population_Tables!K34</f>
        <v>0</v>
      </c>
      <c r="K116" s="253">
        <f>(K168/Population_Tables!X34)*Population_Tables!L34</f>
        <v>0</v>
      </c>
      <c r="L116" s="170"/>
      <c r="M116" s="170"/>
      <c r="N116" s="195">
        <f t="shared" si="9"/>
        <v>0</v>
      </c>
      <c r="O116" s="195">
        <f t="shared" si="10"/>
        <v>0</v>
      </c>
      <c r="P116" s="195">
        <f t="shared" si="11"/>
        <v>0</v>
      </c>
      <c r="Q116" s="195">
        <f t="shared" si="12"/>
        <v>0</v>
      </c>
      <c r="R116" s="196" t="e">
        <f t="shared" si="13"/>
        <v>#DIV/0!</v>
      </c>
      <c r="S116" s="170"/>
      <c r="T116" s="170"/>
      <c r="U116" s="195">
        <f t="shared" si="18"/>
        <v>0</v>
      </c>
      <c r="V116" s="195">
        <f t="shared" si="14"/>
        <v>0</v>
      </c>
      <c r="W116" s="195">
        <f t="shared" si="14"/>
        <v>0</v>
      </c>
      <c r="X116" s="195">
        <f t="shared" si="17"/>
        <v>0</v>
      </c>
      <c r="Y116" s="207" t="e">
        <f t="shared" si="16"/>
        <v>#DIV/0!</v>
      </c>
      <c r="AC116" s="251" t="e">
        <f t="shared" si="15"/>
        <v>#DIV/0!</v>
      </c>
    </row>
    <row r="117" spans="1:29" ht="15.6" x14ac:dyDescent="0.3">
      <c r="A117" s="206">
        <v>2046</v>
      </c>
      <c r="B117" s="253">
        <f>(B169/Population_Tables!O35)*Population_Tables!C35</f>
        <v>22412.309635145619</v>
      </c>
      <c r="C117" s="253">
        <f>(C169/Population_Tables!P35)*Population_Tables!D35</f>
        <v>0</v>
      </c>
      <c r="D117" s="253">
        <f>(D169/Population_Tables!Q35)*Population_Tables!E35</f>
        <v>0</v>
      </c>
      <c r="E117" s="253">
        <f>(E169/Population_Tables!R35)*Population_Tables!F35</f>
        <v>0</v>
      </c>
      <c r="F117" s="253">
        <f>(F169/Population_Tables!S35)*Population_Tables!G35</f>
        <v>0</v>
      </c>
      <c r="G117" s="253">
        <f>(G169/Population_Tables!T35)*Population_Tables!H35</f>
        <v>0</v>
      </c>
      <c r="H117" s="253">
        <f>(H169/Population_Tables!U35)*Population_Tables!I35</f>
        <v>0</v>
      </c>
      <c r="I117" s="253">
        <f>(I169/Population_Tables!V35)*Population_Tables!J35</f>
        <v>0</v>
      </c>
      <c r="J117" s="253">
        <f>(J169/Population_Tables!W35)*Population_Tables!K35</f>
        <v>0</v>
      </c>
      <c r="K117" s="253">
        <f>(K169/Population_Tables!X35)*Population_Tables!L35</f>
        <v>0</v>
      </c>
      <c r="L117" s="170"/>
      <c r="M117" s="170"/>
      <c r="N117" s="195">
        <f t="shared" si="9"/>
        <v>0</v>
      </c>
      <c r="O117" s="195">
        <f t="shared" si="10"/>
        <v>0</v>
      </c>
      <c r="P117" s="195">
        <f t="shared" si="11"/>
        <v>0</v>
      </c>
      <c r="Q117" s="195">
        <f t="shared" si="12"/>
        <v>0</v>
      </c>
      <c r="R117" s="196" t="e">
        <f t="shared" si="13"/>
        <v>#DIV/0!</v>
      </c>
      <c r="S117" s="170"/>
      <c r="T117" s="170"/>
      <c r="U117" s="195">
        <f t="shared" si="18"/>
        <v>0</v>
      </c>
      <c r="V117" s="195">
        <f t="shared" si="14"/>
        <v>0</v>
      </c>
      <c r="W117" s="195">
        <f t="shared" si="14"/>
        <v>0</v>
      </c>
      <c r="X117" s="195">
        <f t="shared" si="17"/>
        <v>0</v>
      </c>
      <c r="Y117" s="207" t="e">
        <f t="shared" si="16"/>
        <v>#DIV/0!</v>
      </c>
      <c r="AC117" s="251" t="e">
        <f t="shared" si="15"/>
        <v>#DIV/0!</v>
      </c>
    </row>
    <row r="118" spans="1:29" ht="15.6" x14ac:dyDescent="0.3">
      <c r="A118" s="206">
        <v>2047</v>
      </c>
      <c r="B118" s="253">
        <f>(B170/Population_Tables!O36)*Population_Tables!C36</f>
        <v>23334.039713902093</v>
      </c>
      <c r="C118" s="253">
        <f>(C170/Population_Tables!P36)*Population_Tables!D36</f>
        <v>0</v>
      </c>
      <c r="D118" s="253">
        <f>(D170/Population_Tables!Q36)*Population_Tables!E36</f>
        <v>0</v>
      </c>
      <c r="E118" s="253">
        <f>(E170/Population_Tables!R36)*Population_Tables!F36</f>
        <v>0</v>
      </c>
      <c r="F118" s="253">
        <f>(F170/Population_Tables!S36)*Population_Tables!G36</f>
        <v>0</v>
      </c>
      <c r="G118" s="253">
        <f>(G170/Population_Tables!T36)*Population_Tables!H36</f>
        <v>0</v>
      </c>
      <c r="H118" s="253">
        <f>(H170/Population_Tables!U36)*Population_Tables!I36</f>
        <v>0</v>
      </c>
      <c r="I118" s="253">
        <f>(I170/Population_Tables!V36)*Population_Tables!J36</f>
        <v>0</v>
      </c>
      <c r="J118" s="253">
        <f>(J170/Population_Tables!W36)*Population_Tables!K36</f>
        <v>0</v>
      </c>
      <c r="K118" s="253">
        <f>(K170/Population_Tables!X36)*Population_Tables!L36</f>
        <v>0</v>
      </c>
      <c r="L118" s="170"/>
      <c r="M118" s="170"/>
      <c r="N118" s="195">
        <f t="shared" si="9"/>
        <v>0</v>
      </c>
      <c r="O118" s="195">
        <f t="shared" si="10"/>
        <v>0</v>
      </c>
      <c r="P118" s="195">
        <f t="shared" si="11"/>
        <v>0</v>
      </c>
      <c r="Q118" s="195">
        <f t="shared" si="12"/>
        <v>0</v>
      </c>
      <c r="R118" s="196" t="e">
        <f t="shared" si="13"/>
        <v>#DIV/0!</v>
      </c>
      <c r="S118" s="170"/>
      <c r="T118" s="170"/>
      <c r="U118" s="195">
        <f t="shared" si="18"/>
        <v>0</v>
      </c>
      <c r="V118" s="195">
        <f t="shared" si="14"/>
        <v>0</v>
      </c>
      <c r="W118" s="195">
        <f t="shared" si="14"/>
        <v>0</v>
      </c>
      <c r="X118" s="195">
        <f t="shared" si="17"/>
        <v>0</v>
      </c>
      <c r="Y118" s="207" t="e">
        <f t="shared" si="16"/>
        <v>#DIV/0!</v>
      </c>
      <c r="AC118" s="251" t="e">
        <f t="shared" si="15"/>
        <v>#DIV/0!</v>
      </c>
    </row>
    <row r="119" spans="1:29" ht="15.6" x14ac:dyDescent="0.3">
      <c r="A119" s="206">
        <v>2048</v>
      </c>
      <c r="B119" s="253">
        <f>(B171/Population_Tables!O37)*Population_Tables!C37</f>
        <v>24289.529859605551</v>
      </c>
      <c r="C119" s="253">
        <f>(C171/Population_Tables!P37)*Population_Tables!D37</f>
        <v>0</v>
      </c>
      <c r="D119" s="253">
        <f>(D171/Population_Tables!Q37)*Population_Tables!E37</f>
        <v>0</v>
      </c>
      <c r="E119" s="253">
        <f>(E171/Population_Tables!R37)*Population_Tables!F37</f>
        <v>0</v>
      </c>
      <c r="F119" s="253">
        <f>(F171/Population_Tables!S37)*Population_Tables!G37</f>
        <v>0</v>
      </c>
      <c r="G119" s="253">
        <f>(G171/Population_Tables!T37)*Population_Tables!H37</f>
        <v>0</v>
      </c>
      <c r="H119" s="253">
        <f>(H171/Population_Tables!U37)*Population_Tables!I37</f>
        <v>0</v>
      </c>
      <c r="I119" s="253">
        <f>(I171/Population_Tables!V37)*Population_Tables!J37</f>
        <v>0</v>
      </c>
      <c r="J119" s="253">
        <f>(J171/Population_Tables!W37)*Population_Tables!K37</f>
        <v>0</v>
      </c>
      <c r="K119" s="253">
        <f>(K171/Population_Tables!X37)*Population_Tables!L37</f>
        <v>0</v>
      </c>
      <c r="L119" s="170"/>
      <c r="M119" s="170"/>
      <c r="N119" s="195">
        <f t="shared" si="9"/>
        <v>0</v>
      </c>
      <c r="O119" s="195">
        <f t="shared" si="10"/>
        <v>0</v>
      </c>
      <c r="P119" s="195">
        <f t="shared" si="11"/>
        <v>0</v>
      </c>
      <c r="Q119" s="195">
        <f t="shared" si="12"/>
        <v>0</v>
      </c>
      <c r="R119" s="196" t="e">
        <f t="shared" si="13"/>
        <v>#DIV/0!</v>
      </c>
      <c r="S119" s="170"/>
      <c r="T119" s="170"/>
      <c r="U119" s="195">
        <f t="shared" si="18"/>
        <v>0</v>
      </c>
      <c r="V119" s="195">
        <f t="shared" si="14"/>
        <v>0</v>
      </c>
      <c r="W119" s="195">
        <f t="shared" si="14"/>
        <v>0</v>
      </c>
      <c r="X119" s="195">
        <f t="shared" si="17"/>
        <v>0</v>
      </c>
      <c r="Y119" s="207" t="e">
        <f t="shared" si="16"/>
        <v>#DIV/0!</v>
      </c>
      <c r="AC119" s="251" t="e">
        <f t="shared" si="15"/>
        <v>#DIV/0!</v>
      </c>
    </row>
    <row r="120" spans="1:29" ht="15.6" x14ac:dyDescent="0.3">
      <c r="A120" s="206">
        <v>2049</v>
      </c>
      <c r="B120" s="253">
        <f>(B172/Population_Tables!O38)*Population_Tables!C38</f>
        <v>25280.023364512625</v>
      </c>
      <c r="C120" s="253">
        <f>(C172/Population_Tables!P38)*Population_Tables!D38</f>
        <v>0</v>
      </c>
      <c r="D120" s="253">
        <f>(D172/Population_Tables!Q38)*Population_Tables!E38</f>
        <v>0</v>
      </c>
      <c r="E120" s="253">
        <f>(E172/Population_Tables!R38)*Population_Tables!F38</f>
        <v>0</v>
      </c>
      <c r="F120" s="253">
        <f>(F172/Population_Tables!S38)*Population_Tables!G38</f>
        <v>0</v>
      </c>
      <c r="G120" s="253">
        <f>(G172/Population_Tables!T38)*Population_Tables!H38</f>
        <v>0</v>
      </c>
      <c r="H120" s="253">
        <f>(H172/Population_Tables!U38)*Population_Tables!I38</f>
        <v>0</v>
      </c>
      <c r="I120" s="253">
        <f>(I172/Population_Tables!V38)*Population_Tables!J38</f>
        <v>0</v>
      </c>
      <c r="J120" s="253">
        <f>(J172/Population_Tables!W38)*Population_Tables!K38</f>
        <v>0</v>
      </c>
      <c r="K120" s="253">
        <f>(K172/Population_Tables!X38)*Population_Tables!L38</f>
        <v>0</v>
      </c>
      <c r="L120" s="170"/>
      <c r="M120" s="170"/>
      <c r="N120" s="195">
        <f t="shared" si="9"/>
        <v>0</v>
      </c>
      <c r="O120" s="195">
        <f t="shared" si="10"/>
        <v>0</v>
      </c>
      <c r="P120" s="195">
        <f t="shared" si="11"/>
        <v>0</v>
      </c>
      <c r="Q120" s="195">
        <f t="shared" si="12"/>
        <v>0</v>
      </c>
      <c r="R120" s="196" t="e">
        <f t="shared" si="13"/>
        <v>#DIV/0!</v>
      </c>
      <c r="S120" s="170"/>
      <c r="T120" s="170"/>
      <c r="U120" s="195">
        <f t="shared" si="18"/>
        <v>0</v>
      </c>
      <c r="V120" s="195">
        <f t="shared" si="14"/>
        <v>0</v>
      </c>
      <c r="W120" s="195">
        <f t="shared" si="14"/>
        <v>0</v>
      </c>
      <c r="X120" s="195">
        <f t="shared" si="17"/>
        <v>0</v>
      </c>
      <c r="Y120" s="207" t="e">
        <f t="shared" si="16"/>
        <v>#DIV/0!</v>
      </c>
      <c r="AC120" s="251" t="e">
        <f t="shared" si="15"/>
        <v>#DIV/0!</v>
      </c>
    </row>
    <row r="121" spans="1:29" ht="16.2" thickBot="1" x14ac:dyDescent="0.35">
      <c r="A121" s="208">
        <v>2050</v>
      </c>
      <c r="B121" s="253">
        <f>(B173/Population_Tables!O39)*Population_Tables!C39</f>
        <v>26306.763819884214</v>
      </c>
      <c r="C121" s="253">
        <f>(C173/Population_Tables!P39)*Population_Tables!D39</f>
        <v>0</v>
      </c>
      <c r="D121" s="253">
        <f>(D173/Population_Tables!Q39)*Population_Tables!E39</f>
        <v>0</v>
      </c>
      <c r="E121" s="253">
        <f>(E173/Population_Tables!R39)*Population_Tables!F39</f>
        <v>0</v>
      </c>
      <c r="F121" s="253">
        <f>(F173/Population_Tables!S39)*Population_Tables!G39</f>
        <v>0</v>
      </c>
      <c r="G121" s="253">
        <f>(G173/Population_Tables!T39)*Population_Tables!H39</f>
        <v>0</v>
      </c>
      <c r="H121" s="253">
        <f>(H173/Population_Tables!U39)*Population_Tables!I39</f>
        <v>0</v>
      </c>
      <c r="I121" s="253">
        <f>(I173/Population_Tables!V39)*Population_Tables!J39</f>
        <v>0</v>
      </c>
      <c r="J121" s="253">
        <f>(J173/Population_Tables!W39)*Population_Tables!K39</f>
        <v>0</v>
      </c>
      <c r="K121" s="253">
        <f>(K173/Population_Tables!X39)*Population_Tables!L39</f>
        <v>0</v>
      </c>
      <c r="L121" s="209"/>
      <c r="M121" s="209"/>
      <c r="N121" s="195">
        <f t="shared" si="9"/>
        <v>0</v>
      </c>
      <c r="O121" s="195">
        <f t="shared" si="10"/>
        <v>0</v>
      </c>
      <c r="P121" s="195">
        <f t="shared" si="11"/>
        <v>0</v>
      </c>
      <c r="Q121" s="195">
        <f t="shared" si="12"/>
        <v>0</v>
      </c>
      <c r="R121" s="210" t="e">
        <f t="shared" si="13"/>
        <v>#DIV/0!</v>
      </c>
      <c r="S121" s="209"/>
      <c r="T121" s="209"/>
      <c r="U121" s="211">
        <f t="shared" si="18"/>
        <v>0</v>
      </c>
      <c r="V121" s="195">
        <f t="shared" si="14"/>
        <v>0</v>
      </c>
      <c r="W121" s="211">
        <f t="shared" si="14"/>
        <v>0</v>
      </c>
      <c r="X121" s="195">
        <f t="shared" si="17"/>
        <v>0</v>
      </c>
      <c r="Y121" s="212" t="e">
        <f t="shared" si="16"/>
        <v>#DIV/0!</v>
      </c>
      <c r="AC121" s="251" t="e">
        <f t="shared" si="15"/>
        <v>#DIV/0!</v>
      </c>
    </row>
    <row r="122" spans="1:29" ht="15.6" x14ac:dyDescent="0.3">
      <c r="A122" s="213">
        <v>2051</v>
      </c>
      <c r="B122" s="253">
        <f>(B174/Population_Tables!O40)*Population_Tables!C40</f>
        <v>27370.967804007592</v>
      </c>
      <c r="C122" s="253">
        <f>(C174/Population_Tables!P40)*Population_Tables!D40</f>
        <v>0</v>
      </c>
      <c r="D122" s="253">
        <f>(D174/Population_Tables!Q40)*Population_Tables!E40</f>
        <v>0</v>
      </c>
      <c r="E122" s="253">
        <f>(E174/Population_Tables!R40)*Population_Tables!F40</f>
        <v>0</v>
      </c>
      <c r="F122" s="253">
        <f>(F174/Population_Tables!S40)*Population_Tables!G40</f>
        <v>0</v>
      </c>
      <c r="G122" s="253">
        <f>(G174/Population_Tables!T40)*Population_Tables!H40</f>
        <v>0</v>
      </c>
      <c r="H122" s="253">
        <f>(H174/Population_Tables!U40)*Population_Tables!I40</f>
        <v>0</v>
      </c>
      <c r="I122" s="253">
        <f>(I174/Population_Tables!V40)*Population_Tables!J40</f>
        <v>0</v>
      </c>
      <c r="J122" s="253">
        <f>(J174/Population_Tables!W40)*Population_Tables!K40</f>
        <v>0</v>
      </c>
      <c r="K122" s="253">
        <f>(K174/Population_Tables!X40)*Population_Tables!L40</f>
        <v>0</v>
      </c>
      <c r="N122" s="195">
        <f t="shared" si="9"/>
        <v>0</v>
      </c>
      <c r="O122" s="195">
        <f t="shared" si="10"/>
        <v>0</v>
      </c>
      <c r="P122" s="195">
        <f t="shared" si="11"/>
        <v>0</v>
      </c>
      <c r="Q122" s="195">
        <f t="shared" si="12"/>
        <v>0</v>
      </c>
      <c r="R122" s="214" t="e">
        <f t="shared" si="13"/>
        <v>#DIV/0!</v>
      </c>
      <c r="U122" s="215">
        <f t="shared" si="18"/>
        <v>0</v>
      </c>
      <c r="V122" s="195">
        <f t="shared" si="14"/>
        <v>0</v>
      </c>
      <c r="W122" s="215">
        <f t="shared" si="14"/>
        <v>0</v>
      </c>
      <c r="X122" s="195">
        <f t="shared" si="17"/>
        <v>0</v>
      </c>
      <c r="Y122" s="214" t="e">
        <f t="shared" si="16"/>
        <v>#DIV/0!</v>
      </c>
      <c r="AC122" s="251" t="e">
        <f t="shared" si="15"/>
        <v>#DIV/0!</v>
      </c>
    </row>
    <row r="123" spans="1:29" ht="15.6" x14ac:dyDescent="0.3">
      <c r="A123" s="194">
        <v>2052</v>
      </c>
      <c r="B123" s="253">
        <f>(B175/Population_Tables!O41)*Population_Tables!C41</f>
        <v>28473.812178219436</v>
      </c>
      <c r="C123" s="253">
        <f>(C175/Population_Tables!P41)*Population_Tables!D41</f>
        <v>0</v>
      </c>
      <c r="D123" s="253">
        <f>(D175/Population_Tables!Q41)*Population_Tables!E41</f>
        <v>0</v>
      </c>
      <c r="E123" s="253">
        <f>(E175/Population_Tables!R41)*Population_Tables!F41</f>
        <v>0</v>
      </c>
      <c r="F123" s="253">
        <f>(F175/Population_Tables!S41)*Population_Tables!G41</f>
        <v>0</v>
      </c>
      <c r="G123" s="253">
        <f>(G175/Population_Tables!T41)*Population_Tables!H41</f>
        <v>0</v>
      </c>
      <c r="H123" s="253">
        <f>(H175/Population_Tables!U41)*Population_Tables!I41</f>
        <v>0</v>
      </c>
      <c r="I123" s="253">
        <f>(I175/Population_Tables!V41)*Population_Tables!J41</f>
        <v>0</v>
      </c>
      <c r="J123" s="253">
        <f>(J175/Population_Tables!W41)*Population_Tables!K41</f>
        <v>0</v>
      </c>
      <c r="K123" s="253">
        <f>(K175/Population_Tables!X41)*Population_Tables!L41</f>
        <v>0</v>
      </c>
      <c r="N123" s="195">
        <f t="shared" si="9"/>
        <v>0</v>
      </c>
      <c r="O123" s="195">
        <f t="shared" si="10"/>
        <v>0</v>
      </c>
      <c r="P123" s="195">
        <f t="shared" si="11"/>
        <v>0</v>
      </c>
      <c r="Q123" s="195">
        <f t="shared" si="12"/>
        <v>0</v>
      </c>
      <c r="R123" s="196" t="e">
        <f t="shared" si="13"/>
        <v>#DIV/0!</v>
      </c>
      <c r="U123" s="195">
        <f t="shared" si="18"/>
        <v>0</v>
      </c>
      <c r="V123" s="195">
        <f t="shared" si="14"/>
        <v>0</v>
      </c>
      <c r="W123" s="195">
        <f t="shared" si="14"/>
        <v>0</v>
      </c>
      <c r="X123" s="195">
        <f t="shared" si="17"/>
        <v>0</v>
      </c>
      <c r="Y123" s="196" t="e">
        <f t="shared" si="16"/>
        <v>#DIV/0!</v>
      </c>
      <c r="AC123" s="251" t="e">
        <f t="shared" si="15"/>
        <v>#DIV/0!</v>
      </c>
    </row>
    <row r="124" spans="1:29" ht="15.6" x14ac:dyDescent="0.3">
      <c r="A124" s="194">
        <v>2053</v>
      </c>
      <c r="B124" s="253">
        <f>(B176/Population_Tables!O42)*Population_Tables!C42</f>
        <v>29616.468303972288</v>
      </c>
      <c r="C124" s="253">
        <f>(C176/Population_Tables!P42)*Population_Tables!D42</f>
        <v>0</v>
      </c>
      <c r="D124" s="253">
        <f>(D176/Population_Tables!Q42)*Population_Tables!E42</f>
        <v>0</v>
      </c>
      <c r="E124" s="253">
        <f>(E176/Population_Tables!R42)*Population_Tables!F42</f>
        <v>0</v>
      </c>
      <c r="F124" s="253">
        <f>(F176/Population_Tables!S42)*Population_Tables!G42</f>
        <v>0</v>
      </c>
      <c r="G124" s="253">
        <f>(G176/Population_Tables!T42)*Population_Tables!H42</f>
        <v>0</v>
      </c>
      <c r="H124" s="253">
        <f>(H176/Population_Tables!U42)*Population_Tables!I42</f>
        <v>0</v>
      </c>
      <c r="I124" s="253">
        <f>(I176/Population_Tables!V42)*Population_Tables!J42</f>
        <v>0</v>
      </c>
      <c r="J124" s="253">
        <f>(J176/Population_Tables!W42)*Population_Tables!K42</f>
        <v>0</v>
      </c>
      <c r="K124" s="253">
        <f>(K176/Population_Tables!X42)*Population_Tables!L42</f>
        <v>0</v>
      </c>
      <c r="N124" s="195">
        <f t="shared" si="9"/>
        <v>0</v>
      </c>
      <c r="O124" s="195">
        <f t="shared" si="10"/>
        <v>0</v>
      </c>
      <c r="P124" s="195">
        <f t="shared" si="11"/>
        <v>0</v>
      </c>
      <c r="Q124" s="195">
        <f t="shared" si="12"/>
        <v>0</v>
      </c>
      <c r="R124" s="196" t="e">
        <f t="shared" si="13"/>
        <v>#DIV/0!</v>
      </c>
      <c r="U124" s="195">
        <f t="shared" si="18"/>
        <v>0</v>
      </c>
      <c r="V124" s="195">
        <f t="shared" si="14"/>
        <v>0</v>
      </c>
      <c r="W124" s="195">
        <f t="shared" si="14"/>
        <v>0</v>
      </c>
      <c r="X124" s="195">
        <f t="shared" si="17"/>
        <v>0</v>
      </c>
      <c r="Y124" s="196" t="e">
        <f t="shared" si="16"/>
        <v>#DIV/0!</v>
      </c>
      <c r="AC124" s="251" t="e">
        <f t="shared" si="15"/>
        <v>#DIV/0!</v>
      </c>
    </row>
    <row r="125" spans="1:29" ht="15.6" x14ac:dyDescent="0.3">
      <c r="A125" s="194">
        <v>2054</v>
      </c>
      <c r="B125" s="253">
        <f>(B177/Population_Tables!O43)*Population_Tables!C43</f>
        <v>30800.080638406849</v>
      </c>
      <c r="C125" s="253">
        <f>(C177/Population_Tables!P43)*Population_Tables!D43</f>
        <v>0</v>
      </c>
      <c r="D125" s="253">
        <f>(D177/Population_Tables!Q43)*Population_Tables!E43</f>
        <v>0</v>
      </c>
      <c r="E125" s="253">
        <f>(E177/Population_Tables!R43)*Population_Tables!F43</f>
        <v>0</v>
      </c>
      <c r="F125" s="253">
        <f>(F177/Population_Tables!S43)*Population_Tables!G43</f>
        <v>0</v>
      </c>
      <c r="G125" s="253">
        <f>(G177/Population_Tables!T43)*Population_Tables!H43</f>
        <v>0</v>
      </c>
      <c r="H125" s="253">
        <f>(H177/Population_Tables!U43)*Population_Tables!I43</f>
        <v>0</v>
      </c>
      <c r="I125" s="253">
        <f>(I177/Population_Tables!V43)*Population_Tables!J43</f>
        <v>0</v>
      </c>
      <c r="J125" s="253">
        <f>(J177/Population_Tables!W43)*Population_Tables!K43</f>
        <v>0</v>
      </c>
      <c r="K125" s="253">
        <f>(K177/Population_Tables!X43)*Population_Tables!L43</f>
        <v>0</v>
      </c>
      <c r="N125" s="195">
        <f t="shared" si="9"/>
        <v>0</v>
      </c>
      <c r="O125" s="195">
        <f t="shared" si="10"/>
        <v>0</v>
      </c>
      <c r="P125" s="195">
        <f t="shared" si="11"/>
        <v>0</v>
      </c>
      <c r="Q125" s="195">
        <f t="shared" si="12"/>
        <v>0</v>
      </c>
      <c r="R125" s="196" t="e">
        <f t="shared" si="13"/>
        <v>#DIV/0!</v>
      </c>
      <c r="U125" s="195">
        <f t="shared" si="18"/>
        <v>0</v>
      </c>
      <c r="V125" s="195">
        <f t="shared" si="14"/>
        <v>0</v>
      </c>
      <c r="W125" s="195">
        <f t="shared" si="14"/>
        <v>0</v>
      </c>
      <c r="X125" s="195">
        <f t="shared" si="17"/>
        <v>0</v>
      </c>
      <c r="Y125" s="196" t="e">
        <f t="shared" si="16"/>
        <v>#DIV/0!</v>
      </c>
      <c r="AC125" s="251" t="e">
        <f t="shared" si="15"/>
        <v>#DIV/0!</v>
      </c>
    </row>
    <row r="126" spans="1:29" ht="15.6" x14ac:dyDescent="0.3">
      <c r="A126" s="194">
        <v>2055</v>
      </c>
      <c r="B126" s="253">
        <f>(B178/Population_Tables!O44)*Population_Tables!C44</f>
        <v>32025.805140872304</v>
      </c>
      <c r="C126" s="253">
        <f>(C178/Population_Tables!P44)*Population_Tables!D44</f>
        <v>0</v>
      </c>
      <c r="D126" s="253">
        <f>(D178/Population_Tables!Q44)*Population_Tables!E44</f>
        <v>0</v>
      </c>
      <c r="E126" s="253">
        <f>(E178/Population_Tables!R44)*Population_Tables!F44</f>
        <v>0</v>
      </c>
      <c r="F126" s="253">
        <f>(F178/Population_Tables!S44)*Population_Tables!G44</f>
        <v>0</v>
      </c>
      <c r="G126" s="253">
        <f>(G178/Population_Tables!T44)*Population_Tables!H44</f>
        <v>0</v>
      </c>
      <c r="H126" s="253">
        <f>(H178/Population_Tables!U44)*Population_Tables!I44</f>
        <v>0</v>
      </c>
      <c r="I126" s="253">
        <f>(I178/Population_Tables!V44)*Population_Tables!J44</f>
        <v>0</v>
      </c>
      <c r="J126" s="253">
        <f>(J178/Population_Tables!W44)*Population_Tables!K44</f>
        <v>0</v>
      </c>
      <c r="K126" s="253">
        <f>(K178/Population_Tables!X44)*Population_Tables!L44</f>
        <v>0</v>
      </c>
      <c r="N126" s="195">
        <f t="shared" si="9"/>
        <v>0</v>
      </c>
      <c r="O126" s="195">
        <f t="shared" si="10"/>
        <v>0</v>
      </c>
      <c r="P126" s="195">
        <f t="shared" si="11"/>
        <v>0</v>
      </c>
      <c r="Q126" s="195">
        <f t="shared" si="12"/>
        <v>0</v>
      </c>
      <c r="R126" s="196" t="e">
        <f t="shared" si="13"/>
        <v>#DIV/0!</v>
      </c>
      <c r="U126" s="195">
        <f t="shared" si="18"/>
        <v>0</v>
      </c>
      <c r="V126" s="195">
        <f t="shared" si="14"/>
        <v>0</v>
      </c>
      <c r="W126" s="195">
        <f t="shared" si="14"/>
        <v>0</v>
      </c>
      <c r="X126" s="195">
        <f t="shared" si="17"/>
        <v>0</v>
      </c>
      <c r="Y126" s="196" t="e">
        <f t="shared" si="16"/>
        <v>#DIV/0!</v>
      </c>
      <c r="AC126" s="251" t="e">
        <f t="shared" si="15"/>
        <v>#DIV/0!</v>
      </c>
    </row>
    <row r="127" spans="1:29" ht="15.6" x14ac:dyDescent="0.3">
      <c r="A127" s="194">
        <v>2056</v>
      </c>
      <c r="B127" s="253">
        <f>(B179/Population_Tables!O45)*Population_Tables!C45</f>
        <v>33294.896134735056</v>
      </c>
      <c r="C127" s="253">
        <f>(C179/Population_Tables!P45)*Population_Tables!D45</f>
        <v>0</v>
      </c>
      <c r="D127" s="253">
        <f>(D179/Population_Tables!Q45)*Population_Tables!E45</f>
        <v>0</v>
      </c>
      <c r="E127" s="253">
        <f>(E179/Population_Tables!R45)*Population_Tables!F45</f>
        <v>0</v>
      </c>
      <c r="F127" s="253">
        <f>(F179/Population_Tables!S45)*Population_Tables!G45</f>
        <v>0</v>
      </c>
      <c r="G127" s="253">
        <f>(G179/Population_Tables!T45)*Population_Tables!H45</f>
        <v>0</v>
      </c>
      <c r="H127" s="253">
        <f>(H179/Population_Tables!U45)*Population_Tables!I45</f>
        <v>0</v>
      </c>
      <c r="I127" s="253">
        <f>(I179/Population_Tables!V45)*Population_Tables!J45</f>
        <v>0</v>
      </c>
      <c r="J127" s="253">
        <f>(J179/Population_Tables!W45)*Population_Tables!K45</f>
        <v>0</v>
      </c>
      <c r="K127" s="253">
        <f>(K179/Population_Tables!X45)*Population_Tables!L45</f>
        <v>0</v>
      </c>
      <c r="N127" s="195">
        <f t="shared" si="9"/>
        <v>0</v>
      </c>
      <c r="O127" s="195">
        <f t="shared" si="10"/>
        <v>0</v>
      </c>
      <c r="P127" s="195">
        <f t="shared" si="11"/>
        <v>0</v>
      </c>
      <c r="Q127" s="195">
        <f t="shared" si="12"/>
        <v>0</v>
      </c>
      <c r="R127" s="196" t="e">
        <f t="shared" si="13"/>
        <v>#DIV/0!</v>
      </c>
      <c r="U127" s="195">
        <f t="shared" si="18"/>
        <v>0</v>
      </c>
      <c r="V127" s="195">
        <f t="shared" si="14"/>
        <v>0</v>
      </c>
      <c r="W127" s="195">
        <f t="shared" si="14"/>
        <v>0</v>
      </c>
      <c r="X127" s="195">
        <f t="shared" si="17"/>
        <v>0</v>
      </c>
      <c r="Y127" s="196" t="e">
        <f t="shared" si="16"/>
        <v>#DIV/0!</v>
      </c>
      <c r="AC127" s="251" t="e">
        <f t="shared" si="15"/>
        <v>#DIV/0!</v>
      </c>
    </row>
    <row r="128" spans="1:29" ht="15.6" x14ac:dyDescent="0.3">
      <c r="A128" s="194">
        <v>2057</v>
      </c>
      <c r="B128" s="253">
        <f>(B180/Population_Tables!O46)*Population_Tables!C46</f>
        <v>34608.57891346448</v>
      </c>
      <c r="C128" s="253">
        <f>(C180/Population_Tables!P46)*Population_Tables!D46</f>
        <v>0</v>
      </c>
      <c r="D128" s="253">
        <f>(D180/Population_Tables!Q46)*Population_Tables!E46</f>
        <v>0</v>
      </c>
      <c r="E128" s="253">
        <f>(E180/Population_Tables!R46)*Population_Tables!F46</f>
        <v>0</v>
      </c>
      <c r="F128" s="253">
        <f>(F180/Population_Tables!S46)*Population_Tables!G46</f>
        <v>0</v>
      </c>
      <c r="G128" s="253">
        <f>(G180/Population_Tables!T46)*Population_Tables!H46</f>
        <v>0</v>
      </c>
      <c r="H128" s="253">
        <f>(H180/Population_Tables!U46)*Population_Tables!I46</f>
        <v>0</v>
      </c>
      <c r="I128" s="253">
        <f>(I180/Population_Tables!V46)*Population_Tables!J46</f>
        <v>0</v>
      </c>
      <c r="J128" s="253">
        <f>(J180/Population_Tables!W46)*Population_Tables!K46</f>
        <v>0</v>
      </c>
      <c r="K128" s="253">
        <f>(K180/Population_Tables!X46)*Population_Tables!L46</f>
        <v>0</v>
      </c>
      <c r="N128" s="195">
        <f t="shared" si="9"/>
        <v>0</v>
      </c>
      <c r="O128" s="195">
        <f t="shared" si="10"/>
        <v>0</v>
      </c>
      <c r="P128" s="195">
        <f t="shared" si="11"/>
        <v>0</v>
      </c>
      <c r="Q128" s="195">
        <f t="shared" si="12"/>
        <v>0</v>
      </c>
      <c r="R128" s="196" t="e">
        <f t="shared" si="13"/>
        <v>#DIV/0!</v>
      </c>
      <c r="U128" s="195">
        <f t="shared" si="18"/>
        <v>0</v>
      </c>
      <c r="V128" s="195">
        <f t="shared" si="14"/>
        <v>0</v>
      </c>
      <c r="W128" s="195">
        <f t="shared" si="14"/>
        <v>0</v>
      </c>
      <c r="X128" s="195">
        <f t="shared" si="17"/>
        <v>0</v>
      </c>
      <c r="Y128" s="196" t="e">
        <f t="shared" si="16"/>
        <v>#DIV/0!</v>
      </c>
      <c r="AC128" s="251" t="e">
        <f t="shared" si="15"/>
        <v>#DIV/0!</v>
      </c>
    </row>
    <row r="129" spans="1:29" ht="15.6" x14ac:dyDescent="0.3">
      <c r="A129" s="194">
        <v>2058</v>
      </c>
      <c r="B129" s="253">
        <f>(B181/Population_Tables!O47)*Population_Tables!C47</f>
        <v>35967.918856266362</v>
      </c>
      <c r="C129" s="253">
        <f>(C181/Population_Tables!P47)*Population_Tables!D47</f>
        <v>0</v>
      </c>
      <c r="D129" s="253">
        <f>(D181/Population_Tables!Q47)*Population_Tables!E47</f>
        <v>0</v>
      </c>
      <c r="E129" s="253">
        <f>(E181/Population_Tables!R47)*Population_Tables!F47</f>
        <v>0</v>
      </c>
      <c r="F129" s="253">
        <f>(F181/Population_Tables!S47)*Population_Tables!G47</f>
        <v>0</v>
      </c>
      <c r="G129" s="253">
        <f>(G181/Population_Tables!T47)*Population_Tables!H47</f>
        <v>0</v>
      </c>
      <c r="H129" s="253">
        <f>(H181/Population_Tables!U47)*Population_Tables!I47</f>
        <v>0</v>
      </c>
      <c r="I129" s="253">
        <f>(I181/Population_Tables!V47)*Population_Tables!J47</f>
        <v>0</v>
      </c>
      <c r="J129" s="253">
        <f>(J181/Population_Tables!W47)*Population_Tables!K47</f>
        <v>0</v>
      </c>
      <c r="K129" s="253">
        <f>(K181/Population_Tables!X47)*Population_Tables!L47</f>
        <v>0</v>
      </c>
      <c r="N129" s="195">
        <f t="shared" si="9"/>
        <v>0</v>
      </c>
      <c r="O129" s="195">
        <f t="shared" si="10"/>
        <v>0</v>
      </c>
      <c r="P129" s="195">
        <f t="shared" si="11"/>
        <v>0</v>
      </c>
      <c r="Q129" s="195">
        <f t="shared" si="12"/>
        <v>0</v>
      </c>
      <c r="R129" s="196" t="e">
        <f t="shared" si="13"/>
        <v>#DIV/0!</v>
      </c>
      <c r="U129" s="195">
        <f t="shared" si="18"/>
        <v>0</v>
      </c>
      <c r="V129" s="195">
        <f t="shared" si="14"/>
        <v>0</v>
      </c>
      <c r="W129" s="195">
        <f t="shared" si="14"/>
        <v>0</v>
      </c>
      <c r="X129" s="195">
        <f t="shared" si="17"/>
        <v>0</v>
      </c>
      <c r="Y129" s="196" t="e">
        <f t="shared" si="16"/>
        <v>#DIV/0!</v>
      </c>
      <c r="AC129" s="251" t="e">
        <f t="shared" si="15"/>
        <v>#DIV/0!</v>
      </c>
    </row>
    <row r="130" spans="1:29" ht="15.6" x14ac:dyDescent="0.3">
      <c r="A130" s="194">
        <v>2059</v>
      </c>
      <c r="B130" s="253">
        <f>(B182/Population_Tables!O48)*Population_Tables!C48</f>
        <v>37373.902973616852</v>
      </c>
      <c r="C130" s="253">
        <f>(C182/Population_Tables!P48)*Population_Tables!D48</f>
        <v>0</v>
      </c>
      <c r="D130" s="253">
        <f>(D182/Population_Tables!Q48)*Population_Tables!E48</f>
        <v>0</v>
      </c>
      <c r="E130" s="253">
        <f>(E182/Population_Tables!R48)*Population_Tables!F48</f>
        <v>0</v>
      </c>
      <c r="F130" s="253">
        <f>(F182/Population_Tables!S48)*Population_Tables!G48</f>
        <v>0</v>
      </c>
      <c r="G130" s="253">
        <f>(G182/Population_Tables!T48)*Population_Tables!H48</f>
        <v>0</v>
      </c>
      <c r="H130" s="253">
        <f>(H182/Population_Tables!U48)*Population_Tables!I48</f>
        <v>0</v>
      </c>
      <c r="I130" s="253">
        <f>(I182/Population_Tables!V48)*Population_Tables!J48</f>
        <v>0</v>
      </c>
      <c r="J130" s="253">
        <f>(J182/Population_Tables!W48)*Population_Tables!K48</f>
        <v>0</v>
      </c>
      <c r="K130" s="253">
        <f>(K182/Population_Tables!X48)*Population_Tables!L48</f>
        <v>0</v>
      </c>
      <c r="N130" s="195">
        <f t="shared" si="9"/>
        <v>0</v>
      </c>
      <c r="O130" s="195">
        <f t="shared" si="10"/>
        <v>0</v>
      </c>
      <c r="P130" s="195">
        <f t="shared" si="11"/>
        <v>0</v>
      </c>
      <c r="Q130" s="195">
        <f t="shared" si="12"/>
        <v>0</v>
      </c>
      <c r="R130" s="196" t="e">
        <f t="shared" si="13"/>
        <v>#DIV/0!</v>
      </c>
      <c r="U130" s="195">
        <f t="shared" si="18"/>
        <v>0</v>
      </c>
      <c r="V130" s="195">
        <f t="shared" si="14"/>
        <v>0</v>
      </c>
      <c r="W130" s="195">
        <f t="shared" si="14"/>
        <v>0</v>
      </c>
      <c r="X130" s="195">
        <f t="shared" si="17"/>
        <v>0</v>
      </c>
      <c r="Y130" s="196" t="e">
        <f t="shared" si="16"/>
        <v>#DIV/0!</v>
      </c>
      <c r="AC130" s="251" t="e">
        <f t="shared" si="15"/>
        <v>#DIV/0!</v>
      </c>
    </row>
    <row r="131" spans="1:29" ht="15.6" x14ac:dyDescent="0.3">
      <c r="A131" s="194">
        <v>2060</v>
      </c>
      <c r="B131" s="253">
        <f>(B183/Population_Tables!O49)*Population_Tables!C49</f>
        <v>38827.559090095521</v>
      </c>
      <c r="C131" s="253">
        <f>(C183/Population_Tables!P49)*Population_Tables!D49</f>
        <v>0</v>
      </c>
      <c r="D131" s="253">
        <f>(D183/Population_Tables!Q49)*Population_Tables!E49</f>
        <v>0</v>
      </c>
      <c r="E131" s="253">
        <f>(E183/Population_Tables!R49)*Population_Tables!F49</f>
        <v>0</v>
      </c>
      <c r="F131" s="253">
        <f>(F183/Population_Tables!S49)*Population_Tables!G49</f>
        <v>0</v>
      </c>
      <c r="G131" s="253">
        <f>(G183/Population_Tables!T49)*Population_Tables!H49</f>
        <v>0</v>
      </c>
      <c r="H131" s="253">
        <f>(H183/Population_Tables!U49)*Population_Tables!I49</f>
        <v>0</v>
      </c>
      <c r="I131" s="253">
        <f>(I183/Population_Tables!V49)*Population_Tables!J49</f>
        <v>0</v>
      </c>
      <c r="J131" s="253">
        <f>(J183/Population_Tables!W49)*Population_Tables!K49</f>
        <v>0</v>
      </c>
      <c r="K131" s="253">
        <f>(K183/Population_Tables!X49)*Population_Tables!L49</f>
        <v>0</v>
      </c>
      <c r="N131" s="195">
        <f t="shared" si="9"/>
        <v>0</v>
      </c>
      <c r="O131" s="195">
        <f t="shared" si="10"/>
        <v>0</v>
      </c>
      <c r="P131" s="195">
        <f t="shared" si="11"/>
        <v>0</v>
      </c>
      <c r="Q131" s="195">
        <f t="shared" si="12"/>
        <v>0</v>
      </c>
      <c r="R131" s="196" t="e">
        <f>N131/Q131</f>
        <v>#DIV/0!</v>
      </c>
      <c r="U131" s="195">
        <f t="shared" si="18"/>
        <v>0</v>
      </c>
      <c r="V131" s="195">
        <f t="shared" si="14"/>
        <v>0</v>
      </c>
      <c r="W131" s="195">
        <f t="shared" si="14"/>
        <v>0</v>
      </c>
      <c r="X131" s="195">
        <f t="shared" si="17"/>
        <v>0</v>
      </c>
      <c r="Y131" s="196" t="e">
        <f t="shared" si="16"/>
        <v>#DIV/0!</v>
      </c>
      <c r="AC131" s="251" t="e">
        <f t="shared" si="15"/>
        <v>#DIV/0!</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357</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356</v>
      </c>
      <c r="E136" s="191"/>
      <c r="F136" s="191"/>
      <c r="G136" s="191"/>
      <c r="H136" s="191"/>
      <c r="I136" s="191"/>
      <c r="J136" s="191"/>
      <c r="K136" s="192"/>
      <c r="N136" s="219" t="str">
        <f>D136</f>
        <v>Non OECD Region (less China, Mexico, Brazil, Russia)</v>
      </c>
      <c r="O136" s="219"/>
      <c r="P136" s="219" t="str">
        <f>C136</f>
        <v>OECD90</v>
      </c>
      <c r="Q136" s="219" t="str">
        <f>Q84</f>
        <v>Total</v>
      </c>
      <c r="R136" s="219" t="str">
        <f>R84</f>
        <v>% Non OECD Region (less China, Mexico, Brazil, Russia)</v>
      </c>
      <c r="AC136" s="251"/>
    </row>
    <row r="137" spans="1:29" ht="15.6" x14ac:dyDescent="0.3">
      <c r="A137" s="194">
        <v>2014</v>
      </c>
      <c r="B137" s="229">
        <v>5754.5081122805404</v>
      </c>
      <c r="C137" s="229"/>
      <c r="D137" s="229"/>
      <c r="E137" s="229"/>
      <c r="F137" s="229"/>
      <c r="G137" s="229"/>
      <c r="H137" s="229"/>
      <c r="I137" s="229"/>
      <c r="J137" s="229"/>
      <c r="K137" s="229"/>
      <c r="N137" s="195">
        <f>D137</f>
        <v>0</v>
      </c>
      <c r="O137" s="195">
        <f>H137</f>
        <v>0</v>
      </c>
      <c r="P137" s="195">
        <f>C137</f>
        <v>0</v>
      </c>
      <c r="Q137" s="195">
        <f>N137+P137+O137</f>
        <v>0</v>
      </c>
      <c r="R137" s="196" t="e">
        <f>N137/Q137</f>
        <v>#DIV/0!</v>
      </c>
      <c r="AC137" s="251"/>
    </row>
    <row r="138" spans="1:29" ht="15.6" x14ac:dyDescent="0.3">
      <c r="A138" s="194">
        <v>2015</v>
      </c>
      <c r="B138" s="229">
        <v>5944.1724878466721</v>
      </c>
      <c r="C138" s="229"/>
      <c r="D138" s="229"/>
      <c r="E138" s="229"/>
      <c r="F138" s="229"/>
      <c r="G138" s="229"/>
      <c r="H138" s="229"/>
      <c r="I138" s="229"/>
      <c r="J138" s="229"/>
      <c r="K138" s="229"/>
      <c r="N138" s="195">
        <f t="shared" ref="N138:N183" si="19">D138</f>
        <v>0</v>
      </c>
      <c r="O138" s="195">
        <f t="shared" ref="O138:O183" si="20">H138</f>
        <v>0</v>
      </c>
      <c r="P138" s="195">
        <f t="shared" ref="P138:P183" si="21">C138</f>
        <v>0</v>
      </c>
      <c r="Q138" s="195">
        <f t="shared" ref="Q138:Q183" si="22">N138+P138+O138</f>
        <v>0</v>
      </c>
      <c r="R138" s="196" t="e">
        <f t="shared" ref="R138:R182" si="23">N138/Q138</f>
        <v>#DIV/0!</v>
      </c>
      <c r="AC138" s="251"/>
    </row>
    <row r="139" spans="1:29" ht="15.6" x14ac:dyDescent="0.3">
      <c r="A139" s="194">
        <v>2016</v>
      </c>
      <c r="B139" s="229">
        <v>6206.5952186253826</v>
      </c>
      <c r="C139" s="229"/>
      <c r="D139" s="229"/>
      <c r="E139" s="229"/>
      <c r="F139" s="229"/>
      <c r="G139" s="229"/>
      <c r="H139" s="229"/>
      <c r="I139" s="229"/>
      <c r="J139" s="229"/>
      <c r="K139" s="229"/>
      <c r="N139" s="195">
        <f t="shared" si="19"/>
        <v>0</v>
      </c>
      <c r="O139" s="195">
        <f t="shared" si="20"/>
        <v>0</v>
      </c>
      <c r="P139" s="195">
        <f t="shared" si="21"/>
        <v>0</v>
      </c>
      <c r="Q139" s="195">
        <f t="shared" si="22"/>
        <v>0</v>
      </c>
      <c r="R139" s="196" t="e">
        <f t="shared" si="23"/>
        <v>#DIV/0!</v>
      </c>
      <c r="AC139" s="251"/>
    </row>
    <row r="140" spans="1:29" ht="15.6" x14ac:dyDescent="0.3">
      <c r="A140" s="194">
        <v>2017</v>
      </c>
      <c r="B140" s="229">
        <v>6479.5522776103508</v>
      </c>
      <c r="C140" s="229"/>
      <c r="D140" s="229"/>
      <c r="E140" s="229"/>
      <c r="F140" s="229"/>
      <c r="G140" s="229"/>
      <c r="H140" s="229"/>
      <c r="I140" s="229"/>
      <c r="J140" s="229"/>
      <c r="K140" s="229"/>
      <c r="N140" s="195">
        <f t="shared" si="19"/>
        <v>0</v>
      </c>
      <c r="O140" s="195">
        <f t="shared" si="20"/>
        <v>0</v>
      </c>
      <c r="P140" s="195">
        <f t="shared" si="21"/>
        <v>0</v>
      </c>
      <c r="Q140" s="195">
        <f t="shared" si="22"/>
        <v>0</v>
      </c>
      <c r="R140" s="196" t="e">
        <f t="shared" si="23"/>
        <v>#DIV/0!</v>
      </c>
      <c r="AC140" s="251"/>
    </row>
    <row r="141" spans="1:29" ht="15.6" x14ac:dyDescent="0.3">
      <c r="A141" s="194">
        <v>2018</v>
      </c>
      <c r="B141" s="229">
        <v>6763.4561204542215</v>
      </c>
      <c r="C141" s="229"/>
      <c r="D141" s="229"/>
      <c r="E141" s="229"/>
      <c r="F141" s="229"/>
      <c r="G141" s="229"/>
      <c r="H141" s="229"/>
      <c r="I141" s="229"/>
      <c r="J141" s="229"/>
      <c r="K141" s="229"/>
      <c r="N141" s="195">
        <f t="shared" si="19"/>
        <v>0</v>
      </c>
      <c r="O141" s="195">
        <f t="shared" si="20"/>
        <v>0</v>
      </c>
      <c r="P141" s="195">
        <f t="shared" si="21"/>
        <v>0</v>
      </c>
      <c r="Q141" s="195">
        <f t="shared" si="22"/>
        <v>0</v>
      </c>
      <c r="R141" s="196" t="e">
        <f t="shared" si="23"/>
        <v>#DIV/0!</v>
      </c>
      <c r="AC141" s="251"/>
    </row>
    <row r="142" spans="1:29" ht="16.2" thickBot="1" x14ac:dyDescent="0.35">
      <c r="A142" s="198">
        <v>2019</v>
      </c>
      <c r="B142" s="230">
        <v>7058.7192028096406</v>
      </c>
      <c r="C142" s="229"/>
      <c r="D142" s="229"/>
      <c r="E142" s="230"/>
      <c r="F142" s="230"/>
      <c r="G142" s="230"/>
      <c r="H142" s="230"/>
      <c r="I142" s="230"/>
      <c r="J142" s="230"/>
      <c r="K142" s="230"/>
      <c r="N142" s="195">
        <f t="shared" si="19"/>
        <v>0</v>
      </c>
      <c r="O142" s="195">
        <f t="shared" si="20"/>
        <v>0</v>
      </c>
      <c r="P142" s="195">
        <f t="shared" si="21"/>
        <v>0</v>
      </c>
      <c r="Q142" s="195">
        <f t="shared" si="22"/>
        <v>0</v>
      </c>
      <c r="R142" s="199" t="e">
        <f t="shared" si="23"/>
        <v>#DIV/0!</v>
      </c>
      <c r="AC142" s="251"/>
    </row>
    <row r="143" spans="1:29" ht="15.6" x14ac:dyDescent="0.3">
      <c r="A143" s="201">
        <v>2020</v>
      </c>
      <c r="B143" s="228">
        <v>7365.753980329253</v>
      </c>
      <c r="C143" s="229"/>
      <c r="D143" s="229"/>
      <c r="E143" s="228"/>
      <c r="F143" s="228"/>
      <c r="G143" s="228"/>
      <c r="H143" s="228"/>
      <c r="I143" s="228"/>
      <c r="J143" s="228"/>
      <c r="K143" s="228"/>
      <c r="L143" s="202"/>
      <c r="M143" s="202"/>
      <c r="N143" s="195">
        <f t="shared" si="19"/>
        <v>0</v>
      </c>
      <c r="O143" s="195">
        <f t="shared" si="20"/>
        <v>0</v>
      </c>
      <c r="P143" s="195">
        <f t="shared" si="21"/>
        <v>0</v>
      </c>
      <c r="Q143" s="195">
        <f t="shared" si="22"/>
        <v>0</v>
      </c>
      <c r="R143" s="220" t="e">
        <f t="shared" si="23"/>
        <v>#DIV/0!</v>
      </c>
      <c r="AC143" s="251"/>
    </row>
    <row r="144" spans="1:29" ht="15.6" x14ac:dyDescent="0.3">
      <c r="A144" s="206">
        <v>2021</v>
      </c>
      <c r="B144" s="229">
        <v>7684.9729086657044</v>
      </c>
      <c r="C144" s="229"/>
      <c r="D144" s="229"/>
      <c r="E144" s="229"/>
      <c r="F144" s="229"/>
      <c r="G144" s="229"/>
      <c r="H144" s="229"/>
      <c r="I144" s="229"/>
      <c r="J144" s="229"/>
      <c r="K144" s="229"/>
      <c r="L144" s="170"/>
      <c r="M144" s="170"/>
      <c r="N144" s="195">
        <f t="shared" si="19"/>
        <v>0</v>
      </c>
      <c r="O144" s="195">
        <f t="shared" si="20"/>
        <v>0</v>
      </c>
      <c r="P144" s="195">
        <f t="shared" si="21"/>
        <v>0</v>
      </c>
      <c r="Q144" s="195">
        <f t="shared" si="22"/>
        <v>0</v>
      </c>
      <c r="R144" s="221" t="e">
        <f t="shared" si="23"/>
        <v>#DIV/0!</v>
      </c>
      <c r="AC144" s="251"/>
    </row>
    <row r="145" spans="1:29" ht="15.6" x14ac:dyDescent="0.3">
      <c r="A145" s="206">
        <v>2022</v>
      </c>
      <c r="B145" s="229">
        <v>8016.7884434716416</v>
      </c>
      <c r="C145" s="229"/>
      <c r="D145" s="229"/>
      <c r="E145" s="229"/>
      <c r="F145" s="229"/>
      <c r="G145" s="229"/>
      <c r="H145" s="229"/>
      <c r="I145" s="229"/>
      <c r="J145" s="229"/>
      <c r="K145" s="229"/>
      <c r="L145" s="170"/>
      <c r="M145" s="170"/>
      <c r="N145" s="195">
        <f t="shared" si="19"/>
        <v>0</v>
      </c>
      <c r="O145" s="195">
        <f t="shared" si="20"/>
        <v>0</v>
      </c>
      <c r="P145" s="195">
        <f t="shared" si="21"/>
        <v>0</v>
      </c>
      <c r="Q145" s="195">
        <f t="shared" si="22"/>
        <v>0</v>
      </c>
      <c r="R145" s="221" t="e">
        <f t="shared" si="23"/>
        <v>#DIV/0!</v>
      </c>
      <c r="AC145" s="251"/>
    </row>
    <row r="146" spans="1:29" ht="15.6" x14ac:dyDescent="0.3">
      <c r="A146" s="206">
        <v>2023</v>
      </c>
      <c r="B146" s="229">
        <v>8361.6130403997067</v>
      </c>
      <c r="C146" s="229"/>
      <c r="D146" s="229"/>
      <c r="E146" s="229"/>
      <c r="F146" s="229"/>
      <c r="G146" s="229"/>
      <c r="H146" s="229"/>
      <c r="I146" s="229"/>
      <c r="J146" s="229"/>
      <c r="K146" s="229"/>
      <c r="L146" s="170"/>
      <c r="M146" s="170"/>
      <c r="N146" s="195">
        <f t="shared" si="19"/>
        <v>0</v>
      </c>
      <c r="O146" s="195">
        <f t="shared" si="20"/>
        <v>0</v>
      </c>
      <c r="P146" s="195">
        <f t="shared" si="21"/>
        <v>0</v>
      </c>
      <c r="Q146" s="195">
        <f>N146+P146+O146</f>
        <v>0</v>
      </c>
      <c r="R146" s="221" t="e">
        <f t="shared" si="23"/>
        <v>#DIV/0!</v>
      </c>
      <c r="AC146" s="251"/>
    </row>
    <row r="147" spans="1:29" ht="15.6" x14ac:dyDescent="0.3">
      <c r="A147" s="206">
        <v>2024</v>
      </c>
      <c r="B147" s="229">
        <v>8719.8591551025493</v>
      </c>
      <c r="C147" s="229"/>
      <c r="D147" s="229"/>
      <c r="E147" s="229"/>
      <c r="F147" s="229"/>
      <c r="G147" s="229"/>
      <c r="H147" s="229"/>
      <c r="I147" s="229"/>
      <c r="J147" s="229"/>
      <c r="K147" s="229"/>
      <c r="L147" s="170"/>
      <c r="M147" s="170"/>
      <c r="N147" s="195">
        <f t="shared" si="19"/>
        <v>0</v>
      </c>
      <c r="O147" s="195">
        <f t="shared" si="20"/>
        <v>0</v>
      </c>
      <c r="P147" s="195">
        <f t="shared" si="21"/>
        <v>0</v>
      </c>
      <c r="Q147" s="195">
        <f t="shared" si="22"/>
        <v>0</v>
      </c>
      <c r="R147" s="221" t="e">
        <f t="shared" si="23"/>
        <v>#DIV/0!</v>
      </c>
      <c r="AC147" s="251"/>
    </row>
    <row r="148" spans="1:29" ht="15.6" x14ac:dyDescent="0.3">
      <c r="A148" s="206">
        <v>2025</v>
      </c>
      <c r="B148" s="229">
        <v>9091.9392432328095</v>
      </c>
      <c r="C148" s="229"/>
      <c r="D148" s="229"/>
      <c r="E148" s="229"/>
      <c r="F148" s="229"/>
      <c r="G148" s="229"/>
      <c r="H148" s="229"/>
      <c r="I148" s="229"/>
      <c r="J148" s="229"/>
      <c r="K148" s="229"/>
      <c r="L148" s="170"/>
      <c r="M148" s="170"/>
      <c r="N148" s="195">
        <f t="shared" si="19"/>
        <v>0</v>
      </c>
      <c r="O148" s="195">
        <f t="shared" si="20"/>
        <v>0</v>
      </c>
      <c r="P148" s="195">
        <f t="shared" si="21"/>
        <v>0</v>
      </c>
      <c r="Q148" s="195">
        <f t="shared" si="22"/>
        <v>0</v>
      </c>
      <c r="R148" s="221" t="e">
        <f t="shared" si="23"/>
        <v>#DIV/0!</v>
      </c>
      <c r="AC148" s="251"/>
    </row>
    <row r="149" spans="1:29" ht="15.6" x14ac:dyDescent="0.3">
      <c r="A149" s="206">
        <v>2026</v>
      </c>
      <c r="B149" s="229">
        <v>9478.265760443137</v>
      </c>
      <c r="C149" s="229"/>
      <c r="D149" s="229"/>
      <c r="E149" s="229"/>
      <c r="F149" s="229"/>
      <c r="G149" s="229"/>
      <c r="H149" s="229"/>
      <c r="I149" s="229"/>
      <c r="J149" s="229"/>
      <c r="K149" s="229"/>
      <c r="L149" s="170"/>
      <c r="M149" s="170"/>
      <c r="N149" s="195">
        <f t="shared" si="19"/>
        <v>0</v>
      </c>
      <c r="O149" s="195">
        <f t="shared" si="20"/>
        <v>0</v>
      </c>
      <c r="P149" s="195">
        <f t="shared" si="21"/>
        <v>0</v>
      </c>
      <c r="Q149" s="195">
        <f t="shared" si="22"/>
        <v>0</v>
      </c>
      <c r="R149" s="221" t="e">
        <f t="shared" si="23"/>
        <v>#DIV/0!</v>
      </c>
      <c r="AC149" s="251"/>
    </row>
    <row r="150" spans="1:29" ht="15.6" x14ac:dyDescent="0.3">
      <c r="A150" s="206">
        <v>2027</v>
      </c>
      <c r="B150" s="229">
        <v>9879.2511623861774</v>
      </c>
      <c r="C150" s="229"/>
      <c r="D150" s="229"/>
      <c r="E150" s="229"/>
      <c r="F150" s="229"/>
      <c r="G150" s="229"/>
      <c r="H150" s="229"/>
      <c r="I150" s="229"/>
      <c r="J150" s="229"/>
      <c r="K150" s="229"/>
      <c r="L150" s="170"/>
      <c r="M150" s="170"/>
      <c r="N150" s="195">
        <f t="shared" si="19"/>
        <v>0</v>
      </c>
      <c r="O150" s="195">
        <f t="shared" si="20"/>
        <v>0</v>
      </c>
      <c r="P150" s="195">
        <f t="shared" si="21"/>
        <v>0</v>
      </c>
      <c r="Q150" s="195">
        <f t="shared" si="22"/>
        <v>0</v>
      </c>
      <c r="R150" s="221" t="e">
        <f t="shared" si="23"/>
        <v>#DIV/0!</v>
      </c>
      <c r="AC150" s="251"/>
    </row>
    <row r="151" spans="1:29" ht="15.6" x14ac:dyDescent="0.3">
      <c r="A151" s="206">
        <v>2028</v>
      </c>
      <c r="B151" s="229">
        <v>10295.307904714573</v>
      </c>
      <c r="C151" s="229"/>
      <c r="D151" s="229"/>
      <c r="E151" s="229"/>
      <c r="F151" s="229"/>
      <c r="G151" s="229"/>
      <c r="H151" s="229"/>
      <c r="I151" s="229"/>
      <c r="J151" s="229"/>
      <c r="K151" s="229"/>
      <c r="L151" s="170"/>
      <c r="M151" s="170"/>
      <c r="N151" s="195">
        <f t="shared" si="19"/>
        <v>0</v>
      </c>
      <c r="O151" s="195">
        <f t="shared" si="20"/>
        <v>0</v>
      </c>
      <c r="P151" s="195">
        <f t="shared" si="21"/>
        <v>0</v>
      </c>
      <c r="Q151" s="195">
        <f t="shared" si="22"/>
        <v>0</v>
      </c>
      <c r="R151" s="221" t="e">
        <f t="shared" si="23"/>
        <v>#DIV/0!</v>
      </c>
      <c r="AC151" s="251"/>
    </row>
    <row r="152" spans="1:29" ht="15.6" x14ac:dyDescent="0.3">
      <c r="A152" s="206">
        <v>2029</v>
      </c>
      <c r="B152" s="229">
        <v>10726.848443080973</v>
      </c>
      <c r="C152" s="229"/>
      <c r="D152" s="229"/>
      <c r="E152" s="229"/>
      <c r="F152" s="229"/>
      <c r="G152" s="229"/>
      <c r="H152" s="229"/>
      <c r="I152" s="229"/>
      <c r="J152" s="229"/>
      <c r="K152" s="229"/>
      <c r="L152" s="170"/>
      <c r="M152" s="170"/>
      <c r="N152" s="195">
        <f t="shared" si="19"/>
        <v>0</v>
      </c>
      <c r="O152" s="195">
        <f t="shared" si="20"/>
        <v>0</v>
      </c>
      <c r="P152" s="195">
        <f t="shared" si="21"/>
        <v>0</v>
      </c>
      <c r="Q152" s="195">
        <f t="shared" si="22"/>
        <v>0</v>
      </c>
      <c r="R152" s="221" t="e">
        <f t="shared" si="23"/>
        <v>#DIV/0!</v>
      </c>
      <c r="AC152" s="251"/>
    </row>
    <row r="153" spans="1:29" ht="15.6" x14ac:dyDescent="0.3">
      <c r="A153" s="206">
        <v>2030</v>
      </c>
      <c r="B153" s="229">
        <v>11174.285233138016</v>
      </c>
      <c r="C153" s="229"/>
      <c r="D153" s="229"/>
      <c r="E153" s="229"/>
      <c r="F153" s="229"/>
      <c r="G153" s="229"/>
      <c r="H153" s="229"/>
      <c r="I153" s="229"/>
      <c r="J153" s="229"/>
      <c r="K153" s="229"/>
      <c r="L153" s="170"/>
      <c r="M153" s="170"/>
      <c r="N153" s="195">
        <f t="shared" si="19"/>
        <v>0</v>
      </c>
      <c r="O153" s="195">
        <f t="shared" si="20"/>
        <v>0</v>
      </c>
      <c r="P153" s="195">
        <f t="shared" si="21"/>
        <v>0</v>
      </c>
      <c r="Q153" s="195">
        <f t="shared" si="22"/>
        <v>0</v>
      </c>
      <c r="R153" s="221" t="e">
        <f t="shared" si="23"/>
        <v>#DIV/0!</v>
      </c>
      <c r="AC153" s="251"/>
    </row>
    <row r="154" spans="1:29" ht="15.6" x14ac:dyDescent="0.3">
      <c r="A154" s="206">
        <v>2031</v>
      </c>
      <c r="B154" s="229">
        <v>11638.030730538358</v>
      </c>
      <c r="C154" s="229"/>
      <c r="D154" s="229"/>
      <c r="E154" s="229"/>
      <c r="F154" s="229"/>
      <c r="G154" s="229"/>
      <c r="H154" s="229"/>
      <c r="I154" s="229"/>
      <c r="J154" s="229"/>
      <c r="K154" s="229"/>
      <c r="L154" s="170"/>
      <c r="M154" s="170"/>
      <c r="N154" s="195">
        <f t="shared" si="19"/>
        <v>0</v>
      </c>
      <c r="O154" s="195">
        <f t="shared" si="20"/>
        <v>0</v>
      </c>
      <c r="P154" s="195">
        <f t="shared" si="21"/>
        <v>0</v>
      </c>
      <c r="Q154" s="195">
        <f t="shared" si="22"/>
        <v>0</v>
      </c>
      <c r="R154" s="221" t="e">
        <f t="shared" si="23"/>
        <v>#DIV/0!</v>
      </c>
      <c r="AC154" s="251"/>
    </row>
    <row r="155" spans="1:29" ht="15.6" x14ac:dyDescent="0.3">
      <c r="A155" s="206">
        <v>2032</v>
      </c>
      <c r="B155" s="229">
        <v>12118.497390934634</v>
      </c>
      <c r="C155" s="229"/>
      <c r="D155" s="229"/>
      <c r="E155" s="229"/>
      <c r="F155" s="229"/>
      <c r="G155" s="229"/>
      <c r="H155" s="229"/>
      <c r="I155" s="229"/>
      <c r="J155" s="229"/>
      <c r="K155" s="229"/>
      <c r="L155" s="170"/>
      <c r="M155" s="170"/>
      <c r="N155" s="195">
        <f t="shared" si="19"/>
        <v>0</v>
      </c>
      <c r="O155" s="195">
        <f t="shared" si="20"/>
        <v>0</v>
      </c>
      <c r="P155" s="195">
        <f t="shared" si="21"/>
        <v>0</v>
      </c>
      <c r="Q155" s="195">
        <f t="shared" si="22"/>
        <v>0</v>
      </c>
      <c r="R155" s="221" t="e">
        <f t="shared" si="23"/>
        <v>#DIV/0!</v>
      </c>
      <c r="AC155" s="251"/>
    </row>
    <row r="156" spans="1:29" ht="15.6" x14ac:dyDescent="0.3">
      <c r="A156" s="206">
        <v>2033</v>
      </c>
      <c r="B156" s="229">
        <v>12616.097669979496</v>
      </c>
      <c r="C156" s="229"/>
      <c r="D156" s="229"/>
      <c r="E156" s="229"/>
      <c r="F156" s="229"/>
      <c r="G156" s="229"/>
      <c r="H156" s="229"/>
      <c r="I156" s="229"/>
      <c r="J156" s="229"/>
      <c r="K156" s="229"/>
      <c r="L156" s="170"/>
      <c r="M156" s="170"/>
      <c r="N156" s="195">
        <f t="shared" si="19"/>
        <v>0</v>
      </c>
      <c r="O156" s="195">
        <f t="shared" si="20"/>
        <v>0</v>
      </c>
      <c r="P156" s="195">
        <f t="shared" si="21"/>
        <v>0</v>
      </c>
      <c r="Q156" s="195">
        <f t="shared" si="22"/>
        <v>0</v>
      </c>
      <c r="R156" s="221" t="e">
        <f t="shared" si="23"/>
        <v>#DIV/0!</v>
      </c>
      <c r="AC156" s="251"/>
    </row>
    <row r="157" spans="1:29" ht="15.6" x14ac:dyDescent="0.3">
      <c r="A157" s="206">
        <v>2034</v>
      </c>
      <c r="B157" s="229">
        <v>13131.244023325584</v>
      </c>
      <c r="C157" s="229"/>
      <c r="D157" s="229"/>
      <c r="E157" s="229"/>
      <c r="F157" s="229"/>
      <c r="G157" s="229"/>
      <c r="H157" s="229"/>
      <c r="I157" s="229"/>
      <c r="J157" s="229"/>
      <c r="K157" s="229"/>
      <c r="L157" s="170"/>
      <c r="M157" s="170"/>
      <c r="N157" s="195">
        <f t="shared" si="19"/>
        <v>0</v>
      </c>
      <c r="O157" s="195">
        <f t="shared" si="20"/>
        <v>0</v>
      </c>
      <c r="P157" s="195">
        <f t="shared" si="21"/>
        <v>0</v>
      </c>
      <c r="Q157" s="195">
        <f t="shared" si="22"/>
        <v>0</v>
      </c>
      <c r="R157" s="221" t="e">
        <f t="shared" si="23"/>
        <v>#DIV/0!</v>
      </c>
      <c r="AC157" s="251"/>
    </row>
    <row r="158" spans="1:29" ht="15.6" x14ac:dyDescent="0.3">
      <c r="A158" s="206">
        <v>2035</v>
      </c>
      <c r="B158" s="229">
        <v>13664.34890662555</v>
      </c>
      <c r="C158" s="229"/>
      <c r="D158" s="229"/>
      <c r="E158" s="229"/>
      <c r="F158" s="229"/>
      <c r="G158" s="229"/>
      <c r="H158" s="229"/>
      <c r="I158" s="229"/>
      <c r="J158" s="229"/>
      <c r="K158" s="229"/>
      <c r="L158" s="170"/>
      <c r="M158" s="170"/>
      <c r="N158" s="195">
        <f t="shared" si="19"/>
        <v>0</v>
      </c>
      <c r="O158" s="195">
        <f t="shared" si="20"/>
        <v>0</v>
      </c>
      <c r="P158" s="195">
        <f t="shared" si="21"/>
        <v>0</v>
      </c>
      <c r="Q158" s="195">
        <f t="shared" si="22"/>
        <v>0</v>
      </c>
      <c r="R158" s="221" t="e">
        <f t="shared" si="23"/>
        <v>#DIV/0!</v>
      </c>
      <c r="AC158" s="251"/>
    </row>
    <row r="159" spans="1:29" ht="15.6" x14ac:dyDescent="0.3">
      <c r="A159" s="206">
        <v>2036</v>
      </c>
      <c r="B159" s="229">
        <v>14215.824775532034</v>
      </c>
      <c r="C159" s="229"/>
      <c r="D159" s="229"/>
      <c r="E159" s="229"/>
      <c r="F159" s="229"/>
      <c r="G159" s="229"/>
      <c r="H159" s="229"/>
      <c r="I159" s="229"/>
      <c r="J159" s="229"/>
      <c r="K159" s="229"/>
      <c r="L159" s="170"/>
      <c r="M159" s="170"/>
      <c r="N159" s="195">
        <f t="shared" si="19"/>
        <v>0</v>
      </c>
      <c r="O159" s="195">
        <f t="shared" si="20"/>
        <v>0</v>
      </c>
      <c r="P159" s="195">
        <f t="shared" si="21"/>
        <v>0</v>
      </c>
      <c r="Q159" s="195">
        <f t="shared" si="22"/>
        <v>0</v>
      </c>
      <c r="R159" s="221" t="e">
        <f t="shared" si="23"/>
        <v>#DIV/0!</v>
      </c>
      <c r="AC159" s="251"/>
    </row>
    <row r="160" spans="1:29" ht="15.6" x14ac:dyDescent="0.3">
      <c r="A160" s="206">
        <v>2037</v>
      </c>
      <c r="B160" s="229">
        <v>14786.084085697683</v>
      </c>
      <c r="C160" s="229"/>
      <c r="D160" s="229"/>
      <c r="E160" s="229"/>
      <c r="F160" s="229"/>
      <c r="G160" s="229"/>
      <c r="H160" s="229"/>
      <c r="I160" s="229"/>
      <c r="J160" s="229"/>
      <c r="K160" s="229"/>
      <c r="L160" s="170"/>
      <c r="M160" s="170"/>
      <c r="N160" s="195">
        <f t="shared" si="19"/>
        <v>0</v>
      </c>
      <c r="O160" s="195">
        <f t="shared" si="20"/>
        <v>0</v>
      </c>
      <c r="P160" s="195">
        <f t="shared" si="21"/>
        <v>0</v>
      </c>
      <c r="Q160" s="195">
        <f t="shared" si="22"/>
        <v>0</v>
      </c>
      <c r="R160" s="221" t="e">
        <f t="shared" si="23"/>
        <v>#DIV/0!</v>
      </c>
      <c r="AC160" s="251"/>
    </row>
    <row r="161" spans="1:29" ht="15.6" x14ac:dyDescent="0.3">
      <c r="A161" s="206">
        <v>2038</v>
      </c>
      <c r="B161" s="229">
        <v>15375.539292775142</v>
      </c>
      <c r="C161" s="229"/>
      <c r="D161" s="229"/>
      <c r="E161" s="229"/>
      <c r="F161" s="229"/>
      <c r="G161" s="229"/>
      <c r="H161" s="229"/>
      <c r="I161" s="229"/>
      <c r="J161" s="229"/>
      <c r="K161" s="229"/>
      <c r="L161" s="170"/>
      <c r="M161" s="170"/>
      <c r="N161" s="195">
        <f t="shared" si="19"/>
        <v>0</v>
      </c>
      <c r="O161" s="195">
        <f t="shared" si="20"/>
        <v>0</v>
      </c>
      <c r="P161" s="195">
        <f t="shared" si="21"/>
        <v>0</v>
      </c>
      <c r="Q161" s="195">
        <f t="shared" si="22"/>
        <v>0</v>
      </c>
      <c r="R161" s="221" t="e">
        <f t="shared" si="23"/>
        <v>#DIV/0!</v>
      </c>
      <c r="AC161" s="251"/>
    </row>
    <row r="162" spans="1:29" ht="15.6" x14ac:dyDescent="0.3">
      <c r="A162" s="206">
        <v>2039</v>
      </c>
      <c r="B162" s="229">
        <v>15984.602852417058</v>
      </c>
      <c r="C162" s="229"/>
      <c r="D162" s="229"/>
      <c r="E162" s="229"/>
      <c r="F162" s="229"/>
      <c r="G162" s="229"/>
      <c r="H162" s="229"/>
      <c r="I162" s="229"/>
      <c r="J162" s="229"/>
      <c r="K162" s="229"/>
      <c r="L162" s="170"/>
      <c r="M162" s="170"/>
      <c r="N162" s="195">
        <f t="shared" si="19"/>
        <v>0</v>
      </c>
      <c r="O162" s="195">
        <f t="shared" si="20"/>
        <v>0</v>
      </c>
      <c r="P162" s="195">
        <f t="shared" si="21"/>
        <v>0</v>
      </c>
      <c r="Q162" s="195">
        <f t="shared" si="22"/>
        <v>0</v>
      </c>
      <c r="R162" s="221" t="e">
        <f t="shared" si="23"/>
        <v>#DIV/0!</v>
      </c>
      <c r="AC162" s="251"/>
    </row>
    <row r="163" spans="1:29" ht="15.6" x14ac:dyDescent="0.3">
      <c r="A163" s="206">
        <v>2040</v>
      </c>
      <c r="B163" s="229">
        <v>16613.687220276079</v>
      </c>
      <c r="C163" s="229"/>
      <c r="D163" s="229"/>
      <c r="E163" s="229"/>
      <c r="F163" s="229"/>
      <c r="G163" s="229"/>
      <c r="H163" s="229"/>
      <c r="I163" s="229"/>
      <c r="J163" s="229"/>
      <c r="K163" s="229"/>
      <c r="L163" s="170"/>
      <c r="M163" s="170"/>
      <c r="N163" s="195">
        <f t="shared" si="19"/>
        <v>0</v>
      </c>
      <c r="O163" s="195">
        <f t="shared" si="20"/>
        <v>0</v>
      </c>
      <c r="P163" s="195">
        <f t="shared" si="21"/>
        <v>0</v>
      </c>
      <c r="Q163" s="195">
        <f t="shared" si="22"/>
        <v>0</v>
      </c>
      <c r="R163" s="221" t="e">
        <f t="shared" si="23"/>
        <v>#DIV/0!</v>
      </c>
      <c r="AC163" s="251"/>
    </row>
    <row r="164" spans="1:29" ht="15.6" x14ac:dyDescent="0.3">
      <c r="A164" s="206">
        <v>2041</v>
      </c>
      <c r="B164" s="229">
        <v>17263.204852004841</v>
      </c>
      <c r="C164" s="229"/>
      <c r="D164" s="229"/>
      <c r="E164" s="229"/>
      <c r="F164" s="229"/>
      <c r="G164" s="229"/>
      <c r="H164" s="229"/>
      <c r="I164" s="229"/>
      <c r="J164" s="229"/>
      <c r="K164" s="229"/>
      <c r="L164" s="170"/>
      <c r="M164" s="170"/>
      <c r="N164" s="195">
        <f t="shared" si="19"/>
        <v>0</v>
      </c>
      <c r="O164" s="195">
        <f t="shared" si="20"/>
        <v>0</v>
      </c>
      <c r="P164" s="195">
        <f t="shared" si="21"/>
        <v>0</v>
      </c>
      <c r="Q164" s="195">
        <f>N164+P164+O164</f>
        <v>0</v>
      </c>
      <c r="R164" s="221" t="e">
        <f>N164/Q164</f>
        <v>#DIV/0!</v>
      </c>
      <c r="AC164" s="251"/>
    </row>
    <row r="165" spans="1:29" ht="15.6" x14ac:dyDescent="0.3">
      <c r="A165" s="206">
        <v>2042</v>
      </c>
      <c r="B165" s="229">
        <v>17933.568203255996</v>
      </c>
      <c r="C165" s="229"/>
      <c r="D165" s="229"/>
      <c r="E165" s="229"/>
      <c r="F165" s="229"/>
      <c r="G165" s="229"/>
      <c r="H165" s="229"/>
      <c r="I165" s="229"/>
      <c r="J165" s="229"/>
      <c r="K165" s="229"/>
      <c r="L165" s="170"/>
      <c r="M165" s="170"/>
      <c r="N165" s="195">
        <f t="shared" si="19"/>
        <v>0</v>
      </c>
      <c r="O165" s="195">
        <f t="shared" si="20"/>
        <v>0</v>
      </c>
      <c r="P165" s="195">
        <f t="shared" si="21"/>
        <v>0</v>
      </c>
      <c r="Q165" s="195">
        <f t="shared" si="22"/>
        <v>0</v>
      </c>
      <c r="R165" s="221" t="e">
        <f t="shared" si="23"/>
        <v>#DIV/0!</v>
      </c>
      <c r="AC165" s="251"/>
    </row>
    <row r="166" spans="1:29" ht="15.6" x14ac:dyDescent="0.3">
      <c r="A166" s="206">
        <v>2043</v>
      </c>
      <c r="B166" s="229">
        <v>18625.189729682192</v>
      </c>
      <c r="C166" s="229"/>
      <c r="D166" s="229"/>
      <c r="E166" s="229"/>
      <c r="F166" s="229"/>
      <c r="G166" s="229"/>
      <c r="H166" s="229"/>
      <c r="I166" s="229"/>
      <c r="J166" s="229"/>
      <c r="K166" s="229"/>
      <c r="L166" s="170"/>
      <c r="M166" s="170"/>
      <c r="N166" s="195">
        <f t="shared" si="19"/>
        <v>0</v>
      </c>
      <c r="O166" s="195">
        <f t="shared" si="20"/>
        <v>0</v>
      </c>
      <c r="P166" s="195">
        <f t="shared" si="21"/>
        <v>0</v>
      </c>
      <c r="Q166" s="195">
        <f t="shared" si="22"/>
        <v>0</v>
      </c>
      <c r="R166" s="221" t="e">
        <f t="shared" si="23"/>
        <v>#DIV/0!</v>
      </c>
      <c r="AC166" s="251"/>
    </row>
    <row r="167" spans="1:29" ht="15.6" x14ac:dyDescent="0.3">
      <c r="A167" s="206">
        <v>2044</v>
      </c>
      <c r="B167" s="229">
        <v>19338.481886936072</v>
      </c>
      <c r="C167" s="229"/>
      <c r="D167" s="229"/>
      <c r="E167" s="229"/>
      <c r="F167" s="229"/>
      <c r="G167" s="229"/>
      <c r="H167" s="229"/>
      <c r="I167" s="229"/>
      <c r="J167" s="229"/>
      <c r="K167" s="229"/>
      <c r="L167" s="170"/>
      <c r="M167" s="170"/>
      <c r="N167" s="195">
        <f t="shared" si="19"/>
        <v>0</v>
      </c>
      <c r="O167" s="195">
        <f t="shared" si="20"/>
        <v>0</v>
      </c>
      <c r="P167" s="195">
        <f t="shared" si="21"/>
        <v>0</v>
      </c>
      <c r="Q167" s="195">
        <f t="shared" si="22"/>
        <v>0</v>
      </c>
      <c r="R167" s="221" t="e">
        <f t="shared" si="23"/>
        <v>#DIV/0!</v>
      </c>
      <c r="AC167" s="251"/>
    </row>
    <row r="168" spans="1:29" ht="15.6" x14ac:dyDescent="0.3">
      <c r="A168" s="206">
        <v>2045</v>
      </c>
      <c r="B168" s="229">
        <v>20073.857130670276</v>
      </c>
      <c r="C168" s="229"/>
      <c r="D168" s="229"/>
      <c r="E168" s="229"/>
      <c r="F168" s="229"/>
      <c r="G168" s="229"/>
      <c r="H168" s="229"/>
      <c r="I168" s="229"/>
      <c r="J168" s="229"/>
      <c r="K168" s="229"/>
      <c r="L168" s="170"/>
      <c r="M168" s="170"/>
      <c r="N168" s="195">
        <f t="shared" si="19"/>
        <v>0</v>
      </c>
      <c r="O168" s="195">
        <f t="shared" si="20"/>
        <v>0</v>
      </c>
      <c r="P168" s="195">
        <f t="shared" si="21"/>
        <v>0</v>
      </c>
      <c r="Q168" s="195">
        <f t="shared" si="22"/>
        <v>0</v>
      </c>
      <c r="R168" s="221" t="e">
        <f t="shared" si="23"/>
        <v>#DIV/0!</v>
      </c>
      <c r="AC168" s="251"/>
    </row>
    <row r="169" spans="1:29" ht="15.6" x14ac:dyDescent="0.3">
      <c r="A169" s="206">
        <v>2046</v>
      </c>
      <c r="B169" s="229">
        <v>20831.727916537457</v>
      </c>
      <c r="C169" s="229"/>
      <c r="D169" s="229"/>
      <c r="E169" s="229"/>
      <c r="F169" s="229"/>
      <c r="G169" s="229"/>
      <c r="H169" s="229"/>
      <c r="I169" s="229"/>
      <c r="J169" s="229"/>
      <c r="K169" s="229"/>
      <c r="L169" s="170"/>
      <c r="M169" s="170"/>
      <c r="N169" s="195">
        <f t="shared" si="19"/>
        <v>0</v>
      </c>
      <c r="O169" s="195">
        <f t="shared" si="20"/>
        <v>0</v>
      </c>
      <c r="P169" s="195">
        <f t="shared" si="21"/>
        <v>0</v>
      </c>
      <c r="Q169" s="195">
        <f t="shared" si="22"/>
        <v>0</v>
      </c>
      <c r="R169" s="221" t="e">
        <f t="shared" si="23"/>
        <v>#DIV/0!</v>
      </c>
      <c r="AC169" s="251"/>
    </row>
    <row r="170" spans="1:29" ht="15.6" x14ac:dyDescent="0.3">
      <c r="A170" s="206">
        <v>2047</v>
      </c>
      <c r="B170" s="229">
        <v>21612.506700190253</v>
      </c>
      <c r="C170" s="229"/>
      <c r="D170" s="229"/>
      <c r="E170" s="229"/>
      <c r="F170" s="229"/>
      <c r="G170" s="229"/>
      <c r="H170" s="229"/>
      <c r="I170" s="229"/>
      <c r="J170" s="229"/>
      <c r="K170" s="229"/>
      <c r="L170" s="170"/>
      <c r="M170" s="170"/>
      <c r="N170" s="195">
        <f t="shared" si="19"/>
        <v>0</v>
      </c>
      <c r="O170" s="195">
        <f t="shared" si="20"/>
        <v>0</v>
      </c>
      <c r="P170" s="195">
        <f t="shared" si="21"/>
        <v>0</v>
      </c>
      <c r="Q170" s="195">
        <f t="shared" si="22"/>
        <v>0</v>
      </c>
      <c r="R170" s="221" t="e">
        <f t="shared" si="23"/>
        <v>#DIV/0!</v>
      </c>
      <c r="AC170" s="251"/>
    </row>
    <row r="171" spans="1:29" ht="15.6" x14ac:dyDescent="0.3">
      <c r="A171" s="206">
        <v>2048</v>
      </c>
      <c r="B171" s="229">
        <v>22416.605937281318</v>
      </c>
      <c r="C171" s="229"/>
      <c r="D171" s="229"/>
      <c r="E171" s="229"/>
      <c r="F171" s="229"/>
      <c r="G171" s="229"/>
      <c r="H171" s="229"/>
      <c r="I171" s="229"/>
      <c r="J171" s="229"/>
      <c r="K171" s="229"/>
      <c r="L171" s="170"/>
      <c r="M171" s="170"/>
      <c r="N171" s="195">
        <f t="shared" si="19"/>
        <v>0</v>
      </c>
      <c r="O171" s="195">
        <f t="shared" si="20"/>
        <v>0</v>
      </c>
      <c r="P171" s="195">
        <f t="shared" si="21"/>
        <v>0</v>
      </c>
      <c r="Q171" s="195">
        <f t="shared" si="22"/>
        <v>0</v>
      </c>
      <c r="R171" s="221" t="e">
        <f t="shared" si="23"/>
        <v>#DIV/0!</v>
      </c>
      <c r="AC171" s="251"/>
    </row>
    <row r="172" spans="1:29" ht="15.6" x14ac:dyDescent="0.3">
      <c r="A172" s="206">
        <v>2049</v>
      </c>
      <c r="B172" s="229">
        <v>23244.43808346329</v>
      </c>
      <c r="C172" s="229"/>
      <c r="D172" s="229"/>
      <c r="E172" s="229"/>
      <c r="F172" s="229"/>
      <c r="G172" s="229"/>
      <c r="H172" s="229"/>
      <c r="I172" s="229"/>
      <c r="J172" s="229"/>
      <c r="K172" s="229"/>
      <c r="L172" s="170"/>
      <c r="M172" s="170"/>
      <c r="N172" s="195">
        <f t="shared" si="19"/>
        <v>0</v>
      </c>
      <c r="O172" s="195">
        <f t="shared" si="20"/>
        <v>0</v>
      </c>
      <c r="P172" s="195">
        <f t="shared" si="21"/>
        <v>0</v>
      </c>
      <c r="Q172" s="195">
        <f t="shared" si="22"/>
        <v>0</v>
      </c>
      <c r="R172" s="221" t="e">
        <f t="shared" si="23"/>
        <v>#DIV/0!</v>
      </c>
      <c r="AC172" s="251"/>
    </row>
    <row r="173" spans="1:29" ht="16.2" thickBot="1" x14ac:dyDescent="0.35">
      <c r="A173" s="208">
        <v>2050</v>
      </c>
      <c r="B173" s="231">
        <v>24096.415594388822</v>
      </c>
      <c r="C173" s="229"/>
      <c r="D173" s="229"/>
      <c r="E173" s="231"/>
      <c r="F173" s="231"/>
      <c r="G173" s="231"/>
      <c r="H173" s="231"/>
      <c r="I173" s="231"/>
      <c r="J173" s="231"/>
      <c r="K173" s="231"/>
      <c r="L173" s="209"/>
      <c r="M173" s="209"/>
      <c r="N173" s="195">
        <f t="shared" si="19"/>
        <v>0</v>
      </c>
      <c r="O173" s="195">
        <f t="shared" si="20"/>
        <v>0</v>
      </c>
      <c r="P173" s="195">
        <f t="shared" si="21"/>
        <v>0</v>
      </c>
      <c r="Q173" s="195">
        <f t="shared" si="22"/>
        <v>0</v>
      </c>
      <c r="R173" s="222" t="e">
        <f t="shared" si="23"/>
        <v>#DIV/0!</v>
      </c>
      <c r="AC173" s="251"/>
    </row>
    <row r="174" spans="1:29" ht="15.6" x14ac:dyDescent="0.3">
      <c r="A174" s="213">
        <v>2051</v>
      </c>
      <c r="B174" s="227">
        <v>24972.950925710549</v>
      </c>
      <c r="C174" s="229"/>
      <c r="D174" s="229"/>
      <c r="E174" s="227"/>
      <c r="F174" s="227"/>
      <c r="G174" s="227"/>
      <c r="H174" s="227"/>
      <c r="I174" s="227"/>
      <c r="J174" s="227"/>
      <c r="K174" s="227"/>
      <c r="N174" s="195">
        <f t="shared" si="19"/>
        <v>0</v>
      </c>
      <c r="O174" s="195">
        <f t="shared" si="20"/>
        <v>0</v>
      </c>
      <c r="P174" s="195">
        <f t="shared" si="21"/>
        <v>0</v>
      </c>
      <c r="Q174" s="195">
        <f t="shared" si="22"/>
        <v>0</v>
      </c>
      <c r="R174" s="214" t="e">
        <f t="shared" si="23"/>
        <v>#DIV/0!</v>
      </c>
      <c r="AC174" s="251"/>
    </row>
    <row r="175" spans="1:29" ht="15.6" x14ac:dyDescent="0.3">
      <c r="A175" s="194">
        <v>2052</v>
      </c>
      <c r="B175" s="229">
        <v>25874.456533081124</v>
      </c>
      <c r="C175" s="229"/>
      <c r="D175" s="229"/>
      <c r="E175" s="229"/>
      <c r="F175" s="229"/>
      <c r="G175" s="229"/>
      <c r="H175" s="229"/>
      <c r="I175" s="229"/>
      <c r="J175" s="229"/>
      <c r="K175" s="229"/>
      <c r="N175" s="195">
        <f t="shared" si="19"/>
        <v>0</v>
      </c>
      <c r="O175" s="195">
        <f t="shared" si="20"/>
        <v>0</v>
      </c>
      <c r="P175" s="195">
        <f t="shared" si="21"/>
        <v>0</v>
      </c>
      <c r="Q175" s="195">
        <f t="shared" si="22"/>
        <v>0</v>
      </c>
      <c r="R175" s="196" t="e">
        <f t="shared" si="23"/>
        <v>#DIV/0!</v>
      </c>
      <c r="AC175" s="251"/>
    </row>
    <row r="176" spans="1:29" ht="15.6" x14ac:dyDescent="0.3">
      <c r="A176" s="194">
        <v>2053</v>
      </c>
      <c r="B176" s="229">
        <v>26801.344872153193</v>
      </c>
      <c r="C176" s="229"/>
      <c r="D176" s="229"/>
      <c r="E176" s="229"/>
      <c r="F176" s="229"/>
      <c r="G176" s="229"/>
      <c r="H176" s="229"/>
      <c r="I176" s="229"/>
      <c r="J176" s="229"/>
      <c r="K176" s="229"/>
      <c r="N176" s="195">
        <f t="shared" si="19"/>
        <v>0</v>
      </c>
      <c r="O176" s="195">
        <f t="shared" si="20"/>
        <v>0</v>
      </c>
      <c r="P176" s="195">
        <f t="shared" si="21"/>
        <v>0</v>
      </c>
      <c r="Q176" s="195">
        <f t="shared" si="22"/>
        <v>0</v>
      </c>
      <c r="R176" s="196" t="e">
        <f t="shared" si="23"/>
        <v>#DIV/0!</v>
      </c>
      <c r="AC176" s="251"/>
    </row>
    <row r="177" spans="1:29" ht="15.6" x14ac:dyDescent="0.3">
      <c r="A177" s="194">
        <v>2054</v>
      </c>
      <c r="B177" s="229">
        <v>27754.028398579394</v>
      </c>
      <c r="C177" s="229"/>
      <c r="D177" s="229"/>
      <c r="E177" s="229"/>
      <c r="F177" s="229"/>
      <c r="G177" s="229"/>
      <c r="H177" s="229"/>
      <c r="I177" s="229"/>
      <c r="J177" s="229"/>
      <c r="K177" s="229"/>
      <c r="N177" s="195">
        <f t="shared" si="19"/>
        <v>0</v>
      </c>
      <c r="O177" s="195">
        <f t="shared" si="20"/>
        <v>0</v>
      </c>
      <c r="P177" s="195">
        <f t="shared" si="21"/>
        <v>0</v>
      </c>
      <c r="Q177" s="195">
        <f t="shared" si="22"/>
        <v>0</v>
      </c>
      <c r="R177" s="196" t="e">
        <f t="shared" si="23"/>
        <v>#DIV/0!</v>
      </c>
      <c r="AC177" s="251"/>
    </row>
    <row r="178" spans="1:29" ht="15.6" x14ac:dyDescent="0.3">
      <c r="A178" s="194">
        <v>2055</v>
      </c>
      <c r="B178" s="229">
        <v>28732.919568012378</v>
      </c>
      <c r="C178" s="229"/>
      <c r="D178" s="229"/>
      <c r="E178" s="229"/>
      <c r="F178" s="229"/>
      <c r="G178" s="229"/>
      <c r="H178" s="229"/>
      <c r="I178" s="229"/>
      <c r="J178" s="229"/>
      <c r="K178" s="229"/>
      <c r="N178" s="195">
        <f t="shared" si="19"/>
        <v>0</v>
      </c>
      <c r="O178" s="195">
        <f t="shared" si="20"/>
        <v>0</v>
      </c>
      <c r="P178" s="195">
        <f t="shared" si="21"/>
        <v>0</v>
      </c>
      <c r="Q178" s="195">
        <f t="shared" si="22"/>
        <v>0</v>
      </c>
      <c r="R178" s="196" t="e">
        <f t="shared" si="23"/>
        <v>#DIV/0!</v>
      </c>
      <c r="AC178" s="251"/>
    </row>
    <row r="179" spans="1:29" ht="15.6" x14ac:dyDescent="0.3">
      <c r="A179" s="194">
        <v>2056</v>
      </c>
      <c r="B179" s="229">
        <v>29738.430836104792</v>
      </c>
      <c r="C179" s="229"/>
      <c r="D179" s="229"/>
      <c r="E179" s="229"/>
      <c r="F179" s="229"/>
      <c r="G179" s="229"/>
      <c r="H179" s="229"/>
      <c r="I179" s="229"/>
      <c r="J179" s="229"/>
      <c r="K179" s="229"/>
      <c r="N179" s="195">
        <f t="shared" si="19"/>
        <v>0</v>
      </c>
      <c r="O179" s="195">
        <f t="shared" si="20"/>
        <v>0</v>
      </c>
      <c r="P179" s="195">
        <f t="shared" si="21"/>
        <v>0</v>
      </c>
      <c r="Q179" s="195">
        <f t="shared" si="22"/>
        <v>0</v>
      </c>
      <c r="R179" s="196" t="e">
        <f t="shared" si="23"/>
        <v>#DIV/0!</v>
      </c>
      <c r="AC179" s="251"/>
    </row>
    <row r="180" spans="1:29" ht="15.6" x14ac:dyDescent="0.3">
      <c r="A180" s="194">
        <v>2057</v>
      </c>
      <c r="B180" s="229">
        <v>30770.97465850928</v>
      </c>
      <c r="C180" s="229"/>
      <c r="D180" s="229"/>
      <c r="E180" s="229"/>
      <c r="F180" s="229"/>
      <c r="G180" s="229"/>
      <c r="H180" s="229"/>
      <c r="I180" s="229"/>
      <c r="J180" s="229"/>
      <c r="K180" s="229"/>
      <c r="N180" s="195">
        <f t="shared" si="19"/>
        <v>0</v>
      </c>
      <c r="O180" s="195">
        <f t="shared" si="20"/>
        <v>0</v>
      </c>
      <c r="P180" s="195">
        <f t="shared" si="21"/>
        <v>0</v>
      </c>
      <c r="Q180" s="195">
        <f t="shared" si="22"/>
        <v>0</v>
      </c>
      <c r="R180" s="196" t="e">
        <f t="shared" si="23"/>
        <v>#DIV/0!</v>
      </c>
      <c r="AC180" s="251"/>
    </row>
    <row r="181" spans="1:29" ht="15.6" x14ac:dyDescent="0.3">
      <c r="A181" s="194">
        <v>2058</v>
      </c>
      <c r="B181" s="229">
        <v>31830.963490878483</v>
      </c>
      <c r="C181" s="229"/>
      <c r="D181" s="229"/>
      <c r="E181" s="229"/>
      <c r="F181" s="229"/>
      <c r="G181" s="229"/>
      <c r="H181" s="229"/>
      <c r="I181" s="229"/>
      <c r="J181" s="229"/>
      <c r="K181" s="229"/>
      <c r="N181" s="195">
        <f t="shared" si="19"/>
        <v>0</v>
      </c>
      <c r="O181" s="195">
        <f t="shared" si="20"/>
        <v>0</v>
      </c>
      <c r="P181" s="195">
        <f t="shared" si="21"/>
        <v>0</v>
      </c>
      <c r="Q181" s="195">
        <f t="shared" si="22"/>
        <v>0</v>
      </c>
      <c r="R181" s="196" t="e">
        <f t="shared" si="23"/>
        <v>#DIV/0!</v>
      </c>
      <c r="AC181" s="251"/>
    </row>
    <row r="182" spans="1:29" ht="15.6" x14ac:dyDescent="0.3">
      <c r="A182" s="194">
        <v>2059</v>
      </c>
      <c r="B182" s="229">
        <v>32918.809788865052</v>
      </c>
      <c r="C182" s="229"/>
      <c r="D182" s="229"/>
      <c r="E182" s="229"/>
      <c r="F182" s="229"/>
      <c r="G182" s="229"/>
      <c r="H182" s="229"/>
      <c r="I182" s="229"/>
      <c r="J182" s="229"/>
      <c r="K182" s="229"/>
      <c r="N182" s="195">
        <f t="shared" si="19"/>
        <v>0</v>
      </c>
      <c r="O182" s="195">
        <f t="shared" si="20"/>
        <v>0</v>
      </c>
      <c r="P182" s="195">
        <f t="shared" si="21"/>
        <v>0</v>
      </c>
      <c r="Q182" s="195">
        <f t="shared" si="22"/>
        <v>0</v>
      </c>
      <c r="R182" s="196" t="e">
        <f t="shared" si="23"/>
        <v>#DIV/0!</v>
      </c>
      <c r="AC182" s="251"/>
    </row>
    <row r="183" spans="1:29" ht="15.6" x14ac:dyDescent="0.3">
      <c r="A183" s="194">
        <v>2060</v>
      </c>
      <c r="B183" s="229">
        <v>34034.926008121634</v>
      </c>
      <c r="C183" s="229"/>
      <c r="D183" s="229"/>
      <c r="E183" s="229"/>
      <c r="F183" s="229"/>
      <c r="G183" s="229"/>
      <c r="H183" s="229"/>
      <c r="I183" s="229"/>
      <c r="J183" s="229"/>
      <c r="K183" s="229"/>
      <c r="N183" s="195">
        <f t="shared" si="19"/>
        <v>0</v>
      </c>
      <c r="O183" s="195">
        <f t="shared" si="20"/>
        <v>0</v>
      </c>
      <c r="P183" s="195">
        <f t="shared" si="21"/>
        <v>0</v>
      </c>
      <c r="Q183" s="195">
        <f t="shared" si="22"/>
        <v>0</v>
      </c>
      <c r="R183" s="196" t="e">
        <f>N183/Q183</f>
        <v>#DIV/0!</v>
      </c>
      <c r="AC183" s="251"/>
    </row>
    <row r="186" spans="1:29" x14ac:dyDescent="0.25">
      <c r="H186" s="250"/>
      <c r="I186" s="250"/>
      <c r="J186" s="250"/>
      <c r="K186" s="250"/>
    </row>
    <row r="187" spans="1:29" x14ac:dyDescent="0.25">
      <c r="H187" s="250"/>
      <c r="I187" s="250"/>
      <c r="J187" s="250"/>
      <c r="K187" s="250"/>
    </row>
    <row r="188" spans="1:29" x14ac:dyDescent="0.25">
      <c r="H188" s="250"/>
      <c r="I188" s="250"/>
      <c r="J188" s="250"/>
      <c r="K188" s="250"/>
    </row>
    <row r="189" spans="1:29" x14ac:dyDescent="0.25">
      <c r="H189" s="250"/>
      <c r="I189" s="250"/>
      <c r="J189" s="250"/>
      <c r="K189" s="250"/>
    </row>
    <row r="190" spans="1:29" x14ac:dyDescent="0.25">
      <c r="H190" s="250"/>
      <c r="I190" s="250"/>
      <c r="J190" s="250"/>
      <c r="K190" s="250"/>
    </row>
    <row r="191" spans="1:29" x14ac:dyDescent="0.25">
      <c r="H191" s="250"/>
      <c r="I191" s="250"/>
      <c r="J191" s="250"/>
      <c r="K191" s="250"/>
    </row>
    <row r="192" spans="1:29" x14ac:dyDescent="0.25">
      <c r="H192" s="250"/>
      <c r="I192" s="250"/>
      <c r="J192" s="250"/>
      <c r="K192" s="250"/>
    </row>
    <row r="193" spans="1:11" x14ac:dyDescent="0.25">
      <c r="H193" s="250"/>
      <c r="I193" s="250"/>
      <c r="J193" s="250"/>
      <c r="K193" s="250"/>
    </row>
    <row r="194" spans="1:11" x14ac:dyDescent="0.25">
      <c r="H194" s="250"/>
      <c r="I194" s="250"/>
      <c r="J194" s="250"/>
      <c r="K194" s="250"/>
    </row>
    <row r="195" spans="1:11" ht="13.8" thickBot="1" x14ac:dyDescent="0.3">
      <c r="H195" s="250"/>
      <c r="I195" s="250"/>
      <c r="J195" s="250"/>
      <c r="K195" s="250"/>
    </row>
    <row r="196" spans="1:11" ht="13.8" thickBot="1" x14ac:dyDescent="0.3">
      <c r="A196" s="194"/>
      <c r="B196" s="218" t="s">
        <v>4</v>
      </c>
      <c r="C196" s="191" t="s">
        <v>5</v>
      </c>
      <c r="D196" s="191" t="s">
        <v>6</v>
      </c>
      <c r="E196" s="191" t="s">
        <v>7</v>
      </c>
      <c r="F196" s="191" t="s">
        <v>8</v>
      </c>
      <c r="G196" s="191" t="s">
        <v>9</v>
      </c>
      <c r="H196" s="191" t="s">
        <v>10</v>
      </c>
      <c r="I196" s="191" t="s">
        <v>11</v>
      </c>
      <c r="J196" s="191" t="s">
        <v>12</v>
      </c>
      <c r="K196" s="192" t="s">
        <v>13</v>
      </c>
    </row>
    <row r="197" spans="1:11" ht="15.6" x14ac:dyDescent="0.3">
      <c r="A197" s="194">
        <v>2014</v>
      </c>
      <c r="B197" s="229"/>
      <c r="C197" s="229"/>
      <c r="D197" s="229"/>
      <c r="E197" s="229"/>
      <c r="F197" s="229"/>
      <c r="G197" s="229"/>
      <c r="H197" s="229"/>
      <c r="I197" s="229"/>
      <c r="J197" s="229"/>
      <c r="K197" s="229"/>
    </row>
    <row r="198" spans="1:11" ht="15.6" x14ac:dyDescent="0.3">
      <c r="A198" s="194">
        <v>2015</v>
      </c>
      <c r="B198" s="229"/>
      <c r="C198" s="229"/>
      <c r="D198" s="229"/>
      <c r="E198" s="229"/>
      <c r="F198" s="229"/>
      <c r="G198" s="229"/>
      <c r="H198" s="229"/>
      <c r="I198" s="229"/>
      <c r="J198" s="229"/>
      <c r="K198" s="229"/>
    </row>
    <row r="199" spans="1:11" ht="15.6" x14ac:dyDescent="0.3">
      <c r="A199" s="194">
        <v>2016</v>
      </c>
      <c r="B199" s="229"/>
      <c r="C199" s="229"/>
      <c r="D199" s="229"/>
      <c r="E199" s="229"/>
      <c r="F199" s="229"/>
      <c r="G199" s="229"/>
      <c r="H199" s="229"/>
      <c r="I199" s="229"/>
      <c r="J199" s="229"/>
      <c r="K199" s="229"/>
    </row>
    <row r="200" spans="1:11" ht="15.6" x14ac:dyDescent="0.3">
      <c r="A200" s="194">
        <v>2017</v>
      </c>
      <c r="B200" s="229"/>
      <c r="C200" s="229"/>
      <c r="D200" s="229"/>
      <c r="E200" s="229"/>
      <c r="F200" s="229"/>
      <c r="G200" s="229"/>
      <c r="H200" s="229"/>
      <c r="I200" s="229"/>
      <c r="J200" s="229"/>
      <c r="K200" s="229"/>
    </row>
    <row r="201" spans="1:11" ht="15.6" x14ac:dyDescent="0.3">
      <c r="A201" s="194">
        <v>2018</v>
      </c>
      <c r="B201" s="229"/>
      <c r="C201" s="229"/>
      <c r="D201" s="229"/>
      <c r="E201" s="229"/>
      <c r="F201" s="229"/>
      <c r="G201" s="229"/>
      <c r="H201" s="229"/>
      <c r="I201" s="229"/>
      <c r="J201" s="229"/>
      <c r="K201" s="229"/>
    </row>
    <row r="202" spans="1:11" ht="16.2" thickBot="1" x14ac:dyDescent="0.35">
      <c r="A202" s="198">
        <v>2019</v>
      </c>
      <c r="B202" s="230"/>
      <c r="C202" s="230"/>
      <c r="D202" s="230"/>
      <c r="E202" s="230"/>
      <c r="F202" s="230"/>
      <c r="G202" s="230"/>
      <c r="H202" s="230"/>
      <c r="I202" s="230"/>
      <c r="J202" s="230"/>
      <c r="K202" s="230"/>
    </row>
    <row r="203" spans="1:11" ht="15.6" x14ac:dyDescent="0.3">
      <c r="A203" s="201">
        <v>2020</v>
      </c>
      <c r="B203" s="228"/>
      <c r="C203" s="228"/>
      <c r="D203" s="228"/>
      <c r="E203" s="228"/>
      <c r="F203" s="228"/>
      <c r="G203" s="228"/>
      <c r="H203" s="228"/>
      <c r="I203" s="228"/>
      <c r="J203" s="228"/>
      <c r="K203" s="228"/>
    </row>
    <row r="204" spans="1:11" ht="15.6" x14ac:dyDescent="0.3">
      <c r="A204" s="206">
        <v>2021</v>
      </c>
      <c r="B204" s="229"/>
      <c r="C204" s="229"/>
      <c r="D204" s="229"/>
      <c r="E204" s="229"/>
      <c r="F204" s="229"/>
      <c r="G204" s="229"/>
      <c r="H204" s="229"/>
      <c r="I204" s="229"/>
      <c r="J204" s="229"/>
      <c r="K204" s="229"/>
    </row>
    <row r="205" spans="1:11" ht="15.6" x14ac:dyDescent="0.3">
      <c r="A205" s="206">
        <v>2022</v>
      </c>
      <c r="B205" s="229"/>
      <c r="C205" s="229"/>
      <c r="D205" s="229"/>
      <c r="E205" s="229"/>
      <c r="F205" s="229"/>
      <c r="G205" s="229"/>
      <c r="H205" s="229"/>
      <c r="I205" s="229"/>
      <c r="J205" s="229"/>
      <c r="K205" s="229"/>
    </row>
    <row r="206" spans="1:11" ht="15.6" x14ac:dyDescent="0.3">
      <c r="A206" s="206">
        <v>2023</v>
      </c>
      <c r="B206" s="229"/>
      <c r="C206" s="229"/>
      <c r="D206" s="229"/>
      <c r="E206" s="229"/>
      <c r="F206" s="229"/>
      <c r="G206" s="229"/>
      <c r="H206" s="229"/>
      <c r="I206" s="229"/>
      <c r="J206" s="229"/>
      <c r="K206" s="229"/>
    </row>
    <row r="207" spans="1:11" ht="15.6" x14ac:dyDescent="0.3">
      <c r="A207" s="206">
        <v>2024</v>
      </c>
      <c r="B207" s="229"/>
      <c r="C207" s="229"/>
      <c r="D207" s="229"/>
      <c r="E207" s="229"/>
      <c r="F207" s="229"/>
      <c r="G207" s="229"/>
      <c r="H207" s="229"/>
      <c r="I207" s="229"/>
      <c r="J207" s="229"/>
      <c r="K207" s="229"/>
    </row>
    <row r="208" spans="1:11" ht="15.6" x14ac:dyDescent="0.3">
      <c r="A208" s="206">
        <v>2025</v>
      </c>
      <c r="B208" s="229"/>
      <c r="C208" s="229"/>
      <c r="D208" s="229"/>
      <c r="E208" s="229"/>
      <c r="F208" s="229"/>
      <c r="G208" s="229"/>
      <c r="H208" s="229"/>
      <c r="I208" s="229"/>
      <c r="J208" s="229"/>
      <c r="K208" s="229"/>
    </row>
    <row r="209" spans="1:11" ht="15.6" x14ac:dyDescent="0.3">
      <c r="A209" s="206">
        <v>2026</v>
      </c>
      <c r="B209" s="229"/>
      <c r="C209" s="229"/>
      <c r="D209" s="229"/>
      <c r="E209" s="229"/>
      <c r="F209" s="229"/>
      <c r="G209" s="229"/>
      <c r="H209" s="229"/>
      <c r="I209" s="229"/>
      <c r="J209" s="229"/>
      <c r="K209" s="229"/>
    </row>
    <row r="210" spans="1:11" ht="15.6" x14ac:dyDescent="0.3">
      <c r="A210" s="206">
        <v>2027</v>
      </c>
      <c r="B210" s="229"/>
      <c r="C210" s="229"/>
      <c r="D210" s="229"/>
      <c r="E210" s="229"/>
      <c r="F210" s="229"/>
      <c r="G210" s="229"/>
      <c r="H210" s="229"/>
      <c r="I210" s="229"/>
      <c r="J210" s="229"/>
      <c r="K210" s="229"/>
    </row>
    <row r="211" spans="1:11" ht="15.6" x14ac:dyDescent="0.3">
      <c r="A211" s="206">
        <v>2028</v>
      </c>
      <c r="B211" s="229"/>
      <c r="C211" s="229"/>
      <c r="D211" s="229"/>
      <c r="E211" s="229"/>
      <c r="F211" s="229"/>
      <c r="G211" s="229"/>
      <c r="H211" s="229"/>
      <c r="I211" s="229"/>
      <c r="J211" s="229"/>
      <c r="K211" s="229"/>
    </row>
    <row r="212" spans="1:11" ht="15.6" x14ac:dyDescent="0.3">
      <c r="A212" s="206">
        <v>2029</v>
      </c>
      <c r="B212" s="229"/>
      <c r="C212" s="229"/>
      <c r="D212" s="229"/>
      <c r="E212" s="229"/>
      <c r="F212" s="229"/>
      <c r="G212" s="229"/>
      <c r="H212" s="229"/>
      <c r="I212" s="229"/>
      <c r="J212" s="229"/>
      <c r="K212" s="229"/>
    </row>
    <row r="213" spans="1:11" ht="15.6" x14ac:dyDescent="0.3">
      <c r="A213" s="206">
        <v>2030</v>
      </c>
      <c r="B213" s="229"/>
      <c r="C213" s="229"/>
      <c r="D213" s="229"/>
      <c r="E213" s="229"/>
      <c r="F213" s="229"/>
      <c r="G213" s="229"/>
      <c r="H213" s="229"/>
      <c r="I213" s="229"/>
      <c r="J213" s="229"/>
      <c r="K213" s="229"/>
    </row>
    <row r="214" spans="1:11" ht="15.6" x14ac:dyDescent="0.3">
      <c r="A214" s="206">
        <v>2031</v>
      </c>
      <c r="B214" s="229"/>
      <c r="C214" s="229"/>
      <c r="D214" s="229"/>
      <c r="E214" s="229"/>
      <c r="F214" s="229"/>
      <c r="G214" s="229"/>
      <c r="H214" s="229"/>
      <c r="I214" s="229"/>
      <c r="J214" s="229"/>
      <c r="K214" s="229"/>
    </row>
    <row r="215" spans="1:11" ht="15.6" x14ac:dyDescent="0.3">
      <c r="A215" s="206">
        <v>2032</v>
      </c>
      <c r="B215" s="229"/>
      <c r="C215" s="229"/>
      <c r="D215" s="229"/>
      <c r="E215" s="229"/>
      <c r="F215" s="229"/>
      <c r="G215" s="229"/>
      <c r="H215" s="229"/>
      <c r="I215" s="229"/>
      <c r="J215" s="229"/>
      <c r="K215" s="229"/>
    </row>
    <row r="216" spans="1:11" ht="15.6" x14ac:dyDescent="0.3">
      <c r="A216" s="206">
        <v>2033</v>
      </c>
      <c r="B216" s="229"/>
      <c r="C216" s="229"/>
      <c r="D216" s="229"/>
      <c r="E216" s="229"/>
      <c r="F216" s="229"/>
      <c r="G216" s="229"/>
      <c r="H216" s="229"/>
      <c r="I216" s="229"/>
      <c r="J216" s="229"/>
      <c r="K216" s="229"/>
    </row>
    <row r="217" spans="1:11" ht="15.6" x14ac:dyDescent="0.3">
      <c r="A217" s="206">
        <v>2034</v>
      </c>
      <c r="B217" s="229"/>
      <c r="C217" s="229"/>
      <c r="D217" s="229"/>
      <c r="E217" s="229"/>
      <c r="F217" s="229"/>
      <c r="G217" s="229"/>
      <c r="H217" s="229"/>
      <c r="I217" s="229"/>
      <c r="J217" s="229"/>
      <c r="K217" s="229"/>
    </row>
    <row r="218" spans="1:11" ht="15.6" x14ac:dyDescent="0.3">
      <c r="A218" s="206">
        <v>2035</v>
      </c>
      <c r="B218" s="229"/>
      <c r="C218" s="229"/>
      <c r="D218" s="229"/>
      <c r="E218" s="229"/>
      <c r="F218" s="229"/>
      <c r="G218" s="229"/>
      <c r="H218" s="229"/>
      <c r="I218" s="229"/>
      <c r="J218" s="229"/>
      <c r="K218" s="229"/>
    </row>
    <row r="219" spans="1:11" ht="15.6" x14ac:dyDescent="0.3">
      <c r="A219" s="206">
        <v>2036</v>
      </c>
      <c r="B219" s="229"/>
      <c r="C219" s="229"/>
      <c r="D219" s="229"/>
      <c r="E219" s="229"/>
      <c r="F219" s="229"/>
      <c r="G219" s="229"/>
      <c r="H219" s="229"/>
      <c r="I219" s="229"/>
      <c r="J219" s="229"/>
      <c r="K219" s="229"/>
    </row>
    <row r="220" spans="1:11" ht="15.6" x14ac:dyDescent="0.3">
      <c r="A220" s="206">
        <v>2037</v>
      </c>
      <c r="B220" s="229"/>
      <c r="C220" s="229"/>
      <c r="D220" s="229"/>
      <c r="E220" s="229"/>
      <c r="F220" s="229"/>
      <c r="G220" s="229"/>
      <c r="H220" s="229"/>
      <c r="I220" s="229"/>
      <c r="J220" s="229"/>
      <c r="K220" s="229"/>
    </row>
    <row r="221" spans="1:11" ht="15.6" x14ac:dyDescent="0.3">
      <c r="A221" s="206">
        <v>2038</v>
      </c>
      <c r="B221" s="229"/>
      <c r="C221" s="229"/>
      <c r="D221" s="229"/>
      <c r="E221" s="229"/>
      <c r="F221" s="229"/>
      <c r="G221" s="229"/>
      <c r="H221" s="229"/>
      <c r="I221" s="229"/>
      <c r="J221" s="229"/>
      <c r="K221" s="229"/>
    </row>
    <row r="222" spans="1:11" ht="15.6" x14ac:dyDescent="0.3">
      <c r="A222" s="206">
        <v>2039</v>
      </c>
      <c r="B222" s="229"/>
      <c r="C222" s="229"/>
      <c r="D222" s="229"/>
      <c r="E222" s="229"/>
      <c r="F222" s="229"/>
      <c r="G222" s="229"/>
      <c r="H222" s="229"/>
      <c r="I222" s="229"/>
      <c r="J222" s="229"/>
      <c r="K222" s="229"/>
    </row>
    <row r="223" spans="1:11" ht="15.6" x14ac:dyDescent="0.3">
      <c r="A223" s="206">
        <v>2040</v>
      </c>
      <c r="B223" s="229"/>
      <c r="C223" s="229"/>
      <c r="D223" s="229"/>
      <c r="E223" s="229"/>
      <c r="F223" s="229"/>
      <c r="G223" s="229"/>
      <c r="H223" s="229"/>
      <c r="I223" s="229"/>
      <c r="J223" s="229"/>
      <c r="K223" s="229"/>
    </row>
    <row r="224" spans="1:11" ht="15.6" x14ac:dyDescent="0.3">
      <c r="A224" s="206">
        <v>2041</v>
      </c>
      <c r="B224" s="229"/>
      <c r="C224" s="229"/>
      <c r="D224" s="229"/>
      <c r="E224" s="229"/>
      <c r="F224" s="229"/>
      <c r="G224" s="229"/>
      <c r="H224" s="229"/>
      <c r="I224" s="229"/>
      <c r="J224" s="229"/>
      <c r="K224" s="229"/>
    </row>
    <row r="225" spans="1:11" ht="15.6" x14ac:dyDescent="0.3">
      <c r="A225" s="206">
        <v>2042</v>
      </c>
      <c r="B225" s="229"/>
      <c r="C225" s="229"/>
      <c r="D225" s="229"/>
      <c r="E225" s="229"/>
      <c r="F225" s="229"/>
      <c r="G225" s="229"/>
      <c r="H225" s="229"/>
      <c r="I225" s="229"/>
      <c r="J225" s="229"/>
      <c r="K225" s="229"/>
    </row>
    <row r="226" spans="1:11" ht="15.6" x14ac:dyDescent="0.3">
      <c r="A226" s="206">
        <v>2043</v>
      </c>
      <c r="B226" s="229"/>
      <c r="C226" s="229"/>
      <c r="D226" s="229"/>
      <c r="E226" s="229"/>
      <c r="F226" s="229"/>
      <c r="G226" s="229"/>
      <c r="H226" s="229"/>
      <c r="I226" s="229"/>
      <c r="J226" s="229"/>
      <c r="K226" s="229"/>
    </row>
    <row r="227" spans="1:11" ht="15.6" x14ac:dyDescent="0.3">
      <c r="A227" s="206">
        <v>2044</v>
      </c>
      <c r="B227" s="229"/>
      <c r="C227" s="229"/>
      <c r="D227" s="229"/>
      <c r="E227" s="229"/>
      <c r="F227" s="229"/>
      <c r="G227" s="229"/>
      <c r="H227" s="229"/>
      <c r="I227" s="229"/>
      <c r="J227" s="229"/>
      <c r="K227" s="229"/>
    </row>
    <row r="228" spans="1:11" ht="15.6" x14ac:dyDescent="0.3">
      <c r="A228" s="206">
        <v>2045</v>
      </c>
      <c r="B228" s="229"/>
      <c r="C228" s="229"/>
      <c r="D228" s="229"/>
      <c r="E228" s="229"/>
      <c r="F228" s="229"/>
      <c r="G228" s="229"/>
      <c r="H228" s="229"/>
      <c r="I228" s="229"/>
      <c r="J228" s="229"/>
      <c r="K228" s="229"/>
    </row>
    <row r="229" spans="1:11" ht="15.6" x14ac:dyDescent="0.3">
      <c r="A229" s="206">
        <v>2046</v>
      </c>
      <c r="B229" s="229"/>
      <c r="C229" s="229"/>
      <c r="D229" s="229"/>
      <c r="E229" s="229"/>
      <c r="F229" s="229"/>
      <c r="G229" s="229"/>
      <c r="H229" s="229"/>
      <c r="I229" s="229"/>
      <c r="J229" s="229"/>
      <c r="K229" s="229"/>
    </row>
    <row r="230" spans="1:11" ht="15.6" x14ac:dyDescent="0.3">
      <c r="A230" s="206">
        <v>2047</v>
      </c>
      <c r="B230" s="229"/>
      <c r="C230" s="229"/>
      <c r="D230" s="229"/>
      <c r="E230" s="229"/>
      <c r="F230" s="229"/>
      <c r="G230" s="229"/>
      <c r="H230" s="229"/>
      <c r="I230" s="229"/>
      <c r="J230" s="229"/>
      <c r="K230" s="229"/>
    </row>
    <row r="231" spans="1:11" ht="15.6" x14ac:dyDescent="0.3">
      <c r="A231" s="206">
        <v>2048</v>
      </c>
      <c r="B231" s="229"/>
      <c r="C231" s="229"/>
      <c r="D231" s="229"/>
      <c r="E231" s="229"/>
      <c r="F231" s="229"/>
      <c r="G231" s="229"/>
      <c r="H231" s="229"/>
      <c r="I231" s="229"/>
      <c r="J231" s="229"/>
      <c r="K231" s="229"/>
    </row>
    <row r="232" spans="1:11" ht="15.6" x14ac:dyDescent="0.3">
      <c r="A232" s="206">
        <v>2049</v>
      </c>
      <c r="B232" s="229"/>
      <c r="C232" s="229"/>
      <c r="D232" s="229"/>
      <c r="E232" s="229"/>
      <c r="F232" s="229"/>
      <c r="G232" s="229"/>
      <c r="H232" s="229"/>
      <c r="I232" s="229"/>
      <c r="J232" s="229"/>
      <c r="K232" s="229"/>
    </row>
    <row r="233" spans="1:11" ht="16.2" thickBot="1" x14ac:dyDescent="0.35">
      <c r="A233" s="208">
        <v>2050</v>
      </c>
      <c r="B233" s="231"/>
      <c r="C233" s="231"/>
      <c r="D233" s="231"/>
      <c r="E233" s="231"/>
      <c r="F233" s="231"/>
      <c r="G233" s="231"/>
      <c r="H233" s="231"/>
      <c r="I233" s="231"/>
      <c r="J233" s="231"/>
      <c r="K233" s="231"/>
    </row>
    <row r="234" spans="1:11" ht="15.6" x14ac:dyDescent="0.3">
      <c r="A234" s="213">
        <v>2051</v>
      </c>
      <c r="B234" s="227"/>
      <c r="C234" s="227"/>
      <c r="D234" s="227"/>
      <c r="E234" s="227"/>
      <c r="F234" s="227"/>
      <c r="G234" s="227"/>
      <c r="H234" s="227"/>
      <c r="I234" s="227"/>
      <c r="J234" s="227"/>
      <c r="K234" s="227"/>
    </row>
    <row r="235" spans="1:11" ht="15.6" x14ac:dyDescent="0.3">
      <c r="A235" s="194">
        <v>2052</v>
      </c>
      <c r="B235" s="229"/>
      <c r="C235" s="229"/>
      <c r="D235" s="229"/>
      <c r="E235" s="229"/>
      <c r="F235" s="229"/>
      <c r="G235" s="229"/>
      <c r="H235" s="229"/>
      <c r="I235" s="229"/>
      <c r="J235" s="229"/>
      <c r="K235" s="229"/>
    </row>
    <row r="236" spans="1:11" ht="15.6" x14ac:dyDescent="0.3">
      <c r="A236" s="194">
        <v>2053</v>
      </c>
      <c r="B236" s="229"/>
      <c r="C236" s="229"/>
      <c r="D236" s="229"/>
      <c r="E236" s="229"/>
      <c r="F236" s="229"/>
      <c r="G236" s="229"/>
      <c r="H236" s="229"/>
      <c r="I236" s="229"/>
      <c r="J236" s="229"/>
      <c r="K236" s="229"/>
    </row>
    <row r="237" spans="1:11" ht="15.6" x14ac:dyDescent="0.3">
      <c r="A237" s="194">
        <v>2054</v>
      </c>
      <c r="B237" s="229"/>
      <c r="C237" s="229"/>
      <c r="D237" s="229"/>
      <c r="E237" s="229"/>
      <c r="F237" s="229"/>
      <c r="G237" s="229"/>
      <c r="H237" s="229"/>
      <c r="I237" s="229"/>
      <c r="J237" s="229"/>
      <c r="K237" s="229"/>
    </row>
    <row r="238" spans="1:11" ht="15.6" x14ac:dyDescent="0.3">
      <c r="A238" s="194">
        <v>2055</v>
      </c>
      <c r="B238" s="229"/>
      <c r="C238" s="229"/>
      <c r="D238" s="229"/>
      <c r="E238" s="229"/>
      <c r="F238" s="229"/>
      <c r="G238" s="229"/>
      <c r="H238" s="229"/>
      <c r="I238" s="229"/>
      <c r="J238" s="229"/>
      <c r="K238" s="229"/>
    </row>
    <row r="239" spans="1:11" ht="15.6" x14ac:dyDescent="0.3">
      <c r="A239" s="194">
        <v>2056</v>
      </c>
      <c r="B239" s="229"/>
      <c r="C239" s="229"/>
      <c r="D239" s="229"/>
      <c r="E239" s="229"/>
      <c r="F239" s="229"/>
      <c r="G239" s="229"/>
      <c r="H239" s="229"/>
      <c r="I239" s="229"/>
      <c r="J239" s="229"/>
      <c r="K239" s="229"/>
    </row>
    <row r="240" spans="1:11" ht="15.6" x14ac:dyDescent="0.3">
      <c r="A240" s="194">
        <v>2057</v>
      </c>
      <c r="B240" s="229"/>
      <c r="C240" s="229"/>
      <c r="D240" s="229"/>
      <c r="E240" s="229"/>
      <c r="F240" s="229"/>
      <c r="G240" s="229"/>
      <c r="H240" s="229"/>
      <c r="I240" s="229"/>
      <c r="J240" s="229"/>
      <c r="K240" s="229"/>
    </row>
    <row r="241" spans="1:11" ht="15.6" x14ac:dyDescent="0.3">
      <c r="A241" s="194">
        <v>2058</v>
      </c>
      <c r="B241" s="229"/>
      <c r="C241" s="229"/>
      <c r="D241" s="229"/>
      <c r="E241" s="229"/>
      <c r="F241" s="229"/>
      <c r="G241" s="229"/>
      <c r="H241" s="229"/>
      <c r="I241" s="229"/>
      <c r="J241" s="229"/>
      <c r="K241" s="229"/>
    </row>
    <row r="242" spans="1:11" ht="15.6" x14ac:dyDescent="0.3">
      <c r="A242" s="194">
        <v>2059</v>
      </c>
      <c r="B242" s="229"/>
      <c r="C242" s="229"/>
      <c r="D242" s="229"/>
      <c r="E242" s="229"/>
      <c r="F242" s="229"/>
      <c r="G242" s="229"/>
      <c r="H242" s="229"/>
      <c r="I242" s="229"/>
      <c r="J242" s="229"/>
      <c r="K242" s="229"/>
    </row>
    <row r="243" spans="1:11" ht="15.6" x14ac:dyDescent="0.3">
      <c r="A243" s="194">
        <v>2060</v>
      </c>
      <c r="B243" s="229"/>
      <c r="C243" s="229"/>
      <c r="D243" s="229"/>
      <c r="E243" s="229"/>
      <c r="F243" s="229"/>
      <c r="G243" s="229"/>
      <c r="H243" s="229"/>
      <c r="I243" s="229"/>
      <c r="J243" s="229"/>
      <c r="K243" s="229"/>
    </row>
    <row r="244" spans="1:11" x14ac:dyDescent="0.25">
      <c r="H244" s="250"/>
      <c r="I244" s="250"/>
      <c r="J244" s="250"/>
      <c r="K244" s="250"/>
    </row>
    <row r="245" spans="1:11" x14ac:dyDescent="0.25">
      <c r="H245" s="250"/>
      <c r="I245" s="250"/>
      <c r="J245" s="250"/>
      <c r="K245" s="250"/>
    </row>
    <row r="246" spans="1:11" x14ac:dyDescent="0.25">
      <c r="H246" s="250"/>
      <c r="I246" s="250"/>
      <c r="J246" s="250"/>
      <c r="K246" s="250"/>
    </row>
    <row r="247" spans="1:11" x14ac:dyDescent="0.25">
      <c r="H247" s="250"/>
      <c r="I247" s="250"/>
      <c r="J247" s="250"/>
      <c r="K247" s="250"/>
    </row>
    <row r="248" spans="1:11" x14ac:dyDescent="0.25">
      <c r="H248" s="250"/>
      <c r="I248" s="250"/>
      <c r="J248" s="250"/>
      <c r="K248" s="250"/>
    </row>
    <row r="249" spans="1:11" x14ac:dyDescent="0.25">
      <c r="H249" s="250"/>
      <c r="I249" s="250"/>
      <c r="J249" s="250"/>
      <c r="K249" s="250"/>
    </row>
    <row r="250" spans="1:11" x14ac:dyDescent="0.25">
      <c r="H250" s="250"/>
      <c r="I250" s="250"/>
      <c r="J250" s="250"/>
      <c r="K250" s="250"/>
    </row>
    <row r="251" spans="1:11" x14ac:dyDescent="0.25">
      <c r="H251" s="250"/>
      <c r="I251" s="250"/>
      <c r="J251" s="250"/>
      <c r="K251" s="250"/>
    </row>
    <row r="252" spans="1:11" x14ac:dyDescent="0.25">
      <c r="H252" s="250"/>
      <c r="I252" s="250"/>
      <c r="J252" s="250"/>
      <c r="K252" s="250"/>
    </row>
    <row r="253" spans="1:11" x14ac:dyDescent="0.25">
      <c r="H253" s="250"/>
      <c r="I253" s="250"/>
      <c r="J253" s="250"/>
      <c r="K253" s="250"/>
    </row>
    <row r="254" spans="1:11" x14ac:dyDescent="0.25">
      <c r="A254" s="373" t="s">
        <v>358</v>
      </c>
      <c r="B254" s="372"/>
      <c r="C254" s="372"/>
      <c r="D254" s="372"/>
      <c r="E254" s="372"/>
      <c r="F254" s="372"/>
      <c r="H254" s="250"/>
      <c r="I254" s="250"/>
      <c r="J254" s="250"/>
      <c r="K254" s="250"/>
    </row>
    <row r="256" spans="1:11" ht="15.6" x14ac:dyDescent="0.3">
      <c r="A256" s="327">
        <v>5</v>
      </c>
      <c r="B256" s="328" t="s">
        <v>388</v>
      </c>
      <c r="C256" s="329"/>
      <c r="D256" s="329"/>
      <c r="E256" s="329"/>
      <c r="F256" s="329"/>
      <c r="G256" s="329"/>
      <c r="H256" s="329"/>
    </row>
    <row r="257" spans="1:8" ht="15.6" x14ac:dyDescent="0.3">
      <c r="A257" s="330" t="s">
        <v>338</v>
      </c>
      <c r="B257" s="331"/>
      <c r="C257" s="331"/>
      <c r="D257" s="332"/>
      <c r="E257" s="333"/>
      <c r="F257" s="703"/>
      <c r="G257" s="333"/>
      <c r="H257" s="334"/>
    </row>
    <row r="258" spans="1:8" ht="16.2" thickBot="1" x14ac:dyDescent="0.3">
      <c r="A258" s="368" t="s">
        <v>339</v>
      </c>
      <c r="B258" s="336"/>
      <c r="C258" s="336"/>
      <c r="D258" s="337"/>
      <c r="E258" s="338" t="s">
        <v>340</v>
      </c>
      <c r="F258" s="704"/>
      <c r="G258" s="369" t="s">
        <v>389</v>
      </c>
      <c r="H258" s="334"/>
    </row>
    <row r="259" spans="1:8" ht="16.2" thickBot="1" x14ac:dyDescent="0.3">
      <c r="A259" s="340"/>
      <c r="B259" s="340"/>
      <c r="C259" s="340"/>
      <c r="D259" s="341"/>
      <c r="E259" s="369" t="s">
        <v>390</v>
      </c>
      <c r="F259" s="369" t="s">
        <v>343</v>
      </c>
      <c r="G259" s="370" t="s">
        <v>344</v>
      </c>
      <c r="H259" s="369" t="s">
        <v>345</v>
      </c>
    </row>
    <row r="260" spans="1:8" ht="15.6" x14ac:dyDescent="0.3">
      <c r="A260" s="330" t="s">
        <v>346</v>
      </c>
      <c r="B260" s="340"/>
      <c r="C260" s="343">
        <v>2005</v>
      </c>
      <c r="D260" s="344">
        <v>-9</v>
      </c>
      <c r="E260" s="378"/>
      <c r="F260" s="346"/>
      <c r="G260" s="347">
        <v>5010.3511525135718</v>
      </c>
      <c r="H260" s="348">
        <v>5010.3511525135718</v>
      </c>
    </row>
    <row r="261" spans="1:8" ht="15.6" x14ac:dyDescent="0.3">
      <c r="A261" s="368" t="s">
        <v>347</v>
      </c>
      <c r="B261" s="340"/>
      <c r="C261" s="349">
        <v>2006</v>
      </c>
      <c r="D261" s="350">
        <v>-8</v>
      </c>
      <c r="E261" s="351"/>
      <c r="F261" s="346"/>
      <c r="G261" s="352">
        <v>5308.8417989896734</v>
      </c>
      <c r="H261" s="353">
        <v>5308.8417989896734</v>
      </c>
    </row>
    <row r="262" spans="1:8" ht="15.6" x14ac:dyDescent="0.3">
      <c r="A262" s="340"/>
      <c r="B262" s="340"/>
      <c r="C262" s="349">
        <v>2007</v>
      </c>
      <c r="D262" s="350">
        <v>-7</v>
      </c>
      <c r="E262" s="351"/>
      <c r="F262" s="346"/>
      <c r="G262" s="352">
        <v>5639.3472774009297</v>
      </c>
      <c r="H262" s="353">
        <v>5639.3472774009297</v>
      </c>
    </row>
    <row r="263" spans="1:8" ht="15.6" x14ac:dyDescent="0.3">
      <c r="A263" s="354" t="s">
        <v>348</v>
      </c>
      <c r="B263" s="340"/>
      <c r="C263" s="349">
        <v>2008</v>
      </c>
      <c r="D263" s="350">
        <v>-6</v>
      </c>
      <c r="E263" s="351"/>
      <c r="F263" s="346"/>
      <c r="G263" s="352">
        <v>6000.9763682962621</v>
      </c>
      <c r="H263" s="353">
        <v>6000.9763682962621</v>
      </c>
    </row>
    <row r="264" spans="1:8" ht="15.6" x14ac:dyDescent="0.3">
      <c r="A264" s="700" t="s">
        <v>391</v>
      </c>
      <c r="B264" s="340"/>
      <c r="C264" s="349">
        <v>2009</v>
      </c>
      <c r="D264" s="350">
        <v>-5</v>
      </c>
      <c r="E264" s="351"/>
      <c r="F264" s="346"/>
      <c r="G264" s="352">
        <v>6392.8378522245939</v>
      </c>
      <c r="H264" s="353">
        <v>6392.8378522245939</v>
      </c>
    </row>
    <row r="265" spans="1:8" ht="15.6" x14ac:dyDescent="0.3">
      <c r="A265" s="701"/>
      <c r="B265" s="340"/>
      <c r="C265" s="349">
        <v>2010</v>
      </c>
      <c r="D265" s="350">
        <v>-4</v>
      </c>
      <c r="E265" s="351"/>
      <c r="F265" s="346"/>
      <c r="G265" s="352">
        <v>6814.0405097348494</v>
      </c>
      <c r="H265" s="353">
        <v>6814.0405097348494</v>
      </c>
    </row>
    <row r="266" spans="1:8" ht="15.6" x14ac:dyDescent="0.3">
      <c r="A266" s="701"/>
      <c r="B266" s="340"/>
      <c r="C266" s="349">
        <v>2011</v>
      </c>
      <c r="D266" s="350">
        <v>-3</v>
      </c>
      <c r="E266" s="351"/>
      <c r="F266" s="346"/>
      <c r="G266" s="352">
        <v>7263.6931213759517</v>
      </c>
      <c r="H266" s="353">
        <v>7263.6931213759517</v>
      </c>
    </row>
    <row r="267" spans="1:8" ht="15.6" x14ac:dyDescent="0.3">
      <c r="A267" s="702"/>
      <c r="B267" s="340"/>
      <c r="C267" s="349">
        <v>2012</v>
      </c>
      <c r="D267" s="350">
        <v>-2</v>
      </c>
      <c r="E267" s="351"/>
      <c r="F267" s="346"/>
      <c r="G267" s="355">
        <v>7740.9044676968242</v>
      </c>
      <c r="H267" s="356">
        <v>7740.9044676968242</v>
      </c>
    </row>
    <row r="268" spans="1:8" ht="15.6" x14ac:dyDescent="0.3">
      <c r="A268" s="340"/>
      <c r="B268" s="340"/>
      <c r="C268" s="349">
        <v>2013</v>
      </c>
      <c r="D268" s="350">
        <v>-1</v>
      </c>
      <c r="E268" s="351"/>
      <c r="F268" s="346"/>
      <c r="G268" s="355">
        <v>8244.7833292463893</v>
      </c>
      <c r="H268" s="356">
        <v>8244.7833292463893</v>
      </c>
    </row>
    <row r="269" spans="1:8" ht="15.6" x14ac:dyDescent="0.3">
      <c r="A269" s="357" t="s">
        <v>350</v>
      </c>
      <c r="B269" s="340"/>
      <c r="C269" s="349">
        <v>2014</v>
      </c>
      <c r="D269" s="350">
        <v>0</v>
      </c>
      <c r="E269" s="351">
        <v>8851.6582651577501</v>
      </c>
      <c r="F269" s="346">
        <v>8851.6582651577501</v>
      </c>
      <c r="G269" s="355">
        <v>8851.6582651577501</v>
      </c>
      <c r="H269" s="356">
        <v>8851.6582651577501</v>
      </c>
    </row>
    <row r="270" spans="1:8" ht="15.6" x14ac:dyDescent="0.3">
      <c r="A270" s="358">
        <v>2017</v>
      </c>
      <c r="B270" s="336"/>
      <c r="C270" s="349">
        <v>2015</v>
      </c>
      <c r="D270" s="350">
        <v>1</v>
      </c>
      <c r="E270" s="351"/>
      <c r="F270" s="346"/>
      <c r="G270" s="355">
        <v>9328.978720227291</v>
      </c>
      <c r="H270" s="356">
        <v>9328.978720227291</v>
      </c>
    </row>
    <row r="271" spans="1:8" ht="15.6" x14ac:dyDescent="0.3">
      <c r="A271" s="359"/>
      <c r="B271" s="336"/>
      <c r="C271" s="349">
        <v>2016</v>
      </c>
      <c r="D271" s="350">
        <v>2</v>
      </c>
      <c r="E271" s="351"/>
      <c r="F271" s="346"/>
      <c r="G271" s="355">
        <v>9907.5128107564742</v>
      </c>
      <c r="H271" s="356">
        <v>9907.5128107564742</v>
      </c>
    </row>
    <row r="272" spans="1:8" ht="15.6" x14ac:dyDescent="0.3">
      <c r="A272" s="357" t="s">
        <v>351</v>
      </c>
      <c r="B272" s="336"/>
      <c r="C272" s="349">
        <v>2017</v>
      </c>
      <c r="D272" s="350">
        <v>3</v>
      </c>
      <c r="E272" s="351"/>
      <c r="F272" s="346"/>
      <c r="G272" s="355">
        <v>10509.149538710044</v>
      </c>
      <c r="H272" s="356">
        <v>10509.149538710044</v>
      </c>
    </row>
    <row r="273" spans="1:8" ht="15.6" x14ac:dyDescent="0.3">
      <c r="A273" s="358" t="s">
        <v>390</v>
      </c>
      <c r="B273" s="336"/>
      <c r="C273" s="349">
        <v>2018</v>
      </c>
      <c r="D273" s="350">
        <v>4</v>
      </c>
      <c r="E273" s="351"/>
      <c r="F273" s="346"/>
      <c r="G273" s="355">
        <v>11132.997684636925</v>
      </c>
      <c r="H273" s="356">
        <v>11132.997684636925</v>
      </c>
    </row>
    <row r="274" spans="1:8" ht="15.6" x14ac:dyDescent="0.3">
      <c r="A274" s="360"/>
      <c r="B274" s="361"/>
      <c r="C274" s="349">
        <v>2019</v>
      </c>
      <c r="D274" s="350">
        <v>5</v>
      </c>
      <c r="E274" s="351"/>
      <c r="F274" s="346"/>
      <c r="G274" s="355">
        <v>11778.166029086035</v>
      </c>
      <c r="H274" s="356">
        <v>11778.166029086035</v>
      </c>
    </row>
    <row r="275" spans="1:8" ht="15.6" x14ac:dyDescent="0.3">
      <c r="A275" s="362" t="s">
        <v>352</v>
      </c>
      <c r="B275" s="336"/>
      <c r="C275" s="349">
        <v>2020</v>
      </c>
      <c r="D275" s="350">
        <v>6</v>
      </c>
      <c r="E275" s="351"/>
      <c r="F275" s="346"/>
      <c r="G275" s="355">
        <v>12443.763352606304</v>
      </c>
      <c r="H275" s="356">
        <v>12443.763352606304</v>
      </c>
    </row>
    <row r="276" spans="1:8" ht="15.6" x14ac:dyDescent="0.3">
      <c r="A276" s="363"/>
      <c r="B276" s="336"/>
      <c r="C276" s="349">
        <v>2021</v>
      </c>
      <c r="D276" s="350">
        <v>7</v>
      </c>
      <c r="E276" s="351"/>
      <c r="F276" s="346"/>
      <c r="G276" s="355">
        <v>13128.898435746651</v>
      </c>
      <c r="H276" s="356">
        <v>13128.898435746651</v>
      </c>
    </row>
    <row r="277" spans="1:8" ht="15.6" x14ac:dyDescent="0.3">
      <c r="A277" s="364"/>
      <c r="B277" s="336"/>
      <c r="C277" s="349">
        <v>2022</v>
      </c>
      <c r="D277" s="350">
        <v>8</v>
      </c>
      <c r="E277" s="351"/>
      <c r="F277" s="346"/>
      <c r="G277" s="355">
        <v>13832.680059056</v>
      </c>
      <c r="H277" s="356">
        <v>13832.680059056</v>
      </c>
    </row>
    <row r="278" spans="1:8" ht="15.6" x14ac:dyDescent="0.3">
      <c r="A278" s="358"/>
      <c r="B278" s="336"/>
      <c r="C278" s="349">
        <v>2023</v>
      </c>
      <c r="D278" s="350">
        <v>9</v>
      </c>
      <c r="E278" s="351"/>
      <c r="F278" s="346"/>
      <c r="G278" s="355">
        <v>14554.217003083275</v>
      </c>
      <c r="H278" s="356">
        <v>14554.217003083275</v>
      </c>
    </row>
    <row r="279" spans="1:8" ht="15.6" x14ac:dyDescent="0.3">
      <c r="A279" s="336"/>
      <c r="B279" s="336"/>
      <c r="C279" s="349">
        <v>2024</v>
      </c>
      <c r="D279" s="350">
        <v>10</v>
      </c>
      <c r="E279" s="351"/>
      <c r="F279" s="346"/>
      <c r="G279" s="355">
        <v>15292.618048377397</v>
      </c>
      <c r="H279" s="356">
        <v>15292.618048377397</v>
      </c>
    </row>
    <row r="280" spans="1:8" ht="15.6" x14ac:dyDescent="0.3">
      <c r="A280" s="336"/>
      <c r="B280" s="336"/>
      <c r="C280" s="349">
        <v>2025</v>
      </c>
      <c r="D280" s="350">
        <v>11</v>
      </c>
      <c r="E280" s="351">
        <v>15748.34111438131</v>
      </c>
      <c r="F280" s="346">
        <v>15748.34111438131</v>
      </c>
      <c r="G280" s="355">
        <v>15748.34111438131</v>
      </c>
      <c r="H280" s="356">
        <v>15748.34111438131</v>
      </c>
    </row>
    <row r="281" spans="1:8" ht="15.6" x14ac:dyDescent="0.3">
      <c r="A281" s="336"/>
      <c r="B281" s="336"/>
      <c r="C281" s="349">
        <v>2026</v>
      </c>
      <c r="D281" s="350">
        <v>12</v>
      </c>
      <c r="E281" s="351"/>
      <c r="F281" s="346"/>
      <c r="G281" s="355">
        <v>16816.447564961887</v>
      </c>
      <c r="H281" s="356">
        <v>16816.447564961887</v>
      </c>
    </row>
    <row r="282" spans="1:8" ht="15.6" x14ac:dyDescent="0.3">
      <c r="A282" s="336"/>
      <c r="B282" s="336"/>
      <c r="C282" s="349">
        <v>2027</v>
      </c>
      <c r="D282" s="350">
        <v>13</v>
      </c>
      <c r="E282" s="351"/>
      <c r="F282" s="346"/>
      <c r="G282" s="355">
        <v>17600.093597350096</v>
      </c>
      <c r="H282" s="356">
        <v>17600.093597350096</v>
      </c>
    </row>
    <row r="283" spans="1:8" ht="15.6" x14ac:dyDescent="0.3">
      <c r="A283" s="336"/>
      <c r="B283" s="336"/>
      <c r="C283" s="349">
        <v>2028</v>
      </c>
      <c r="D283" s="350">
        <v>14</v>
      </c>
      <c r="E283" s="351"/>
      <c r="F283" s="346"/>
      <c r="G283" s="355">
        <v>18397.038853200847</v>
      </c>
      <c r="H283" s="356">
        <v>18397.038853200847</v>
      </c>
    </row>
    <row r="284" spans="1:8" ht="15.6" x14ac:dyDescent="0.3">
      <c r="A284" s="336"/>
      <c r="B284" s="336"/>
      <c r="C284" s="349">
        <v>2029</v>
      </c>
      <c r="D284" s="350">
        <v>15</v>
      </c>
      <c r="E284" s="351"/>
      <c r="F284" s="346"/>
      <c r="G284" s="355">
        <v>19206.392113063062</v>
      </c>
      <c r="H284" s="356">
        <v>19206.392113063062</v>
      </c>
    </row>
    <row r="285" spans="1:8" ht="15.6" x14ac:dyDescent="0.3">
      <c r="A285" s="336"/>
      <c r="B285" s="336"/>
      <c r="C285" s="349">
        <v>2030</v>
      </c>
      <c r="D285" s="350">
        <v>16</v>
      </c>
      <c r="E285" s="351">
        <v>20063.643493529788</v>
      </c>
      <c r="F285" s="346">
        <v>20063.643493529788</v>
      </c>
      <c r="G285" s="355">
        <v>20063.643493529788</v>
      </c>
      <c r="H285" s="356">
        <v>20063.643493529788</v>
      </c>
    </row>
    <row r="286" spans="1:8" ht="15.6" x14ac:dyDescent="0.3">
      <c r="A286" s="336"/>
      <c r="B286" s="336"/>
      <c r="C286" s="349">
        <v>2031</v>
      </c>
      <c r="D286" s="350">
        <v>17</v>
      </c>
      <c r="E286" s="351"/>
      <c r="F286" s="346"/>
      <c r="G286" s="355">
        <v>20858.757767017589</v>
      </c>
      <c r="H286" s="356">
        <v>20858.757767017589</v>
      </c>
    </row>
    <row r="287" spans="1:8" ht="15.6" x14ac:dyDescent="0.3">
      <c r="A287" s="336"/>
      <c r="B287" s="336"/>
      <c r="C287" s="349">
        <v>2032</v>
      </c>
      <c r="D287" s="350">
        <v>18</v>
      </c>
      <c r="E287" s="351"/>
      <c r="F287" s="346"/>
      <c r="G287" s="355">
        <v>21699.987722207741</v>
      </c>
      <c r="H287" s="356">
        <v>21699.987722207741</v>
      </c>
    </row>
    <row r="288" spans="1:8" ht="15.6" x14ac:dyDescent="0.3">
      <c r="A288" s="361"/>
      <c r="B288" s="361"/>
      <c r="C288" s="349">
        <v>2033</v>
      </c>
      <c r="D288" s="350">
        <v>19</v>
      </c>
      <c r="E288" s="351"/>
      <c r="F288" s="346"/>
      <c r="G288" s="355">
        <v>22550.060803605051</v>
      </c>
      <c r="H288" s="356">
        <v>22550.060803605051</v>
      </c>
    </row>
    <row r="289" spans="1:8" ht="15.6" x14ac:dyDescent="0.3">
      <c r="A289" s="361"/>
      <c r="B289" s="361"/>
      <c r="C289" s="349">
        <v>2034</v>
      </c>
      <c r="D289" s="350">
        <v>20</v>
      </c>
      <c r="E289" s="351"/>
      <c r="F289" s="346"/>
      <c r="G289" s="355">
        <v>23408.085791758444</v>
      </c>
      <c r="H289" s="356">
        <v>23408.085791758444</v>
      </c>
    </row>
    <row r="290" spans="1:8" ht="15.6" x14ac:dyDescent="0.3">
      <c r="A290" s="361"/>
      <c r="B290" s="361"/>
      <c r="C290" s="349">
        <v>2035</v>
      </c>
      <c r="D290" s="350">
        <v>21</v>
      </c>
      <c r="E290" s="351">
        <v>24495.220159710781</v>
      </c>
      <c r="F290" s="346">
        <v>24495.220159710781</v>
      </c>
      <c r="G290" s="355">
        <v>24495.220159710781</v>
      </c>
      <c r="H290" s="356">
        <v>24495.220159710781</v>
      </c>
    </row>
    <row r="291" spans="1:8" ht="15.6" x14ac:dyDescent="0.3">
      <c r="A291" s="361"/>
      <c r="B291" s="361"/>
      <c r="C291" s="349">
        <v>2036</v>
      </c>
      <c r="D291" s="350">
        <v>22</v>
      </c>
      <c r="E291" s="351"/>
      <c r="F291" s="346"/>
      <c r="G291" s="355">
        <v>25144.426610529164</v>
      </c>
      <c r="H291" s="356">
        <v>25144.426610529164</v>
      </c>
    </row>
    <row r="292" spans="1:8" ht="15.6" x14ac:dyDescent="0.3">
      <c r="A292" s="361"/>
      <c r="B292" s="361"/>
      <c r="C292" s="349">
        <v>2037</v>
      </c>
      <c r="D292" s="350">
        <v>23</v>
      </c>
      <c r="E292" s="351"/>
      <c r="F292" s="346"/>
      <c r="G292" s="355">
        <v>26020.960002244341</v>
      </c>
      <c r="H292" s="356">
        <v>26020.960002244341</v>
      </c>
    </row>
    <row r="293" spans="1:8" ht="15.6" x14ac:dyDescent="0.3">
      <c r="A293" s="361"/>
      <c r="B293" s="361"/>
      <c r="C293" s="349">
        <v>2038</v>
      </c>
      <c r="D293" s="350">
        <v>24</v>
      </c>
      <c r="E293" s="351"/>
      <c r="F293" s="346"/>
      <c r="G293" s="355">
        <v>26901.880422911294</v>
      </c>
      <c r="H293" s="356">
        <v>26901.880422911294</v>
      </c>
    </row>
    <row r="294" spans="1:8" ht="15.6" x14ac:dyDescent="0.3">
      <c r="A294" s="361"/>
      <c r="B294" s="361"/>
      <c r="C294" s="349">
        <v>2039</v>
      </c>
      <c r="D294" s="350">
        <v>25</v>
      </c>
      <c r="E294" s="351"/>
      <c r="F294" s="346"/>
      <c r="G294" s="355">
        <v>27786.296653078942</v>
      </c>
      <c r="H294" s="356">
        <v>27786.296653078942</v>
      </c>
    </row>
    <row r="295" spans="1:8" ht="15.6" x14ac:dyDescent="0.3">
      <c r="A295" s="361"/>
      <c r="B295" s="361"/>
      <c r="C295" s="349">
        <v>2040</v>
      </c>
      <c r="D295" s="350">
        <v>26</v>
      </c>
      <c r="E295" s="351">
        <v>28807.295309656736</v>
      </c>
      <c r="F295" s="346">
        <v>28807.295309656736</v>
      </c>
      <c r="G295" s="355">
        <v>28807.295309656736</v>
      </c>
      <c r="H295" s="356">
        <v>28807.295309656736</v>
      </c>
    </row>
    <row r="296" spans="1:8" ht="15.6" x14ac:dyDescent="0.3">
      <c r="A296" s="361"/>
      <c r="B296" s="361"/>
      <c r="C296" s="349">
        <v>2041</v>
      </c>
      <c r="D296" s="350">
        <v>27</v>
      </c>
      <c r="E296" s="351"/>
      <c r="F296" s="346"/>
      <c r="G296" s="355">
        <v>29562.051664112027</v>
      </c>
      <c r="H296" s="356">
        <v>29562.051664112027</v>
      </c>
    </row>
    <row r="297" spans="1:8" ht="15.6" x14ac:dyDescent="0.3">
      <c r="A297" s="361"/>
      <c r="B297" s="361"/>
      <c r="C297" s="349">
        <v>2042</v>
      </c>
      <c r="D297" s="350">
        <v>28</v>
      </c>
      <c r="E297" s="351"/>
      <c r="F297" s="346"/>
      <c r="G297" s="355">
        <v>30451.608006075308</v>
      </c>
      <c r="H297" s="356">
        <v>30451.608006075308</v>
      </c>
    </row>
    <row r="298" spans="1:8" ht="15.6" x14ac:dyDescent="0.3">
      <c r="A298" s="361"/>
      <c r="B298" s="361"/>
      <c r="C298" s="349">
        <v>2043</v>
      </c>
      <c r="D298" s="350">
        <v>29</v>
      </c>
      <c r="E298" s="351"/>
      <c r="F298" s="346"/>
      <c r="G298" s="355">
        <v>31341.095279734978</v>
      </c>
      <c r="H298" s="356">
        <v>31341.095279734978</v>
      </c>
    </row>
    <row r="299" spans="1:8" ht="15.6" x14ac:dyDescent="0.3">
      <c r="A299" s="361"/>
      <c r="B299" s="361"/>
      <c r="C299" s="349">
        <v>2044</v>
      </c>
      <c r="D299" s="350">
        <v>30</v>
      </c>
      <c r="E299" s="351"/>
      <c r="F299" s="346"/>
      <c r="G299" s="355">
        <v>32229.622265639966</v>
      </c>
      <c r="H299" s="356">
        <v>32229.622265639966</v>
      </c>
    </row>
    <row r="300" spans="1:8" ht="15.6" x14ac:dyDescent="0.3">
      <c r="A300" s="361"/>
      <c r="B300" s="361"/>
      <c r="C300" s="349">
        <v>2045</v>
      </c>
      <c r="D300" s="350">
        <v>31</v>
      </c>
      <c r="E300" s="351">
        <v>33094.500776115907</v>
      </c>
      <c r="F300" s="346">
        <v>33094.500776115907</v>
      </c>
      <c r="G300" s="355">
        <v>33094.500776115907</v>
      </c>
      <c r="H300" s="356">
        <v>33094.500776115907</v>
      </c>
    </row>
    <row r="301" spans="1:8" ht="15.6" x14ac:dyDescent="0.3">
      <c r="A301" s="361"/>
      <c r="B301" s="361"/>
      <c r="C301" s="349">
        <v>2046</v>
      </c>
      <c r="D301" s="350">
        <v>32</v>
      </c>
      <c r="E301" s="351"/>
      <c r="F301" s="346"/>
      <c r="G301" s="355">
        <v>34000.23049638157</v>
      </c>
      <c r="H301" s="356">
        <v>34000.23049638157</v>
      </c>
    </row>
    <row r="302" spans="1:8" ht="15.6" x14ac:dyDescent="0.3">
      <c r="A302" s="365"/>
      <c r="B302" s="366"/>
      <c r="C302" s="349">
        <v>2047</v>
      </c>
      <c r="D302" s="350">
        <v>33</v>
      </c>
      <c r="E302" s="351"/>
      <c r="F302" s="346"/>
      <c r="G302" s="355">
        <v>34880.529302316041</v>
      </c>
      <c r="H302" s="356">
        <v>34880.529302316041</v>
      </c>
    </row>
    <row r="303" spans="1:8" ht="15.6" x14ac:dyDescent="0.3">
      <c r="A303" s="359"/>
      <c r="B303" s="366"/>
      <c r="C303" s="349">
        <v>2048</v>
      </c>
      <c r="D303" s="350">
        <v>34</v>
      </c>
      <c r="E303" s="351"/>
      <c r="F303" s="346"/>
      <c r="G303" s="355">
        <v>35756.302942691516</v>
      </c>
      <c r="H303" s="356">
        <v>35756.302942691516</v>
      </c>
    </row>
    <row r="304" spans="1:8" ht="15.6" x14ac:dyDescent="0.3">
      <c r="A304" s="359"/>
      <c r="B304" s="359"/>
      <c r="C304" s="349">
        <v>2049</v>
      </c>
      <c r="D304" s="350">
        <v>35</v>
      </c>
      <c r="E304" s="351"/>
      <c r="F304" s="346"/>
      <c r="G304" s="355">
        <v>36626.660198056925</v>
      </c>
      <c r="H304" s="356">
        <v>36626.660198056925</v>
      </c>
    </row>
    <row r="305" spans="1:8" ht="15.6" x14ac:dyDescent="0.3">
      <c r="A305" s="359"/>
      <c r="B305" s="359"/>
      <c r="C305" s="349">
        <v>2050</v>
      </c>
      <c r="D305" s="350">
        <v>36</v>
      </c>
      <c r="E305" s="351">
        <v>37344.964804896976</v>
      </c>
      <c r="F305" s="346">
        <v>37344.964804896976</v>
      </c>
      <c r="G305" s="355">
        <v>37344.964804896976</v>
      </c>
      <c r="H305" s="356">
        <v>37344.964804896976</v>
      </c>
    </row>
    <row r="306" spans="1:8" ht="15.6" x14ac:dyDescent="0.3">
      <c r="A306"/>
      <c r="B306"/>
      <c r="C306" s="349">
        <v>2051</v>
      </c>
      <c r="D306" s="350">
        <v>37</v>
      </c>
      <c r="E306" s="351"/>
      <c r="F306" s="346"/>
      <c r="G306" s="355">
        <v>38347.560675953224</v>
      </c>
      <c r="H306" s="356">
        <v>38347.560675953224</v>
      </c>
    </row>
    <row r="307" spans="1:8" ht="15.6" x14ac:dyDescent="0.3">
      <c r="A307"/>
      <c r="B307"/>
      <c r="C307" s="349">
        <v>2052</v>
      </c>
      <c r="D307" s="350">
        <v>38</v>
      </c>
      <c r="E307" s="351"/>
      <c r="F307" s="346"/>
      <c r="G307" s="355">
        <v>39196.321459581959</v>
      </c>
      <c r="H307" s="356">
        <v>39196.321459581959</v>
      </c>
    </row>
    <row r="308" spans="1:8" ht="15.6" x14ac:dyDescent="0.3">
      <c r="A308"/>
      <c r="B308"/>
      <c r="C308" s="349">
        <v>2053</v>
      </c>
      <c r="D308" s="350">
        <v>39</v>
      </c>
      <c r="E308" s="351"/>
      <c r="F308" s="346"/>
      <c r="G308" s="355">
        <v>40036.100980396317</v>
      </c>
      <c r="H308" s="356">
        <v>40036.100980396317</v>
      </c>
    </row>
    <row r="309" spans="1:8" ht="15.6" x14ac:dyDescent="0.3">
      <c r="A309"/>
      <c r="B309"/>
      <c r="C309" s="349">
        <v>2054</v>
      </c>
      <c r="D309" s="350">
        <v>40</v>
      </c>
      <c r="E309" s="351"/>
      <c r="F309" s="346"/>
      <c r="G309" s="355">
        <v>40866.008018945227</v>
      </c>
      <c r="H309" s="356">
        <v>40866.008018945227</v>
      </c>
    </row>
    <row r="310" spans="1:8" ht="15.6" x14ac:dyDescent="0.3">
      <c r="A310"/>
      <c r="B310"/>
      <c r="C310" s="349">
        <v>2055</v>
      </c>
      <c r="D310" s="350">
        <v>41</v>
      </c>
      <c r="E310" s="351">
        <v>41557.723589166737</v>
      </c>
      <c r="F310" s="346">
        <v>41557.723589166737</v>
      </c>
      <c r="G310" s="355">
        <v>41557.723589166737</v>
      </c>
      <c r="H310" s="356">
        <v>41557.723589166737</v>
      </c>
    </row>
    <row r="311" spans="1:8" ht="15.6" x14ac:dyDescent="0.3">
      <c r="A311"/>
      <c r="B311"/>
      <c r="C311" s="349">
        <v>2056</v>
      </c>
      <c r="D311" s="350">
        <v>42</v>
      </c>
      <c r="E311" s="351"/>
      <c r="F311" s="346"/>
      <c r="G311" s="355">
        <v>42492.639771442373</v>
      </c>
      <c r="H311" s="356">
        <v>42492.639771442373</v>
      </c>
    </row>
    <row r="312" spans="1:8" ht="15.6" x14ac:dyDescent="0.3">
      <c r="A312"/>
      <c r="B312"/>
      <c r="C312" s="349">
        <v>2057</v>
      </c>
      <c r="D312" s="350">
        <v>43</v>
      </c>
      <c r="E312" s="351"/>
      <c r="F312" s="346"/>
      <c r="G312" s="355">
        <v>43287.582046488453</v>
      </c>
      <c r="H312" s="356">
        <v>43287.582046488453</v>
      </c>
    </row>
    <row r="313" spans="1:8" ht="15.6" x14ac:dyDescent="0.3">
      <c r="A313"/>
      <c r="B313"/>
      <c r="C313" s="349">
        <v>2058</v>
      </c>
      <c r="D313" s="350">
        <v>44</v>
      </c>
      <c r="E313" s="351"/>
      <c r="F313" s="346"/>
      <c r="G313" s="355">
        <v>44069.086961464782</v>
      </c>
      <c r="H313" s="356">
        <v>44069.086961464782</v>
      </c>
    </row>
    <row r="314" spans="1:8" ht="15.6" x14ac:dyDescent="0.3">
      <c r="A314"/>
      <c r="B314"/>
      <c r="C314" s="349">
        <v>2059</v>
      </c>
      <c r="D314" s="350">
        <v>45</v>
      </c>
      <c r="E314" s="351"/>
      <c r="F314" s="346"/>
      <c r="G314" s="355">
        <v>44836.263296920275</v>
      </c>
      <c r="H314" s="356">
        <v>44836.263296920275</v>
      </c>
    </row>
    <row r="315" spans="1:8" ht="15.6" x14ac:dyDescent="0.3">
      <c r="A315"/>
      <c r="B315"/>
      <c r="C315" s="367">
        <v>2060</v>
      </c>
      <c r="D315" s="350">
        <v>46</v>
      </c>
      <c r="E315" s="351">
        <v>45712.212829925411</v>
      </c>
      <c r="F315" s="346">
        <v>45712.212829925411</v>
      </c>
      <c r="G315" s="355">
        <v>45712.212829925411</v>
      </c>
      <c r="H315" s="356">
        <v>45712.212829925411</v>
      </c>
    </row>
    <row r="322" spans="1:8" ht="15.6" x14ac:dyDescent="0.3">
      <c r="A322" s="327">
        <v>7</v>
      </c>
      <c r="B322" s="328" t="s">
        <v>392</v>
      </c>
      <c r="C322" s="329"/>
      <c r="D322" s="329"/>
      <c r="E322" s="329"/>
      <c r="F322" s="329"/>
      <c r="G322" s="329"/>
      <c r="H322" s="329"/>
    </row>
    <row r="323" spans="1:8" ht="15.6" x14ac:dyDescent="0.3">
      <c r="A323" s="330" t="s">
        <v>338</v>
      </c>
      <c r="B323" s="331"/>
      <c r="C323" s="331"/>
      <c r="D323" s="332"/>
      <c r="E323" s="333"/>
      <c r="F323" s="703"/>
      <c r="G323" s="333"/>
      <c r="H323" s="334"/>
    </row>
    <row r="324" spans="1:8" ht="16.2" thickBot="1" x14ac:dyDescent="0.3">
      <c r="A324" s="368" t="s">
        <v>339</v>
      </c>
      <c r="B324" s="336"/>
      <c r="C324" s="336"/>
      <c r="D324" s="337"/>
      <c r="E324" s="338" t="s">
        <v>340</v>
      </c>
      <c r="F324" s="704"/>
      <c r="G324" s="369" t="s">
        <v>393</v>
      </c>
      <c r="H324" s="334"/>
    </row>
    <row r="325" spans="1:8" ht="16.2" thickBot="1" x14ac:dyDescent="0.3">
      <c r="A325" s="340"/>
      <c r="B325" s="340"/>
      <c r="C325" s="340"/>
      <c r="D325" s="341"/>
      <c r="E325" s="369" t="s">
        <v>390</v>
      </c>
      <c r="F325" s="369" t="s">
        <v>343</v>
      </c>
      <c r="G325" s="370" t="s">
        <v>344</v>
      </c>
      <c r="H325" s="369" t="s">
        <v>345</v>
      </c>
    </row>
    <row r="326" spans="1:8" ht="15.6" x14ac:dyDescent="0.3">
      <c r="A326" s="330" t="s">
        <v>346</v>
      </c>
      <c r="B326" s="340"/>
      <c r="C326" s="343">
        <v>2005</v>
      </c>
      <c r="D326" s="344">
        <v>-9</v>
      </c>
      <c r="E326" s="345"/>
      <c r="F326" s="346"/>
      <c r="G326" s="347">
        <v>13425.390338268202</v>
      </c>
      <c r="H326" s="348">
        <v>13425.390338268202</v>
      </c>
    </row>
    <row r="327" spans="1:8" ht="15.6" x14ac:dyDescent="0.3">
      <c r="A327" s="368" t="s">
        <v>5</v>
      </c>
      <c r="B327" s="340"/>
      <c r="C327" s="349">
        <v>2006</v>
      </c>
      <c r="D327" s="350">
        <v>-8</v>
      </c>
      <c r="E327" s="351"/>
      <c r="F327" s="346"/>
      <c r="G327" s="352">
        <v>13595.367420400094</v>
      </c>
      <c r="H327" s="353">
        <v>13595.367420400094</v>
      </c>
    </row>
    <row r="328" spans="1:8" ht="15.6" x14ac:dyDescent="0.3">
      <c r="A328" s="340"/>
      <c r="B328" s="340"/>
      <c r="C328" s="349">
        <v>2007</v>
      </c>
      <c r="D328" s="350">
        <v>-7</v>
      </c>
      <c r="E328" s="351"/>
      <c r="F328" s="346"/>
      <c r="G328" s="352">
        <v>13777.982511035168</v>
      </c>
      <c r="H328" s="353">
        <v>13777.982511035168</v>
      </c>
    </row>
    <row r="329" spans="1:8" ht="15.6" x14ac:dyDescent="0.3">
      <c r="A329" s="354" t="s">
        <v>348</v>
      </c>
      <c r="B329" s="340"/>
      <c r="C329" s="349">
        <v>2008</v>
      </c>
      <c r="D329" s="350">
        <v>-6</v>
      </c>
      <c r="E329" s="351"/>
      <c r="F329" s="346"/>
      <c r="G329" s="352">
        <v>13972.926055524627</v>
      </c>
      <c r="H329" s="353">
        <v>13972.926055524627</v>
      </c>
    </row>
    <row r="330" spans="1:8" ht="15.6" x14ac:dyDescent="0.3">
      <c r="A330" s="700" t="s">
        <v>394</v>
      </c>
      <c r="B330" s="340"/>
      <c r="C330" s="349">
        <v>2009</v>
      </c>
      <c r="D330" s="350">
        <v>-5</v>
      </c>
      <c r="E330" s="351"/>
      <c r="F330" s="346"/>
      <c r="G330" s="352">
        <v>14179.888499219676</v>
      </c>
      <c r="H330" s="353">
        <v>14179.888499219676</v>
      </c>
    </row>
    <row r="331" spans="1:8" ht="15.6" x14ac:dyDescent="0.3">
      <c r="A331" s="701"/>
      <c r="B331" s="340"/>
      <c r="C331" s="349">
        <v>2010</v>
      </c>
      <c r="D331" s="350">
        <v>-4</v>
      </c>
      <c r="E331" s="351"/>
      <c r="F331" s="346"/>
      <c r="G331" s="352">
        <v>14398.560287471517</v>
      </c>
      <c r="H331" s="353">
        <v>14398.560287471517</v>
      </c>
    </row>
    <row r="332" spans="1:8" ht="15.6" x14ac:dyDescent="0.3">
      <c r="A332" s="701"/>
      <c r="B332" s="340"/>
      <c r="C332" s="349">
        <v>2011</v>
      </c>
      <c r="D332" s="350">
        <v>-3</v>
      </c>
      <c r="E332" s="351"/>
      <c r="F332" s="346"/>
      <c r="G332" s="352">
        <v>14628.631865631352</v>
      </c>
      <c r="H332" s="353">
        <v>14628.631865631352</v>
      </c>
    </row>
    <row r="333" spans="1:8" ht="15.6" x14ac:dyDescent="0.3">
      <c r="A333" s="702"/>
      <c r="B333" s="340"/>
      <c r="C333" s="349">
        <v>2012</v>
      </c>
      <c r="D333" s="350">
        <v>-2</v>
      </c>
      <c r="E333" s="351"/>
      <c r="F333" s="346"/>
      <c r="G333" s="355">
        <v>14869.793679050386</v>
      </c>
      <c r="H333" s="356">
        <v>14869.793679050386</v>
      </c>
    </row>
    <row r="334" spans="1:8" ht="15.6" x14ac:dyDescent="0.3">
      <c r="A334" s="340"/>
      <c r="B334" s="340"/>
      <c r="C334" s="349">
        <v>2013</v>
      </c>
      <c r="D334" s="350">
        <v>-1</v>
      </c>
      <c r="E334" s="351"/>
      <c r="F334" s="346"/>
      <c r="G334" s="355">
        <v>15121.736173079824</v>
      </c>
      <c r="H334" s="356">
        <v>15121.736173079824</v>
      </c>
    </row>
    <row r="335" spans="1:8" ht="15.6" x14ac:dyDescent="0.3">
      <c r="A335" s="357" t="s">
        <v>350</v>
      </c>
      <c r="B335" s="340"/>
      <c r="C335" s="349">
        <v>2014</v>
      </c>
      <c r="D335" s="350">
        <v>0</v>
      </c>
      <c r="E335" s="351">
        <v>15434.415646279336</v>
      </c>
      <c r="F335" s="346">
        <v>15434.415646279336</v>
      </c>
      <c r="G335" s="355">
        <v>15434.415646279336</v>
      </c>
      <c r="H335" s="356">
        <v>15434.415646279336</v>
      </c>
    </row>
    <row r="336" spans="1:8" ht="15.6" x14ac:dyDescent="0.3">
      <c r="A336" s="358">
        <v>2017</v>
      </c>
      <c r="B336" s="336"/>
      <c r="C336" s="349">
        <v>2015</v>
      </c>
      <c r="D336" s="350">
        <v>1</v>
      </c>
      <c r="E336" s="351"/>
      <c r="F336" s="346"/>
      <c r="G336" s="355">
        <v>15656.724984374714</v>
      </c>
      <c r="H336" s="356">
        <v>15656.724984374714</v>
      </c>
    </row>
    <row r="337" spans="1:8" ht="15.6" x14ac:dyDescent="0.3">
      <c r="A337" s="359"/>
      <c r="B337" s="336"/>
      <c r="C337" s="349">
        <v>2016</v>
      </c>
      <c r="D337" s="350">
        <v>2</v>
      </c>
      <c r="E337" s="351"/>
      <c r="F337" s="346"/>
      <c r="G337" s="355">
        <v>15939.152192342575</v>
      </c>
      <c r="H337" s="356">
        <v>15939.152192342575</v>
      </c>
    </row>
    <row r="338" spans="1:8" ht="15.6" x14ac:dyDescent="0.3">
      <c r="A338" s="357" t="s">
        <v>351</v>
      </c>
      <c r="B338" s="336"/>
      <c r="C338" s="349">
        <v>2017</v>
      </c>
      <c r="D338" s="350">
        <v>3</v>
      </c>
      <c r="E338" s="351"/>
      <c r="F338" s="346"/>
      <c r="G338" s="355">
        <v>16231.121862325652</v>
      </c>
      <c r="H338" s="356">
        <v>16231.121862325652</v>
      </c>
    </row>
    <row r="339" spans="1:8" ht="15.6" x14ac:dyDescent="0.3">
      <c r="A339" s="358" t="s">
        <v>390</v>
      </c>
      <c r="B339" s="336"/>
      <c r="C339" s="349">
        <v>2018</v>
      </c>
      <c r="D339" s="350">
        <v>4</v>
      </c>
      <c r="E339" s="351"/>
      <c r="F339" s="346"/>
      <c r="G339" s="355">
        <v>16532.324439675147</v>
      </c>
      <c r="H339" s="356">
        <v>16532.324439675147</v>
      </c>
    </row>
    <row r="340" spans="1:8" ht="15.6" x14ac:dyDescent="0.3">
      <c r="A340" s="360"/>
      <c r="B340" s="361"/>
      <c r="C340" s="349">
        <v>2019</v>
      </c>
      <c r="D340" s="350">
        <v>5</v>
      </c>
      <c r="E340" s="351"/>
      <c r="F340" s="346"/>
      <c r="G340" s="355">
        <v>16842.450369742259</v>
      </c>
      <c r="H340" s="356">
        <v>16842.450369742259</v>
      </c>
    </row>
    <row r="341" spans="1:8" ht="15.6" x14ac:dyDescent="0.3">
      <c r="A341" s="362" t="s">
        <v>352</v>
      </c>
      <c r="B341" s="336"/>
      <c r="C341" s="349">
        <v>2020</v>
      </c>
      <c r="D341" s="350">
        <v>6</v>
      </c>
      <c r="E341" s="351"/>
      <c r="F341" s="346"/>
      <c r="G341" s="355">
        <v>17161.1900978782</v>
      </c>
      <c r="H341" s="356">
        <v>17161.1900978782</v>
      </c>
    </row>
    <row r="342" spans="1:8" ht="15.6" x14ac:dyDescent="0.3">
      <c r="A342" s="363"/>
      <c r="B342" s="336"/>
      <c r="C342" s="349">
        <v>2021</v>
      </c>
      <c r="D342" s="350">
        <v>7</v>
      </c>
      <c r="E342" s="351"/>
      <c r="F342" s="346"/>
      <c r="G342" s="355">
        <v>17488.234069434166</v>
      </c>
      <c r="H342" s="356">
        <v>17488.234069434166</v>
      </c>
    </row>
    <row r="343" spans="1:8" ht="15.6" x14ac:dyDescent="0.3">
      <c r="A343" s="364"/>
      <c r="B343" s="336"/>
      <c r="C343" s="349">
        <v>2022</v>
      </c>
      <c r="D343" s="350">
        <v>8</v>
      </c>
      <c r="E343" s="351"/>
      <c r="F343" s="346"/>
      <c r="G343" s="355">
        <v>17823.272729761364</v>
      </c>
      <c r="H343" s="356">
        <v>17823.272729761364</v>
      </c>
    </row>
    <row r="344" spans="1:8" ht="15.6" x14ac:dyDescent="0.3">
      <c r="A344" s="358"/>
      <c r="B344" s="336"/>
      <c r="C344" s="349">
        <v>2023</v>
      </c>
      <c r="D344" s="350">
        <v>9</v>
      </c>
      <c r="E344" s="351"/>
      <c r="F344" s="346"/>
      <c r="G344" s="355">
        <v>18165.996524210997</v>
      </c>
      <c r="H344" s="356">
        <v>18165.996524210997</v>
      </c>
    </row>
    <row r="345" spans="1:8" ht="15.6" x14ac:dyDescent="0.3">
      <c r="A345" s="336"/>
      <c r="B345" s="336"/>
      <c r="C345" s="349">
        <v>2024</v>
      </c>
      <c r="D345" s="350">
        <v>10</v>
      </c>
      <c r="E345" s="351"/>
      <c r="F345" s="346"/>
      <c r="G345" s="355">
        <v>18516.095898134263</v>
      </c>
      <c r="H345" s="356">
        <v>18516.095898134263</v>
      </c>
    </row>
    <row r="346" spans="1:8" ht="15.6" x14ac:dyDescent="0.3">
      <c r="A346" s="336"/>
      <c r="B346" s="336"/>
      <c r="C346" s="349">
        <v>2025</v>
      </c>
      <c r="D346" s="350">
        <v>11</v>
      </c>
      <c r="E346" s="351">
        <v>18690.014120989861</v>
      </c>
      <c r="F346" s="346">
        <v>18690.014120989861</v>
      </c>
      <c r="G346" s="355">
        <v>18690.014120989861</v>
      </c>
      <c r="H346" s="356">
        <v>18690.014120989861</v>
      </c>
    </row>
    <row r="347" spans="1:8" ht="15.6" x14ac:dyDescent="0.3">
      <c r="A347" s="336"/>
      <c r="B347" s="336"/>
      <c r="C347" s="349">
        <v>2026</v>
      </c>
      <c r="D347" s="350">
        <v>12</v>
      </c>
      <c r="E347" s="351"/>
      <c r="F347" s="346"/>
      <c r="G347" s="355">
        <v>19237.183165806528</v>
      </c>
      <c r="H347" s="356">
        <v>19237.183165806528</v>
      </c>
    </row>
    <row r="348" spans="1:8" ht="15.6" x14ac:dyDescent="0.3">
      <c r="A348" s="336"/>
      <c r="B348" s="336"/>
      <c r="C348" s="349">
        <v>2027</v>
      </c>
      <c r="D348" s="350">
        <v>13</v>
      </c>
      <c r="E348" s="351"/>
      <c r="F348" s="346"/>
      <c r="G348" s="355">
        <v>19607.551950257926</v>
      </c>
      <c r="H348" s="356">
        <v>19607.551950257926</v>
      </c>
    </row>
    <row r="349" spans="1:8" ht="15.6" x14ac:dyDescent="0.3">
      <c r="A349" s="336"/>
      <c r="B349" s="336"/>
      <c r="C349" s="349">
        <v>2028</v>
      </c>
      <c r="D349" s="350">
        <v>14</v>
      </c>
      <c r="E349" s="351"/>
      <c r="F349" s="346"/>
      <c r="G349" s="355">
        <v>19984.058095587774</v>
      </c>
      <c r="H349" s="356">
        <v>19984.058095587774</v>
      </c>
    </row>
    <row r="350" spans="1:8" ht="15.6" x14ac:dyDescent="0.3">
      <c r="A350" s="336"/>
      <c r="B350" s="336"/>
      <c r="C350" s="349">
        <v>2029</v>
      </c>
      <c r="D350" s="350">
        <v>15</v>
      </c>
      <c r="E350" s="351"/>
      <c r="F350" s="346"/>
      <c r="G350" s="355">
        <v>20366.392047147281</v>
      </c>
      <c r="H350" s="356">
        <v>20366.392047147281</v>
      </c>
    </row>
    <row r="351" spans="1:8" ht="15.6" x14ac:dyDescent="0.3">
      <c r="A351" s="336"/>
      <c r="B351" s="336"/>
      <c r="C351" s="349">
        <v>2030</v>
      </c>
      <c r="D351" s="350">
        <v>16</v>
      </c>
      <c r="E351" s="351">
        <v>20757.262970515272</v>
      </c>
      <c r="F351" s="346">
        <v>20757.262970515272</v>
      </c>
      <c r="G351" s="355">
        <v>20757.262970515272</v>
      </c>
      <c r="H351" s="356">
        <v>20757.262970515272</v>
      </c>
    </row>
    <row r="352" spans="1:8" ht="15.6" x14ac:dyDescent="0.3">
      <c r="A352" s="336"/>
      <c r="B352" s="336"/>
      <c r="C352" s="349">
        <v>2031</v>
      </c>
      <c r="D352" s="350">
        <v>17</v>
      </c>
      <c r="E352" s="351"/>
      <c r="F352" s="346"/>
      <c r="G352" s="355">
        <v>21147.305150360058</v>
      </c>
      <c r="H352" s="356">
        <v>21147.305150360058</v>
      </c>
    </row>
    <row r="353" spans="1:8" ht="15.6" x14ac:dyDescent="0.3">
      <c r="A353" s="336"/>
      <c r="B353" s="336"/>
      <c r="C353" s="349">
        <v>2032</v>
      </c>
      <c r="D353" s="350">
        <v>18</v>
      </c>
      <c r="E353" s="351"/>
      <c r="F353" s="346"/>
      <c r="G353" s="355">
        <v>21545.265192715742</v>
      </c>
      <c r="H353" s="356">
        <v>21545.265192715742</v>
      </c>
    </row>
    <row r="354" spans="1:8" ht="15.6" x14ac:dyDescent="0.3">
      <c r="A354" s="361"/>
      <c r="B354" s="361"/>
      <c r="C354" s="349">
        <v>2033</v>
      </c>
      <c r="D354" s="350">
        <v>19</v>
      </c>
      <c r="E354" s="351"/>
      <c r="F354" s="346"/>
      <c r="G354" s="355">
        <v>21947.814822705892</v>
      </c>
      <c r="H354" s="356">
        <v>21947.814822705892</v>
      </c>
    </row>
    <row r="355" spans="1:8" ht="15.6" x14ac:dyDescent="0.3">
      <c r="A355" s="361"/>
      <c r="B355" s="361"/>
      <c r="C355" s="349">
        <v>2034</v>
      </c>
      <c r="D355" s="350">
        <v>20</v>
      </c>
      <c r="E355" s="351"/>
      <c r="F355" s="346"/>
      <c r="G355" s="355">
        <v>22354.644485681711</v>
      </c>
      <c r="H355" s="356">
        <v>22354.644485681711</v>
      </c>
    </row>
    <row r="356" spans="1:8" ht="15.6" x14ac:dyDescent="0.3">
      <c r="A356" s="361"/>
      <c r="B356" s="361"/>
      <c r="C356" s="349">
        <v>2035</v>
      </c>
      <c r="D356" s="350">
        <v>21</v>
      </c>
      <c r="E356" s="351">
        <v>22900.147185221278</v>
      </c>
      <c r="F356" s="346">
        <v>22900.147185221278</v>
      </c>
      <c r="G356" s="355">
        <v>22900.147185221278</v>
      </c>
      <c r="H356" s="356">
        <v>22900.147185221278</v>
      </c>
    </row>
    <row r="357" spans="1:8" ht="15.6" x14ac:dyDescent="0.3">
      <c r="A357" s="361"/>
      <c r="B357" s="361"/>
      <c r="C357" s="349">
        <v>2036</v>
      </c>
      <c r="D357" s="350">
        <v>22</v>
      </c>
      <c r="E357" s="351"/>
      <c r="F357" s="346"/>
      <c r="G357" s="355">
        <v>23179.905691995165</v>
      </c>
      <c r="H357" s="356">
        <v>23179.905691995165</v>
      </c>
    </row>
    <row r="358" spans="1:8" ht="15.6" x14ac:dyDescent="0.3">
      <c r="A358" s="361"/>
      <c r="B358" s="361"/>
      <c r="C358" s="349">
        <v>2037</v>
      </c>
      <c r="D358" s="350">
        <v>23</v>
      </c>
      <c r="E358" s="351"/>
      <c r="F358" s="346"/>
      <c r="G358" s="355">
        <v>23597.718126035212</v>
      </c>
      <c r="H358" s="356">
        <v>23597.718126035212</v>
      </c>
    </row>
    <row r="359" spans="1:8" ht="15.6" x14ac:dyDescent="0.3">
      <c r="A359" s="361"/>
      <c r="B359" s="361"/>
      <c r="C359" s="349">
        <v>2038</v>
      </c>
      <c r="D359" s="350">
        <v>24</v>
      </c>
      <c r="E359" s="351"/>
      <c r="F359" s="346"/>
      <c r="G359" s="355">
        <v>24018.572374465737</v>
      </c>
      <c r="H359" s="356">
        <v>24018.572374465737</v>
      </c>
    </row>
    <row r="360" spans="1:8" ht="15.6" x14ac:dyDescent="0.3">
      <c r="A360" s="361"/>
      <c r="B360" s="361"/>
      <c r="C360" s="349">
        <v>2039</v>
      </c>
      <c r="D360" s="350">
        <v>25</v>
      </c>
      <c r="E360" s="351"/>
      <c r="F360" s="346"/>
      <c r="G360" s="355">
        <v>24442.158882637952</v>
      </c>
      <c r="H360" s="356">
        <v>24442.158882637952</v>
      </c>
    </row>
    <row r="361" spans="1:8" ht="15.6" x14ac:dyDescent="0.3">
      <c r="A361" s="361"/>
      <c r="B361" s="361"/>
      <c r="C361" s="349">
        <v>2040</v>
      </c>
      <c r="D361" s="350">
        <v>26</v>
      </c>
      <c r="E361" s="351">
        <v>24984.301964445986</v>
      </c>
      <c r="F361" s="346">
        <v>24984.301964445986</v>
      </c>
      <c r="G361" s="355">
        <v>24984.301964445986</v>
      </c>
      <c r="H361" s="356">
        <v>24984.301964445986</v>
      </c>
    </row>
    <row r="362" spans="1:8" ht="15.6" x14ac:dyDescent="0.3">
      <c r="A362" s="361"/>
      <c r="B362" s="361"/>
      <c r="C362" s="349">
        <v>2041</v>
      </c>
      <c r="D362" s="350">
        <v>27</v>
      </c>
      <c r="E362" s="351"/>
      <c r="F362" s="346"/>
      <c r="G362" s="355">
        <v>25296.29045961225</v>
      </c>
      <c r="H362" s="356">
        <v>25296.29045961225</v>
      </c>
    </row>
    <row r="363" spans="1:8" ht="15.6" x14ac:dyDescent="0.3">
      <c r="A363" s="361"/>
      <c r="B363" s="361"/>
      <c r="C363" s="349">
        <v>2042</v>
      </c>
      <c r="D363" s="350">
        <v>28</v>
      </c>
      <c r="E363" s="351"/>
      <c r="F363" s="346"/>
      <c r="G363" s="355">
        <v>25726.216419116739</v>
      </c>
      <c r="H363" s="356">
        <v>25726.216419116739</v>
      </c>
    </row>
    <row r="364" spans="1:8" ht="15.6" x14ac:dyDescent="0.3">
      <c r="A364" s="361"/>
      <c r="B364" s="361"/>
      <c r="C364" s="349">
        <v>2043</v>
      </c>
      <c r="D364" s="350">
        <v>29</v>
      </c>
      <c r="E364" s="351"/>
      <c r="F364" s="346"/>
      <c r="G364" s="355">
        <v>26157.636419767725</v>
      </c>
      <c r="H364" s="356">
        <v>26157.636419767725</v>
      </c>
    </row>
    <row r="365" spans="1:8" ht="15.6" x14ac:dyDescent="0.3">
      <c r="A365" s="361"/>
      <c r="B365" s="361"/>
      <c r="C365" s="349">
        <v>2044</v>
      </c>
      <c r="D365" s="350">
        <v>30</v>
      </c>
      <c r="E365" s="351"/>
      <c r="F365" s="346"/>
      <c r="G365" s="355">
        <v>26590.240906916413</v>
      </c>
      <c r="H365" s="356">
        <v>26590.240906916413</v>
      </c>
    </row>
    <row r="366" spans="1:8" ht="15.6" x14ac:dyDescent="0.3">
      <c r="A366" s="361"/>
      <c r="B366" s="361"/>
      <c r="C366" s="349">
        <v>2045</v>
      </c>
      <c r="D366" s="350">
        <v>31</v>
      </c>
      <c r="E366" s="351">
        <v>27014.968861901973</v>
      </c>
      <c r="F366" s="346">
        <v>27014.968861901973</v>
      </c>
      <c r="G366" s="355">
        <v>27014.968861901973</v>
      </c>
      <c r="H366" s="356">
        <v>27014.968861901973</v>
      </c>
    </row>
    <row r="367" spans="1:8" ht="15.6" x14ac:dyDescent="0.3">
      <c r="A367" s="361"/>
      <c r="B367" s="361"/>
      <c r="C367" s="349">
        <v>2046</v>
      </c>
      <c r="D367" s="350">
        <v>32</v>
      </c>
      <c r="E367" s="351"/>
      <c r="F367" s="346"/>
      <c r="G367" s="355">
        <v>27457.765122111712</v>
      </c>
      <c r="H367" s="356">
        <v>27457.765122111712</v>
      </c>
    </row>
    <row r="368" spans="1:8" ht="15.6" x14ac:dyDescent="0.3">
      <c r="A368" s="365"/>
      <c r="B368" s="366"/>
      <c r="C368" s="349">
        <v>2047</v>
      </c>
      <c r="D368" s="350">
        <v>33</v>
      </c>
      <c r="E368" s="351"/>
      <c r="F368" s="346"/>
      <c r="G368" s="355">
        <v>27892.065740860726</v>
      </c>
      <c r="H368" s="356">
        <v>27892.065740860726</v>
      </c>
    </row>
    <row r="369" spans="1:8" ht="15.6" x14ac:dyDescent="0.3">
      <c r="A369" s="359"/>
      <c r="B369" s="366"/>
      <c r="C369" s="349">
        <v>2048</v>
      </c>
      <c r="D369" s="350">
        <v>34</v>
      </c>
      <c r="E369" s="351"/>
      <c r="F369" s="346"/>
      <c r="G369" s="355">
        <v>28326.312627512256</v>
      </c>
      <c r="H369" s="356">
        <v>28326.312627512256</v>
      </c>
    </row>
    <row r="370" spans="1:8" ht="15.6" x14ac:dyDescent="0.3">
      <c r="A370" s="359"/>
      <c r="B370" s="359"/>
      <c r="C370" s="349">
        <v>2049</v>
      </c>
      <c r="D370" s="350">
        <v>35</v>
      </c>
      <c r="E370" s="351"/>
      <c r="F370" s="346"/>
      <c r="G370" s="355">
        <v>28760.196227417502</v>
      </c>
      <c r="H370" s="356">
        <v>28760.196227417502</v>
      </c>
    </row>
    <row r="371" spans="1:8" ht="15.6" x14ac:dyDescent="0.3">
      <c r="A371" s="359"/>
      <c r="B371" s="359"/>
      <c r="C371" s="349">
        <v>2050</v>
      </c>
      <c r="D371" s="350">
        <v>36</v>
      </c>
      <c r="E371" s="351">
        <v>29082.714491742001</v>
      </c>
      <c r="F371" s="346">
        <v>29082.714491742001</v>
      </c>
      <c r="G371" s="355">
        <v>29082.714491742001</v>
      </c>
      <c r="H371" s="356">
        <v>29082.714491742001</v>
      </c>
    </row>
    <row r="372" spans="1:8" ht="15.6" x14ac:dyDescent="0.3">
      <c r="A372"/>
      <c r="B372"/>
      <c r="C372" s="349">
        <v>2051</v>
      </c>
      <c r="D372" s="350">
        <v>37</v>
      </c>
      <c r="E372" s="351"/>
      <c r="F372" s="346"/>
      <c r="G372" s="355">
        <v>29625.63534839396</v>
      </c>
      <c r="H372" s="356">
        <v>29625.63534839396</v>
      </c>
    </row>
    <row r="373" spans="1:8" ht="15.6" x14ac:dyDescent="0.3">
      <c r="A373"/>
      <c r="B373"/>
      <c r="C373" s="349">
        <v>2052</v>
      </c>
      <c r="D373" s="350">
        <v>38</v>
      </c>
      <c r="E373" s="351"/>
      <c r="F373" s="346"/>
      <c r="G373" s="355">
        <v>30056.571760167575</v>
      </c>
      <c r="H373" s="356">
        <v>30056.571760167575</v>
      </c>
    </row>
    <row r="374" spans="1:8" ht="15.6" x14ac:dyDescent="0.3">
      <c r="A374"/>
      <c r="B374"/>
      <c r="C374" s="349">
        <v>2053</v>
      </c>
      <c r="D374" s="350">
        <v>39</v>
      </c>
      <c r="E374" s="351"/>
      <c r="F374" s="346"/>
      <c r="G374" s="355">
        <v>30485.906666599723</v>
      </c>
      <c r="H374" s="356">
        <v>30485.906666599723</v>
      </c>
    </row>
    <row r="375" spans="1:8" ht="15.6" x14ac:dyDescent="0.3">
      <c r="A375"/>
      <c r="B375"/>
      <c r="C375" s="349">
        <v>2054</v>
      </c>
      <c r="D375" s="350">
        <v>40</v>
      </c>
      <c r="E375" s="351"/>
      <c r="F375" s="346"/>
      <c r="G375" s="355">
        <v>30913.330513041605</v>
      </c>
      <c r="H375" s="356">
        <v>30913.330513041605</v>
      </c>
    </row>
    <row r="376" spans="1:8" ht="15.6" x14ac:dyDescent="0.3">
      <c r="A376"/>
      <c r="B376"/>
      <c r="C376" s="349">
        <v>2055</v>
      </c>
      <c r="D376" s="350">
        <v>41</v>
      </c>
      <c r="E376" s="351">
        <v>31250.296920309571</v>
      </c>
      <c r="F376" s="346">
        <v>31250.296920309571</v>
      </c>
      <c r="G376" s="355">
        <v>31250.296920309571</v>
      </c>
      <c r="H376" s="356">
        <v>31250.296920309571</v>
      </c>
    </row>
    <row r="377" spans="1:8" ht="15.6" x14ac:dyDescent="0.3">
      <c r="A377"/>
      <c r="B377"/>
      <c r="C377" s="349">
        <v>2056</v>
      </c>
      <c r="D377" s="350">
        <v>42</v>
      </c>
      <c r="E377" s="351"/>
      <c r="F377" s="346"/>
      <c r="G377" s="355">
        <v>31761.206807359384</v>
      </c>
      <c r="H377" s="356">
        <v>31761.206807359384</v>
      </c>
    </row>
    <row r="378" spans="1:8" ht="15.6" x14ac:dyDescent="0.3">
      <c r="A378"/>
      <c r="B378"/>
      <c r="C378" s="349">
        <v>2057</v>
      </c>
      <c r="D378" s="350">
        <v>43</v>
      </c>
      <c r="E378" s="351"/>
      <c r="F378" s="346"/>
      <c r="G378" s="355">
        <v>32181.040145937688</v>
      </c>
      <c r="H378" s="356">
        <v>32181.040145937688</v>
      </c>
    </row>
    <row r="379" spans="1:8" ht="15.6" x14ac:dyDescent="0.3">
      <c r="A379"/>
      <c r="B379"/>
      <c r="C379" s="349">
        <v>2058</v>
      </c>
      <c r="D379" s="350">
        <v>44</v>
      </c>
      <c r="E379" s="351"/>
      <c r="F379" s="346"/>
      <c r="G379" s="355">
        <v>32597.724205930539</v>
      </c>
      <c r="H379" s="356">
        <v>32597.724205930539</v>
      </c>
    </row>
    <row r="380" spans="1:8" ht="15.6" x14ac:dyDescent="0.3">
      <c r="A380"/>
      <c r="B380"/>
      <c r="C380" s="349">
        <v>2059</v>
      </c>
      <c r="D380" s="350">
        <v>45</v>
      </c>
      <c r="E380" s="351"/>
      <c r="F380" s="346"/>
      <c r="G380" s="355">
        <v>33010.949432689144</v>
      </c>
      <c r="H380" s="356">
        <v>33010.949432689144</v>
      </c>
    </row>
    <row r="381" spans="1:8" ht="15.6" x14ac:dyDescent="0.3">
      <c r="A381"/>
      <c r="B381"/>
      <c r="C381" s="367">
        <v>2060</v>
      </c>
      <c r="D381" s="350">
        <v>46</v>
      </c>
      <c r="E381" s="351">
        <v>33507.213229983841</v>
      </c>
      <c r="F381" s="346">
        <v>33507.213229983841</v>
      </c>
      <c r="G381" s="355">
        <v>33507.213229983841</v>
      </c>
      <c r="H381" s="356">
        <v>33507.213229983841</v>
      </c>
    </row>
  </sheetData>
  <mergeCells count="18">
    <mergeCell ref="Y23:Z23"/>
    <mergeCell ref="J24:M24"/>
    <mergeCell ref="F257:F258"/>
    <mergeCell ref="A264:A267"/>
    <mergeCell ref="F323:F324"/>
    <mergeCell ref="U23:V23"/>
    <mergeCell ref="A330:A333"/>
    <mergeCell ref="O22:R22"/>
    <mergeCell ref="B23:D23"/>
    <mergeCell ref="E23:H23"/>
    <mergeCell ref="J23:M23"/>
    <mergeCell ref="O23:R23"/>
    <mergeCell ref="C1:G1"/>
    <mergeCell ref="I1:T1"/>
    <mergeCell ref="D2:E2"/>
    <mergeCell ref="I2:L3"/>
    <mergeCell ref="S3:W5"/>
    <mergeCell ref="I5:L6"/>
  </mergeCells>
  <conditionalFormatting sqref="A264">
    <cfRule type="cellIs" dxfId="1" priority="2" operator="equal">
      <formula>#REF!</formula>
    </cfRule>
  </conditionalFormatting>
  <conditionalFormatting sqref="A330">
    <cfRule type="cellIs" dxfId="0" priority="1" operator="equal">
      <formula>#REF!</formula>
    </cfRule>
  </conditionalFormatting>
  <dataValidations count="1">
    <dataValidation type="list" allowBlank="1" showInputMessage="1" showErrorMessage="1" sqref="C83:G83 F17 O24:R24 F3:G14">
      <formula1>"Y,N"</formula1>
    </dataValidation>
  </dataValidation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7030A0"/>
  </sheetPr>
  <dimension ref="A1:EG191"/>
  <sheetViews>
    <sheetView showGridLines="0" zoomScale="96" zoomScaleNormal="96" zoomScalePageLayoutView="80" workbookViewId="0">
      <selection activeCell="B137" sqref="B137:K183"/>
    </sheetView>
  </sheetViews>
  <sheetFormatPr defaultColWidth="8.796875" defaultRowHeight="13.2" x14ac:dyDescent="0.25"/>
  <cols>
    <col min="1" max="1" width="24.69921875" style="153" customWidth="1"/>
    <col min="2" max="2" width="37.5" style="153" bestFit="1" customWidth="1"/>
    <col min="3" max="3" width="21.5" style="153" customWidth="1"/>
    <col min="4" max="4" width="28.19921875" style="153" customWidth="1"/>
    <col min="5" max="5" width="37.5" style="153" bestFit="1" customWidth="1"/>
    <col min="6" max="6" width="28.296875" style="153" bestFit="1" customWidth="1"/>
    <col min="7" max="7" width="18.296875" style="153" bestFit="1" customWidth="1"/>
    <col min="8" max="8" width="45.5" style="153" bestFit="1" customWidth="1"/>
    <col min="9" max="11" width="7.296875" style="153" bestFit="1" customWidth="1"/>
    <col min="12" max="12" width="10.796875" style="153" bestFit="1" customWidth="1"/>
    <col min="13" max="13" width="7.19921875" style="153" bestFit="1" customWidth="1"/>
    <col min="14" max="14" width="19.5" style="153" customWidth="1"/>
    <col min="15" max="15" width="24.5" style="153" customWidth="1"/>
    <col min="16" max="16" width="23.19921875" style="153" customWidth="1"/>
    <col min="17" max="17" width="18.796875" style="153" customWidth="1"/>
    <col min="18" max="18" width="19" style="153" bestFit="1" customWidth="1"/>
    <col min="19" max="19" width="8.796875" style="153"/>
    <col min="20" max="20" width="10.19921875" style="153" bestFit="1" customWidth="1"/>
    <col min="21" max="21" width="24.5" style="153" customWidth="1"/>
    <col min="22" max="22" width="6" style="153" bestFit="1" customWidth="1"/>
    <col min="23" max="23" width="19" style="153" bestFit="1" customWidth="1"/>
    <col min="24" max="24" width="21.19921875" style="153" customWidth="1"/>
    <col min="25" max="25" width="16.296875" style="153" bestFit="1" customWidth="1"/>
    <col min="26" max="28" width="8.796875" style="153"/>
    <col min="29" max="29" width="41.69921875" style="153" bestFit="1" customWidth="1"/>
    <col min="30" max="31" width="8.796875" style="153"/>
    <col min="32" max="33" width="7" style="153" bestFit="1" customWidth="1"/>
    <col min="34" max="34" width="7.5" style="153" bestFit="1" customWidth="1"/>
    <col min="35" max="35" width="5.296875" style="153" bestFit="1" customWidth="1"/>
    <col min="36" max="16384" width="8.796875" style="153"/>
  </cols>
  <sheetData>
    <row r="1" spans="1:137" s="160" customFormat="1" ht="21.6" thickBot="1" x14ac:dyDescent="0.45">
      <c r="A1" s="155" t="str">
        <f ca="1">MID(CELL("filename",A1),FIND("]",CELL("filename",A1))+1,256)</f>
        <v>Plastics_cluster_all</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399</v>
      </c>
      <c r="E3" s="249">
        <v>0.99464650876194527</v>
      </c>
      <c r="F3" s="167"/>
      <c r="G3" s="167" t="s">
        <v>213</v>
      </c>
      <c r="I3" s="618"/>
      <c r="J3" s="618"/>
      <c r="K3" s="618"/>
      <c r="L3" s="618"/>
      <c r="M3" s="166"/>
      <c r="N3" s="164">
        <f ca="1">SUM(OFFSET(O27,B3-2015,0,B4-B3+1,4))/1000</f>
        <v>1.9563869273805763</v>
      </c>
      <c r="O3" s="165" t="s">
        <v>209</v>
      </c>
      <c r="Q3" s="165"/>
      <c r="S3" s="671" t="s">
        <v>210</v>
      </c>
      <c r="T3" s="671"/>
      <c r="U3" s="671"/>
      <c r="V3" s="671"/>
      <c r="W3" s="671"/>
    </row>
    <row r="4" spans="1:137" ht="13.8" x14ac:dyDescent="0.25">
      <c r="A4" s="153" t="s">
        <v>215</v>
      </c>
      <c r="B4" s="234">
        <v>2050</v>
      </c>
      <c r="D4" s="248"/>
      <c r="E4" s="249"/>
      <c r="F4" s="167"/>
      <c r="G4" s="167"/>
      <c r="I4" s="168"/>
      <c r="J4" s="168"/>
      <c r="K4" s="168"/>
      <c r="L4" s="168"/>
      <c r="M4" s="168"/>
      <c r="N4" s="168"/>
      <c r="S4" s="671"/>
      <c r="T4" s="671"/>
      <c r="U4" s="671"/>
      <c r="V4" s="671"/>
      <c r="W4" s="671"/>
    </row>
    <row r="5" spans="1:137" ht="12.75" customHeight="1" x14ac:dyDescent="0.25">
      <c r="D5" s="248"/>
      <c r="E5" s="249"/>
      <c r="F5" s="167"/>
      <c r="G5" s="167"/>
      <c r="I5" s="618" t="s">
        <v>214</v>
      </c>
      <c r="J5" s="618"/>
      <c r="K5" s="618"/>
      <c r="L5" s="618"/>
      <c r="M5" s="169"/>
      <c r="N5" s="164">
        <f>SUM(J27:M72)/1000</f>
        <v>0</v>
      </c>
      <c r="O5" s="165" t="s">
        <v>208</v>
      </c>
      <c r="S5" s="671"/>
      <c r="T5" s="671"/>
      <c r="U5" s="671"/>
      <c r="V5" s="671"/>
      <c r="W5" s="671"/>
    </row>
    <row r="6" spans="1:137" ht="13.8" x14ac:dyDescent="0.25">
      <c r="D6" s="248"/>
      <c r="E6" s="249"/>
      <c r="F6" s="167"/>
      <c r="G6" s="167"/>
      <c r="I6" s="618"/>
      <c r="J6" s="618"/>
      <c r="K6" s="618"/>
      <c r="L6" s="618"/>
      <c r="M6" s="163"/>
      <c r="N6" s="164">
        <f>SUM(O27:R72)/1000</f>
        <v>4.5152431484178726</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row>
    <row r="15" spans="1:137" ht="41.4" x14ac:dyDescent="0.25">
      <c r="O15" s="260" t="s">
        <v>322</v>
      </c>
      <c r="P15" s="260" t="s">
        <v>387</v>
      </c>
      <c r="Q15" s="260" t="s">
        <v>400</v>
      </c>
    </row>
    <row r="16" spans="1:137" ht="13.8" x14ac:dyDescent="0.25">
      <c r="F16" s="153" t="s">
        <v>217</v>
      </c>
      <c r="O16" s="261"/>
      <c r="P16" s="371"/>
      <c r="Q16" s="371">
        <v>2449285.7142857141</v>
      </c>
    </row>
    <row r="17" spans="1:26" x14ac:dyDescent="0.25">
      <c r="D17" s="171" t="s">
        <v>216</v>
      </c>
      <c r="E17" s="233">
        <v>1</v>
      </c>
      <c r="F17" s="167" t="s">
        <v>213</v>
      </c>
    </row>
    <row r="22" spans="1:26" x14ac:dyDescent="0.25">
      <c r="D22" s="170"/>
      <c r="I22" s="172"/>
      <c r="J22" s="172"/>
      <c r="K22" s="172"/>
      <c r="L22" s="172"/>
      <c r="M22" s="172"/>
      <c r="N22" s="172"/>
      <c r="O22" s="667" t="s">
        <v>378</v>
      </c>
      <c r="P22" s="667"/>
      <c r="Q22" s="667"/>
      <c r="R22" s="667"/>
    </row>
    <row r="23" spans="1:26" ht="67.5" customHeight="1" x14ac:dyDescent="0.25">
      <c r="B23" s="665" t="s">
        <v>376</v>
      </c>
      <c r="C23" s="665"/>
      <c r="D23" s="665"/>
      <c r="E23" s="666" t="s">
        <v>375</v>
      </c>
      <c r="F23" s="666"/>
      <c r="G23" s="666"/>
      <c r="H23" s="666"/>
      <c r="J23" s="665" t="s">
        <v>377</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211</v>
      </c>
      <c r="Q24" s="167" t="s">
        <v>213</v>
      </c>
      <c r="R24" s="167" t="s">
        <v>211</v>
      </c>
    </row>
    <row r="25" spans="1:26" ht="38.25" customHeight="1" x14ac:dyDescent="0.25">
      <c r="B25" s="223" t="s">
        <v>500</v>
      </c>
      <c r="C25" s="223" t="s">
        <v>500</v>
      </c>
      <c r="D25" s="225" t="s">
        <v>513</v>
      </c>
      <c r="E25" s="174" t="s">
        <v>500</v>
      </c>
      <c r="F25" s="174" t="s">
        <v>500</v>
      </c>
      <c r="G25" s="174" t="s">
        <v>249</v>
      </c>
      <c r="H25" s="174" t="s">
        <v>513</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-5.232011167444425E-4</v>
      </c>
      <c r="F26" s="183" t="str">
        <f>IFERROR(E26-E25,"")</f>
        <v/>
      </c>
      <c r="G26" s="247">
        <f t="shared" ref="G26:G72" si="1">IFERROR(E26/(B85-B137),"")</f>
        <v>0.99464650876194516</v>
      </c>
      <c r="H26" s="245" t="s">
        <v>264</v>
      </c>
      <c r="J26" s="182"/>
      <c r="K26" s="182"/>
      <c r="L26" s="182"/>
      <c r="M26" s="182"/>
      <c r="N26" s="163"/>
      <c r="O26" s="259" t="str">
        <f>IF($O$24="Y",IFERROR(E26*$E$6*$O$16*'Emissions Factors'!B12,""),"")</f>
        <v/>
      </c>
      <c r="P26" s="259" t="str">
        <f>IF($P$24="Y",IFERROR($E26*('Emissions Factors'!$R$39*$P$16)/10^6,""),"")</f>
        <v/>
      </c>
      <c r="Q26" s="259">
        <f>IF($Q$24="Y",IFERROR($E26*$Q$16/10^6,""),"")</f>
        <v>-1.2814690209404951E-3</v>
      </c>
      <c r="R26" s="245" t="s">
        <v>264</v>
      </c>
      <c r="T26" s="180" t="str">
        <f t="shared" ref="T26:T72" si="2">IF(AND(A26&gt;=$B$3,A26&lt;=$B$4),SUM(O26:R26),"")</f>
        <v/>
      </c>
      <c r="U26" s="180" t="str">
        <f t="shared" ref="U26:U72" si="3">IF(AND(A26&gt;=$B$3,A26&lt;=$B$4),SUM(J26:M26),"")</f>
        <v/>
      </c>
      <c r="V26" s="177"/>
      <c r="X26" s="180">
        <f t="shared" ref="X26:X72" si="4">SUM(O26:R26)</f>
        <v>-1.2814690209404951E-3</v>
      </c>
      <c r="Y26" s="180">
        <f t="shared" ref="Y26:Y72" si="5">SUM(J26:M26)</f>
        <v>0</v>
      </c>
    </row>
    <row r="27" spans="1:26" ht="15.6" x14ac:dyDescent="0.3">
      <c r="A27" s="152">
        <v>2015</v>
      </c>
      <c r="B27" s="178">
        <f t="shared" si="0"/>
        <v>0</v>
      </c>
      <c r="C27" s="182">
        <f>IFERROR(B27-B26,"")</f>
        <v>0</v>
      </c>
      <c r="D27" s="183"/>
      <c r="E27" s="179">
        <f t="shared" ref="E27:E72" si="6">IFERROR(IF($F$17="Y",$E$17,$Y86)*(SUMIF($G$3:$G$14,"Y",$E$3:$E$14))*(B86-B138),0)</f>
        <v>-5.2630704594749142E-4</v>
      </c>
      <c r="F27" s="183">
        <f>IFERROR(E27-E26,"")</f>
        <v>-3.1059292030489148E-6</v>
      </c>
      <c r="G27" s="247">
        <f t="shared" si="1"/>
        <v>0.99464650876194516</v>
      </c>
      <c r="H27" s="246"/>
      <c r="J27" s="182"/>
      <c r="K27" s="182"/>
      <c r="L27" s="182"/>
      <c r="M27" s="182"/>
      <c r="N27" s="163"/>
      <c r="O27" s="259" t="str">
        <f>IF($O$24="Y",IFERROR(E27*$E$6*$O$16*'Emissions Factors'!B12,""),"")</f>
        <v/>
      </c>
      <c r="P27" s="259" t="str">
        <f>IF($P$24="Y",IFERROR($E27*('Emissions Factors'!$R$39*$P$16)/10^6,""),"")</f>
        <v/>
      </c>
      <c r="Q27" s="259">
        <f>IF($Q$24="Y",IFERROR($E27*$Q$16/10^6,""),"")</f>
        <v>-1.2890763289671056E-3</v>
      </c>
      <c r="R27" s="258"/>
      <c r="T27" s="180" t="str">
        <f t="shared" si="2"/>
        <v/>
      </c>
      <c r="U27" s="180" t="str">
        <f t="shared" si="3"/>
        <v/>
      </c>
      <c r="V27" s="177"/>
      <c r="X27" s="180">
        <f t="shared" si="4"/>
        <v>-1.2890763289671056E-3</v>
      </c>
      <c r="Y27" s="180">
        <f t="shared" si="5"/>
        <v>0</v>
      </c>
    </row>
    <row r="28" spans="1:26" ht="15.6" x14ac:dyDescent="0.3">
      <c r="A28" s="152">
        <v>2016</v>
      </c>
      <c r="B28" s="178">
        <f t="shared" si="0"/>
        <v>0</v>
      </c>
      <c r="C28" s="182">
        <f t="shared" ref="C28:C72" si="7">IFERROR(B28-B27,"")</f>
        <v>0</v>
      </c>
      <c r="D28" s="183"/>
      <c r="E28" s="179">
        <f t="shared" si="6"/>
        <v>-5.2559769578079403E-4</v>
      </c>
      <c r="F28" s="183">
        <f t="shared" ref="F28:F72" si="8">IFERROR(E28-E27,"")</f>
        <v>7.0935016669739209E-7</v>
      </c>
      <c r="G28" s="247">
        <f t="shared" si="1"/>
        <v>0.99464650876194516</v>
      </c>
      <c r="H28" s="246"/>
      <c r="J28" s="182"/>
      <c r="K28" s="182"/>
      <c r="L28" s="182"/>
      <c r="M28" s="182"/>
      <c r="N28" s="163"/>
      <c r="O28" s="259" t="str">
        <f>IF($O$24="Y",IFERROR(E28*$E$6*$O$16*'Emissions Factors'!B13,""),"")</f>
        <v/>
      </c>
      <c r="P28" s="259" t="str">
        <f>IF($P$24="Y",IFERROR($E28*('Emissions Factors'!$R$39*$P$16)/10^6,""),"")</f>
        <v/>
      </c>
      <c r="Q28" s="259">
        <f>IF($Q$24="Y",IFERROR($E28*$Q$16/10^6,""),"")</f>
        <v>-1.2873389277373876E-3</v>
      </c>
      <c r="R28" s="258"/>
      <c r="T28" s="180" t="str">
        <f t="shared" si="2"/>
        <v/>
      </c>
      <c r="U28" s="180" t="str">
        <f t="shared" si="3"/>
        <v/>
      </c>
      <c r="V28" s="177"/>
      <c r="X28" s="180">
        <f t="shared" si="4"/>
        <v>-1.2873389277373876E-3</v>
      </c>
      <c r="Y28" s="180">
        <f t="shared" si="5"/>
        <v>0</v>
      </c>
    </row>
    <row r="29" spans="1:26" ht="15.6" x14ac:dyDescent="0.3">
      <c r="A29" s="152">
        <v>2017</v>
      </c>
      <c r="B29" s="178">
        <f t="shared" si="0"/>
        <v>0</v>
      </c>
      <c r="C29" s="182">
        <f>IFERROR(B29-B28,"")</f>
        <v>0</v>
      </c>
      <c r="D29" s="183"/>
      <c r="E29" s="179">
        <f t="shared" si="6"/>
        <v>-5.234746381362614E-4</v>
      </c>
      <c r="F29" s="183">
        <f>IFERROR(E29-E28,"")</f>
        <v>2.1230576445326272E-6</v>
      </c>
      <c r="G29" s="247">
        <f t="shared" si="1"/>
        <v>0.99464650876194527</v>
      </c>
      <c r="H29" s="246"/>
      <c r="J29" s="182"/>
      <c r="K29" s="182"/>
      <c r="L29" s="182"/>
      <c r="M29" s="182"/>
      <c r="N29" s="163"/>
      <c r="O29" s="259" t="str">
        <f>IF($O$24="Y",IFERROR(E29*$E$6*$O$16*'Emissions Factors'!B14,""),"")</f>
        <v/>
      </c>
      <c r="P29" s="259" t="str">
        <f>IF($P$24="Y",IFERROR($E29*('Emissions Factors'!$R$39*$P$16)/10^6,""),"")</f>
        <v/>
      </c>
      <c r="Q29" s="259">
        <f>IF($Q$24="Y",IFERROR($E29*$Q$16/10^6,""),"")</f>
        <v>-1.2821389529780287E-3</v>
      </c>
      <c r="R29" s="258"/>
      <c r="T29" s="180" t="str">
        <f t="shared" si="2"/>
        <v/>
      </c>
      <c r="U29" s="180" t="str">
        <f t="shared" si="3"/>
        <v/>
      </c>
      <c r="V29" s="177"/>
      <c r="X29" s="180">
        <f t="shared" si="4"/>
        <v>-1.2821389529780287E-3</v>
      </c>
      <c r="Y29" s="180">
        <f t="shared" si="5"/>
        <v>0</v>
      </c>
    </row>
    <row r="30" spans="1:26" ht="15.6" x14ac:dyDescent="0.3">
      <c r="A30" s="152">
        <v>2018</v>
      </c>
      <c r="B30" s="178">
        <f t="shared" si="0"/>
        <v>0</v>
      </c>
      <c r="C30" s="182">
        <f t="shared" si="7"/>
        <v>0</v>
      </c>
      <c r="D30" s="183"/>
      <c r="E30" s="179">
        <f>IFERROR(IF($F$17="Y",$E$17,$Y89)*(SUMIF($G$3:$G$14,"Y",$E$3:$E$14))*(B89-B141),0)</f>
        <v>-5.1996739451342245E-4</v>
      </c>
      <c r="F30" s="183">
        <f t="shared" si="8"/>
        <v>3.507243622838949E-6</v>
      </c>
      <c r="G30" s="247">
        <f t="shared" si="1"/>
        <v>0.99464650876194527</v>
      </c>
      <c r="H30" s="246"/>
      <c r="J30" s="182"/>
      <c r="K30" s="182"/>
      <c r="L30" s="182"/>
      <c r="M30" s="182"/>
      <c r="N30" s="163"/>
      <c r="O30" s="259" t="str">
        <f>IF($O$24="Y",IFERROR(E30*$E$6*$O$16*'Emissions Factors'!B15,""),"")</f>
        <v/>
      </c>
      <c r="P30" s="259" t="str">
        <f>IF($P$24="Y",IFERROR($E30*('Emissions Factors'!$R$39*$P$16)/10^6,""),"")</f>
        <v/>
      </c>
      <c r="Q30" s="259">
        <f t="shared" ref="Q30:Q72" si="9">IF($Q$24="Y",IFERROR($E30*$Q$16/10^6,""),"")</f>
        <v>-1.2735487112760895E-3</v>
      </c>
      <c r="R30" s="258"/>
      <c r="T30" s="180" t="str">
        <f t="shared" si="2"/>
        <v/>
      </c>
      <c r="U30" s="180" t="str">
        <f t="shared" si="3"/>
        <v/>
      </c>
      <c r="V30" s="177"/>
      <c r="X30" s="180">
        <f t="shared" si="4"/>
        <v>-1.2735487112760895E-3</v>
      </c>
      <c r="Y30" s="180">
        <f t="shared" si="5"/>
        <v>0</v>
      </c>
    </row>
    <row r="31" spans="1:26" ht="15.6" x14ac:dyDescent="0.3">
      <c r="A31" s="152">
        <v>2019</v>
      </c>
      <c r="B31" s="178">
        <f t="shared" si="0"/>
        <v>0</v>
      </c>
      <c r="C31" s="182">
        <f t="shared" si="7"/>
        <v>0</v>
      </c>
      <c r="D31" s="183"/>
      <c r="E31" s="179">
        <f t="shared" si="6"/>
        <v>-5.1773325391778321E-4</v>
      </c>
      <c r="F31" s="183">
        <f t="shared" si="8"/>
        <v>2.2341405956392358E-6</v>
      </c>
      <c r="G31" s="247">
        <f t="shared" si="1"/>
        <v>0.99464650876194527</v>
      </c>
      <c r="H31" s="246"/>
      <c r="J31" s="182"/>
      <c r="K31" s="182"/>
      <c r="L31" s="182"/>
      <c r="M31" s="182"/>
      <c r="N31" s="163"/>
      <c r="O31" s="259" t="str">
        <f>IF($O$24="Y",IFERROR(E31*$E$6*$O$16*'Emissions Factors'!B16,""),"")</f>
        <v/>
      </c>
      <c r="P31" s="259" t="str">
        <f>IF($P$24="Y",IFERROR($E31*('Emissions Factors'!$R$39*$P$16)/10^6,""),"")</f>
        <v/>
      </c>
      <c r="Q31" s="259">
        <f t="shared" si="9"/>
        <v>-1.2680766626314845E-3</v>
      </c>
      <c r="R31" s="258"/>
      <c r="T31" s="180" t="str">
        <f t="shared" si="2"/>
        <v/>
      </c>
      <c r="U31" s="180" t="str">
        <f t="shared" si="3"/>
        <v/>
      </c>
      <c r="V31" s="177"/>
      <c r="X31" s="180">
        <f t="shared" si="4"/>
        <v>-1.2680766626314845E-3</v>
      </c>
      <c r="Y31" s="180">
        <f t="shared" si="5"/>
        <v>0</v>
      </c>
    </row>
    <row r="32" spans="1:26" ht="15.6" x14ac:dyDescent="0.3">
      <c r="A32" s="152">
        <v>2020</v>
      </c>
      <c r="B32" s="178">
        <f t="shared" si="0"/>
        <v>0</v>
      </c>
      <c r="C32" s="182">
        <f t="shared" si="7"/>
        <v>0</v>
      </c>
      <c r="D32" s="183"/>
      <c r="E32" s="179">
        <f t="shared" si="6"/>
        <v>-5.1688002732572453E-4</v>
      </c>
      <c r="F32" s="183">
        <f t="shared" si="8"/>
        <v>8.53226592058688E-7</v>
      </c>
      <c r="G32" s="247">
        <f t="shared" si="1"/>
        <v>0.99464650876194538</v>
      </c>
      <c r="H32" s="246"/>
      <c r="J32" s="182"/>
      <c r="K32" s="182"/>
      <c r="L32" s="182"/>
      <c r="M32" s="182"/>
      <c r="N32" s="163"/>
      <c r="O32" s="259" t="str">
        <f>IF($O$24="Y",IFERROR(E32*$E$6*$O$16*'Emissions Factors'!B17,""),"")</f>
        <v/>
      </c>
      <c r="P32" s="259" t="str">
        <f>IF($P$24="Y",IFERROR($E32*('Emissions Factors'!$R$39*$P$16)/10^6,""),"")</f>
        <v/>
      </c>
      <c r="Q32" s="259">
        <f t="shared" si="9"/>
        <v>-1.2659868669285066E-3</v>
      </c>
      <c r="R32" s="258"/>
      <c r="T32" s="180">
        <f t="shared" si="2"/>
        <v>-1.2659868669285066E-3</v>
      </c>
      <c r="U32" s="180">
        <f t="shared" si="3"/>
        <v>0</v>
      </c>
      <c r="V32" s="177"/>
      <c r="X32" s="180">
        <f t="shared" si="4"/>
        <v>-1.2659868669285066E-3</v>
      </c>
      <c r="Y32" s="180">
        <f t="shared" si="5"/>
        <v>0</v>
      </c>
    </row>
    <row r="33" spans="1:25" ht="15.6" x14ac:dyDescent="0.3">
      <c r="A33" s="152">
        <v>2021</v>
      </c>
      <c r="B33" s="178">
        <f t="shared" si="0"/>
        <v>0</v>
      </c>
      <c r="C33" s="182">
        <f t="shared" si="7"/>
        <v>0</v>
      </c>
      <c r="D33" s="183"/>
      <c r="E33" s="179">
        <f t="shared" si="6"/>
        <v>0.46500013951973612</v>
      </c>
      <c r="F33" s="183">
        <f t="shared" si="8"/>
        <v>0.46551701954706187</v>
      </c>
      <c r="G33" s="247">
        <f t="shared" si="1"/>
        <v>0.99464650876194527</v>
      </c>
      <c r="H33" s="246"/>
      <c r="J33" s="182"/>
      <c r="K33" s="182"/>
      <c r="L33" s="182"/>
      <c r="M33" s="182"/>
      <c r="N33" s="163"/>
      <c r="O33" s="259" t="str">
        <f>IF($O$24="Y",IFERROR(E33*$E$6*$O$16*'Emissions Factors'!B18,""),"")</f>
        <v/>
      </c>
      <c r="P33" s="259" t="str">
        <f>IF($P$24="Y",IFERROR($E33*('Emissions Factors'!$R$39*$P$16)/10^6,""),"")</f>
        <v/>
      </c>
      <c r="Q33" s="259">
        <f t="shared" si="9"/>
        <v>1.1389181988665535</v>
      </c>
      <c r="R33" s="258"/>
      <c r="T33" s="180">
        <f t="shared" si="2"/>
        <v>1.1389181988665535</v>
      </c>
      <c r="U33" s="180">
        <f t="shared" si="3"/>
        <v>0</v>
      </c>
      <c r="V33" s="177"/>
      <c r="X33" s="180">
        <f t="shared" si="4"/>
        <v>1.1389181988665535</v>
      </c>
      <c r="Y33" s="180">
        <f t="shared" si="5"/>
        <v>0</v>
      </c>
    </row>
    <row r="34" spans="1:25" ht="15.6" x14ac:dyDescent="0.3">
      <c r="A34" s="152">
        <v>2022</v>
      </c>
      <c r="B34" s="178">
        <f t="shared" si="0"/>
        <v>0</v>
      </c>
      <c r="C34" s="182">
        <f t="shared" si="7"/>
        <v>0</v>
      </c>
      <c r="D34" s="183"/>
      <c r="E34" s="179">
        <f t="shared" si="6"/>
        <v>1.0679504340097175</v>
      </c>
      <c r="F34" s="183">
        <f t="shared" si="8"/>
        <v>0.60295029448998139</v>
      </c>
      <c r="G34" s="247">
        <f>IFERROR(E34/(B93-B145),"")</f>
        <v>0.99464650876194516</v>
      </c>
      <c r="H34" s="246"/>
      <c r="J34" s="182"/>
      <c r="K34" s="182"/>
      <c r="L34" s="182"/>
      <c r="M34" s="182"/>
      <c r="N34" s="163"/>
      <c r="O34" s="259" t="str">
        <f>IF($O$24="Y",IFERROR(E34*$E$6*$O$16*'Emissions Factors'!B19,""),"")</f>
        <v/>
      </c>
      <c r="P34" s="259" t="str">
        <f>IF($P$24="Y",IFERROR($E34*('Emissions Factors'!$R$39*$P$16)/10^6,""),"")</f>
        <v/>
      </c>
      <c r="Q34" s="259">
        <f t="shared" si="9"/>
        <v>2.615715741585229</v>
      </c>
      <c r="R34" s="258"/>
      <c r="T34" s="180">
        <f t="shared" si="2"/>
        <v>2.615715741585229</v>
      </c>
      <c r="U34" s="180">
        <f t="shared" si="3"/>
        <v>0</v>
      </c>
      <c r="V34" s="177"/>
      <c r="X34" s="180">
        <f t="shared" si="4"/>
        <v>2.615715741585229</v>
      </c>
      <c r="Y34" s="180">
        <f t="shared" si="5"/>
        <v>0</v>
      </c>
    </row>
    <row r="35" spans="1:25" ht="15.6" x14ac:dyDescent="0.3">
      <c r="A35" s="152">
        <v>2023</v>
      </c>
      <c r="B35" s="178">
        <f t="shared" si="0"/>
        <v>0</v>
      </c>
      <c r="C35" s="182">
        <f t="shared" si="7"/>
        <v>0</v>
      </c>
      <c r="D35" s="183"/>
      <c r="E35" s="179">
        <f t="shared" si="6"/>
        <v>1.7993264567092884</v>
      </c>
      <c r="F35" s="183">
        <f t="shared" si="8"/>
        <v>0.73137602269957092</v>
      </c>
      <c r="G35" s="247">
        <f t="shared" si="1"/>
        <v>0.99464650876194527</v>
      </c>
      <c r="H35" s="246"/>
      <c r="J35" s="182"/>
      <c r="K35" s="182"/>
      <c r="L35" s="182"/>
      <c r="M35" s="182"/>
      <c r="N35" s="163"/>
      <c r="O35" s="259" t="str">
        <f>IF($O$24="Y",IFERROR(E35*$E$6*$O$16*'Emissions Factors'!B20,""),"")</f>
        <v/>
      </c>
      <c r="P35" s="259" t="str">
        <f>IF($P$24="Y",IFERROR($E35*('Emissions Factors'!$R$39*$P$16)/10^6,""),"")</f>
        <v/>
      </c>
      <c r="Q35" s="259">
        <f t="shared" si="9"/>
        <v>4.4070645857543926</v>
      </c>
      <c r="R35" s="258"/>
      <c r="T35" s="180">
        <f t="shared" si="2"/>
        <v>4.4070645857543926</v>
      </c>
      <c r="U35" s="180">
        <f t="shared" si="3"/>
        <v>0</v>
      </c>
      <c r="V35" s="177"/>
      <c r="X35" s="180">
        <f t="shared" si="4"/>
        <v>4.4070645857543926</v>
      </c>
      <c r="Y35" s="180">
        <f t="shared" si="5"/>
        <v>0</v>
      </c>
    </row>
    <row r="36" spans="1:25" ht="15.6" x14ac:dyDescent="0.3">
      <c r="A36" s="152">
        <v>2024</v>
      </c>
      <c r="B36" s="178">
        <f t="shared" si="0"/>
        <v>0</v>
      </c>
      <c r="C36" s="182">
        <f t="shared" si="7"/>
        <v>0</v>
      </c>
      <c r="D36" s="183"/>
      <c r="E36" s="179">
        <f t="shared" si="6"/>
        <v>2.6577608706581901</v>
      </c>
      <c r="F36" s="183">
        <f t="shared" si="8"/>
        <v>0.85843441394890174</v>
      </c>
      <c r="G36" s="247">
        <f t="shared" si="1"/>
        <v>0.99464650876194527</v>
      </c>
      <c r="H36" s="246"/>
      <c r="J36" s="182"/>
      <c r="K36" s="182"/>
      <c r="L36" s="182"/>
      <c r="M36" s="182"/>
      <c r="N36" s="163"/>
      <c r="O36" s="259" t="str">
        <f>IF($O$24="Y",IFERROR(E36*$E$6*$O$16*'Emissions Factors'!B21,""),"")</f>
        <v/>
      </c>
      <c r="P36" s="259" t="str">
        <f>IF($P$24="Y",IFERROR($E36*('Emissions Factors'!$R$39*$P$16)/10^6,""),"")</f>
        <v/>
      </c>
      <c r="Q36" s="259">
        <f t="shared" si="9"/>
        <v>6.5096157324906665</v>
      </c>
      <c r="R36" s="258"/>
      <c r="T36" s="180">
        <f t="shared" si="2"/>
        <v>6.5096157324906665</v>
      </c>
      <c r="U36" s="180">
        <f t="shared" si="3"/>
        <v>0</v>
      </c>
      <c r="V36" s="177"/>
      <c r="X36" s="180">
        <f t="shared" si="4"/>
        <v>6.5096157324906665</v>
      </c>
      <c r="Y36" s="180">
        <f t="shared" si="5"/>
        <v>0</v>
      </c>
    </row>
    <row r="37" spans="1:25" ht="15.6" x14ac:dyDescent="0.3">
      <c r="A37" s="152">
        <v>2025</v>
      </c>
      <c r="B37" s="178">
        <f t="shared" si="0"/>
        <v>0</v>
      </c>
      <c r="C37" s="182">
        <f t="shared" si="7"/>
        <v>0</v>
      </c>
      <c r="D37" s="183"/>
      <c r="E37" s="179">
        <f t="shared" si="6"/>
        <v>3.6437414282078291</v>
      </c>
      <c r="F37" s="183">
        <f t="shared" si="8"/>
        <v>0.98598055754963898</v>
      </c>
      <c r="G37" s="247">
        <f t="shared" si="1"/>
        <v>0.99464650876194527</v>
      </c>
      <c r="H37" s="246"/>
      <c r="J37" s="182"/>
      <c r="K37" s="182"/>
      <c r="L37" s="182"/>
      <c r="M37" s="182"/>
      <c r="N37" s="163"/>
      <c r="O37" s="259" t="str">
        <f>IF($O$24="Y",IFERROR(E37*$E$6*$O$16*'Emissions Factors'!B22,""),"")</f>
        <v/>
      </c>
      <c r="P37" s="259" t="str">
        <f>IF($P$24="Y",IFERROR($E37*('Emissions Factors'!$R$39*$P$16)/10^6,""),"")</f>
        <v/>
      </c>
      <c r="Q37" s="259">
        <f t="shared" si="9"/>
        <v>8.9245638266604601</v>
      </c>
      <c r="R37" s="258"/>
      <c r="T37" s="180">
        <f t="shared" si="2"/>
        <v>8.9245638266604601</v>
      </c>
      <c r="U37" s="180">
        <f t="shared" si="3"/>
        <v>0</v>
      </c>
      <c r="V37" s="177"/>
      <c r="X37" s="180">
        <f t="shared" si="4"/>
        <v>8.9245638266604601</v>
      </c>
      <c r="Y37" s="180">
        <f t="shared" si="5"/>
        <v>0</v>
      </c>
    </row>
    <row r="38" spans="1:25" ht="15.6" x14ac:dyDescent="0.3">
      <c r="A38" s="152">
        <v>2026</v>
      </c>
      <c r="B38" s="178">
        <f t="shared" si="0"/>
        <v>0</v>
      </c>
      <c r="C38" s="182">
        <f t="shared" si="7"/>
        <v>0</v>
      </c>
      <c r="D38" s="183"/>
      <c r="E38" s="179">
        <f t="shared" si="6"/>
        <v>4.7572497542580932</v>
      </c>
      <c r="F38" s="183">
        <f t="shared" si="8"/>
        <v>1.1135083260502641</v>
      </c>
      <c r="G38" s="247">
        <f t="shared" si="1"/>
        <v>0.99464650876194527</v>
      </c>
      <c r="H38" s="246"/>
      <c r="J38" s="182"/>
      <c r="K38" s="182"/>
      <c r="L38" s="182"/>
      <c r="M38" s="182"/>
      <c r="N38" s="163"/>
      <c r="O38" s="259" t="str">
        <f>IF($O$24="Y",IFERROR(E38*$E$6*$O$16*'Emissions Factors'!B23,""),"")</f>
        <v/>
      </c>
      <c r="P38" s="259" t="str">
        <f>IF($P$24="Y",IFERROR($E38*('Emissions Factors'!$R$39*$P$16)/10^6,""),"")</f>
        <v/>
      </c>
      <c r="Q38" s="259">
        <f t="shared" si="9"/>
        <v>11.65186386239357</v>
      </c>
      <c r="R38" s="258"/>
      <c r="T38" s="180">
        <f t="shared" si="2"/>
        <v>11.65186386239357</v>
      </c>
      <c r="U38" s="180">
        <f t="shared" si="3"/>
        <v>0</v>
      </c>
      <c r="V38" s="177"/>
      <c r="X38" s="180">
        <f t="shared" si="4"/>
        <v>11.65186386239357</v>
      </c>
      <c r="Y38" s="180">
        <f t="shared" si="5"/>
        <v>0</v>
      </c>
    </row>
    <row r="39" spans="1:25" ht="15.6" x14ac:dyDescent="0.3">
      <c r="A39" s="152">
        <v>2027</v>
      </c>
      <c r="B39" s="178">
        <f t="shared" si="0"/>
        <v>0</v>
      </c>
      <c r="C39" s="182">
        <f t="shared" si="7"/>
        <v>0</v>
      </c>
      <c r="D39" s="183"/>
      <c r="E39" s="179">
        <f t="shared" si="6"/>
        <v>5.9984562094092793</v>
      </c>
      <c r="F39" s="183">
        <f t="shared" si="8"/>
        <v>1.2412064551511861</v>
      </c>
      <c r="G39" s="247">
        <f t="shared" si="1"/>
        <v>0.99464650876194516</v>
      </c>
      <c r="H39" s="246"/>
      <c r="J39" s="182"/>
      <c r="K39" s="182"/>
      <c r="L39" s="182"/>
      <c r="M39" s="182"/>
      <c r="N39" s="163"/>
      <c r="O39" s="259" t="str">
        <f>IF($O$24="Y",IFERROR(E39*$E$6*$O$16*'Emissions Factors'!B24,""),"")</f>
        <v/>
      </c>
      <c r="P39" s="259" t="str">
        <f>IF($P$24="Y",IFERROR($E39*('Emissions Factors'!$R$39*$P$16)/10^6,""),"")</f>
        <v/>
      </c>
      <c r="Q39" s="259">
        <f t="shared" si="9"/>
        <v>14.691933101474584</v>
      </c>
      <c r="R39" s="258"/>
      <c r="T39" s="180">
        <f t="shared" si="2"/>
        <v>14.691933101474584</v>
      </c>
      <c r="U39" s="180">
        <f t="shared" si="3"/>
        <v>0</v>
      </c>
      <c r="V39" s="177"/>
      <c r="X39" s="180">
        <f t="shared" si="4"/>
        <v>14.691933101474584</v>
      </c>
      <c r="Y39" s="180">
        <f t="shared" si="5"/>
        <v>0</v>
      </c>
    </row>
    <row r="40" spans="1:25" ht="15.6" x14ac:dyDescent="0.3">
      <c r="A40" s="152">
        <v>2028</v>
      </c>
      <c r="B40" s="178">
        <f t="shared" si="0"/>
        <v>0</v>
      </c>
      <c r="C40" s="182">
        <f t="shared" si="7"/>
        <v>0</v>
      </c>
      <c r="D40" s="183"/>
      <c r="E40" s="179">
        <f t="shared" si="6"/>
        <v>7.3719833442397782</v>
      </c>
      <c r="F40" s="183">
        <f t="shared" si="8"/>
        <v>1.3735271348304989</v>
      </c>
      <c r="G40" s="247">
        <f t="shared" si="1"/>
        <v>0.99464650876194527</v>
      </c>
      <c r="H40" s="246"/>
      <c r="J40" s="182"/>
      <c r="K40" s="182"/>
      <c r="L40" s="182"/>
      <c r="M40" s="182"/>
      <c r="N40" s="163"/>
      <c r="O40" s="259" t="str">
        <f>IF($O$24="Y",IFERROR(E40*$E$6*$O$16*'Emissions Factors'!B25,""),"")</f>
        <v/>
      </c>
      <c r="P40" s="259" t="str">
        <f>IF($P$24="Y",IFERROR($E40*('Emissions Factors'!$R$39*$P$16)/10^6,""),"")</f>
        <v/>
      </c>
      <c r="Q40" s="259">
        <f t="shared" si="9"/>
        <v>18.056093490998713</v>
      </c>
      <c r="R40" s="258"/>
      <c r="T40" s="180">
        <f t="shared" si="2"/>
        <v>18.056093490998713</v>
      </c>
      <c r="U40" s="180">
        <f t="shared" si="3"/>
        <v>0</v>
      </c>
      <c r="V40" s="177"/>
      <c r="X40" s="180">
        <f t="shared" si="4"/>
        <v>18.056093490998713</v>
      </c>
      <c r="Y40" s="180">
        <f t="shared" si="5"/>
        <v>0</v>
      </c>
    </row>
    <row r="41" spans="1:25" ht="15.6" x14ac:dyDescent="0.3">
      <c r="A41" s="152">
        <v>2029</v>
      </c>
      <c r="B41" s="178">
        <f t="shared" si="0"/>
        <v>0</v>
      </c>
      <c r="C41" s="182">
        <f t="shared" si="7"/>
        <v>0</v>
      </c>
      <c r="D41" s="183"/>
      <c r="E41" s="179">
        <f t="shared" si="6"/>
        <v>8.8840139232689506</v>
      </c>
      <c r="F41" s="183">
        <f t="shared" si="8"/>
        <v>1.5120305790291724</v>
      </c>
      <c r="G41" s="247">
        <f t="shared" si="1"/>
        <v>0.99464650876194516</v>
      </c>
      <c r="H41" s="246"/>
      <c r="J41" s="182"/>
      <c r="K41" s="182"/>
      <c r="L41" s="182"/>
      <c r="M41" s="182"/>
      <c r="N41" s="163"/>
      <c r="O41" s="259" t="str">
        <f>IF($O$24="Y",IFERROR(E41*$E$6*$O$16*'Emissions Factors'!B26,""),"")</f>
        <v/>
      </c>
      <c r="P41" s="259" t="str">
        <f>IF($P$24="Y",IFERROR($E41*('Emissions Factors'!$R$39*$P$16)/10^6,""),"")</f>
        <v/>
      </c>
      <c r="Q41" s="259">
        <f t="shared" si="9"/>
        <v>21.759488387778021</v>
      </c>
      <c r="R41" s="258"/>
      <c r="T41" s="180">
        <f t="shared" si="2"/>
        <v>21.759488387778021</v>
      </c>
      <c r="U41" s="180">
        <f t="shared" si="3"/>
        <v>0</v>
      </c>
      <c r="V41" s="177"/>
      <c r="X41" s="180">
        <f t="shared" si="4"/>
        <v>21.759488387778021</v>
      </c>
      <c r="Y41" s="180">
        <f t="shared" si="5"/>
        <v>0</v>
      </c>
    </row>
    <row r="42" spans="1:25" ht="15.6" x14ac:dyDescent="0.3">
      <c r="A42" s="152">
        <v>2030</v>
      </c>
      <c r="B42" s="178">
        <f t="shared" si="0"/>
        <v>0</v>
      </c>
      <c r="C42" s="182">
        <f t="shared" si="7"/>
        <v>0</v>
      </c>
      <c r="D42" s="183"/>
      <c r="E42" s="179">
        <f t="shared" si="6"/>
        <v>10.541191113293083</v>
      </c>
      <c r="F42" s="183">
        <f t="shared" si="8"/>
        <v>1.6571771900241323</v>
      </c>
      <c r="G42" s="247">
        <f t="shared" si="1"/>
        <v>0.99464650876194527</v>
      </c>
      <c r="H42" s="246"/>
      <c r="J42" s="182"/>
      <c r="K42" s="182"/>
      <c r="L42" s="182"/>
      <c r="M42" s="182"/>
      <c r="N42" s="163"/>
      <c r="O42" s="259" t="str">
        <f>IF($O$24="Y",IFERROR(E42*$E$6*$O$16*'Emissions Factors'!B27,""),"")</f>
        <v/>
      </c>
      <c r="P42" s="259" t="str">
        <f>IF($P$24="Y",IFERROR($E42*('Emissions Factors'!$R$39*$P$16)/10^6,""),"")</f>
        <v/>
      </c>
      <c r="Q42" s="259">
        <f t="shared" si="9"/>
        <v>25.81838880534427</v>
      </c>
      <c r="R42" s="258"/>
      <c r="T42" s="180">
        <f t="shared" si="2"/>
        <v>25.81838880534427</v>
      </c>
      <c r="U42" s="180">
        <f t="shared" si="3"/>
        <v>0</v>
      </c>
      <c r="V42" s="177"/>
      <c r="X42" s="180">
        <f t="shared" si="4"/>
        <v>25.81838880534427</v>
      </c>
      <c r="Y42" s="180">
        <f t="shared" si="5"/>
        <v>0</v>
      </c>
    </row>
    <row r="43" spans="1:25" ht="15.6" x14ac:dyDescent="0.3">
      <c r="A43" s="152">
        <v>2031</v>
      </c>
      <c r="B43" s="178">
        <f t="shared" si="0"/>
        <v>0</v>
      </c>
      <c r="C43" s="182">
        <f t="shared" si="7"/>
        <v>0</v>
      </c>
      <c r="D43" s="183"/>
      <c r="E43" s="179">
        <f t="shared" si="6"/>
        <v>12.348087710304501</v>
      </c>
      <c r="F43" s="183">
        <f t="shared" si="8"/>
        <v>1.8068965970114181</v>
      </c>
      <c r="G43" s="247">
        <f t="shared" si="1"/>
        <v>0.99464650876194527</v>
      </c>
      <c r="H43" s="246"/>
      <c r="J43" s="182"/>
      <c r="K43" s="182"/>
      <c r="L43" s="182"/>
      <c r="M43" s="182"/>
      <c r="N43" s="163"/>
      <c r="O43" s="259" t="str">
        <f>IF($O$24="Y",IFERROR(E43*$E$6*$O$16*'Emissions Factors'!B28,""),"")</f>
        <v/>
      </c>
      <c r="P43" s="259" t="str">
        <f>IF($P$24="Y",IFERROR($E43*('Emissions Factors'!$R$39*$P$16)/10^6,""),"")</f>
        <v/>
      </c>
      <c r="Q43" s="259">
        <f t="shared" si="9"/>
        <v>30.243994827595806</v>
      </c>
      <c r="R43" s="258"/>
      <c r="T43" s="180">
        <f t="shared" si="2"/>
        <v>30.243994827595806</v>
      </c>
      <c r="U43" s="180">
        <f t="shared" si="3"/>
        <v>0</v>
      </c>
      <c r="V43" s="177"/>
      <c r="X43" s="180">
        <f t="shared" si="4"/>
        <v>30.243994827595806</v>
      </c>
      <c r="Y43" s="180">
        <f t="shared" si="5"/>
        <v>0</v>
      </c>
    </row>
    <row r="44" spans="1:25" ht="15.6" x14ac:dyDescent="0.3">
      <c r="A44" s="152">
        <v>2032</v>
      </c>
      <c r="B44" s="178">
        <f t="shared" si="0"/>
        <v>0</v>
      </c>
      <c r="C44" s="182">
        <f t="shared" si="7"/>
        <v>0</v>
      </c>
      <c r="D44" s="183"/>
      <c r="E44" s="179">
        <f t="shared" si="6"/>
        <v>14.30152303968271</v>
      </c>
      <c r="F44" s="183">
        <f t="shared" si="8"/>
        <v>1.953435329378209</v>
      </c>
      <c r="G44" s="247">
        <f t="shared" si="1"/>
        <v>0.99464650876194527</v>
      </c>
      <c r="H44" s="246"/>
      <c r="J44" s="182"/>
      <c r="K44" s="182"/>
      <c r="L44" s="182"/>
      <c r="M44" s="182"/>
      <c r="N44" s="163"/>
      <c r="O44" s="259" t="str">
        <f>IF($O$24="Y",IFERROR(E44*$E$6*$O$16*'Emissions Factors'!B29,""),"")</f>
        <v/>
      </c>
      <c r="P44" s="259" t="str">
        <f>IF($P$24="Y",IFERROR($E44*('Emissions Factors'!$R$39*$P$16)/10^6,""),"")</f>
        <v/>
      </c>
      <c r="Q44" s="259">
        <f t="shared" si="9"/>
        <v>35.02851607362286</v>
      </c>
      <c r="R44" s="258"/>
      <c r="T44" s="180">
        <f t="shared" si="2"/>
        <v>35.02851607362286</v>
      </c>
      <c r="U44" s="180">
        <f t="shared" si="3"/>
        <v>0</v>
      </c>
      <c r="V44" s="177"/>
      <c r="X44" s="180">
        <f t="shared" si="4"/>
        <v>35.02851607362286</v>
      </c>
      <c r="Y44" s="180">
        <f t="shared" si="5"/>
        <v>0</v>
      </c>
    </row>
    <row r="45" spans="1:25" ht="15.6" x14ac:dyDescent="0.3">
      <c r="A45" s="152">
        <v>2033</v>
      </c>
      <c r="B45" s="178">
        <f t="shared" si="0"/>
        <v>0</v>
      </c>
      <c r="C45" s="182">
        <f t="shared" si="7"/>
        <v>0</v>
      </c>
      <c r="D45" s="183"/>
      <c r="E45" s="179">
        <f t="shared" si="6"/>
        <v>16.385187049685793</v>
      </c>
      <c r="F45" s="183">
        <f t="shared" si="8"/>
        <v>2.0836640100030834</v>
      </c>
      <c r="G45" s="247">
        <f t="shared" si="1"/>
        <v>0.99464650876194527</v>
      </c>
      <c r="H45" s="246"/>
      <c r="J45" s="182"/>
      <c r="K45" s="182"/>
      <c r="L45" s="182"/>
      <c r="M45" s="182"/>
      <c r="N45" s="163"/>
      <c r="O45" s="259" t="str">
        <f>IF($O$24="Y",IFERROR(E45*$E$6*$O$16*'Emissions Factors'!B30,""),"")</f>
        <v/>
      </c>
      <c r="P45" s="259" t="str">
        <f>IF($P$24="Y",IFERROR($E45*('Emissions Factors'!$R$39*$P$16)/10^6,""),"")</f>
        <v/>
      </c>
      <c r="Q45" s="259">
        <f t="shared" si="9"/>
        <v>40.132004566694697</v>
      </c>
      <c r="R45" s="258"/>
      <c r="T45" s="180">
        <f t="shared" si="2"/>
        <v>40.132004566694697</v>
      </c>
      <c r="U45" s="180">
        <f t="shared" si="3"/>
        <v>0</v>
      </c>
      <c r="V45" s="177"/>
      <c r="X45" s="180">
        <f t="shared" si="4"/>
        <v>40.132004566694697</v>
      </c>
      <c r="Y45" s="180">
        <f t="shared" si="5"/>
        <v>0</v>
      </c>
    </row>
    <row r="46" spans="1:25" ht="15.6" x14ac:dyDescent="0.3">
      <c r="A46" s="152">
        <v>2034</v>
      </c>
      <c r="B46" s="178">
        <f t="shared" si="0"/>
        <v>0</v>
      </c>
      <c r="C46" s="182">
        <f t="shared" si="7"/>
        <v>0</v>
      </c>
      <c r="D46" s="183"/>
      <c r="E46" s="179">
        <f t="shared" si="6"/>
        <v>18.574748169288259</v>
      </c>
      <c r="F46" s="183">
        <f t="shared" si="8"/>
        <v>2.189561119602466</v>
      </c>
      <c r="G46" s="247">
        <f t="shared" si="1"/>
        <v>0.99464650876194527</v>
      </c>
      <c r="H46" s="246"/>
      <c r="J46" s="182"/>
      <c r="K46" s="182"/>
      <c r="L46" s="182"/>
      <c r="M46" s="182"/>
      <c r="N46" s="163"/>
      <c r="O46" s="259" t="str">
        <f>IF($O$24="Y",IFERROR(E46*$E$6*$O$16*'Emissions Factors'!B31,""),"")</f>
        <v/>
      </c>
      <c r="P46" s="259" t="str">
        <f>IF($P$24="Y",IFERROR($E46*('Emissions Factors'!$R$39*$P$16)/10^6,""),"")</f>
        <v/>
      </c>
      <c r="Q46" s="259">
        <f t="shared" si="9"/>
        <v>45.494865337492449</v>
      </c>
      <c r="R46" s="258"/>
      <c r="T46" s="180">
        <f t="shared" si="2"/>
        <v>45.494865337492449</v>
      </c>
      <c r="U46" s="180">
        <f t="shared" si="3"/>
        <v>0</v>
      </c>
      <c r="V46" s="177"/>
      <c r="X46" s="180">
        <f t="shared" si="4"/>
        <v>45.494865337492449</v>
      </c>
      <c r="Y46" s="180">
        <f t="shared" si="5"/>
        <v>0</v>
      </c>
    </row>
    <row r="47" spans="1:25" ht="15.6" x14ac:dyDescent="0.3">
      <c r="A47" s="152">
        <v>2035</v>
      </c>
      <c r="B47" s="178">
        <f t="shared" si="0"/>
        <v>0</v>
      </c>
      <c r="C47" s="182">
        <f t="shared" si="7"/>
        <v>0</v>
      </c>
      <c r="D47" s="183"/>
      <c r="E47" s="179">
        <f t="shared" si="6"/>
        <v>20.85187933313572</v>
      </c>
      <c r="F47" s="183">
        <f t="shared" si="8"/>
        <v>2.2771311638474607</v>
      </c>
      <c r="G47" s="247">
        <f t="shared" si="1"/>
        <v>0.99464650876194527</v>
      </c>
      <c r="H47" s="246"/>
      <c r="J47" s="182"/>
      <c r="K47" s="182"/>
      <c r="L47" s="182"/>
      <c r="M47" s="182"/>
      <c r="N47" s="163"/>
      <c r="O47" s="259" t="str">
        <f>IF($O$24="Y",IFERROR(E47*$E$6*$O$16*'Emissions Factors'!B32,""),"")</f>
        <v/>
      </c>
      <c r="P47" s="259" t="str">
        <f>IF($P$24="Y",IFERROR($E47*('Emissions Factors'!$R$39*$P$16)/10^6,""),"")</f>
        <v/>
      </c>
      <c r="Q47" s="259">
        <f t="shared" si="9"/>
        <v>51.072210166658842</v>
      </c>
      <c r="R47" s="258"/>
      <c r="T47" s="180">
        <f t="shared" si="2"/>
        <v>51.072210166658842</v>
      </c>
      <c r="U47" s="180">
        <f t="shared" si="3"/>
        <v>0</v>
      </c>
      <c r="V47" s="177"/>
      <c r="X47" s="180">
        <f t="shared" si="4"/>
        <v>51.072210166658842</v>
      </c>
      <c r="Y47" s="180">
        <f t="shared" si="5"/>
        <v>0</v>
      </c>
    </row>
    <row r="48" spans="1:25" ht="15.6" x14ac:dyDescent="0.3">
      <c r="A48" s="152">
        <v>2036</v>
      </c>
      <c r="B48" s="178">
        <f t="shared" si="0"/>
        <v>0</v>
      </c>
      <c r="C48" s="182">
        <f t="shared" si="7"/>
        <v>0</v>
      </c>
      <c r="D48" s="183"/>
      <c r="E48" s="179">
        <f t="shared" si="6"/>
        <v>23.209286950256342</v>
      </c>
      <c r="F48" s="183">
        <f t="shared" si="8"/>
        <v>2.3574076171206215</v>
      </c>
      <c r="G48" s="247">
        <f t="shared" si="1"/>
        <v>0.99464650876194516</v>
      </c>
      <c r="H48" s="246"/>
      <c r="J48" s="182"/>
      <c r="K48" s="182"/>
      <c r="L48" s="182"/>
      <c r="M48" s="182"/>
      <c r="N48" s="163"/>
      <c r="O48" s="259" t="str">
        <f>IF($O$24="Y",IFERROR(E48*$E$6*$O$16*'Emissions Factors'!B33,""),"")</f>
        <v/>
      </c>
      <c r="P48" s="259" t="str">
        <f>IF($P$24="Y",IFERROR($E48*('Emissions Factors'!$R$39*$P$16)/10^6,""),"")</f>
        <v/>
      </c>
      <c r="Q48" s="259">
        <f t="shared" si="9"/>
        <v>56.846174966020705</v>
      </c>
      <c r="R48" s="258"/>
      <c r="T48" s="180">
        <f t="shared" si="2"/>
        <v>56.846174966020705</v>
      </c>
      <c r="U48" s="180">
        <f t="shared" si="3"/>
        <v>0</v>
      </c>
      <c r="V48" s="177"/>
      <c r="X48" s="180">
        <f t="shared" si="4"/>
        <v>56.846174966020705</v>
      </c>
      <c r="Y48" s="180">
        <f t="shared" si="5"/>
        <v>0</v>
      </c>
    </row>
    <row r="49" spans="1:25" ht="15.6" x14ac:dyDescent="0.3">
      <c r="A49" s="152">
        <v>2037</v>
      </c>
      <c r="B49" s="178">
        <f t="shared" si="0"/>
        <v>0</v>
      </c>
      <c r="C49" s="182">
        <f t="shared" si="7"/>
        <v>0</v>
      </c>
      <c r="D49" s="183"/>
      <c r="E49" s="179">
        <f t="shared" si="6"/>
        <v>25.6530824097294</v>
      </c>
      <c r="F49" s="183">
        <f t="shared" si="8"/>
        <v>2.4437954594730584</v>
      </c>
      <c r="G49" s="247">
        <f t="shared" si="1"/>
        <v>0.99464650876194527</v>
      </c>
      <c r="H49" s="246"/>
      <c r="J49" s="182"/>
      <c r="K49" s="182"/>
      <c r="L49" s="182"/>
      <c r="M49" s="182"/>
      <c r="N49" s="163"/>
      <c r="O49" s="259" t="str">
        <f>IF($O$24="Y",IFERROR(E49*$E$6*$O$16*'Emissions Factors'!B34,""),"")</f>
        <v/>
      </c>
      <c r="P49" s="259" t="str">
        <f>IF($P$24="Y",IFERROR($E49*('Emissions Factors'!$R$39*$P$16)/10^6,""),"")</f>
        <v/>
      </c>
      <c r="Q49" s="259">
        <f t="shared" si="9"/>
        <v>62.831728273544364</v>
      </c>
      <c r="R49" s="258"/>
      <c r="T49" s="180">
        <f t="shared" si="2"/>
        <v>62.831728273544364</v>
      </c>
      <c r="U49" s="180">
        <f t="shared" si="3"/>
        <v>0</v>
      </c>
      <c r="V49" s="177"/>
      <c r="X49" s="180">
        <f t="shared" si="4"/>
        <v>62.831728273544364</v>
      </c>
      <c r="Y49" s="180">
        <f t="shared" si="5"/>
        <v>0</v>
      </c>
    </row>
    <row r="50" spans="1:25" ht="15.6" x14ac:dyDescent="0.3">
      <c r="A50" s="152">
        <v>2038</v>
      </c>
      <c r="B50" s="178">
        <f t="shared" si="0"/>
        <v>0</v>
      </c>
      <c r="C50" s="182">
        <f t="shared" si="7"/>
        <v>0</v>
      </c>
      <c r="D50" s="183"/>
      <c r="E50" s="179">
        <f t="shared" si="6"/>
        <v>28.195057201791073</v>
      </c>
      <c r="F50" s="183">
        <f t="shared" si="8"/>
        <v>2.5419747920616729</v>
      </c>
      <c r="G50" s="247">
        <f t="shared" si="1"/>
        <v>0.99464650876194527</v>
      </c>
      <c r="H50" s="246"/>
      <c r="J50" s="182"/>
      <c r="K50" s="182"/>
      <c r="L50" s="182"/>
      <c r="M50" s="182"/>
      <c r="N50" s="163"/>
      <c r="O50" s="259" t="str">
        <f>IF($O$24="Y",IFERROR(E50*$E$6*$O$16*'Emissions Factors'!B35,""),"")</f>
        <v/>
      </c>
      <c r="P50" s="259" t="str">
        <f>IF($P$24="Y",IFERROR($E50*('Emissions Factors'!$R$39*$P$16)/10^6,""),"")</f>
        <v/>
      </c>
      <c r="Q50" s="259">
        <f t="shared" si="9"/>
        <v>69.057750817815403</v>
      </c>
      <c r="R50" s="258"/>
      <c r="T50" s="180">
        <f t="shared" si="2"/>
        <v>69.057750817815403</v>
      </c>
      <c r="U50" s="180">
        <f t="shared" si="3"/>
        <v>0</v>
      </c>
      <c r="V50" s="177"/>
      <c r="X50" s="180">
        <f t="shared" si="4"/>
        <v>69.057750817815403</v>
      </c>
      <c r="Y50" s="180">
        <f t="shared" si="5"/>
        <v>0</v>
      </c>
    </row>
    <row r="51" spans="1:25" ht="15.6" x14ac:dyDescent="0.3">
      <c r="A51" s="152">
        <v>2039</v>
      </c>
      <c r="B51" s="178">
        <f t="shared" si="0"/>
        <v>0</v>
      </c>
      <c r="C51" s="182">
        <f t="shared" si="7"/>
        <v>0</v>
      </c>
      <c r="D51" s="183"/>
      <c r="E51" s="179">
        <f t="shared" si="6"/>
        <v>30.855070116764786</v>
      </c>
      <c r="F51" s="183">
        <f t="shared" si="8"/>
        <v>2.6600129149737128</v>
      </c>
      <c r="G51" s="247">
        <f t="shared" si="1"/>
        <v>0.99464650876194527</v>
      </c>
      <c r="H51" s="246"/>
      <c r="J51" s="182"/>
      <c r="K51" s="182"/>
      <c r="L51" s="182"/>
      <c r="M51" s="182"/>
      <c r="N51" s="163"/>
      <c r="O51" s="259" t="str">
        <f>IF($O$24="Y",IFERROR(E51*$E$6*$O$16*'Emissions Factors'!B36,""),"")</f>
        <v/>
      </c>
      <c r="P51" s="259" t="str">
        <f>IF($P$24="Y",IFERROR($E51*('Emissions Factors'!$R$39*$P$16)/10^6,""),"")</f>
        <v/>
      </c>
      <c r="Q51" s="259">
        <f t="shared" si="9"/>
        <v>75.572882450276026</v>
      </c>
      <c r="R51" s="258"/>
      <c r="T51" s="180">
        <f t="shared" si="2"/>
        <v>75.572882450276026</v>
      </c>
      <c r="U51" s="180">
        <f t="shared" si="3"/>
        <v>0</v>
      </c>
      <c r="V51" s="177"/>
      <c r="X51" s="180">
        <f t="shared" si="4"/>
        <v>75.572882450276026</v>
      </c>
      <c r="Y51" s="180">
        <f t="shared" si="5"/>
        <v>0</v>
      </c>
    </row>
    <row r="52" spans="1:25" ht="15.6" x14ac:dyDescent="0.3">
      <c r="A52" s="152">
        <v>2040</v>
      </c>
      <c r="B52" s="178">
        <f t="shared" si="0"/>
        <v>0</v>
      </c>
      <c r="C52" s="182">
        <f t="shared" si="7"/>
        <v>0</v>
      </c>
      <c r="D52" s="183"/>
      <c r="E52" s="179">
        <f t="shared" si="6"/>
        <v>33.651234090601115</v>
      </c>
      <c r="F52" s="183">
        <f t="shared" si="8"/>
        <v>2.7961639738363289</v>
      </c>
      <c r="G52" s="247">
        <f t="shared" si="1"/>
        <v>0.99464650876194538</v>
      </c>
      <c r="H52" s="246"/>
      <c r="J52" s="182"/>
      <c r="K52" s="182"/>
      <c r="L52" s="182"/>
      <c r="M52" s="182"/>
      <c r="N52" s="163"/>
      <c r="O52" s="259" t="str">
        <f>IF($O$24="Y",IFERROR(E52*$E$6*$O$16*'Emissions Factors'!B37,""),"")</f>
        <v/>
      </c>
      <c r="P52" s="259" t="str">
        <f>IF($P$24="Y",IFERROR($E52*('Emissions Factors'!$R$39*$P$16)/10^6,""),"")</f>
        <v/>
      </c>
      <c r="Q52" s="259">
        <f t="shared" si="9"/>
        <v>82.421486926193722</v>
      </c>
      <c r="R52" s="258"/>
      <c r="T52" s="180">
        <f t="shared" si="2"/>
        <v>82.421486926193722</v>
      </c>
      <c r="U52" s="180">
        <f t="shared" si="3"/>
        <v>0</v>
      </c>
      <c r="V52" s="177"/>
      <c r="X52" s="180">
        <f t="shared" si="4"/>
        <v>82.421486926193722</v>
      </c>
      <c r="Y52" s="180">
        <f t="shared" si="5"/>
        <v>0</v>
      </c>
    </row>
    <row r="53" spans="1:25" ht="15.6" x14ac:dyDescent="0.3">
      <c r="A53" s="152">
        <v>2041</v>
      </c>
      <c r="B53" s="178">
        <f t="shared" si="0"/>
        <v>0</v>
      </c>
      <c r="C53" s="182">
        <f t="shared" si="7"/>
        <v>0</v>
      </c>
      <c r="D53" s="183"/>
      <c r="E53" s="179">
        <f t="shared" si="6"/>
        <v>36.59098262106837</v>
      </c>
      <c r="F53" s="183">
        <f t="shared" si="8"/>
        <v>2.9397485304672557</v>
      </c>
      <c r="G53" s="247">
        <f t="shared" si="1"/>
        <v>0.99464650876194538</v>
      </c>
      <c r="H53" s="246"/>
      <c r="J53" s="182"/>
      <c r="K53" s="182"/>
      <c r="L53" s="182"/>
      <c r="M53" s="182"/>
      <c r="N53" s="163"/>
      <c r="O53" s="259" t="str">
        <f>IF($O$24="Y",IFERROR(E53*$E$6*$O$16*'Emissions Factors'!B38,""),"")</f>
        <v/>
      </c>
      <c r="P53" s="259" t="str">
        <f>IF($P$24="Y",IFERROR($E53*('Emissions Factors'!$R$39*$P$16)/10^6,""),"")</f>
        <v/>
      </c>
      <c r="Q53" s="259">
        <f t="shared" si="9"/>
        <v>89.621771005459593</v>
      </c>
      <c r="R53" s="258"/>
      <c r="T53" s="180">
        <f t="shared" si="2"/>
        <v>89.621771005459593</v>
      </c>
      <c r="U53" s="180">
        <f t="shared" si="3"/>
        <v>0</v>
      </c>
      <c r="V53" s="177"/>
      <c r="X53" s="180">
        <f t="shared" si="4"/>
        <v>89.621771005459593</v>
      </c>
      <c r="Y53" s="180">
        <f t="shared" si="5"/>
        <v>0</v>
      </c>
    </row>
    <row r="54" spans="1:25" ht="15.6" x14ac:dyDescent="0.3">
      <c r="A54" s="152">
        <v>2042</v>
      </c>
      <c r="B54" s="178">
        <f t="shared" si="0"/>
        <v>0</v>
      </c>
      <c r="C54" s="182">
        <f t="shared" si="7"/>
        <v>0</v>
      </c>
      <c r="D54" s="183"/>
      <c r="E54" s="179">
        <f t="shared" si="6"/>
        <v>39.678941111257274</v>
      </c>
      <c r="F54" s="183">
        <f t="shared" si="8"/>
        <v>3.0879584901889032</v>
      </c>
      <c r="G54" s="247">
        <f t="shared" si="1"/>
        <v>0.99464650876194538</v>
      </c>
      <c r="H54" s="246"/>
      <c r="J54" s="182"/>
      <c r="K54" s="182"/>
      <c r="L54" s="182"/>
      <c r="M54" s="182"/>
      <c r="N54" s="163"/>
      <c r="O54" s="259" t="str">
        <f>IF($O$24="Y",IFERROR(E54*$E$6*$O$16*'Emissions Factors'!B39,""),"")</f>
        <v/>
      </c>
      <c r="P54" s="259" t="str">
        <f>IF($P$24="Y",IFERROR($E54*('Emissions Factors'!$R$39*$P$16)/10^6,""),"")</f>
        <v/>
      </c>
      <c r="Q54" s="259">
        <f t="shared" si="9"/>
        <v>97.185063621786568</v>
      </c>
      <c r="R54" s="258"/>
      <c r="T54" s="180">
        <f t="shared" si="2"/>
        <v>97.185063621786568</v>
      </c>
      <c r="U54" s="180">
        <f t="shared" si="3"/>
        <v>0</v>
      </c>
      <c r="V54" s="177"/>
      <c r="X54" s="180">
        <f t="shared" si="4"/>
        <v>97.185063621786568</v>
      </c>
      <c r="Y54" s="180">
        <f t="shared" si="5"/>
        <v>0</v>
      </c>
    </row>
    <row r="55" spans="1:25" ht="15.6" x14ac:dyDescent="0.3">
      <c r="A55" s="152">
        <v>2043</v>
      </c>
      <c r="B55" s="178">
        <f t="shared" si="0"/>
        <v>0</v>
      </c>
      <c r="C55" s="182">
        <f t="shared" si="7"/>
        <v>0</v>
      </c>
      <c r="D55" s="183"/>
      <c r="E55" s="179">
        <f t="shared" si="6"/>
        <v>42.929392252815802</v>
      </c>
      <c r="F55" s="183">
        <f t="shared" si="8"/>
        <v>3.2504511415585284</v>
      </c>
      <c r="G55" s="247">
        <f t="shared" si="1"/>
        <v>0.99464650876194527</v>
      </c>
      <c r="H55" s="246"/>
      <c r="J55" s="182"/>
      <c r="K55" s="182"/>
      <c r="L55" s="182"/>
      <c r="M55" s="182"/>
      <c r="N55" s="163"/>
      <c r="O55" s="259" t="str">
        <f>IF($O$24="Y",IFERROR(E55*$E$6*$O$16*'Emissions Factors'!B40,""),"")</f>
        <v/>
      </c>
      <c r="P55" s="259" t="str">
        <f>IF($P$24="Y",IFERROR($E55*('Emissions Factors'!$R$39*$P$16)/10^6,""),"")</f>
        <v/>
      </c>
      <c r="Q55" s="259">
        <f t="shared" si="9"/>
        <v>105.14634716778954</v>
      </c>
      <c r="R55" s="258"/>
      <c r="T55" s="180">
        <f t="shared" si="2"/>
        <v>105.14634716778954</v>
      </c>
      <c r="U55" s="180">
        <f t="shared" si="3"/>
        <v>0</v>
      </c>
      <c r="V55" s="177"/>
      <c r="X55" s="180">
        <f t="shared" si="4"/>
        <v>105.14634716778954</v>
      </c>
      <c r="Y55" s="180">
        <f t="shared" si="5"/>
        <v>0</v>
      </c>
    </row>
    <row r="56" spans="1:25" ht="15.6" x14ac:dyDescent="0.3">
      <c r="A56" s="152">
        <v>2044</v>
      </c>
      <c r="B56" s="178">
        <f t="shared" si="0"/>
        <v>0</v>
      </c>
      <c r="C56" s="182">
        <f t="shared" si="7"/>
        <v>0</v>
      </c>
      <c r="D56" s="183"/>
      <c r="E56" s="179">
        <f t="shared" si="6"/>
        <v>46.358880427293457</v>
      </c>
      <c r="F56" s="183">
        <f t="shared" si="8"/>
        <v>3.4294881744776546</v>
      </c>
      <c r="G56" s="247">
        <f t="shared" si="1"/>
        <v>0.99464650876194527</v>
      </c>
      <c r="H56" s="246"/>
      <c r="J56" s="182"/>
      <c r="K56" s="182"/>
      <c r="L56" s="182"/>
      <c r="M56" s="182"/>
      <c r="N56" s="163"/>
      <c r="O56" s="259" t="str">
        <f>IF($O$24="Y",IFERROR(E56*$E$6*$O$16*'Emissions Factors'!B41,""),"")</f>
        <v/>
      </c>
      <c r="P56" s="259" t="str">
        <f>IF($P$24="Y",IFERROR($E56*('Emissions Factors'!$R$39*$P$16)/10^6,""),"")</f>
        <v/>
      </c>
      <c r="Q56" s="259">
        <f t="shared" si="9"/>
        <v>113.54614356084946</v>
      </c>
      <c r="R56" s="258"/>
      <c r="T56" s="180">
        <f t="shared" si="2"/>
        <v>113.54614356084946</v>
      </c>
      <c r="U56" s="180">
        <f t="shared" si="3"/>
        <v>0</v>
      </c>
      <c r="V56" s="177"/>
      <c r="X56" s="180">
        <f t="shared" si="4"/>
        <v>113.54614356084946</v>
      </c>
      <c r="Y56" s="180">
        <f t="shared" si="5"/>
        <v>0</v>
      </c>
    </row>
    <row r="57" spans="1:25" ht="15.6" x14ac:dyDescent="0.3">
      <c r="A57" s="152">
        <v>2045</v>
      </c>
      <c r="B57" s="178">
        <f t="shared" si="0"/>
        <v>0</v>
      </c>
      <c r="C57" s="182">
        <f t="shared" si="7"/>
        <v>0</v>
      </c>
      <c r="D57" s="183"/>
      <c r="E57" s="179">
        <f t="shared" si="6"/>
        <v>49.983392020659799</v>
      </c>
      <c r="F57" s="183">
        <f t="shared" si="8"/>
        <v>3.6245115933663428</v>
      </c>
      <c r="G57" s="247">
        <f t="shared" si="1"/>
        <v>0.99464650876194527</v>
      </c>
      <c r="H57" s="246"/>
      <c r="J57" s="182"/>
      <c r="K57" s="182"/>
      <c r="L57" s="182"/>
      <c r="M57" s="182"/>
      <c r="N57" s="163"/>
      <c r="O57" s="259" t="str">
        <f>IF($O$24="Y",IFERROR(E57*$E$6*$O$16*'Emissions Factors'!B42,""),"")</f>
        <v/>
      </c>
      <c r="P57" s="259" t="str">
        <f>IF($P$24="Y",IFERROR($E57*('Emissions Factors'!$R$39*$P$16)/10^6,""),"")</f>
        <v/>
      </c>
      <c r="Q57" s="259">
        <f t="shared" si="9"/>
        <v>122.42360802774461</v>
      </c>
      <c r="R57" s="258"/>
      <c r="T57" s="180">
        <f t="shared" si="2"/>
        <v>122.42360802774461</v>
      </c>
      <c r="U57" s="180">
        <f t="shared" si="3"/>
        <v>0</v>
      </c>
      <c r="V57" s="177"/>
      <c r="X57" s="180">
        <f t="shared" si="4"/>
        <v>122.42360802774461</v>
      </c>
      <c r="Y57" s="180">
        <f t="shared" si="5"/>
        <v>0</v>
      </c>
    </row>
    <row r="58" spans="1:25" ht="15.6" x14ac:dyDescent="0.3">
      <c r="A58" s="152">
        <v>2046</v>
      </c>
      <c r="B58" s="178">
        <f t="shared" si="0"/>
        <v>0</v>
      </c>
      <c r="C58" s="182">
        <f t="shared" si="7"/>
        <v>0</v>
      </c>
      <c r="D58" s="183"/>
      <c r="E58" s="179">
        <f t="shared" si="6"/>
        <v>53.815202363065517</v>
      </c>
      <c r="F58" s="183">
        <f t="shared" si="8"/>
        <v>3.8318103424057171</v>
      </c>
      <c r="G58" s="247">
        <f t="shared" si="1"/>
        <v>0.99464650876194538</v>
      </c>
      <c r="H58" s="246"/>
      <c r="J58" s="182"/>
      <c r="K58" s="182"/>
      <c r="L58" s="182"/>
      <c r="M58" s="182"/>
      <c r="N58" s="163"/>
      <c r="O58" s="259" t="str">
        <f>IF($O$24="Y",IFERROR(E58*$E$6*$O$16*'Emissions Factors'!B43,""),"")</f>
        <v/>
      </c>
      <c r="P58" s="259" t="str">
        <f>IF($P$24="Y",IFERROR($E58*('Emissions Factors'!$R$39*$P$16)/10^6,""),"")</f>
        <v/>
      </c>
      <c r="Q58" s="259">
        <f t="shared" si="9"/>
        <v>131.80880635925118</v>
      </c>
      <c r="R58" s="258"/>
      <c r="T58" s="180">
        <f t="shared" si="2"/>
        <v>131.80880635925118</v>
      </c>
      <c r="U58" s="180">
        <f t="shared" si="3"/>
        <v>0</v>
      </c>
      <c r="V58" s="177"/>
      <c r="X58" s="180">
        <f t="shared" si="4"/>
        <v>131.80880635925118</v>
      </c>
      <c r="Y58" s="180">
        <f t="shared" si="5"/>
        <v>0</v>
      </c>
    </row>
    <row r="59" spans="1:25" ht="15.6" x14ac:dyDescent="0.3">
      <c r="A59" s="152">
        <v>2047</v>
      </c>
      <c r="B59" s="178">
        <f t="shared" si="0"/>
        <v>0</v>
      </c>
      <c r="C59" s="182">
        <f t="shared" si="7"/>
        <v>0</v>
      </c>
      <c r="D59" s="183"/>
      <c r="E59" s="179">
        <f t="shared" si="6"/>
        <v>57.865991966093148</v>
      </c>
      <c r="F59" s="183">
        <f t="shared" si="8"/>
        <v>4.0507896030276314</v>
      </c>
      <c r="G59" s="247">
        <f t="shared" si="1"/>
        <v>0.99464650876194527</v>
      </c>
      <c r="H59" s="246"/>
      <c r="J59" s="182"/>
      <c r="K59" s="182"/>
      <c r="L59" s="182"/>
      <c r="M59" s="182"/>
      <c r="N59" s="163"/>
      <c r="O59" s="259" t="str">
        <f>IF($O$24="Y",IFERROR(E59*$E$6*$O$16*'Emissions Factors'!B44,""),"")</f>
        <v/>
      </c>
      <c r="P59" s="259" t="str">
        <f>IF($P$24="Y",IFERROR($E59*('Emissions Factors'!$R$39*$P$16)/10^6,""),"")</f>
        <v/>
      </c>
      <c r="Q59" s="259">
        <f t="shared" si="9"/>
        <v>141.73034746552383</v>
      </c>
      <c r="R59" s="258"/>
      <c r="T59" s="180">
        <f t="shared" si="2"/>
        <v>141.73034746552383</v>
      </c>
      <c r="U59" s="180">
        <f t="shared" si="3"/>
        <v>0</v>
      </c>
      <c r="V59" s="177"/>
      <c r="X59" s="180">
        <f t="shared" si="4"/>
        <v>141.73034746552383</v>
      </c>
      <c r="Y59" s="180">
        <f t="shared" si="5"/>
        <v>0</v>
      </c>
    </row>
    <row r="60" spans="1:25" ht="15.6" x14ac:dyDescent="0.3">
      <c r="A60" s="152">
        <v>2048</v>
      </c>
      <c r="B60" s="178">
        <f t="shared" si="0"/>
        <v>0</v>
      </c>
      <c r="C60" s="182">
        <f t="shared" si="7"/>
        <v>0</v>
      </c>
      <c r="D60" s="183"/>
      <c r="E60" s="179">
        <f t="shared" si="6"/>
        <v>62.150992984869852</v>
      </c>
      <c r="F60" s="183">
        <f t="shared" si="8"/>
        <v>4.285001018776704</v>
      </c>
      <c r="G60" s="247">
        <f t="shared" si="1"/>
        <v>0.99464650876194516</v>
      </c>
      <c r="H60" s="246"/>
      <c r="J60" s="182"/>
      <c r="K60" s="182"/>
      <c r="L60" s="182"/>
      <c r="M60" s="182"/>
      <c r="N60" s="163"/>
      <c r="O60" s="259" t="str">
        <f>IF($O$24="Y",IFERROR(E60*$E$6*$O$16*'Emissions Factors'!B45,""),"")</f>
        <v/>
      </c>
      <c r="P60" s="259" t="str">
        <f>IF($P$24="Y",IFERROR($E60*('Emissions Factors'!$R$39*$P$16)/10^6,""),"")</f>
        <v/>
      </c>
      <c r="Q60" s="259">
        <f t="shared" si="9"/>
        <v>152.22553924651336</v>
      </c>
      <c r="R60" s="258"/>
      <c r="T60" s="180">
        <f t="shared" si="2"/>
        <v>152.22553924651336</v>
      </c>
      <c r="U60" s="180">
        <f t="shared" si="3"/>
        <v>0</v>
      </c>
      <c r="V60" s="177"/>
      <c r="X60" s="180">
        <f t="shared" si="4"/>
        <v>152.22553924651336</v>
      </c>
      <c r="Y60" s="180">
        <f t="shared" si="5"/>
        <v>0</v>
      </c>
    </row>
    <row r="61" spans="1:25" ht="15.6" x14ac:dyDescent="0.3">
      <c r="A61" s="152">
        <v>2049</v>
      </c>
      <c r="B61" s="178">
        <f t="shared" si="0"/>
        <v>0</v>
      </c>
      <c r="C61" s="182">
        <f t="shared" si="7"/>
        <v>0</v>
      </c>
      <c r="D61" s="183"/>
      <c r="E61" s="179">
        <f t="shared" si="6"/>
        <v>66.686267791481981</v>
      </c>
      <c r="F61" s="183">
        <f t="shared" si="8"/>
        <v>4.5352748066121293</v>
      </c>
      <c r="G61" s="247">
        <f t="shared" si="1"/>
        <v>0.99464650876194516</v>
      </c>
      <c r="H61" s="246"/>
      <c r="J61" s="182"/>
      <c r="K61" s="182"/>
      <c r="L61" s="182"/>
      <c r="M61" s="182"/>
      <c r="N61" s="163"/>
      <c r="O61" s="259" t="str">
        <f>IF($O$24="Y",IFERROR(E61*$E$6*$O$16*'Emissions Factors'!B46,""),"")</f>
        <v/>
      </c>
      <c r="P61" s="259" t="str">
        <f>IF($P$24="Y",IFERROR($E61*('Emissions Factors'!$R$39*$P$16)/10^6,""),"")</f>
        <v/>
      </c>
      <c r="Q61" s="259">
        <f t="shared" si="9"/>
        <v>163.33372304070835</v>
      </c>
      <c r="R61" s="258"/>
      <c r="T61" s="180">
        <f t="shared" si="2"/>
        <v>163.33372304070835</v>
      </c>
      <c r="U61" s="180">
        <f t="shared" si="3"/>
        <v>0</v>
      </c>
      <c r="V61" s="177"/>
      <c r="X61" s="180">
        <f t="shared" si="4"/>
        <v>163.33372304070835</v>
      </c>
      <c r="Y61" s="180">
        <f t="shared" si="5"/>
        <v>0</v>
      </c>
    </row>
    <row r="62" spans="1:25" ht="15.6" x14ac:dyDescent="0.3">
      <c r="A62" s="152">
        <v>2050</v>
      </c>
      <c r="B62" s="178">
        <f t="shared" si="0"/>
        <v>0</v>
      </c>
      <c r="C62" s="182">
        <f t="shared" si="7"/>
        <v>0</v>
      </c>
      <c r="D62" s="183"/>
      <c r="E62" s="179">
        <f t="shared" si="6"/>
        <v>71.486794174854964</v>
      </c>
      <c r="F62" s="183">
        <f t="shared" si="8"/>
        <v>4.8005263833729828</v>
      </c>
      <c r="G62" s="247">
        <f t="shared" si="1"/>
        <v>0.99464650876194538</v>
      </c>
      <c r="H62" s="246"/>
      <c r="J62" s="182"/>
      <c r="K62" s="182"/>
      <c r="L62" s="182"/>
      <c r="M62" s="182"/>
      <c r="N62" s="163"/>
      <c r="O62" s="259" t="str">
        <f>IF($O$24="Y",IFERROR(E62*$E$6*$O$16*'Emissions Factors'!B47,""),"")</f>
        <v/>
      </c>
      <c r="P62" s="259" t="str">
        <f>IF($P$24="Y",IFERROR($E62*('Emissions Factors'!$R$39*$P$16)/10^6,""),"")</f>
        <v/>
      </c>
      <c r="Q62" s="259">
        <f t="shared" si="9"/>
        <v>175.09158373255548</v>
      </c>
      <c r="R62" s="258"/>
      <c r="T62" s="180">
        <f t="shared" si="2"/>
        <v>175.09158373255548</v>
      </c>
      <c r="U62" s="180">
        <f t="shared" si="3"/>
        <v>0</v>
      </c>
      <c r="V62" s="177"/>
      <c r="X62" s="180">
        <f t="shared" si="4"/>
        <v>175.09158373255548</v>
      </c>
      <c r="Y62" s="180">
        <f t="shared" si="5"/>
        <v>0</v>
      </c>
    </row>
    <row r="63" spans="1:25" ht="15.6" x14ac:dyDescent="0.3">
      <c r="A63" s="152">
        <v>2051</v>
      </c>
      <c r="B63" s="178">
        <f t="shared" si="0"/>
        <v>0</v>
      </c>
      <c r="C63" s="182">
        <f t="shared" si="7"/>
        <v>0</v>
      </c>
      <c r="D63" s="183"/>
      <c r="E63" s="179">
        <f t="shared" si="6"/>
        <v>76.565630969014535</v>
      </c>
      <c r="F63" s="183">
        <f t="shared" si="8"/>
        <v>5.0788367941595709</v>
      </c>
      <c r="G63" s="247">
        <f t="shared" si="1"/>
        <v>0.99464650876194527</v>
      </c>
      <c r="H63" s="246"/>
      <c r="J63" s="182"/>
      <c r="K63" s="182"/>
      <c r="L63" s="182"/>
      <c r="M63" s="182"/>
      <c r="N63" s="163"/>
      <c r="O63" s="259" t="str">
        <f>IF($O$24="Y",IFERROR(E63*$E$6*$O$16*'Emissions Factors'!B48,""),"")</f>
        <v/>
      </c>
      <c r="P63" s="259" t="str">
        <f>IF($P$24="Y",IFERROR($E63*('Emissions Factors'!$R$39*$P$16)/10^6,""),"")</f>
        <v/>
      </c>
      <c r="Q63" s="259">
        <f t="shared" si="9"/>
        <v>187.53110613767916</v>
      </c>
      <c r="R63" s="258"/>
      <c r="T63" s="180" t="str">
        <f t="shared" si="2"/>
        <v/>
      </c>
      <c r="U63" s="180" t="str">
        <f t="shared" si="3"/>
        <v/>
      </c>
      <c r="V63" s="177"/>
      <c r="X63" s="180">
        <f t="shared" si="4"/>
        <v>187.53110613767916</v>
      </c>
      <c r="Y63" s="180">
        <f t="shared" si="5"/>
        <v>0</v>
      </c>
    </row>
    <row r="64" spans="1:25" ht="15.6" x14ac:dyDescent="0.3">
      <c r="A64" s="152">
        <v>2052</v>
      </c>
      <c r="B64" s="178">
        <f t="shared" si="0"/>
        <v>0</v>
      </c>
      <c r="C64" s="182">
        <f t="shared" si="7"/>
        <v>0</v>
      </c>
      <c r="D64" s="183"/>
      <c r="E64" s="179">
        <f t="shared" si="6"/>
        <v>81.933610010011975</v>
      </c>
      <c r="F64" s="183">
        <f t="shared" si="8"/>
        <v>5.3679790409974402</v>
      </c>
      <c r="G64" s="247">
        <f t="shared" si="1"/>
        <v>0.99464650876194527</v>
      </c>
      <c r="H64" s="246"/>
      <c r="J64" s="182"/>
      <c r="K64" s="182"/>
      <c r="L64" s="182"/>
      <c r="M64" s="182"/>
      <c r="N64" s="163"/>
      <c r="O64" s="259" t="str">
        <f>IF($O$24="Y",IFERROR(E64*$E$6*$O$16*'Emissions Factors'!B49,""),"")</f>
        <v/>
      </c>
      <c r="P64" s="259" t="str">
        <f>IF($P$24="Y",IFERROR($E64*('Emissions Factors'!$R$39*$P$16)/10^6,""),"")</f>
        <v/>
      </c>
      <c r="Q64" s="259">
        <f t="shared" si="9"/>
        <v>200.67882051737931</v>
      </c>
      <c r="R64" s="258"/>
      <c r="T64" s="180" t="str">
        <f t="shared" si="2"/>
        <v/>
      </c>
      <c r="U64" s="180" t="str">
        <f t="shared" si="3"/>
        <v/>
      </c>
      <c r="V64" s="177"/>
      <c r="X64" s="180">
        <f t="shared" si="4"/>
        <v>200.67882051737931</v>
      </c>
      <c r="Y64" s="180">
        <f t="shared" si="5"/>
        <v>0</v>
      </c>
    </row>
    <row r="65" spans="1:25" ht="15.6" x14ac:dyDescent="0.3">
      <c r="A65" s="152">
        <v>2053</v>
      </c>
      <c r="B65" s="178">
        <f t="shared" si="0"/>
        <v>0</v>
      </c>
      <c r="C65" s="182">
        <f t="shared" si="7"/>
        <v>0</v>
      </c>
      <c r="D65" s="183"/>
      <c r="E65" s="179">
        <f t="shared" si="6"/>
        <v>87.600515892593819</v>
      </c>
      <c r="F65" s="183">
        <f t="shared" si="8"/>
        <v>5.6669058825818439</v>
      </c>
      <c r="G65" s="247">
        <f t="shared" si="1"/>
        <v>0.99464650876194527</v>
      </c>
      <c r="H65" s="246"/>
      <c r="J65" s="182"/>
      <c r="K65" s="182"/>
      <c r="L65" s="182"/>
      <c r="M65" s="182"/>
      <c r="N65" s="163"/>
      <c r="O65" s="259" t="str">
        <f>IF($O$24="Y",IFERROR(E65*$E$6*$O$16*'Emissions Factors'!B50,""),"")</f>
        <v/>
      </c>
      <c r="P65" s="259" t="str">
        <f>IF($P$24="Y",IFERROR($E65*('Emissions Factors'!$R$39*$P$16)/10^6,""),"")</f>
        <v/>
      </c>
      <c r="Q65" s="259">
        <f t="shared" si="9"/>
        <v>214.55869213978869</v>
      </c>
      <c r="R65" s="258"/>
      <c r="T65" s="180" t="str">
        <f t="shared" si="2"/>
        <v/>
      </c>
      <c r="U65" s="180" t="str">
        <f t="shared" si="3"/>
        <v/>
      </c>
      <c r="V65" s="177"/>
      <c r="X65" s="180">
        <f t="shared" si="4"/>
        <v>214.55869213978869</v>
      </c>
      <c r="Y65" s="180">
        <f t="shared" si="5"/>
        <v>0</v>
      </c>
    </row>
    <row r="66" spans="1:25" ht="15.6" x14ac:dyDescent="0.3">
      <c r="A66" s="152">
        <v>2054</v>
      </c>
      <c r="B66" s="178">
        <f t="shared" si="0"/>
        <v>0</v>
      </c>
      <c r="C66" s="182">
        <f t="shared" si="7"/>
        <v>0</v>
      </c>
      <c r="D66" s="183"/>
      <c r="E66" s="179">
        <f t="shared" si="6"/>
        <v>93.574471512347003</v>
      </c>
      <c r="F66" s="183">
        <f t="shared" si="8"/>
        <v>5.973955619753184</v>
      </c>
      <c r="G66" s="247">
        <f t="shared" si="1"/>
        <v>0.99464650876194527</v>
      </c>
      <c r="H66" s="246"/>
      <c r="J66" s="182"/>
      <c r="K66" s="182"/>
      <c r="L66" s="182"/>
      <c r="M66" s="182"/>
      <c r="N66" s="163"/>
      <c r="O66" s="259" t="str">
        <f>IF($O$24="Y",IFERROR(E66*$E$6*$O$16*'Emissions Factors'!B51,""),"")</f>
        <v/>
      </c>
      <c r="P66" s="259" t="str">
        <f>IF($P$24="Y",IFERROR($E66*('Emissions Factors'!$R$39*$P$16)/10^6,""),"")</f>
        <v/>
      </c>
      <c r="Q66" s="259">
        <f t="shared" si="9"/>
        <v>229.19061629702702</v>
      </c>
      <c r="R66" s="258"/>
      <c r="T66" s="180" t="str">
        <f t="shared" si="2"/>
        <v/>
      </c>
      <c r="U66" s="180" t="str">
        <f t="shared" si="3"/>
        <v/>
      </c>
      <c r="V66" s="177"/>
      <c r="X66" s="180">
        <f t="shared" si="4"/>
        <v>229.19061629702702</v>
      </c>
      <c r="Y66" s="180">
        <f t="shared" si="5"/>
        <v>0</v>
      </c>
    </row>
    <row r="67" spans="1:25" ht="15.6" x14ac:dyDescent="0.3">
      <c r="A67" s="152">
        <v>2055</v>
      </c>
      <c r="B67" s="178">
        <f t="shared" si="0"/>
        <v>0</v>
      </c>
      <c r="C67" s="182">
        <f t="shared" si="7"/>
        <v>0</v>
      </c>
      <c r="D67" s="183"/>
      <c r="E67" s="179">
        <f t="shared" si="6"/>
        <v>99.863186771932732</v>
      </c>
      <c r="F67" s="183">
        <f t="shared" si="8"/>
        <v>6.2887152595857287</v>
      </c>
      <c r="G67" s="247">
        <f t="shared" si="1"/>
        <v>0.99464650876194527</v>
      </c>
      <c r="H67" s="246"/>
      <c r="J67" s="182"/>
      <c r="K67" s="182"/>
      <c r="L67" s="182"/>
      <c r="M67" s="182"/>
      <c r="N67" s="163"/>
      <c r="O67" s="259" t="str">
        <f>IF($O$24="Y",IFERROR(E67*$E$6*$O$16*'Emissions Factors'!B52,""),"")</f>
        <v/>
      </c>
      <c r="P67" s="259" t="str">
        <f>IF($P$24="Y",IFERROR($E67*('Emissions Factors'!$R$39*$P$16)/10^6,""),"")</f>
        <v/>
      </c>
      <c r="Q67" s="259">
        <f t="shared" si="9"/>
        <v>244.59347674354095</v>
      </c>
      <c r="R67" s="258"/>
      <c r="T67" s="180" t="str">
        <f t="shared" si="2"/>
        <v/>
      </c>
      <c r="U67" s="180" t="str">
        <f t="shared" si="3"/>
        <v/>
      </c>
      <c r="V67" s="177"/>
      <c r="X67" s="180">
        <f t="shared" si="4"/>
        <v>244.59347674354095</v>
      </c>
      <c r="Y67" s="180">
        <f t="shared" si="5"/>
        <v>0</v>
      </c>
    </row>
    <row r="68" spans="1:25" ht="15.6" x14ac:dyDescent="0.3">
      <c r="A68" s="152">
        <v>2056</v>
      </c>
      <c r="B68" s="178">
        <f t="shared" si="0"/>
        <v>0</v>
      </c>
      <c r="C68" s="182">
        <f t="shared" si="7"/>
        <v>0</v>
      </c>
      <c r="D68" s="183"/>
      <c r="E68" s="179">
        <f t="shared" si="6"/>
        <v>106.47656581742753</v>
      </c>
      <c r="F68" s="183">
        <f t="shared" si="8"/>
        <v>6.6133790454947956</v>
      </c>
      <c r="G68" s="247">
        <f t="shared" si="1"/>
        <v>0.99464650876194527</v>
      </c>
      <c r="H68" s="246"/>
      <c r="J68" s="182"/>
      <c r="K68" s="182"/>
      <c r="L68" s="182"/>
      <c r="M68" s="182"/>
      <c r="N68" s="163"/>
      <c r="O68" s="259" t="str">
        <f>IF($O$24="Y",IFERROR(E68*$E$6*$O$16*'Emissions Factors'!B53,""),"")</f>
        <v/>
      </c>
      <c r="P68" s="259" t="str">
        <f>IF($P$24="Y",IFERROR($E68*('Emissions Factors'!$R$39*$P$16)/10^6,""),"")</f>
        <v/>
      </c>
      <c r="Q68" s="259">
        <f t="shared" si="9"/>
        <v>260.7915315628278</v>
      </c>
      <c r="R68" s="258"/>
      <c r="T68" s="180" t="str">
        <f t="shared" si="2"/>
        <v/>
      </c>
      <c r="U68" s="180" t="str">
        <f t="shared" si="3"/>
        <v/>
      </c>
      <c r="V68" s="177"/>
      <c r="X68" s="180">
        <f t="shared" si="4"/>
        <v>260.7915315628278</v>
      </c>
      <c r="Y68" s="180">
        <f t="shared" si="5"/>
        <v>0</v>
      </c>
    </row>
    <row r="69" spans="1:25" ht="15.6" x14ac:dyDescent="0.3">
      <c r="A69" s="152">
        <v>2057</v>
      </c>
      <c r="B69" s="178">
        <f t="shared" si="0"/>
        <v>0</v>
      </c>
      <c r="C69" s="182">
        <f t="shared" si="7"/>
        <v>0</v>
      </c>
      <c r="D69" s="183"/>
      <c r="E69" s="179">
        <f t="shared" si="6"/>
        <v>113.42278216865395</v>
      </c>
      <c r="F69" s="183">
        <f t="shared" si="8"/>
        <v>6.9462163512264254</v>
      </c>
      <c r="G69" s="247">
        <f t="shared" si="1"/>
        <v>0.99464650876194527</v>
      </c>
      <c r="H69" s="246"/>
      <c r="J69" s="182"/>
      <c r="K69" s="182"/>
      <c r="L69" s="182"/>
      <c r="M69" s="182"/>
      <c r="N69" s="163"/>
      <c r="O69" s="259" t="str">
        <f>IF($O$24="Y",IFERROR(E69*$E$6*$O$16*'Emissions Factors'!B54,""),"")</f>
        <v/>
      </c>
      <c r="P69" s="259" t="str">
        <f>IF($P$24="Y",IFERROR($E69*('Emissions Factors'!$R$39*$P$16)/10^6,""),"")</f>
        <v/>
      </c>
      <c r="Q69" s="259">
        <f t="shared" si="9"/>
        <v>277.80480004022456</v>
      </c>
      <c r="R69" s="258"/>
      <c r="T69" s="180" t="str">
        <f t="shared" si="2"/>
        <v/>
      </c>
      <c r="U69" s="180" t="str">
        <f t="shared" si="3"/>
        <v/>
      </c>
      <c r="V69" s="177"/>
      <c r="X69" s="180">
        <f t="shared" si="4"/>
        <v>277.80480004022456</v>
      </c>
      <c r="Y69" s="180">
        <f t="shared" si="5"/>
        <v>0</v>
      </c>
    </row>
    <row r="70" spans="1:25" ht="15.6" x14ac:dyDescent="0.3">
      <c r="A70" s="152">
        <v>2058</v>
      </c>
      <c r="B70" s="178">
        <f t="shared" si="0"/>
        <v>0</v>
      </c>
      <c r="C70" s="182">
        <f t="shared" si="7"/>
        <v>0</v>
      </c>
      <c r="D70" s="183"/>
      <c r="E70" s="179">
        <f t="shared" si="6"/>
        <v>120.70454758820715</v>
      </c>
      <c r="F70" s="183">
        <f t="shared" si="8"/>
        <v>7.2817654195531958</v>
      </c>
      <c r="G70" s="247">
        <f t="shared" si="1"/>
        <v>0.99464650876194527</v>
      </c>
      <c r="H70" s="246"/>
      <c r="J70" s="182"/>
      <c r="K70" s="182"/>
      <c r="L70" s="182"/>
      <c r="M70" s="182"/>
      <c r="N70" s="163"/>
      <c r="O70" s="259" t="str">
        <f>IF($O$24="Y",IFERROR(E70*$E$6*$O$16*'Emissions Factors'!B55,""),"")</f>
        <v/>
      </c>
      <c r="P70" s="259" t="str">
        <f>IF($P$24="Y",IFERROR($E70*('Emissions Factors'!$R$39*$P$16)/10^6,""),"")</f>
        <v/>
      </c>
      <c r="Q70" s="259">
        <f t="shared" si="9"/>
        <v>295.63992405711593</v>
      </c>
      <c r="R70" s="258"/>
      <c r="T70" s="180" t="str">
        <f t="shared" si="2"/>
        <v/>
      </c>
      <c r="U70" s="180" t="str">
        <f t="shared" si="3"/>
        <v/>
      </c>
      <c r="V70" s="177"/>
      <c r="X70" s="180">
        <f t="shared" si="4"/>
        <v>295.63992405711593</v>
      </c>
      <c r="Y70" s="180">
        <f t="shared" si="5"/>
        <v>0</v>
      </c>
    </row>
    <row r="71" spans="1:25" ht="15.6" x14ac:dyDescent="0.3">
      <c r="A71" s="152">
        <v>2059</v>
      </c>
      <c r="B71" s="178">
        <f t="shared" si="0"/>
        <v>0</v>
      </c>
      <c r="C71" s="182">
        <f t="shared" si="7"/>
        <v>0</v>
      </c>
      <c r="D71" s="183"/>
      <c r="E71" s="179">
        <f t="shared" si="6"/>
        <v>128.3217902395624</v>
      </c>
      <c r="F71" s="183">
        <f t="shared" si="8"/>
        <v>7.6172426513552551</v>
      </c>
      <c r="G71" s="247">
        <f t="shared" si="1"/>
        <v>0.99464650876194538</v>
      </c>
      <c r="H71" s="246"/>
      <c r="J71" s="182"/>
      <c r="K71" s="182"/>
      <c r="L71" s="182"/>
      <c r="M71" s="182"/>
      <c r="N71" s="163"/>
      <c r="O71" s="259" t="str">
        <f>IF($O$24="Y",IFERROR(E71*$E$6*$O$16*'Emissions Factors'!B56,""),"")</f>
        <v/>
      </c>
      <c r="P71" s="259" t="str">
        <f>IF($P$24="Y",IFERROR($E71*('Emissions Factors'!$R$39*$P$16)/10^6,""),"")</f>
        <v/>
      </c>
      <c r="Q71" s="259">
        <f t="shared" si="9"/>
        <v>314.29672766532821</v>
      </c>
      <c r="R71" s="258"/>
      <c r="T71" s="180" t="str">
        <f t="shared" si="2"/>
        <v/>
      </c>
      <c r="U71" s="180" t="str">
        <f t="shared" si="3"/>
        <v/>
      </c>
      <c r="V71" s="177"/>
      <c r="X71" s="180">
        <f t="shared" si="4"/>
        <v>314.29672766532821</v>
      </c>
      <c r="Y71" s="180">
        <f t="shared" si="5"/>
        <v>0</v>
      </c>
    </row>
    <row r="72" spans="1:25" ht="15.6" x14ac:dyDescent="0.3">
      <c r="A72" s="152">
        <v>2060</v>
      </c>
      <c r="B72" s="178">
        <f t="shared" si="0"/>
        <v>0</v>
      </c>
      <c r="C72" s="182">
        <f t="shared" si="7"/>
        <v>0</v>
      </c>
      <c r="D72" s="183"/>
      <c r="E72" s="179">
        <f t="shared" si="6"/>
        <v>136.27521040488651</v>
      </c>
      <c r="F72" s="183">
        <f t="shared" si="8"/>
        <v>7.9534201653241041</v>
      </c>
      <c r="G72" s="247">
        <f t="shared" si="1"/>
        <v>0.99464650876194516</v>
      </c>
      <c r="H72" s="246"/>
      <c r="J72" s="182"/>
      <c r="K72" s="182"/>
      <c r="L72" s="182"/>
      <c r="M72" s="182"/>
      <c r="N72" s="163"/>
      <c r="O72" s="259" t="str">
        <f>IF($O$24="Y",IFERROR(E72*$E$6*$O$16*'Emissions Factors'!B57,""),"")</f>
        <v/>
      </c>
      <c r="P72" s="259" t="str">
        <f>IF($P$24="Y",IFERROR($E72*('Emissions Factors'!$R$39*$P$16)/10^6,""),"")</f>
        <v/>
      </c>
      <c r="Q72" s="259">
        <f t="shared" si="9"/>
        <v>333.77692605596843</v>
      </c>
      <c r="R72" s="258"/>
      <c r="T72" s="180" t="str">
        <f t="shared" si="2"/>
        <v/>
      </c>
      <c r="U72" s="180" t="str">
        <f t="shared" si="3"/>
        <v/>
      </c>
      <c r="V72" s="177"/>
      <c r="X72" s="180">
        <f t="shared" si="4"/>
        <v>333.77692605596843</v>
      </c>
      <c r="Y72" s="180">
        <f t="shared" si="5"/>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13.8" thickBot="1" x14ac:dyDescent="0.3">
      <c r="A84" s="189"/>
      <c r="B84" s="190" t="s">
        <v>4</v>
      </c>
      <c r="C84" s="191" t="s">
        <v>5</v>
      </c>
      <c r="D84" s="191" t="str">
        <f>D136</f>
        <v>Eastern Europe</v>
      </c>
      <c r="E84" s="191"/>
      <c r="F84" s="191"/>
      <c r="G84" s="191"/>
      <c r="H84" s="191"/>
      <c r="I84" s="191"/>
      <c r="J84" s="191"/>
      <c r="K84" s="192"/>
      <c r="N84" s="193" t="str">
        <f>D84</f>
        <v>Eastern Europe</v>
      </c>
      <c r="O84" s="193"/>
      <c r="P84" s="193" t="str">
        <f>C84</f>
        <v>OECD90</v>
      </c>
      <c r="Q84" s="193" t="s">
        <v>235</v>
      </c>
      <c r="R84" s="193" t="str">
        <f>CONCATENATE("% ",$N$84)</f>
        <v>% Eastern Europe</v>
      </c>
      <c r="U84" s="193" t="str">
        <f>N84</f>
        <v>Eastern Europe</v>
      </c>
      <c r="V84" s="193" t="s">
        <v>10</v>
      </c>
      <c r="W84" s="193" t="str">
        <f>P84</f>
        <v>OECD90</v>
      </c>
      <c r="X84" s="193" t="s">
        <v>235</v>
      </c>
      <c r="Y84" s="193" t="str">
        <f>R84</f>
        <v>% Eastern Europe</v>
      </c>
    </row>
    <row r="85" spans="1:35" ht="15.6" x14ac:dyDescent="0.3">
      <c r="A85" s="194">
        <v>2014</v>
      </c>
      <c r="B85" s="253">
        <f>(B137/Population_Tables!O3)*Population_Tables!C3</f>
        <v>310.99947398285508</v>
      </c>
      <c r="C85" s="253">
        <f>(C137/Population_Tables!P3)*Population_Tables!D3</f>
        <v>0</v>
      </c>
      <c r="D85" s="253">
        <f>(D137/Population_Tables!Q3)*Population_Tables!E3</f>
        <v>0</v>
      </c>
      <c r="E85" s="253">
        <f>(E137/Population_Tables!R3)*Population_Tables!F3</f>
        <v>0</v>
      </c>
      <c r="F85" s="253">
        <f>(F137/Population_Tables!S3)*Population_Tables!G3</f>
        <v>0</v>
      </c>
      <c r="G85" s="253">
        <f>(G137/Population_Tables!T3)*Population_Tables!H3</f>
        <v>0</v>
      </c>
      <c r="H85" s="253">
        <f>(H137/Population_Tables!U3)*Population_Tables!I3</f>
        <v>0</v>
      </c>
      <c r="I85" s="253">
        <f>(I137/Population_Tables!V3)*Population_Tables!J3</f>
        <v>0</v>
      </c>
      <c r="J85" s="253">
        <f>(J137/Population_Tables!W3)*Population_Tables!K3</f>
        <v>0</v>
      </c>
      <c r="K85" s="253">
        <f>(K137/Population_Tables!X3)*Population_Tables!L3</f>
        <v>0</v>
      </c>
      <c r="N85" s="195">
        <f>D85</f>
        <v>0</v>
      </c>
      <c r="O85" s="195">
        <f>H85</f>
        <v>0</v>
      </c>
      <c r="P85" s="195">
        <f>C85</f>
        <v>0</v>
      </c>
      <c r="Q85" s="195">
        <f>N85+P85+O85</f>
        <v>0</v>
      </c>
      <c r="R85" s="196" t="e">
        <f>N85/Q85</f>
        <v>#DIV/0!</v>
      </c>
      <c r="U85" s="197">
        <v>0</v>
      </c>
      <c r="V85" s="195">
        <f>O85-O137</f>
        <v>0</v>
      </c>
      <c r="W85" s="197">
        <v>0</v>
      </c>
      <c r="X85" s="195">
        <f>U85+V85+W85</f>
        <v>0</v>
      </c>
      <c r="Y85" s="196">
        <v>0</v>
      </c>
      <c r="AC85" s="251" t="e">
        <f>(B85-B137)/((SUM(C85:G85)-SUM(C137:G137)))</f>
        <v>#DIV/0!</v>
      </c>
      <c r="AF85" s="250">
        <f>B85</f>
        <v>310.99947398285508</v>
      </c>
      <c r="AG85" s="250">
        <f>SUM(C85:G85)</f>
        <v>0</v>
      </c>
      <c r="AH85" s="250">
        <f>AG85-AF85</f>
        <v>-310.99947398285508</v>
      </c>
      <c r="AI85" s="251" t="e">
        <f>AH85/AG85</f>
        <v>#DIV/0!</v>
      </c>
    </row>
    <row r="86" spans="1:35" ht="15.6" x14ac:dyDescent="0.3">
      <c r="A86" s="194">
        <v>2015</v>
      </c>
      <c r="B86" s="253">
        <f>(B138/Population_Tables!O4)*Population_Tables!C4</f>
        <v>318.43137578420652</v>
      </c>
      <c r="C86" s="253">
        <f>(C138/Population_Tables!P4)*Population_Tables!D4</f>
        <v>0</v>
      </c>
      <c r="D86" s="253">
        <f>(D138/Population_Tables!Q4)*Population_Tables!E4</f>
        <v>0</v>
      </c>
      <c r="E86" s="253">
        <f>(E138/Population_Tables!R4)*Population_Tables!F4</f>
        <v>0</v>
      </c>
      <c r="F86" s="253">
        <f>(F138/Population_Tables!S4)*Population_Tables!G4</f>
        <v>0</v>
      </c>
      <c r="G86" s="253">
        <f>(G138/Population_Tables!T4)*Population_Tables!H4</f>
        <v>0</v>
      </c>
      <c r="H86" s="253">
        <f>(H138/Population_Tables!U4)*Population_Tables!I4</f>
        <v>0</v>
      </c>
      <c r="I86" s="253">
        <f>(I138/Population_Tables!V4)*Population_Tables!J4</f>
        <v>0</v>
      </c>
      <c r="J86" s="253">
        <f>(J138/Population_Tables!W4)*Population_Tables!K4</f>
        <v>0</v>
      </c>
      <c r="K86" s="253">
        <f>(K138/Population_Tables!X4)*Population_Tables!L4</f>
        <v>0</v>
      </c>
      <c r="N86" s="195">
        <f t="shared" ref="N86:N131" si="10">D86</f>
        <v>0</v>
      </c>
      <c r="O86" s="195">
        <f t="shared" ref="O86:O131" si="11">H86</f>
        <v>0</v>
      </c>
      <c r="P86" s="195">
        <f t="shared" ref="P86:P131" si="12">C86</f>
        <v>0</v>
      </c>
      <c r="Q86" s="195">
        <f t="shared" ref="Q86:Q131" si="13">N86+P86+O86</f>
        <v>0</v>
      </c>
      <c r="R86" s="196" t="e">
        <f t="shared" ref="R86:R130" si="14">N86/Q86</f>
        <v>#DIV/0!</v>
      </c>
      <c r="U86" s="197">
        <v>0</v>
      </c>
      <c r="V86" s="195">
        <f t="shared" ref="V86:W131" si="15">O86-O138</f>
        <v>0</v>
      </c>
      <c r="W86" s="197">
        <v>0</v>
      </c>
      <c r="X86" s="195">
        <f>U86+V86+W86</f>
        <v>0</v>
      </c>
      <c r="Y86" s="196">
        <v>0</v>
      </c>
      <c r="AC86" s="251" t="e">
        <f t="shared" ref="AC86:AC131" si="16">(B86-B138)/((SUM(C86:G86)-SUM(C138:G138)))</f>
        <v>#DIV/0!</v>
      </c>
    </row>
    <row r="87" spans="1:35" ht="15.6" x14ac:dyDescent="0.3">
      <c r="A87" s="194">
        <v>2016</v>
      </c>
      <c r="B87" s="253">
        <f>(B139/Population_Tables!O5)*Population_Tables!C5</f>
        <v>325.99186142143986</v>
      </c>
      <c r="C87" s="253">
        <f>(C139/Population_Tables!P5)*Population_Tables!D5</f>
        <v>0</v>
      </c>
      <c r="D87" s="253">
        <f>(D139/Population_Tables!Q5)*Population_Tables!E5</f>
        <v>0</v>
      </c>
      <c r="E87" s="253">
        <f>(E139/Population_Tables!R5)*Population_Tables!F5</f>
        <v>0</v>
      </c>
      <c r="F87" s="253">
        <f>(F139/Population_Tables!S5)*Population_Tables!G5</f>
        <v>0</v>
      </c>
      <c r="G87" s="253">
        <f>(G139/Population_Tables!T5)*Population_Tables!H5</f>
        <v>0</v>
      </c>
      <c r="H87" s="253">
        <f>(H139/Population_Tables!U5)*Population_Tables!I5</f>
        <v>0</v>
      </c>
      <c r="I87" s="253">
        <f>(I139/Population_Tables!V5)*Population_Tables!J5</f>
        <v>0</v>
      </c>
      <c r="J87" s="253">
        <f>(J139/Population_Tables!W5)*Population_Tables!K5</f>
        <v>0</v>
      </c>
      <c r="K87" s="253">
        <f>(K139/Population_Tables!X5)*Population_Tables!L5</f>
        <v>0</v>
      </c>
      <c r="N87" s="195">
        <f t="shared" si="10"/>
        <v>0</v>
      </c>
      <c r="O87" s="195">
        <f t="shared" si="11"/>
        <v>0</v>
      </c>
      <c r="P87" s="195">
        <f t="shared" si="12"/>
        <v>0</v>
      </c>
      <c r="Q87" s="195">
        <f t="shared" si="13"/>
        <v>0</v>
      </c>
      <c r="R87" s="196" t="e">
        <f t="shared" si="14"/>
        <v>#DIV/0!</v>
      </c>
      <c r="U87" s="195">
        <f>N87-N139</f>
        <v>0</v>
      </c>
      <c r="V87" s="195">
        <f>O87-O139</f>
        <v>0</v>
      </c>
      <c r="W87" s="195">
        <f>P87-P139</f>
        <v>0</v>
      </c>
      <c r="X87" s="195">
        <f>U87+V87+W87</f>
        <v>0</v>
      </c>
      <c r="Y87" s="196" t="e">
        <f t="shared" ref="Y87:Y131" si="17">U87/X87</f>
        <v>#DIV/0!</v>
      </c>
      <c r="AC87" s="251" t="e">
        <f>(B87-B139)/((SUM(C87:G87)-SUM(C139:G139)))</f>
        <v>#DIV/0!</v>
      </c>
    </row>
    <row r="88" spans="1:35" ht="15.6" x14ac:dyDescent="0.3">
      <c r="A88" s="194">
        <v>2017</v>
      </c>
      <c r="B88" s="253">
        <f>(B140/Population_Tables!O6)*Population_Tables!C6</f>
        <v>333.95339914478626</v>
      </c>
      <c r="C88" s="253">
        <f>(C140/Population_Tables!P6)*Population_Tables!D6</f>
        <v>0</v>
      </c>
      <c r="D88" s="253">
        <f>(D140/Population_Tables!Q6)*Population_Tables!E6</f>
        <v>0</v>
      </c>
      <c r="E88" s="253">
        <f>(E140/Population_Tables!R6)*Population_Tables!F6</f>
        <v>0</v>
      </c>
      <c r="F88" s="253">
        <f>(F140/Population_Tables!S6)*Population_Tables!G6</f>
        <v>0</v>
      </c>
      <c r="G88" s="253">
        <f>(G140/Population_Tables!T6)*Population_Tables!H6</f>
        <v>0</v>
      </c>
      <c r="H88" s="253">
        <f>(H140/Population_Tables!U6)*Population_Tables!I6</f>
        <v>0</v>
      </c>
      <c r="I88" s="253">
        <f>(I140/Population_Tables!V6)*Population_Tables!J6</f>
        <v>0</v>
      </c>
      <c r="J88" s="253">
        <f>(J140/Population_Tables!W6)*Population_Tables!K6</f>
        <v>0</v>
      </c>
      <c r="K88" s="253">
        <f>(K140/Population_Tables!X6)*Population_Tables!L6</f>
        <v>0</v>
      </c>
      <c r="N88" s="195">
        <f t="shared" si="10"/>
        <v>0</v>
      </c>
      <c r="O88" s="195">
        <f>H88</f>
        <v>0</v>
      </c>
      <c r="P88" s="195">
        <f t="shared" si="12"/>
        <v>0</v>
      </c>
      <c r="Q88" s="195">
        <f t="shared" si="13"/>
        <v>0</v>
      </c>
      <c r="R88" s="196" t="e">
        <f t="shared" si="14"/>
        <v>#DIV/0!</v>
      </c>
      <c r="U88" s="195">
        <f>N88-N140</f>
        <v>0</v>
      </c>
      <c r="V88" s="195">
        <f t="shared" si="15"/>
        <v>0</v>
      </c>
      <c r="W88" s="195">
        <f t="shared" si="15"/>
        <v>0</v>
      </c>
      <c r="X88" s="195">
        <f t="shared" ref="X88:X131" si="18">U88+V88+W88</f>
        <v>0</v>
      </c>
      <c r="Y88" s="196" t="e">
        <f t="shared" si="17"/>
        <v>#DIV/0!</v>
      </c>
      <c r="AC88" s="251" t="e">
        <f t="shared" si="16"/>
        <v>#DIV/0!</v>
      </c>
    </row>
    <row r="89" spans="1:35" ht="15.6" x14ac:dyDescent="0.3">
      <c r="A89" s="194">
        <v>2018</v>
      </c>
      <c r="B89" s="253">
        <f>(B141/Population_Tables!O7)*Population_Tables!C7</f>
        <v>342.31015907953446</v>
      </c>
      <c r="C89" s="253">
        <f>(C141/Population_Tables!P7)*Population_Tables!D7</f>
        <v>0</v>
      </c>
      <c r="D89" s="253">
        <f>(D141/Population_Tables!Q7)*Population_Tables!E7</f>
        <v>0</v>
      </c>
      <c r="E89" s="253">
        <f>(E141/Population_Tables!R7)*Population_Tables!F7</f>
        <v>0</v>
      </c>
      <c r="F89" s="253">
        <f>(F141/Population_Tables!S7)*Population_Tables!G7</f>
        <v>0</v>
      </c>
      <c r="G89" s="253">
        <f>(G141/Population_Tables!T7)*Population_Tables!H7</f>
        <v>0</v>
      </c>
      <c r="H89" s="253">
        <f>(H141/Population_Tables!U7)*Population_Tables!I7</f>
        <v>0</v>
      </c>
      <c r="I89" s="253">
        <f>(I141/Population_Tables!V7)*Population_Tables!J7</f>
        <v>0</v>
      </c>
      <c r="J89" s="253">
        <f>(J141/Population_Tables!W7)*Population_Tables!K7</f>
        <v>0</v>
      </c>
      <c r="K89" s="253">
        <f>(K141/Population_Tables!X7)*Population_Tables!L7</f>
        <v>0</v>
      </c>
      <c r="N89" s="195">
        <f t="shared" si="10"/>
        <v>0</v>
      </c>
      <c r="O89" s="195">
        <f t="shared" si="11"/>
        <v>0</v>
      </c>
      <c r="P89" s="195">
        <f t="shared" si="12"/>
        <v>0</v>
      </c>
      <c r="Q89" s="195">
        <f t="shared" si="13"/>
        <v>0</v>
      </c>
      <c r="R89" s="196" t="e">
        <f t="shared" si="14"/>
        <v>#DIV/0!</v>
      </c>
      <c r="U89" s="195">
        <f t="shared" ref="U89:U131" si="19">N89-N141</f>
        <v>0</v>
      </c>
      <c r="V89" s="195">
        <f t="shared" si="15"/>
        <v>0</v>
      </c>
      <c r="W89" s="195">
        <f t="shared" si="15"/>
        <v>0</v>
      </c>
      <c r="X89" s="195">
        <f t="shared" si="18"/>
        <v>0</v>
      </c>
      <c r="Y89" s="196" t="e">
        <f t="shared" si="17"/>
        <v>#DIV/0!</v>
      </c>
      <c r="AC89" s="251" t="e">
        <f t="shared" si="16"/>
        <v>#DIV/0!</v>
      </c>
    </row>
    <row r="90" spans="1:35" ht="16.2" thickBot="1" x14ac:dyDescent="0.35">
      <c r="A90" s="198">
        <v>2019</v>
      </c>
      <c r="B90" s="253">
        <f>(B142/Population_Tables!O8)*Population_Tables!C8</f>
        <v>351.05630870906208</v>
      </c>
      <c r="C90" s="253">
        <f>(C142/Population_Tables!P8)*Population_Tables!D8</f>
        <v>0</v>
      </c>
      <c r="D90" s="253">
        <f>(D142/Population_Tables!Q8)*Population_Tables!E8</f>
        <v>0</v>
      </c>
      <c r="E90" s="253">
        <f>(E142/Population_Tables!R8)*Population_Tables!F8</f>
        <v>0</v>
      </c>
      <c r="F90" s="253">
        <f>(F142/Population_Tables!S8)*Population_Tables!G8</f>
        <v>0</v>
      </c>
      <c r="G90" s="253">
        <f>(G142/Population_Tables!T8)*Population_Tables!H8</f>
        <v>0</v>
      </c>
      <c r="H90" s="253">
        <f>(H142/Population_Tables!U8)*Population_Tables!I8</f>
        <v>0</v>
      </c>
      <c r="I90" s="253">
        <f>(I142/Population_Tables!V8)*Population_Tables!J8</f>
        <v>0</v>
      </c>
      <c r="J90" s="253">
        <f>(J142/Population_Tables!W8)*Population_Tables!K8</f>
        <v>0</v>
      </c>
      <c r="K90" s="253">
        <f>(K142/Population_Tables!X8)*Population_Tables!L8</f>
        <v>0</v>
      </c>
      <c r="N90" s="195">
        <f t="shared" si="10"/>
        <v>0</v>
      </c>
      <c r="O90" s="195">
        <f t="shared" si="11"/>
        <v>0</v>
      </c>
      <c r="P90" s="195">
        <f t="shared" si="12"/>
        <v>0</v>
      </c>
      <c r="Q90" s="195">
        <f t="shared" si="13"/>
        <v>0</v>
      </c>
      <c r="R90" s="199" t="e">
        <f t="shared" si="14"/>
        <v>#DIV/0!</v>
      </c>
      <c r="U90" s="200">
        <f t="shared" si="19"/>
        <v>0</v>
      </c>
      <c r="V90" s="195">
        <f t="shared" si="15"/>
        <v>0</v>
      </c>
      <c r="W90" s="200">
        <f t="shared" si="15"/>
        <v>0</v>
      </c>
      <c r="X90" s="195">
        <f t="shared" si="18"/>
        <v>0</v>
      </c>
      <c r="Y90" s="199" t="e">
        <f t="shared" si="17"/>
        <v>#DIV/0!</v>
      </c>
      <c r="AC90" s="251" t="e">
        <f t="shared" si="16"/>
        <v>#DIV/0!</v>
      </c>
    </row>
    <row r="91" spans="1:35" ht="15.6" x14ac:dyDescent="0.3">
      <c r="A91" s="201">
        <v>2020</v>
      </c>
      <c r="B91" s="253">
        <f>(B143/Population_Tables!O9)*Population_Tables!C9</f>
        <v>360.18601807994702</v>
      </c>
      <c r="C91" s="253">
        <f>(C143/Population_Tables!P9)*Population_Tables!D9</f>
        <v>0</v>
      </c>
      <c r="D91" s="253">
        <f>(D143/Population_Tables!Q9)*Population_Tables!E9</f>
        <v>0</v>
      </c>
      <c r="E91" s="253">
        <f>(E143/Population_Tables!R9)*Population_Tables!F9</f>
        <v>0</v>
      </c>
      <c r="F91" s="253">
        <f>(F143/Population_Tables!S9)*Population_Tables!G9</f>
        <v>0</v>
      </c>
      <c r="G91" s="253">
        <f>(G143/Population_Tables!T9)*Population_Tables!H9</f>
        <v>0</v>
      </c>
      <c r="H91" s="253">
        <f>(H143/Population_Tables!U9)*Population_Tables!I9</f>
        <v>0</v>
      </c>
      <c r="I91" s="253">
        <f>(I143/Population_Tables!V9)*Population_Tables!J9</f>
        <v>0</v>
      </c>
      <c r="J91" s="253">
        <f>(J143/Population_Tables!W9)*Population_Tables!K9</f>
        <v>0</v>
      </c>
      <c r="K91" s="253">
        <f>(K143/Population_Tables!X9)*Population_Tables!L9</f>
        <v>0</v>
      </c>
      <c r="L91" s="202"/>
      <c r="M91" s="202"/>
      <c r="N91" s="195">
        <f t="shared" si="10"/>
        <v>0</v>
      </c>
      <c r="O91" s="195">
        <f t="shared" si="11"/>
        <v>0</v>
      </c>
      <c r="P91" s="195">
        <f t="shared" si="12"/>
        <v>0</v>
      </c>
      <c r="Q91" s="195">
        <f t="shared" si="13"/>
        <v>0</v>
      </c>
      <c r="R91" s="203" t="e">
        <f t="shared" si="14"/>
        <v>#DIV/0!</v>
      </c>
      <c r="S91" s="202"/>
      <c r="T91" s="202"/>
      <c r="U91" s="204">
        <f>N91-N143</f>
        <v>0</v>
      </c>
      <c r="V91" s="195">
        <f t="shared" si="15"/>
        <v>0</v>
      </c>
      <c r="W91" s="204">
        <f t="shared" si="15"/>
        <v>0</v>
      </c>
      <c r="X91" s="195">
        <f t="shared" si="18"/>
        <v>0</v>
      </c>
      <c r="Y91" s="205" t="e">
        <f>U91/X91</f>
        <v>#DIV/0!</v>
      </c>
      <c r="AC91" s="251" t="e">
        <f t="shared" si="16"/>
        <v>#DIV/0!</v>
      </c>
    </row>
    <row r="92" spans="1:35" ht="15.6" x14ac:dyDescent="0.3">
      <c r="A92" s="206">
        <v>2021</v>
      </c>
      <c r="B92" s="253">
        <f>(B144/Population_Tables!O10)*Population_Tables!C10</f>
        <v>370.16148045198361</v>
      </c>
      <c r="C92" s="253">
        <f>(C144/Population_Tables!P10)*Population_Tables!D10</f>
        <v>0</v>
      </c>
      <c r="D92" s="253">
        <f>(D144/Population_Tables!Q10)*Population_Tables!E10</f>
        <v>0</v>
      </c>
      <c r="E92" s="253">
        <f>(E144/Population_Tables!R10)*Population_Tables!F10</f>
        <v>0</v>
      </c>
      <c r="F92" s="253">
        <f>(F144/Population_Tables!S10)*Population_Tables!G10</f>
        <v>0</v>
      </c>
      <c r="G92" s="253">
        <f>(G144/Population_Tables!T10)*Population_Tables!H10</f>
        <v>0</v>
      </c>
      <c r="H92" s="253">
        <f>(H144/Population_Tables!U10)*Population_Tables!I10</f>
        <v>0</v>
      </c>
      <c r="I92" s="253">
        <f>(I144/Population_Tables!V10)*Population_Tables!J10</f>
        <v>0</v>
      </c>
      <c r="J92" s="253">
        <f>(J144/Population_Tables!W10)*Population_Tables!K10</f>
        <v>0</v>
      </c>
      <c r="K92" s="253">
        <f>(K144/Population_Tables!X10)*Population_Tables!L10</f>
        <v>0</v>
      </c>
      <c r="L92" s="170"/>
      <c r="M92" s="170"/>
      <c r="N92" s="195">
        <f t="shared" si="10"/>
        <v>0</v>
      </c>
      <c r="O92" s="195">
        <f t="shared" si="11"/>
        <v>0</v>
      </c>
      <c r="P92" s="195">
        <f t="shared" si="12"/>
        <v>0</v>
      </c>
      <c r="Q92" s="195">
        <f t="shared" si="13"/>
        <v>0</v>
      </c>
      <c r="R92" s="196" t="e">
        <f t="shared" si="14"/>
        <v>#DIV/0!</v>
      </c>
      <c r="S92" s="170"/>
      <c r="T92" s="170"/>
      <c r="U92" s="195">
        <f t="shared" si="19"/>
        <v>0</v>
      </c>
      <c r="V92" s="195">
        <f t="shared" si="15"/>
        <v>0</v>
      </c>
      <c r="W92" s="195">
        <f t="shared" si="15"/>
        <v>0</v>
      </c>
      <c r="X92" s="195">
        <f t="shared" si="18"/>
        <v>0</v>
      </c>
      <c r="Y92" s="207" t="e">
        <f t="shared" si="17"/>
        <v>#DIV/0!</v>
      </c>
      <c r="AC92" s="251" t="e">
        <f t="shared" si="16"/>
        <v>#DIV/0!</v>
      </c>
    </row>
    <row r="93" spans="1:35" ht="15.6" x14ac:dyDescent="0.3">
      <c r="A93" s="206">
        <v>2022</v>
      </c>
      <c r="B93" s="253">
        <f>(B145/Population_Tables!O11)*Population_Tables!C11</f>
        <v>380.64701724645766</v>
      </c>
      <c r="C93" s="253">
        <f>(C145/Population_Tables!P11)*Population_Tables!D11</f>
        <v>0</v>
      </c>
      <c r="D93" s="253">
        <f>(D145/Population_Tables!Q11)*Population_Tables!E11</f>
        <v>0</v>
      </c>
      <c r="E93" s="253">
        <f>(E145/Population_Tables!R11)*Population_Tables!F11</f>
        <v>0</v>
      </c>
      <c r="F93" s="253">
        <f>(F145/Population_Tables!S11)*Population_Tables!G11</f>
        <v>0</v>
      </c>
      <c r="G93" s="253">
        <f>(G145/Population_Tables!T11)*Population_Tables!H11</f>
        <v>0</v>
      </c>
      <c r="H93" s="253">
        <f>(H145/Population_Tables!U11)*Population_Tables!I11</f>
        <v>0</v>
      </c>
      <c r="I93" s="253">
        <f>(I145/Population_Tables!V11)*Population_Tables!J11</f>
        <v>0</v>
      </c>
      <c r="J93" s="253">
        <f>(J145/Population_Tables!W11)*Population_Tables!K11</f>
        <v>0</v>
      </c>
      <c r="K93" s="253">
        <f>(K145/Population_Tables!X11)*Population_Tables!L11</f>
        <v>0</v>
      </c>
      <c r="L93" s="170"/>
      <c r="M93" s="170"/>
      <c r="N93" s="195">
        <f t="shared" si="10"/>
        <v>0</v>
      </c>
      <c r="O93" s="195">
        <f t="shared" si="11"/>
        <v>0</v>
      </c>
      <c r="P93" s="195">
        <f t="shared" si="12"/>
        <v>0</v>
      </c>
      <c r="Q93" s="195">
        <f t="shared" si="13"/>
        <v>0</v>
      </c>
      <c r="R93" s="196" t="e">
        <f t="shared" si="14"/>
        <v>#DIV/0!</v>
      </c>
      <c r="S93" s="170"/>
      <c r="T93" s="170"/>
      <c r="U93" s="195">
        <f t="shared" si="19"/>
        <v>0</v>
      </c>
      <c r="V93" s="195">
        <f t="shared" si="15"/>
        <v>0</v>
      </c>
      <c r="W93" s="195">
        <f t="shared" si="15"/>
        <v>0</v>
      </c>
      <c r="X93" s="195">
        <f t="shared" si="18"/>
        <v>0</v>
      </c>
      <c r="Y93" s="207" t="e">
        <f t="shared" si="17"/>
        <v>#DIV/0!</v>
      </c>
      <c r="AC93" s="251" t="e">
        <f t="shared" si="16"/>
        <v>#DIV/0!</v>
      </c>
    </row>
    <row r="94" spans="1:35" ht="15.6" x14ac:dyDescent="0.3">
      <c r="A94" s="206">
        <v>2023</v>
      </c>
      <c r="B94" s="253">
        <f>(B146/Population_Tables!O12)*Population_Tables!C12</f>
        <v>391.62774259023792</v>
      </c>
      <c r="C94" s="253">
        <f>(C146/Population_Tables!P12)*Population_Tables!D12</f>
        <v>0</v>
      </c>
      <c r="D94" s="253">
        <f>(D146/Population_Tables!Q12)*Population_Tables!E12</f>
        <v>0</v>
      </c>
      <c r="E94" s="253">
        <f>(E146/Population_Tables!R12)*Population_Tables!F12</f>
        <v>0</v>
      </c>
      <c r="F94" s="253">
        <f>(F146/Population_Tables!S12)*Population_Tables!G12</f>
        <v>0</v>
      </c>
      <c r="G94" s="253">
        <f>(G146/Population_Tables!T12)*Population_Tables!H12</f>
        <v>0</v>
      </c>
      <c r="H94" s="253">
        <f>(H146/Population_Tables!U12)*Population_Tables!I12</f>
        <v>0</v>
      </c>
      <c r="I94" s="253">
        <f>(I146/Population_Tables!V12)*Population_Tables!J12</f>
        <v>0</v>
      </c>
      <c r="J94" s="253">
        <f>(J146/Population_Tables!W12)*Population_Tables!K12</f>
        <v>0</v>
      </c>
      <c r="K94" s="253">
        <f>(K146/Population_Tables!X12)*Population_Tables!L12</f>
        <v>0</v>
      </c>
      <c r="L94" s="170"/>
      <c r="M94" s="170"/>
      <c r="N94" s="195">
        <f t="shared" si="10"/>
        <v>0</v>
      </c>
      <c r="O94" s="195">
        <f t="shared" si="11"/>
        <v>0</v>
      </c>
      <c r="P94" s="195">
        <f t="shared" si="12"/>
        <v>0</v>
      </c>
      <c r="Q94" s="195">
        <f t="shared" si="13"/>
        <v>0</v>
      </c>
      <c r="R94" s="196" t="e">
        <f t="shared" si="14"/>
        <v>#DIV/0!</v>
      </c>
      <c r="S94" s="170"/>
      <c r="T94" s="170"/>
      <c r="U94" s="195">
        <f>N94-N146</f>
        <v>0</v>
      </c>
      <c r="V94" s="195">
        <f t="shared" si="15"/>
        <v>0</v>
      </c>
      <c r="W94" s="195">
        <f t="shared" si="15"/>
        <v>0</v>
      </c>
      <c r="X94" s="195">
        <f t="shared" si="18"/>
        <v>0</v>
      </c>
      <c r="Y94" s="207" t="e">
        <f t="shared" si="17"/>
        <v>#DIV/0!</v>
      </c>
      <c r="AC94" s="251" t="e">
        <f t="shared" si="16"/>
        <v>#DIV/0!</v>
      </c>
    </row>
    <row r="95" spans="1:35" ht="15.6" x14ac:dyDescent="0.3">
      <c r="A95" s="206">
        <v>2024</v>
      </c>
      <c r="B95" s="253">
        <f>(B147/Population_Tables!O13)*Population_Tables!C13</f>
        <v>403.09645194190801</v>
      </c>
      <c r="C95" s="253">
        <f>(C147/Population_Tables!P13)*Population_Tables!D13</f>
        <v>0</v>
      </c>
      <c r="D95" s="253">
        <f>(D147/Population_Tables!Q13)*Population_Tables!E13</f>
        <v>0</v>
      </c>
      <c r="E95" s="253">
        <f>(E147/Population_Tables!R13)*Population_Tables!F13</f>
        <v>0</v>
      </c>
      <c r="F95" s="253">
        <f>(F147/Population_Tables!S13)*Population_Tables!G13</f>
        <v>0</v>
      </c>
      <c r="G95" s="253">
        <f>(G147/Population_Tables!T13)*Population_Tables!H13</f>
        <v>0</v>
      </c>
      <c r="H95" s="253">
        <f>(H147/Population_Tables!U13)*Population_Tables!I13</f>
        <v>0</v>
      </c>
      <c r="I95" s="253">
        <f>(I147/Population_Tables!V13)*Population_Tables!J13</f>
        <v>0</v>
      </c>
      <c r="J95" s="253">
        <f>(J147/Population_Tables!W13)*Population_Tables!K13</f>
        <v>0</v>
      </c>
      <c r="K95" s="253">
        <f>(K147/Population_Tables!X13)*Population_Tables!L13</f>
        <v>0</v>
      </c>
      <c r="L95" s="170"/>
      <c r="M95" s="170"/>
      <c r="N95" s="195">
        <f t="shared" si="10"/>
        <v>0</v>
      </c>
      <c r="O95" s="195">
        <f t="shared" si="11"/>
        <v>0</v>
      </c>
      <c r="P95" s="195">
        <f t="shared" si="12"/>
        <v>0</v>
      </c>
      <c r="Q95" s="195">
        <f t="shared" si="13"/>
        <v>0</v>
      </c>
      <c r="R95" s="196" t="e">
        <f t="shared" si="14"/>
        <v>#DIV/0!</v>
      </c>
      <c r="S95" s="170"/>
      <c r="T95" s="170"/>
      <c r="U95" s="195">
        <f t="shared" si="19"/>
        <v>0</v>
      </c>
      <c r="V95" s="195">
        <f t="shared" si="15"/>
        <v>0</v>
      </c>
      <c r="W95" s="195">
        <f t="shared" si="15"/>
        <v>0</v>
      </c>
      <c r="X95" s="195">
        <f t="shared" si="18"/>
        <v>0</v>
      </c>
      <c r="Y95" s="207" t="e">
        <f t="shared" si="17"/>
        <v>#DIV/0!</v>
      </c>
      <c r="AC95" s="251" t="e">
        <f t="shared" si="16"/>
        <v>#DIV/0!</v>
      </c>
    </row>
    <row r="96" spans="1:35" ht="15.6" x14ac:dyDescent="0.3">
      <c r="A96" s="206">
        <v>2025</v>
      </c>
      <c r="B96" s="253">
        <f>(B148/Population_Tables!O14)*Population_Tables!C14</f>
        <v>415.04780583402055</v>
      </c>
      <c r="C96" s="253">
        <f>(C148/Population_Tables!P14)*Population_Tables!D14</f>
        <v>0</v>
      </c>
      <c r="D96" s="253">
        <f>(D148/Population_Tables!Q14)*Population_Tables!E14</f>
        <v>0</v>
      </c>
      <c r="E96" s="253">
        <f>(E148/Population_Tables!R14)*Population_Tables!F14</f>
        <v>0</v>
      </c>
      <c r="F96" s="253">
        <f>(F148/Population_Tables!S14)*Population_Tables!G14</f>
        <v>0</v>
      </c>
      <c r="G96" s="253">
        <f>(G148/Population_Tables!T14)*Population_Tables!H14</f>
        <v>0</v>
      </c>
      <c r="H96" s="253">
        <f>(H148/Population_Tables!U14)*Population_Tables!I14</f>
        <v>0</v>
      </c>
      <c r="I96" s="253">
        <f>(I148/Population_Tables!V14)*Population_Tables!J14</f>
        <v>0</v>
      </c>
      <c r="J96" s="253">
        <f>(J148/Population_Tables!W14)*Population_Tables!K14</f>
        <v>0</v>
      </c>
      <c r="K96" s="253">
        <f>(K148/Population_Tables!X14)*Population_Tables!L14</f>
        <v>0</v>
      </c>
      <c r="L96" s="170"/>
      <c r="M96" s="170"/>
      <c r="N96" s="195">
        <f t="shared" si="10"/>
        <v>0</v>
      </c>
      <c r="O96" s="195">
        <f t="shared" si="11"/>
        <v>0</v>
      </c>
      <c r="P96" s="195">
        <f t="shared" si="12"/>
        <v>0</v>
      </c>
      <c r="Q96" s="195">
        <f t="shared" si="13"/>
        <v>0</v>
      </c>
      <c r="R96" s="196" t="e">
        <f t="shared" si="14"/>
        <v>#DIV/0!</v>
      </c>
      <c r="S96" s="170"/>
      <c r="T96" s="170"/>
      <c r="U96" s="195">
        <f t="shared" si="19"/>
        <v>0</v>
      </c>
      <c r="V96" s="195">
        <f t="shared" si="15"/>
        <v>0</v>
      </c>
      <c r="W96" s="195">
        <f t="shared" si="15"/>
        <v>0</v>
      </c>
      <c r="X96" s="195">
        <f t="shared" si="18"/>
        <v>0</v>
      </c>
      <c r="Y96" s="207" t="e">
        <f t="shared" si="17"/>
        <v>#DIV/0!</v>
      </c>
      <c r="AC96" s="251" t="e">
        <f t="shared" si="16"/>
        <v>#DIV/0!</v>
      </c>
    </row>
    <row r="97" spans="1:29" ht="15.6" x14ac:dyDescent="0.3">
      <c r="A97" s="206">
        <v>2026</v>
      </c>
      <c r="B97" s="253">
        <f>(B149/Population_Tables!O15)*Population_Tables!C15</f>
        <v>427.47595594754404</v>
      </c>
      <c r="C97" s="253">
        <f>(C149/Population_Tables!P15)*Population_Tables!D15</f>
        <v>0</v>
      </c>
      <c r="D97" s="253">
        <f>(D149/Population_Tables!Q15)*Population_Tables!E15</f>
        <v>0</v>
      </c>
      <c r="E97" s="253">
        <f>(E149/Population_Tables!R15)*Population_Tables!F15</f>
        <v>0</v>
      </c>
      <c r="F97" s="253">
        <f>(F149/Population_Tables!S15)*Population_Tables!G15</f>
        <v>0</v>
      </c>
      <c r="G97" s="253">
        <f>(G149/Population_Tables!T15)*Population_Tables!H15</f>
        <v>0</v>
      </c>
      <c r="H97" s="253">
        <f>(H149/Population_Tables!U15)*Population_Tables!I15</f>
        <v>0</v>
      </c>
      <c r="I97" s="253">
        <f>(I149/Population_Tables!V15)*Population_Tables!J15</f>
        <v>0</v>
      </c>
      <c r="J97" s="253">
        <f>(J149/Population_Tables!W15)*Population_Tables!K15</f>
        <v>0</v>
      </c>
      <c r="K97" s="253">
        <f>(K149/Population_Tables!X15)*Population_Tables!L15</f>
        <v>0</v>
      </c>
      <c r="L97" s="170"/>
      <c r="M97" s="170"/>
      <c r="N97" s="195">
        <f t="shared" si="10"/>
        <v>0</v>
      </c>
      <c r="O97" s="195">
        <f t="shared" si="11"/>
        <v>0</v>
      </c>
      <c r="P97" s="195">
        <f t="shared" si="12"/>
        <v>0</v>
      </c>
      <c r="Q97" s="195">
        <f t="shared" si="13"/>
        <v>0</v>
      </c>
      <c r="R97" s="196" t="e">
        <f t="shared" si="14"/>
        <v>#DIV/0!</v>
      </c>
      <c r="S97" s="170"/>
      <c r="T97" s="170"/>
      <c r="U97" s="195">
        <f>N97-N149</f>
        <v>0</v>
      </c>
      <c r="V97" s="195">
        <f t="shared" si="15"/>
        <v>0</v>
      </c>
      <c r="W97" s="195">
        <f t="shared" si="15"/>
        <v>0</v>
      </c>
      <c r="X97" s="195">
        <f t="shared" si="18"/>
        <v>0</v>
      </c>
      <c r="Y97" s="207" t="e">
        <f t="shared" si="17"/>
        <v>#DIV/0!</v>
      </c>
      <c r="AC97" s="251" t="e">
        <f t="shared" si="16"/>
        <v>#DIV/0!</v>
      </c>
    </row>
    <row r="98" spans="1:29" ht="15.6" x14ac:dyDescent="0.3">
      <c r="A98" s="206">
        <v>2027</v>
      </c>
      <c r="B98" s="253">
        <f>(B150/Population_Tables!O16)*Population_Tables!C16</f>
        <v>440.37524371498057</v>
      </c>
      <c r="C98" s="253">
        <f>(C150/Population_Tables!P16)*Population_Tables!D16</f>
        <v>0</v>
      </c>
      <c r="D98" s="253">
        <f>(D150/Population_Tables!Q16)*Population_Tables!E16</f>
        <v>0</v>
      </c>
      <c r="E98" s="253">
        <f>(E150/Population_Tables!R16)*Population_Tables!F16</f>
        <v>0</v>
      </c>
      <c r="F98" s="253">
        <f>(F150/Population_Tables!S16)*Population_Tables!G16</f>
        <v>0</v>
      </c>
      <c r="G98" s="253">
        <f>(G150/Population_Tables!T16)*Population_Tables!H16</f>
        <v>0</v>
      </c>
      <c r="H98" s="253">
        <f>(H150/Population_Tables!U16)*Population_Tables!I16</f>
        <v>0</v>
      </c>
      <c r="I98" s="253">
        <f>(I150/Population_Tables!V16)*Population_Tables!J16</f>
        <v>0</v>
      </c>
      <c r="J98" s="253">
        <f>(J150/Population_Tables!W16)*Population_Tables!K16</f>
        <v>0</v>
      </c>
      <c r="K98" s="253">
        <f>(K150/Population_Tables!X16)*Population_Tables!L16</f>
        <v>0</v>
      </c>
      <c r="L98" s="170"/>
      <c r="M98" s="170"/>
      <c r="N98" s="195">
        <f t="shared" si="10"/>
        <v>0</v>
      </c>
      <c r="O98" s="195">
        <f t="shared" si="11"/>
        <v>0</v>
      </c>
      <c r="P98" s="195">
        <f t="shared" si="12"/>
        <v>0</v>
      </c>
      <c r="Q98" s="195">
        <f t="shared" si="13"/>
        <v>0</v>
      </c>
      <c r="R98" s="196" t="e">
        <f t="shared" si="14"/>
        <v>#DIV/0!</v>
      </c>
      <c r="S98" s="170"/>
      <c r="T98" s="170"/>
      <c r="U98" s="195">
        <f t="shared" si="19"/>
        <v>0</v>
      </c>
      <c r="V98" s="195">
        <f t="shared" si="15"/>
        <v>0</v>
      </c>
      <c r="W98" s="195">
        <f t="shared" si="15"/>
        <v>0</v>
      </c>
      <c r="X98" s="195">
        <f t="shared" si="18"/>
        <v>0</v>
      </c>
      <c r="Y98" s="207" t="e">
        <f t="shared" si="17"/>
        <v>#DIV/0!</v>
      </c>
      <c r="AC98" s="251" t="e">
        <f t="shared" si="16"/>
        <v>#DIV/0!</v>
      </c>
    </row>
    <row r="99" spans="1:29" ht="15.6" x14ac:dyDescent="0.3">
      <c r="A99" s="206">
        <v>2028</v>
      </c>
      <c r="B99" s="253">
        <f>(B151/Population_Tables!O17)*Population_Tables!C17</f>
        <v>453.74448672185639</v>
      </c>
      <c r="C99" s="253">
        <f>(C151/Population_Tables!P17)*Population_Tables!D17</f>
        <v>0</v>
      </c>
      <c r="D99" s="253">
        <f>(D151/Population_Tables!Q17)*Population_Tables!E17</f>
        <v>0</v>
      </c>
      <c r="E99" s="253">
        <f>(E151/Population_Tables!R17)*Population_Tables!F17</f>
        <v>0</v>
      </c>
      <c r="F99" s="253">
        <f>(F151/Population_Tables!S17)*Population_Tables!G17</f>
        <v>0</v>
      </c>
      <c r="G99" s="253">
        <f>(G151/Population_Tables!T17)*Population_Tables!H17</f>
        <v>0</v>
      </c>
      <c r="H99" s="253">
        <f>(H151/Population_Tables!U17)*Population_Tables!I17</f>
        <v>0</v>
      </c>
      <c r="I99" s="253">
        <f>(I151/Population_Tables!V17)*Population_Tables!J17</f>
        <v>0</v>
      </c>
      <c r="J99" s="253">
        <f>(J151/Population_Tables!W17)*Population_Tables!K17</f>
        <v>0</v>
      </c>
      <c r="K99" s="253">
        <f>(K151/Population_Tables!X17)*Population_Tables!L17</f>
        <v>0</v>
      </c>
      <c r="L99" s="170"/>
      <c r="M99" s="170"/>
      <c r="N99" s="195">
        <f t="shared" si="10"/>
        <v>0</v>
      </c>
      <c r="O99" s="195">
        <f t="shared" si="11"/>
        <v>0</v>
      </c>
      <c r="P99" s="195">
        <f t="shared" si="12"/>
        <v>0</v>
      </c>
      <c r="Q99" s="195">
        <f t="shared" si="13"/>
        <v>0</v>
      </c>
      <c r="R99" s="196" t="e">
        <f t="shared" si="14"/>
        <v>#DIV/0!</v>
      </c>
      <c r="S99" s="170"/>
      <c r="T99" s="170"/>
      <c r="U99" s="195">
        <f t="shared" si="19"/>
        <v>0</v>
      </c>
      <c r="V99" s="195">
        <f t="shared" si="15"/>
        <v>0</v>
      </c>
      <c r="W99" s="195">
        <f t="shared" si="15"/>
        <v>0</v>
      </c>
      <c r="X99" s="195">
        <f t="shared" si="18"/>
        <v>0</v>
      </c>
      <c r="Y99" s="207" t="e">
        <f t="shared" si="17"/>
        <v>#DIV/0!</v>
      </c>
      <c r="AC99" s="251" t="e">
        <f t="shared" si="16"/>
        <v>#DIV/0!</v>
      </c>
    </row>
    <row r="100" spans="1:29" ht="15.6" x14ac:dyDescent="0.3">
      <c r="A100" s="206">
        <v>2029</v>
      </c>
      <c r="B100" s="253">
        <f>(B152/Population_Tables!O18)*Population_Tables!C18</f>
        <v>467.58407116518657</v>
      </c>
      <c r="C100" s="253">
        <f>(C152/Population_Tables!P18)*Population_Tables!D18</f>
        <v>0</v>
      </c>
      <c r="D100" s="253">
        <f>(D152/Population_Tables!Q18)*Population_Tables!E18</f>
        <v>0</v>
      </c>
      <c r="E100" s="253">
        <f>(E152/Population_Tables!R18)*Population_Tables!F18</f>
        <v>0</v>
      </c>
      <c r="F100" s="253">
        <f>(F152/Population_Tables!S18)*Population_Tables!G18</f>
        <v>0</v>
      </c>
      <c r="G100" s="253">
        <f>(G152/Population_Tables!T18)*Population_Tables!H18</f>
        <v>0</v>
      </c>
      <c r="H100" s="253">
        <f>(H152/Population_Tables!U18)*Population_Tables!I18</f>
        <v>0</v>
      </c>
      <c r="I100" s="253">
        <f>(I152/Population_Tables!V18)*Population_Tables!J18</f>
        <v>0</v>
      </c>
      <c r="J100" s="253">
        <f>(J152/Population_Tables!W18)*Population_Tables!K18</f>
        <v>0</v>
      </c>
      <c r="K100" s="253">
        <f>(K152/Population_Tables!X18)*Population_Tables!L18</f>
        <v>0</v>
      </c>
      <c r="L100" s="170"/>
      <c r="M100" s="170"/>
      <c r="N100" s="195">
        <f t="shared" si="10"/>
        <v>0</v>
      </c>
      <c r="O100" s="195">
        <f t="shared" si="11"/>
        <v>0</v>
      </c>
      <c r="P100" s="195">
        <f t="shared" si="12"/>
        <v>0</v>
      </c>
      <c r="Q100" s="195">
        <f t="shared" si="13"/>
        <v>0</v>
      </c>
      <c r="R100" s="196" t="e">
        <f t="shared" si="14"/>
        <v>#DIV/0!</v>
      </c>
      <c r="S100" s="170"/>
      <c r="T100" s="170"/>
      <c r="U100" s="195">
        <f t="shared" si="19"/>
        <v>0</v>
      </c>
      <c r="V100" s="195">
        <f t="shared" si="15"/>
        <v>0</v>
      </c>
      <c r="W100" s="195">
        <f t="shared" si="15"/>
        <v>0</v>
      </c>
      <c r="X100" s="195">
        <f t="shared" si="18"/>
        <v>0</v>
      </c>
      <c r="Y100" s="207" t="e">
        <f t="shared" si="17"/>
        <v>#DIV/0!</v>
      </c>
      <c r="AC100" s="251" t="e">
        <f t="shared" si="16"/>
        <v>#DIV/0!</v>
      </c>
    </row>
    <row r="101" spans="1:29" ht="15.6" x14ac:dyDescent="0.3">
      <c r="A101" s="206">
        <v>2030</v>
      </c>
      <c r="B101" s="253">
        <f>(B153/Population_Tables!O19)*Population_Tables!C19</f>
        <v>481.89484612228858</v>
      </c>
      <c r="C101" s="253">
        <f>(C153/Population_Tables!P19)*Population_Tables!D19</f>
        <v>0</v>
      </c>
      <c r="D101" s="253">
        <f>(D153/Population_Tables!Q19)*Population_Tables!E19</f>
        <v>0</v>
      </c>
      <c r="E101" s="253">
        <f>(E153/Population_Tables!R19)*Population_Tables!F19</f>
        <v>0</v>
      </c>
      <c r="F101" s="253">
        <f>(F153/Population_Tables!S19)*Population_Tables!G19</f>
        <v>0</v>
      </c>
      <c r="G101" s="253">
        <f>(G153/Population_Tables!T19)*Population_Tables!H19</f>
        <v>0</v>
      </c>
      <c r="H101" s="253">
        <f>(H153/Population_Tables!U19)*Population_Tables!I19</f>
        <v>0</v>
      </c>
      <c r="I101" s="253">
        <f>(I153/Population_Tables!V19)*Population_Tables!J19</f>
        <v>0</v>
      </c>
      <c r="J101" s="253">
        <f>(J153/Population_Tables!W19)*Population_Tables!K19</f>
        <v>0</v>
      </c>
      <c r="K101" s="253">
        <f>(K153/Population_Tables!X19)*Population_Tables!L19</f>
        <v>0</v>
      </c>
      <c r="L101" s="170"/>
      <c r="M101" s="170"/>
      <c r="N101" s="195">
        <f t="shared" si="10"/>
        <v>0</v>
      </c>
      <c r="O101" s="195">
        <f t="shared" si="11"/>
        <v>0</v>
      </c>
      <c r="P101" s="195">
        <f t="shared" si="12"/>
        <v>0</v>
      </c>
      <c r="Q101" s="195">
        <f t="shared" si="13"/>
        <v>0</v>
      </c>
      <c r="R101" s="196" t="e">
        <f t="shared" si="14"/>
        <v>#DIV/0!</v>
      </c>
      <c r="S101" s="170"/>
      <c r="T101" s="170"/>
      <c r="U101" s="195">
        <f t="shared" si="19"/>
        <v>0</v>
      </c>
      <c r="V101" s="195">
        <f t="shared" si="15"/>
        <v>0</v>
      </c>
      <c r="W101" s="195">
        <f t="shared" si="15"/>
        <v>0</v>
      </c>
      <c r="X101" s="195">
        <f t="shared" si="18"/>
        <v>0</v>
      </c>
      <c r="Y101" s="207" t="e">
        <f t="shared" si="17"/>
        <v>#DIV/0!</v>
      </c>
      <c r="AC101" s="251" t="e">
        <f t="shared" si="16"/>
        <v>#DIV/0!</v>
      </c>
    </row>
    <row r="102" spans="1:29" ht="15.6" x14ac:dyDescent="0.3">
      <c r="A102" s="206">
        <v>2031</v>
      </c>
      <c r="B102" s="253">
        <f>(B154/Population_Tables!O20)*Population_Tables!C20</f>
        <v>496.67557915630829</v>
      </c>
      <c r="C102" s="253">
        <f>(C154/Population_Tables!P20)*Population_Tables!D20</f>
        <v>0</v>
      </c>
      <c r="D102" s="253">
        <f>(D154/Population_Tables!Q20)*Population_Tables!E20</f>
        <v>0</v>
      </c>
      <c r="E102" s="253">
        <f>(E154/Population_Tables!R20)*Population_Tables!F20</f>
        <v>0</v>
      </c>
      <c r="F102" s="253">
        <f>(F154/Population_Tables!S20)*Population_Tables!G20</f>
        <v>0</v>
      </c>
      <c r="G102" s="253">
        <f>(G154/Population_Tables!T20)*Population_Tables!H20</f>
        <v>0</v>
      </c>
      <c r="H102" s="253">
        <f>(H154/Population_Tables!U20)*Population_Tables!I20</f>
        <v>0</v>
      </c>
      <c r="I102" s="253">
        <f>(I154/Population_Tables!V20)*Population_Tables!J20</f>
        <v>0</v>
      </c>
      <c r="J102" s="253">
        <f>(J154/Population_Tables!W20)*Population_Tables!K20</f>
        <v>0</v>
      </c>
      <c r="K102" s="253">
        <f>(K154/Population_Tables!X20)*Population_Tables!L20</f>
        <v>0</v>
      </c>
      <c r="L102" s="170"/>
      <c r="M102" s="170"/>
      <c r="N102" s="195">
        <f t="shared" si="10"/>
        <v>0</v>
      </c>
      <c r="O102" s="195">
        <f t="shared" si="11"/>
        <v>0</v>
      </c>
      <c r="P102" s="195">
        <f t="shared" si="12"/>
        <v>0</v>
      </c>
      <c r="Q102" s="195">
        <f t="shared" si="13"/>
        <v>0</v>
      </c>
      <c r="R102" s="196" t="e">
        <f t="shared" si="14"/>
        <v>#DIV/0!</v>
      </c>
      <c r="S102" s="170"/>
      <c r="T102" s="170"/>
      <c r="U102" s="195">
        <f t="shared" si="19"/>
        <v>0</v>
      </c>
      <c r="V102" s="195">
        <f t="shared" si="15"/>
        <v>0</v>
      </c>
      <c r="W102" s="195">
        <f t="shared" si="15"/>
        <v>0</v>
      </c>
      <c r="X102" s="195">
        <f t="shared" si="18"/>
        <v>0</v>
      </c>
      <c r="Y102" s="207" t="e">
        <f t="shared" si="17"/>
        <v>#DIV/0!</v>
      </c>
      <c r="AC102" s="251" t="e">
        <f t="shared" si="16"/>
        <v>#DIV/0!</v>
      </c>
    </row>
    <row r="103" spans="1:29" ht="15.6" x14ac:dyDescent="0.3">
      <c r="A103" s="206">
        <v>2032</v>
      </c>
      <c r="B103" s="253">
        <f>(B155/Population_Tables!O21)*Population_Tables!C21</f>
        <v>511.91724262823215</v>
      </c>
      <c r="C103" s="253">
        <f>(C155/Population_Tables!P21)*Population_Tables!D21</f>
        <v>0</v>
      </c>
      <c r="D103" s="253">
        <f>(D155/Population_Tables!Q21)*Population_Tables!E21</f>
        <v>0</v>
      </c>
      <c r="E103" s="253">
        <f>(E155/Population_Tables!R21)*Population_Tables!F21</f>
        <v>0</v>
      </c>
      <c r="F103" s="253">
        <f>(F155/Population_Tables!S21)*Population_Tables!G21</f>
        <v>0</v>
      </c>
      <c r="G103" s="253">
        <f>(G155/Population_Tables!T21)*Population_Tables!H21</f>
        <v>0</v>
      </c>
      <c r="H103" s="253">
        <f>(H155/Population_Tables!U21)*Population_Tables!I21</f>
        <v>0</v>
      </c>
      <c r="I103" s="253">
        <f>(I155/Population_Tables!V21)*Population_Tables!J21</f>
        <v>0</v>
      </c>
      <c r="J103" s="253">
        <f>(J155/Population_Tables!W21)*Population_Tables!K21</f>
        <v>0</v>
      </c>
      <c r="K103" s="253">
        <f>(K155/Population_Tables!X21)*Population_Tables!L21</f>
        <v>0</v>
      </c>
      <c r="L103" s="170"/>
      <c r="M103" s="170"/>
      <c r="N103" s="195">
        <f t="shared" si="10"/>
        <v>0</v>
      </c>
      <c r="O103" s="195">
        <f t="shared" si="11"/>
        <v>0</v>
      </c>
      <c r="P103" s="195">
        <f t="shared" si="12"/>
        <v>0</v>
      </c>
      <c r="Q103" s="195">
        <f t="shared" si="13"/>
        <v>0</v>
      </c>
      <c r="R103" s="196" t="e">
        <f t="shared" si="14"/>
        <v>#DIV/0!</v>
      </c>
      <c r="S103" s="170"/>
      <c r="T103" s="170"/>
      <c r="U103" s="195">
        <f t="shared" si="19"/>
        <v>0</v>
      </c>
      <c r="V103" s="195">
        <f t="shared" si="15"/>
        <v>0</v>
      </c>
      <c r="W103" s="195">
        <f t="shared" si="15"/>
        <v>0</v>
      </c>
      <c r="X103" s="195">
        <f t="shared" si="18"/>
        <v>0</v>
      </c>
      <c r="Y103" s="207" t="e">
        <f t="shared" si="17"/>
        <v>#DIV/0!</v>
      </c>
      <c r="AC103" s="251" t="e">
        <f t="shared" si="16"/>
        <v>#DIV/0!</v>
      </c>
    </row>
    <row r="104" spans="1:29" ht="15.6" x14ac:dyDescent="0.3">
      <c r="A104" s="206">
        <v>2033</v>
      </c>
      <c r="B104" s="253">
        <f>(B156/Population_Tables!O22)*Population_Tables!C22</f>
        <v>527.59760885560831</v>
      </c>
      <c r="C104" s="253">
        <f>(C156/Population_Tables!P22)*Population_Tables!D22</f>
        <v>0</v>
      </c>
      <c r="D104" s="253">
        <f>(D156/Population_Tables!Q22)*Population_Tables!E22</f>
        <v>0</v>
      </c>
      <c r="E104" s="253">
        <f>(E156/Population_Tables!R22)*Population_Tables!F22</f>
        <v>0</v>
      </c>
      <c r="F104" s="253">
        <f>(F156/Population_Tables!S22)*Population_Tables!G22</f>
        <v>0</v>
      </c>
      <c r="G104" s="253">
        <f>(G156/Population_Tables!T22)*Population_Tables!H22</f>
        <v>0</v>
      </c>
      <c r="H104" s="253">
        <f>(H156/Population_Tables!U22)*Population_Tables!I22</f>
        <v>0</v>
      </c>
      <c r="I104" s="253">
        <f>(I156/Population_Tables!V22)*Population_Tables!J22</f>
        <v>0</v>
      </c>
      <c r="J104" s="253">
        <f>(J156/Population_Tables!W22)*Population_Tables!K22</f>
        <v>0</v>
      </c>
      <c r="K104" s="253">
        <f>(K156/Population_Tables!X22)*Population_Tables!L22</f>
        <v>0</v>
      </c>
      <c r="L104" s="170"/>
      <c r="M104" s="170"/>
      <c r="N104" s="195">
        <f t="shared" si="10"/>
        <v>0</v>
      </c>
      <c r="O104" s="195">
        <f t="shared" si="11"/>
        <v>0</v>
      </c>
      <c r="P104" s="195">
        <f t="shared" si="12"/>
        <v>0</v>
      </c>
      <c r="Q104" s="195">
        <f t="shared" si="13"/>
        <v>0</v>
      </c>
      <c r="R104" s="196" t="e">
        <f t="shared" si="14"/>
        <v>#DIV/0!</v>
      </c>
      <c r="S104" s="170"/>
      <c r="T104" s="170"/>
      <c r="U104" s="195">
        <f t="shared" si="19"/>
        <v>0</v>
      </c>
      <c r="V104" s="195">
        <f t="shared" si="15"/>
        <v>0</v>
      </c>
      <c r="W104" s="195">
        <f t="shared" si="15"/>
        <v>0</v>
      </c>
      <c r="X104" s="195">
        <f t="shared" si="18"/>
        <v>0</v>
      </c>
      <c r="Y104" s="207" t="e">
        <f t="shared" si="17"/>
        <v>#DIV/0!</v>
      </c>
      <c r="AC104" s="251" t="e">
        <f t="shared" si="16"/>
        <v>#DIV/0!</v>
      </c>
    </row>
    <row r="105" spans="1:29" ht="15.6" x14ac:dyDescent="0.3">
      <c r="A105" s="206">
        <v>2034</v>
      </c>
      <c r="B105" s="253">
        <f>(B157/Population_Tables!O23)*Population_Tables!C23</f>
        <v>543.68638546243517</v>
      </c>
      <c r="C105" s="253">
        <f>(C157/Population_Tables!P23)*Population_Tables!D23</f>
        <v>0</v>
      </c>
      <c r="D105" s="253">
        <f>(D157/Population_Tables!Q23)*Population_Tables!E23</f>
        <v>0</v>
      </c>
      <c r="E105" s="253">
        <f>(E157/Population_Tables!R23)*Population_Tables!F23</f>
        <v>0</v>
      </c>
      <c r="F105" s="253">
        <f>(F157/Population_Tables!S23)*Population_Tables!G23</f>
        <v>0</v>
      </c>
      <c r="G105" s="253">
        <f>(G157/Population_Tables!T23)*Population_Tables!H23</f>
        <v>0</v>
      </c>
      <c r="H105" s="253">
        <f>(H157/Population_Tables!U23)*Population_Tables!I23</f>
        <v>0</v>
      </c>
      <c r="I105" s="253">
        <f>(I157/Population_Tables!V23)*Population_Tables!J23</f>
        <v>0</v>
      </c>
      <c r="J105" s="253">
        <f>(J157/Population_Tables!W23)*Population_Tables!K23</f>
        <v>0</v>
      </c>
      <c r="K105" s="253">
        <f>(K157/Population_Tables!X23)*Population_Tables!L23</f>
        <v>0</v>
      </c>
      <c r="L105" s="170"/>
      <c r="M105" s="170"/>
      <c r="N105" s="195">
        <f t="shared" si="10"/>
        <v>0</v>
      </c>
      <c r="O105" s="195">
        <f t="shared" si="11"/>
        <v>0</v>
      </c>
      <c r="P105" s="195">
        <f t="shared" si="12"/>
        <v>0</v>
      </c>
      <c r="Q105" s="195">
        <f t="shared" si="13"/>
        <v>0</v>
      </c>
      <c r="R105" s="196" t="e">
        <f t="shared" si="14"/>
        <v>#DIV/0!</v>
      </c>
      <c r="S105" s="170"/>
      <c r="T105" s="170"/>
      <c r="U105" s="195">
        <f t="shared" si="19"/>
        <v>0</v>
      </c>
      <c r="V105" s="195">
        <f t="shared" si="15"/>
        <v>0</v>
      </c>
      <c r="W105" s="195">
        <f t="shared" si="15"/>
        <v>0</v>
      </c>
      <c r="X105" s="195">
        <f t="shared" si="18"/>
        <v>0</v>
      </c>
      <c r="Y105" s="207" t="e">
        <f t="shared" si="17"/>
        <v>#DIV/0!</v>
      </c>
      <c r="AC105" s="251" t="e">
        <f t="shared" si="16"/>
        <v>#DIV/0!</v>
      </c>
    </row>
    <row r="106" spans="1:29" ht="15.6" x14ac:dyDescent="0.3">
      <c r="A106" s="206">
        <v>2035</v>
      </c>
      <c r="B106" s="253">
        <f>(B158/Population_Tables!O24)*Population_Tables!C24</f>
        <v>560.15931689646527</v>
      </c>
      <c r="C106" s="253">
        <f>(C158/Population_Tables!P24)*Population_Tables!D24</f>
        <v>0</v>
      </c>
      <c r="D106" s="253">
        <f>(D158/Population_Tables!Q24)*Population_Tables!E24</f>
        <v>0</v>
      </c>
      <c r="E106" s="253">
        <f>(E158/Population_Tables!R24)*Population_Tables!F24</f>
        <v>0</v>
      </c>
      <c r="F106" s="253">
        <f>(F158/Population_Tables!S24)*Population_Tables!G24</f>
        <v>0</v>
      </c>
      <c r="G106" s="253">
        <f>(G158/Population_Tables!T24)*Population_Tables!H24</f>
        <v>0</v>
      </c>
      <c r="H106" s="253">
        <f>(H158/Population_Tables!U24)*Population_Tables!I24</f>
        <v>0</v>
      </c>
      <c r="I106" s="253">
        <f>(I158/Population_Tables!V24)*Population_Tables!J24</f>
        <v>0</v>
      </c>
      <c r="J106" s="253">
        <f>(J158/Population_Tables!W24)*Population_Tables!K24</f>
        <v>0</v>
      </c>
      <c r="K106" s="253">
        <f>(K158/Population_Tables!X24)*Population_Tables!L24</f>
        <v>0</v>
      </c>
      <c r="L106" s="170"/>
      <c r="M106" s="170"/>
      <c r="N106" s="195">
        <f t="shared" si="10"/>
        <v>0</v>
      </c>
      <c r="O106" s="195">
        <f t="shared" si="11"/>
        <v>0</v>
      </c>
      <c r="P106" s="195">
        <f t="shared" si="12"/>
        <v>0</v>
      </c>
      <c r="Q106" s="195">
        <f t="shared" si="13"/>
        <v>0</v>
      </c>
      <c r="R106" s="196" t="e">
        <f t="shared" si="14"/>
        <v>#DIV/0!</v>
      </c>
      <c r="S106" s="170"/>
      <c r="T106" s="170"/>
      <c r="U106" s="195">
        <f t="shared" si="19"/>
        <v>0</v>
      </c>
      <c r="V106" s="195">
        <f t="shared" si="15"/>
        <v>0</v>
      </c>
      <c r="W106" s="195">
        <f t="shared" si="15"/>
        <v>0</v>
      </c>
      <c r="X106" s="195">
        <f t="shared" si="18"/>
        <v>0</v>
      </c>
      <c r="Y106" s="207" t="e">
        <f t="shared" si="17"/>
        <v>#DIV/0!</v>
      </c>
      <c r="AC106" s="251" t="e">
        <f t="shared" si="16"/>
        <v>#DIV/0!</v>
      </c>
    </row>
    <row r="107" spans="1:29" ht="15.6" x14ac:dyDescent="0.3">
      <c r="A107" s="206">
        <v>2036</v>
      </c>
      <c r="B107" s="253">
        <f>(B159/Population_Tables!O25)*Population_Tables!C25</f>
        <v>577.00324046536184</v>
      </c>
      <c r="C107" s="253">
        <f>(C159/Population_Tables!P25)*Population_Tables!D25</f>
        <v>0</v>
      </c>
      <c r="D107" s="253">
        <f>(D159/Population_Tables!Q25)*Population_Tables!E25</f>
        <v>0</v>
      </c>
      <c r="E107" s="253">
        <f>(E159/Population_Tables!R25)*Population_Tables!F25</f>
        <v>0</v>
      </c>
      <c r="F107" s="253">
        <f>(F159/Population_Tables!S25)*Population_Tables!G25</f>
        <v>0</v>
      </c>
      <c r="G107" s="253">
        <f>(G159/Population_Tables!T25)*Population_Tables!H25</f>
        <v>0</v>
      </c>
      <c r="H107" s="253">
        <f>(H159/Population_Tables!U25)*Population_Tables!I25</f>
        <v>0</v>
      </c>
      <c r="I107" s="253">
        <f>(I159/Population_Tables!V25)*Population_Tables!J25</f>
        <v>0</v>
      </c>
      <c r="J107" s="253">
        <f>(J159/Population_Tables!W25)*Population_Tables!K25</f>
        <v>0</v>
      </c>
      <c r="K107" s="253">
        <f>(K159/Population_Tables!X25)*Population_Tables!L25</f>
        <v>0</v>
      </c>
      <c r="L107" s="170"/>
      <c r="M107" s="170"/>
      <c r="N107" s="195">
        <f t="shared" si="10"/>
        <v>0</v>
      </c>
      <c r="O107" s="195">
        <f t="shared" si="11"/>
        <v>0</v>
      </c>
      <c r="P107" s="195">
        <f t="shared" si="12"/>
        <v>0</v>
      </c>
      <c r="Q107" s="195">
        <f t="shared" si="13"/>
        <v>0</v>
      </c>
      <c r="R107" s="196" t="e">
        <f t="shared" si="14"/>
        <v>#DIV/0!</v>
      </c>
      <c r="S107" s="170"/>
      <c r="T107" s="170"/>
      <c r="U107" s="195">
        <f t="shared" si="19"/>
        <v>0</v>
      </c>
      <c r="V107" s="195">
        <f t="shared" si="15"/>
        <v>0</v>
      </c>
      <c r="W107" s="195">
        <f t="shared" si="15"/>
        <v>0</v>
      </c>
      <c r="X107" s="195">
        <f t="shared" si="18"/>
        <v>0</v>
      </c>
      <c r="Y107" s="207" t="e">
        <f t="shared" si="17"/>
        <v>#DIV/0!</v>
      </c>
      <c r="AC107" s="251" t="e">
        <f t="shared" si="16"/>
        <v>#DIV/0!</v>
      </c>
    </row>
    <row r="108" spans="1:29" ht="15.6" x14ac:dyDescent="0.3">
      <c r="A108" s="206">
        <v>2037</v>
      </c>
      <c r="B108" s="253">
        <f>(B160/Population_Tables!O26)*Population_Tables!C26</f>
        <v>594.21847060653567</v>
      </c>
      <c r="C108" s="253">
        <f>(C160/Population_Tables!P26)*Population_Tables!D26</f>
        <v>0</v>
      </c>
      <c r="D108" s="253">
        <f>(D160/Population_Tables!Q26)*Population_Tables!E26</f>
        <v>0</v>
      </c>
      <c r="E108" s="253">
        <f>(E160/Population_Tables!R26)*Population_Tables!F26</f>
        <v>0</v>
      </c>
      <c r="F108" s="253">
        <f>(F160/Population_Tables!S26)*Population_Tables!G26</f>
        <v>0</v>
      </c>
      <c r="G108" s="253">
        <f>(G160/Population_Tables!T26)*Population_Tables!H26</f>
        <v>0</v>
      </c>
      <c r="H108" s="253">
        <f>(H160/Population_Tables!U26)*Population_Tables!I26</f>
        <v>0</v>
      </c>
      <c r="I108" s="253">
        <f>(I160/Population_Tables!V26)*Population_Tables!J26</f>
        <v>0</v>
      </c>
      <c r="J108" s="253">
        <f>(J160/Population_Tables!W26)*Population_Tables!K26</f>
        <v>0</v>
      </c>
      <c r="K108" s="253">
        <f>(K160/Population_Tables!X26)*Population_Tables!L26</f>
        <v>0</v>
      </c>
      <c r="L108" s="170"/>
      <c r="M108" s="170"/>
      <c r="N108" s="195">
        <f t="shared" si="10"/>
        <v>0</v>
      </c>
      <c r="O108" s="195">
        <f t="shared" si="11"/>
        <v>0</v>
      </c>
      <c r="P108" s="195">
        <f t="shared" si="12"/>
        <v>0</v>
      </c>
      <c r="Q108" s="195">
        <f t="shared" si="13"/>
        <v>0</v>
      </c>
      <c r="R108" s="196" t="e">
        <f t="shared" si="14"/>
        <v>#DIV/0!</v>
      </c>
      <c r="S108" s="170"/>
      <c r="T108" s="170"/>
      <c r="U108" s="195">
        <f t="shared" si="19"/>
        <v>0</v>
      </c>
      <c r="V108" s="195">
        <f t="shared" si="15"/>
        <v>0</v>
      </c>
      <c r="W108" s="195">
        <f t="shared" si="15"/>
        <v>0</v>
      </c>
      <c r="X108" s="195">
        <f t="shared" si="18"/>
        <v>0</v>
      </c>
      <c r="Y108" s="207" t="e">
        <f t="shared" si="17"/>
        <v>#DIV/0!</v>
      </c>
      <c r="AC108" s="251" t="e">
        <f t="shared" si="16"/>
        <v>#DIV/0!</v>
      </c>
    </row>
    <row r="109" spans="1:29" ht="15.6" x14ac:dyDescent="0.3">
      <c r="A109" s="206">
        <v>2038</v>
      </c>
      <c r="B109" s="253">
        <f>(B161/Population_Tables!O27)*Population_Tables!C27</f>
        <v>611.81103243059295</v>
      </c>
      <c r="C109" s="253">
        <f>(C161/Population_Tables!P27)*Population_Tables!D27</f>
        <v>0</v>
      </c>
      <c r="D109" s="253">
        <f>(D161/Population_Tables!Q27)*Population_Tables!E27</f>
        <v>0</v>
      </c>
      <c r="E109" s="253">
        <f>(E161/Population_Tables!R27)*Population_Tables!F27</f>
        <v>0</v>
      </c>
      <c r="F109" s="253">
        <f>(F161/Population_Tables!S27)*Population_Tables!G27</f>
        <v>0</v>
      </c>
      <c r="G109" s="253">
        <f>(G161/Population_Tables!T27)*Population_Tables!H27</f>
        <v>0</v>
      </c>
      <c r="H109" s="253">
        <f>(H161/Population_Tables!U27)*Population_Tables!I27</f>
        <v>0</v>
      </c>
      <c r="I109" s="253">
        <f>(I161/Population_Tables!V27)*Population_Tables!J27</f>
        <v>0</v>
      </c>
      <c r="J109" s="253">
        <f>(J161/Population_Tables!W27)*Population_Tables!K27</f>
        <v>0</v>
      </c>
      <c r="K109" s="253">
        <f>(K161/Population_Tables!X27)*Population_Tables!L27</f>
        <v>0</v>
      </c>
      <c r="L109" s="170"/>
      <c r="M109" s="170"/>
      <c r="N109" s="195">
        <f t="shared" si="10"/>
        <v>0</v>
      </c>
      <c r="O109" s="195">
        <f t="shared" si="11"/>
        <v>0</v>
      </c>
      <c r="P109" s="195">
        <f t="shared" si="12"/>
        <v>0</v>
      </c>
      <c r="Q109" s="195">
        <f t="shared" si="13"/>
        <v>0</v>
      </c>
      <c r="R109" s="196" t="e">
        <f t="shared" si="14"/>
        <v>#DIV/0!</v>
      </c>
      <c r="S109" s="170"/>
      <c r="T109" s="170"/>
      <c r="U109" s="195">
        <f t="shared" si="19"/>
        <v>0</v>
      </c>
      <c r="V109" s="195">
        <f t="shared" si="15"/>
        <v>0</v>
      </c>
      <c r="W109" s="195">
        <f t="shared" si="15"/>
        <v>0</v>
      </c>
      <c r="X109" s="195">
        <f t="shared" si="18"/>
        <v>0</v>
      </c>
      <c r="Y109" s="207" t="e">
        <f t="shared" si="17"/>
        <v>#DIV/0!</v>
      </c>
      <c r="AC109" s="251" t="e">
        <f t="shared" si="16"/>
        <v>#DIV/0!</v>
      </c>
    </row>
    <row r="110" spans="1:29" ht="15.6" x14ac:dyDescent="0.3">
      <c r="A110" s="206">
        <v>2039</v>
      </c>
      <c r="B110" s="253">
        <f>(B162/Population_Tables!O28)*Population_Tables!C28</f>
        <v>629.79506176889981</v>
      </c>
      <c r="C110" s="253">
        <f>(C162/Population_Tables!P28)*Population_Tables!D28</f>
        <v>0</v>
      </c>
      <c r="D110" s="253">
        <f>(D162/Population_Tables!Q28)*Population_Tables!E28</f>
        <v>0</v>
      </c>
      <c r="E110" s="253">
        <f>(E162/Population_Tables!R28)*Population_Tables!F28</f>
        <v>0</v>
      </c>
      <c r="F110" s="253">
        <f>(F162/Population_Tables!S28)*Population_Tables!G28</f>
        <v>0</v>
      </c>
      <c r="G110" s="253">
        <f>(G162/Population_Tables!T28)*Population_Tables!H28</f>
        <v>0</v>
      </c>
      <c r="H110" s="253">
        <f>(H162/Population_Tables!U28)*Population_Tables!I28</f>
        <v>0</v>
      </c>
      <c r="I110" s="253">
        <f>(I162/Population_Tables!V28)*Population_Tables!J28</f>
        <v>0</v>
      </c>
      <c r="J110" s="253">
        <f>(J162/Population_Tables!W28)*Population_Tables!K28</f>
        <v>0</v>
      </c>
      <c r="K110" s="253">
        <f>(K162/Population_Tables!X28)*Population_Tables!L28</f>
        <v>0</v>
      </c>
      <c r="L110" s="170"/>
      <c r="M110" s="170"/>
      <c r="N110" s="195">
        <f t="shared" si="10"/>
        <v>0</v>
      </c>
      <c r="O110" s="195">
        <f t="shared" si="11"/>
        <v>0</v>
      </c>
      <c r="P110" s="195">
        <f t="shared" si="12"/>
        <v>0</v>
      </c>
      <c r="Q110" s="195">
        <f t="shared" si="13"/>
        <v>0</v>
      </c>
      <c r="R110" s="196" t="e">
        <f t="shared" si="14"/>
        <v>#DIV/0!</v>
      </c>
      <c r="S110" s="170"/>
      <c r="T110" s="170"/>
      <c r="U110" s="195">
        <f t="shared" si="19"/>
        <v>0</v>
      </c>
      <c r="V110" s="195">
        <f t="shared" si="15"/>
        <v>0</v>
      </c>
      <c r="W110" s="195">
        <f t="shared" si="15"/>
        <v>0</v>
      </c>
      <c r="X110" s="195">
        <f t="shared" si="18"/>
        <v>0</v>
      </c>
      <c r="Y110" s="207" t="e">
        <f t="shared" si="17"/>
        <v>#DIV/0!</v>
      </c>
      <c r="AC110" s="251" t="e">
        <f t="shared" si="16"/>
        <v>#DIV/0!</v>
      </c>
    </row>
    <row r="111" spans="1:29" ht="15.6" x14ac:dyDescent="0.3">
      <c r="A111" s="206">
        <v>2040</v>
      </c>
      <c r="B111" s="253">
        <f>(B163/Population_Tables!O29)*Population_Tables!C29</f>
        <v>648.18293920172823</v>
      </c>
      <c r="C111" s="253">
        <f>(C163/Population_Tables!P29)*Population_Tables!D29</f>
        <v>0</v>
      </c>
      <c r="D111" s="253">
        <f>(D163/Population_Tables!Q29)*Population_Tables!E29</f>
        <v>0</v>
      </c>
      <c r="E111" s="253">
        <f>(E163/Population_Tables!R29)*Population_Tables!F29</f>
        <v>0</v>
      </c>
      <c r="F111" s="253">
        <f>(F163/Population_Tables!S29)*Population_Tables!G29</f>
        <v>0</v>
      </c>
      <c r="G111" s="253">
        <f>(G163/Population_Tables!T29)*Population_Tables!H29</f>
        <v>0</v>
      </c>
      <c r="H111" s="253">
        <f>(H163/Population_Tables!U29)*Population_Tables!I29</f>
        <v>0</v>
      </c>
      <c r="I111" s="253">
        <f>(I163/Population_Tables!V29)*Population_Tables!J29</f>
        <v>0</v>
      </c>
      <c r="J111" s="253">
        <f>(J163/Population_Tables!W29)*Population_Tables!K29</f>
        <v>0</v>
      </c>
      <c r="K111" s="253">
        <f>(K163/Population_Tables!X29)*Population_Tables!L29</f>
        <v>0</v>
      </c>
      <c r="L111" s="170"/>
      <c r="M111" s="170"/>
      <c r="N111" s="195">
        <f t="shared" si="10"/>
        <v>0</v>
      </c>
      <c r="O111" s="195">
        <f t="shared" si="11"/>
        <v>0</v>
      </c>
      <c r="P111" s="195">
        <f t="shared" si="12"/>
        <v>0</v>
      </c>
      <c r="Q111" s="195">
        <f t="shared" si="13"/>
        <v>0</v>
      </c>
      <c r="R111" s="196" t="e">
        <f>N111/Q111</f>
        <v>#DIV/0!</v>
      </c>
      <c r="S111" s="170"/>
      <c r="T111" s="170"/>
      <c r="U111" s="195">
        <f t="shared" si="19"/>
        <v>0</v>
      </c>
      <c r="V111" s="195">
        <f t="shared" si="15"/>
        <v>0</v>
      </c>
      <c r="W111" s="195">
        <f t="shared" si="15"/>
        <v>0</v>
      </c>
      <c r="X111" s="195">
        <f t="shared" si="18"/>
        <v>0</v>
      </c>
      <c r="Y111" s="207" t="e">
        <f t="shared" si="17"/>
        <v>#DIV/0!</v>
      </c>
      <c r="AC111" s="251" t="e">
        <f t="shared" si="16"/>
        <v>#DIV/0!</v>
      </c>
    </row>
    <row r="112" spans="1:29" ht="15.6" x14ac:dyDescent="0.3">
      <c r="A112" s="206">
        <v>2041</v>
      </c>
      <c r="B112" s="253">
        <f>(B164/Population_Tables!O30)*Population_Tables!C30</f>
        <v>666.97630839117039</v>
      </c>
      <c r="C112" s="253">
        <f>(C164/Population_Tables!P30)*Population_Tables!D30</f>
        <v>0</v>
      </c>
      <c r="D112" s="253">
        <f>(D164/Population_Tables!Q30)*Population_Tables!E30</f>
        <v>0</v>
      </c>
      <c r="E112" s="253">
        <f>(E164/Population_Tables!R30)*Population_Tables!F30</f>
        <v>0</v>
      </c>
      <c r="F112" s="253">
        <f>(F164/Population_Tables!S30)*Population_Tables!G30</f>
        <v>0</v>
      </c>
      <c r="G112" s="253">
        <f>(G164/Population_Tables!T30)*Population_Tables!H30</f>
        <v>0</v>
      </c>
      <c r="H112" s="253">
        <f>(H164/Population_Tables!U30)*Population_Tables!I30</f>
        <v>0</v>
      </c>
      <c r="I112" s="253">
        <f>(I164/Population_Tables!V30)*Population_Tables!J30</f>
        <v>0</v>
      </c>
      <c r="J112" s="253">
        <f>(J164/Population_Tables!W30)*Population_Tables!K30</f>
        <v>0</v>
      </c>
      <c r="K112" s="253">
        <f>(K164/Population_Tables!X30)*Population_Tables!L30</f>
        <v>0</v>
      </c>
      <c r="L112" s="170"/>
      <c r="M112" s="170"/>
      <c r="N112" s="195">
        <f t="shared" si="10"/>
        <v>0</v>
      </c>
      <c r="O112" s="195">
        <f t="shared" si="11"/>
        <v>0</v>
      </c>
      <c r="P112" s="195">
        <f t="shared" si="12"/>
        <v>0</v>
      </c>
      <c r="Q112" s="195">
        <f t="shared" si="13"/>
        <v>0</v>
      </c>
      <c r="R112" s="196" t="e">
        <f t="shared" si="14"/>
        <v>#DIV/0!</v>
      </c>
      <c r="S112" s="170"/>
      <c r="T112" s="170"/>
      <c r="U112" s="195">
        <f t="shared" si="19"/>
        <v>0</v>
      </c>
      <c r="V112" s="195">
        <f t="shared" si="15"/>
        <v>0</v>
      </c>
      <c r="W112" s="195">
        <f t="shared" si="15"/>
        <v>0</v>
      </c>
      <c r="X112" s="195">
        <f t="shared" si="18"/>
        <v>0</v>
      </c>
      <c r="Y112" s="207" t="e">
        <f t="shared" si="17"/>
        <v>#DIV/0!</v>
      </c>
      <c r="AC112" s="251" t="e">
        <f t="shared" si="16"/>
        <v>#DIV/0!</v>
      </c>
    </row>
    <row r="113" spans="1:29" ht="15.6" x14ac:dyDescent="0.3">
      <c r="A113" s="206">
        <v>2042</v>
      </c>
      <c r="B113" s="253">
        <f>(B165/Population_Tables!O31)*Population_Tables!C31</f>
        <v>686.17398979061807</v>
      </c>
      <c r="C113" s="253">
        <f>(C165/Population_Tables!P31)*Population_Tables!D31</f>
        <v>0</v>
      </c>
      <c r="D113" s="253">
        <f>(D165/Population_Tables!Q31)*Population_Tables!E31</f>
        <v>0</v>
      </c>
      <c r="E113" s="253">
        <f>(E165/Population_Tables!R31)*Population_Tables!F31</f>
        <v>0</v>
      </c>
      <c r="F113" s="253">
        <f>(F165/Population_Tables!S31)*Population_Tables!G31</f>
        <v>0</v>
      </c>
      <c r="G113" s="253">
        <f>(G165/Population_Tables!T31)*Population_Tables!H31</f>
        <v>0</v>
      </c>
      <c r="H113" s="253">
        <f>(H165/Population_Tables!U31)*Population_Tables!I31</f>
        <v>0</v>
      </c>
      <c r="I113" s="253">
        <f>(I165/Population_Tables!V31)*Population_Tables!J31</f>
        <v>0</v>
      </c>
      <c r="J113" s="253">
        <f>(J165/Population_Tables!W31)*Population_Tables!K31</f>
        <v>0</v>
      </c>
      <c r="K113" s="253">
        <f>(K165/Population_Tables!X31)*Population_Tables!L31</f>
        <v>0</v>
      </c>
      <c r="L113" s="170"/>
      <c r="M113" s="170"/>
      <c r="N113" s="195">
        <f t="shared" si="10"/>
        <v>0</v>
      </c>
      <c r="O113" s="195">
        <f t="shared" si="11"/>
        <v>0</v>
      </c>
      <c r="P113" s="195">
        <f t="shared" si="12"/>
        <v>0</v>
      </c>
      <c r="Q113" s="195">
        <f t="shared" si="13"/>
        <v>0</v>
      </c>
      <c r="R113" s="196" t="e">
        <f t="shared" si="14"/>
        <v>#DIV/0!</v>
      </c>
      <c r="S113" s="170"/>
      <c r="T113" s="170"/>
      <c r="U113" s="195">
        <f t="shared" si="19"/>
        <v>0</v>
      </c>
      <c r="V113" s="195">
        <f t="shared" si="15"/>
        <v>0</v>
      </c>
      <c r="W113" s="195">
        <f t="shared" si="15"/>
        <v>0</v>
      </c>
      <c r="X113" s="195">
        <f t="shared" si="18"/>
        <v>0</v>
      </c>
      <c r="Y113" s="207" t="e">
        <f t="shared" si="17"/>
        <v>#DIV/0!</v>
      </c>
      <c r="AC113" s="251" t="e">
        <f t="shared" si="16"/>
        <v>#DIV/0!</v>
      </c>
    </row>
    <row r="114" spans="1:29" ht="15.6" x14ac:dyDescent="0.3">
      <c r="A114" s="206">
        <v>2043</v>
      </c>
      <c r="B114" s="253">
        <f>(B166/Population_Tables!O32)*Population_Tables!C32</f>
        <v>705.78451312049594</v>
      </c>
      <c r="C114" s="253">
        <f>(C166/Population_Tables!P32)*Population_Tables!D32</f>
        <v>0</v>
      </c>
      <c r="D114" s="253">
        <f>(D166/Population_Tables!Q32)*Population_Tables!E32</f>
        <v>0</v>
      </c>
      <c r="E114" s="253">
        <f>(E166/Population_Tables!R32)*Population_Tables!F32</f>
        <v>0</v>
      </c>
      <c r="F114" s="253">
        <f>(F166/Population_Tables!S32)*Population_Tables!G32</f>
        <v>0</v>
      </c>
      <c r="G114" s="253">
        <f>(G166/Population_Tables!T32)*Population_Tables!H32</f>
        <v>0</v>
      </c>
      <c r="H114" s="253">
        <f>(H166/Population_Tables!U32)*Population_Tables!I32</f>
        <v>0</v>
      </c>
      <c r="I114" s="253">
        <f>(I166/Population_Tables!V32)*Population_Tables!J32</f>
        <v>0</v>
      </c>
      <c r="J114" s="253">
        <f>(J166/Population_Tables!W32)*Population_Tables!K32</f>
        <v>0</v>
      </c>
      <c r="K114" s="253">
        <f>(K166/Population_Tables!X32)*Population_Tables!L32</f>
        <v>0</v>
      </c>
      <c r="L114" s="170"/>
      <c r="M114" s="170"/>
      <c r="N114" s="195">
        <f t="shared" si="10"/>
        <v>0</v>
      </c>
      <c r="O114" s="195">
        <f t="shared" si="11"/>
        <v>0</v>
      </c>
      <c r="P114" s="195">
        <f t="shared" si="12"/>
        <v>0</v>
      </c>
      <c r="Q114" s="195">
        <f t="shared" si="13"/>
        <v>0</v>
      </c>
      <c r="R114" s="196" t="e">
        <f t="shared" si="14"/>
        <v>#DIV/0!</v>
      </c>
      <c r="S114" s="170"/>
      <c r="T114" s="170"/>
      <c r="U114" s="195">
        <f t="shared" si="19"/>
        <v>0</v>
      </c>
      <c r="V114" s="195">
        <f t="shared" si="15"/>
        <v>0</v>
      </c>
      <c r="W114" s="195">
        <f t="shared" si="15"/>
        <v>0</v>
      </c>
      <c r="X114" s="195">
        <f t="shared" si="18"/>
        <v>0</v>
      </c>
      <c r="Y114" s="207" t="e">
        <f t="shared" si="17"/>
        <v>#DIV/0!</v>
      </c>
      <c r="AC114" s="251" t="e">
        <f t="shared" si="16"/>
        <v>#DIV/0!</v>
      </c>
    </row>
    <row r="115" spans="1:29" ht="15.6" x14ac:dyDescent="0.3">
      <c r="A115" s="206">
        <v>2044</v>
      </c>
      <c r="B115" s="253">
        <f>(B167/Population_Tables!O33)*Population_Tables!C33</f>
        <v>725.81868196423636</v>
      </c>
      <c r="C115" s="253">
        <f>(C167/Population_Tables!P33)*Population_Tables!D33</f>
        <v>0</v>
      </c>
      <c r="D115" s="253">
        <f>(D167/Population_Tables!Q33)*Population_Tables!E33</f>
        <v>0</v>
      </c>
      <c r="E115" s="253">
        <f>(E167/Population_Tables!R33)*Population_Tables!F33</f>
        <v>0</v>
      </c>
      <c r="F115" s="253">
        <f>(F167/Population_Tables!S33)*Population_Tables!G33</f>
        <v>0</v>
      </c>
      <c r="G115" s="253">
        <f>(G167/Population_Tables!T33)*Population_Tables!H33</f>
        <v>0</v>
      </c>
      <c r="H115" s="253">
        <f>(H167/Population_Tables!U33)*Population_Tables!I33</f>
        <v>0</v>
      </c>
      <c r="I115" s="253">
        <f>(I167/Population_Tables!V33)*Population_Tables!J33</f>
        <v>0</v>
      </c>
      <c r="J115" s="253">
        <f>(J167/Population_Tables!W33)*Population_Tables!K33</f>
        <v>0</v>
      </c>
      <c r="K115" s="253">
        <f>(K167/Population_Tables!X33)*Population_Tables!L33</f>
        <v>0</v>
      </c>
      <c r="L115" s="170"/>
      <c r="M115" s="170"/>
      <c r="N115" s="195">
        <f t="shared" si="10"/>
        <v>0</v>
      </c>
      <c r="O115" s="195">
        <f t="shared" si="11"/>
        <v>0</v>
      </c>
      <c r="P115" s="195">
        <f t="shared" si="12"/>
        <v>0</v>
      </c>
      <c r="Q115" s="195">
        <f t="shared" si="13"/>
        <v>0</v>
      </c>
      <c r="R115" s="196" t="e">
        <f t="shared" si="14"/>
        <v>#DIV/0!</v>
      </c>
      <c r="S115" s="170"/>
      <c r="T115" s="170"/>
      <c r="U115" s="195">
        <f t="shared" si="19"/>
        <v>0</v>
      </c>
      <c r="V115" s="195">
        <f t="shared" si="15"/>
        <v>0</v>
      </c>
      <c r="W115" s="195">
        <f t="shared" si="15"/>
        <v>0</v>
      </c>
      <c r="X115" s="195">
        <f t="shared" si="18"/>
        <v>0</v>
      </c>
      <c r="Y115" s="207" t="e">
        <f t="shared" si="17"/>
        <v>#DIV/0!</v>
      </c>
      <c r="AC115" s="251" t="e">
        <f t="shared" si="16"/>
        <v>#DIV/0!</v>
      </c>
    </row>
    <row r="116" spans="1:29" ht="15.6" x14ac:dyDescent="0.3">
      <c r="A116" s="206">
        <v>2045</v>
      </c>
      <c r="B116" s="253">
        <f>(B168/Population_Tables!O34)*Population_Tables!C34</f>
        <v>746.28673890638845</v>
      </c>
      <c r="C116" s="253">
        <f>(C168/Population_Tables!P34)*Population_Tables!D34</f>
        <v>0</v>
      </c>
      <c r="D116" s="253">
        <f>(D168/Population_Tables!Q34)*Population_Tables!E34</f>
        <v>0</v>
      </c>
      <c r="E116" s="253">
        <f>(E168/Population_Tables!R34)*Population_Tables!F34</f>
        <v>0</v>
      </c>
      <c r="F116" s="253">
        <f>(F168/Population_Tables!S34)*Population_Tables!G34</f>
        <v>0</v>
      </c>
      <c r="G116" s="253">
        <f>(G168/Population_Tables!T34)*Population_Tables!H34</f>
        <v>0</v>
      </c>
      <c r="H116" s="253">
        <f>(H168/Population_Tables!U34)*Population_Tables!I34</f>
        <v>0</v>
      </c>
      <c r="I116" s="253">
        <f>(I168/Population_Tables!V34)*Population_Tables!J34</f>
        <v>0</v>
      </c>
      <c r="J116" s="253">
        <f>(J168/Population_Tables!W34)*Population_Tables!K34</f>
        <v>0</v>
      </c>
      <c r="K116" s="253">
        <f>(K168/Population_Tables!X34)*Population_Tables!L34</f>
        <v>0</v>
      </c>
      <c r="L116" s="170"/>
      <c r="M116" s="170"/>
      <c r="N116" s="195">
        <f t="shared" si="10"/>
        <v>0</v>
      </c>
      <c r="O116" s="195">
        <f t="shared" si="11"/>
        <v>0</v>
      </c>
      <c r="P116" s="195">
        <f t="shared" si="12"/>
        <v>0</v>
      </c>
      <c r="Q116" s="195">
        <f t="shared" si="13"/>
        <v>0</v>
      </c>
      <c r="R116" s="196" t="e">
        <f t="shared" si="14"/>
        <v>#DIV/0!</v>
      </c>
      <c r="S116" s="170"/>
      <c r="T116" s="170"/>
      <c r="U116" s="195">
        <f t="shared" si="19"/>
        <v>0</v>
      </c>
      <c r="V116" s="195">
        <f t="shared" si="15"/>
        <v>0</v>
      </c>
      <c r="W116" s="195">
        <f t="shared" si="15"/>
        <v>0</v>
      </c>
      <c r="X116" s="195">
        <f t="shared" si="18"/>
        <v>0</v>
      </c>
      <c r="Y116" s="207" t="e">
        <f t="shared" si="17"/>
        <v>#DIV/0!</v>
      </c>
      <c r="AC116" s="251" t="e">
        <f t="shared" si="16"/>
        <v>#DIV/0!</v>
      </c>
    </row>
    <row r="117" spans="1:29" ht="15.6" x14ac:dyDescent="0.3">
      <c r="A117" s="206">
        <v>2046</v>
      </c>
      <c r="B117" s="253">
        <f>(B169/Population_Tables!O35)*Population_Tables!C35</f>
        <v>767.19519550164762</v>
      </c>
      <c r="C117" s="253">
        <f>(C169/Population_Tables!P35)*Population_Tables!D35</f>
        <v>0</v>
      </c>
      <c r="D117" s="253">
        <f>(D169/Population_Tables!Q35)*Population_Tables!E35</f>
        <v>0</v>
      </c>
      <c r="E117" s="253">
        <f>(E169/Population_Tables!R35)*Population_Tables!F35</f>
        <v>0</v>
      </c>
      <c r="F117" s="253">
        <f>(F169/Population_Tables!S35)*Population_Tables!G35</f>
        <v>0</v>
      </c>
      <c r="G117" s="253">
        <f>(G169/Population_Tables!T35)*Population_Tables!H35</f>
        <v>0</v>
      </c>
      <c r="H117" s="253">
        <f>(H169/Population_Tables!U35)*Population_Tables!I35</f>
        <v>0</v>
      </c>
      <c r="I117" s="253">
        <f>(I169/Population_Tables!V35)*Population_Tables!J35</f>
        <v>0</v>
      </c>
      <c r="J117" s="253">
        <f>(J169/Population_Tables!W35)*Population_Tables!K35</f>
        <v>0</v>
      </c>
      <c r="K117" s="253">
        <f>(K169/Population_Tables!X35)*Population_Tables!L35</f>
        <v>0</v>
      </c>
      <c r="L117" s="170"/>
      <c r="M117" s="170"/>
      <c r="N117" s="195">
        <f t="shared" si="10"/>
        <v>0</v>
      </c>
      <c r="O117" s="195">
        <f t="shared" si="11"/>
        <v>0</v>
      </c>
      <c r="P117" s="195">
        <f t="shared" si="12"/>
        <v>0</v>
      </c>
      <c r="Q117" s="195">
        <f t="shared" si="13"/>
        <v>0</v>
      </c>
      <c r="R117" s="196" t="e">
        <f t="shared" si="14"/>
        <v>#DIV/0!</v>
      </c>
      <c r="S117" s="170"/>
      <c r="T117" s="170"/>
      <c r="U117" s="195">
        <f t="shared" si="19"/>
        <v>0</v>
      </c>
      <c r="V117" s="195">
        <f t="shared" si="15"/>
        <v>0</v>
      </c>
      <c r="W117" s="195">
        <f t="shared" si="15"/>
        <v>0</v>
      </c>
      <c r="X117" s="195">
        <f t="shared" si="18"/>
        <v>0</v>
      </c>
      <c r="Y117" s="207" t="e">
        <f t="shared" si="17"/>
        <v>#DIV/0!</v>
      </c>
      <c r="AC117" s="251" t="e">
        <f t="shared" si="16"/>
        <v>#DIV/0!</v>
      </c>
    </row>
    <row r="118" spans="1:29" ht="15.6" x14ac:dyDescent="0.3">
      <c r="A118" s="206">
        <v>2047</v>
      </c>
      <c r="B118" s="253">
        <f>(B170/Population_Tables!O36)*Population_Tables!C36</f>
        <v>788.54996528464551</v>
      </c>
      <c r="C118" s="253">
        <f>(C170/Population_Tables!P36)*Population_Tables!D36</f>
        <v>0</v>
      </c>
      <c r="D118" s="253">
        <f>(D170/Population_Tables!Q36)*Population_Tables!E36</f>
        <v>0</v>
      </c>
      <c r="E118" s="253">
        <f>(E170/Population_Tables!R36)*Population_Tables!F36</f>
        <v>0</v>
      </c>
      <c r="F118" s="253">
        <f>(F170/Population_Tables!S36)*Population_Tables!G36</f>
        <v>0</v>
      </c>
      <c r="G118" s="253">
        <f>(G170/Population_Tables!T36)*Population_Tables!H36</f>
        <v>0</v>
      </c>
      <c r="H118" s="253">
        <f>(H170/Population_Tables!U36)*Population_Tables!I36</f>
        <v>0</v>
      </c>
      <c r="I118" s="253">
        <f>(I170/Population_Tables!V36)*Population_Tables!J36</f>
        <v>0</v>
      </c>
      <c r="J118" s="253">
        <f>(J170/Population_Tables!W36)*Population_Tables!K36</f>
        <v>0</v>
      </c>
      <c r="K118" s="253">
        <f>(K170/Population_Tables!X36)*Population_Tables!L36</f>
        <v>0</v>
      </c>
      <c r="L118" s="170"/>
      <c r="M118" s="170"/>
      <c r="N118" s="195">
        <f t="shared" si="10"/>
        <v>0</v>
      </c>
      <c r="O118" s="195">
        <f t="shared" si="11"/>
        <v>0</v>
      </c>
      <c r="P118" s="195">
        <f t="shared" si="12"/>
        <v>0</v>
      </c>
      <c r="Q118" s="195">
        <f t="shared" si="13"/>
        <v>0</v>
      </c>
      <c r="R118" s="196" t="e">
        <f t="shared" si="14"/>
        <v>#DIV/0!</v>
      </c>
      <c r="S118" s="170"/>
      <c r="T118" s="170"/>
      <c r="U118" s="195">
        <f t="shared" si="19"/>
        <v>0</v>
      </c>
      <c r="V118" s="195">
        <f t="shared" si="15"/>
        <v>0</v>
      </c>
      <c r="W118" s="195">
        <f t="shared" si="15"/>
        <v>0</v>
      </c>
      <c r="X118" s="195">
        <f t="shared" si="18"/>
        <v>0</v>
      </c>
      <c r="Y118" s="207" t="e">
        <f t="shared" si="17"/>
        <v>#DIV/0!</v>
      </c>
      <c r="AC118" s="251" t="e">
        <f t="shared" si="16"/>
        <v>#DIV/0!</v>
      </c>
    </row>
    <row r="119" spans="1:29" ht="15.6" x14ac:dyDescent="0.3">
      <c r="A119" s="206">
        <v>2048</v>
      </c>
      <c r="B119" s="253">
        <f>(B171/Population_Tables!O37)*Population_Tables!C37</f>
        <v>810.36053254958824</v>
      </c>
      <c r="C119" s="253">
        <f>(C171/Population_Tables!P37)*Population_Tables!D37</f>
        <v>0</v>
      </c>
      <c r="D119" s="253">
        <f>(D171/Population_Tables!Q37)*Population_Tables!E37</f>
        <v>0</v>
      </c>
      <c r="E119" s="253">
        <f>(E171/Population_Tables!R37)*Population_Tables!F37</f>
        <v>0</v>
      </c>
      <c r="F119" s="253">
        <f>(F171/Population_Tables!S37)*Population_Tables!G37</f>
        <v>0</v>
      </c>
      <c r="G119" s="253">
        <f>(G171/Population_Tables!T37)*Population_Tables!H37</f>
        <v>0</v>
      </c>
      <c r="H119" s="253">
        <f>(H171/Population_Tables!U37)*Population_Tables!I37</f>
        <v>0</v>
      </c>
      <c r="I119" s="253">
        <f>(I171/Population_Tables!V37)*Population_Tables!J37</f>
        <v>0</v>
      </c>
      <c r="J119" s="253">
        <f>(J171/Population_Tables!W37)*Population_Tables!K37</f>
        <v>0</v>
      </c>
      <c r="K119" s="253">
        <f>(K171/Population_Tables!X37)*Population_Tables!L37</f>
        <v>0</v>
      </c>
      <c r="L119" s="170"/>
      <c r="M119" s="170"/>
      <c r="N119" s="195">
        <f t="shared" si="10"/>
        <v>0</v>
      </c>
      <c r="O119" s="195">
        <f t="shared" si="11"/>
        <v>0</v>
      </c>
      <c r="P119" s="195">
        <f t="shared" si="12"/>
        <v>0</v>
      </c>
      <c r="Q119" s="195">
        <f t="shared" si="13"/>
        <v>0</v>
      </c>
      <c r="R119" s="196" t="e">
        <f t="shared" si="14"/>
        <v>#DIV/0!</v>
      </c>
      <c r="S119" s="170"/>
      <c r="T119" s="170"/>
      <c r="U119" s="195">
        <f t="shared" si="19"/>
        <v>0</v>
      </c>
      <c r="V119" s="195">
        <f t="shared" si="15"/>
        <v>0</v>
      </c>
      <c r="W119" s="195">
        <f t="shared" si="15"/>
        <v>0</v>
      </c>
      <c r="X119" s="195">
        <f t="shared" si="18"/>
        <v>0</v>
      </c>
      <c r="Y119" s="207" t="e">
        <f t="shared" si="17"/>
        <v>#DIV/0!</v>
      </c>
      <c r="AC119" s="251" t="e">
        <f t="shared" si="16"/>
        <v>#DIV/0!</v>
      </c>
    </row>
    <row r="120" spans="1:29" ht="15.6" x14ac:dyDescent="0.3">
      <c r="A120" s="206">
        <v>2049</v>
      </c>
      <c r="B120" s="253">
        <f>(B172/Population_Tables!O38)*Population_Tables!C38</f>
        <v>832.63721627612313</v>
      </c>
      <c r="C120" s="253">
        <f>(C172/Population_Tables!P38)*Population_Tables!D38</f>
        <v>0</v>
      </c>
      <c r="D120" s="253">
        <f>(D172/Population_Tables!Q38)*Population_Tables!E38</f>
        <v>0</v>
      </c>
      <c r="E120" s="253">
        <f>(E172/Population_Tables!R38)*Population_Tables!F38</f>
        <v>0</v>
      </c>
      <c r="F120" s="253">
        <f>(F172/Population_Tables!S38)*Population_Tables!G38</f>
        <v>0</v>
      </c>
      <c r="G120" s="253">
        <f>(G172/Population_Tables!T38)*Population_Tables!H38</f>
        <v>0</v>
      </c>
      <c r="H120" s="253">
        <f>(H172/Population_Tables!U38)*Population_Tables!I38</f>
        <v>0</v>
      </c>
      <c r="I120" s="253">
        <f>(I172/Population_Tables!V38)*Population_Tables!J38</f>
        <v>0</v>
      </c>
      <c r="J120" s="253">
        <f>(J172/Population_Tables!W38)*Population_Tables!K38</f>
        <v>0</v>
      </c>
      <c r="K120" s="253">
        <f>(K172/Population_Tables!X38)*Population_Tables!L38</f>
        <v>0</v>
      </c>
      <c r="L120" s="170"/>
      <c r="M120" s="170"/>
      <c r="N120" s="195">
        <f t="shared" si="10"/>
        <v>0</v>
      </c>
      <c r="O120" s="195">
        <f t="shared" si="11"/>
        <v>0</v>
      </c>
      <c r="P120" s="195">
        <f t="shared" si="12"/>
        <v>0</v>
      </c>
      <c r="Q120" s="195">
        <f t="shared" si="13"/>
        <v>0</v>
      </c>
      <c r="R120" s="196" t="e">
        <f t="shared" si="14"/>
        <v>#DIV/0!</v>
      </c>
      <c r="S120" s="170"/>
      <c r="T120" s="170"/>
      <c r="U120" s="195">
        <f t="shared" si="19"/>
        <v>0</v>
      </c>
      <c r="V120" s="195">
        <f t="shared" si="15"/>
        <v>0</v>
      </c>
      <c r="W120" s="195">
        <f t="shared" si="15"/>
        <v>0</v>
      </c>
      <c r="X120" s="195">
        <f t="shared" si="18"/>
        <v>0</v>
      </c>
      <c r="Y120" s="207" t="e">
        <f t="shared" si="17"/>
        <v>#DIV/0!</v>
      </c>
      <c r="AC120" s="251" t="e">
        <f t="shared" si="16"/>
        <v>#DIV/0!</v>
      </c>
    </row>
    <row r="121" spans="1:29" ht="16.2" thickBot="1" x14ac:dyDescent="0.35">
      <c r="A121" s="208">
        <v>2050</v>
      </c>
      <c r="B121" s="253">
        <f>(B173/Population_Tables!O39)*Population_Tables!C39</f>
        <v>855.38924502317786</v>
      </c>
      <c r="C121" s="253">
        <f>(C173/Population_Tables!P39)*Population_Tables!D39</f>
        <v>0</v>
      </c>
      <c r="D121" s="253">
        <f>(D173/Population_Tables!Q39)*Population_Tables!E39</f>
        <v>0</v>
      </c>
      <c r="E121" s="253">
        <f>(E173/Population_Tables!R39)*Population_Tables!F39</f>
        <v>0</v>
      </c>
      <c r="F121" s="253">
        <f>(F173/Population_Tables!S39)*Population_Tables!G39</f>
        <v>0</v>
      </c>
      <c r="G121" s="253">
        <f>(G173/Population_Tables!T39)*Population_Tables!H39</f>
        <v>0</v>
      </c>
      <c r="H121" s="253">
        <f>(H173/Population_Tables!U39)*Population_Tables!I39</f>
        <v>0</v>
      </c>
      <c r="I121" s="253">
        <f>(I173/Population_Tables!V39)*Population_Tables!J39</f>
        <v>0</v>
      </c>
      <c r="J121" s="253">
        <f>(J173/Population_Tables!W39)*Population_Tables!K39</f>
        <v>0</v>
      </c>
      <c r="K121" s="253">
        <f>(K173/Population_Tables!X39)*Population_Tables!L39</f>
        <v>0</v>
      </c>
      <c r="L121" s="209"/>
      <c r="M121" s="209"/>
      <c r="N121" s="195">
        <f t="shared" si="10"/>
        <v>0</v>
      </c>
      <c r="O121" s="195">
        <f t="shared" si="11"/>
        <v>0</v>
      </c>
      <c r="P121" s="195">
        <f t="shared" si="12"/>
        <v>0</v>
      </c>
      <c r="Q121" s="195">
        <f t="shared" si="13"/>
        <v>0</v>
      </c>
      <c r="R121" s="210" t="e">
        <f t="shared" si="14"/>
        <v>#DIV/0!</v>
      </c>
      <c r="S121" s="209"/>
      <c r="T121" s="209"/>
      <c r="U121" s="211">
        <f t="shared" si="19"/>
        <v>0</v>
      </c>
      <c r="V121" s="195">
        <f t="shared" si="15"/>
        <v>0</v>
      </c>
      <c r="W121" s="211">
        <f t="shared" si="15"/>
        <v>0</v>
      </c>
      <c r="X121" s="195">
        <f t="shared" si="18"/>
        <v>0</v>
      </c>
      <c r="Y121" s="212" t="e">
        <f t="shared" si="17"/>
        <v>#DIV/0!</v>
      </c>
      <c r="AC121" s="251" t="e">
        <f t="shared" si="16"/>
        <v>#DIV/0!</v>
      </c>
    </row>
    <row r="122" spans="1:29" ht="15.6" x14ac:dyDescent="0.3">
      <c r="A122" s="213">
        <v>2051</v>
      </c>
      <c r="B122" s="253">
        <f>(B174/Population_Tables!O40)*Population_Tables!C40</f>
        <v>878.62391806637993</v>
      </c>
      <c r="C122" s="253">
        <f>(C174/Population_Tables!P40)*Population_Tables!D40</f>
        <v>0</v>
      </c>
      <c r="D122" s="253">
        <f>(D174/Population_Tables!Q40)*Population_Tables!E40</f>
        <v>0</v>
      </c>
      <c r="E122" s="253">
        <f>(E174/Population_Tables!R40)*Population_Tables!F40</f>
        <v>0</v>
      </c>
      <c r="F122" s="253">
        <f>(F174/Population_Tables!S40)*Population_Tables!G40</f>
        <v>0</v>
      </c>
      <c r="G122" s="253">
        <f>(G174/Population_Tables!T40)*Population_Tables!H40</f>
        <v>0</v>
      </c>
      <c r="H122" s="253">
        <f>(H174/Population_Tables!U40)*Population_Tables!I40</f>
        <v>0</v>
      </c>
      <c r="I122" s="253">
        <f>(I174/Population_Tables!V40)*Population_Tables!J40</f>
        <v>0</v>
      </c>
      <c r="J122" s="253">
        <f>(J174/Population_Tables!W40)*Population_Tables!K40</f>
        <v>0</v>
      </c>
      <c r="K122" s="253">
        <f>(K174/Population_Tables!X40)*Population_Tables!L40</f>
        <v>0</v>
      </c>
      <c r="N122" s="195">
        <f t="shared" si="10"/>
        <v>0</v>
      </c>
      <c r="O122" s="195">
        <f t="shared" si="11"/>
        <v>0</v>
      </c>
      <c r="P122" s="195">
        <f t="shared" si="12"/>
        <v>0</v>
      </c>
      <c r="Q122" s="195">
        <f t="shared" si="13"/>
        <v>0</v>
      </c>
      <c r="R122" s="214" t="e">
        <f t="shared" si="14"/>
        <v>#DIV/0!</v>
      </c>
      <c r="U122" s="215">
        <f t="shared" si="19"/>
        <v>0</v>
      </c>
      <c r="V122" s="195">
        <f t="shared" si="15"/>
        <v>0</v>
      </c>
      <c r="W122" s="215">
        <f t="shared" si="15"/>
        <v>0</v>
      </c>
      <c r="X122" s="195">
        <f t="shared" si="18"/>
        <v>0</v>
      </c>
      <c r="Y122" s="214" t="e">
        <f t="shared" si="17"/>
        <v>#DIV/0!</v>
      </c>
      <c r="AC122" s="251" t="e">
        <f t="shared" si="16"/>
        <v>#DIV/0!</v>
      </c>
    </row>
    <row r="123" spans="1:29" ht="15.6" x14ac:dyDescent="0.3">
      <c r="A123" s="194">
        <v>2052</v>
      </c>
      <c r="B123" s="253">
        <f>(B175/Population_Tables!O41)*Population_Tables!C41</f>
        <v>902.34629569699871</v>
      </c>
      <c r="C123" s="253">
        <f>(C175/Population_Tables!P41)*Population_Tables!D41</f>
        <v>0</v>
      </c>
      <c r="D123" s="253">
        <f>(D175/Population_Tables!Q41)*Population_Tables!E41</f>
        <v>0</v>
      </c>
      <c r="E123" s="253">
        <f>(E175/Population_Tables!R41)*Population_Tables!F41</f>
        <v>0</v>
      </c>
      <c r="F123" s="253">
        <f>(F175/Population_Tables!S41)*Population_Tables!G41</f>
        <v>0</v>
      </c>
      <c r="G123" s="253">
        <f>(G175/Population_Tables!T41)*Population_Tables!H41</f>
        <v>0</v>
      </c>
      <c r="H123" s="253">
        <f>(H175/Population_Tables!U41)*Population_Tables!I41</f>
        <v>0</v>
      </c>
      <c r="I123" s="253">
        <f>(I175/Population_Tables!V41)*Population_Tables!J41</f>
        <v>0</v>
      </c>
      <c r="J123" s="253">
        <f>(J175/Population_Tables!W41)*Population_Tables!K41</f>
        <v>0</v>
      </c>
      <c r="K123" s="253">
        <f>(K175/Population_Tables!X41)*Population_Tables!L41</f>
        <v>0</v>
      </c>
      <c r="N123" s="195">
        <f t="shared" si="10"/>
        <v>0</v>
      </c>
      <c r="O123" s="195">
        <f t="shared" si="11"/>
        <v>0</v>
      </c>
      <c r="P123" s="195">
        <f t="shared" si="12"/>
        <v>0</v>
      </c>
      <c r="Q123" s="195">
        <f t="shared" si="13"/>
        <v>0</v>
      </c>
      <c r="R123" s="196" t="e">
        <f t="shared" si="14"/>
        <v>#DIV/0!</v>
      </c>
      <c r="U123" s="195">
        <f t="shared" si="19"/>
        <v>0</v>
      </c>
      <c r="V123" s="195">
        <f t="shared" si="15"/>
        <v>0</v>
      </c>
      <c r="W123" s="195">
        <f t="shared" si="15"/>
        <v>0</v>
      </c>
      <c r="X123" s="195">
        <f t="shared" si="18"/>
        <v>0</v>
      </c>
      <c r="Y123" s="196" t="e">
        <f t="shared" si="17"/>
        <v>#DIV/0!</v>
      </c>
      <c r="AC123" s="251" t="e">
        <f t="shared" si="16"/>
        <v>#DIV/0!</v>
      </c>
    </row>
    <row r="124" spans="1:29" ht="15.6" x14ac:dyDescent="0.3">
      <c r="A124" s="194">
        <v>2053</v>
      </c>
      <c r="B124" s="253">
        <f>(B176/Population_Tables!O42)*Population_Tables!C42</f>
        <v>926.56038532842672</v>
      </c>
      <c r="C124" s="253">
        <f>(C176/Population_Tables!P42)*Population_Tables!D42</f>
        <v>0</v>
      </c>
      <c r="D124" s="253">
        <f>(D176/Population_Tables!Q42)*Population_Tables!E42</f>
        <v>0</v>
      </c>
      <c r="E124" s="253">
        <f>(E176/Population_Tables!R42)*Population_Tables!F42</f>
        <v>0</v>
      </c>
      <c r="F124" s="253">
        <f>(F176/Population_Tables!S42)*Population_Tables!G42</f>
        <v>0</v>
      </c>
      <c r="G124" s="253">
        <f>(G176/Population_Tables!T42)*Population_Tables!H42</f>
        <v>0</v>
      </c>
      <c r="H124" s="253">
        <f>(H176/Population_Tables!U42)*Population_Tables!I42</f>
        <v>0</v>
      </c>
      <c r="I124" s="253">
        <f>(I176/Population_Tables!V42)*Population_Tables!J42</f>
        <v>0</v>
      </c>
      <c r="J124" s="253">
        <f>(J176/Population_Tables!W42)*Population_Tables!K42</f>
        <v>0</v>
      </c>
      <c r="K124" s="253">
        <f>(K176/Population_Tables!X42)*Population_Tables!L42</f>
        <v>0</v>
      </c>
      <c r="N124" s="195">
        <f t="shared" si="10"/>
        <v>0</v>
      </c>
      <c r="O124" s="195">
        <f t="shared" si="11"/>
        <v>0</v>
      </c>
      <c r="P124" s="195">
        <f t="shared" si="12"/>
        <v>0</v>
      </c>
      <c r="Q124" s="195">
        <f t="shared" si="13"/>
        <v>0</v>
      </c>
      <c r="R124" s="196" t="e">
        <f t="shared" si="14"/>
        <v>#DIV/0!</v>
      </c>
      <c r="U124" s="195">
        <f t="shared" si="19"/>
        <v>0</v>
      </c>
      <c r="V124" s="195">
        <f t="shared" si="15"/>
        <v>0</v>
      </c>
      <c r="W124" s="195">
        <f t="shared" si="15"/>
        <v>0</v>
      </c>
      <c r="X124" s="195">
        <f t="shared" si="18"/>
        <v>0</v>
      </c>
      <c r="Y124" s="196" t="e">
        <f t="shared" si="17"/>
        <v>#DIV/0!</v>
      </c>
      <c r="AC124" s="251" t="e">
        <f t="shared" si="16"/>
        <v>#DIV/0!</v>
      </c>
    </row>
    <row r="125" spans="1:29" ht="15.6" x14ac:dyDescent="0.3">
      <c r="A125" s="194">
        <v>2054</v>
      </c>
      <c r="B125" s="253">
        <f>(B177/Population_Tables!O43)*Population_Tables!C43</f>
        <v>951.26852373112433</v>
      </c>
      <c r="C125" s="253">
        <f>(C177/Population_Tables!P43)*Population_Tables!D43</f>
        <v>0</v>
      </c>
      <c r="D125" s="253">
        <f>(D177/Population_Tables!Q43)*Population_Tables!E43</f>
        <v>0</v>
      </c>
      <c r="E125" s="253">
        <f>(E177/Population_Tables!R43)*Population_Tables!F43</f>
        <v>0</v>
      </c>
      <c r="F125" s="253">
        <f>(F177/Population_Tables!S43)*Population_Tables!G43</f>
        <v>0</v>
      </c>
      <c r="G125" s="253">
        <f>(G177/Population_Tables!T43)*Population_Tables!H43</f>
        <v>0</v>
      </c>
      <c r="H125" s="253">
        <f>(H177/Population_Tables!U43)*Population_Tables!I43</f>
        <v>0</v>
      </c>
      <c r="I125" s="253">
        <f>(I177/Population_Tables!V43)*Population_Tables!J43</f>
        <v>0</v>
      </c>
      <c r="J125" s="253">
        <f>(J177/Population_Tables!W43)*Population_Tables!K43</f>
        <v>0</v>
      </c>
      <c r="K125" s="253">
        <f>(K177/Population_Tables!X43)*Population_Tables!L43</f>
        <v>0</v>
      </c>
      <c r="N125" s="195">
        <f t="shared" si="10"/>
        <v>0</v>
      </c>
      <c r="O125" s="195">
        <f t="shared" si="11"/>
        <v>0</v>
      </c>
      <c r="P125" s="195">
        <f t="shared" si="12"/>
        <v>0</v>
      </c>
      <c r="Q125" s="195">
        <f t="shared" si="13"/>
        <v>0</v>
      </c>
      <c r="R125" s="196" t="e">
        <f t="shared" si="14"/>
        <v>#DIV/0!</v>
      </c>
      <c r="U125" s="195">
        <f t="shared" si="19"/>
        <v>0</v>
      </c>
      <c r="V125" s="195">
        <f t="shared" si="15"/>
        <v>0</v>
      </c>
      <c r="W125" s="195">
        <f t="shared" si="15"/>
        <v>0</v>
      </c>
      <c r="X125" s="195">
        <f t="shared" si="18"/>
        <v>0</v>
      </c>
      <c r="Y125" s="196" t="e">
        <f t="shared" si="17"/>
        <v>#DIV/0!</v>
      </c>
      <c r="AC125" s="251" t="e">
        <f t="shared" si="16"/>
        <v>#DIV/0!</v>
      </c>
    </row>
    <row r="126" spans="1:29" ht="15.6" x14ac:dyDescent="0.3">
      <c r="A126" s="194">
        <v>2055</v>
      </c>
      <c r="B126" s="253">
        <f>(B178/Population_Tables!O44)*Population_Tables!C44</f>
        <v>976.47263245977229</v>
      </c>
      <c r="C126" s="253">
        <f>(C178/Population_Tables!P44)*Population_Tables!D44</f>
        <v>0</v>
      </c>
      <c r="D126" s="253">
        <f>(D178/Population_Tables!Q44)*Population_Tables!E44</f>
        <v>0</v>
      </c>
      <c r="E126" s="253">
        <f>(E178/Population_Tables!R44)*Population_Tables!F44</f>
        <v>0</v>
      </c>
      <c r="F126" s="253">
        <f>(F178/Population_Tables!S44)*Population_Tables!G44</f>
        <v>0</v>
      </c>
      <c r="G126" s="253">
        <f>(G178/Population_Tables!T44)*Population_Tables!H44</f>
        <v>0</v>
      </c>
      <c r="H126" s="253">
        <f>(H178/Population_Tables!U44)*Population_Tables!I44</f>
        <v>0</v>
      </c>
      <c r="I126" s="253">
        <f>(I178/Population_Tables!V44)*Population_Tables!J44</f>
        <v>0</v>
      </c>
      <c r="J126" s="253">
        <f>(J178/Population_Tables!W44)*Population_Tables!K44</f>
        <v>0</v>
      </c>
      <c r="K126" s="253">
        <f>(K178/Population_Tables!X44)*Population_Tables!L44</f>
        <v>0</v>
      </c>
      <c r="N126" s="195">
        <f t="shared" si="10"/>
        <v>0</v>
      </c>
      <c r="O126" s="195">
        <f t="shared" si="11"/>
        <v>0</v>
      </c>
      <c r="P126" s="195">
        <f t="shared" si="12"/>
        <v>0</v>
      </c>
      <c r="Q126" s="195">
        <f t="shared" si="13"/>
        <v>0</v>
      </c>
      <c r="R126" s="196" t="e">
        <f t="shared" si="14"/>
        <v>#DIV/0!</v>
      </c>
      <c r="U126" s="195">
        <f t="shared" si="19"/>
        <v>0</v>
      </c>
      <c r="V126" s="195">
        <f t="shared" si="15"/>
        <v>0</v>
      </c>
      <c r="W126" s="195">
        <f t="shared" si="15"/>
        <v>0</v>
      </c>
      <c r="X126" s="195">
        <f t="shared" si="18"/>
        <v>0</v>
      </c>
      <c r="Y126" s="196" t="e">
        <f t="shared" si="17"/>
        <v>#DIV/0!</v>
      </c>
      <c r="AC126" s="251" t="e">
        <f t="shared" si="16"/>
        <v>#DIV/0!</v>
      </c>
    </row>
    <row r="127" spans="1:29" ht="15.6" x14ac:dyDescent="0.3">
      <c r="A127" s="194">
        <v>2056</v>
      </c>
      <c r="B127" s="253">
        <f>(B179/Population_Tables!O45)*Population_Tables!C45</f>
        <v>1002.1768391225546</v>
      </c>
      <c r="C127" s="253">
        <f>(C179/Population_Tables!P45)*Population_Tables!D45</f>
        <v>0</v>
      </c>
      <c r="D127" s="253">
        <f>(D179/Population_Tables!Q45)*Population_Tables!E45</f>
        <v>0</v>
      </c>
      <c r="E127" s="253">
        <f>(E179/Population_Tables!R45)*Population_Tables!F45</f>
        <v>0</v>
      </c>
      <c r="F127" s="253">
        <f>(F179/Population_Tables!S45)*Population_Tables!G45</f>
        <v>0</v>
      </c>
      <c r="G127" s="253">
        <f>(G179/Population_Tables!T45)*Population_Tables!H45</f>
        <v>0</v>
      </c>
      <c r="H127" s="253">
        <f>(H179/Population_Tables!U45)*Population_Tables!I45</f>
        <v>0</v>
      </c>
      <c r="I127" s="253">
        <f>(I179/Population_Tables!V45)*Population_Tables!J45</f>
        <v>0</v>
      </c>
      <c r="J127" s="253">
        <f>(J179/Population_Tables!W45)*Population_Tables!K45</f>
        <v>0</v>
      </c>
      <c r="K127" s="253">
        <f>(K179/Population_Tables!X45)*Population_Tables!L45</f>
        <v>0</v>
      </c>
      <c r="N127" s="195">
        <f t="shared" si="10"/>
        <v>0</v>
      </c>
      <c r="O127" s="195">
        <f t="shared" si="11"/>
        <v>0</v>
      </c>
      <c r="P127" s="195">
        <f t="shared" si="12"/>
        <v>0</v>
      </c>
      <c r="Q127" s="195">
        <f t="shared" si="13"/>
        <v>0</v>
      </c>
      <c r="R127" s="196" t="e">
        <f t="shared" si="14"/>
        <v>#DIV/0!</v>
      </c>
      <c r="U127" s="195">
        <f t="shared" si="19"/>
        <v>0</v>
      </c>
      <c r="V127" s="195">
        <f t="shared" si="15"/>
        <v>0</v>
      </c>
      <c r="W127" s="195">
        <f t="shared" si="15"/>
        <v>0</v>
      </c>
      <c r="X127" s="195">
        <f t="shared" si="18"/>
        <v>0</v>
      </c>
      <c r="Y127" s="196" t="e">
        <f t="shared" si="17"/>
        <v>#DIV/0!</v>
      </c>
      <c r="AC127" s="251" t="e">
        <f t="shared" si="16"/>
        <v>#DIV/0!</v>
      </c>
    </row>
    <row r="128" spans="1:29" ht="15.6" x14ac:dyDescent="0.3">
      <c r="A128" s="194">
        <v>2057</v>
      </c>
      <c r="B128" s="253">
        <f>(B180/Population_Tables!O46)*Population_Tables!C46</f>
        <v>1028.3835313866425</v>
      </c>
      <c r="C128" s="253">
        <f>(C180/Population_Tables!P46)*Population_Tables!D46</f>
        <v>0</v>
      </c>
      <c r="D128" s="253">
        <f>(D180/Population_Tables!Q46)*Population_Tables!E46</f>
        <v>0</v>
      </c>
      <c r="E128" s="253">
        <f>(E180/Population_Tables!R46)*Population_Tables!F46</f>
        <v>0</v>
      </c>
      <c r="F128" s="253">
        <f>(F180/Population_Tables!S46)*Population_Tables!G46</f>
        <v>0</v>
      </c>
      <c r="G128" s="253">
        <f>(G180/Population_Tables!T46)*Population_Tables!H46</f>
        <v>0</v>
      </c>
      <c r="H128" s="253">
        <f>(H180/Population_Tables!U46)*Population_Tables!I46</f>
        <v>0</v>
      </c>
      <c r="I128" s="253">
        <f>(I180/Population_Tables!V46)*Population_Tables!J46</f>
        <v>0</v>
      </c>
      <c r="J128" s="253">
        <f>(J180/Population_Tables!W46)*Population_Tables!K46</f>
        <v>0</v>
      </c>
      <c r="K128" s="253">
        <f>(K180/Population_Tables!X46)*Population_Tables!L46</f>
        <v>0</v>
      </c>
      <c r="N128" s="195">
        <f t="shared" si="10"/>
        <v>0</v>
      </c>
      <c r="O128" s="195">
        <f t="shared" si="11"/>
        <v>0</v>
      </c>
      <c r="P128" s="195">
        <f t="shared" si="12"/>
        <v>0</v>
      </c>
      <c r="Q128" s="195">
        <f t="shared" si="13"/>
        <v>0</v>
      </c>
      <c r="R128" s="196" t="e">
        <f t="shared" si="14"/>
        <v>#DIV/0!</v>
      </c>
      <c r="U128" s="195">
        <f t="shared" si="19"/>
        <v>0</v>
      </c>
      <c r="V128" s="195">
        <f t="shared" si="15"/>
        <v>0</v>
      </c>
      <c r="W128" s="195">
        <f t="shared" si="15"/>
        <v>0</v>
      </c>
      <c r="X128" s="195">
        <f t="shared" si="18"/>
        <v>0</v>
      </c>
      <c r="Y128" s="196" t="e">
        <f t="shared" si="17"/>
        <v>#DIV/0!</v>
      </c>
      <c r="AC128" s="251" t="e">
        <f t="shared" si="16"/>
        <v>#DIV/0!</v>
      </c>
    </row>
    <row r="129" spans="1:29" ht="15.6" x14ac:dyDescent="0.3">
      <c r="A129" s="194">
        <v>2058</v>
      </c>
      <c r="B129" s="253">
        <f>(B181/Population_Tables!O47)*Population_Tables!C47</f>
        <v>1055.0896057651346</v>
      </c>
      <c r="C129" s="253">
        <f>(C181/Population_Tables!P47)*Population_Tables!D47</f>
        <v>0</v>
      </c>
      <c r="D129" s="253">
        <f>(D181/Population_Tables!Q47)*Population_Tables!E47</f>
        <v>0</v>
      </c>
      <c r="E129" s="253">
        <f>(E181/Population_Tables!R47)*Population_Tables!F47</f>
        <v>0</v>
      </c>
      <c r="F129" s="253">
        <f>(F181/Population_Tables!S47)*Population_Tables!G47</f>
        <v>0</v>
      </c>
      <c r="G129" s="253">
        <f>(G181/Population_Tables!T47)*Population_Tables!H47</f>
        <v>0</v>
      </c>
      <c r="H129" s="253">
        <f>(H181/Population_Tables!U47)*Population_Tables!I47</f>
        <v>0</v>
      </c>
      <c r="I129" s="253">
        <f>(I181/Population_Tables!V47)*Population_Tables!J47</f>
        <v>0</v>
      </c>
      <c r="J129" s="253">
        <f>(J181/Population_Tables!W47)*Population_Tables!K47</f>
        <v>0</v>
      </c>
      <c r="K129" s="253">
        <f>(K181/Population_Tables!X47)*Population_Tables!L47</f>
        <v>0</v>
      </c>
      <c r="N129" s="195">
        <f t="shared" si="10"/>
        <v>0</v>
      </c>
      <c r="O129" s="195">
        <f t="shared" si="11"/>
        <v>0</v>
      </c>
      <c r="P129" s="195">
        <f t="shared" si="12"/>
        <v>0</v>
      </c>
      <c r="Q129" s="195">
        <f t="shared" si="13"/>
        <v>0</v>
      </c>
      <c r="R129" s="196" t="e">
        <f t="shared" si="14"/>
        <v>#DIV/0!</v>
      </c>
      <c r="U129" s="195">
        <f t="shared" si="19"/>
        <v>0</v>
      </c>
      <c r="V129" s="195">
        <f t="shared" si="15"/>
        <v>0</v>
      </c>
      <c r="W129" s="195">
        <f t="shared" si="15"/>
        <v>0</v>
      </c>
      <c r="X129" s="195">
        <f t="shared" si="18"/>
        <v>0</v>
      </c>
      <c r="Y129" s="196" t="e">
        <f t="shared" si="17"/>
        <v>#DIV/0!</v>
      </c>
      <c r="AC129" s="251" t="e">
        <f t="shared" si="16"/>
        <v>#DIV/0!</v>
      </c>
    </row>
    <row r="130" spans="1:29" ht="15.6" x14ac:dyDescent="0.3">
      <c r="A130" s="194">
        <v>2059</v>
      </c>
      <c r="B130" s="253">
        <f>(B182/Population_Tables!O48)*Population_Tables!C48</f>
        <v>1082.2891601898291</v>
      </c>
      <c r="C130" s="253">
        <f>(C182/Population_Tables!P48)*Population_Tables!D48</f>
        <v>0</v>
      </c>
      <c r="D130" s="253">
        <f>(D182/Population_Tables!Q48)*Population_Tables!E48</f>
        <v>0</v>
      </c>
      <c r="E130" s="253">
        <f>(E182/Population_Tables!R48)*Population_Tables!F48</f>
        <v>0</v>
      </c>
      <c r="F130" s="253">
        <f>(F182/Population_Tables!S48)*Population_Tables!G48</f>
        <v>0</v>
      </c>
      <c r="G130" s="253">
        <f>(G182/Population_Tables!T48)*Population_Tables!H48</f>
        <v>0</v>
      </c>
      <c r="H130" s="253">
        <f>(H182/Population_Tables!U48)*Population_Tables!I48</f>
        <v>0</v>
      </c>
      <c r="I130" s="253">
        <f>(I182/Population_Tables!V48)*Population_Tables!J48</f>
        <v>0</v>
      </c>
      <c r="J130" s="253">
        <f>(J182/Population_Tables!W48)*Population_Tables!K48</f>
        <v>0</v>
      </c>
      <c r="K130" s="253">
        <f>(K182/Population_Tables!X48)*Population_Tables!L48</f>
        <v>0</v>
      </c>
      <c r="N130" s="195">
        <f t="shared" si="10"/>
        <v>0</v>
      </c>
      <c r="O130" s="195">
        <f t="shared" si="11"/>
        <v>0</v>
      </c>
      <c r="P130" s="195">
        <f t="shared" si="12"/>
        <v>0</v>
      </c>
      <c r="Q130" s="195">
        <f t="shared" si="13"/>
        <v>0</v>
      </c>
      <c r="R130" s="196" t="e">
        <f t="shared" si="14"/>
        <v>#DIV/0!</v>
      </c>
      <c r="U130" s="195">
        <f t="shared" si="19"/>
        <v>0</v>
      </c>
      <c r="V130" s="195">
        <f t="shared" si="15"/>
        <v>0</v>
      </c>
      <c r="W130" s="195">
        <f t="shared" si="15"/>
        <v>0</v>
      </c>
      <c r="X130" s="195">
        <f t="shared" si="18"/>
        <v>0</v>
      </c>
      <c r="Y130" s="196" t="e">
        <f t="shared" si="17"/>
        <v>#DIV/0!</v>
      </c>
      <c r="AC130" s="251" t="e">
        <f t="shared" si="16"/>
        <v>#DIV/0!</v>
      </c>
    </row>
    <row r="131" spans="1:29" ht="15.6" x14ac:dyDescent="0.3">
      <c r="A131" s="194">
        <v>2060</v>
      </c>
      <c r="B131" s="253">
        <f>(B183/Population_Tables!O49)*Population_Tables!C49</f>
        <v>1109.9770688669942</v>
      </c>
      <c r="C131" s="253">
        <f>(C183/Population_Tables!P49)*Population_Tables!D49</f>
        <v>0</v>
      </c>
      <c r="D131" s="253">
        <f>(D183/Population_Tables!Q49)*Population_Tables!E49</f>
        <v>0</v>
      </c>
      <c r="E131" s="253">
        <f>(E183/Population_Tables!R49)*Population_Tables!F49</f>
        <v>0</v>
      </c>
      <c r="F131" s="253">
        <f>(F183/Population_Tables!S49)*Population_Tables!G49</f>
        <v>0</v>
      </c>
      <c r="G131" s="253">
        <f>(G183/Population_Tables!T49)*Population_Tables!H49</f>
        <v>0</v>
      </c>
      <c r="H131" s="253">
        <f>(H183/Population_Tables!U49)*Population_Tables!I49</f>
        <v>0</v>
      </c>
      <c r="I131" s="253">
        <f>(I183/Population_Tables!V49)*Population_Tables!J49</f>
        <v>0</v>
      </c>
      <c r="J131" s="253">
        <f>(J183/Population_Tables!W49)*Population_Tables!K49</f>
        <v>0</v>
      </c>
      <c r="K131" s="253">
        <f>(K183/Population_Tables!X49)*Population_Tables!L49</f>
        <v>0</v>
      </c>
      <c r="N131" s="195">
        <f t="shared" si="10"/>
        <v>0</v>
      </c>
      <c r="O131" s="195">
        <f t="shared" si="11"/>
        <v>0</v>
      </c>
      <c r="P131" s="195">
        <f t="shared" si="12"/>
        <v>0</v>
      </c>
      <c r="Q131" s="195">
        <f t="shared" si="13"/>
        <v>0</v>
      </c>
      <c r="R131" s="196" t="e">
        <f>N131/Q131</f>
        <v>#DIV/0!</v>
      </c>
      <c r="U131" s="195">
        <f t="shared" si="19"/>
        <v>0</v>
      </c>
      <c r="V131" s="195">
        <f t="shared" si="15"/>
        <v>0</v>
      </c>
      <c r="W131" s="195">
        <f t="shared" si="15"/>
        <v>0</v>
      </c>
      <c r="X131" s="195">
        <f t="shared" si="18"/>
        <v>0</v>
      </c>
      <c r="Y131" s="196" t="e">
        <f t="shared" si="17"/>
        <v>#DIV/0!</v>
      </c>
      <c r="AC131" s="251" t="e">
        <f t="shared" si="16"/>
        <v>#DIV/0!</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357</v>
      </c>
      <c r="B135" s="255"/>
      <c r="C135" s="255"/>
      <c r="D135" s="13"/>
      <c r="E135" s="13"/>
      <c r="F135" s="13"/>
      <c r="G135" s="13"/>
      <c r="H135" s="13"/>
      <c r="I135" s="13"/>
      <c r="J135" s="13"/>
      <c r="K135" s="13"/>
      <c r="N135" s="232" t="s">
        <v>239</v>
      </c>
      <c r="O135" s="232"/>
      <c r="P135" s="232"/>
      <c r="Q135" s="232"/>
      <c r="R135" s="232"/>
      <c r="AC135" s="251"/>
    </row>
    <row r="136" spans="1:29" ht="13.8"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D136</f>
        <v>Eastern Europe</v>
      </c>
      <c r="O136" s="219"/>
      <c r="P136" s="219" t="str">
        <f>C136</f>
        <v>OECD90</v>
      </c>
      <c r="Q136" s="219" t="str">
        <f>Q84</f>
        <v>Total</v>
      </c>
      <c r="R136" s="219" t="str">
        <f>R84</f>
        <v>% Eastern Europe</v>
      </c>
      <c r="AC136" s="251"/>
    </row>
    <row r="137" spans="1:29" ht="15.6" x14ac:dyDescent="0.3">
      <c r="A137" s="194">
        <v>2014</v>
      </c>
      <c r="B137" s="229">
        <v>311</v>
      </c>
      <c r="C137" s="229"/>
      <c r="D137" s="229"/>
      <c r="E137" s="229"/>
      <c r="F137" s="229"/>
      <c r="G137" s="229"/>
      <c r="H137" s="229"/>
      <c r="I137" s="229"/>
      <c r="J137" s="229"/>
      <c r="K137" s="229"/>
      <c r="N137" s="195">
        <f>D137</f>
        <v>0</v>
      </c>
      <c r="O137" s="195">
        <f>H137</f>
        <v>0</v>
      </c>
      <c r="P137" s="195">
        <f>C137</f>
        <v>0</v>
      </c>
      <c r="Q137" s="195">
        <f>N137+P137+O137</f>
        <v>0</v>
      </c>
      <c r="R137" s="196" t="e">
        <f>N137/Q137</f>
        <v>#DIV/0!</v>
      </c>
      <c r="AC137" s="251"/>
    </row>
    <row r="138" spans="1:29" ht="15.6" x14ac:dyDescent="0.3">
      <c r="A138" s="194">
        <v>2015</v>
      </c>
      <c r="B138" s="229">
        <v>318.43190492399771</v>
      </c>
      <c r="C138" s="229"/>
      <c r="D138" s="229"/>
      <c r="E138" s="229"/>
      <c r="F138" s="229"/>
      <c r="G138" s="229"/>
      <c r="H138" s="229"/>
      <c r="I138" s="229"/>
      <c r="J138" s="229"/>
      <c r="K138" s="229"/>
      <c r="N138" s="195">
        <f t="shared" ref="N138:N183" si="20">D138</f>
        <v>0</v>
      </c>
      <c r="O138" s="195">
        <f t="shared" ref="O138:O183" si="21">H138</f>
        <v>0</v>
      </c>
      <c r="P138" s="195">
        <f t="shared" ref="P138:P183" si="22">C138</f>
        <v>0</v>
      </c>
      <c r="Q138" s="195">
        <f t="shared" ref="Q138:Q183" si="23">N138+P138+O138</f>
        <v>0</v>
      </c>
      <c r="R138" s="196" t="e">
        <f t="shared" ref="R138:R182" si="24">N138/Q138</f>
        <v>#DIV/0!</v>
      </c>
      <c r="AC138" s="251"/>
    </row>
    <row r="139" spans="1:29" ht="15.6" x14ac:dyDescent="0.3">
      <c r="A139" s="194">
        <v>2016</v>
      </c>
      <c r="B139" s="229">
        <v>325.99238984806294</v>
      </c>
      <c r="C139" s="229"/>
      <c r="D139" s="229"/>
      <c r="E139" s="229"/>
      <c r="F139" s="229"/>
      <c r="G139" s="229"/>
      <c r="H139" s="229"/>
      <c r="I139" s="229"/>
      <c r="J139" s="229"/>
      <c r="K139" s="229"/>
      <c r="N139" s="195">
        <f t="shared" si="20"/>
        <v>0</v>
      </c>
      <c r="O139" s="195">
        <f t="shared" si="21"/>
        <v>0</v>
      </c>
      <c r="P139" s="195">
        <f t="shared" si="22"/>
        <v>0</v>
      </c>
      <c r="Q139" s="195">
        <f t="shared" si="23"/>
        <v>0</v>
      </c>
      <c r="R139" s="196" t="e">
        <f t="shared" si="24"/>
        <v>#DIV/0!</v>
      </c>
      <c r="AC139" s="251"/>
    </row>
    <row r="140" spans="1:29" ht="15.6" x14ac:dyDescent="0.3">
      <c r="A140" s="194">
        <v>2017</v>
      </c>
      <c r="B140" s="229">
        <v>333.95392543692475</v>
      </c>
      <c r="C140" s="229"/>
      <c r="D140" s="229"/>
      <c r="E140" s="229"/>
      <c r="F140" s="229"/>
      <c r="G140" s="229"/>
      <c r="H140" s="229"/>
      <c r="I140" s="229"/>
      <c r="J140" s="229"/>
      <c r="K140" s="229"/>
      <c r="N140" s="195">
        <f t="shared" si="20"/>
        <v>0</v>
      </c>
      <c r="O140" s="195">
        <f t="shared" si="21"/>
        <v>0</v>
      </c>
      <c r="P140" s="195">
        <f t="shared" si="22"/>
        <v>0</v>
      </c>
      <c r="Q140" s="195">
        <f t="shared" si="23"/>
        <v>0</v>
      </c>
      <c r="R140" s="196" t="e">
        <f t="shared" si="24"/>
        <v>#DIV/0!</v>
      </c>
      <c r="AC140" s="251"/>
    </row>
    <row r="141" spans="1:29" ht="15.6" x14ac:dyDescent="0.3">
      <c r="A141" s="194">
        <v>2018</v>
      </c>
      <c r="B141" s="229">
        <v>342.31068184555227</v>
      </c>
      <c r="C141" s="229"/>
      <c r="D141" s="229"/>
      <c r="E141" s="229"/>
      <c r="F141" s="229"/>
      <c r="G141" s="229"/>
      <c r="H141" s="229"/>
      <c r="I141" s="229"/>
      <c r="J141" s="229"/>
      <c r="K141" s="229"/>
      <c r="N141" s="195">
        <f t="shared" si="20"/>
        <v>0</v>
      </c>
      <c r="O141" s="195">
        <f t="shared" si="21"/>
        <v>0</v>
      </c>
      <c r="P141" s="195">
        <f t="shared" si="22"/>
        <v>0</v>
      </c>
      <c r="Q141" s="195">
        <f t="shared" si="23"/>
        <v>0</v>
      </c>
      <c r="R141" s="196" t="e">
        <f t="shared" si="24"/>
        <v>#DIV/0!</v>
      </c>
      <c r="AC141" s="251"/>
    </row>
    <row r="142" spans="1:29" ht="16.2" thickBot="1" x14ac:dyDescent="0.35">
      <c r="A142" s="198">
        <v>2019</v>
      </c>
      <c r="B142" s="230">
        <v>351.05682922891447</v>
      </c>
      <c r="C142" s="229"/>
      <c r="D142" s="229"/>
      <c r="E142" s="230"/>
      <c r="F142" s="230"/>
      <c r="G142" s="230"/>
      <c r="H142" s="230"/>
      <c r="I142" s="230"/>
      <c r="J142" s="230"/>
      <c r="K142" s="230"/>
      <c r="N142" s="195">
        <f t="shared" si="20"/>
        <v>0</v>
      </c>
      <c r="O142" s="195">
        <f t="shared" si="21"/>
        <v>0</v>
      </c>
      <c r="P142" s="195">
        <f t="shared" si="22"/>
        <v>0</v>
      </c>
      <c r="Q142" s="195">
        <f t="shared" si="23"/>
        <v>0</v>
      </c>
      <c r="R142" s="199" t="e">
        <f t="shared" si="24"/>
        <v>#DIV/0!</v>
      </c>
      <c r="AC142" s="251"/>
    </row>
    <row r="143" spans="1:29" ht="15.6" x14ac:dyDescent="0.3">
      <c r="A143" s="201">
        <v>2020</v>
      </c>
      <c r="B143" s="228">
        <v>360.18653774198049</v>
      </c>
      <c r="C143" s="229"/>
      <c r="D143" s="229"/>
      <c r="E143" s="228"/>
      <c r="F143" s="228"/>
      <c r="G143" s="228"/>
      <c r="H143" s="228"/>
      <c r="I143" s="228"/>
      <c r="J143" s="228"/>
      <c r="K143" s="228"/>
      <c r="L143" s="202"/>
      <c r="M143" s="202"/>
      <c r="N143" s="195">
        <f t="shared" si="20"/>
        <v>0</v>
      </c>
      <c r="O143" s="195">
        <f t="shared" si="21"/>
        <v>0</v>
      </c>
      <c r="P143" s="195">
        <f t="shared" si="22"/>
        <v>0</v>
      </c>
      <c r="Q143" s="195">
        <f t="shared" si="23"/>
        <v>0</v>
      </c>
      <c r="R143" s="220" t="e">
        <f t="shared" si="24"/>
        <v>#DIV/0!</v>
      </c>
      <c r="AC143" s="251"/>
    </row>
    <row r="144" spans="1:29" ht="15.6" x14ac:dyDescent="0.3">
      <c r="A144" s="206">
        <v>2021</v>
      </c>
      <c r="B144" s="229">
        <v>369.6939775397193</v>
      </c>
      <c r="C144" s="229"/>
      <c r="D144" s="229"/>
      <c r="E144" s="229"/>
      <c r="F144" s="229"/>
      <c r="G144" s="229"/>
      <c r="H144" s="229"/>
      <c r="I144" s="229"/>
      <c r="J144" s="229"/>
      <c r="K144" s="229"/>
      <c r="L144" s="170"/>
      <c r="M144" s="170"/>
      <c r="N144" s="195">
        <f t="shared" si="20"/>
        <v>0</v>
      </c>
      <c r="O144" s="195">
        <f t="shared" si="21"/>
        <v>0</v>
      </c>
      <c r="P144" s="195">
        <f t="shared" si="22"/>
        <v>0</v>
      </c>
      <c r="Q144" s="195">
        <f t="shared" si="23"/>
        <v>0</v>
      </c>
      <c r="R144" s="221" t="e">
        <f t="shared" si="24"/>
        <v>#DIV/0!</v>
      </c>
      <c r="AC144" s="251"/>
    </row>
    <row r="145" spans="1:29" ht="15.6" x14ac:dyDescent="0.3">
      <c r="A145" s="206">
        <v>2022</v>
      </c>
      <c r="B145" s="229">
        <v>379.57331877709993</v>
      </c>
      <c r="C145" s="229"/>
      <c r="D145" s="229"/>
      <c r="E145" s="229"/>
      <c r="F145" s="229"/>
      <c r="G145" s="229"/>
      <c r="H145" s="229"/>
      <c r="I145" s="229"/>
      <c r="J145" s="229"/>
      <c r="K145" s="229"/>
      <c r="L145" s="170"/>
      <c r="M145" s="170"/>
      <c r="N145" s="195">
        <f t="shared" si="20"/>
        <v>0</v>
      </c>
      <c r="O145" s="195">
        <f t="shared" si="21"/>
        <v>0</v>
      </c>
      <c r="P145" s="195">
        <f t="shared" si="22"/>
        <v>0</v>
      </c>
      <c r="Q145" s="195">
        <f t="shared" si="23"/>
        <v>0</v>
      </c>
      <c r="R145" s="221" t="e">
        <f t="shared" si="24"/>
        <v>#DIV/0!</v>
      </c>
      <c r="AC145" s="251"/>
    </row>
    <row r="146" spans="1:29" ht="15.6" x14ac:dyDescent="0.3">
      <c r="A146" s="206">
        <v>2023</v>
      </c>
      <c r="B146" s="229">
        <v>389.81873160909151</v>
      </c>
      <c r="C146" s="229"/>
      <c r="D146" s="229"/>
      <c r="E146" s="229"/>
      <c r="F146" s="229"/>
      <c r="G146" s="229"/>
      <c r="H146" s="229"/>
      <c r="I146" s="229"/>
      <c r="J146" s="229"/>
      <c r="K146" s="229"/>
      <c r="L146" s="170"/>
      <c r="M146" s="170"/>
      <c r="N146" s="195">
        <f t="shared" si="20"/>
        <v>0</v>
      </c>
      <c r="O146" s="195">
        <f t="shared" si="21"/>
        <v>0</v>
      </c>
      <c r="P146" s="195">
        <f t="shared" si="22"/>
        <v>0</v>
      </c>
      <c r="Q146" s="195">
        <f>N146+P146+O146</f>
        <v>0</v>
      </c>
      <c r="R146" s="221" t="e">
        <f t="shared" si="24"/>
        <v>#DIV/0!</v>
      </c>
      <c r="AC146" s="251"/>
    </row>
    <row r="147" spans="1:29" ht="15.6" x14ac:dyDescent="0.3">
      <c r="A147" s="206">
        <v>2024</v>
      </c>
      <c r="B147" s="229">
        <v>400.42438619066303</v>
      </c>
      <c r="C147" s="229"/>
      <c r="D147" s="229"/>
      <c r="E147" s="229"/>
      <c r="F147" s="229"/>
      <c r="G147" s="229"/>
      <c r="H147" s="229"/>
      <c r="I147" s="229"/>
      <c r="J147" s="229"/>
      <c r="K147" s="229"/>
      <c r="L147" s="170"/>
      <c r="M147" s="170"/>
      <c r="N147" s="195">
        <f t="shared" si="20"/>
        <v>0</v>
      </c>
      <c r="O147" s="195">
        <f t="shared" si="21"/>
        <v>0</v>
      </c>
      <c r="P147" s="195">
        <f t="shared" si="22"/>
        <v>0</v>
      </c>
      <c r="Q147" s="195">
        <f t="shared" si="23"/>
        <v>0</v>
      </c>
      <c r="R147" s="221" t="e">
        <f t="shared" si="24"/>
        <v>#DIV/0!</v>
      </c>
      <c r="AC147" s="251"/>
    </row>
    <row r="148" spans="1:29" ht="15.6" x14ac:dyDescent="0.3">
      <c r="A148" s="206">
        <v>2025</v>
      </c>
      <c r="B148" s="229">
        <v>411.38445267678355</v>
      </c>
      <c r="C148" s="229"/>
      <c r="D148" s="229"/>
      <c r="E148" s="229"/>
      <c r="F148" s="229"/>
      <c r="G148" s="229"/>
      <c r="H148" s="229"/>
      <c r="I148" s="229"/>
      <c r="J148" s="229"/>
      <c r="K148" s="229"/>
      <c r="L148" s="170"/>
      <c r="M148" s="170"/>
      <c r="N148" s="195">
        <f t="shared" si="20"/>
        <v>0</v>
      </c>
      <c r="O148" s="195">
        <f t="shared" si="21"/>
        <v>0</v>
      </c>
      <c r="P148" s="195">
        <f t="shared" si="22"/>
        <v>0</v>
      </c>
      <c r="Q148" s="195">
        <f t="shared" si="23"/>
        <v>0</v>
      </c>
      <c r="R148" s="221" t="e">
        <f t="shared" si="24"/>
        <v>#DIV/0!</v>
      </c>
      <c r="AC148" s="251"/>
    </row>
    <row r="149" spans="1:29" ht="15.6" x14ac:dyDescent="0.3">
      <c r="A149" s="206">
        <v>2026</v>
      </c>
      <c r="B149" s="229">
        <v>422.69310122242211</v>
      </c>
      <c r="C149" s="229"/>
      <c r="D149" s="229"/>
      <c r="E149" s="229"/>
      <c r="F149" s="229"/>
      <c r="G149" s="229"/>
      <c r="H149" s="229"/>
      <c r="I149" s="229"/>
      <c r="J149" s="229"/>
      <c r="K149" s="229"/>
      <c r="L149" s="170"/>
      <c r="M149" s="170"/>
      <c r="N149" s="195">
        <f t="shared" si="20"/>
        <v>0</v>
      </c>
      <c r="O149" s="195">
        <f t="shared" si="21"/>
        <v>0</v>
      </c>
      <c r="P149" s="195">
        <f t="shared" si="22"/>
        <v>0</v>
      </c>
      <c r="Q149" s="195">
        <f t="shared" si="23"/>
        <v>0</v>
      </c>
      <c r="R149" s="221" t="e">
        <f t="shared" si="24"/>
        <v>#DIV/0!</v>
      </c>
      <c r="AC149" s="251"/>
    </row>
    <row r="150" spans="1:29" ht="15.6" x14ac:dyDescent="0.3">
      <c r="A150" s="206">
        <v>2027</v>
      </c>
      <c r="B150" s="229">
        <v>434.34450198254774</v>
      </c>
      <c r="C150" s="229"/>
      <c r="D150" s="229"/>
      <c r="E150" s="229"/>
      <c r="F150" s="229"/>
      <c r="G150" s="229"/>
      <c r="H150" s="229"/>
      <c r="I150" s="229"/>
      <c r="J150" s="229"/>
      <c r="K150" s="229"/>
      <c r="L150" s="170"/>
      <c r="M150" s="170"/>
      <c r="N150" s="195">
        <f t="shared" si="20"/>
        <v>0</v>
      </c>
      <c r="O150" s="195">
        <f t="shared" si="21"/>
        <v>0</v>
      </c>
      <c r="P150" s="195">
        <f t="shared" si="22"/>
        <v>0</v>
      </c>
      <c r="Q150" s="195">
        <f t="shared" si="23"/>
        <v>0</v>
      </c>
      <c r="R150" s="221" t="e">
        <f t="shared" si="24"/>
        <v>#DIV/0!</v>
      </c>
      <c r="AC150" s="251"/>
    </row>
    <row r="151" spans="1:29" ht="15.6" x14ac:dyDescent="0.3">
      <c r="A151" s="206">
        <v>2028</v>
      </c>
      <c r="B151" s="229">
        <v>446.33282511212951</v>
      </c>
      <c r="C151" s="229"/>
      <c r="D151" s="229"/>
      <c r="E151" s="229"/>
      <c r="F151" s="229"/>
      <c r="G151" s="229"/>
      <c r="H151" s="229"/>
      <c r="I151" s="229"/>
      <c r="J151" s="229"/>
      <c r="K151" s="229"/>
      <c r="L151" s="170"/>
      <c r="M151" s="170"/>
      <c r="N151" s="195">
        <f t="shared" si="20"/>
        <v>0</v>
      </c>
      <c r="O151" s="195">
        <f t="shared" si="21"/>
        <v>0</v>
      </c>
      <c r="P151" s="195">
        <f t="shared" si="22"/>
        <v>0</v>
      </c>
      <c r="Q151" s="195">
        <f t="shared" si="23"/>
        <v>0</v>
      </c>
      <c r="R151" s="221" t="e">
        <f t="shared" si="24"/>
        <v>#DIV/0!</v>
      </c>
      <c r="AC151" s="251"/>
    </row>
    <row r="152" spans="1:29" ht="15.6" x14ac:dyDescent="0.3">
      <c r="A152" s="206">
        <v>2029</v>
      </c>
      <c r="B152" s="229">
        <v>458.65224076613652</v>
      </c>
      <c r="C152" s="229"/>
      <c r="D152" s="229"/>
      <c r="E152" s="229"/>
      <c r="F152" s="229"/>
      <c r="G152" s="229"/>
      <c r="H152" s="229"/>
      <c r="I152" s="229"/>
      <c r="J152" s="229"/>
      <c r="K152" s="229"/>
      <c r="L152" s="170"/>
      <c r="M152" s="170"/>
      <c r="N152" s="195">
        <f t="shared" si="20"/>
        <v>0</v>
      </c>
      <c r="O152" s="195">
        <f t="shared" si="21"/>
        <v>0</v>
      </c>
      <c r="P152" s="195">
        <f t="shared" si="22"/>
        <v>0</v>
      </c>
      <c r="Q152" s="195">
        <f t="shared" si="23"/>
        <v>0</v>
      </c>
      <c r="R152" s="221" t="e">
        <f t="shared" si="24"/>
        <v>#DIV/0!</v>
      </c>
      <c r="AC152" s="251"/>
    </row>
    <row r="153" spans="1:29" ht="15.6" x14ac:dyDescent="0.3">
      <c r="A153" s="206">
        <v>2030</v>
      </c>
      <c r="B153" s="229">
        <v>471.29691909953766</v>
      </c>
      <c r="C153" s="229"/>
      <c r="D153" s="229"/>
      <c r="E153" s="229"/>
      <c r="F153" s="229"/>
      <c r="G153" s="229"/>
      <c r="H153" s="229"/>
      <c r="I153" s="229"/>
      <c r="J153" s="229"/>
      <c r="K153" s="229"/>
      <c r="L153" s="170"/>
      <c r="M153" s="170"/>
      <c r="N153" s="195">
        <f t="shared" si="20"/>
        <v>0</v>
      </c>
      <c r="O153" s="195">
        <f t="shared" si="21"/>
        <v>0</v>
      </c>
      <c r="P153" s="195">
        <f t="shared" si="22"/>
        <v>0</v>
      </c>
      <c r="Q153" s="195">
        <f t="shared" si="23"/>
        <v>0</v>
      </c>
      <c r="R153" s="221" t="e">
        <f t="shared" si="24"/>
        <v>#DIV/0!</v>
      </c>
      <c r="AC153" s="251"/>
    </row>
    <row r="154" spans="1:29" ht="15.6" x14ac:dyDescent="0.3">
      <c r="A154" s="206">
        <v>2031</v>
      </c>
      <c r="B154" s="229">
        <v>484.26103026730209</v>
      </c>
      <c r="C154" s="229"/>
      <c r="D154" s="229"/>
      <c r="E154" s="229"/>
      <c r="F154" s="229"/>
      <c r="G154" s="229"/>
      <c r="H154" s="229"/>
      <c r="I154" s="229"/>
      <c r="J154" s="229"/>
      <c r="K154" s="229"/>
      <c r="L154" s="170"/>
      <c r="M154" s="170"/>
      <c r="N154" s="195">
        <f t="shared" si="20"/>
        <v>0</v>
      </c>
      <c r="O154" s="195">
        <f t="shared" si="21"/>
        <v>0</v>
      </c>
      <c r="P154" s="195">
        <f t="shared" si="22"/>
        <v>0</v>
      </c>
      <c r="Q154" s="195">
        <f t="shared" si="23"/>
        <v>0</v>
      </c>
      <c r="R154" s="221" t="e">
        <f t="shared" si="24"/>
        <v>#DIV/0!</v>
      </c>
      <c r="AC154" s="251"/>
    </row>
    <row r="155" spans="1:29" ht="15.6" x14ac:dyDescent="0.3">
      <c r="A155" s="206">
        <v>2032</v>
      </c>
      <c r="B155" s="229">
        <v>497.53874442439883</v>
      </c>
      <c r="C155" s="229"/>
      <c r="D155" s="229"/>
      <c r="E155" s="229"/>
      <c r="F155" s="229"/>
      <c r="G155" s="229"/>
      <c r="H155" s="229"/>
      <c r="I155" s="229"/>
      <c r="J155" s="229"/>
      <c r="K155" s="229"/>
      <c r="L155" s="170"/>
      <c r="M155" s="170"/>
      <c r="N155" s="195">
        <f t="shared" si="20"/>
        <v>0</v>
      </c>
      <c r="O155" s="195">
        <f t="shared" si="21"/>
        <v>0</v>
      </c>
      <c r="P155" s="195">
        <f t="shared" si="22"/>
        <v>0</v>
      </c>
      <c r="Q155" s="195">
        <f t="shared" si="23"/>
        <v>0</v>
      </c>
      <c r="R155" s="221" t="e">
        <f t="shared" si="24"/>
        <v>#DIV/0!</v>
      </c>
      <c r="AC155" s="251"/>
    </row>
    <row r="156" spans="1:29" ht="15.6" x14ac:dyDescent="0.3">
      <c r="A156" s="206">
        <v>2033</v>
      </c>
      <c r="B156" s="229">
        <v>511.1242317257969</v>
      </c>
      <c r="C156" s="229"/>
      <c r="D156" s="229"/>
      <c r="E156" s="229"/>
      <c r="F156" s="229"/>
      <c r="G156" s="229"/>
      <c r="H156" s="229"/>
      <c r="I156" s="229"/>
      <c r="J156" s="229"/>
      <c r="K156" s="229"/>
      <c r="L156" s="170"/>
      <c r="M156" s="170"/>
      <c r="N156" s="195">
        <f t="shared" si="20"/>
        <v>0</v>
      </c>
      <c r="O156" s="195">
        <f t="shared" si="21"/>
        <v>0</v>
      </c>
      <c r="P156" s="195">
        <f t="shared" si="22"/>
        <v>0</v>
      </c>
      <c r="Q156" s="195">
        <f t="shared" si="23"/>
        <v>0</v>
      </c>
      <c r="R156" s="221" t="e">
        <f t="shared" si="24"/>
        <v>#DIV/0!</v>
      </c>
      <c r="AC156" s="251"/>
    </row>
    <row r="157" spans="1:29" ht="15.6" x14ac:dyDescent="0.3">
      <c r="A157" s="206">
        <v>2034</v>
      </c>
      <c r="B157" s="229">
        <v>525.0116623264654</v>
      </c>
      <c r="C157" s="229"/>
      <c r="D157" s="229"/>
      <c r="E157" s="229"/>
      <c r="F157" s="229"/>
      <c r="G157" s="229"/>
      <c r="H157" s="229"/>
      <c r="I157" s="229"/>
      <c r="J157" s="229"/>
      <c r="K157" s="229"/>
      <c r="L157" s="170"/>
      <c r="M157" s="170"/>
      <c r="N157" s="195">
        <f t="shared" si="20"/>
        <v>0</v>
      </c>
      <c r="O157" s="195">
        <f t="shared" si="21"/>
        <v>0</v>
      </c>
      <c r="P157" s="195">
        <f t="shared" si="22"/>
        <v>0</v>
      </c>
      <c r="Q157" s="195">
        <f t="shared" si="23"/>
        <v>0</v>
      </c>
      <c r="R157" s="221" t="e">
        <f t="shared" si="24"/>
        <v>#DIV/0!</v>
      </c>
      <c r="AC157" s="251"/>
    </row>
    <row r="158" spans="1:29" ht="15.6" x14ac:dyDescent="0.3">
      <c r="A158" s="206">
        <v>2035</v>
      </c>
      <c r="B158" s="229">
        <v>539.1952063813734</v>
      </c>
      <c r="C158" s="229"/>
      <c r="D158" s="229"/>
      <c r="E158" s="229"/>
      <c r="F158" s="229"/>
      <c r="G158" s="229"/>
      <c r="H158" s="229"/>
      <c r="I158" s="229"/>
      <c r="J158" s="229"/>
      <c r="K158" s="229"/>
      <c r="L158" s="170"/>
      <c r="M158" s="170"/>
      <c r="N158" s="195">
        <f t="shared" si="20"/>
        <v>0</v>
      </c>
      <c r="O158" s="195">
        <f t="shared" si="21"/>
        <v>0</v>
      </c>
      <c r="P158" s="195">
        <f t="shared" si="22"/>
        <v>0</v>
      </c>
      <c r="Q158" s="195">
        <f t="shared" si="23"/>
        <v>0</v>
      </c>
      <c r="R158" s="221" t="e">
        <f t="shared" si="24"/>
        <v>#DIV/0!</v>
      </c>
      <c r="AC158" s="251"/>
    </row>
    <row r="159" spans="1:29" ht="15.6" x14ac:dyDescent="0.3">
      <c r="A159" s="206">
        <v>2036</v>
      </c>
      <c r="B159" s="229">
        <v>553.66903404548975</v>
      </c>
      <c r="C159" s="229"/>
      <c r="D159" s="229"/>
      <c r="E159" s="229"/>
      <c r="F159" s="229"/>
      <c r="G159" s="229"/>
      <c r="H159" s="229"/>
      <c r="I159" s="229"/>
      <c r="J159" s="229"/>
      <c r="K159" s="229"/>
      <c r="L159" s="170"/>
      <c r="M159" s="170"/>
      <c r="N159" s="195">
        <f t="shared" si="20"/>
        <v>0</v>
      </c>
      <c r="O159" s="195">
        <f t="shared" si="21"/>
        <v>0</v>
      </c>
      <c r="P159" s="195">
        <f t="shared" si="22"/>
        <v>0</v>
      </c>
      <c r="Q159" s="195">
        <f t="shared" si="23"/>
        <v>0</v>
      </c>
      <c r="R159" s="221" t="e">
        <f t="shared" si="24"/>
        <v>#DIV/0!</v>
      </c>
      <c r="AC159" s="251"/>
    </row>
    <row r="160" spans="1:29" ht="15.6" x14ac:dyDescent="0.3">
      <c r="A160" s="206">
        <v>2037</v>
      </c>
      <c r="B160" s="229">
        <v>568.42731547378378</v>
      </c>
      <c r="C160" s="229"/>
      <c r="D160" s="229"/>
      <c r="E160" s="229"/>
      <c r="F160" s="229"/>
      <c r="G160" s="229"/>
      <c r="H160" s="229"/>
      <c r="I160" s="229"/>
      <c r="J160" s="229"/>
      <c r="K160" s="229"/>
      <c r="L160" s="170"/>
      <c r="M160" s="170"/>
      <c r="N160" s="195">
        <f t="shared" si="20"/>
        <v>0</v>
      </c>
      <c r="O160" s="195">
        <f t="shared" si="21"/>
        <v>0</v>
      </c>
      <c r="P160" s="195">
        <f t="shared" si="22"/>
        <v>0</v>
      </c>
      <c r="Q160" s="195">
        <f t="shared" si="23"/>
        <v>0</v>
      </c>
      <c r="R160" s="221" t="e">
        <f t="shared" si="24"/>
        <v>#DIV/0!</v>
      </c>
      <c r="AC160" s="251"/>
    </row>
    <row r="161" spans="1:29" ht="15.6" x14ac:dyDescent="0.3">
      <c r="A161" s="206">
        <v>2038</v>
      </c>
      <c r="B161" s="229">
        <v>583.46422082122433</v>
      </c>
      <c r="C161" s="229"/>
      <c r="D161" s="229"/>
      <c r="E161" s="229"/>
      <c r="F161" s="229"/>
      <c r="G161" s="229"/>
      <c r="H161" s="229"/>
      <c r="I161" s="229"/>
      <c r="J161" s="229"/>
      <c r="K161" s="229"/>
      <c r="L161" s="170"/>
      <c r="M161" s="170"/>
      <c r="N161" s="195">
        <f t="shared" si="20"/>
        <v>0</v>
      </c>
      <c r="O161" s="195">
        <f t="shared" si="21"/>
        <v>0</v>
      </c>
      <c r="P161" s="195">
        <f t="shared" si="22"/>
        <v>0</v>
      </c>
      <c r="Q161" s="195">
        <f t="shared" si="23"/>
        <v>0</v>
      </c>
      <c r="R161" s="221" t="e">
        <f t="shared" si="24"/>
        <v>#DIV/0!</v>
      </c>
      <c r="AC161" s="251"/>
    </row>
    <row r="162" spans="1:29" ht="15.6" x14ac:dyDescent="0.3">
      <c r="A162" s="206">
        <v>2039</v>
      </c>
      <c r="B162" s="229">
        <v>598.77392024278049</v>
      </c>
      <c r="C162" s="229"/>
      <c r="D162" s="229"/>
      <c r="E162" s="229"/>
      <c r="F162" s="229"/>
      <c r="G162" s="229"/>
      <c r="H162" s="229"/>
      <c r="I162" s="229"/>
      <c r="J162" s="229"/>
      <c r="K162" s="229"/>
      <c r="L162" s="170"/>
      <c r="M162" s="170"/>
      <c r="N162" s="195">
        <f t="shared" si="20"/>
        <v>0</v>
      </c>
      <c r="O162" s="195">
        <f t="shared" si="21"/>
        <v>0</v>
      </c>
      <c r="P162" s="195">
        <f t="shared" si="22"/>
        <v>0</v>
      </c>
      <c r="Q162" s="195">
        <f t="shared" si="23"/>
        <v>0</v>
      </c>
      <c r="R162" s="221" t="e">
        <f t="shared" si="24"/>
        <v>#DIV/0!</v>
      </c>
      <c r="AC162" s="251"/>
    </row>
    <row r="163" spans="1:29" ht="15.6" x14ac:dyDescent="0.3">
      <c r="A163" s="206">
        <v>2040</v>
      </c>
      <c r="B163" s="229">
        <v>614.35058389342134</v>
      </c>
      <c r="C163" s="229"/>
      <c r="D163" s="229"/>
      <c r="E163" s="229"/>
      <c r="F163" s="229"/>
      <c r="G163" s="229"/>
      <c r="H163" s="229"/>
      <c r="I163" s="229"/>
      <c r="J163" s="229"/>
      <c r="K163" s="229"/>
      <c r="L163" s="170"/>
      <c r="M163" s="170"/>
      <c r="N163" s="195">
        <f t="shared" si="20"/>
        <v>0</v>
      </c>
      <c r="O163" s="195">
        <f t="shared" si="21"/>
        <v>0</v>
      </c>
      <c r="P163" s="195">
        <f t="shared" si="22"/>
        <v>0</v>
      </c>
      <c r="Q163" s="195">
        <f t="shared" si="23"/>
        <v>0</v>
      </c>
      <c r="R163" s="221" t="e">
        <f t="shared" si="24"/>
        <v>#DIV/0!</v>
      </c>
      <c r="AC163" s="251"/>
    </row>
    <row r="164" spans="1:29" ht="15.6" x14ac:dyDescent="0.3">
      <c r="A164" s="206">
        <v>2041</v>
      </c>
      <c r="B164" s="229">
        <v>630.18838192811586</v>
      </c>
      <c r="C164" s="229"/>
      <c r="D164" s="229"/>
      <c r="E164" s="229"/>
      <c r="F164" s="229"/>
      <c r="G164" s="229"/>
      <c r="H164" s="229"/>
      <c r="I164" s="229"/>
      <c r="J164" s="229"/>
      <c r="K164" s="229"/>
      <c r="L164" s="170"/>
      <c r="M164" s="170"/>
      <c r="N164" s="195">
        <f t="shared" si="20"/>
        <v>0</v>
      </c>
      <c r="O164" s="195">
        <f t="shared" si="21"/>
        <v>0</v>
      </c>
      <c r="P164" s="195">
        <f t="shared" si="22"/>
        <v>0</v>
      </c>
      <c r="Q164" s="195">
        <f>N164+P164+O164</f>
        <v>0</v>
      </c>
      <c r="R164" s="221" t="e">
        <f>N164/Q164</f>
        <v>#DIV/0!</v>
      </c>
      <c r="AC164" s="251"/>
    </row>
    <row r="165" spans="1:29" ht="15.6" x14ac:dyDescent="0.3">
      <c r="A165" s="206">
        <v>2042</v>
      </c>
      <c r="B165" s="229">
        <v>646.28148450183323</v>
      </c>
      <c r="C165" s="229"/>
      <c r="D165" s="229"/>
      <c r="E165" s="229"/>
      <c r="F165" s="229"/>
      <c r="G165" s="229"/>
      <c r="H165" s="229"/>
      <c r="I165" s="229"/>
      <c r="J165" s="229"/>
      <c r="K165" s="229"/>
      <c r="L165" s="170"/>
      <c r="M165" s="170"/>
      <c r="N165" s="195">
        <f t="shared" si="20"/>
        <v>0</v>
      </c>
      <c r="O165" s="195">
        <f t="shared" si="21"/>
        <v>0</v>
      </c>
      <c r="P165" s="195">
        <f t="shared" si="22"/>
        <v>0</v>
      </c>
      <c r="Q165" s="195">
        <f t="shared" si="23"/>
        <v>0</v>
      </c>
      <c r="R165" s="221" t="e">
        <f t="shared" si="24"/>
        <v>#DIV/0!</v>
      </c>
      <c r="AC165" s="251"/>
    </row>
    <row r="166" spans="1:29" ht="15.6" x14ac:dyDescent="0.3">
      <c r="A166" s="206">
        <v>2043</v>
      </c>
      <c r="B166" s="229">
        <v>662.62406176954232</v>
      </c>
      <c r="C166" s="229"/>
      <c r="D166" s="229"/>
      <c r="E166" s="229"/>
      <c r="F166" s="229"/>
      <c r="G166" s="229"/>
      <c r="H166" s="229"/>
      <c r="I166" s="229"/>
      <c r="J166" s="229"/>
      <c r="K166" s="229"/>
      <c r="L166" s="170"/>
      <c r="M166" s="170"/>
      <c r="N166" s="195">
        <f t="shared" si="20"/>
        <v>0</v>
      </c>
      <c r="O166" s="195">
        <f t="shared" si="21"/>
        <v>0</v>
      </c>
      <c r="P166" s="195">
        <f t="shared" si="22"/>
        <v>0</v>
      </c>
      <c r="Q166" s="195">
        <f t="shared" si="23"/>
        <v>0</v>
      </c>
      <c r="R166" s="221" t="e">
        <f t="shared" si="24"/>
        <v>#DIV/0!</v>
      </c>
      <c r="AC166" s="251"/>
    </row>
    <row r="167" spans="1:29" ht="15.6" x14ac:dyDescent="0.3">
      <c r="A167" s="206">
        <v>2044</v>
      </c>
      <c r="B167" s="229">
        <v>679.21028388621244</v>
      </c>
      <c r="C167" s="229"/>
      <c r="D167" s="229"/>
      <c r="E167" s="229"/>
      <c r="F167" s="229"/>
      <c r="G167" s="229"/>
      <c r="H167" s="229"/>
      <c r="I167" s="229"/>
      <c r="J167" s="229"/>
      <c r="K167" s="229"/>
      <c r="L167" s="170"/>
      <c r="M167" s="170"/>
      <c r="N167" s="195">
        <f t="shared" si="20"/>
        <v>0</v>
      </c>
      <c r="O167" s="195">
        <f t="shared" si="21"/>
        <v>0</v>
      </c>
      <c r="P167" s="195">
        <f t="shared" si="22"/>
        <v>0</v>
      </c>
      <c r="Q167" s="195">
        <f t="shared" si="23"/>
        <v>0</v>
      </c>
      <c r="R167" s="221" t="e">
        <f t="shared" si="24"/>
        <v>#DIV/0!</v>
      </c>
      <c r="AC167" s="251"/>
    </row>
    <row r="168" spans="1:29" ht="15.6" x14ac:dyDescent="0.3">
      <c r="A168" s="206">
        <v>2045</v>
      </c>
      <c r="B168" s="229">
        <v>696.03432100681221</v>
      </c>
      <c r="C168" s="229"/>
      <c r="D168" s="229"/>
      <c r="E168" s="229"/>
      <c r="F168" s="229"/>
      <c r="G168" s="229"/>
      <c r="H168" s="229"/>
      <c r="I168" s="229"/>
      <c r="J168" s="229"/>
      <c r="K168" s="229"/>
      <c r="L168" s="170"/>
      <c r="M168" s="170"/>
      <c r="N168" s="195">
        <f t="shared" si="20"/>
        <v>0</v>
      </c>
      <c r="O168" s="195">
        <f t="shared" si="21"/>
        <v>0</v>
      </c>
      <c r="P168" s="195">
        <f t="shared" si="22"/>
        <v>0</v>
      </c>
      <c r="Q168" s="195">
        <f t="shared" si="23"/>
        <v>0</v>
      </c>
      <c r="R168" s="221" t="e">
        <f t="shared" si="24"/>
        <v>#DIV/0!</v>
      </c>
      <c r="AC168" s="251"/>
    </row>
    <row r="169" spans="1:29" ht="15.6" x14ac:dyDescent="0.3">
      <c r="A169" s="206">
        <v>2046</v>
      </c>
      <c r="B169" s="229">
        <v>713.09034328631105</v>
      </c>
      <c r="C169" s="229"/>
      <c r="D169" s="229"/>
      <c r="E169" s="229"/>
      <c r="F169" s="229"/>
      <c r="G169" s="229"/>
      <c r="H169" s="229"/>
      <c r="I169" s="229"/>
      <c r="J169" s="229"/>
      <c r="K169" s="229"/>
      <c r="L169" s="170"/>
      <c r="M169" s="170"/>
      <c r="N169" s="195">
        <f t="shared" si="20"/>
        <v>0</v>
      </c>
      <c r="O169" s="195">
        <f t="shared" si="21"/>
        <v>0</v>
      </c>
      <c r="P169" s="195">
        <f t="shared" si="22"/>
        <v>0</v>
      </c>
      <c r="Q169" s="195">
        <f t="shared" si="23"/>
        <v>0</v>
      </c>
      <c r="R169" s="221" t="e">
        <f t="shared" si="24"/>
        <v>#DIV/0!</v>
      </c>
      <c r="AC169" s="251"/>
    </row>
    <row r="170" spans="1:29" ht="15.6" x14ac:dyDescent="0.3">
      <c r="A170" s="206">
        <v>2047</v>
      </c>
      <c r="B170" s="229">
        <v>730.37252087967795</v>
      </c>
      <c r="C170" s="229"/>
      <c r="D170" s="229"/>
      <c r="E170" s="229"/>
      <c r="F170" s="229"/>
      <c r="G170" s="229"/>
      <c r="H170" s="229"/>
      <c r="I170" s="229"/>
      <c r="J170" s="229"/>
      <c r="K170" s="229"/>
      <c r="L170" s="170"/>
      <c r="M170" s="170"/>
      <c r="N170" s="195">
        <f t="shared" si="20"/>
        <v>0</v>
      </c>
      <c r="O170" s="195">
        <f t="shared" si="21"/>
        <v>0</v>
      </c>
      <c r="P170" s="195">
        <f t="shared" si="22"/>
        <v>0</v>
      </c>
      <c r="Q170" s="195">
        <f t="shared" si="23"/>
        <v>0</v>
      </c>
      <c r="R170" s="221" t="e">
        <f t="shared" si="24"/>
        <v>#DIV/0!</v>
      </c>
      <c r="AC170" s="251"/>
    </row>
    <row r="171" spans="1:29" ht="15.6" x14ac:dyDescent="0.3">
      <c r="A171" s="206">
        <v>2048</v>
      </c>
      <c r="B171" s="229">
        <v>747.87502394188164</v>
      </c>
      <c r="C171" s="229"/>
      <c r="D171" s="229"/>
      <c r="E171" s="229"/>
      <c r="F171" s="229"/>
      <c r="G171" s="229"/>
      <c r="H171" s="229"/>
      <c r="I171" s="229"/>
      <c r="J171" s="229"/>
      <c r="K171" s="229"/>
      <c r="L171" s="170"/>
      <c r="M171" s="170"/>
      <c r="N171" s="195">
        <f t="shared" si="20"/>
        <v>0</v>
      </c>
      <c r="O171" s="195">
        <f t="shared" si="21"/>
        <v>0</v>
      </c>
      <c r="P171" s="195">
        <f t="shared" si="22"/>
        <v>0</v>
      </c>
      <c r="Q171" s="195">
        <f t="shared" si="23"/>
        <v>0</v>
      </c>
      <c r="R171" s="221" t="e">
        <f t="shared" si="24"/>
        <v>#DIV/0!</v>
      </c>
      <c r="AC171" s="251"/>
    </row>
    <row r="172" spans="1:29" ht="15.6" x14ac:dyDescent="0.3">
      <c r="A172" s="206">
        <v>2049</v>
      </c>
      <c r="B172" s="229">
        <v>765.59202262789165</v>
      </c>
      <c r="C172" s="229"/>
      <c r="D172" s="229"/>
      <c r="E172" s="229"/>
      <c r="F172" s="229"/>
      <c r="G172" s="229"/>
      <c r="H172" s="229"/>
      <c r="I172" s="229"/>
      <c r="J172" s="229"/>
      <c r="K172" s="229"/>
      <c r="L172" s="170"/>
      <c r="M172" s="170"/>
      <c r="N172" s="195">
        <f t="shared" si="20"/>
        <v>0</v>
      </c>
      <c r="O172" s="195">
        <f t="shared" si="21"/>
        <v>0</v>
      </c>
      <c r="P172" s="195">
        <f t="shared" si="22"/>
        <v>0</v>
      </c>
      <c r="Q172" s="195">
        <f t="shared" si="23"/>
        <v>0</v>
      </c>
      <c r="R172" s="221" t="e">
        <f t="shared" si="24"/>
        <v>#DIV/0!</v>
      </c>
      <c r="AC172" s="251"/>
    </row>
    <row r="173" spans="1:29" ht="16.2" thickBot="1" x14ac:dyDescent="0.35">
      <c r="A173" s="208">
        <v>2050</v>
      </c>
      <c r="B173" s="231">
        <v>783.51768709267662</v>
      </c>
      <c r="C173" s="229"/>
      <c r="D173" s="229"/>
      <c r="E173" s="231"/>
      <c r="F173" s="231"/>
      <c r="G173" s="231"/>
      <c r="H173" s="231"/>
      <c r="I173" s="231"/>
      <c r="J173" s="231"/>
      <c r="K173" s="231"/>
      <c r="L173" s="209"/>
      <c r="M173" s="209"/>
      <c r="N173" s="195">
        <f t="shared" si="20"/>
        <v>0</v>
      </c>
      <c r="O173" s="195">
        <f t="shared" si="21"/>
        <v>0</v>
      </c>
      <c r="P173" s="195">
        <f t="shared" si="22"/>
        <v>0</v>
      </c>
      <c r="Q173" s="195">
        <f t="shared" si="23"/>
        <v>0</v>
      </c>
      <c r="R173" s="222" t="e">
        <f t="shared" si="24"/>
        <v>#DIV/0!</v>
      </c>
      <c r="AC173" s="251"/>
    </row>
    <row r="174" spans="1:29" ht="15.6" x14ac:dyDescent="0.3">
      <c r="A174" s="213">
        <v>2051</v>
      </c>
      <c r="B174" s="227">
        <v>801.64618749120586</v>
      </c>
      <c r="C174" s="229"/>
      <c r="D174" s="229"/>
      <c r="E174" s="227"/>
      <c r="F174" s="227"/>
      <c r="G174" s="227"/>
      <c r="H174" s="227"/>
      <c r="I174" s="227"/>
      <c r="J174" s="227"/>
      <c r="K174" s="227"/>
      <c r="N174" s="195">
        <f t="shared" si="20"/>
        <v>0</v>
      </c>
      <c r="O174" s="195">
        <f t="shared" si="21"/>
        <v>0</v>
      </c>
      <c r="P174" s="195">
        <f t="shared" si="22"/>
        <v>0</v>
      </c>
      <c r="Q174" s="195">
        <f t="shared" si="23"/>
        <v>0</v>
      </c>
      <c r="R174" s="214" t="e">
        <f t="shared" si="24"/>
        <v>#DIV/0!</v>
      </c>
      <c r="AC174" s="251"/>
    </row>
    <row r="175" spans="1:29" ht="15.6" x14ac:dyDescent="0.3">
      <c r="A175" s="194">
        <v>2052</v>
      </c>
      <c r="B175" s="229">
        <v>819.97169397844823</v>
      </c>
      <c r="C175" s="229"/>
      <c r="D175" s="229"/>
      <c r="E175" s="229"/>
      <c r="F175" s="229"/>
      <c r="G175" s="229"/>
      <c r="H175" s="229"/>
      <c r="I175" s="229"/>
      <c r="J175" s="229"/>
      <c r="K175" s="229"/>
      <c r="N175" s="195">
        <f t="shared" si="20"/>
        <v>0</v>
      </c>
      <c r="O175" s="195">
        <f t="shared" si="21"/>
        <v>0</v>
      </c>
      <c r="P175" s="195">
        <f t="shared" si="22"/>
        <v>0</v>
      </c>
      <c r="Q175" s="195">
        <f t="shared" si="23"/>
        <v>0</v>
      </c>
      <c r="R175" s="196" t="e">
        <f t="shared" si="24"/>
        <v>#DIV/0!</v>
      </c>
      <c r="AC175" s="251"/>
    </row>
    <row r="176" spans="1:29" ht="15.6" x14ac:dyDescent="0.3">
      <c r="A176" s="194">
        <v>2053</v>
      </c>
      <c r="B176" s="229">
        <v>838.48837670937291</v>
      </c>
      <c r="C176" s="229"/>
      <c r="D176" s="229"/>
      <c r="E176" s="229"/>
      <c r="F176" s="229"/>
      <c r="G176" s="229"/>
      <c r="H176" s="229"/>
      <c r="I176" s="229"/>
      <c r="J176" s="229"/>
      <c r="K176" s="229"/>
      <c r="N176" s="195">
        <f t="shared" si="20"/>
        <v>0</v>
      </c>
      <c r="O176" s="195">
        <f t="shared" si="21"/>
        <v>0</v>
      </c>
      <c r="P176" s="195">
        <f t="shared" si="22"/>
        <v>0</v>
      </c>
      <c r="Q176" s="195">
        <f t="shared" si="23"/>
        <v>0</v>
      </c>
      <c r="R176" s="196" t="e">
        <f t="shared" si="24"/>
        <v>#DIV/0!</v>
      </c>
      <c r="AC176" s="251"/>
    </row>
    <row r="177" spans="1:29" ht="15.6" x14ac:dyDescent="0.3">
      <c r="A177" s="194">
        <v>2054</v>
      </c>
      <c r="B177" s="229">
        <v>857.19040583894889</v>
      </c>
      <c r="C177" s="229"/>
      <c r="D177" s="229"/>
      <c r="E177" s="229"/>
      <c r="F177" s="229"/>
      <c r="G177" s="229"/>
      <c r="H177" s="229"/>
      <c r="I177" s="229"/>
      <c r="J177" s="229"/>
      <c r="K177" s="229"/>
      <c r="N177" s="195">
        <f t="shared" si="20"/>
        <v>0</v>
      </c>
      <c r="O177" s="195">
        <f t="shared" si="21"/>
        <v>0</v>
      </c>
      <c r="P177" s="195">
        <f t="shared" si="22"/>
        <v>0</v>
      </c>
      <c r="Q177" s="195">
        <f t="shared" si="23"/>
        <v>0</v>
      </c>
      <c r="R177" s="196" t="e">
        <f t="shared" si="24"/>
        <v>#DIV/0!</v>
      </c>
      <c r="AC177" s="251"/>
    </row>
    <row r="178" spans="1:29" ht="15.6" x14ac:dyDescent="0.3">
      <c r="A178" s="194">
        <v>2055</v>
      </c>
      <c r="B178" s="229">
        <v>876.07195152214524</v>
      </c>
      <c r="C178" s="229"/>
      <c r="D178" s="229"/>
      <c r="E178" s="229"/>
      <c r="F178" s="229"/>
      <c r="G178" s="229"/>
      <c r="H178" s="229"/>
      <c r="I178" s="229"/>
      <c r="J178" s="229"/>
      <c r="K178" s="229"/>
      <c r="N178" s="195">
        <f t="shared" si="20"/>
        <v>0</v>
      </c>
      <c r="O178" s="195">
        <f t="shared" si="21"/>
        <v>0</v>
      </c>
      <c r="P178" s="195">
        <f t="shared" si="22"/>
        <v>0</v>
      </c>
      <c r="Q178" s="195">
        <f t="shared" si="23"/>
        <v>0</v>
      </c>
      <c r="R178" s="196" t="e">
        <f t="shared" si="24"/>
        <v>#DIV/0!</v>
      </c>
      <c r="AC178" s="251"/>
    </row>
    <row r="179" spans="1:29" ht="15.6" x14ac:dyDescent="0.3">
      <c r="A179" s="194">
        <v>2056</v>
      </c>
      <c r="B179" s="229">
        <v>895.12718391393093</v>
      </c>
      <c r="C179" s="229"/>
      <c r="D179" s="229"/>
      <c r="E179" s="229"/>
      <c r="F179" s="229"/>
      <c r="G179" s="229"/>
      <c r="H179" s="229"/>
      <c r="I179" s="229"/>
      <c r="J179" s="229"/>
      <c r="K179" s="229"/>
      <c r="N179" s="195">
        <f t="shared" si="20"/>
        <v>0</v>
      </c>
      <c r="O179" s="195">
        <f t="shared" si="21"/>
        <v>0</v>
      </c>
      <c r="P179" s="195">
        <f t="shared" si="22"/>
        <v>0</v>
      </c>
      <c r="Q179" s="195">
        <f t="shared" si="23"/>
        <v>0</v>
      </c>
      <c r="R179" s="196" t="e">
        <f t="shared" si="24"/>
        <v>#DIV/0!</v>
      </c>
      <c r="AC179" s="251"/>
    </row>
    <row r="180" spans="1:29" ht="15.6" x14ac:dyDescent="0.3">
      <c r="A180" s="194">
        <v>2057</v>
      </c>
      <c r="B180" s="229">
        <v>914.35027316927506</v>
      </c>
      <c r="C180" s="229"/>
      <c r="D180" s="229"/>
      <c r="E180" s="229"/>
      <c r="F180" s="229"/>
      <c r="G180" s="229"/>
      <c r="H180" s="229"/>
      <c r="I180" s="229"/>
      <c r="J180" s="229"/>
      <c r="K180" s="229"/>
      <c r="N180" s="195">
        <f t="shared" si="20"/>
        <v>0</v>
      </c>
      <c r="O180" s="195">
        <f t="shared" si="21"/>
        <v>0</v>
      </c>
      <c r="P180" s="195">
        <f t="shared" si="22"/>
        <v>0</v>
      </c>
      <c r="Q180" s="195">
        <f t="shared" si="23"/>
        <v>0</v>
      </c>
      <c r="R180" s="196" t="e">
        <f t="shared" si="24"/>
        <v>#DIV/0!</v>
      </c>
      <c r="AC180" s="251"/>
    </row>
    <row r="181" spans="1:29" ht="15.6" x14ac:dyDescent="0.3">
      <c r="A181" s="194">
        <v>2058</v>
      </c>
      <c r="B181" s="229">
        <v>933.73538944314669</v>
      </c>
      <c r="C181" s="229"/>
      <c r="D181" s="229"/>
      <c r="E181" s="229"/>
      <c r="F181" s="229"/>
      <c r="G181" s="229"/>
      <c r="H181" s="229"/>
      <c r="I181" s="229"/>
      <c r="J181" s="229"/>
      <c r="K181" s="229"/>
      <c r="N181" s="195">
        <f t="shared" si="20"/>
        <v>0</v>
      </c>
      <c r="O181" s="195">
        <f t="shared" si="21"/>
        <v>0</v>
      </c>
      <c r="P181" s="195">
        <f t="shared" si="22"/>
        <v>0</v>
      </c>
      <c r="Q181" s="195">
        <f t="shared" si="23"/>
        <v>0</v>
      </c>
      <c r="R181" s="196" t="e">
        <f t="shared" si="24"/>
        <v>#DIV/0!</v>
      </c>
      <c r="AC181" s="251"/>
    </row>
    <row r="182" spans="1:29" ht="15.6" x14ac:dyDescent="0.3">
      <c r="A182" s="194">
        <v>2059</v>
      </c>
      <c r="B182" s="229">
        <v>953.27670289051491</v>
      </c>
      <c r="C182" s="229"/>
      <c r="D182" s="229"/>
      <c r="E182" s="229"/>
      <c r="F182" s="229"/>
      <c r="G182" s="229"/>
      <c r="H182" s="229"/>
      <c r="I182" s="229"/>
      <c r="J182" s="229"/>
      <c r="K182" s="229"/>
      <c r="N182" s="195">
        <f t="shared" si="20"/>
        <v>0</v>
      </c>
      <c r="O182" s="195">
        <f t="shared" si="21"/>
        <v>0</v>
      </c>
      <c r="P182" s="195">
        <f t="shared" si="22"/>
        <v>0</v>
      </c>
      <c r="Q182" s="195">
        <f t="shared" si="23"/>
        <v>0</v>
      </c>
      <c r="R182" s="196" t="e">
        <f t="shared" si="24"/>
        <v>#DIV/0!</v>
      </c>
      <c r="AC182" s="251"/>
    </row>
    <row r="183" spans="1:29" ht="15.6" x14ac:dyDescent="0.3">
      <c r="A183" s="194">
        <v>2060</v>
      </c>
      <c r="B183" s="229">
        <v>972.96838366634859</v>
      </c>
      <c r="C183" s="229"/>
      <c r="D183" s="229"/>
      <c r="E183" s="229"/>
      <c r="F183" s="229"/>
      <c r="G183" s="229"/>
      <c r="H183" s="229"/>
      <c r="I183" s="229"/>
      <c r="J183" s="229"/>
      <c r="K183" s="229"/>
      <c r="N183" s="195">
        <f t="shared" si="20"/>
        <v>0</v>
      </c>
      <c r="O183" s="195">
        <f t="shared" si="21"/>
        <v>0</v>
      </c>
      <c r="P183" s="195">
        <f t="shared" si="22"/>
        <v>0</v>
      </c>
      <c r="Q183" s="195">
        <f t="shared" si="23"/>
        <v>0</v>
      </c>
      <c r="R183" s="196" t="e">
        <f>N183/Q183</f>
        <v>#DIV/0!</v>
      </c>
      <c r="AC183" s="251"/>
    </row>
    <row r="186" spans="1:29" x14ac:dyDescent="0.25">
      <c r="H186" s="250"/>
      <c r="I186" s="250"/>
      <c r="J186" s="250"/>
      <c r="K186" s="250"/>
    </row>
    <row r="187" spans="1:29" x14ac:dyDescent="0.25">
      <c r="H187" s="250"/>
      <c r="I187" s="250"/>
      <c r="J187" s="250"/>
      <c r="K187" s="250"/>
    </row>
    <row r="188" spans="1:29" x14ac:dyDescent="0.25">
      <c r="H188" s="250"/>
      <c r="I188" s="250"/>
      <c r="J188" s="250"/>
      <c r="K188" s="250"/>
    </row>
    <row r="189" spans="1:29" x14ac:dyDescent="0.25">
      <c r="H189" s="250"/>
      <c r="I189" s="250"/>
      <c r="J189" s="250"/>
      <c r="K189" s="250"/>
    </row>
    <row r="190" spans="1:29" x14ac:dyDescent="0.25">
      <c r="H190" s="250"/>
      <c r="I190" s="250"/>
      <c r="J190" s="250"/>
      <c r="K190" s="250"/>
    </row>
    <row r="191" spans="1:29" x14ac:dyDescent="0.25">
      <c r="H191" s="250"/>
      <c r="I191" s="250"/>
      <c r="J191" s="250"/>
      <c r="K191" s="250"/>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O24:R24 F3:G14">
      <formula1>"Y,N"</formula1>
    </dataValidation>
  </dataValidation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7030A0"/>
  </sheetPr>
  <dimension ref="A1:EG183"/>
  <sheetViews>
    <sheetView showGridLines="0" zoomScale="96" zoomScaleNormal="96" zoomScalePageLayoutView="80" workbookViewId="0">
      <selection activeCell="M162" sqref="M162"/>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36.5" style="153"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Paper_cluster_lldc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405</v>
      </c>
      <c r="E3" s="249">
        <v>0.44</v>
      </c>
      <c r="F3" s="167" t="s">
        <v>211</v>
      </c>
      <c r="G3" s="167" t="s">
        <v>213</v>
      </c>
      <c r="I3" s="618"/>
      <c r="J3" s="618"/>
      <c r="K3" s="618"/>
      <c r="L3" s="618"/>
      <c r="M3" s="166"/>
      <c r="N3" s="164">
        <f ca="1">SUM(OFFSET(O27,B3-2015,0,B4-B3+1,4))/1000</f>
        <v>8.3634116671741657E-2</v>
      </c>
      <c r="O3" s="165" t="s">
        <v>209</v>
      </c>
      <c r="Q3" s="165"/>
      <c r="S3" s="671" t="s">
        <v>210</v>
      </c>
      <c r="T3" s="671"/>
      <c r="U3" s="671"/>
      <c r="V3" s="671"/>
      <c r="W3" s="671"/>
    </row>
    <row r="4" spans="1:137" ht="13.8" x14ac:dyDescent="0.25">
      <c r="A4" s="153" t="s">
        <v>215</v>
      </c>
      <c r="B4" s="234">
        <v>2050</v>
      </c>
      <c r="D4" s="248"/>
      <c r="E4" s="249"/>
      <c r="F4" s="167"/>
      <c r="G4" s="167"/>
      <c r="I4" s="168"/>
      <c r="J4" s="168"/>
      <c r="K4" s="168"/>
      <c r="L4" s="168"/>
      <c r="M4" s="168"/>
      <c r="N4" s="168"/>
      <c r="S4" s="671"/>
      <c r="T4" s="671"/>
      <c r="U4" s="671"/>
      <c r="V4" s="671"/>
      <c r="W4" s="671"/>
    </row>
    <row r="5" spans="1:137" ht="12.75" customHeight="1" x14ac:dyDescent="0.25">
      <c r="D5" s="248"/>
      <c r="E5" s="249"/>
      <c r="F5" s="167"/>
      <c r="G5" s="167"/>
      <c r="I5" s="618" t="s">
        <v>214</v>
      </c>
      <c r="J5" s="618"/>
      <c r="K5" s="618"/>
      <c r="L5" s="618"/>
      <c r="M5" s="169"/>
      <c r="N5" s="164">
        <f>SUM(J27:M72)/1000</f>
        <v>0</v>
      </c>
      <c r="O5" s="165" t="s">
        <v>208</v>
      </c>
      <c r="S5" s="671"/>
      <c r="T5" s="671"/>
      <c r="U5" s="671"/>
      <c r="V5" s="671"/>
      <c r="W5" s="671"/>
    </row>
    <row r="6" spans="1:137" ht="13.8" x14ac:dyDescent="0.25">
      <c r="D6" s="248"/>
      <c r="E6" s="249"/>
      <c r="F6" s="167"/>
      <c r="G6" s="167"/>
      <c r="I6" s="618"/>
      <c r="J6" s="618"/>
      <c r="K6" s="618"/>
      <c r="L6" s="618"/>
      <c r="M6" s="163"/>
      <c r="N6" s="164">
        <f>SUM(O27:R72)/1000</f>
        <v>0.186930749570523</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c r="Q14" s="383" t="s">
        <v>409</v>
      </c>
      <c r="R14" s="383" t="s">
        <v>408</v>
      </c>
    </row>
    <row r="15" spans="1:137" ht="55.2" x14ac:dyDescent="0.25">
      <c r="O15" s="260" t="s">
        <v>322</v>
      </c>
      <c r="P15" s="260" t="s">
        <v>268</v>
      </c>
      <c r="Q15" s="260" t="s">
        <v>406</v>
      </c>
      <c r="R15" s="260" t="s">
        <v>406</v>
      </c>
    </row>
    <row r="16" spans="1:137" ht="13.8" x14ac:dyDescent="0.25">
      <c r="F16" s="153" t="s">
        <v>217</v>
      </c>
      <c r="O16" s="261"/>
      <c r="P16" s="261"/>
      <c r="Q16" s="261">
        <v>1318973.9612408415</v>
      </c>
      <c r="R16" s="261">
        <v>524550.47029999993</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211</v>
      </c>
      <c r="Q24" s="167" t="s">
        <v>213</v>
      </c>
      <c r="R24" s="167" t="s">
        <v>213</v>
      </c>
    </row>
    <row r="25" spans="1:26" ht="38.25" customHeight="1" x14ac:dyDescent="0.25">
      <c r="B25" s="223" t="s">
        <v>500</v>
      </c>
      <c r="C25" s="223" t="s">
        <v>500</v>
      </c>
      <c r="D25" s="225" t="s">
        <v>513</v>
      </c>
      <c r="E25" s="174" t="s">
        <v>407</v>
      </c>
      <c r="F25" s="174" t="s">
        <v>407</v>
      </c>
      <c r="G25" s="174" t="s">
        <v>249</v>
      </c>
      <c r="H25" s="174" t="s">
        <v>407</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0</v>
      </c>
      <c r="F26" s="183" t="str">
        <f>IFERROR(E26-E25,"")</f>
        <v/>
      </c>
      <c r="G26" s="247">
        <f>IFERROR(E26/(B85-B137),"")</f>
        <v>0</v>
      </c>
      <c r="H26" s="245"/>
      <c r="J26" s="182"/>
      <c r="K26" s="182"/>
      <c r="L26" s="182"/>
      <c r="M26" s="182"/>
      <c r="N26" s="163"/>
      <c r="O26" s="259" t="str">
        <f>IF($O$24="Y",IFERROR(E26*($E$6/SUMIF($G$3:$G$14,"Y",$E$3:$E$14))*$O$16*'Emissions Factors'!B12,""),"")</f>
        <v/>
      </c>
      <c r="P26" s="259" t="str">
        <f>IF($P$24="Y",IFERROR($E26*(SUM($E$3,$E$4,$E$5)/SUMIF($G$3:$G$14,"Y",$E$3:$E$14))*('Emissions Factors'!$T$143*$P$16)/10^6,""),"")</f>
        <v/>
      </c>
      <c r="Q26" s="259">
        <f>IF($Q$24="Y",IFERROR($E26*$Q$16/10^6,""))</f>
        <v>0</v>
      </c>
      <c r="R26" s="259">
        <f>IF($R$24="Y",IFERROR($E26*$R$16/10^6,""))</f>
        <v>0</v>
      </c>
      <c r="T26" s="180" t="str">
        <f t="shared" ref="T26:T72" si="1">IF(AND(A26&gt;=$B$3,A26&lt;=$B$4),SUM(O26:R26),"")</f>
        <v/>
      </c>
      <c r="U26" s="180" t="str">
        <f t="shared" ref="U26:U72" si="2">IF(AND(A26&gt;=$B$3,A26&lt;=$B$4),SUM(J26:M26),"")</f>
        <v/>
      </c>
      <c r="V26" s="177"/>
      <c r="X26" s="180">
        <f t="shared" ref="X26:X72" si="3">SUM(O26:R26)</f>
        <v>0</v>
      </c>
      <c r="Y26" s="180">
        <f t="shared" ref="Y26:Y72" si="4">SUM(J26:M26)</f>
        <v>0</v>
      </c>
    </row>
    <row r="27" spans="1:26" ht="15.6" x14ac:dyDescent="0.3">
      <c r="A27" s="152">
        <v>2015</v>
      </c>
      <c r="B27" s="178">
        <f t="shared" si="0"/>
        <v>0</v>
      </c>
      <c r="C27" s="182">
        <f>IFERROR(B27-B26,"")</f>
        <v>0</v>
      </c>
      <c r="D27" s="183"/>
      <c r="E27" s="179">
        <f t="shared" ref="E27:E72" si="5">IFERROR(IF($F$17="Y",$E$17,$Y86)*(SUMIF($G$3:$G$14,"Y",$E$3:$E$14))*(B86-B138),0)</f>
        <v>0</v>
      </c>
      <c r="F27" s="183">
        <f>IFERROR(E27-E26,"")</f>
        <v>0</v>
      </c>
      <c r="G27" s="247">
        <f t="shared" ref="G27:G72" si="6">IFERROR(E27/(B86-B138),"")</f>
        <v>0</v>
      </c>
      <c r="H27" s="246"/>
      <c r="J27" s="182"/>
      <c r="K27" s="182"/>
      <c r="L27" s="182"/>
      <c r="M27" s="182"/>
      <c r="N27" s="163"/>
      <c r="O27" s="259" t="str">
        <f>IF($O$24="Y",IFERROR(E27*($E$6/SUMIF($G$3:$G$14,"Y",$E$3:$E$14))*$O$16*'Emissions Factors'!B12,""),"")</f>
        <v/>
      </c>
      <c r="P27" s="259" t="str">
        <f>IF($P$24="Y",IFERROR($E27*(SUM($E$3,$E$4,$E$5)/SUMIF($G$3:$G$14,"Y",$E$3:$E$14))*('Emissions Factors'!$T$143*$P$16)/10^6,""),"")</f>
        <v/>
      </c>
      <c r="Q27" s="259">
        <f t="shared" ref="Q27:Q72" si="7">IF($Q$24="Y",IFERROR($E27*$Q$16/10^6,""))</f>
        <v>0</v>
      </c>
      <c r="R27" s="259">
        <f t="shared" ref="R27:R72" si="8">IF($R$24="Y",IFERROR($E27*$R$16/10^6,""))</f>
        <v>0</v>
      </c>
      <c r="T27" s="180" t="str">
        <f t="shared" si="1"/>
        <v/>
      </c>
      <c r="U27" s="180" t="str">
        <f t="shared" si="2"/>
        <v/>
      </c>
      <c r="V27" s="177"/>
      <c r="X27" s="180">
        <f t="shared" si="3"/>
        <v>0</v>
      </c>
      <c r="Y27" s="180">
        <f t="shared" si="4"/>
        <v>0</v>
      </c>
    </row>
    <row r="28" spans="1:26" ht="15.6" x14ac:dyDescent="0.3">
      <c r="A28" s="152">
        <v>2016</v>
      </c>
      <c r="B28" s="178">
        <f t="shared" si="0"/>
        <v>0</v>
      </c>
      <c r="C28" s="182">
        <f t="shared" ref="C28:C72" si="9">IFERROR(B28-B27,"")</f>
        <v>0</v>
      </c>
      <c r="D28" s="183"/>
      <c r="E28" s="179">
        <f t="shared" si="5"/>
        <v>-3.2014422240081333E-4</v>
      </c>
      <c r="F28" s="183">
        <f t="shared" ref="F28:F72" si="10">IFERROR(E28-E27,"")</f>
        <v>-3.2014422240081333E-4</v>
      </c>
      <c r="G28" s="247">
        <f t="shared" si="6"/>
        <v>0.44000000000000006</v>
      </c>
      <c r="H28" s="246"/>
      <c r="J28" s="182"/>
      <c r="K28" s="182"/>
      <c r="L28" s="182"/>
      <c r="M28" s="182"/>
      <c r="N28" s="163"/>
      <c r="O28" s="259" t="str">
        <f>IF($O$24="Y",IFERROR(E28*($E$6/SUMIF($G$3:$G$14,"Y",$E$3:$E$14))*$O$16*'Emissions Factors'!B13,""),"")</f>
        <v/>
      </c>
      <c r="P28" s="259" t="str">
        <f>IF($P$24="Y",IFERROR($E28*(SUM($E$3,$E$4,$E$5)/SUMIF($G$3:$G$14,"Y",$E$3:$E$14))*('Emissions Factors'!$T$143*$P$16)/10^6,""),"")</f>
        <v/>
      </c>
      <c r="Q28" s="259">
        <f t="shared" si="7"/>
        <v>-4.2226189318836968E-4</v>
      </c>
      <c r="R28" s="259">
        <f t="shared" si="8"/>
        <v>-1.679318024241744E-4</v>
      </c>
      <c r="T28" s="180" t="str">
        <f t="shared" si="1"/>
        <v/>
      </c>
      <c r="U28" s="180" t="str">
        <f t="shared" si="2"/>
        <v/>
      </c>
      <c r="V28" s="177"/>
      <c r="X28" s="180">
        <f t="shared" si="3"/>
        <v>-5.9019369561254405E-4</v>
      </c>
      <c r="Y28" s="180">
        <f t="shared" si="4"/>
        <v>0</v>
      </c>
    </row>
    <row r="29" spans="1:26" ht="15.6" x14ac:dyDescent="0.3">
      <c r="A29" s="152">
        <v>2017</v>
      </c>
      <c r="B29" s="178">
        <f t="shared" si="0"/>
        <v>0</v>
      </c>
      <c r="C29" s="182">
        <f>IFERROR(B29-B28,"")</f>
        <v>0</v>
      </c>
      <c r="D29" s="183"/>
      <c r="E29" s="179">
        <f t="shared" si="5"/>
        <v>-3.1723574568559343E-4</v>
      </c>
      <c r="F29" s="183">
        <f>IFERROR(E29-E28,"")</f>
        <v>2.9084767152199047E-6</v>
      </c>
      <c r="G29" s="247">
        <f t="shared" si="6"/>
        <v>0.44</v>
      </c>
      <c r="H29" s="246"/>
      <c r="J29" s="182"/>
      <c r="K29" s="182"/>
      <c r="L29" s="182"/>
      <c r="M29" s="182"/>
      <c r="N29" s="163"/>
      <c r="O29" s="259" t="str">
        <f>IF($O$24="Y",IFERROR(E29*($E$6/SUMIF($G$3:$G$14,"Y",$E$3:$E$14))*$O$16*'Emissions Factors'!B14,""),"")</f>
        <v/>
      </c>
      <c r="P29" s="259" t="str">
        <f>IF($P$24="Y",IFERROR($E29*(SUM($E$3,$E$4,$E$5)/SUMIF($G$3:$G$14,"Y",$E$3:$E$14))*('Emissions Factors'!$T$143*$P$16)/10^6,""),"")</f>
        <v/>
      </c>
      <c r="Q29" s="259">
        <f t="shared" si="7"/>
        <v>-4.1842568813411934E-4</v>
      </c>
      <c r="R29" s="259">
        <f t="shared" si="8"/>
        <v>-1.6640615959534922E-4</v>
      </c>
      <c r="T29" s="180" t="str">
        <f t="shared" si="1"/>
        <v/>
      </c>
      <c r="U29" s="180" t="str">
        <f t="shared" si="2"/>
        <v/>
      </c>
      <c r="V29" s="177"/>
      <c r="X29" s="180">
        <f t="shared" si="3"/>
        <v>-5.848318477294685E-4</v>
      </c>
      <c r="Y29" s="180">
        <f t="shared" si="4"/>
        <v>0</v>
      </c>
    </row>
    <row r="30" spans="1:26" ht="15.6" x14ac:dyDescent="0.3">
      <c r="A30" s="152">
        <v>2018</v>
      </c>
      <c r="B30" s="178">
        <f t="shared" si="0"/>
        <v>0</v>
      </c>
      <c r="C30" s="182">
        <f t="shared" si="9"/>
        <v>0</v>
      </c>
      <c r="D30" s="183"/>
      <c r="E30" s="179">
        <f t="shared" si="5"/>
        <v>-3.1345893982916097E-4</v>
      </c>
      <c r="F30" s="183">
        <f t="shared" si="10"/>
        <v>3.7768058564324595E-6</v>
      </c>
      <c r="G30" s="247">
        <f t="shared" si="6"/>
        <v>0.44</v>
      </c>
      <c r="H30" s="246"/>
      <c r="J30" s="182"/>
      <c r="K30" s="182"/>
      <c r="L30" s="182"/>
      <c r="M30" s="182"/>
      <c r="N30" s="163"/>
      <c r="O30" s="259" t="str">
        <f>IF($O$24="Y",IFERROR(E30*($E$6/SUMIF($G$3:$G$14,"Y",$E$3:$E$14))*$O$16*'Emissions Factors'!B15,""),"")</f>
        <v/>
      </c>
      <c r="P30" s="259" t="str">
        <f>IF($P$24="Y",IFERROR($E30*(SUM($E$3,$E$4,$E$5)/SUMIF($G$3:$G$14,"Y",$E$3:$E$14))*('Emissions Factors'!$T$143*$P$16)/10^6,""),"")</f>
        <v/>
      </c>
      <c r="Q30" s="259">
        <f t="shared" si="7"/>
        <v>-4.1344417955282303E-4</v>
      </c>
      <c r="R30" s="259">
        <f t="shared" si="8"/>
        <v>-1.6442503430712577E-4</v>
      </c>
      <c r="T30" s="180" t="str">
        <f t="shared" si="1"/>
        <v/>
      </c>
      <c r="U30" s="180" t="str">
        <f t="shared" si="2"/>
        <v/>
      </c>
      <c r="V30" s="177"/>
      <c r="X30" s="180">
        <f t="shared" si="3"/>
        <v>-5.778692138599488E-4</v>
      </c>
      <c r="Y30" s="180">
        <f t="shared" si="4"/>
        <v>0</v>
      </c>
    </row>
    <row r="31" spans="1:26" ht="15.6" x14ac:dyDescent="0.3">
      <c r="A31" s="152">
        <v>2019</v>
      </c>
      <c r="B31" s="178">
        <f t="shared" si="0"/>
        <v>0</v>
      </c>
      <c r="C31" s="182">
        <f t="shared" si="9"/>
        <v>0</v>
      </c>
      <c r="D31" s="183"/>
      <c r="E31" s="179">
        <f t="shared" si="5"/>
        <v>-3.1043373446436816E-4</v>
      </c>
      <c r="F31" s="183">
        <f t="shared" si="10"/>
        <v>3.025205364792804E-6</v>
      </c>
      <c r="G31" s="247">
        <f t="shared" si="6"/>
        <v>0.44</v>
      </c>
      <c r="H31" s="246"/>
      <c r="J31" s="182"/>
      <c r="K31" s="182"/>
      <c r="L31" s="182"/>
      <c r="M31" s="182"/>
      <c r="N31" s="163"/>
      <c r="O31" s="259" t="str">
        <f>IF($O$24="Y",IFERROR(E31*($E$6/SUMIF($G$3:$G$14,"Y",$E$3:$E$14))*$O$16*'Emissions Factors'!B16,""),"")</f>
        <v/>
      </c>
      <c r="P31" s="259" t="str">
        <f>IF($P$24="Y",IFERROR($E31*(SUM($E$3,$E$4,$E$5)/SUMIF($G$3:$G$14,"Y",$E$3:$E$14))*('Emissions Factors'!$T$143*$P$16)/10^6,""),"")</f>
        <v/>
      </c>
      <c r="Q31" s="259">
        <f t="shared" si="7"/>
        <v>-4.0945401244925524E-4</v>
      </c>
      <c r="R31" s="259">
        <f t="shared" si="8"/>
        <v>-1.6283816141026962E-4</v>
      </c>
      <c r="T31" s="180" t="str">
        <f t="shared" si="1"/>
        <v/>
      </c>
      <c r="U31" s="180" t="str">
        <f t="shared" si="2"/>
        <v/>
      </c>
      <c r="V31" s="177"/>
      <c r="X31" s="180">
        <f t="shared" si="3"/>
        <v>-5.7229217385952483E-4</v>
      </c>
      <c r="Y31" s="180">
        <f t="shared" si="4"/>
        <v>0</v>
      </c>
    </row>
    <row r="32" spans="1:26" ht="15.6" x14ac:dyDescent="0.3">
      <c r="A32" s="152">
        <v>2020</v>
      </c>
      <c r="B32" s="178">
        <f t="shared" si="0"/>
        <v>0</v>
      </c>
      <c r="C32" s="182">
        <f t="shared" si="9"/>
        <v>0</v>
      </c>
      <c r="D32" s="183"/>
      <c r="E32" s="179">
        <f t="shared" si="5"/>
        <v>-3.0822392386426145E-4</v>
      </c>
      <c r="F32" s="183">
        <f t="shared" si="10"/>
        <v>2.20981060010671E-6</v>
      </c>
      <c r="G32" s="247">
        <f t="shared" si="6"/>
        <v>0.44</v>
      </c>
      <c r="H32" s="246"/>
      <c r="J32" s="182"/>
      <c r="K32" s="182"/>
      <c r="L32" s="182"/>
      <c r="M32" s="182"/>
      <c r="N32" s="163"/>
      <c r="O32" s="259" t="str">
        <f>IF($O$24="Y",IFERROR(E32*($E$6/SUMIF($G$3:$G$14,"Y",$E$3:$E$14))*$O$16*'Emissions Factors'!B17,""),"")</f>
        <v/>
      </c>
      <c r="P32" s="259" t="str">
        <f>IF($P$24="Y",IFERROR($E32*(SUM($E$3,$E$4,$E$5)/SUMIF($G$3:$G$14,"Y",$E$3:$E$14))*('Emissions Factors'!$T$143*$P$16)/10^6,""),"")</f>
        <v/>
      </c>
      <c r="Q32" s="259">
        <f t="shared" si="7"/>
        <v>-4.0653932980844046E-4</v>
      </c>
      <c r="R32" s="259">
        <f t="shared" si="8"/>
        <v>-1.6167900422070971E-4</v>
      </c>
      <c r="T32" s="180">
        <f t="shared" si="1"/>
        <v>-5.6821833402915015E-4</v>
      </c>
      <c r="U32" s="180">
        <f t="shared" si="2"/>
        <v>0</v>
      </c>
      <c r="V32" s="177"/>
      <c r="X32" s="180">
        <f t="shared" si="3"/>
        <v>-5.6821833402915015E-4</v>
      </c>
      <c r="Y32" s="180">
        <f t="shared" si="4"/>
        <v>0</v>
      </c>
    </row>
    <row r="33" spans="1:25" ht="15.6" x14ac:dyDescent="0.3">
      <c r="A33" s="152">
        <v>2021</v>
      </c>
      <c r="B33" s="178">
        <f t="shared" si="0"/>
        <v>0</v>
      </c>
      <c r="C33" s="182">
        <f t="shared" si="9"/>
        <v>0</v>
      </c>
      <c r="D33" s="183"/>
      <c r="E33" s="179">
        <f t="shared" si="5"/>
        <v>2.9684448350230271E-2</v>
      </c>
      <c r="F33" s="183">
        <f t="shared" si="10"/>
        <v>2.9992672274094533E-2</v>
      </c>
      <c r="G33" s="247">
        <f t="shared" si="6"/>
        <v>4.7366223434784957E-2</v>
      </c>
      <c r="H33" s="246"/>
      <c r="J33" s="182"/>
      <c r="K33" s="182"/>
      <c r="L33" s="182"/>
      <c r="M33" s="182"/>
      <c r="N33" s="163"/>
      <c r="O33" s="259" t="str">
        <f>IF($O$24="Y",IFERROR(E33*($E$6/SUMIF($G$3:$G$14,"Y",$E$3:$E$14))*$O$16*'Emissions Factors'!B18,""),"")</f>
        <v/>
      </c>
      <c r="P33" s="259" t="str">
        <f>IF($P$24="Y",IFERROR($E33*(SUM($E$3,$E$4,$E$5)/SUMIF($G$3:$G$14,"Y",$E$3:$E$14))*('Emissions Factors'!$T$143*$P$16)/10^6,""),"")</f>
        <v/>
      </c>
      <c r="Q33" s="259">
        <f t="shared" si="7"/>
        <v>3.9153014427752389E-2</v>
      </c>
      <c r="R33" s="259">
        <f t="shared" si="8"/>
        <v>1.5570991342709345E-2</v>
      </c>
      <c r="T33" s="180">
        <f t="shared" si="1"/>
        <v>5.4724005770461735E-2</v>
      </c>
      <c r="U33" s="180">
        <f t="shared" si="2"/>
        <v>0</v>
      </c>
      <c r="V33" s="177"/>
      <c r="X33" s="180">
        <f t="shared" si="3"/>
        <v>5.4724005770461735E-2</v>
      </c>
      <c r="Y33" s="180">
        <f t="shared" si="4"/>
        <v>0</v>
      </c>
    </row>
    <row r="34" spans="1:25" ht="15.6" x14ac:dyDescent="0.3">
      <c r="A34" s="152">
        <v>2022</v>
      </c>
      <c r="B34" s="178">
        <f t="shared" si="0"/>
        <v>0</v>
      </c>
      <c r="C34" s="182">
        <f t="shared" si="9"/>
        <v>0</v>
      </c>
      <c r="D34" s="183"/>
      <c r="E34" s="179">
        <f t="shared" si="5"/>
        <v>7.3427375773619075E-2</v>
      </c>
      <c r="F34" s="183">
        <f t="shared" si="10"/>
        <v>4.3742927423388804E-2</v>
      </c>
      <c r="G34" s="247">
        <f t="shared" si="6"/>
        <v>5.1301991314655543E-2</v>
      </c>
      <c r="H34" s="246"/>
      <c r="J34" s="182"/>
      <c r="K34" s="182"/>
      <c r="L34" s="182"/>
      <c r="M34" s="182"/>
      <c r="N34" s="163"/>
      <c r="O34" s="259" t="str">
        <f>IF($O$24="Y",IFERROR(E34*($E$6/SUMIF($G$3:$G$14,"Y",$E$3:$E$14))*$O$16*'Emissions Factors'!B19,""),"")</f>
        <v/>
      </c>
      <c r="P34" s="259" t="str">
        <f>IF($P$24="Y",IFERROR($E34*(SUM($E$3,$E$4,$E$5)/SUMIF($G$3:$G$14,"Y",$E$3:$E$14))*('Emissions Factors'!$T$143*$P$16)/10^6,""),"")</f>
        <v/>
      </c>
      <c r="Q34" s="259">
        <f t="shared" si="7"/>
        <v>9.684879668765016E-2</v>
      </c>
      <c r="R34" s="259">
        <f t="shared" si="8"/>
        <v>3.8516364494946706E-2</v>
      </c>
      <c r="T34" s="180">
        <f t="shared" si="1"/>
        <v>0.13536516118259687</v>
      </c>
      <c r="U34" s="180">
        <f t="shared" si="2"/>
        <v>0</v>
      </c>
      <c r="V34" s="177"/>
      <c r="X34" s="180">
        <f t="shared" si="3"/>
        <v>0.13536516118259687</v>
      </c>
      <c r="Y34" s="180">
        <f t="shared" si="4"/>
        <v>0</v>
      </c>
    </row>
    <row r="35" spans="1:25" ht="15.6" x14ac:dyDescent="0.3">
      <c r="A35" s="152">
        <v>2023</v>
      </c>
      <c r="B35" s="178">
        <f t="shared" si="0"/>
        <v>0</v>
      </c>
      <c r="C35" s="182">
        <f t="shared" si="9"/>
        <v>0</v>
      </c>
      <c r="D35" s="183"/>
      <c r="E35" s="179">
        <f t="shared" si="5"/>
        <v>0.12804632302636268</v>
      </c>
      <c r="F35" s="183">
        <f t="shared" si="10"/>
        <v>5.4618947252743605E-2</v>
      </c>
      <c r="G35" s="247">
        <f t="shared" si="6"/>
        <v>5.3397988571074452E-2</v>
      </c>
      <c r="H35" s="246"/>
      <c r="J35" s="182"/>
      <c r="K35" s="182"/>
      <c r="L35" s="182"/>
      <c r="M35" s="182"/>
      <c r="N35" s="163"/>
      <c r="O35" s="259" t="str">
        <f>IF($O$24="Y",IFERROR(E35*($E$6/SUMIF($G$3:$G$14,"Y",$E$3:$E$14))*$O$16*'Emissions Factors'!B20,""),"")</f>
        <v/>
      </c>
      <c r="P35" s="259" t="str">
        <f>IF($P$24="Y",IFERROR($E35*(SUM($E$3,$E$4,$E$5)/SUMIF($G$3:$G$14,"Y",$E$3:$E$14))*('Emissions Factors'!$T$143*$P$16)/10^6,""),"")</f>
        <v/>
      </c>
      <c r="Q35" s="259">
        <f t="shared" si="7"/>
        <v>0.16888976590440596</v>
      </c>
      <c r="R35" s="259">
        <f t="shared" si="8"/>
        <v>6.7166758963664253E-2</v>
      </c>
      <c r="T35" s="180">
        <f t="shared" si="1"/>
        <v>0.23605652486807022</v>
      </c>
      <c r="U35" s="180">
        <f t="shared" si="2"/>
        <v>0</v>
      </c>
      <c r="V35" s="177"/>
      <c r="X35" s="180">
        <f t="shared" si="3"/>
        <v>0.23605652486807022</v>
      </c>
      <c r="Y35" s="180">
        <f t="shared" si="4"/>
        <v>0</v>
      </c>
    </row>
    <row r="36" spans="1:25" ht="15.6" x14ac:dyDescent="0.3">
      <c r="A36" s="152">
        <v>2024</v>
      </c>
      <c r="B36" s="178">
        <f t="shared" si="0"/>
        <v>0</v>
      </c>
      <c r="C36" s="182">
        <f t="shared" si="9"/>
        <v>0</v>
      </c>
      <c r="D36" s="183"/>
      <c r="E36" s="179">
        <f t="shared" si="5"/>
        <v>0.19183108347059968</v>
      </c>
      <c r="F36" s="183">
        <f t="shared" si="10"/>
        <v>6.3784760444237004E-2</v>
      </c>
      <c r="G36" s="247">
        <f t="shared" si="6"/>
        <v>5.4463643722708802E-2</v>
      </c>
      <c r="H36" s="246"/>
      <c r="J36" s="182"/>
      <c r="K36" s="182"/>
      <c r="L36" s="182"/>
      <c r="M36" s="182"/>
      <c r="N36" s="163"/>
      <c r="O36" s="259" t="str">
        <f>IF($O$24="Y",IFERROR(E36*($E$6/SUMIF($G$3:$G$14,"Y",$E$3:$E$14))*$O$16*'Emissions Factors'!B21,""),"")</f>
        <v/>
      </c>
      <c r="P36" s="259" t="str">
        <f>IF($P$24="Y",IFERROR($E36*(SUM($E$3,$E$4,$E$5)/SUMIF($G$3:$G$14,"Y",$E$3:$E$14))*('Emissions Factors'!$T$143*$P$16)/10^6,""),"")</f>
        <v/>
      </c>
      <c r="Q36" s="259">
        <f t="shared" si="7"/>
        <v>0.25302020405433939</v>
      </c>
      <c r="R36" s="259">
        <f t="shared" si="8"/>
        <v>0.10062508505266161</v>
      </c>
      <c r="T36" s="180">
        <f t="shared" si="1"/>
        <v>0.35364528910700099</v>
      </c>
      <c r="U36" s="180">
        <f t="shared" si="2"/>
        <v>0</v>
      </c>
      <c r="V36" s="177"/>
      <c r="X36" s="180">
        <f t="shared" si="3"/>
        <v>0.35364528910700099</v>
      </c>
      <c r="Y36" s="180">
        <f t="shared" si="4"/>
        <v>0</v>
      </c>
    </row>
    <row r="37" spans="1:25" ht="15.6" x14ac:dyDescent="0.3">
      <c r="A37" s="152">
        <v>2025</v>
      </c>
      <c r="B37" s="178">
        <f t="shared" si="0"/>
        <v>0</v>
      </c>
      <c r="C37" s="182">
        <f t="shared" si="9"/>
        <v>0</v>
      </c>
      <c r="D37" s="183"/>
      <c r="E37" s="179">
        <f t="shared" si="5"/>
        <v>0.26359332514009876</v>
      </c>
      <c r="F37" s="183">
        <f t="shared" si="10"/>
        <v>7.1762241669499072E-2</v>
      </c>
      <c r="G37" s="247">
        <f t="shared" si="6"/>
        <v>5.4892407501813525E-2</v>
      </c>
      <c r="H37" s="246"/>
      <c r="J37" s="182"/>
      <c r="K37" s="182"/>
      <c r="L37" s="182"/>
      <c r="M37" s="182"/>
      <c r="N37" s="163"/>
      <c r="O37" s="259" t="str">
        <f>IF($O$24="Y",IFERROR(E37*($E$6/SUMIF($G$3:$G$14,"Y",$E$3:$E$14))*$O$16*'Emissions Factors'!B22,""),"")</f>
        <v/>
      </c>
      <c r="P37" s="259" t="str">
        <f>IF($P$24="Y",IFERROR($E37*(SUM($E$3,$E$4,$E$5)/SUMIF($G$3:$G$14,"Y",$E$3:$E$14))*('Emissions Factors'!$T$143*$P$16)/10^6,""),"")</f>
        <v/>
      </c>
      <c r="Q37" s="259">
        <f t="shared" si="7"/>
        <v>0.34767273221668116</v>
      </c>
      <c r="R37" s="259">
        <f t="shared" si="8"/>
        <v>0.13826800267017958</v>
      </c>
      <c r="T37" s="180">
        <f t="shared" si="1"/>
        <v>0.48594073488686074</v>
      </c>
      <c r="U37" s="180">
        <f t="shared" si="2"/>
        <v>0</v>
      </c>
      <c r="V37" s="177"/>
      <c r="X37" s="180">
        <f t="shared" si="3"/>
        <v>0.48594073488686074</v>
      </c>
      <c r="Y37" s="180">
        <f t="shared" si="4"/>
        <v>0</v>
      </c>
    </row>
    <row r="38" spans="1:25" ht="15.6" x14ac:dyDescent="0.3">
      <c r="A38" s="152">
        <v>2026</v>
      </c>
      <c r="B38" s="178">
        <f t="shared" si="0"/>
        <v>0</v>
      </c>
      <c r="C38" s="182">
        <f t="shared" si="9"/>
        <v>0</v>
      </c>
      <c r="D38" s="183"/>
      <c r="E38" s="179">
        <f t="shared" si="5"/>
        <v>0.34231886660335342</v>
      </c>
      <c r="F38" s="183">
        <f t="shared" si="10"/>
        <v>7.8725541463254667E-2</v>
      </c>
      <c r="G38" s="247">
        <f t="shared" si="6"/>
        <v>5.490344366097042E-2</v>
      </c>
      <c r="H38" s="246"/>
      <c r="J38" s="182"/>
      <c r="K38" s="182"/>
      <c r="L38" s="182"/>
      <c r="M38" s="182"/>
      <c r="N38" s="163"/>
      <c r="O38" s="259" t="str">
        <f>IF($O$24="Y",IFERROR(E38*($E$6/SUMIF($G$3:$G$14,"Y",$E$3:$E$14))*$O$16*'Emissions Factors'!B23,""),"")</f>
        <v/>
      </c>
      <c r="P38" s="259" t="str">
        <f>IF($P$24="Y",IFERROR($E38*(SUM($E$3,$E$4,$E$5)/SUMIF($G$3:$G$14,"Y",$E$3:$E$14))*('Emissions Factors'!$T$143*$P$16)/10^6,""),"")</f>
        <v/>
      </c>
      <c r="Q38" s="259">
        <f t="shared" si="7"/>
        <v>0.45150967149130028</v>
      </c>
      <c r="R38" s="259">
        <f t="shared" si="8"/>
        <v>0.17956352246935198</v>
      </c>
      <c r="T38" s="180">
        <f t="shared" si="1"/>
        <v>0.6310731939606522</v>
      </c>
      <c r="U38" s="180">
        <f t="shared" si="2"/>
        <v>0</v>
      </c>
      <c r="V38" s="177"/>
      <c r="X38" s="180">
        <f t="shared" si="3"/>
        <v>0.6310731939606522</v>
      </c>
      <c r="Y38" s="180">
        <f t="shared" si="4"/>
        <v>0</v>
      </c>
    </row>
    <row r="39" spans="1:25" ht="15.6" x14ac:dyDescent="0.3">
      <c r="A39" s="152">
        <v>2027</v>
      </c>
      <c r="B39" s="178">
        <f t="shared" si="0"/>
        <v>0</v>
      </c>
      <c r="C39" s="182">
        <f t="shared" si="9"/>
        <v>0</v>
      </c>
      <c r="D39" s="183"/>
      <c r="E39" s="179">
        <f t="shared" si="5"/>
        <v>0.4272503071812121</v>
      </c>
      <c r="F39" s="183">
        <f t="shared" si="10"/>
        <v>8.4931440577858675E-2</v>
      </c>
      <c r="G39" s="247">
        <f t="shared" si="6"/>
        <v>5.4643291748100557E-2</v>
      </c>
      <c r="H39" s="246"/>
      <c r="J39" s="182"/>
      <c r="K39" s="182"/>
      <c r="L39" s="182"/>
      <c r="M39" s="182"/>
      <c r="N39" s="163"/>
      <c r="O39" s="259" t="str">
        <f>IF($O$24="Y",IFERROR(E39*($E$6/SUMIF($G$3:$G$14,"Y",$E$3:$E$14))*$O$16*'Emissions Factors'!B24,""),"")</f>
        <v/>
      </c>
      <c r="P39" s="259" t="str">
        <f>IF($P$24="Y",IFERROR($E39*(SUM($E$3,$E$4,$E$5)/SUMIF($G$3:$G$14,"Y",$E$3:$E$14))*('Emissions Factors'!$T$143*$P$16)/10^6,""),"")</f>
        <v/>
      </c>
      <c r="Q39" s="259">
        <f t="shared" si="7"/>
        <v>0.56353203010416975</v>
      </c>
      <c r="R39" s="259">
        <f t="shared" si="8"/>
        <v>0.22411434956772425</v>
      </c>
      <c r="T39" s="180">
        <f t="shared" si="1"/>
        <v>0.78764637967189399</v>
      </c>
      <c r="U39" s="180">
        <f t="shared" si="2"/>
        <v>0</v>
      </c>
      <c r="V39" s="177"/>
      <c r="X39" s="180">
        <f t="shared" si="3"/>
        <v>0.78764637967189399</v>
      </c>
      <c r="Y39" s="180">
        <f t="shared" si="4"/>
        <v>0</v>
      </c>
    </row>
    <row r="40" spans="1:25" ht="15.6" x14ac:dyDescent="0.3">
      <c r="A40" s="152">
        <v>2028</v>
      </c>
      <c r="B40" s="178">
        <f t="shared" si="0"/>
        <v>0</v>
      </c>
      <c r="C40" s="182">
        <f t="shared" si="9"/>
        <v>0</v>
      </c>
      <c r="D40" s="183"/>
      <c r="E40" s="179">
        <f t="shared" si="5"/>
        <v>0.51831711270660641</v>
      </c>
      <c r="F40" s="183">
        <f t="shared" si="10"/>
        <v>9.1066805525394312E-2</v>
      </c>
      <c r="G40" s="247">
        <f t="shared" si="6"/>
        <v>5.4229775739547785E-2</v>
      </c>
      <c r="H40" s="246"/>
      <c r="J40" s="182"/>
      <c r="K40" s="182"/>
      <c r="L40" s="182"/>
      <c r="M40" s="182"/>
      <c r="N40" s="163"/>
      <c r="O40" s="259" t="str">
        <f>IF($O$24="Y",IFERROR(E40*($E$6/SUMIF($G$3:$G$14,"Y",$E$3:$E$14))*$O$16*'Emissions Factors'!B25,""),"")</f>
        <v/>
      </c>
      <c r="P40" s="259" t="str">
        <f>IF($P$24="Y",IFERROR($E40*(SUM($E$3,$E$4,$E$5)/SUMIF($G$3:$G$14,"Y",$E$3:$E$14))*('Emissions Factors'!$T$143*$P$16)/10^6,""),"")</f>
        <v/>
      </c>
      <c r="Q40" s="259">
        <f t="shared" si="7"/>
        <v>0.68364677532554841</v>
      </c>
      <c r="R40" s="259">
        <f t="shared" si="8"/>
        <v>0.27188348523478845</v>
      </c>
      <c r="T40" s="180">
        <f t="shared" si="1"/>
        <v>0.95553026056033685</v>
      </c>
      <c r="U40" s="180">
        <f t="shared" si="2"/>
        <v>0</v>
      </c>
      <c r="V40" s="177"/>
      <c r="X40" s="180">
        <f t="shared" si="3"/>
        <v>0.95553026056033685</v>
      </c>
      <c r="Y40" s="180">
        <f t="shared" si="4"/>
        <v>0</v>
      </c>
    </row>
    <row r="41" spans="1:25" ht="15.6" x14ac:dyDescent="0.3">
      <c r="A41" s="152">
        <v>2029</v>
      </c>
      <c r="B41" s="178">
        <f t="shared" si="0"/>
        <v>0</v>
      </c>
      <c r="C41" s="182">
        <f t="shared" si="9"/>
        <v>0</v>
      </c>
      <c r="D41" s="183"/>
      <c r="E41" s="179">
        <f t="shared" si="5"/>
        <v>0.61577070868001282</v>
      </c>
      <c r="F41" s="183">
        <f t="shared" si="10"/>
        <v>9.7453595973406415E-2</v>
      </c>
      <c r="G41" s="247">
        <f t="shared" si="6"/>
        <v>5.3743589401495234E-2</v>
      </c>
      <c r="H41" s="246"/>
      <c r="J41" s="182"/>
      <c r="K41" s="182"/>
      <c r="L41" s="182"/>
      <c r="M41" s="182"/>
      <c r="N41" s="163"/>
      <c r="O41" s="259" t="str">
        <f>IF($O$24="Y",IFERROR(E41*($E$6/SUMIF($G$3:$G$14,"Y",$E$3:$E$14))*$O$16*'Emissions Factors'!B26,""),"")</f>
        <v/>
      </c>
      <c r="P41" s="259" t="str">
        <f>IF($P$24="Y",IFERROR($E41*(SUM($E$3,$E$4,$E$5)/SUMIF($G$3:$G$14,"Y",$E$3:$E$14))*('Emissions Factors'!$T$143*$P$16)/10^6,""),"")</f>
        <v/>
      </c>
      <c r="Q41" s="259">
        <f t="shared" si="7"/>
        <v>0.81218553084375678</v>
      </c>
      <c r="R41" s="259">
        <f t="shared" si="8"/>
        <v>0.32300281483506499</v>
      </c>
      <c r="T41" s="180">
        <f t="shared" si="1"/>
        <v>1.1351883456788219</v>
      </c>
      <c r="U41" s="180">
        <f t="shared" si="2"/>
        <v>0</v>
      </c>
      <c r="V41" s="177"/>
      <c r="X41" s="180">
        <f t="shared" si="3"/>
        <v>1.1351883456788219</v>
      </c>
      <c r="Y41" s="180">
        <f t="shared" si="4"/>
        <v>0</v>
      </c>
    </row>
    <row r="42" spans="1:25" ht="15.6" x14ac:dyDescent="0.3">
      <c r="A42" s="152">
        <v>2030</v>
      </c>
      <c r="B42" s="178">
        <f t="shared" si="0"/>
        <v>0</v>
      </c>
      <c r="C42" s="182">
        <f t="shared" si="9"/>
        <v>0</v>
      </c>
      <c r="D42" s="183"/>
      <c r="E42" s="179">
        <f t="shared" si="5"/>
        <v>0.71989385623825697</v>
      </c>
      <c r="F42" s="183">
        <f t="shared" si="10"/>
        <v>0.10412314755824414</v>
      </c>
      <c r="G42" s="247">
        <f t="shared" si="6"/>
        <v>5.3227804901407744E-2</v>
      </c>
      <c r="H42" s="246"/>
      <c r="J42" s="182"/>
      <c r="K42" s="182"/>
      <c r="L42" s="182"/>
      <c r="M42" s="182"/>
      <c r="N42" s="163"/>
      <c r="O42" s="259" t="str">
        <f>IF($O$24="Y",IFERROR(E42*($E$6/SUMIF($G$3:$G$14,"Y",$E$3:$E$14))*$O$16*'Emissions Factors'!B27,""),"")</f>
        <v/>
      </c>
      <c r="P42" s="259" t="str">
        <f>IF($P$24="Y",IFERROR($E42*(SUM($E$3,$E$4,$E$5)/SUMIF($G$3:$G$14,"Y",$E$3:$E$14))*('Emissions Factors'!$T$143*$P$16)/10^6,""),"")</f>
        <v/>
      </c>
      <c r="Q42" s="259">
        <f t="shared" si="7"/>
        <v>0.94952125123551867</v>
      </c>
      <c r="R42" s="259">
        <f t="shared" si="8"/>
        <v>0.37762066085585821</v>
      </c>
      <c r="T42" s="180">
        <f t="shared" si="1"/>
        <v>1.3271419120913768</v>
      </c>
      <c r="U42" s="180">
        <f t="shared" si="2"/>
        <v>0</v>
      </c>
      <c r="V42" s="177"/>
      <c r="X42" s="180">
        <f t="shared" si="3"/>
        <v>1.3271419120913768</v>
      </c>
      <c r="Y42" s="180">
        <f t="shared" si="4"/>
        <v>0</v>
      </c>
    </row>
    <row r="43" spans="1:25" ht="15.6" x14ac:dyDescent="0.3">
      <c r="A43" s="152">
        <v>2031</v>
      </c>
      <c r="B43" s="178">
        <f t="shared" si="0"/>
        <v>0</v>
      </c>
      <c r="C43" s="182">
        <f t="shared" si="9"/>
        <v>0</v>
      </c>
      <c r="D43" s="183"/>
      <c r="E43" s="179">
        <f t="shared" si="5"/>
        <v>0.8304936913009604</v>
      </c>
      <c r="F43" s="183">
        <f t="shared" si="10"/>
        <v>0.11059983506270343</v>
      </c>
      <c r="G43" s="247">
        <f t="shared" si="6"/>
        <v>5.268508351052209E-2</v>
      </c>
      <c r="H43" s="246"/>
      <c r="J43" s="182"/>
      <c r="K43" s="182"/>
      <c r="L43" s="182"/>
      <c r="M43" s="182"/>
      <c r="N43" s="163"/>
      <c r="O43" s="259" t="str">
        <f>IF($O$24="Y",IFERROR(E43*($E$6/SUMIF($G$3:$G$14,"Y",$E$3:$E$14))*$O$16*'Emissions Factors'!B28,""),"")</f>
        <v/>
      </c>
      <c r="P43" s="259" t="str">
        <f>IF($P$24="Y",IFERROR($E43*(SUM($E$3,$E$4,$E$5)/SUMIF($G$3:$G$14,"Y",$E$3:$E$14))*('Emissions Factors'!$T$143*$P$16)/10^6,""),"")</f>
        <v/>
      </c>
      <c r="Q43" s="259">
        <f t="shared" si="7"/>
        <v>1.0953995538007564</v>
      </c>
      <c r="R43" s="259">
        <f t="shared" si="8"/>
        <v>0.4356358563531017</v>
      </c>
      <c r="T43" s="180">
        <f t="shared" si="1"/>
        <v>1.5310354101538581</v>
      </c>
      <c r="U43" s="180">
        <f t="shared" si="2"/>
        <v>0</v>
      </c>
      <c r="V43" s="177"/>
      <c r="X43" s="180">
        <f t="shared" si="3"/>
        <v>1.5310354101538581</v>
      </c>
      <c r="Y43" s="180">
        <f t="shared" si="4"/>
        <v>0</v>
      </c>
    </row>
    <row r="44" spans="1:25" ht="15.6" x14ac:dyDescent="0.3">
      <c r="A44" s="152">
        <v>2032</v>
      </c>
      <c r="B44" s="178">
        <f t="shared" si="0"/>
        <v>0</v>
      </c>
      <c r="C44" s="182">
        <f t="shared" si="9"/>
        <v>0</v>
      </c>
      <c r="D44" s="183"/>
      <c r="E44" s="179">
        <f t="shared" si="5"/>
        <v>0.94663074414430948</v>
      </c>
      <c r="F44" s="183">
        <f t="shared" si="10"/>
        <v>0.11613705284334908</v>
      </c>
      <c r="G44" s="247">
        <f t="shared" si="6"/>
        <v>5.210571416003041E-2</v>
      </c>
      <c r="H44" s="246"/>
      <c r="J44" s="182"/>
      <c r="K44" s="182"/>
      <c r="L44" s="182"/>
      <c r="M44" s="182"/>
      <c r="N44" s="163"/>
      <c r="O44" s="259" t="str">
        <f>IF($O$24="Y",IFERROR(E44*($E$6/SUMIF($G$3:$G$14,"Y",$E$3:$E$14))*$O$16*'Emissions Factors'!B29,""),"")</f>
        <v/>
      </c>
      <c r="P44" s="259" t="str">
        <f>IF($P$24="Y",IFERROR($E44*(SUM($E$3,$E$4,$E$5)/SUMIF($G$3:$G$14,"Y",$E$3:$E$14))*('Emissions Factors'!$T$143*$P$16)/10^6,""),"")</f>
        <v/>
      </c>
      <c r="Q44" s="259">
        <f t="shared" si="7"/>
        <v>1.2485813024363854</v>
      </c>
      <c r="R44" s="259">
        <f t="shared" si="8"/>
        <v>0.49655560204133642</v>
      </c>
      <c r="T44" s="180">
        <f t="shared" si="1"/>
        <v>1.7451369044777219</v>
      </c>
      <c r="U44" s="180">
        <f t="shared" si="2"/>
        <v>0</v>
      </c>
      <c r="V44" s="177"/>
      <c r="X44" s="180">
        <f t="shared" si="3"/>
        <v>1.7451369044777219</v>
      </c>
      <c r="Y44" s="180">
        <f t="shared" si="4"/>
        <v>0</v>
      </c>
    </row>
    <row r="45" spans="1:25" ht="15.6" x14ac:dyDescent="0.3">
      <c r="A45" s="152">
        <v>2033</v>
      </c>
      <c r="B45" s="178">
        <f t="shared" si="0"/>
        <v>0</v>
      </c>
      <c r="C45" s="182">
        <f t="shared" si="9"/>
        <v>0</v>
      </c>
      <c r="D45" s="183"/>
      <c r="E45" s="179">
        <f t="shared" si="5"/>
        <v>1.0664269383128031</v>
      </c>
      <c r="F45" s="183">
        <f t="shared" si="10"/>
        <v>0.11979619416849363</v>
      </c>
      <c r="G45" s="247">
        <f t="shared" si="6"/>
        <v>5.1480698631968386E-2</v>
      </c>
      <c r="H45" s="246"/>
      <c r="J45" s="182"/>
      <c r="K45" s="182"/>
      <c r="L45" s="182"/>
      <c r="M45" s="182"/>
      <c r="N45" s="163"/>
      <c r="O45" s="259" t="str">
        <f>IF($O$24="Y",IFERROR(E45*($E$6/SUMIF($G$3:$G$14,"Y",$E$3:$E$14))*$O$16*'Emissions Factors'!B30,""),"")</f>
        <v/>
      </c>
      <c r="P45" s="259" t="str">
        <f>IF($P$24="Y",IFERROR($E45*(SUM($E$3,$E$4,$E$5)/SUMIF($G$3:$G$14,"Y",$E$3:$E$14))*('Emissions Factors'!$T$143*$P$16)/10^6,""),"")</f>
        <v/>
      </c>
      <c r="Q45" s="259">
        <f t="shared" si="7"/>
        <v>1.4065893632003805</v>
      </c>
      <c r="R45" s="259">
        <f t="shared" si="8"/>
        <v>0.55939475203256983</v>
      </c>
      <c r="T45" s="180">
        <f t="shared" si="1"/>
        <v>1.9659841152329505</v>
      </c>
      <c r="U45" s="180">
        <f t="shared" si="2"/>
        <v>0</v>
      </c>
      <c r="V45" s="177"/>
      <c r="X45" s="180">
        <f t="shared" si="3"/>
        <v>1.9659841152329505</v>
      </c>
      <c r="Y45" s="180">
        <f t="shared" si="4"/>
        <v>0</v>
      </c>
    </row>
    <row r="46" spans="1:25" ht="15.6" x14ac:dyDescent="0.3">
      <c r="A46" s="152">
        <v>2034</v>
      </c>
      <c r="B46" s="178">
        <f t="shared" si="0"/>
        <v>0</v>
      </c>
      <c r="C46" s="182">
        <f t="shared" si="9"/>
        <v>0</v>
      </c>
      <c r="D46" s="183"/>
      <c r="E46" s="179">
        <f t="shared" si="5"/>
        <v>1.1875607715589407</v>
      </c>
      <c r="F46" s="183">
        <f t="shared" si="10"/>
        <v>0.12113383324613758</v>
      </c>
      <c r="G46" s="247">
        <f t="shared" si="6"/>
        <v>5.0805942991092166E-2</v>
      </c>
      <c r="H46" s="246"/>
      <c r="J46" s="182"/>
      <c r="K46" s="182"/>
      <c r="L46" s="182"/>
      <c r="M46" s="182"/>
      <c r="N46" s="163"/>
      <c r="O46" s="259" t="str">
        <f>IF($O$24="Y",IFERROR(E46*($E$6/SUMIF($G$3:$G$14,"Y",$E$3:$E$14))*$O$16*'Emissions Factors'!B31,""),"")</f>
        <v/>
      </c>
      <c r="P46" s="259" t="str">
        <f>IF($P$24="Y",IFERROR($E46*(SUM($E$3,$E$4,$E$5)/SUMIF($G$3:$G$14,"Y",$E$3:$E$14))*('Emissions Factors'!$T$143*$P$16)/10^6,""),"")</f>
        <v/>
      </c>
      <c r="Q46" s="259">
        <f t="shared" si="7"/>
        <v>1.5663617350773262</v>
      </c>
      <c r="R46" s="259">
        <f t="shared" si="8"/>
        <v>0.62293556123107308</v>
      </c>
      <c r="T46" s="180">
        <f t="shared" si="1"/>
        <v>2.1892972963083994</v>
      </c>
      <c r="U46" s="180">
        <f t="shared" si="2"/>
        <v>0</v>
      </c>
      <c r="V46" s="177"/>
      <c r="X46" s="180">
        <f t="shared" si="3"/>
        <v>2.1892972963083994</v>
      </c>
      <c r="Y46" s="180">
        <f t="shared" si="4"/>
        <v>0</v>
      </c>
    </row>
    <row r="47" spans="1:25" ht="15.6" x14ac:dyDescent="0.3">
      <c r="A47" s="152">
        <v>2035</v>
      </c>
      <c r="B47" s="178">
        <f t="shared" si="0"/>
        <v>0</v>
      </c>
      <c r="C47" s="182">
        <f t="shared" si="9"/>
        <v>0</v>
      </c>
      <c r="D47" s="183"/>
      <c r="E47" s="179">
        <f t="shared" si="5"/>
        <v>1.3085395520323866</v>
      </c>
      <c r="F47" s="183">
        <f t="shared" si="10"/>
        <v>0.1209787804734459</v>
      </c>
      <c r="G47" s="247">
        <f t="shared" si="6"/>
        <v>5.0093029898855466E-2</v>
      </c>
      <c r="H47" s="246"/>
      <c r="J47" s="182"/>
      <c r="K47" s="182"/>
      <c r="L47" s="182"/>
      <c r="M47" s="182"/>
      <c r="N47" s="163"/>
      <c r="O47" s="259" t="str">
        <f>IF($O$24="Y",IFERROR(E47*($E$6/SUMIF($G$3:$G$14,"Y",$E$3:$E$14))*$O$16*'Emissions Factors'!B32,""),"")</f>
        <v/>
      </c>
      <c r="P47" s="259" t="str">
        <f>IF($P$24="Y",IFERROR($E47*(SUM($E$3,$E$4,$E$5)/SUMIF($G$3:$G$14,"Y",$E$3:$E$14))*('Emissions Factors'!$T$143*$P$16)/10^6,""),"")</f>
        <v/>
      </c>
      <c r="Q47" s="259">
        <f t="shared" si="7"/>
        <v>1.7259295963844732</v>
      </c>
      <c r="R47" s="259">
        <f t="shared" si="8"/>
        <v>0.68639503742473962</v>
      </c>
      <c r="T47" s="180">
        <f t="shared" si="1"/>
        <v>2.412324633809213</v>
      </c>
      <c r="U47" s="180">
        <f t="shared" si="2"/>
        <v>0</v>
      </c>
      <c r="V47" s="177"/>
      <c r="X47" s="180">
        <f t="shared" si="3"/>
        <v>2.412324633809213</v>
      </c>
      <c r="Y47" s="180">
        <f t="shared" si="4"/>
        <v>0</v>
      </c>
    </row>
    <row r="48" spans="1:25" ht="15.6" x14ac:dyDescent="0.3">
      <c r="A48" s="152">
        <v>2036</v>
      </c>
      <c r="B48" s="178">
        <f t="shared" si="0"/>
        <v>0</v>
      </c>
      <c r="C48" s="182">
        <f t="shared" si="9"/>
        <v>0</v>
      </c>
      <c r="D48" s="183"/>
      <c r="E48" s="179">
        <f t="shared" si="5"/>
        <v>1.429084754793438</v>
      </c>
      <c r="F48" s="183">
        <f t="shared" si="10"/>
        <v>0.12054520276105141</v>
      </c>
      <c r="G48" s="247">
        <f t="shared" si="6"/>
        <v>4.9365262172216845E-2</v>
      </c>
      <c r="H48" s="246"/>
      <c r="J48" s="182"/>
      <c r="K48" s="182"/>
      <c r="L48" s="182"/>
      <c r="M48" s="182"/>
      <c r="N48" s="163"/>
      <c r="O48" s="259" t="str">
        <f>IF($O$24="Y",IFERROR(E48*($E$6/SUMIF($G$3:$G$14,"Y",$E$3:$E$14))*$O$16*'Emissions Factors'!B33,""),"")</f>
        <v/>
      </c>
      <c r="P48" s="259" t="str">
        <f>IF($P$24="Y",IFERROR($E48*(SUM($E$3,$E$4,$E$5)/SUMIF($G$3:$G$14,"Y",$E$3:$E$14))*('Emissions Factors'!$T$143*$P$16)/10^6,""),"")</f>
        <v/>
      </c>
      <c r="Q48" s="259">
        <f t="shared" si="7"/>
        <v>1.8849255799787976</v>
      </c>
      <c r="R48" s="259">
        <f t="shared" si="8"/>
        <v>0.74962708022545799</v>
      </c>
      <c r="T48" s="180">
        <f t="shared" si="1"/>
        <v>2.6345526602042555</v>
      </c>
      <c r="U48" s="180">
        <f t="shared" si="2"/>
        <v>0</v>
      </c>
      <c r="V48" s="177"/>
      <c r="X48" s="180">
        <f t="shared" si="3"/>
        <v>2.6345526602042555</v>
      </c>
      <c r="Y48" s="180">
        <f t="shared" si="4"/>
        <v>0</v>
      </c>
    </row>
    <row r="49" spans="1:25" ht="15.6" x14ac:dyDescent="0.3">
      <c r="A49" s="152">
        <v>2037</v>
      </c>
      <c r="B49" s="178">
        <f t="shared" si="0"/>
        <v>0</v>
      </c>
      <c r="C49" s="182">
        <f t="shared" si="9"/>
        <v>0</v>
      </c>
      <c r="D49" s="183"/>
      <c r="E49" s="179">
        <f t="shared" si="5"/>
        <v>1.5500665312278537</v>
      </c>
      <c r="F49" s="183">
        <f t="shared" si="10"/>
        <v>0.12098177643441566</v>
      </c>
      <c r="G49" s="247">
        <f t="shared" si="6"/>
        <v>4.8647441991843947E-2</v>
      </c>
      <c r="H49" s="246"/>
      <c r="J49" s="182"/>
      <c r="K49" s="182"/>
      <c r="L49" s="182"/>
      <c r="M49" s="182"/>
      <c r="N49" s="163"/>
      <c r="O49" s="259" t="str">
        <f>IF($O$24="Y",IFERROR(E49*($E$6/SUMIF($G$3:$G$14,"Y",$E$3:$E$14))*$O$16*'Emissions Factors'!B34,""),"")</f>
        <v/>
      </c>
      <c r="P49" s="259" t="str">
        <f>IF($P$24="Y",IFERROR($E49*(SUM($E$3,$E$4,$E$5)/SUMIF($G$3:$G$14,"Y",$E$3:$E$14))*('Emissions Factors'!$T$143*$P$16)/10^6,""),"")</f>
        <v/>
      </c>
      <c r="Q49" s="259">
        <f t="shared" si="7"/>
        <v>2.0444973928804528</v>
      </c>
      <c r="R49" s="259">
        <f t="shared" si="8"/>
        <v>0.81308812795186014</v>
      </c>
      <c r="T49" s="180">
        <f t="shared" si="1"/>
        <v>2.8575855208323131</v>
      </c>
      <c r="U49" s="180">
        <f t="shared" si="2"/>
        <v>0</v>
      </c>
      <c r="V49" s="177"/>
      <c r="X49" s="180">
        <f t="shared" si="3"/>
        <v>2.8575855208323131</v>
      </c>
      <c r="Y49" s="180">
        <f t="shared" si="4"/>
        <v>0</v>
      </c>
    </row>
    <row r="50" spans="1:25" ht="15.6" x14ac:dyDescent="0.3">
      <c r="A50" s="152">
        <v>2038</v>
      </c>
      <c r="B50" s="178">
        <f t="shared" si="0"/>
        <v>0</v>
      </c>
      <c r="C50" s="182">
        <f t="shared" si="9"/>
        <v>0</v>
      </c>
      <c r="D50" s="183"/>
      <c r="E50" s="179">
        <f t="shared" si="5"/>
        <v>1.6726525376188566</v>
      </c>
      <c r="F50" s="183">
        <f t="shared" si="10"/>
        <v>0.12258600639100292</v>
      </c>
      <c r="G50" s="247">
        <f t="shared" si="6"/>
        <v>4.7955611533251299E-2</v>
      </c>
      <c r="H50" s="246"/>
      <c r="J50" s="182"/>
      <c r="K50" s="182"/>
      <c r="L50" s="182"/>
      <c r="M50" s="182"/>
      <c r="N50" s="163"/>
      <c r="O50" s="259" t="str">
        <f>IF($O$24="Y",IFERROR(E50*($E$6/SUMIF($G$3:$G$14,"Y",$E$3:$E$14))*$O$16*'Emissions Factors'!B35,""),"")</f>
        <v/>
      </c>
      <c r="P50" s="259" t="str">
        <f>IF($P$24="Y",IFERROR($E50*(SUM($E$3,$E$4,$E$5)/SUMIF($G$3:$G$14,"Y",$E$3:$E$14))*('Emissions Factors'!$T$143*$P$16)/10^6,""),"")</f>
        <v/>
      </c>
      <c r="Q50" s="259">
        <f t="shared" si="7"/>
        <v>2.2061851433226889</v>
      </c>
      <c r="R50" s="259">
        <f t="shared" si="8"/>
        <v>0.87739067525645953</v>
      </c>
      <c r="T50" s="180">
        <f t="shared" si="1"/>
        <v>3.0835758185791482</v>
      </c>
      <c r="U50" s="180">
        <f t="shared" si="2"/>
        <v>0</v>
      </c>
      <c r="V50" s="177"/>
      <c r="X50" s="180">
        <f t="shared" si="3"/>
        <v>3.0835758185791482</v>
      </c>
      <c r="Y50" s="180">
        <f t="shared" si="4"/>
        <v>0</v>
      </c>
    </row>
    <row r="51" spans="1:25" ht="15.6" x14ac:dyDescent="0.3">
      <c r="A51" s="152">
        <v>2039</v>
      </c>
      <c r="B51" s="178">
        <f t="shared" si="0"/>
        <v>0</v>
      </c>
      <c r="C51" s="182">
        <f t="shared" si="9"/>
        <v>0</v>
      </c>
      <c r="D51" s="183"/>
      <c r="E51" s="179">
        <f t="shared" si="5"/>
        <v>1.7985003504826811</v>
      </c>
      <c r="F51" s="183">
        <f t="shared" si="10"/>
        <v>0.12584781286382452</v>
      </c>
      <c r="G51" s="247">
        <f t="shared" si="6"/>
        <v>4.7302167595816777E-2</v>
      </c>
      <c r="H51" s="246"/>
      <c r="J51" s="182"/>
      <c r="K51" s="182"/>
      <c r="L51" s="182"/>
      <c r="M51" s="182"/>
      <c r="N51" s="163"/>
      <c r="O51" s="259" t="str">
        <f>IF($O$24="Y",IFERROR(E51*($E$6/SUMIF($G$3:$G$14,"Y",$E$3:$E$14))*$O$16*'Emissions Factors'!B36,""),"")</f>
        <v/>
      </c>
      <c r="P51" s="259" t="str">
        <f>IF($P$24="Y",IFERROR($E51*(SUM($E$3,$E$4,$E$5)/SUMIF($G$3:$G$14,"Y",$E$3:$E$14))*('Emissions Factors'!$T$143*$P$16)/10^6,""),"")</f>
        <v/>
      </c>
      <c r="Q51" s="259">
        <f t="shared" si="7"/>
        <v>2.3721751315691839</v>
      </c>
      <c r="R51" s="259">
        <f t="shared" si="8"/>
        <v>0.94340420468040509</v>
      </c>
      <c r="T51" s="180">
        <f t="shared" si="1"/>
        <v>3.3155793362495891</v>
      </c>
      <c r="U51" s="180">
        <f t="shared" si="2"/>
        <v>0</v>
      </c>
      <c r="V51" s="177"/>
      <c r="X51" s="180">
        <f t="shared" si="3"/>
        <v>3.3155793362495891</v>
      </c>
      <c r="Y51" s="180">
        <f t="shared" si="4"/>
        <v>0</v>
      </c>
    </row>
    <row r="52" spans="1:25" ht="15.6" x14ac:dyDescent="0.3">
      <c r="A52" s="152">
        <v>2040</v>
      </c>
      <c r="B52" s="178">
        <f t="shared" si="0"/>
        <v>0</v>
      </c>
      <c r="C52" s="182">
        <f t="shared" si="9"/>
        <v>0</v>
      </c>
      <c r="D52" s="183"/>
      <c r="E52" s="179">
        <f t="shared" si="5"/>
        <v>1.9291064580431816</v>
      </c>
      <c r="F52" s="183">
        <f t="shared" si="10"/>
        <v>0.13060610756050051</v>
      </c>
      <c r="G52" s="247">
        <f t="shared" si="6"/>
        <v>4.6695523069391648E-2</v>
      </c>
      <c r="H52" s="246"/>
      <c r="J52" s="182"/>
      <c r="K52" s="182"/>
      <c r="L52" s="182"/>
      <c r="M52" s="182"/>
      <c r="N52" s="163"/>
      <c r="O52" s="259" t="str">
        <f>IF($O$24="Y",IFERROR(E52*($E$6/SUMIF($G$3:$G$14,"Y",$E$3:$E$14))*$O$16*'Emissions Factors'!B37,""),"")</f>
        <v/>
      </c>
      <c r="P52" s="259" t="str">
        <f>IF($P$24="Y",IFERROR($E52*(SUM($E$3,$E$4,$E$5)/SUMIF($G$3:$G$14,"Y",$E$3:$E$14))*('Emissions Factors'!$T$143*$P$16)/10^6,""),"")</f>
        <v/>
      </c>
      <c r="Q52" s="259">
        <f t="shared" si="7"/>
        <v>2.5444411866205048</v>
      </c>
      <c r="R52" s="259">
        <f t="shared" si="8"/>
        <v>1.011913699825318</v>
      </c>
      <c r="T52" s="180">
        <f t="shared" si="1"/>
        <v>3.5563548864458228</v>
      </c>
      <c r="U52" s="180">
        <f t="shared" si="2"/>
        <v>0</v>
      </c>
      <c r="V52" s="177"/>
      <c r="X52" s="180">
        <f t="shared" si="3"/>
        <v>3.5563548864458228</v>
      </c>
      <c r="Y52" s="180">
        <f t="shared" si="4"/>
        <v>0</v>
      </c>
    </row>
    <row r="53" spans="1:25" ht="15.6" x14ac:dyDescent="0.3">
      <c r="A53" s="152">
        <v>2041</v>
      </c>
      <c r="B53" s="178">
        <f t="shared" si="0"/>
        <v>0</v>
      </c>
      <c r="C53" s="182">
        <f t="shared" si="9"/>
        <v>0</v>
      </c>
      <c r="D53" s="183"/>
      <c r="E53" s="179">
        <f t="shared" si="5"/>
        <v>2.0651943114750577</v>
      </c>
      <c r="F53" s="183">
        <f t="shared" si="10"/>
        <v>0.13608785343187613</v>
      </c>
      <c r="G53" s="247">
        <f t="shared" si="6"/>
        <v>4.6138389964028498E-2</v>
      </c>
      <c r="H53" s="246"/>
      <c r="J53" s="182"/>
      <c r="K53" s="182"/>
      <c r="L53" s="182"/>
      <c r="M53" s="182"/>
      <c r="N53" s="163"/>
      <c r="O53" s="259" t="str">
        <f>IF($O$24="Y",IFERROR(E53*($E$6/SUMIF($G$3:$G$14,"Y",$E$3:$E$14))*$O$16*'Emissions Factors'!B38,""),"")</f>
        <v/>
      </c>
      <c r="P53" s="259" t="str">
        <f>IF($P$24="Y",IFERROR($E53*(SUM($E$3,$E$4,$E$5)/SUMIF($G$3:$G$14,"Y",$E$3:$E$14))*('Emissions Factors'!$T$143*$P$16)/10^6,""),"")</f>
        <v/>
      </c>
      <c r="Q53" s="259">
        <f t="shared" si="7"/>
        <v>2.7239375217383093</v>
      </c>
      <c r="R53" s="259">
        <f t="shared" si="8"/>
        <v>1.083298647345126</v>
      </c>
      <c r="T53" s="180">
        <f t="shared" si="1"/>
        <v>3.8072361690834353</v>
      </c>
      <c r="U53" s="180">
        <f t="shared" si="2"/>
        <v>0</v>
      </c>
      <c r="V53" s="177"/>
      <c r="X53" s="180">
        <f t="shared" si="3"/>
        <v>3.8072361690834353</v>
      </c>
      <c r="Y53" s="180">
        <f t="shared" si="4"/>
        <v>0</v>
      </c>
    </row>
    <row r="54" spans="1:25" ht="15.6" x14ac:dyDescent="0.3">
      <c r="A54" s="152">
        <v>2042</v>
      </c>
      <c r="B54" s="178">
        <f t="shared" si="0"/>
        <v>0</v>
      </c>
      <c r="C54" s="182">
        <f t="shared" si="9"/>
        <v>0</v>
      </c>
      <c r="D54" s="183"/>
      <c r="E54" s="179">
        <f t="shared" si="5"/>
        <v>2.2075260392308786</v>
      </c>
      <c r="F54" s="183">
        <f t="shared" si="10"/>
        <v>0.14233172775582092</v>
      </c>
      <c r="G54" s="247">
        <f t="shared" si="6"/>
        <v>4.5636210619077397E-2</v>
      </c>
      <c r="H54" s="246"/>
      <c r="J54" s="182"/>
      <c r="K54" s="182"/>
      <c r="L54" s="182"/>
      <c r="M54" s="182"/>
      <c r="N54" s="163"/>
      <c r="O54" s="259" t="str">
        <f>IF($O$24="Y",IFERROR(E54*($E$6/SUMIF($G$3:$G$14,"Y",$E$3:$E$14))*$O$16*'Emissions Factors'!B39,""),"")</f>
        <v/>
      </c>
      <c r="P54" s="259" t="str">
        <f>IF($P$24="Y",IFERROR($E54*(SUM($E$3,$E$4,$E$5)/SUMIF($G$3:$G$14,"Y",$E$3:$E$14))*('Emissions Factors'!$T$143*$P$16)/10^6,""),"")</f>
        <v/>
      </c>
      <c r="Q54" s="259">
        <f t="shared" si="7"/>
        <v>2.9116693645066571</v>
      </c>
      <c r="R54" s="259">
        <f t="shared" si="8"/>
        <v>1.1579588220780535</v>
      </c>
      <c r="T54" s="180">
        <f t="shared" si="1"/>
        <v>4.0696281865847101</v>
      </c>
      <c r="U54" s="180">
        <f t="shared" si="2"/>
        <v>0</v>
      </c>
      <c r="V54" s="177"/>
      <c r="X54" s="180">
        <f t="shared" si="3"/>
        <v>4.0696281865847101</v>
      </c>
      <c r="Y54" s="180">
        <f t="shared" si="4"/>
        <v>0</v>
      </c>
    </row>
    <row r="55" spans="1:25" ht="15.6" x14ac:dyDescent="0.3">
      <c r="A55" s="152">
        <v>2043</v>
      </c>
      <c r="B55" s="178">
        <f t="shared" si="0"/>
        <v>0</v>
      </c>
      <c r="C55" s="182">
        <f t="shared" si="9"/>
        <v>0</v>
      </c>
      <c r="D55" s="183"/>
      <c r="E55" s="179">
        <f t="shared" si="5"/>
        <v>2.3577050850718169</v>
      </c>
      <c r="F55" s="183">
        <f t="shared" si="10"/>
        <v>0.15017904584093822</v>
      </c>
      <c r="G55" s="247">
        <f t="shared" si="6"/>
        <v>4.5198058241271266E-2</v>
      </c>
      <c r="H55" s="246"/>
      <c r="J55" s="182"/>
      <c r="K55" s="182"/>
      <c r="L55" s="182"/>
      <c r="M55" s="182"/>
      <c r="N55" s="163"/>
      <c r="O55" s="259" t="str">
        <f>IF($O$24="Y",IFERROR(E55*($E$6/SUMIF($G$3:$G$14,"Y",$E$3:$E$14))*$O$16*'Emissions Factors'!B40,""),"")</f>
        <v/>
      </c>
      <c r="P55" s="259" t="str">
        <f>IF($P$24="Y",IFERROR($E55*(SUM($E$3,$E$4,$E$5)/SUMIF($G$3:$G$14,"Y",$E$3:$E$14))*('Emissions Factors'!$T$143*$P$16)/10^6,""),"")</f>
        <v/>
      </c>
      <c r="Q55" s="259">
        <f t="shared" si="7"/>
        <v>3.1097516154948495</v>
      </c>
      <c r="R55" s="259">
        <f t="shared" si="8"/>
        <v>1.2367353112031227</v>
      </c>
      <c r="T55" s="180">
        <f t="shared" si="1"/>
        <v>4.3464869266979722</v>
      </c>
      <c r="U55" s="180">
        <f t="shared" si="2"/>
        <v>0</v>
      </c>
      <c r="V55" s="177"/>
      <c r="X55" s="180">
        <f t="shared" si="3"/>
        <v>4.3464869266979722</v>
      </c>
      <c r="Y55" s="180">
        <f t="shared" si="4"/>
        <v>0</v>
      </c>
    </row>
    <row r="56" spans="1:25" ht="15.6" x14ac:dyDescent="0.3">
      <c r="A56" s="152">
        <v>2044</v>
      </c>
      <c r="B56" s="178">
        <f t="shared" si="0"/>
        <v>0</v>
      </c>
      <c r="C56" s="182">
        <f t="shared" si="9"/>
        <v>0</v>
      </c>
      <c r="D56" s="183"/>
      <c r="E56" s="179">
        <f t="shared" si="5"/>
        <v>2.5175987709834797</v>
      </c>
      <c r="F56" s="183">
        <f t="shared" si="10"/>
        <v>0.15989368591166286</v>
      </c>
      <c r="G56" s="247">
        <f t="shared" si="6"/>
        <v>4.4832535137113189E-2</v>
      </c>
      <c r="H56" s="246"/>
      <c r="J56" s="182"/>
      <c r="K56" s="182"/>
      <c r="L56" s="182"/>
      <c r="M56" s="182"/>
      <c r="N56" s="163"/>
      <c r="O56" s="259" t="str">
        <f>IF($O$24="Y",IFERROR(E56*($E$6/SUMIF($G$3:$G$14,"Y",$E$3:$E$14))*$O$16*'Emissions Factors'!B41,""),"")</f>
        <v/>
      </c>
      <c r="P56" s="259" t="str">
        <f>IF($P$24="Y",IFERROR($E56*(SUM($E$3,$E$4,$E$5)/SUMIF($G$3:$G$14,"Y",$E$3:$E$14))*('Emissions Factors'!$T$143*$P$16)/10^6,""),"")</f>
        <v/>
      </c>
      <c r="Q56" s="259">
        <f t="shared" si="7"/>
        <v>3.3206472237791544</v>
      </c>
      <c r="R56" s="259">
        <f t="shared" si="8"/>
        <v>1.3206076193460861</v>
      </c>
      <c r="T56" s="180">
        <f t="shared" si="1"/>
        <v>4.6412548431252407</v>
      </c>
      <c r="U56" s="180">
        <f t="shared" si="2"/>
        <v>0</v>
      </c>
      <c r="V56" s="177"/>
      <c r="X56" s="180">
        <f t="shared" si="3"/>
        <v>4.6412548431252407</v>
      </c>
      <c r="Y56" s="180">
        <f t="shared" si="4"/>
        <v>0</v>
      </c>
    </row>
    <row r="57" spans="1:25" ht="15.6" x14ac:dyDescent="0.3">
      <c r="A57" s="152">
        <v>2045</v>
      </c>
      <c r="B57" s="178">
        <f t="shared" si="0"/>
        <v>0</v>
      </c>
      <c r="C57" s="182">
        <f t="shared" si="9"/>
        <v>0</v>
      </c>
      <c r="D57" s="183"/>
      <c r="E57" s="179">
        <f t="shared" si="5"/>
        <v>2.6889131703879157</v>
      </c>
      <c r="F57" s="183">
        <f t="shared" si="10"/>
        <v>0.17131439940443594</v>
      </c>
      <c r="G57" s="247">
        <f t="shared" si="6"/>
        <v>4.4543004088261867E-2</v>
      </c>
      <c r="H57" s="246"/>
      <c r="J57" s="182"/>
      <c r="K57" s="182"/>
      <c r="L57" s="182"/>
      <c r="M57" s="182"/>
      <c r="N57" s="163"/>
      <c r="O57" s="259" t="str">
        <f>IF($O$24="Y",IFERROR(E57*($E$6/SUMIF($G$3:$G$14,"Y",$E$3:$E$14))*$O$16*'Emissions Factors'!B42,""),"")</f>
        <v/>
      </c>
      <c r="P57" s="259" t="str">
        <f>IF($P$24="Y",IFERROR($E57*(SUM($E$3,$E$4,$E$5)/SUMIF($G$3:$G$14,"Y",$E$3:$E$14))*('Emissions Factors'!$T$143*$P$16)/10^6,""),"")</f>
        <v/>
      </c>
      <c r="Q57" s="259">
        <f t="shared" si="7"/>
        <v>3.546606455779219</v>
      </c>
      <c r="R57" s="259">
        <f t="shared" si="8"/>
        <v>1.4104706681228449</v>
      </c>
      <c r="T57" s="180">
        <f t="shared" si="1"/>
        <v>4.9570771239020637</v>
      </c>
      <c r="U57" s="180">
        <f t="shared" si="2"/>
        <v>0</v>
      </c>
      <c r="V57" s="177"/>
      <c r="X57" s="180">
        <f t="shared" si="3"/>
        <v>4.9570771239020637</v>
      </c>
      <c r="Y57" s="180">
        <f t="shared" si="4"/>
        <v>0</v>
      </c>
    </row>
    <row r="58" spans="1:25" ht="15.6" x14ac:dyDescent="0.3">
      <c r="A58" s="152">
        <v>2046</v>
      </c>
      <c r="B58" s="178">
        <f t="shared" si="0"/>
        <v>0</v>
      </c>
      <c r="C58" s="182">
        <f t="shared" si="9"/>
        <v>0</v>
      </c>
      <c r="D58" s="183"/>
      <c r="E58" s="179">
        <f t="shared" si="5"/>
        <v>2.8726780811769723</v>
      </c>
      <c r="F58" s="183">
        <f t="shared" si="10"/>
        <v>0.18376491078905666</v>
      </c>
      <c r="G58" s="247">
        <f t="shared" si="6"/>
        <v>4.4323486792713807E-2</v>
      </c>
      <c r="H58" s="246"/>
      <c r="J58" s="182"/>
      <c r="K58" s="182"/>
      <c r="L58" s="182"/>
      <c r="M58" s="182"/>
      <c r="N58" s="163"/>
      <c r="O58" s="259" t="str">
        <f>IF($O$24="Y",IFERROR(E58*($E$6/SUMIF($G$3:$G$14,"Y",$E$3:$E$14))*$O$16*'Emissions Factors'!B43,""),"")</f>
        <v/>
      </c>
      <c r="P58" s="259" t="str">
        <f>IF($P$24="Y",IFERROR($E58*(SUM($E$3,$E$4,$E$5)/SUMIF($G$3:$G$14,"Y",$E$3:$E$14))*('Emissions Factors'!$T$143*$P$16)/10^6,""),"")</f>
        <v/>
      </c>
      <c r="Q58" s="259">
        <f t="shared" si="7"/>
        <v>3.7889875880997312</v>
      </c>
      <c r="R58" s="259">
        <f t="shared" si="8"/>
        <v>1.506864638501882</v>
      </c>
      <c r="T58" s="180">
        <f t="shared" si="1"/>
        <v>5.295852226601613</v>
      </c>
      <c r="U58" s="180">
        <f t="shared" si="2"/>
        <v>0</v>
      </c>
      <c r="V58" s="177"/>
      <c r="X58" s="180">
        <f t="shared" si="3"/>
        <v>5.295852226601613</v>
      </c>
      <c r="Y58" s="180">
        <f t="shared" si="4"/>
        <v>0</v>
      </c>
    </row>
    <row r="59" spans="1:25" ht="15.6" x14ac:dyDescent="0.3">
      <c r="A59" s="152">
        <v>2047</v>
      </c>
      <c r="B59" s="178">
        <f t="shared" si="0"/>
        <v>0</v>
      </c>
      <c r="C59" s="182">
        <f t="shared" si="9"/>
        <v>0</v>
      </c>
      <c r="D59" s="183"/>
      <c r="E59" s="179">
        <f t="shared" si="5"/>
        <v>3.0699696112308628</v>
      </c>
      <c r="F59" s="183">
        <f t="shared" si="10"/>
        <v>0.19729153005389044</v>
      </c>
      <c r="G59" s="247">
        <f t="shared" si="6"/>
        <v>4.416941421798358E-2</v>
      </c>
      <c r="H59" s="246"/>
      <c r="J59" s="182"/>
      <c r="K59" s="182"/>
      <c r="L59" s="182"/>
      <c r="M59" s="182"/>
      <c r="N59" s="163"/>
      <c r="O59" s="259" t="str">
        <f>IF($O$24="Y",IFERROR(E59*($E$6/SUMIF($G$3:$G$14,"Y",$E$3:$E$14))*$O$16*'Emissions Factors'!B44,""),"")</f>
        <v/>
      </c>
      <c r="P59" s="259" t="str">
        <f>IF($P$24="Y",IFERROR($E59*(SUM($E$3,$E$4,$E$5)/SUMIF($G$3:$G$14,"Y",$E$3:$E$14))*('Emissions Factors'!$T$143*$P$16)/10^6,""),"")</f>
        <v/>
      </c>
      <c r="Q59" s="259">
        <f t="shared" si="7"/>
        <v>4.0492099790141776</v>
      </c>
      <c r="R59" s="259">
        <f t="shared" si="8"/>
        <v>1.6103540033778569</v>
      </c>
      <c r="T59" s="180">
        <f t="shared" si="1"/>
        <v>5.6595639823920347</v>
      </c>
      <c r="U59" s="180">
        <f t="shared" si="2"/>
        <v>0</v>
      </c>
      <c r="V59" s="177"/>
      <c r="X59" s="180">
        <f t="shared" si="3"/>
        <v>5.6595639823920347</v>
      </c>
      <c r="Y59" s="180">
        <f t="shared" si="4"/>
        <v>0</v>
      </c>
    </row>
    <row r="60" spans="1:25" ht="15.6" x14ac:dyDescent="0.3">
      <c r="A60" s="152">
        <v>2048</v>
      </c>
      <c r="B60" s="178">
        <f t="shared" si="0"/>
        <v>0</v>
      </c>
      <c r="C60" s="182">
        <f t="shared" si="9"/>
        <v>0</v>
      </c>
      <c r="D60" s="183"/>
      <c r="E60" s="179">
        <f t="shared" si="5"/>
        <v>3.2826563360318737</v>
      </c>
      <c r="F60" s="183">
        <f t="shared" si="10"/>
        <v>0.21268672480101092</v>
      </c>
      <c r="G60" s="247">
        <f t="shared" si="6"/>
        <v>4.4084280820761691E-2</v>
      </c>
      <c r="H60" s="246"/>
      <c r="J60" s="182"/>
      <c r="K60" s="182"/>
      <c r="L60" s="182"/>
      <c r="M60" s="182"/>
      <c r="N60" s="163"/>
      <c r="O60" s="259" t="str">
        <f>IF($O$24="Y",IFERROR(E60*($E$6/SUMIF($G$3:$G$14,"Y",$E$3:$E$14))*$O$16*'Emissions Factors'!B45,""),"")</f>
        <v/>
      </c>
      <c r="P60" s="259" t="str">
        <f>IF($P$24="Y",IFERROR($E60*(SUM($E$3,$E$4,$E$5)/SUMIF($G$3:$G$14,"Y",$E$3:$E$14))*('Emissions Factors'!$T$143*$P$16)/10^6,""),"")</f>
        <v/>
      </c>
      <c r="Q60" s="259">
        <f t="shared" si="7"/>
        <v>4.3297382309283075</v>
      </c>
      <c r="R60" s="259">
        <f t="shared" si="8"/>
        <v>1.7219189248987938</v>
      </c>
      <c r="T60" s="180">
        <f t="shared" si="1"/>
        <v>6.0516571558271011</v>
      </c>
      <c r="U60" s="180">
        <f t="shared" si="2"/>
        <v>0</v>
      </c>
      <c r="V60" s="177"/>
      <c r="X60" s="180">
        <f t="shared" si="3"/>
        <v>6.0516571558271011</v>
      </c>
      <c r="Y60" s="180">
        <f t="shared" si="4"/>
        <v>0</v>
      </c>
    </row>
    <row r="61" spans="1:25" ht="15.6" x14ac:dyDescent="0.3">
      <c r="A61" s="152">
        <v>2049</v>
      </c>
      <c r="B61" s="178">
        <f t="shared" si="0"/>
        <v>0</v>
      </c>
      <c r="C61" s="182">
        <f t="shared" si="9"/>
        <v>0</v>
      </c>
      <c r="D61" s="183"/>
      <c r="E61" s="179">
        <f t="shared" si="5"/>
        <v>3.5128695129680914</v>
      </c>
      <c r="F61" s="183">
        <f t="shared" si="10"/>
        <v>0.23021317693621768</v>
      </c>
      <c r="G61" s="247">
        <f t="shared" si="6"/>
        <v>4.4072208889173119E-2</v>
      </c>
      <c r="H61" s="246"/>
      <c r="J61" s="182"/>
      <c r="K61" s="182"/>
      <c r="L61" s="182"/>
      <c r="M61" s="182"/>
      <c r="N61" s="163"/>
      <c r="O61" s="259" t="str">
        <f>IF($O$24="Y",IFERROR(E61*($E$6/SUMIF($G$3:$G$14,"Y",$E$3:$E$14))*$O$16*'Emissions Factors'!B46,""),"")</f>
        <v/>
      </c>
      <c r="P61" s="259" t="str">
        <f>IF($P$24="Y",IFERROR($E61*(SUM($E$3,$E$4,$E$5)/SUMIF($G$3:$G$14,"Y",$E$3:$E$14))*('Emissions Factors'!$T$143*$P$16)/10^6,""),"")</f>
        <v/>
      </c>
      <c r="Q61" s="259">
        <f t="shared" si="7"/>
        <v>4.633383416841709</v>
      </c>
      <c r="R61" s="259">
        <f t="shared" si="8"/>
        <v>1.842677355129944</v>
      </c>
      <c r="T61" s="180">
        <f t="shared" si="1"/>
        <v>6.4760607719716532</v>
      </c>
      <c r="U61" s="180">
        <f t="shared" si="2"/>
        <v>0</v>
      </c>
      <c r="V61" s="177"/>
      <c r="X61" s="180">
        <f t="shared" si="3"/>
        <v>6.4760607719716532</v>
      </c>
      <c r="Y61" s="180">
        <f t="shared" si="4"/>
        <v>0</v>
      </c>
    </row>
    <row r="62" spans="1:25" ht="15.6" x14ac:dyDescent="0.3">
      <c r="A62" s="152">
        <v>2050</v>
      </c>
      <c r="B62" s="178">
        <f t="shared" si="0"/>
        <v>0</v>
      </c>
      <c r="C62" s="182">
        <f t="shared" si="9"/>
        <v>0</v>
      </c>
      <c r="D62" s="183"/>
      <c r="E62" s="179">
        <f t="shared" si="5"/>
        <v>3.7624286367722282</v>
      </c>
      <c r="F62" s="183">
        <f t="shared" si="10"/>
        <v>0.24955912380413681</v>
      </c>
      <c r="G62" s="247">
        <f t="shared" si="6"/>
        <v>4.4131917059652304E-2</v>
      </c>
      <c r="H62" s="246"/>
      <c r="J62" s="182"/>
      <c r="K62" s="182"/>
      <c r="L62" s="182"/>
      <c r="M62" s="182"/>
      <c r="N62" s="163"/>
      <c r="O62" s="259" t="str">
        <f>IF($O$24="Y",IFERROR(E62*($E$6/SUMIF($G$3:$G$14,"Y",$E$3:$E$14))*$O$16*'Emissions Factors'!B47,""),"")</f>
        <v/>
      </c>
      <c r="P62" s="259" t="str">
        <f>IF($P$24="Y",IFERROR($E62*(SUM($E$3,$E$4,$E$5)/SUMIF($G$3:$G$14,"Y",$E$3:$E$14))*('Emissions Factors'!$T$143*$P$16)/10^6,""),"")</f>
        <v/>
      </c>
      <c r="Q62" s="259">
        <f t="shared" si="7"/>
        <v>4.9625454029294449</v>
      </c>
      <c r="R62" s="259">
        <f t="shared" si="8"/>
        <v>1.9735837108890599</v>
      </c>
      <c r="T62" s="180">
        <f t="shared" si="1"/>
        <v>6.9361291138185051</v>
      </c>
      <c r="U62" s="180">
        <f t="shared" si="2"/>
        <v>0</v>
      </c>
      <c r="V62" s="177"/>
      <c r="X62" s="180">
        <f t="shared" si="3"/>
        <v>6.9361291138185051</v>
      </c>
      <c r="Y62" s="180">
        <f t="shared" si="4"/>
        <v>0</v>
      </c>
    </row>
    <row r="63" spans="1:25" ht="15.6" x14ac:dyDescent="0.3">
      <c r="A63" s="152">
        <v>2051</v>
      </c>
      <c r="B63" s="178">
        <f t="shared" si="0"/>
        <v>0</v>
      </c>
      <c r="C63" s="182">
        <f t="shared" si="9"/>
        <v>0</v>
      </c>
      <c r="D63" s="183"/>
      <c r="E63" s="179">
        <f t="shared" si="5"/>
        <v>4.0325668639549326</v>
      </c>
      <c r="F63" s="183">
        <f t="shared" si="10"/>
        <v>0.27013822718270442</v>
      </c>
      <c r="G63" s="247">
        <f t="shared" si="6"/>
        <v>4.4255631500944873E-2</v>
      </c>
      <c r="H63" s="246"/>
      <c r="J63" s="182"/>
      <c r="K63" s="182"/>
      <c r="L63" s="182"/>
      <c r="M63" s="182"/>
      <c r="N63" s="163"/>
      <c r="O63" s="259" t="str">
        <f>IF($O$24="Y",IFERROR(E63*($E$6/SUMIF($G$3:$G$14,"Y",$E$3:$E$14))*$O$16*'Emissions Factors'!B48,""),"")</f>
        <v/>
      </c>
      <c r="P63" s="259" t="str">
        <f>IF($P$24="Y",IFERROR($E63*(SUM($E$3,$E$4,$E$5)/SUMIF($G$3:$G$14,"Y",$E$3:$E$14))*('Emissions Factors'!$T$143*$P$16)/10^6,""),"")</f>
        <v/>
      </c>
      <c r="Q63" s="259">
        <f t="shared" si="7"/>
        <v>5.318850690519195</v>
      </c>
      <c r="R63" s="259">
        <f t="shared" si="8"/>
        <v>2.1152848450037558</v>
      </c>
      <c r="T63" s="180" t="str">
        <f t="shared" si="1"/>
        <v/>
      </c>
      <c r="U63" s="180" t="str">
        <f t="shared" si="2"/>
        <v/>
      </c>
      <c r="V63" s="177"/>
      <c r="X63" s="180">
        <f t="shared" si="3"/>
        <v>7.4341355355229508</v>
      </c>
      <c r="Y63" s="180">
        <f t="shared" si="4"/>
        <v>0</v>
      </c>
    </row>
    <row r="64" spans="1:25" ht="15.6" x14ac:dyDescent="0.3">
      <c r="A64" s="152">
        <v>2052</v>
      </c>
      <c r="B64" s="178">
        <f t="shared" si="0"/>
        <v>0</v>
      </c>
      <c r="C64" s="182">
        <f t="shared" si="9"/>
        <v>0</v>
      </c>
      <c r="D64" s="183"/>
      <c r="E64" s="179">
        <f t="shared" si="5"/>
        <v>4.3238968772310944</v>
      </c>
      <c r="F64" s="183">
        <f t="shared" si="10"/>
        <v>0.29133001327616181</v>
      </c>
      <c r="G64" s="247">
        <f t="shared" si="6"/>
        <v>4.4430884882575815E-2</v>
      </c>
      <c r="H64" s="246"/>
      <c r="J64" s="182"/>
      <c r="K64" s="182"/>
      <c r="L64" s="182"/>
      <c r="M64" s="182"/>
      <c r="N64" s="163"/>
      <c r="O64" s="259" t="str">
        <f>IF($O$24="Y",IFERROR(E64*($E$6/SUMIF($G$3:$G$14,"Y",$E$3:$E$14))*$O$16*'Emissions Factors'!B49,""),"")</f>
        <v/>
      </c>
      <c r="P64" s="259" t="str">
        <f>IF($P$24="Y",IFERROR($E64*(SUM($E$3,$E$4,$E$5)/SUMIF($G$3:$G$14,"Y",$E$3:$E$14))*('Emissions Factors'!$T$143*$P$16)/10^6,""),"")</f>
        <v/>
      </c>
      <c r="Q64" s="259">
        <f t="shared" si="7"/>
        <v>5.703107392158401</v>
      </c>
      <c r="R64" s="259">
        <f t="shared" si="8"/>
        <v>2.2681021404802717</v>
      </c>
      <c r="T64" s="180" t="str">
        <f t="shared" si="1"/>
        <v/>
      </c>
      <c r="U64" s="180" t="str">
        <f t="shared" si="2"/>
        <v/>
      </c>
      <c r="V64" s="177"/>
      <c r="X64" s="180">
        <f t="shared" si="3"/>
        <v>7.9712095326386727</v>
      </c>
      <c r="Y64" s="180">
        <f t="shared" si="4"/>
        <v>0</v>
      </c>
    </row>
    <row r="65" spans="1:25" ht="15.6" x14ac:dyDescent="0.3">
      <c r="A65" s="152">
        <v>2053</v>
      </c>
      <c r="B65" s="178">
        <f t="shared" si="0"/>
        <v>0</v>
      </c>
      <c r="C65" s="182">
        <f t="shared" si="9"/>
        <v>0</v>
      </c>
      <c r="D65" s="183"/>
      <c r="E65" s="179">
        <f t="shared" si="5"/>
        <v>4.6368160421891282</v>
      </c>
      <c r="F65" s="183">
        <f t="shared" si="10"/>
        <v>0.31291916495803385</v>
      </c>
      <c r="G65" s="247">
        <f t="shared" si="6"/>
        <v>4.4645459983369995E-2</v>
      </c>
      <c r="H65" s="246"/>
      <c r="J65" s="182"/>
      <c r="K65" s="182"/>
      <c r="L65" s="182"/>
      <c r="M65" s="182"/>
      <c r="N65" s="163"/>
      <c r="O65" s="259" t="str">
        <f>IF($O$24="Y",IFERROR(E65*($E$6/SUMIF($G$3:$G$14,"Y",$E$3:$E$14))*$O$16*'Emissions Factors'!B50,""),"")</f>
        <v/>
      </c>
      <c r="P65" s="259" t="str">
        <f>IF($P$24="Y",IFERROR($E65*(SUM($E$3,$E$4,$E$5)/SUMIF($G$3:$G$14,"Y",$E$3:$E$14))*('Emissions Factors'!$T$143*$P$16)/10^6,""),"")</f>
        <v/>
      </c>
      <c r="Q65" s="259">
        <f t="shared" si="7"/>
        <v>6.1158396227112757</v>
      </c>
      <c r="R65" s="259">
        <f t="shared" si="8"/>
        <v>2.4322440356248913</v>
      </c>
      <c r="T65" s="180" t="str">
        <f t="shared" si="1"/>
        <v/>
      </c>
      <c r="U65" s="180" t="str">
        <f t="shared" si="2"/>
        <v/>
      </c>
      <c r="V65" s="177"/>
      <c r="X65" s="180">
        <f t="shared" si="3"/>
        <v>8.5480836583361679</v>
      </c>
      <c r="Y65" s="180">
        <f t="shared" si="4"/>
        <v>0</v>
      </c>
    </row>
    <row r="66" spans="1:25" ht="15.6" x14ac:dyDescent="0.3">
      <c r="A66" s="152">
        <v>2054</v>
      </c>
      <c r="B66" s="178">
        <f t="shared" si="0"/>
        <v>0</v>
      </c>
      <c r="C66" s="182">
        <f t="shared" si="9"/>
        <v>0</v>
      </c>
      <c r="D66" s="183"/>
      <c r="E66" s="179">
        <f t="shared" si="5"/>
        <v>4.9713549139448405</v>
      </c>
      <c r="F66" s="183">
        <f t="shared" si="10"/>
        <v>0.33453887175571229</v>
      </c>
      <c r="G66" s="247">
        <f t="shared" si="6"/>
        <v>4.4886570494062715E-2</v>
      </c>
      <c r="H66" s="246"/>
      <c r="J66" s="182"/>
      <c r="K66" s="182"/>
      <c r="L66" s="182"/>
      <c r="M66" s="182"/>
      <c r="N66" s="163"/>
      <c r="O66" s="259" t="str">
        <f>IF($O$24="Y",IFERROR(E66*($E$6/SUMIF($G$3:$G$14,"Y",$E$3:$E$14))*$O$16*'Emissions Factors'!B51,""),"")</f>
        <v/>
      </c>
      <c r="P66" s="259" t="str">
        <f>IF($P$24="Y",IFERROR($E66*(SUM($E$3,$E$4,$E$5)/SUMIF($G$3:$G$14,"Y",$E$3:$E$14))*('Emissions Factors'!$T$143*$P$16)/10^6,""),"")</f>
        <v/>
      </c>
      <c r="Q66" s="259">
        <f t="shared" si="7"/>
        <v>6.5570876835799501</v>
      </c>
      <c r="R66" s="259">
        <f t="shared" si="8"/>
        <v>2.6077265581379816</v>
      </c>
      <c r="T66" s="180" t="str">
        <f t="shared" si="1"/>
        <v/>
      </c>
      <c r="U66" s="180" t="str">
        <f t="shared" si="2"/>
        <v/>
      </c>
      <c r="V66" s="177"/>
      <c r="X66" s="180">
        <f t="shared" si="3"/>
        <v>9.1648142417179308</v>
      </c>
      <c r="Y66" s="180">
        <f t="shared" si="4"/>
        <v>0</v>
      </c>
    </row>
    <row r="67" spans="1:25" ht="15.6" x14ac:dyDescent="0.3">
      <c r="A67" s="152">
        <v>2055</v>
      </c>
      <c r="B67" s="178">
        <f t="shared" si="0"/>
        <v>0</v>
      </c>
      <c r="C67" s="182">
        <f t="shared" si="9"/>
        <v>0</v>
      </c>
      <c r="D67" s="183"/>
      <c r="E67" s="179">
        <f t="shared" si="5"/>
        <v>5.3274857992069808</v>
      </c>
      <c r="F67" s="183">
        <f t="shared" si="10"/>
        <v>0.35613088526214032</v>
      </c>
      <c r="G67" s="247">
        <f t="shared" si="6"/>
        <v>4.5143426056085012E-2</v>
      </c>
      <c r="H67" s="246"/>
      <c r="J67" s="182"/>
      <c r="K67" s="182"/>
      <c r="L67" s="182"/>
      <c r="M67" s="182"/>
      <c r="N67" s="163"/>
      <c r="O67" s="259" t="str">
        <f>IF($O$24="Y",IFERROR(E67*($E$6/SUMIF($G$3:$G$14,"Y",$E$3:$E$14))*$O$16*'Emissions Factors'!B52,""),"")</f>
        <v/>
      </c>
      <c r="P67" s="259" t="str">
        <f>IF($P$24="Y",IFERROR($E67*(SUM($E$3,$E$4,$E$5)/SUMIF($G$3:$G$14,"Y",$E$3:$E$14))*('Emissions Factors'!$T$143*$P$16)/10^6,""),"")</f>
        <v/>
      </c>
      <c r="Q67" s="259">
        <f t="shared" si="7"/>
        <v>7.0268150480343623</v>
      </c>
      <c r="R67" s="259">
        <f t="shared" si="8"/>
        <v>2.7945351814905925</v>
      </c>
      <c r="T67" s="180" t="str">
        <f t="shared" si="1"/>
        <v/>
      </c>
      <c r="U67" s="180" t="str">
        <f t="shared" si="2"/>
        <v/>
      </c>
      <c r="V67" s="177"/>
      <c r="X67" s="180">
        <f t="shared" si="3"/>
        <v>9.8213502295249544</v>
      </c>
      <c r="Y67" s="180">
        <f t="shared" si="4"/>
        <v>0</v>
      </c>
    </row>
    <row r="68" spans="1:25" ht="15.6" x14ac:dyDescent="0.3">
      <c r="A68" s="152">
        <v>2056</v>
      </c>
      <c r="B68" s="178">
        <f t="shared" si="0"/>
        <v>0</v>
      </c>
      <c r="C68" s="182">
        <f t="shared" si="9"/>
        <v>0</v>
      </c>
      <c r="D68" s="183"/>
      <c r="E68" s="179">
        <f t="shared" si="5"/>
        <v>5.7057551758192604</v>
      </c>
      <c r="F68" s="183">
        <f t="shared" si="10"/>
        <v>0.37826937661227955</v>
      </c>
      <c r="G68" s="247">
        <f t="shared" si="6"/>
        <v>4.5410897221577609E-2</v>
      </c>
      <c r="H68" s="246"/>
      <c r="J68" s="182"/>
      <c r="K68" s="182"/>
      <c r="L68" s="182"/>
      <c r="M68" s="182"/>
      <c r="N68" s="163"/>
      <c r="O68" s="259" t="str">
        <f>IF($O$24="Y",IFERROR(E68*($E$6/SUMIF($G$3:$G$14,"Y",$E$3:$E$14))*$O$16*'Emissions Factors'!B53,""),"")</f>
        <v/>
      </c>
      <c r="P68" s="259" t="str">
        <f>IF($P$24="Y",IFERROR($E68*(SUM($E$3,$E$4,$E$5)/SUMIF($G$3:$G$14,"Y",$E$3:$E$14))*('Emissions Factors'!$T$143*$P$16)/10^6,""),"")</f>
        <v/>
      </c>
      <c r="Q68" s="259">
        <f t="shared" si="7"/>
        <v>7.5257425061207641</v>
      </c>
      <c r="R68" s="259">
        <f t="shared" si="8"/>
        <v>2.9929565608926518</v>
      </c>
      <c r="T68" s="180" t="str">
        <f t="shared" si="1"/>
        <v/>
      </c>
      <c r="U68" s="180" t="str">
        <f t="shared" si="2"/>
        <v/>
      </c>
      <c r="V68" s="177"/>
      <c r="X68" s="180">
        <f t="shared" si="3"/>
        <v>10.518699067013415</v>
      </c>
      <c r="Y68" s="180">
        <f t="shared" si="4"/>
        <v>0</v>
      </c>
    </row>
    <row r="69" spans="1:25" ht="15.6" x14ac:dyDescent="0.3">
      <c r="A69" s="152">
        <v>2057</v>
      </c>
      <c r="B69" s="178">
        <f t="shared" si="0"/>
        <v>0</v>
      </c>
      <c r="C69" s="182">
        <f t="shared" si="9"/>
        <v>0</v>
      </c>
      <c r="D69" s="183"/>
      <c r="E69" s="179">
        <f t="shared" si="5"/>
        <v>6.1063463536866287</v>
      </c>
      <c r="F69" s="183">
        <f t="shared" si="10"/>
        <v>0.40059117786736831</v>
      </c>
      <c r="G69" s="247">
        <f t="shared" si="6"/>
        <v>4.5682652740492366E-2</v>
      </c>
      <c r="H69" s="246"/>
      <c r="J69" s="182"/>
      <c r="K69" s="182"/>
      <c r="L69" s="182"/>
      <c r="M69" s="182"/>
      <c r="N69" s="163"/>
      <c r="O69" s="259" t="str">
        <f>IF($O$24="Y",IFERROR(E69*($E$6/SUMIF($G$3:$G$14,"Y",$E$3:$E$14))*$O$16*'Emissions Factors'!B54,""),"")</f>
        <v/>
      </c>
      <c r="P69" s="259" t="str">
        <f>IF($P$24="Y",IFERROR($E69*(SUM($E$3,$E$4,$E$5)/SUMIF($G$3:$G$14,"Y",$E$3:$E$14))*('Emissions Factors'!$T$143*$P$16)/10^6,""),"")</f>
        <v/>
      </c>
      <c r="Q69" s="259">
        <f t="shared" si="7"/>
        <v>8.0541118388306217</v>
      </c>
      <c r="R69" s="259">
        <f t="shared" si="8"/>
        <v>3.2030868516410109</v>
      </c>
      <c r="T69" s="180" t="str">
        <f t="shared" si="1"/>
        <v/>
      </c>
      <c r="U69" s="180" t="str">
        <f t="shared" si="2"/>
        <v/>
      </c>
      <c r="V69" s="177"/>
      <c r="X69" s="180">
        <f t="shared" si="3"/>
        <v>11.257198690471633</v>
      </c>
      <c r="Y69" s="180">
        <f t="shared" si="4"/>
        <v>0</v>
      </c>
    </row>
    <row r="70" spans="1:25" ht="15.6" x14ac:dyDescent="0.3">
      <c r="A70" s="152">
        <v>2058</v>
      </c>
      <c r="B70" s="178">
        <f t="shared" si="0"/>
        <v>0</v>
      </c>
      <c r="C70" s="182">
        <f t="shared" si="9"/>
        <v>0</v>
      </c>
      <c r="D70" s="183"/>
      <c r="E70" s="179">
        <f t="shared" si="5"/>
        <v>6.5283063667388976</v>
      </c>
      <c r="F70" s="183">
        <f t="shared" si="10"/>
        <v>0.42196001305226893</v>
      </c>
      <c r="G70" s="247">
        <f t="shared" si="6"/>
        <v>4.5947637725588207E-2</v>
      </c>
      <c r="H70" s="246"/>
      <c r="J70" s="182"/>
      <c r="K70" s="182"/>
      <c r="L70" s="182"/>
      <c r="M70" s="182"/>
      <c r="N70" s="163"/>
      <c r="O70" s="259" t="str">
        <f>IF($O$24="Y",IFERROR(E70*($E$6/SUMIF($G$3:$G$14,"Y",$E$3:$E$14))*$O$16*'Emissions Factors'!B55,""),"")</f>
        <v/>
      </c>
      <c r="P70" s="259" t="str">
        <f>IF($P$24="Y",IFERROR($E70*(SUM($E$3,$E$4,$E$5)/SUMIF($G$3:$G$14,"Y",$E$3:$E$14))*('Emissions Factors'!$T$143*$P$16)/10^6,""),"")</f>
        <v/>
      </c>
      <c r="Q70" s="259">
        <f t="shared" si="7"/>
        <v>8.6106661087314098</v>
      </c>
      <c r="R70" s="259">
        <f t="shared" si="8"/>
        <v>3.4244261749353724</v>
      </c>
      <c r="T70" s="180" t="str">
        <f t="shared" si="1"/>
        <v/>
      </c>
      <c r="U70" s="180" t="str">
        <f t="shared" si="2"/>
        <v/>
      </c>
      <c r="V70" s="177"/>
      <c r="X70" s="180">
        <f t="shared" si="3"/>
        <v>12.035092283666781</v>
      </c>
      <c r="Y70" s="180">
        <f t="shared" si="4"/>
        <v>0</v>
      </c>
    </row>
    <row r="71" spans="1:25" ht="15.6" x14ac:dyDescent="0.3">
      <c r="A71" s="152">
        <v>2059</v>
      </c>
      <c r="B71" s="178">
        <f t="shared" si="0"/>
        <v>0</v>
      </c>
      <c r="C71" s="182">
        <f t="shared" si="9"/>
        <v>0</v>
      </c>
      <c r="D71" s="183"/>
      <c r="E71" s="179">
        <f t="shared" si="5"/>
        <v>6.970161942049014</v>
      </c>
      <c r="F71" s="183">
        <f t="shared" si="10"/>
        <v>0.44185557531011632</v>
      </c>
      <c r="G71" s="247">
        <f t="shared" si="6"/>
        <v>4.6194775913800709E-2</v>
      </c>
      <c r="H71" s="246"/>
      <c r="J71" s="182"/>
      <c r="K71" s="182"/>
      <c r="L71" s="182"/>
      <c r="M71" s="182"/>
      <c r="N71" s="163"/>
      <c r="O71" s="259" t="str">
        <f>IF($O$24="Y",IFERROR(E71*($E$6/SUMIF($G$3:$G$14,"Y",$E$3:$E$14))*$O$16*'Emissions Factors'!B56,""),"")</f>
        <v/>
      </c>
      <c r="P71" s="259" t="str">
        <f>IF($P$24="Y",IFERROR($E71*(SUM($E$3,$E$4,$E$5)/SUMIF($G$3:$G$14,"Y",$E$3:$E$14))*('Emissions Factors'!$T$143*$P$16)/10^6,""),"")</f>
        <v/>
      </c>
      <c r="Q71" s="259">
        <f t="shared" si="7"/>
        <v>9.193462107194545</v>
      </c>
      <c r="R71" s="259">
        <f t="shared" si="8"/>
        <v>3.6562017247689709</v>
      </c>
      <c r="T71" s="180" t="str">
        <f t="shared" si="1"/>
        <v/>
      </c>
      <c r="U71" s="180" t="str">
        <f t="shared" si="2"/>
        <v/>
      </c>
      <c r="V71" s="177"/>
      <c r="X71" s="180">
        <f t="shared" si="3"/>
        <v>12.849663831963516</v>
      </c>
      <c r="Y71" s="180">
        <f t="shared" si="4"/>
        <v>0</v>
      </c>
    </row>
    <row r="72" spans="1:25" ht="15.6" x14ac:dyDescent="0.3">
      <c r="A72" s="152">
        <v>2060</v>
      </c>
      <c r="B72" s="178">
        <f t="shared" si="0"/>
        <v>0</v>
      </c>
      <c r="C72" s="182">
        <f t="shared" si="9"/>
        <v>0</v>
      </c>
      <c r="D72" s="183"/>
      <c r="E72" s="179">
        <f t="shared" si="5"/>
        <v>7.4307184545456932</v>
      </c>
      <c r="F72" s="183">
        <f t="shared" si="10"/>
        <v>0.46055651249667928</v>
      </c>
      <c r="G72" s="247">
        <f t="shared" si="6"/>
        <v>4.641704793837579E-2</v>
      </c>
      <c r="H72" s="246"/>
      <c r="J72" s="182"/>
      <c r="K72" s="182"/>
      <c r="L72" s="182"/>
      <c r="M72" s="182"/>
      <c r="N72" s="163"/>
      <c r="O72" s="259" t="str">
        <f>IF($O$24="Y",IFERROR(E72*($E$6/SUMIF($G$3:$G$14,"Y",$E$3:$E$14))*$O$16*'Emissions Factors'!B57,""),"")</f>
        <v/>
      </c>
      <c r="P72" s="259" t="str">
        <f>IF($P$24="Y",IFERROR($E72*(SUM($E$3,$E$4,$E$5)/SUMIF($G$3:$G$14,"Y",$E$3:$E$14))*('Emissions Factors'!$T$143*$P$16)/10^6,""),"")</f>
        <v/>
      </c>
      <c r="Q72" s="259">
        <f t="shared" si="7"/>
        <v>9.8009241548575581</v>
      </c>
      <c r="R72" s="259">
        <f t="shared" si="8"/>
        <v>3.8977868599988321</v>
      </c>
      <c r="T72" s="180" t="str">
        <f t="shared" si="1"/>
        <v/>
      </c>
      <c r="U72" s="180" t="str">
        <f t="shared" si="2"/>
        <v/>
      </c>
      <c r="V72" s="177"/>
      <c r="X72" s="180">
        <f t="shared" si="3"/>
        <v>13.698711014856389</v>
      </c>
      <c r="Y72" s="180">
        <f t="shared" si="4"/>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432.40293243835714</v>
      </c>
      <c r="C85" s="253">
        <f>(C137/Population_Tables!P3)*Population_Tables!D3</f>
        <v>242.7166740407788</v>
      </c>
      <c r="D85" s="253">
        <f>(D137/Population_Tables!Q3)*Population_Tables!E3</f>
        <v>22.577752457254896</v>
      </c>
      <c r="E85" s="253">
        <f>(E137/Population_Tables!R3)*Population_Tables!F3</f>
        <v>138.88744913948076</v>
      </c>
      <c r="F85" s="253">
        <f>(F137/Population_Tables!S3)*Population_Tables!G3</f>
        <v>9.7550255923880087</v>
      </c>
      <c r="G85" s="253">
        <f>(G137/Population_Tables!T3)*Population_Tables!H3</f>
        <v>23.089263841707499</v>
      </c>
      <c r="H85" s="253">
        <f>(H137/Population_Tables!U3)*Population_Tables!I3</f>
        <v>110.77857142857144</v>
      </c>
      <c r="I85" s="253">
        <f>(I137/Population_Tables!V3)*Population_Tables!J3</f>
        <v>10.247</v>
      </c>
      <c r="J85" s="253">
        <f>(J137/Population_Tables!W3)*Population_Tables!K3</f>
        <v>92.507389000000003</v>
      </c>
      <c r="K85" s="253">
        <f>(K137/Population_Tables!X3)*Population_Tables!L3</f>
        <v>75.239767771023054</v>
      </c>
      <c r="N85" s="195">
        <f t="shared" ref="N85:N131" si="11">SUMIF($C$83:$G$83,"Y",C85:G85)-H85</f>
        <v>37.863903303297349</v>
      </c>
      <c r="O85" s="195">
        <f>H85</f>
        <v>110.77857142857144</v>
      </c>
      <c r="P85" s="195">
        <f t="shared" ref="P85:P131" si="12">SUMIF($C$83:$G$83,"N",C85:G85)-(IF($E$83="N",H85))</f>
        <v>288.38369033974124</v>
      </c>
      <c r="Q85" s="195">
        <f>N85+P85+O85</f>
        <v>437.02616507161008</v>
      </c>
      <c r="R85" s="196">
        <f>N85/Q85</f>
        <v>8.6639900146695009E-2</v>
      </c>
      <c r="U85" s="197">
        <v>0</v>
      </c>
      <c r="V85" s="195">
        <f>O85-O137</f>
        <v>0</v>
      </c>
      <c r="W85" s="197">
        <v>0</v>
      </c>
      <c r="X85" s="195">
        <f>U85+V85+W85</f>
        <v>0</v>
      </c>
      <c r="Y85" s="196">
        <v>0</v>
      </c>
      <c r="AC85" s="251">
        <f>(B85-B137)/((SUM(C85:G85)-SUM(C137:G137)))</f>
        <v>1.6886830925735701</v>
      </c>
      <c r="AF85" s="250">
        <f>B85</f>
        <v>432.40293243835714</v>
      </c>
      <c r="AG85" s="250">
        <f>SUM(C85:G85)</f>
        <v>437.02616507161002</v>
      </c>
      <c r="AH85" s="250">
        <f>AG85-AF85</f>
        <v>4.6232326332528828</v>
      </c>
      <c r="AI85" s="251">
        <f>AH85/AG85</f>
        <v>1.0578846308882516E-2</v>
      </c>
    </row>
    <row r="86" spans="1:35" ht="15.6" x14ac:dyDescent="0.3">
      <c r="A86" s="194">
        <v>2015</v>
      </c>
      <c r="B86" s="253">
        <f>(B138/Population_Tables!O4)*Population_Tables!C4</f>
        <v>440.59156610634528</v>
      </c>
      <c r="C86" s="253">
        <f>(C138/Population_Tables!P4)*Population_Tables!D4</f>
        <v>248.9172714797898</v>
      </c>
      <c r="D86" s="253">
        <f>(D138/Population_Tables!Q4)*Population_Tables!E4</f>
        <v>23.960728682533301</v>
      </c>
      <c r="E86" s="253">
        <f>(E138/Population_Tables!R4)*Population_Tables!F4</f>
        <v>144.98500989681921</v>
      </c>
      <c r="F86" s="253">
        <f>(F138/Population_Tables!S4)*Population_Tables!G4</f>
        <v>10.190211075449591</v>
      </c>
      <c r="G86" s="253">
        <f>(G138/Population_Tables!T4)*Population_Tables!H4</f>
        <v>23.707307011197013</v>
      </c>
      <c r="H86" s="253">
        <f>(H138/Population_Tables!U4)*Population_Tables!I4</f>
        <v>113.19754489485025</v>
      </c>
      <c r="I86" s="253">
        <f>(I138/Population_Tables!V4)*Population_Tables!J4</f>
        <v>10.734412211184107</v>
      </c>
      <c r="J86" s="253">
        <f>(J138/Population_Tables!W4)*Population_Tables!K4</f>
        <v>93.239344929717433</v>
      </c>
      <c r="K86" s="253">
        <f>(K138/Population_Tables!X4)*Population_Tables!L4</f>
        <v>74.086895901498096</v>
      </c>
      <c r="N86" s="195">
        <f t="shared" si="11"/>
        <v>41.977676077418536</v>
      </c>
      <c r="O86" s="195">
        <f t="shared" ref="O86:O131" si="13">H86</f>
        <v>113.19754489485025</v>
      </c>
      <c r="P86" s="195">
        <f t="shared" si="12"/>
        <v>296.58530717352016</v>
      </c>
      <c r="Q86" s="195">
        <f t="shared" ref="Q86:Q131" si="14">N86+P86+O86</f>
        <v>451.76052814578895</v>
      </c>
      <c r="R86" s="196">
        <f t="shared" ref="R86:R130" si="15">N86/Q86</f>
        <v>9.2920194355430266E-2</v>
      </c>
      <c r="U86" s="197">
        <v>0</v>
      </c>
      <c r="V86" s="195">
        <f t="shared" ref="V86:W131" si="16">O86-O138</f>
        <v>0</v>
      </c>
      <c r="W86" s="197">
        <v>0</v>
      </c>
      <c r="X86" s="195">
        <f>U86+V86+W86</f>
        <v>0</v>
      </c>
      <c r="Y86" s="196">
        <v>0</v>
      </c>
      <c r="AC86" s="251">
        <f t="shared" ref="AC86:AC131" si="17">(B86-B138)/((SUM(C86:G86)-SUM(C138:G138)))</f>
        <v>1.6453063197067033</v>
      </c>
    </row>
    <row r="87" spans="1:35" ht="15.6" x14ac:dyDescent="0.3">
      <c r="A87" s="194">
        <v>2016</v>
      </c>
      <c r="B87" s="253">
        <f>(B139/Population_Tables!O5)*Population_Tables!C5</f>
        <v>448.86429407781111</v>
      </c>
      <c r="C87" s="253">
        <f>(C139/Population_Tables!P5)*Population_Tables!D5</f>
        <v>255.30792306614492</v>
      </c>
      <c r="D87" s="253">
        <f>(D139/Population_Tables!Q5)*Population_Tables!E5</f>
        <v>24.931197816107815</v>
      </c>
      <c r="E87" s="253">
        <f>(E139/Population_Tables!R5)*Population_Tables!F5</f>
        <v>151.80523750226175</v>
      </c>
      <c r="F87" s="253">
        <f>(F139/Population_Tables!S5)*Population_Tables!G5</f>
        <v>10.58560058398035</v>
      </c>
      <c r="G87" s="253">
        <f>(G139/Population_Tables!T5)*Population_Tables!H5</f>
        <v>24.327958885687796</v>
      </c>
      <c r="H87" s="253">
        <f>(H139/Population_Tables!U5)*Population_Tables!I5</f>
        <v>121.55963600379647</v>
      </c>
      <c r="I87" s="253">
        <f>(I139/Population_Tables!V5)*Population_Tables!J5</f>
        <v>11.495327873294668</v>
      </c>
      <c r="J87" s="253">
        <f>(J139/Population_Tables!W5)*Population_Tables!K5</f>
        <v>93.696571348898459</v>
      </c>
      <c r="K87" s="253">
        <f>(K139/Population_Tables!X5)*Population_Tables!L5</f>
        <v>73.53224527956894</v>
      </c>
      <c r="N87" s="195">
        <f t="shared" si="11"/>
        <v>40.831202082445628</v>
      </c>
      <c r="O87" s="195">
        <f t="shared" si="13"/>
        <v>121.55963600379647</v>
      </c>
      <c r="P87" s="195">
        <f t="shared" si="12"/>
        <v>304.56707976794053</v>
      </c>
      <c r="Q87" s="195">
        <f t="shared" si="14"/>
        <v>466.95791785418265</v>
      </c>
      <c r="R87" s="196">
        <f t="shared" si="15"/>
        <v>8.7440860345783925E-2</v>
      </c>
      <c r="U87" s="195">
        <f>N87-N139</f>
        <v>-4.5534321805007494E-4</v>
      </c>
      <c r="V87" s="195">
        <f>O87-O139</f>
        <v>0</v>
      </c>
      <c r="W87" s="195">
        <f>P87-P139</f>
        <v>0</v>
      </c>
      <c r="X87" s="195">
        <f>U87+V87+W87</f>
        <v>-4.5534321805007494E-4</v>
      </c>
      <c r="Y87" s="196">
        <f t="shared" ref="Y87:Y131" si="18">U87/X87</f>
        <v>1</v>
      </c>
      <c r="AC87" s="251">
        <f>(B87-B139)/((SUM(C87:G87)-SUM(C139:G139)))</f>
        <v>1.5979166405300809</v>
      </c>
    </row>
    <row r="88" spans="1:35" ht="15.6" x14ac:dyDescent="0.3">
      <c r="A88" s="194">
        <v>2017</v>
      </c>
      <c r="B88" s="253">
        <f>(B140/Population_Tables!O6)*Population_Tables!C6</f>
        <v>457.49718497802417</v>
      </c>
      <c r="C88" s="253">
        <f>(C140/Population_Tables!P6)*Population_Tables!D6</f>
        <v>261.82482909786785</v>
      </c>
      <c r="D88" s="253">
        <f>(D140/Population_Tables!Q6)*Population_Tables!E6</f>
        <v>25.872882057951749</v>
      </c>
      <c r="E88" s="253">
        <f>(E140/Population_Tables!R6)*Population_Tables!F6</f>
        <v>158.6550114118821</v>
      </c>
      <c r="F88" s="253">
        <f>(F140/Population_Tables!S6)*Population_Tables!G6</f>
        <v>10.988169668343122</v>
      </c>
      <c r="G88" s="253">
        <f>(G140/Population_Tables!T6)*Population_Tables!H6</f>
        <v>24.961113198888356</v>
      </c>
      <c r="H88" s="253">
        <f>(H140/Population_Tables!U6)*Population_Tables!I6</f>
        <v>129.96260133166209</v>
      </c>
      <c r="I88" s="253">
        <f>(I140/Population_Tables!V6)*Population_Tables!J6</f>
        <v>12.265346857544058</v>
      </c>
      <c r="J88" s="253">
        <f>(J140/Population_Tables!W6)*Population_Tables!K6</f>
        <v>94.13558515987647</v>
      </c>
      <c r="K88" s="253">
        <f>(K140/Population_Tables!X6)*Population_Tables!L6</f>
        <v>72.990814901569919</v>
      </c>
      <c r="N88" s="195">
        <f t="shared" si="11"/>
        <v>39.680579748563133</v>
      </c>
      <c r="O88" s="195">
        <f>H88</f>
        <v>129.96260133166209</v>
      </c>
      <c r="P88" s="195">
        <f t="shared" si="12"/>
        <v>312.65882435470797</v>
      </c>
      <c r="Q88" s="195">
        <f t="shared" si="14"/>
        <v>482.30200543493322</v>
      </c>
      <c r="R88" s="196">
        <f t="shared" si="15"/>
        <v>8.2273304488501425E-2</v>
      </c>
      <c r="U88" s="195">
        <f>N88-N140</f>
        <v>-4.6354847356155915E-4</v>
      </c>
      <c r="V88" s="195">
        <f t="shared" si="16"/>
        <v>0</v>
      </c>
      <c r="W88" s="195">
        <f t="shared" si="16"/>
        <v>0</v>
      </c>
      <c r="X88" s="195">
        <f t="shared" ref="X88:X131" si="19">U88+V88+W88</f>
        <v>-4.6354847356155915E-4</v>
      </c>
      <c r="Y88" s="196">
        <f t="shared" si="18"/>
        <v>1</v>
      </c>
      <c r="AC88" s="251">
        <f t="shared" si="17"/>
        <v>1.5553720315803559</v>
      </c>
    </row>
    <row r="89" spans="1:35" ht="15.6" x14ac:dyDescent="0.3">
      <c r="A89" s="194">
        <v>2018</v>
      </c>
      <c r="B89" s="253">
        <f>(B141/Population_Tables!O7)*Population_Tables!C7</f>
        <v>466.48794327598938</v>
      </c>
      <c r="C89" s="253">
        <f>(C141/Population_Tables!P7)*Population_Tables!D7</f>
        <v>268.47112544911755</v>
      </c>
      <c r="D89" s="253">
        <f>(D141/Population_Tables!Q7)*Population_Tables!E7</f>
        <v>26.787807244991996</v>
      </c>
      <c r="E89" s="253">
        <f>(E141/Population_Tables!R7)*Population_Tables!F7</f>
        <v>165.54078440263237</v>
      </c>
      <c r="F89" s="253">
        <f>(F141/Population_Tables!S7)*Population_Tables!G7</f>
        <v>11.398145440062395</v>
      </c>
      <c r="G89" s="253">
        <f>(G141/Population_Tables!T7)*Population_Tables!H7</f>
        <v>25.607155974260305</v>
      </c>
      <c r="H89" s="253">
        <f>(H141/Population_Tables!U7)*Population_Tables!I7</f>
        <v>138.41066107933082</v>
      </c>
      <c r="I89" s="253">
        <f>(I141/Population_Tables!V7)*Population_Tables!J7</f>
        <v>13.050637172646038</v>
      </c>
      <c r="J89" s="253">
        <f>(J141/Population_Tables!W7)*Population_Tables!K7</f>
        <v>94.557354393598118</v>
      </c>
      <c r="K89" s="253">
        <f>(K141/Population_Tables!X7)*Population_Tables!L7</f>
        <v>72.46260476750102</v>
      </c>
      <c r="N89" s="195">
        <f t="shared" si="11"/>
        <v>38.52826876336394</v>
      </c>
      <c r="O89" s="195">
        <f t="shared" si="13"/>
        <v>138.41066107933082</v>
      </c>
      <c r="P89" s="195">
        <f t="shared" si="12"/>
        <v>320.86608866836985</v>
      </c>
      <c r="Q89" s="195">
        <f t="shared" si="14"/>
        <v>497.80501851106465</v>
      </c>
      <c r="R89" s="196">
        <f t="shared" si="15"/>
        <v>7.7396304437833977E-2</v>
      </c>
      <c r="U89" s="195">
        <f t="shared" ref="U89:U131" si="20">N89-N141</f>
        <v>-4.6961698285485909E-4</v>
      </c>
      <c r="V89" s="195">
        <f t="shared" si="16"/>
        <v>0</v>
      </c>
      <c r="W89" s="195">
        <f t="shared" si="16"/>
        <v>0</v>
      </c>
      <c r="X89" s="195">
        <f t="shared" si="19"/>
        <v>-4.6961698285485909E-4</v>
      </c>
      <c r="Y89" s="196">
        <f t="shared" si="18"/>
        <v>1</v>
      </c>
      <c r="AC89" s="251">
        <f t="shared" si="17"/>
        <v>1.5169951416558742</v>
      </c>
    </row>
    <row r="90" spans="1:35" ht="16.2" thickBot="1" x14ac:dyDescent="0.35">
      <c r="A90" s="198">
        <v>2019</v>
      </c>
      <c r="B90" s="253">
        <f>(B142/Population_Tables!O8)*Population_Tables!C8</f>
        <v>475.83426986196787</v>
      </c>
      <c r="C90" s="253">
        <f>(C142/Population_Tables!P8)*Population_Tables!D8</f>
        <v>275.24994799405289</v>
      </c>
      <c r="D90" s="253">
        <f>(D142/Population_Tables!Q8)*Population_Tables!E8</f>
        <v>27.677999214155445</v>
      </c>
      <c r="E90" s="253">
        <f>(E142/Population_Tables!R8)*Population_Tables!F8</f>
        <v>172.46900681755503</v>
      </c>
      <c r="F90" s="253">
        <f>(F142/Population_Tables!S8)*Population_Tables!G8</f>
        <v>11.815755010662649</v>
      </c>
      <c r="G90" s="253">
        <f>(G142/Population_Tables!T8)*Population_Tables!H8</f>
        <v>26.266473235265252</v>
      </c>
      <c r="H90" s="253">
        <f>(H142/Population_Tables!U8)*Population_Tables!I8</f>
        <v>146.90803544768647</v>
      </c>
      <c r="I90" s="253">
        <f>(I142/Population_Tables!V8)*Population_Tables!J8</f>
        <v>13.857366827314374</v>
      </c>
      <c r="J90" s="253">
        <f>(J142/Population_Tables!W8)*Population_Tables!K8</f>
        <v>94.962847081010011</v>
      </c>
      <c r="K90" s="253">
        <f>(K142/Population_Tables!X8)*Population_Tables!L8</f>
        <v>71.94761487736227</v>
      </c>
      <c r="N90" s="195">
        <f t="shared" si="11"/>
        <v>37.37672638053121</v>
      </c>
      <c r="O90" s="195">
        <f t="shared" si="13"/>
        <v>146.90803544768647</v>
      </c>
      <c r="P90" s="195">
        <f t="shared" si="12"/>
        <v>329.19442044347358</v>
      </c>
      <c r="Q90" s="195">
        <f t="shared" si="14"/>
        <v>513.47918227169134</v>
      </c>
      <c r="R90" s="199">
        <f t="shared" si="15"/>
        <v>7.2791123128248827E-2</v>
      </c>
      <c r="U90" s="200">
        <f t="shared" si="20"/>
        <v>-4.7600029554928369E-4</v>
      </c>
      <c r="V90" s="195">
        <f t="shared" si="16"/>
        <v>0</v>
      </c>
      <c r="W90" s="200">
        <f t="shared" si="16"/>
        <v>0</v>
      </c>
      <c r="X90" s="195">
        <f t="shared" si="19"/>
        <v>-4.7600029554928369E-4</v>
      </c>
      <c r="Y90" s="199">
        <f t="shared" si="18"/>
        <v>1</v>
      </c>
      <c r="AC90" s="251">
        <f t="shared" si="17"/>
        <v>1.4822075140094615</v>
      </c>
    </row>
    <row r="91" spans="1:35" ht="15.6" x14ac:dyDescent="0.3">
      <c r="A91" s="201">
        <v>2020</v>
      </c>
      <c r="B91" s="253">
        <f>(B143/Population_Tables!O9)*Population_Tables!C9</f>
        <v>485.5338691628919</v>
      </c>
      <c r="C91" s="253">
        <f>(C143/Population_Tables!P9)*Population_Tables!D9</f>
        <v>282.16443260683286</v>
      </c>
      <c r="D91" s="253">
        <f>(D143/Population_Tables!Q9)*Population_Tables!E9</f>
        <v>28.545483802368999</v>
      </c>
      <c r="E91" s="253">
        <f>(E143/Population_Tables!R9)*Population_Tables!F9</f>
        <v>179.44613117679449</v>
      </c>
      <c r="F91" s="253">
        <f>(F143/Population_Tables!S9)*Population_Tables!G9</f>
        <v>12.241225491668368</v>
      </c>
      <c r="G91" s="253">
        <f>(G143/Population_Tables!T9)*Population_Tables!H9</f>
        <v>26.939451005364806</v>
      </c>
      <c r="H91" s="253">
        <f>(H143/Population_Tables!U9)*Population_Tables!I9</f>
        <v>155.45894463761272</v>
      </c>
      <c r="I91" s="253">
        <f>(I143/Population_Tables!V9)*Population_Tables!J9</f>
        <v>14.691703830262833</v>
      </c>
      <c r="J91" s="253">
        <f>(J143/Population_Tables!W9)*Population_Tables!K9</f>
        <v>95.353031253058845</v>
      </c>
      <c r="K91" s="253">
        <f>(K143/Population_Tables!X9)*Population_Tables!L9</f>
        <v>71.44584523115364</v>
      </c>
      <c r="L91" s="202"/>
      <c r="M91" s="202"/>
      <c r="N91" s="195">
        <f t="shared" si="11"/>
        <v>36.228412030850137</v>
      </c>
      <c r="O91" s="195">
        <f t="shared" si="13"/>
        <v>155.45894463761272</v>
      </c>
      <c r="P91" s="195">
        <f t="shared" si="12"/>
        <v>337.64936741456665</v>
      </c>
      <c r="Q91" s="195">
        <f t="shared" si="14"/>
        <v>529.33672408302948</v>
      </c>
      <c r="R91" s="203">
        <f t="shared" si="15"/>
        <v>6.8441146027811789E-2</v>
      </c>
      <c r="S91" s="202"/>
      <c r="T91" s="202"/>
      <c r="U91" s="204">
        <f>N91-N143</f>
        <v>-4.829728594017979E-4</v>
      </c>
      <c r="V91" s="195">
        <f t="shared" si="16"/>
        <v>0</v>
      </c>
      <c r="W91" s="204">
        <f t="shared" si="16"/>
        <v>0</v>
      </c>
      <c r="X91" s="195">
        <f t="shared" si="19"/>
        <v>-4.829728594017979E-4</v>
      </c>
      <c r="Y91" s="205">
        <f>U91/X91</f>
        <v>1</v>
      </c>
      <c r="AC91" s="251">
        <f t="shared" si="17"/>
        <v>1.4504105237371028</v>
      </c>
    </row>
    <row r="92" spans="1:35" ht="15.6" x14ac:dyDescent="0.3">
      <c r="A92" s="206">
        <v>2021</v>
      </c>
      <c r="B92" s="253">
        <f>(B144/Population_Tables!O10)*Population_Tables!C10</f>
        <v>496.21184385311744</v>
      </c>
      <c r="C92" s="253">
        <f>(C144/Population_Tables!P10)*Population_Tables!D10</f>
        <v>289.51770016432852</v>
      </c>
      <c r="D92" s="253">
        <f>(D144/Population_Tables!Q10)*Population_Tables!E10</f>
        <v>29.427156775493245</v>
      </c>
      <c r="E92" s="253">
        <f>(E144/Population_Tables!R10)*Population_Tables!F10</f>
        <v>186.7017493225928</v>
      </c>
      <c r="F92" s="253">
        <f>(F144/Population_Tables!S10)*Population_Tables!G10</f>
        <v>12.691777567929758</v>
      </c>
      <c r="G92" s="253">
        <f>(G144/Population_Tables!T10)*Population_Tables!H10</f>
        <v>27.678793853743933</v>
      </c>
      <c r="H92" s="253">
        <f>(H144/Population_Tables!U10)*Population_Tables!I10</f>
        <v>164.23977392256455</v>
      </c>
      <c r="I92" s="253">
        <f>(I144/Population_Tables!V10)*Population_Tables!J10</f>
        <v>15.577716942528504</v>
      </c>
      <c r="J92" s="253">
        <f>(J144/Population_Tables!W10)*Population_Tables!K10</f>
        <v>95.827914825231005</v>
      </c>
      <c r="K92" s="253">
        <f>(K144/Population_Tables!X10)*Population_Tables!L10</f>
        <v>71.032260467429495</v>
      </c>
      <c r="L92" s="170"/>
      <c r="M92" s="170"/>
      <c r="N92" s="195">
        <f t="shared" si="11"/>
        <v>35.153752967958013</v>
      </c>
      <c r="O92" s="195">
        <f t="shared" si="13"/>
        <v>164.23977392256455</v>
      </c>
      <c r="P92" s="195">
        <f t="shared" si="12"/>
        <v>346.62365079356567</v>
      </c>
      <c r="Q92" s="195">
        <f t="shared" si="14"/>
        <v>546.01717768408821</v>
      </c>
      <c r="R92" s="196">
        <f t="shared" si="15"/>
        <v>6.4382137421136396E-2</v>
      </c>
      <c r="S92" s="170"/>
      <c r="T92" s="170"/>
      <c r="U92" s="195">
        <f t="shared" si="20"/>
        <v>6.7477013730012914E-2</v>
      </c>
      <c r="V92" s="195">
        <f t="shared" si="16"/>
        <v>0.17216507257117541</v>
      </c>
      <c r="W92" s="195">
        <f t="shared" si="16"/>
        <v>0.38717347736906049</v>
      </c>
      <c r="X92" s="195">
        <f t="shared" si="19"/>
        <v>0.62681556367024882</v>
      </c>
      <c r="Y92" s="207">
        <f t="shared" si="18"/>
        <v>0.10765050780632945</v>
      </c>
      <c r="AC92" s="251">
        <f t="shared" si="17"/>
        <v>0.99981685039217438</v>
      </c>
    </row>
    <row r="93" spans="1:35" ht="15.6" x14ac:dyDescent="0.3">
      <c r="A93" s="206">
        <v>2022</v>
      </c>
      <c r="B93" s="253">
        <f>(B145/Population_Tables!O11)*Population_Tables!C11</f>
        <v>507.41567752420934</v>
      </c>
      <c r="C93" s="253">
        <f>(C145/Population_Tables!P11)*Population_Tables!D11</f>
        <v>297.11277605328786</v>
      </c>
      <c r="D93" s="253">
        <f>(D145/Population_Tables!Q11)*Population_Tables!E11</f>
        <v>30.29824758377973</v>
      </c>
      <c r="E93" s="253">
        <f>(E145/Population_Tables!R11)*Population_Tables!F11</f>
        <v>194.11015599086807</v>
      </c>
      <c r="F93" s="253">
        <f>(F145/Population_Tables!S11)*Population_Tables!G11</f>
        <v>13.154537464929037</v>
      </c>
      <c r="G93" s="253">
        <f>(G145/Population_Tables!T11)*Population_Tables!H11</f>
        <v>28.436896810077013</v>
      </c>
      <c r="H93" s="253">
        <f>(H145/Population_Tables!U11)*Population_Tables!I11</f>
        <v>173.14251194703451</v>
      </c>
      <c r="I93" s="253">
        <f>(I145/Population_Tables!V11)*Population_Tables!J11</f>
        <v>16.513395655374776</v>
      </c>
      <c r="J93" s="253">
        <f>(J145/Population_Tables!W11)*Population_Tables!K11</f>
        <v>96.313606598833957</v>
      </c>
      <c r="K93" s="253">
        <f>(K145/Population_Tables!X11)*Population_Tables!L11</f>
        <v>70.654307469868158</v>
      </c>
      <c r="L93" s="170"/>
      <c r="M93" s="170"/>
      <c r="N93" s="195">
        <f t="shared" si="11"/>
        <v>34.122181508762594</v>
      </c>
      <c r="O93" s="195">
        <f t="shared" si="13"/>
        <v>173.14251194703451</v>
      </c>
      <c r="P93" s="195">
        <f t="shared" si="12"/>
        <v>355.84792044714465</v>
      </c>
      <c r="Q93" s="195">
        <f t="shared" si="14"/>
        <v>563.1126139029418</v>
      </c>
      <c r="R93" s="196">
        <f t="shared" si="15"/>
        <v>6.0595661802461238E-2</v>
      </c>
      <c r="S93" s="170"/>
      <c r="T93" s="170"/>
      <c r="U93" s="195">
        <f t="shared" si="20"/>
        <v>0.17037657114755689</v>
      </c>
      <c r="V93" s="195">
        <f t="shared" si="16"/>
        <v>0.40426366132234648</v>
      </c>
      <c r="W93" s="195">
        <f t="shared" si="16"/>
        <v>0.88662256423384633</v>
      </c>
      <c r="X93" s="195">
        <f t="shared" si="19"/>
        <v>1.4612627967037497</v>
      </c>
      <c r="Y93" s="207">
        <f t="shared" si="18"/>
        <v>0.11659543480603532</v>
      </c>
      <c r="AC93" s="251">
        <f t="shared" si="17"/>
        <v>0.97947973927101095</v>
      </c>
    </row>
    <row r="94" spans="1:35" ht="15.6" x14ac:dyDescent="0.3">
      <c r="A94" s="206">
        <v>2023</v>
      </c>
      <c r="B94" s="253">
        <f>(B146/Population_Tables!O12)*Population_Tables!C12</f>
        <v>519.1280071778159</v>
      </c>
      <c r="C94" s="253">
        <f>(C146/Population_Tables!P12)*Population_Tables!D12</f>
        <v>304.94479038530574</v>
      </c>
      <c r="D94" s="253">
        <f>(D146/Population_Tables!Q12)*Population_Tables!E12</f>
        <v>31.160526574658867</v>
      </c>
      <c r="E94" s="253">
        <f>(E146/Population_Tables!R12)*Population_Tables!F12</f>
        <v>201.67057656725973</v>
      </c>
      <c r="F94" s="253">
        <f>(F146/Population_Tables!S12)*Population_Tables!G12</f>
        <v>13.629722873697149</v>
      </c>
      <c r="G94" s="253">
        <f>(G146/Population_Tables!T12)*Population_Tables!H12</f>
        <v>29.215761755362504</v>
      </c>
      <c r="H94" s="253">
        <f>(H146/Population_Tables!U12)*Population_Tables!I12</f>
        <v>182.17029792089448</v>
      </c>
      <c r="I94" s="253">
        <f>(I146/Population_Tables!V12)*Population_Tables!J12</f>
        <v>17.504421600834618</v>
      </c>
      <c r="J94" s="253">
        <f>(J146/Population_Tables!W12)*Population_Tables!K12</f>
        <v>96.807542941691992</v>
      </c>
      <c r="K94" s="253">
        <f>(K146/Population_Tables!X12)*Population_Tables!L12</f>
        <v>70.307422958794206</v>
      </c>
      <c r="L94" s="170"/>
      <c r="M94" s="170"/>
      <c r="N94" s="195">
        <f t="shared" si="11"/>
        <v>33.130001520062393</v>
      </c>
      <c r="O94" s="195">
        <f t="shared" si="13"/>
        <v>182.17029792089448</v>
      </c>
      <c r="P94" s="195">
        <f t="shared" si="12"/>
        <v>365.32107871532713</v>
      </c>
      <c r="Q94" s="195">
        <f t="shared" si="14"/>
        <v>580.62137815628398</v>
      </c>
      <c r="R94" s="196">
        <f t="shared" si="15"/>
        <v>5.7059561990748638E-2</v>
      </c>
      <c r="S94" s="170"/>
      <c r="T94" s="170"/>
      <c r="U94" s="195">
        <f>N94-N146</f>
        <v>0.30205986095896264</v>
      </c>
      <c r="V94" s="195">
        <f t="shared" si="16"/>
        <v>0.69521477524165221</v>
      </c>
      <c r="W94" s="195">
        <f t="shared" si="16"/>
        <v>1.4917018660704571</v>
      </c>
      <c r="X94" s="195">
        <f t="shared" si="19"/>
        <v>2.4889765022710719</v>
      </c>
      <c r="Y94" s="207">
        <f t="shared" si="18"/>
        <v>0.12135906493426012</v>
      </c>
      <c r="AC94" s="251">
        <f t="shared" si="17"/>
        <v>0.9634327765052304</v>
      </c>
    </row>
    <row r="95" spans="1:35" ht="15.6" x14ac:dyDescent="0.3">
      <c r="A95" s="206">
        <v>2024</v>
      </c>
      <c r="B95" s="253">
        <f>(B147/Population_Tables!O13)*Population_Tables!C13</f>
        <v>531.34196990662019</v>
      </c>
      <c r="C95" s="253">
        <f>(C147/Population_Tables!P13)*Population_Tables!D13</f>
        <v>313.01060176723291</v>
      </c>
      <c r="D95" s="253">
        <f>(D147/Population_Tables!Q13)*Population_Tables!E13</f>
        <v>32.015642087104226</v>
      </c>
      <c r="E95" s="253">
        <f>(E147/Population_Tables!R13)*Population_Tables!F13</f>
        <v>209.38403130270581</v>
      </c>
      <c r="F95" s="253">
        <f>(F147/Population_Tables!S13)*Population_Tables!G13</f>
        <v>14.117915106963576</v>
      </c>
      <c r="G95" s="253">
        <f>(G147/Population_Tables!T13)*Population_Tables!H13</f>
        <v>30.019557282129959</v>
      </c>
      <c r="H95" s="253">
        <f>(H147/Population_Tables!U13)*Population_Tables!I13</f>
        <v>191.32656253219218</v>
      </c>
      <c r="I95" s="253">
        <f>(I147/Population_Tables!V13)*Population_Tables!J13</f>
        <v>18.556758448223764</v>
      </c>
      <c r="J95" s="253">
        <f>(J147/Population_Tables!W13)*Population_Tables!K13</f>
        <v>97.307817562131248</v>
      </c>
      <c r="K95" s="253">
        <f>(K147/Population_Tables!X13)*Population_Tables!L13</f>
        <v>69.988010872686246</v>
      </c>
      <c r="L95" s="170"/>
      <c r="M95" s="170"/>
      <c r="N95" s="195">
        <f t="shared" si="11"/>
        <v>32.175383877477202</v>
      </c>
      <c r="O95" s="195">
        <f t="shared" si="13"/>
        <v>191.32656253219218</v>
      </c>
      <c r="P95" s="195">
        <f t="shared" si="12"/>
        <v>375.04580113646711</v>
      </c>
      <c r="Q95" s="195">
        <f t="shared" si="14"/>
        <v>598.54774754613652</v>
      </c>
      <c r="R95" s="196">
        <f t="shared" si="15"/>
        <v>5.3755751332097527E-2</v>
      </c>
      <c r="S95" s="170"/>
      <c r="T95" s="170"/>
      <c r="U95" s="195">
        <f t="shared" si="20"/>
        <v>0.45823805355098557</v>
      </c>
      <c r="V95" s="195">
        <f t="shared" si="16"/>
        <v>1.044228901493085</v>
      </c>
      <c r="W95" s="195">
        <f t="shared" si="16"/>
        <v>2.1995391866853993</v>
      </c>
      <c r="X95" s="195">
        <f t="shared" si="19"/>
        <v>3.7020061417294698</v>
      </c>
      <c r="Y95" s="207">
        <f t="shared" si="18"/>
        <v>0.12378100846070181</v>
      </c>
      <c r="AC95" s="251">
        <f t="shared" si="17"/>
        <v>0.95142629858424632</v>
      </c>
    </row>
    <row r="96" spans="1:35" ht="15.6" x14ac:dyDescent="0.3">
      <c r="A96" s="206">
        <v>2025</v>
      </c>
      <c r="B96" s="253">
        <f>(B148/Population_Tables!O14)*Population_Tables!C14</f>
        <v>544.05331931813669</v>
      </c>
      <c r="C96" s="253">
        <f>(C148/Population_Tables!P14)*Population_Tables!D14</f>
        <v>321.30897748195645</v>
      </c>
      <c r="D96" s="253">
        <f>(D148/Population_Tables!Q14)*Population_Tables!E14</f>
        <v>32.865397222862313</v>
      </c>
      <c r="E96" s="253">
        <f>(E148/Population_Tables!R14)*Population_Tables!F14</f>
        <v>217.25320983617485</v>
      </c>
      <c r="F96" s="253">
        <f>(F148/Population_Tables!S14)*Population_Tables!G14</f>
        <v>14.619681843145189</v>
      </c>
      <c r="G96" s="253">
        <f>(G148/Population_Tables!T14)*Population_Tables!H14</f>
        <v>30.85170280963953</v>
      </c>
      <c r="H96" s="253">
        <f>(H148/Population_Tables!U14)*Population_Tables!I14</f>
        <v>200.61533910553331</v>
      </c>
      <c r="I96" s="253">
        <f>(I148/Population_Tables!V14)*Population_Tables!J14</f>
        <v>19.676609232020418</v>
      </c>
      <c r="J96" s="253">
        <f>(J148/Population_Tables!W14)*Population_Tables!K14</f>
        <v>97.813165249336791</v>
      </c>
      <c r="K96" s="253">
        <f>(K148/Population_Tables!X14)*Population_Tables!L14</f>
        <v>69.693377825711821</v>
      </c>
      <c r="L96" s="170"/>
      <c r="M96" s="170"/>
      <c r="N96" s="195">
        <f t="shared" si="11"/>
        <v>31.257552573786739</v>
      </c>
      <c r="O96" s="195">
        <f t="shared" si="13"/>
        <v>200.61533910553331</v>
      </c>
      <c r="P96" s="195">
        <f t="shared" si="12"/>
        <v>385.02607751445828</v>
      </c>
      <c r="Q96" s="195">
        <f t="shared" si="14"/>
        <v>616.89896919377827</v>
      </c>
      <c r="R96" s="196">
        <f t="shared" si="15"/>
        <v>5.0668835797597546E-2</v>
      </c>
      <c r="S96" s="170"/>
      <c r="T96" s="170"/>
      <c r="U96" s="195">
        <f t="shared" si="20"/>
        <v>0.63567543647053526</v>
      </c>
      <c r="V96" s="195">
        <f t="shared" si="16"/>
        <v>1.4511191637985519</v>
      </c>
      <c r="W96" s="195">
        <f t="shared" si="16"/>
        <v>3.00857659542487</v>
      </c>
      <c r="X96" s="195">
        <f t="shared" si="19"/>
        <v>5.0953711956939571</v>
      </c>
      <c r="Y96" s="207">
        <f t="shared" si="18"/>
        <v>0.12475547159503074</v>
      </c>
      <c r="AC96" s="251">
        <f t="shared" si="17"/>
        <v>0.94242392356864568</v>
      </c>
    </row>
    <row r="97" spans="1:29" ht="15.6" x14ac:dyDescent="0.3">
      <c r="A97" s="206">
        <v>2026</v>
      </c>
      <c r="B97" s="253">
        <f>(B149/Population_Tables!O15)*Population_Tables!C15</f>
        <v>557.25728254072374</v>
      </c>
      <c r="C97" s="253">
        <f>(C149/Population_Tables!P15)*Population_Tables!D15</f>
        <v>329.84103979379455</v>
      </c>
      <c r="D97" s="253">
        <f>(D149/Population_Tables!Q15)*Population_Tables!E15</f>
        <v>33.712153098272985</v>
      </c>
      <c r="E97" s="253">
        <f>(E149/Population_Tables!R15)*Population_Tables!F15</f>
        <v>225.28263256818465</v>
      </c>
      <c r="F97" s="253">
        <f>(F149/Population_Tables!S15)*Population_Tables!G15</f>
        <v>15.135452764600501</v>
      </c>
      <c r="G97" s="253">
        <f>(G149/Population_Tables!T15)*Population_Tables!H15</f>
        <v>31.713264255507603</v>
      </c>
      <c r="H97" s="253">
        <f>(H149/Population_Tables!U15)*Population_Tables!I15</f>
        <v>210.04166000659268</v>
      </c>
      <c r="I97" s="253">
        <f>(I149/Population_Tables!V15)*Population_Tables!J15</f>
        <v>20.870403019634473</v>
      </c>
      <c r="J97" s="253">
        <f>(J149/Population_Tables!W15)*Population_Tables!K15</f>
        <v>98.323028707750041</v>
      </c>
      <c r="K97" s="253">
        <f>(K149/Population_Tables!X15)*Population_Tables!L15</f>
        <v>69.421718575473477</v>
      </c>
      <c r="L97" s="170"/>
      <c r="M97" s="170"/>
      <c r="N97" s="195">
        <f t="shared" si="11"/>
        <v>30.376425326192475</v>
      </c>
      <c r="O97" s="195">
        <f t="shared" si="13"/>
        <v>210.04166000659268</v>
      </c>
      <c r="P97" s="195">
        <f t="shared" si="12"/>
        <v>395.26645714757518</v>
      </c>
      <c r="Q97" s="195">
        <f t="shared" si="14"/>
        <v>635.68454248036028</v>
      </c>
      <c r="R97" s="196">
        <f t="shared" si="15"/>
        <v>4.7785376702204403E-2</v>
      </c>
      <c r="S97" s="170"/>
      <c r="T97" s="170"/>
      <c r="U97" s="195">
        <f>N97-N149</f>
        <v>0.8318300216862724</v>
      </c>
      <c r="V97" s="195">
        <f t="shared" si="16"/>
        <v>1.9166977269491383</v>
      </c>
      <c r="W97" s="195">
        <f t="shared" si="16"/>
        <v>3.9178156560159891</v>
      </c>
      <c r="X97" s="195">
        <f t="shared" si="19"/>
        <v>6.6663434046513999</v>
      </c>
      <c r="Y97" s="207">
        <f t="shared" si="18"/>
        <v>0.12478055377493277</v>
      </c>
      <c r="AC97" s="251">
        <f t="shared" si="17"/>
        <v>0.93528413716229342</v>
      </c>
    </row>
    <row r="98" spans="1:29" ht="15.6" x14ac:dyDescent="0.3">
      <c r="A98" s="206">
        <v>2027</v>
      </c>
      <c r="B98" s="253">
        <f>(B150/Population_Tables!O16)*Population_Tables!C16</f>
        <v>570.9494992525631</v>
      </c>
      <c r="C98" s="253">
        <f>(C150/Population_Tables!P16)*Population_Tables!D16</f>
        <v>338.61034944505553</v>
      </c>
      <c r="D98" s="253">
        <f>(D150/Population_Tables!Q16)*Population_Tables!E16</f>
        <v>34.558415348004928</v>
      </c>
      <c r="E98" s="253">
        <f>(E150/Population_Tables!R16)*Population_Tables!F16</f>
        <v>233.4792079906448</v>
      </c>
      <c r="F98" s="253">
        <f>(F150/Population_Tables!S16)*Population_Tables!G16</f>
        <v>15.665498458539084</v>
      </c>
      <c r="G98" s="253">
        <f>(G150/Population_Tables!T16)*Population_Tables!H16</f>
        <v>32.60363400388119</v>
      </c>
      <c r="H98" s="253">
        <f>(H150/Population_Tables!U16)*Population_Tables!I16</f>
        <v>219.61185211268713</v>
      </c>
      <c r="I98" s="253">
        <f>(I150/Population_Tables!V16)*Population_Tables!J16</f>
        <v>22.144934808148541</v>
      </c>
      <c r="J98" s="253">
        <f>(J150/Population_Tables!W16)*Population_Tables!K16</f>
        <v>98.837525986877267</v>
      </c>
      <c r="K98" s="253">
        <f>(K150/Population_Tables!X16)*Population_Tables!L16</f>
        <v>69.172030207730714</v>
      </c>
      <c r="L98" s="170"/>
      <c r="M98" s="170"/>
      <c r="N98" s="195">
        <f t="shared" si="11"/>
        <v>29.53285433649674</v>
      </c>
      <c r="O98" s="195">
        <f t="shared" si="13"/>
        <v>219.61185211268713</v>
      </c>
      <c r="P98" s="195">
        <f t="shared" si="12"/>
        <v>405.77239879694167</v>
      </c>
      <c r="Q98" s="195">
        <f t="shared" si="14"/>
        <v>654.91710524612563</v>
      </c>
      <c r="R98" s="196">
        <f t="shared" si="15"/>
        <v>4.5094034191392733E-2</v>
      </c>
      <c r="S98" s="170"/>
      <c r="T98" s="170"/>
      <c r="U98" s="195">
        <f t="shared" si="20"/>
        <v>1.0450943057675204</v>
      </c>
      <c r="V98" s="195">
        <f t="shared" si="16"/>
        <v>2.4430712673779453</v>
      </c>
      <c r="W98" s="195">
        <f t="shared" si="16"/>
        <v>4.9271673950352692</v>
      </c>
      <c r="X98" s="195">
        <f t="shared" si="19"/>
        <v>8.415332968180735</v>
      </c>
      <c r="Y98" s="207">
        <f t="shared" si="18"/>
        <v>0.12418929942750127</v>
      </c>
      <c r="AC98" s="251">
        <f t="shared" si="17"/>
        <v>0.92912517086074509</v>
      </c>
    </row>
    <row r="99" spans="1:29" ht="15.6" x14ac:dyDescent="0.3">
      <c r="A99" s="206">
        <v>2028</v>
      </c>
      <c r="B99" s="253">
        <f>(B151/Population_Tables!O17)*Population_Tables!C17</f>
        <v>585.13155259720384</v>
      </c>
      <c r="C99" s="253">
        <f>(C151/Population_Tables!P17)*Population_Tables!D17</f>
        <v>347.62294292746418</v>
      </c>
      <c r="D99" s="253">
        <f>(D151/Population_Tables!Q17)*Population_Tables!E17</f>
        <v>35.406328189971781</v>
      </c>
      <c r="E99" s="253">
        <f>(E151/Population_Tables!R17)*Population_Tables!F17</f>
        <v>241.85276462205294</v>
      </c>
      <c r="F99" s="253">
        <f>(F151/Population_Tables!S17)*Population_Tables!G17</f>
        <v>16.210160764006403</v>
      </c>
      <c r="G99" s="253">
        <f>(G151/Population_Tables!T17)*Population_Tables!H17</f>
        <v>33.523017130204437</v>
      </c>
      <c r="H99" s="253">
        <f>(H151/Population_Tables!U17)*Population_Tables!I17</f>
        <v>229.33362626052906</v>
      </c>
      <c r="I99" s="253">
        <f>(I151/Population_Tables!V17)*Population_Tables!J17</f>
        <v>23.507553797114106</v>
      </c>
      <c r="J99" s="253">
        <f>(J151/Population_Tables!W17)*Population_Tables!K17</f>
        <v>99.357440521327788</v>
      </c>
      <c r="K99" s="253">
        <f>(K151/Population_Tables!X17)*Population_Tables!L17</f>
        <v>68.943958982262117</v>
      </c>
      <c r="L99" s="170"/>
      <c r="M99" s="170"/>
      <c r="N99" s="195">
        <f t="shared" si="11"/>
        <v>28.729299125530304</v>
      </c>
      <c r="O99" s="195">
        <f t="shared" si="13"/>
        <v>229.33362626052906</v>
      </c>
      <c r="P99" s="195">
        <f t="shared" si="12"/>
        <v>416.55228824764038</v>
      </c>
      <c r="Q99" s="195">
        <f t="shared" si="14"/>
        <v>674.6152136336998</v>
      </c>
      <c r="R99" s="196">
        <f t="shared" si="15"/>
        <v>4.25862010593933E-2</v>
      </c>
      <c r="S99" s="170"/>
      <c r="T99" s="170"/>
      <c r="U99" s="195">
        <f t="shared" si="20"/>
        <v>1.2754681043122673</v>
      </c>
      <c r="V99" s="195">
        <f t="shared" si="16"/>
        <v>3.0337304209135709</v>
      </c>
      <c r="W99" s="195">
        <f t="shared" si="16"/>
        <v>6.0394698630177572</v>
      </c>
      <c r="X99" s="195">
        <f t="shared" si="19"/>
        <v>10.348668388243595</v>
      </c>
      <c r="Y99" s="207">
        <f t="shared" si="18"/>
        <v>0.12324949031715406</v>
      </c>
      <c r="AC99" s="251">
        <f t="shared" si="17"/>
        <v>0.92357733916422347</v>
      </c>
    </row>
    <row r="100" spans="1:29" ht="15.6" x14ac:dyDescent="0.3">
      <c r="A100" s="206">
        <v>2029</v>
      </c>
      <c r="B100" s="253">
        <f>(B152/Population_Tables!O18)*Population_Tables!C18</f>
        <v>599.80709385149476</v>
      </c>
      <c r="C100" s="253">
        <f>(C152/Population_Tables!P18)*Population_Tables!D18</f>
        <v>356.88668528117756</v>
      </c>
      <c r="D100" s="253">
        <f>(D152/Population_Tables!Q18)*Population_Tables!E18</f>
        <v>36.257943181359195</v>
      </c>
      <c r="E100" s="253">
        <f>(E152/Population_Tables!R18)*Population_Tables!F18</f>
        <v>250.41539933492922</v>
      </c>
      <c r="F100" s="253">
        <f>(F152/Population_Tables!S18)*Population_Tables!G18</f>
        <v>16.769733926935945</v>
      </c>
      <c r="G100" s="253">
        <f>(G152/Population_Tables!T18)*Population_Tables!H18</f>
        <v>34.471177274370142</v>
      </c>
      <c r="H100" s="253">
        <f>(H152/Population_Tables!U18)*Population_Tables!I18</f>
        <v>239.21596661179339</v>
      </c>
      <c r="I100" s="253">
        <f>(I152/Population_Tables!V18)*Population_Tables!J18</f>
        <v>24.966070519545319</v>
      </c>
      <c r="J100" s="253">
        <f>(J152/Population_Tables!W18)*Population_Tables!K18</f>
        <v>99.883951668850713</v>
      </c>
      <c r="K100" s="253">
        <f>(K152/Population_Tables!X18)*Population_Tables!L18</f>
        <v>68.737607957188402</v>
      </c>
      <c r="L100" s="170"/>
      <c r="M100" s="170"/>
      <c r="N100" s="195">
        <f t="shared" si="11"/>
        <v>27.969166650071799</v>
      </c>
      <c r="O100" s="195">
        <f t="shared" si="13"/>
        <v>239.21596661179339</v>
      </c>
      <c r="P100" s="195">
        <f t="shared" si="12"/>
        <v>427.61580573690685</v>
      </c>
      <c r="Q100" s="195">
        <f t="shared" si="14"/>
        <v>694.80093899877204</v>
      </c>
      <c r="R100" s="196">
        <f t="shared" si="15"/>
        <v>4.0254935018332251E-2</v>
      </c>
      <c r="S100" s="170"/>
      <c r="T100" s="170"/>
      <c r="U100" s="195">
        <f t="shared" si="20"/>
        <v>1.5238986688661669</v>
      </c>
      <c r="V100" s="195">
        <f t="shared" si="16"/>
        <v>3.6934391483472666</v>
      </c>
      <c r="W100" s="195">
        <f t="shared" si="16"/>
        <v>7.2588555626514903</v>
      </c>
      <c r="X100" s="195">
        <f t="shared" si="19"/>
        <v>12.476193379864924</v>
      </c>
      <c r="Y100" s="207">
        <f t="shared" si="18"/>
        <v>0.1221445213670346</v>
      </c>
      <c r="AC100" s="251">
        <f t="shared" si="17"/>
        <v>0.91835429215574571</v>
      </c>
    </row>
    <row r="101" spans="1:29" ht="15.6" x14ac:dyDescent="0.3">
      <c r="A101" s="206">
        <v>2030</v>
      </c>
      <c r="B101" s="253">
        <f>(B153/Population_Tables!O19)*Population_Tables!C19</f>
        <v>614.98039022822047</v>
      </c>
      <c r="C101" s="253">
        <f>(C153/Population_Tables!P19)*Population_Tables!D19</f>
        <v>366.40939735424968</v>
      </c>
      <c r="D101" s="253">
        <f>(D153/Population_Tables!Q19)*Population_Tables!E19</f>
        <v>37.115413613613249</v>
      </c>
      <c r="E101" s="253">
        <f>(E153/Population_Tables!R19)*Population_Tables!F19</f>
        <v>259.17928478063186</v>
      </c>
      <c r="F101" s="253">
        <f>(F153/Population_Tables!S19)*Population_Tables!G19</f>
        <v>17.344554370782991</v>
      </c>
      <c r="G101" s="253">
        <f>(G153/Population_Tables!T19)*Population_Tables!H19</f>
        <v>35.44807618067447</v>
      </c>
      <c r="H101" s="253">
        <f>(H153/Population_Tables!U19)*Population_Tables!I19</f>
        <v>249.26793580288182</v>
      </c>
      <c r="I101" s="253">
        <f>(I153/Population_Tables!V19)*Population_Tables!J19</f>
        <v>26.52846312437762</v>
      </c>
      <c r="J101" s="253">
        <f>(J153/Population_Tables!W19)*Population_Tables!K19</f>
        <v>100.4182507347163</v>
      </c>
      <c r="K101" s="253">
        <f>(K153/Population_Tables!X19)*Population_Tables!L19</f>
        <v>68.552982098189645</v>
      </c>
      <c r="L101" s="170"/>
      <c r="M101" s="170"/>
      <c r="N101" s="195">
        <f t="shared" si="11"/>
        <v>27.255903348533025</v>
      </c>
      <c r="O101" s="195">
        <f t="shared" si="13"/>
        <v>249.26793580288182</v>
      </c>
      <c r="P101" s="195">
        <f t="shared" si="12"/>
        <v>438.97288714853744</v>
      </c>
      <c r="Q101" s="195">
        <f t="shared" si="14"/>
        <v>715.49672629995234</v>
      </c>
      <c r="R101" s="196">
        <f t="shared" si="15"/>
        <v>3.8093680022103601E-2</v>
      </c>
      <c r="S101" s="170"/>
      <c r="T101" s="170"/>
      <c r="U101" s="195">
        <f t="shared" si="20"/>
        <v>1.791372732608238</v>
      </c>
      <c r="V101" s="195">
        <f t="shared" si="16"/>
        <v>4.4270398851969617</v>
      </c>
      <c r="W101" s="195">
        <f t="shared" si="16"/>
        <v>8.5897126431855781</v>
      </c>
      <c r="X101" s="195">
        <f t="shared" si="19"/>
        <v>14.808125260990778</v>
      </c>
      <c r="Y101" s="207">
        <f t="shared" si="18"/>
        <v>0.12097228386683578</v>
      </c>
      <c r="AC101" s="251">
        <f t="shared" si="17"/>
        <v>0.91333443384465252</v>
      </c>
    </row>
    <row r="102" spans="1:29" ht="15.6" x14ac:dyDescent="0.3">
      <c r="A102" s="206">
        <v>2031</v>
      </c>
      <c r="B102" s="253">
        <f>(B154/Population_Tables!O20)*Population_Tables!C20</f>
        <v>630.65309111859904</v>
      </c>
      <c r="C102" s="253">
        <f>(C154/Population_Tables!P20)*Population_Tables!D20</f>
        <v>376.19619773659684</v>
      </c>
      <c r="D102" s="253">
        <f>(D154/Population_Tables!Q20)*Population_Tables!E20</f>
        <v>37.981018897556055</v>
      </c>
      <c r="E102" s="253">
        <f>(E154/Population_Tables!R20)*Population_Tables!F20</f>
        <v>268.15353766213411</v>
      </c>
      <c r="F102" s="253">
        <f>(F154/Population_Tables!S20)*Population_Tables!G20</f>
        <v>17.935037242141526</v>
      </c>
      <c r="G102" s="253">
        <f>(G154/Population_Tables!T20)*Population_Tables!H20</f>
        <v>36.454420374683785</v>
      </c>
      <c r="H102" s="253">
        <f>(H154/Population_Tables!U20)*Population_Tables!I20</f>
        <v>259.49704287453699</v>
      </c>
      <c r="I102" s="253">
        <f>(I154/Population_Tables!V20)*Population_Tables!J20</f>
        <v>28.202312749837958</v>
      </c>
      <c r="J102" s="253">
        <f>(J154/Population_Tables!W20)*Population_Tables!K20</f>
        <v>100.96088135552257</v>
      </c>
      <c r="K102" s="253">
        <f>(K154/Population_Tables!X20)*Population_Tables!L20</f>
        <v>68.389436529757475</v>
      </c>
      <c r="L102" s="170"/>
      <c r="M102" s="170"/>
      <c r="N102" s="195">
        <f t="shared" si="11"/>
        <v>26.59153202973863</v>
      </c>
      <c r="O102" s="195">
        <f t="shared" si="13"/>
        <v>259.49704287453699</v>
      </c>
      <c r="P102" s="195">
        <f t="shared" si="12"/>
        <v>450.63163700883666</v>
      </c>
      <c r="Q102" s="195">
        <f t="shared" si="14"/>
        <v>736.72021191311228</v>
      </c>
      <c r="R102" s="196">
        <f t="shared" si="15"/>
        <v>3.6094478744767761E-2</v>
      </c>
      <c r="S102" s="170"/>
      <c r="T102" s="170"/>
      <c r="U102" s="195">
        <f t="shared" si="20"/>
        <v>2.0774533991302064</v>
      </c>
      <c r="V102" s="195">
        <f t="shared" si="16"/>
        <v>5.2378214713214675</v>
      </c>
      <c r="W102" s="195">
        <f t="shared" si="16"/>
        <v>10.034597896376795</v>
      </c>
      <c r="X102" s="195">
        <f t="shared" si="19"/>
        <v>17.349872766828469</v>
      </c>
      <c r="Y102" s="207">
        <f t="shared" si="18"/>
        <v>0.11973882616027748</v>
      </c>
      <c r="AC102" s="251">
        <f t="shared" si="17"/>
        <v>0.90855740149833253</v>
      </c>
    </row>
    <row r="103" spans="1:29" ht="15.6" x14ac:dyDescent="0.3">
      <c r="A103" s="206">
        <v>2032</v>
      </c>
      <c r="B103" s="253">
        <f>(B155/Population_Tables!O21)*Population_Tables!C21</f>
        <v>646.8170850025823</v>
      </c>
      <c r="C103" s="253">
        <f>(C155/Population_Tables!P21)*Population_Tables!D21</f>
        <v>386.24686211271808</v>
      </c>
      <c r="D103" s="253">
        <f>(D155/Population_Tables!Q21)*Population_Tables!E21</f>
        <v>38.85675340179526</v>
      </c>
      <c r="E103" s="253">
        <f>(E155/Population_Tables!R21)*Population_Tables!F21</f>
        <v>277.34220019271868</v>
      </c>
      <c r="F103" s="253">
        <f>(F155/Population_Tables!S21)*Population_Tables!G21</f>
        <v>18.541343695251228</v>
      </c>
      <c r="G103" s="253">
        <f>(G155/Population_Tables!T21)*Population_Tables!H21</f>
        <v>37.490746894768478</v>
      </c>
      <c r="H103" s="253">
        <f>(H155/Population_Tables!U21)*Population_Tables!I21</f>
        <v>269.90739539556824</v>
      </c>
      <c r="I103" s="253">
        <f>(I155/Population_Tables!V21)*Population_Tables!J21</f>
        <v>29.994581122261138</v>
      </c>
      <c r="J103" s="253">
        <f>(J155/Population_Tables!W21)*Population_Tables!K21</f>
        <v>101.51122268132707</v>
      </c>
      <c r="K103" s="253">
        <f>(K155/Population_Tables!X21)*Population_Tables!L21</f>
        <v>68.245226778012409</v>
      </c>
      <c r="L103" s="170"/>
      <c r="M103" s="170"/>
      <c r="N103" s="195">
        <f t="shared" si="11"/>
        <v>25.976148492401649</v>
      </c>
      <c r="O103" s="195">
        <f t="shared" si="13"/>
        <v>269.90739539556824</v>
      </c>
      <c r="P103" s="195">
        <f t="shared" si="12"/>
        <v>462.59436240928176</v>
      </c>
      <c r="Q103" s="195">
        <f t="shared" si="14"/>
        <v>758.47790629725159</v>
      </c>
      <c r="R103" s="196">
        <f t="shared" si="15"/>
        <v>3.4247732566413683E-2</v>
      </c>
      <c r="S103" s="170"/>
      <c r="T103" s="170"/>
      <c r="U103" s="195">
        <f t="shared" si="20"/>
        <v>2.3797767619121828</v>
      </c>
      <c r="V103" s="195">
        <f t="shared" si="16"/>
        <v>6.1256712746464927</v>
      </c>
      <c r="W103" s="195">
        <f t="shared" si="16"/>
        <v>11.590270679155196</v>
      </c>
      <c r="X103" s="195">
        <f t="shared" si="19"/>
        <v>20.095718715713872</v>
      </c>
      <c r="Y103" s="207">
        <f t="shared" si="18"/>
        <v>0.11842207763643275</v>
      </c>
      <c r="AC103" s="251">
        <f t="shared" si="17"/>
        <v>0.90404845691919489</v>
      </c>
    </row>
    <row r="104" spans="1:29" ht="15.6" x14ac:dyDescent="0.3">
      <c r="A104" s="206">
        <v>2033</v>
      </c>
      <c r="B104" s="253">
        <f>(B156/Population_Tables!O22)*Population_Tables!C22</f>
        <v>663.44794408469409</v>
      </c>
      <c r="C104" s="253">
        <f>(C156/Population_Tables!P22)*Population_Tables!D22</f>
        <v>396.55424817666011</v>
      </c>
      <c r="D104" s="253">
        <f>(D156/Population_Tables!Q22)*Population_Tables!E22</f>
        <v>39.74379733883422</v>
      </c>
      <c r="E104" s="253">
        <f>(E156/Population_Tables!R22)*Population_Tables!F22</f>
        <v>286.74301712627437</v>
      </c>
      <c r="F104" s="253">
        <f>(F156/Population_Tables!S22)*Population_Tables!G22</f>
        <v>19.163021003220756</v>
      </c>
      <c r="G104" s="253">
        <f>(G156/Population_Tables!T22)*Population_Tables!H22</f>
        <v>38.556254523344577</v>
      </c>
      <c r="H104" s="253">
        <f>(H156/Population_Tables!U22)*Population_Tables!I22</f>
        <v>280.498328141841</v>
      </c>
      <c r="I104" s="253">
        <f>(I156/Population_Tables!V22)*Population_Tables!J22</f>
        <v>31.911448724623956</v>
      </c>
      <c r="J104" s="253">
        <f>(J156/Population_Tables!W22)*Population_Tables!K22</f>
        <v>102.06725243353644</v>
      </c>
      <c r="K104" s="253">
        <f>(K156/Population_Tables!X22)*Population_Tables!L22</f>
        <v>68.117336305263862</v>
      </c>
      <c r="L104" s="170"/>
      <c r="M104" s="170"/>
      <c r="N104" s="195">
        <f t="shared" si="11"/>
        <v>25.40770998765413</v>
      </c>
      <c r="O104" s="195">
        <f t="shared" si="13"/>
        <v>280.498328141841</v>
      </c>
      <c r="P104" s="195">
        <f t="shared" si="12"/>
        <v>474.85430003883891</v>
      </c>
      <c r="Q104" s="195">
        <f t="shared" si="14"/>
        <v>780.7603381683341</v>
      </c>
      <c r="R104" s="196">
        <f t="shared" si="15"/>
        <v>3.2542265206837589E-2</v>
      </c>
      <c r="S104" s="170"/>
      <c r="T104" s="170"/>
      <c r="U104" s="195">
        <f t="shared" si="20"/>
        <v>2.6938403668534079</v>
      </c>
      <c r="V104" s="195">
        <f t="shared" si="16"/>
        <v>7.0857038701536794</v>
      </c>
      <c r="W104" s="195">
        <f t="shared" si="16"/>
        <v>13.244419945939342</v>
      </c>
      <c r="X104" s="195">
        <f t="shared" si="19"/>
        <v>23.023964182946429</v>
      </c>
      <c r="Y104" s="207">
        <f t="shared" si="18"/>
        <v>0.11700158779992816</v>
      </c>
      <c r="AC104" s="251">
        <f t="shared" si="17"/>
        <v>0.89971834147900887</v>
      </c>
    </row>
    <row r="105" spans="1:29" ht="15.6" x14ac:dyDescent="0.3">
      <c r="A105" s="206">
        <v>2034</v>
      </c>
      <c r="B105" s="253">
        <f>(B157/Population_Tables!O23)*Population_Tables!C23</f>
        <v>680.51172551199966</v>
      </c>
      <c r="C105" s="253">
        <f>(C157/Population_Tables!P23)*Population_Tables!D23</f>
        <v>407.10617848934942</v>
      </c>
      <c r="D105" s="253">
        <f>(D157/Population_Tables!Q23)*Population_Tables!E23</f>
        <v>40.642896693894357</v>
      </c>
      <c r="E105" s="253">
        <f>(E157/Population_Tables!R23)*Population_Tables!F23</f>
        <v>296.34906670704197</v>
      </c>
      <c r="F105" s="253">
        <f>(F157/Population_Tables!S23)*Population_Tables!G23</f>
        <v>19.799331081910108</v>
      </c>
      <c r="G105" s="253">
        <f>(G157/Population_Tables!T23)*Population_Tables!H23</f>
        <v>39.649594936362227</v>
      </c>
      <c r="H105" s="253">
        <f>(H157/Population_Tables!U23)*Population_Tables!I23</f>
        <v>291.26542538981482</v>
      </c>
      <c r="I105" s="253">
        <f>(I157/Population_Tables!V23)*Population_Tables!J23</f>
        <v>33.958379058781297</v>
      </c>
      <c r="J105" s="253">
        <f>(J157/Population_Tables!W23)*Population_Tables!K23</f>
        <v>102.6260131202941</v>
      </c>
      <c r="K105" s="253">
        <f>(K157/Population_Tables!X23)*Population_Tables!L23</f>
        <v>68.002097829040366</v>
      </c>
      <c r="L105" s="170"/>
      <c r="M105" s="170"/>
      <c r="N105" s="195">
        <f t="shared" si="11"/>
        <v>24.882972399137259</v>
      </c>
      <c r="O105" s="195">
        <f t="shared" si="13"/>
        <v>291.26542538981482</v>
      </c>
      <c r="P105" s="195">
        <f t="shared" si="12"/>
        <v>487.39867011960604</v>
      </c>
      <c r="Q105" s="195">
        <f t="shared" si="14"/>
        <v>803.54706790855812</v>
      </c>
      <c r="R105" s="196">
        <f t="shared" si="15"/>
        <v>3.0966415525479692E-2</v>
      </c>
      <c r="S105" s="170"/>
      <c r="T105" s="170"/>
      <c r="U105" s="195">
        <f t="shared" si="20"/>
        <v>3.0139403923621444</v>
      </c>
      <c r="V105" s="195">
        <f t="shared" si="16"/>
        <v>8.1092833334187731</v>
      </c>
      <c r="W105" s="195">
        <f t="shared" si="16"/>
        <v>14.978718184279785</v>
      </c>
      <c r="X105" s="195">
        <f t="shared" si="19"/>
        <v>26.101941910060702</v>
      </c>
      <c r="Y105" s="207">
        <f t="shared" si="18"/>
        <v>0.1154680522524822</v>
      </c>
      <c r="AC105" s="251">
        <f t="shared" si="17"/>
        <v>0.89550601610529879</v>
      </c>
    </row>
    <row r="106" spans="1:29" ht="15.6" x14ac:dyDescent="0.3">
      <c r="A106" s="206">
        <v>2035</v>
      </c>
      <c r="B106" s="253">
        <f>(B158/Population_Tables!O24)*Population_Tables!C24</f>
        <v>697.98272908039985</v>
      </c>
      <c r="C106" s="253">
        <f>(C158/Population_Tables!P24)*Population_Tables!D24</f>
        <v>417.8936943032059</v>
      </c>
      <c r="D106" s="253">
        <f>(D158/Population_Tables!Q24)*Population_Tables!E24</f>
        <v>41.555121704853434</v>
      </c>
      <c r="E106" s="253">
        <f>(E158/Population_Tables!R24)*Population_Tables!F24</f>
        <v>306.15661791237972</v>
      </c>
      <c r="F106" s="253">
        <f>(F158/Population_Tables!S24)*Population_Tables!G24</f>
        <v>20.449821556153928</v>
      </c>
      <c r="G106" s="253">
        <f>(G158/Population_Tables!T24)*Population_Tables!H24</f>
        <v>40.769869745894653</v>
      </c>
      <c r="H106" s="253">
        <f>(H158/Population_Tables!U24)*Population_Tables!I24</f>
        <v>302.20587340117032</v>
      </c>
      <c r="I106" s="253">
        <f>(I158/Population_Tables!V24)*Population_Tables!J24</f>
        <v>36.141150868225104</v>
      </c>
      <c r="J106" s="253">
        <f>(J158/Population_Tables!W24)*Population_Tables!K24</f>
        <v>103.18552622548998</v>
      </c>
      <c r="K106" s="253">
        <f>(K158/Population_Tables!X24)*Population_Tables!L24</f>
        <v>67.896900222938768</v>
      </c>
      <c r="L106" s="170"/>
      <c r="M106" s="170"/>
      <c r="N106" s="195">
        <f t="shared" si="11"/>
        <v>24.400566067363343</v>
      </c>
      <c r="O106" s="195">
        <f t="shared" si="13"/>
        <v>302.20587340117032</v>
      </c>
      <c r="P106" s="195">
        <f t="shared" si="12"/>
        <v>500.21868575395399</v>
      </c>
      <c r="Q106" s="195">
        <f t="shared" si="14"/>
        <v>826.82512522248771</v>
      </c>
      <c r="R106" s="196">
        <f t="shared" si="15"/>
        <v>2.9511156982315302E-2</v>
      </c>
      <c r="S106" s="170"/>
      <c r="T106" s="170"/>
      <c r="U106" s="195">
        <f t="shared" si="20"/>
        <v>3.3362474737177763</v>
      </c>
      <c r="V106" s="195">
        <f t="shared" si="16"/>
        <v>9.1893757252387331</v>
      </c>
      <c r="W106" s="195">
        <f t="shared" si="16"/>
        <v>16.77883076199987</v>
      </c>
      <c r="X106" s="195">
        <f t="shared" si="19"/>
        <v>29.30445396095638</v>
      </c>
      <c r="Y106" s="207">
        <f t="shared" si="18"/>
        <v>0.11384779522467152</v>
      </c>
      <c r="AC106" s="251">
        <f t="shared" si="17"/>
        <v>0.89140675287864479</v>
      </c>
    </row>
    <row r="107" spans="1:29" ht="15.6" x14ac:dyDescent="0.3">
      <c r="A107" s="206">
        <v>2036</v>
      </c>
      <c r="B107" s="253">
        <f>(B159/Population_Tables!O25)*Population_Tables!C25</f>
        <v>715.849548198143</v>
      </c>
      <c r="C107" s="253">
        <f>(C159/Population_Tables!P25)*Population_Tables!D25</f>
        <v>428.91399922229255</v>
      </c>
      <c r="D107" s="253">
        <f>(D159/Population_Tables!Q25)*Population_Tables!E25</f>
        <v>42.482084370417198</v>
      </c>
      <c r="E107" s="253">
        <f>(E159/Population_Tables!R25)*Population_Tables!F25</f>
        <v>316.16820860225027</v>
      </c>
      <c r="F107" s="253">
        <f>(F159/Population_Tables!S25)*Population_Tables!G25</f>
        <v>21.11451662907637</v>
      </c>
      <c r="G107" s="253">
        <f>(G159/Population_Tables!T25)*Population_Tables!H25</f>
        <v>41.916923548289319</v>
      </c>
      <c r="H107" s="253">
        <f>(H159/Population_Tables!U25)*Population_Tables!I25</f>
        <v>313.32071958616291</v>
      </c>
      <c r="I107" s="253">
        <f>(I159/Population_Tables!V25)*Population_Tables!J25</f>
        <v>38.466441482952973</v>
      </c>
      <c r="J107" s="253">
        <f>(J159/Population_Tables!W25)*Population_Tables!K25</f>
        <v>103.74520403599216</v>
      </c>
      <c r="K107" s="253">
        <f>(K159/Population_Tables!X25)*Population_Tables!L25</f>
        <v>67.800674445164915</v>
      </c>
      <c r="L107" s="170"/>
      <c r="M107" s="170"/>
      <c r="N107" s="195">
        <f t="shared" si="11"/>
        <v>23.962005645163742</v>
      </c>
      <c r="O107" s="195">
        <f t="shared" si="13"/>
        <v>313.32071958616291</v>
      </c>
      <c r="P107" s="195">
        <f t="shared" si="12"/>
        <v>513.31300714099905</v>
      </c>
      <c r="Q107" s="195">
        <f t="shared" si="14"/>
        <v>850.59573237232564</v>
      </c>
      <c r="R107" s="196">
        <f t="shared" si="15"/>
        <v>2.8170851008543517E-2</v>
      </c>
      <c r="S107" s="170"/>
      <c r="T107" s="170"/>
      <c r="U107" s="195">
        <f t="shared" si="20"/>
        <v>3.6598165585188553</v>
      </c>
      <c r="V107" s="195">
        <f t="shared" si="16"/>
        <v>10.322808254985148</v>
      </c>
      <c r="W107" s="195">
        <f t="shared" si="16"/>
        <v>18.637870143668465</v>
      </c>
      <c r="X107" s="195">
        <f t="shared" si="19"/>
        <v>32.620494957172468</v>
      </c>
      <c r="Y107" s="207">
        <f t="shared" si="18"/>
        <v>0.11219377766412919</v>
      </c>
      <c r="AC107" s="251">
        <f t="shared" si="17"/>
        <v>0.88745428775595836</v>
      </c>
    </row>
    <row r="108" spans="1:29" ht="15.6" x14ac:dyDescent="0.3">
      <c r="A108" s="206">
        <v>2037</v>
      </c>
      <c r="B108" s="253">
        <f>(B160/Population_Tables!O26)*Population_Tables!C26</f>
        <v>734.11768053800438</v>
      </c>
      <c r="C108" s="253">
        <f>(C160/Population_Tables!P26)*Population_Tables!D26</f>
        <v>440.17212623301259</v>
      </c>
      <c r="D108" s="253">
        <f>(D160/Population_Tables!Q26)*Population_Tables!E26</f>
        <v>43.42621199587073</v>
      </c>
      <c r="E108" s="253">
        <f>(E160/Population_Tables!R26)*Population_Tables!F26</f>
        <v>326.39405259692722</v>
      </c>
      <c r="F108" s="253">
        <f>(F160/Population_Tables!S26)*Population_Tables!G26</f>
        <v>21.793974763575324</v>
      </c>
      <c r="G108" s="253">
        <f>(G160/Population_Tables!T26)*Population_Tables!H26</f>
        <v>43.09161021394079</v>
      </c>
      <c r="H108" s="253">
        <f>(H160/Population_Tables!U26)*Population_Tables!I26</f>
        <v>324.61638529617699</v>
      </c>
      <c r="I108" s="253">
        <f>(I160/Population_Tables!V26)*Population_Tables!J26</f>
        <v>40.941993695738319</v>
      </c>
      <c r="J108" s="253">
        <f>(J160/Population_Tables!W26)*Population_Tables!K26</f>
        <v>104.30630749789938</v>
      </c>
      <c r="K108" s="253">
        <f>(K160/Population_Tables!X26)*Population_Tables!L26</f>
        <v>67.713861766660074</v>
      </c>
      <c r="L108" s="170"/>
      <c r="M108" s="170"/>
      <c r="N108" s="195">
        <f t="shared" si="11"/>
        <v>23.571642064325545</v>
      </c>
      <c r="O108" s="195">
        <f t="shared" si="13"/>
        <v>324.61638529617699</v>
      </c>
      <c r="P108" s="195">
        <f t="shared" si="12"/>
        <v>526.68994844282417</v>
      </c>
      <c r="Q108" s="195">
        <f t="shared" si="14"/>
        <v>874.87797580332676</v>
      </c>
      <c r="R108" s="196">
        <f t="shared" si="15"/>
        <v>2.6942776840029253E-2</v>
      </c>
      <c r="S108" s="170"/>
      <c r="T108" s="170"/>
      <c r="U108" s="195">
        <f t="shared" si="20"/>
        <v>3.9865388733195459</v>
      </c>
      <c r="V108" s="195">
        <f t="shared" si="16"/>
        <v>11.511782073158713</v>
      </c>
      <c r="W108" s="195">
        <f t="shared" si="16"/>
        <v>20.558602756821131</v>
      </c>
      <c r="X108" s="195">
        <f t="shared" si="19"/>
        <v>36.05692370329939</v>
      </c>
      <c r="Y108" s="207">
        <f t="shared" si="18"/>
        <v>0.1105623681632817</v>
      </c>
      <c r="AC108" s="251">
        <f t="shared" si="17"/>
        <v>0.88369349754511306</v>
      </c>
    </row>
    <row r="109" spans="1:29" ht="15.6" x14ac:dyDescent="0.3">
      <c r="A109" s="206">
        <v>2038</v>
      </c>
      <c r="B109" s="253">
        <f>(B161/Population_Tables!O27)*Population_Tables!C27</f>
        <v>752.79961255327305</v>
      </c>
      <c r="C109" s="253">
        <f>(C161/Population_Tables!P27)*Population_Tables!D27</f>
        <v>451.67656429655472</v>
      </c>
      <c r="D109" s="253">
        <f>(D161/Population_Tables!Q27)*Population_Tables!E27</f>
        <v>44.390368160703304</v>
      </c>
      <c r="E109" s="253">
        <f>(E161/Population_Tables!R27)*Population_Tables!F27</f>
        <v>336.84761793464139</v>
      </c>
      <c r="F109" s="253">
        <f>(F161/Population_Tables!S27)*Population_Tables!G27</f>
        <v>22.488956212165956</v>
      </c>
      <c r="G109" s="253">
        <f>(G161/Population_Tables!T27)*Population_Tables!H27</f>
        <v>44.295411036472032</v>
      </c>
      <c r="H109" s="253">
        <f>(H161/Population_Tables!U27)*Population_Tables!I27</f>
        <v>336.10193414132539</v>
      </c>
      <c r="I109" s="253">
        <f>(I161/Population_Tables!V27)*Population_Tables!J27</f>
        <v>43.575942063383543</v>
      </c>
      <c r="J109" s="253">
        <f>(J161/Population_Tables!W27)*Population_Tables!K27</f>
        <v>104.87092391308936</v>
      </c>
      <c r="K109" s="253">
        <f>(K161/Population_Tables!X27)*Population_Tables!L27</f>
        <v>67.637343294873546</v>
      </c>
      <c r="L109" s="170"/>
      <c r="M109" s="170"/>
      <c r="N109" s="195">
        <f t="shared" si="11"/>
        <v>23.234640005481936</v>
      </c>
      <c r="O109" s="195">
        <f t="shared" si="13"/>
        <v>336.10193414132539</v>
      </c>
      <c r="P109" s="195">
        <f t="shared" si="12"/>
        <v>540.36234349373001</v>
      </c>
      <c r="Q109" s="195">
        <f t="shared" si="14"/>
        <v>899.69891764053739</v>
      </c>
      <c r="R109" s="196">
        <f t="shared" si="15"/>
        <v>2.5824906032358954E-2</v>
      </c>
      <c r="S109" s="170"/>
      <c r="T109" s="170"/>
      <c r="U109" s="195">
        <f t="shared" si="20"/>
        <v>4.319119393520225</v>
      </c>
      <c r="V109" s="195">
        <f t="shared" si="16"/>
        <v>12.761140588988496</v>
      </c>
      <c r="W109" s="195">
        <f t="shared" si="16"/>
        <v>22.548314701210984</v>
      </c>
      <c r="X109" s="195">
        <f t="shared" si="19"/>
        <v>39.628574683719705</v>
      </c>
      <c r="Y109" s="207">
        <f t="shared" si="18"/>
        <v>0.10899002621193477</v>
      </c>
      <c r="AC109" s="251">
        <f t="shared" si="17"/>
        <v>0.88015233979084695</v>
      </c>
    </row>
    <row r="110" spans="1:29" ht="15.6" x14ac:dyDescent="0.3">
      <c r="A110" s="206">
        <v>2039</v>
      </c>
      <c r="B110" s="253">
        <f>(B162/Population_Tables!O28)*Population_Tables!C28</f>
        <v>771.91763038891349</v>
      </c>
      <c r="C110" s="253">
        <f>(C162/Population_Tables!P28)*Population_Tables!D28</f>
        <v>463.44073006253092</v>
      </c>
      <c r="D110" s="253">
        <f>(D162/Population_Tables!Q28)*Population_Tables!E28</f>
        <v>45.377988343185983</v>
      </c>
      <c r="E110" s="253">
        <f>(E162/Population_Tables!R28)*Population_Tables!F28</f>
        <v>347.54728954806257</v>
      </c>
      <c r="F110" s="253">
        <f>(F162/Population_Tables!S28)*Population_Tables!G28</f>
        <v>23.200506156463501</v>
      </c>
      <c r="G110" s="253">
        <f>(G162/Population_Tables!T28)*Population_Tables!H28</f>
        <v>45.530447000259983</v>
      </c>
      <c r="H110" s="253">
        <f>(H162/Population_Tables!U28)*Population_Tables!I28</f>
        <v>347.79030651050442</v>
      </c>
      <c r="I110" s="253">
        <f>(I162/Population_Tables!V28)*Population_Tables!J28</f>
        <v>46.377223335042963</v>
      </c>
      <c r="J110" s="253">
        <f>(J162/Population_Tables!W28)*Population_Tables!K28</f>
        <v>105.44219810563571</v>
      </c>
      <c r="K110" s="253">
        <f>(K162/Population_Tables!X28)*Population_Tables!L28</f>
        <v>67.572684351522298</v>
      </c>
      <c r="L110" s="170"/>
      <c r="M110" s="170"/>
      <c r="N110" s="195">
        <f t="shared" si="11"/>
        <v>22.957489194021662</v>
      </c>
      <c r="O110" s="195">
        <f t="shared" si="13"/>
        <v>347.79030651050442</v>
      </c>
      <c r="P110" s="195">
        <f t="shared" si="12"/>
        <v>554.34916540597692</v>
      </c>
      <c r="Q110" s="195">
        <f t="shared" si="14"/>
        <v>925.09696111050312</v>
      </c>
      <c r="R110" s="196">
        <f t="shared" si="15"/>
        <v>2.4816305921557754E-2</v>
      </c>
      <c r="S110" s="170"/>
      <c r="T110" s="170"/>
      <c r="U110" s="195">
        <f t="shared" si="20"/>
        <v>4.6615881392767164</v>
      </c>
      <c r="V110" s="195">
        <f t="shared" si="16"/>
        <v>14.079603990487044</v>
      </c>
      <c r="W110" s="195">
        <f t="shared" si="16"/>
        <v>24.620431354550874</v>
      </c>
      <c r="X110" s="195">
        <f t="shared" si="19"/>
        <v>43.361623484314634</v>
      </c>
      <c r="Y110" s="207">
        <f t="shared" si="18"/>
        <v>0.10750492635412903</v>
      </c>
      <c r="AC110" s="251">
        <f t="shared" si="17"/>
        <v>0.87684726201182228</v>
      </c>
    </row>
    <row r="111" spans="1:29" ht="15.6" x14ac:dyDescent="0.3">
      <c r="A111" s="206">
        <v>2040</v>
      </c>
      <c r="B111" s="253">
        <f>(B163/Population_Tables!O29)*Population_Tables!C29</f>
        <v>791.49160521895203</v>
      </c>
      <c r="C111" s="253">
        <f>(C163/Population_Tables!P29)*Population_Tables!D29</f>
        <v>475.4768841366087</v>
      </c>
      <c r="D111" s="253">
        <f>(D163/Population_Tables!Q29)*Population_Tables!E29</f>
        <v>46.392380967592828</v>
      </c>
      <c r="E111" s="253">
        <f>(E163/Population_Tables!R29)*Population_Tables!F29</f>
        <v>358.51091978155949</v>
      </c>
      <c r="F111" s="253">
        <f>(F163/Population_Tables!S29)*Population_Tables!G29</f>
        <v>23.929582743402435</v>
      </c>
      <c r="G111" s="253">
        <f>(G163/Population_Tables!T29)*Population_Tables!H29</f>
        <v>46.798709702854829</v>
      </c>
      <c r="H111" s="253">
        <f>(H163/Population_Tables!U29)*Population_Tables!I29</f>
        <v>359.69412942741695</v>
      </c>
      <c r="I111" s="253">
        <f>(I163/Population_Tables!V29)*Population_Tables!J29</f>
        <v>49.354956352664196</v>
      </c>
      <c r="J111" s="253">
        <f>(J163/Population_Tables!W29)*Population_Tables!K29</f>
        <v>106.02283590405891</v>
      </c>
      <c r="K111" s="253">
        <f>(K163/Population_Tables!X29)*Population_Tables!L29</f>
        <v>67.521143127838954</v>
      </c>
      <c r="L111" s="170"/>
      <c r="M111" s="170"/>
      <c r="N111" s="195">
        <f t="shared" si="11"/>
        <v>22.746373097544961</v>
      </c>
      <c r="O111" s="195">
        <f t="shared" si="13"/>
        <v>359.69412942741695</v>
      </c>
      <c r="P111" s="195">
        <f t="shared" si="12"/>
        <v>568.66797480705634</v>
      </c>
      <c r="Q111" s="195">
        <f t="shared" si="14"/>
        <v>951.10847733201831</v>
      </c>
      <c r="R111" s="196">
        <f>N111/Q111</f>
        <v>2.391564541759891E-2</v>
      </c>
      <c r="S111" s="170"/>
      <c r="T111" s="170"/>
      <c r="U111" s="195">
        <f t="shared" si="20"/>
        <v>5.0176688729562784</v>
      </c>
      <c r="V111" s="195">
        <f t="shared" si="16"/>
        <v>15.47557910047351</v>
      </c>
      <c r="W111" s="195">
        <f t="shared" si="16"/>
        <v>26.786965609784829</v>
      </c>
      <c r="X111" s="195">
        <f t="shared" si="19"/>
        <v>47.280213583214618</v>
      </c>
      <c r="Y111" s="207">
        <f t="shared" si="18"/>
        <v>0.10612618879407193</v>
      </c>
      <c r="AC111" s="251">
        <f t="shared" si="17"/>
        <v>0.87377883439444548</v>
      </c>
    </row>
    <row r="112" spans="1:29" ht="15.6" x14ac:dyDescent="0.3">
      <c r="A112" s="206">
        <v>2041</v>
      </c>
      <c r="B112" s="253">
        <f>(B164/Population_Tables!O30)*Population_Tables!C30</f>
        <v>811.52813807836799</v>
      </c>
      <c r="C112" s="253">
        <f>(C164/Population_Tables!P30)*Population_Tables!D30</f>
        <v>487.79202919125157</v>
      </c>
      <c r="D112" s="253">
        <f>(D164/Population_Tables!Q30)*Population_Tables!E30</f>
        <v>47.436208296192888</v>
      </c>
      <c r="E112" s="253">
        <f>(E164/Population_Tables!R30)*Population_Tables!F30</f>
        <v>369.75044587647506</v>
      </c>
      <c r="F112" s="253">
        <f>(F164/Population_Tables!S30)*Population_Tables!G30</f>
        <v>24.676735916564418</v>
      </c>
      <c r="G112" s="253">
        <f>(G164/Population_Tables!T30)*Population_Tables!H30</f>
        <v>48.101313216146785</v>
      </c>
      <c r="H112" s="253">
        <f>(H164/Population_Tables!U30)*Population_Tables!I30</f>
        <v>371.82147322149996</v>
      </c>
      <c r="I112" s="253">
        <f>(I164/Population_Tables!V30)*Population_Tables!J30</f>
        <v>52.517606291693497</v>
      </c>
      <c r="J112" s="253">
        <f>(J164/Population_Tables!W30)*Population_Tables!K30</f>
        <v>106.6142713898668</v>
      </c>
      <c r="K112" s="253">
        <f>(K164/Population_Tables!X30)*Population_Tables!L30</f>
        <v>67.483041011662593</v>
      </c>
      <c r="L112" s="170"/>
      <c r="M112" s="170"/>
      <c r="N112" s="195">
        <f t="shared" si="11"/>
        <v>22.605708571539537</v>
      </c>
      <c r="O112" s="195">
        <f t="shared" si="13"/>
        <v>371.82147322149996</v>
      </c>
      <c r="P112" s="195">
        <f t="shared" si="12"/>
        <v>583.32955070359117</v>
      </c>
      <c r="Q112" s="195">
        <f t="shared" si="14"/>
        <v>977.75673249663055</v>
      </c>
      <c r="R112" s="196">
        <f t="shared" si="15"/>
        <v>2.3119972300080723E-2</v>
      </c>
      <c r="S112" s="170"/>
      <c r="T112" s="170"/>
      <c r="U112" s="195">
        <f t="shared" si="20"/>
        <v>5.3893187448138065</v>
      </c>
      <c r="V112" s="195">
        <f t="shared" si="16"/>
        <v>16.952916047501105</v>
      </c>
      <c r="W112" s="195">
        <f t="shared" si="16"/>
        <v>29.053148738988284</v>
      </c>
      <c r="X112" s="195">
        <f t="shared" si="19"/>
        <v>51.395383531303196</v>
      </c>
      <c r="Y112" s="207">
        <f t="shared" si="18"/>
        <v>0.10485997719097385</v>
      </c>
      <c r="AC112" s="251">
        <f t="shared" si="17"/>
        <v>0.87091219826017796</v>
      </c>
    </row>
    <row r="113" spans="1:29" ht="15.6" x14ac:dyDescent="0.3">
      <c r="A113" s="206">
        <v>2042</v>
      </c>
      <c r="B113" s="253">
        <f>(B165/Population_Tables!O31)*Population_Tables!C31</f>
        <v>832.03040981503614</v>
      </c>
      <c r="C113" s="253">
        <f>(C165/Population_Tables!P31)*Population_Tables!D31</f>
        <v>500.39043937775244</v>
      </c>
      <c r="D113" s="253">
        <f>(D165/Population_Tables!Q31)*Population_Tables!E31</f>
        <v>48.511880740940896</v>
      </c>
      <c r="E113" s="253">
        <f>(E165/Population_Tables!R31)*Population_Tables!F31</f>
        <v>381.27680150820561</v>
      </c>
      <c r="F113" s="253">
        <f>(F165/Population_Tables!S31)*Population_Tables!G31</f>
        <v>25.442407328658913</v>
      </c>
      <c r="G113" s="253">
        <f>(G165/Population_Tables!T31)*Population_Tables!H31</f>
        <v>49.439066548304581</v>
      </c>
      <c r="H113" s="253">
        <f>(H165/Population_Tables!U31)*Population_Tables!I31</f>
        <v>384.17923319898438</v>
      </c>
      <c r="I113" s="253">
        <f>(I165/Population_Tables!V31)*Population_Tables!J31</f>
        <v>55.873783362802797</v>
      </c>
      <c r="J113" s="253">
        <f>(J165/Population_Tables!W31)*Population_Tables!K31</f>
        <v>107.21728692021419</v>
      </c>
      <c r="K113" s="253">
        <f>(K165/Population_Tables!X31)*Population_Tables!L31</f>
        <v>67.458350777883638</v>
      </c>
      <c r="L113" s="170"/>
      <c r="M113" s="170"/>
      <c r="N113" s="195">
        <f t="shared" si="11"/>
        <v>22.539975637880161</v>
      </c>
      <c r="O113" s="195">
        <f t="shared" si="13"/>
        <v>384.17923319898438</v>
      </c>
      <c r="P113" s="195">
        <f t="shared" si="12"/>
        <v>598.34138666699789</v>
      </c>
      <c r="Q113" s="195">
        <f t="shared" si="14"/>
        <v>1005.0605955038625</v>
      </c>
      <c r="R113" s="196">
        <f t="shared" si="15"/>
        <v>2.242648427240379E-2</v>
      </c>
      <c r="S113" s="170"/>
      <c r="T113" s="170"/>
      <c r="U113" s="195">
        <f t="shared" si="20"/>
        <v>5.7785580714912612</v>
      </c>
      <c r="V113" s="195">
        <f t="shared" si="16"/>
        <v>18.514289936917066</v>
      </c>
      <c r="W113" s="195">
        <f t="shared" si="16"/>
        <v>31.420926579030379</v>
      </c>
      <c r="X113" s="195">
        <f t="shared" si="19"/>
        <v>55.713774587438706</v>
      </c>
      <c r="Y113" s="207">
        <f t="shared" si="18"/>
        <v>0.10371866049790318</v>
      </c>
      <c r="AC113" s="251">
        <f t="shared" si="17"/>
        <v>0.8682277780278288</v>
      </c>
    </row>
    <row r="114" spans="1:29" ht="15.6" x14ac:dyDescent="0.3">
      <c r="A114" s="206">
        <v>2043</v>
      </c>
      <c r="B114" s="253">
        <f>(B166/Population_Tables!O32)*Population_Tables!C32</f>
        <v>853.01339214174857</v>
      </c>
      <c r="C114" s="253">
        <f>(C166/Population_Tables!P32)*Population_Tables!D32</f>
        <v>513.28041021030481</v>
      </c>
      <c r="D114" s="253">
        <f>(D166/Population_Tables!Q32)*Population_Tables!E32</f>
        <v>49.622290847167065</v>
      </c>
      <c r="E114" s="253">
        <f>(E166/Population_Tables!R32)*Population_Tables!F32</f>
        <v>393.10737726337192</v>
      </c>
      <c r="F114" s="253">
        <f>(F166/Population_Tables!S32)*Population_Tables!G32</f>
        <v>26.227385114147918</v>
      </c>
      <c r="G114" s="253">
        <f>(G166/Population_Tables!T32)*Population_Tables!H32</f>
        <v>50.813434518804563</v>
      </c>
      <c r="H114" s="253">
        <f>(H166/Population_Tables!U32)*Population_Tables!I32</f>
        <v>396.77905299819366</v>
      </c>
      <c r="I114" s="253">
        <f>(I166/Population_Tables!V32)*Population_Tables!J32</f>
        <v>59.433487737506788</v>
      </c>
      <c r="J114" s="253">
        <f>(J166/Population_Tables!W32)*Population_Tables!K32</f>
        <v>107.83347774313994</v>
      </c>
      <c r="K114" s="253">
        <f>(K166/Population_Tables!X32)*Population_Tables!L32</f>
        <v>67.447652021354969</v>
      </c>
      <c r="L114" s="170"/>
      <c r="M114" s="170"/>
      <c r="N114" s="195">
        <f t="shared" si="11"/>
        <v>22.555709379326174</v>
      </c>
      <c r="O114" s="195">
        <f t="shared" si="13"/>
        <v>396.77905299819366</v>
      </c>
      <c r="P114" s="195">
        <f t="shared" si="12"/>
        <v>613.71613557627643</v>
      </c>
      <c r="Q114" s="195">
        <f t="shared" si="14"/>
        <v>1033.0508979537963</v>
      </c>
      <c r="R114" s="196">
        <f t="shared" si="15"/>
        <v>2.1834073639549742E-2</v>
      </c>
      <c r="S114" s="170"/>
      <c r="T114" s="170"/>
      <c r="U114" s="195">
        <f t="shared" si="20"/>
        <v>6.1894622305149483</v>
      </c>
      <c r="V114" s="195">
        <f t="shared" si="16"/>
        <v>20.16712420616102</v>
      </c>
      <c r="W114" s="195">
        <f t="shared" si="16"/>
        <v>33.897404274363453</v>
      </c>
      <c r="X114" s="195">
        <f t="shared" si="19"/>
        <v>60.253990711039421</v>
      </c>
      <c r="Y114" s="207">
        <f t="shared" si="18"/>
        <v>0.10272285963925286</v>
      </c>
      <c r="AC114" s="251">
        <f t="shared" si="17"/>
        <v>0.86573282917418981</v>
      </c>
    </row>
    <row r="115" spans="1:29" ht="15.6" x14ac:dyDescent="0.3">
      <c r="A115" s="206">
        <v>2044</v>
      </c>
      <c r="B115" s="253">
        <f>(B167/Population_Tables!O33)*Population_Tables!C33</f>
        <v>874.49470898481252</v>
      </c>
      <c r="C115" s="253">
        <f>(C167/Population_Tables!P33)*Population_Tables!D33</f>
        <v>526.47059737816687</v>
      </c>
      <c r="D115" s="253">
        <f>(D167/Population_Tables!Q33)*Population_Tables!E33</f>
        <v>50.770393120997596</v>
      </c>
      <c r="E115" s="253">
        <f>(E167/Population_Tables!R33)*Population_Tables!F33</f>
        <v>405.26172153736945</v>
      </c>
      <c r="F115" s="253">
        <f>(F167/Population_Tables!S33)*Population_Tables!G33</f>
        <v>27.032518889311945</v>
      </c>
      <c r="G115" s="253">
        <f>(G167/Population_Tables!T33)*Population_Tables!H33</f>
        <v>52.225991768323858</v>
      </c>
      <c r="H115" s="253">
        <f>(H167/Population_Tables!U33)*Population_Tables!I33</f>
        <v>409.63410455018715</v>
      </c>
      <c r="I115" s="253">
        <f>(I167/Population_Tables!V33)*Population_Tables!J33</f>
        <v>63.207514999003585</v>
      </c>
      <c r="J115" s="253">
        <f>(J167/Population_Tables!W33)*Population_Tables!K33</f>
        <v>108.46444018343085</v>
      </c>
      <c r="K115" s="253">
        <f>(K167/Population_Tables!X33)*Population_Tables!L33</f>
        <v>67.451574510203912</v>
      </c>
      <c r="L115" s="170"/>
      <c r="M115" s="170"/>
      <c r="N115" s="195">
        <f t="shared" si="11"/>
        <v>22.66013587649428</v>
      </c>
      <c r="O115" s="195">
        <f t="shared" si="13"/>
        <v>409.63410455018715</v>
      </c>
      <c r="P115" s="195">
        <f t="shared" si="12"/>
        <v>629.46698226748833</v>
      </c>
      <c r="Q115" s="195">
        <f t="shared" si="14"/>
        <v>1061.7612226941699</v>
      </c>
      <c r="R115" s="196">
        <f t="shared" si="15"/>
        <v>2.1342026241074463E-2</v>
      </c>
      <c r="S115" s="170"/>
      <c r="T115" s="170"/>
      <c r="U115" s="195">
        <f t="shared" si="20"/>
        <v>6.626797597268876</v>
      </c>
      <c r="V115" s="195">
        <f t="shared" si="16"/>
        <v>21.920370585408534</v>
      </c>
      <c r="W115" s="195">
        <f t="shared" si="16"/>
        <v>36.490218926501711</v>
      </c>
      <c r="X115" s="195">
        <f t="shared" si="19"/>
        <v>65.037387109179122</v>
      </c>
      <c r="Y115" s="207">
        <f t="shared" si="18"/>
        <v>0.10189212531162088</v>
      </c>
      <c r="AC115" s="251">
        <f t="shared" si="17"/>
        <v>0.86343596656052668</v>
      </c>
    </row>
    <row r="116" spans="1:29" ht="15.6" x14ac:dyDescent="0.3">
      <c r="A116" s="206">
        <v>2045</v>
      </c>
      <c r="B116" s="253">
        <f>(B168/Population_Tables!O34)*Population_Tables!C34</f>
        <v>896.49121181201258</v>
      </c>
      <c r="C116" s="253">
        <f>(C168/Population_Tables!P34)*Population_Tables!D34</f>
        <v>539.97055561710772</v>
      </c>
      <c r="D116" s="253">
        <f>(D168/Population_Tables!Q34)*Population_Tables!E34</f>
        <v>51.959213135774718</v>
      </c>
      <c r="E116" s="253">
        <f>(E168/Population_Tables!R34)*Population_Tables!F34</f>
        <v>417.75922503824631</v>
      </c>
      <c r="F116" s="253">
        <f>(F168/Population_Tables!S34)*Population_Tables!G34</f>
        <v>27.858627128746633</v>
      </c>
      <c r="G116" s="253">
        <f>(G168/Population_Tables!T34)*Population_Tables!H34</f>
        <v>53.678334263462418</v>
      </c>
      <c r="H116" s="253">
        <f>(H168/Population_Tables!U34)*Population_Tables!I34</f>
        <v>422.75759604744883</v>
      </c>
      <c r="I116" s="253">
        <f>(I168/Population_Tables!V34)*Population_Tables!J34</f>
        <v>67.206942124966034</v>
      </c>
      <c r="J116" s="253">
        <f>(J168/Population_Tables!W34)*Population_Tables!K34</f>
        <v>109.11189442308601</v>
      </c>
      <c r="K116" s="253">
        <f>(K168/Population_Tables!X34)*Population_Tables!L34</f>
        <v>67.470781410095313</v>
      </c>
      <c r="L116" s="170"/>
      <c r="M116" s="170"/>
      <c r="N116" s="195">
        <f t="shared" si="11"/>
        <v>22.860256119544147</v>
      </c>
      <c r="O116" s="195">
        <f t="shared" si="13"/>
        <v>422.75759604744883</v>
      </c>
      <c r="P116" s="195">
        <f t="shared" si="12"/>
        <v>645.60810301634478</v>
      </c>
      <c r="Q116" s="195">
        <f t="shared" si="14"/>
        <v>1091.2259551833376</v>
      </c>
      <c r="R116" s="196">
        <f t="shared" si="15"/>
        <v>2.0949149908832017E-2</v>
      </c>
      <c r="S116" s="170"/>
      <c r="T116" s="170"/>
      <c r="U116" s="195">
        <f t="shared" si="20"/>
        <v>7.0951054566797893</v>
      </c>
      <c r="V116" s="195">
        <f t="shared" si="16"/>
        <v>23.783017066259958</v>
      </c>
      <c r="W116" s="195">
        <f t="shared" si="16"/>
        <v>39.207999076608758</v>
      </c>
      <c r="X116" s="195">
        <f t="shared" si="19"/>
        <v>70.086121599548505</v>
      </c>
      <c r="Y116" s="207">
        <f t="shared" si="18"/>
        <v>0.10123410020059515</v>
      </c>
      <c r="AC116" s="251">
        <f t="shared" si="17"/>
        <v>0.86132141849741584</v>
      </c>
    </row>
    <row r="117" spans="1:29" ht="15.6" x14ac:dyDescent="0.3">
      <c r="A117" s="206">
        <v>2046</v>
      </c>
      <c r="B117" s="253">
        <f>(B169/Population_Tables!O35)*Population_Tables!C35</f>
        <v>919.01521670671207</v>
      </c>
      <c r="C117" s="253">
        <f>(C169/Population_Tables!P35)*Population_Tables!D35</f>
        <v>553.78941528830751</v>
      </c>
      <c r="D117" s="253">
        <f>(D169/Population_Tables!Q35)*Population_Tables!E35</f>
        <v>53.191772767566754</v>
      </c>
      <c r="E117" s="253">
        <f>(E169/Population_Tables!R35)*Population_Tables!F35</f>
        <v>430.6167418603236</v>
      </c>
      <c r="F117" s="253">
        <f>(F169/Population_Tables!S35)*Population_Tables!G35</f>
        <v>28.706413035455213</v>
      </c>
      <c r="G117" s="253">
        <f>(G169/Population_Tables!T35)*Population_Tables!H35</f>
        <v>55.17192224860419</v>
      </c>
      <c r="H117" s="253">
        <f>(H169/Population_Tables!U35)*Population_Tables!I35</f>
        <v>436.16164931668834</v>
      </c>
      <c r="I117" s="253">
        <f>(I169/Population_Tables!V35)*Population_Tables!J35</f>
        <v>71.44238760421878</v>
      </c>
      <c r="J117" s="253">
        <f>(J169/Population_Tables!W35)*Population_Tables!K35</f>
        <v>109.77751547822918</v>
      </c>
      <c r="K117" s="253">
        <f>(K169/Population_Tables!X35)*Population_Tables!L35</f>
        <v>67.505727677930253</v>
      </c>
      <c r="L117" s="170"/>
      <c r="M117" s="170"/>
      <c r="N117" s="195">
        <f t="shared" si="11"/>
        <v>23.161505579090488</v>
      </c>
      <c r="O117" s="195">
        <f t="shared" si="13"/>
        <v>436.16164931668834</v>
      </c>
      <c r="P117" s="195">
        <f t="shared" si="12"/>
        <v>662.15311030447845</v>
      </c>
      <c r="Q117" s="195">
        <f t="shared" si="14"/>
        <v>1121.4762652002573</v>
      </c>
      <c r="R117" s="196">
        <f t="shared" si="15"/>
        <v>2.0652693505693261E-2</v>
      </c>
      <c r="S117" s="170"/>
      <c r="T117" s="170"/>
      <c r="U117" s="195">
        <f t="shared" si="20"/>
        <v>7.5973615741293656</v>
      </c>
      <c r="V117" s="195">
        <f t="shared" si="16"/>
        <v>25.762965274541102</v>
      </c>
      <c r="W117" s="195">
        <f t="shared" si="16"/>
        <v>42.058809471769905</v>
      </c>
      <c r="X117" s="195">
        <f t="shared" si="19"/>
        <v>75.419136320440373</v>
      </c>
      <c r="Y117" s="207">
        <f t="shared" si="18"/>
        <v>0.10073519725616774</v>
      </c>
      <c r="AC117" s="251">
        <f t="shared" si="17"/>
        <v>0.85935278414137495</v>
      </c>
    </row>
    <row r="118" spans="1:29" ht="15.6" x14ac:dyDescent="0.3">
      <c r="A118" s="206">
        <v>2047</v>
      </c>
      <c r="B118" s="253">
        <f>(B170/Population_Tables!O36)*Population_Tables!C36</f>
        <v>942.07832986972244</v>
      </c>
      <c r="C118" s="253">
        <f>(C170/Population_Tables!P36)*Population_Tables!D36</f>
        <v>567.93811389752898</v>
      </c>
      <c r="D118" s="253">
        <f>(D170/Population_Tables!Q36)*Population_Tables!E36</f>
        <v>54.471154934958889</v>
      </c>
      <c r="E118" s="253">
        <f>(E170/Population_Tables!R36)*Population_Tables!F36</f>
        <v>443.85089944697404</v>
      </c>
      <c r="F118" s="253">
        <f>(F170/Population_Tables!S36)*Population_Tables!G36</f>
        <v>29.576535763213339</v>
      </c>
      <c r="G118" s="253">
        <f>(G170/Population_Tables!T36)*Population_Tables!H36</f>
        <v>56.708265433795681</v>
      </c>
      <c r="H118" s="253">
        <f>(H170/Population_Tables!U36)*Population_Tables!I36</f>
        <v>449.85774559108182</v>
      </c>
      <c r="I118" s="253">
        <f>(I170/Population_Tables!V36)*Population_Tables!J36</f>
        <v>75.924718005164465</v>
      </c>
      <c r="J118" s="253">
        <f>(J170/Population_Tables!W36)*Population_Tables!K36</f>
        <v>110.46320284903028</v>
      </c>
      <c r="K118" s="253">
        <f>(K170/Population_Tables!X36)*Population_Tables!L36</f>
        <v>67.557067999618212</v>
      </c>
      <c r="L118" s="170"/>
      <c r="M118" s="170"/>
      <c r="N118" s="195">
        <f t="shared" si="11"/>
        <v>23.569689619105532</v>
      </c>
      <c r="O118" s="195">
        <f t="shared" si="13"/>
        <v>449.85774559108182</v>
      </c>
      <c r="P118" s="195">
        <f t="shared" si="12"/>
        <v>679.11753426628354</v>
      </c>
      <c r="Q118" s="195">
        <f t="shared" si="14"/>
        <v>1152.5449694764709</v>
      </c>
      <c r="R118" s="196">
        <f t="shared" si="15"/>
        <v>2.0450125802737022E-2</v>
      </c>
      <c r="S118" s="170"/>
      <c r="T118" s="170"/>
      <c r="U118" s="195">
        <f t="shared" si="20"/>
        <v>8.1369116083570248</v>
      </c>
      <c r="V118" s="195">
        <f t="shared" si="16"/>
        <v>27.867476242544456</v>
      </c>
      <c r="W118" s="195">
        <f t="shared" si="16"/>
        <v>45.052632511831689</v>
      </c>
      <c r="X118" s="195">
        <f t="shared" si="19"/>
        <v>81.057020362733169</v>
      </c>
      <c r="Y118" s="207">
        <f t="shared" si="18"/>
        <v>0.10038503231359905</v>
      </c>
      <c r="AC118" s="251">
        <f t="shared" si="17"/>
        <v>0.85747566124748731</v>
      </c>
    </row>
    <row r="119" spans="1:29" ht="15.6" x14ac:dyDescent="0.3">
      <c r="A119" s="206">
        <v>2048</v>
      </c>
      <c r="B119" s="253">
        <f>(B171/Population_Tables!O37)*Population_Tables!C37</f>
        <v>965.696439687831</v>
      </c>
      <c r="C119" s="253">
        <f>(C171/Population_Tables!P37)*Population_Tables!D37</f>
        <v>582.43106648140235</v>
      </c>
      <c r="D119" s="253">
        <f>(D171/Population_Tables!Q37)*Population_Tables!E37</f>
        <v>55.800530879878337</v>
      </c>
      <c r="E119" s="253">
        <f>(E171/Population_Tables!R37)*Population_Tables!F37</f>
        <v>457.48144260319185</v>
      </c>
      <c r="F119" s="253">
        <f>(F171/Population_Tables!S37)*Population_Tables!G37</f>
        <v>30.469725519885177</v>
      </c>
      <c r="G119" s="253">
        <f>(G171/Population_Tables!T37)*Population_Tables!H37</f>
        <v>58.28906916907416</v>
      </c>
      <c r="H119" s="253">
        <f>(H171/Population_Tables!U37)*Population_Tables!I37</f>
        <v>463.85825461638399</v>
      </c>
      <c r="I119" s="253">
        <f>(I171/Population_Tables!V37)*Population_Tables!J37</f>
        <v>80.666104168436576</v>
      </c>
      <c r="J119" s="253">
        <f>(J171/Population_Tables!W37)*Population_Tables!K37</f>
        <v>111.17122100794631</v>
      </c>
      <c r="K119" s="253">
        <f>(K171/Population_Tables!X37)*Population_Tables!L37</f>
        <v>67.625909238251225</v>
      </c>
      <c r="L119" s="170"/>
      <c r="M119" s="170"/>
      <c r="N119" s="195">
        <f t="shared" si="11"/>
        <v>24.092913506693037</v>
      </c>
      <c r="O119" s="195">
        <f t="shared" si="13"/>
        <v>463.85825461638399</v>
      </c>
      <c r="P119" s="195">
        <f t="shared" si="12"/>
        <v>696.5206665303549</v>
      </c>
      <c r="Q119" s="195">
        <f t="shared" si="14"/>
        <v>1184.4718346534319</v>
      </c>
      <c r="R119" s="196">
        <f t="shared" si="15"/>
        <v>2.0340638588288978E-2</v>
      </c>
      <c r="S119" s="170"/>
      <c r="T119" s="170"/>
      <c r="U119" s="195">
        <f t="shared" si="20"/>
        <v>8.7194011212337728</v>
      </c>
      <c r="V119" s="195">
        <f t="shared" si="16"/>
        <v>30.104699515140794</v>
      </c>
      <c r="W119" s="195">
        <f t="shared" si="16"/>
        <v>48.20321209084193</v>
      </c>
      <c r="X119" s="195">
        <f t="shared" si="19"/>
        <v>87.027312727216497</v>
      </c>
      <c r="Y119" s="207">
        <f t="shared" si="18"/>
        <v>0.10019154731991294</v>
      </c>
      <c r="AC119" s="251">
        <f t="shared" si="17"/>
        <v>0.85563016062219799</v>
      </c>
    </row>
    <row r="120" spans="1:29" ht="15.6" x14ac:dyDescent="0.3">
      <c r="A120" s="206">
        <v>2049</v>
      </c>
      <c r="B120" s="253">
        <f>(B172/Population_Tables!O38)*Population_Tables!C38</f>
        <v>989.88642687019058</v>
      </c>
      <c r="C120" s="253">
        <f>(C172/Population_Tables!P38)*Population_Tables!D38</f>
        <v>597.28496247337296</v>
      </c>
      <c r="D120" s="253">
        <f>(D172/Population_Tables!Q38)*Population_Tables!E38</f>
        <v>57.183182102405112</v>
      </c>
      <c r="E120" s="253">
        <f>(E172/Population_Tables!R38)*Population_Tables!F38</f>
        <v>471.5291156025848</v>
      </c>
      <c r="F120" s="253">
        <f>(F172/Population_Tables!S38)*Population_Tables!G38</f>
        <v>31.386712540282648</v>
      </c>
      <c r="G120" s="253">
        <f>(G172/Population_Tables!T38)*Population_Tables!H38</f>
        <v>59.916152111378295</v>
      </c>
      <c r="H120" s="253">
        <f>(H172/Population_Tables!U38)*Population_Tables!I38</f>
        <v>478.17559473564074</v>
      </c>
      <c r="I120" s="253">
        <f>(I172/Population_Tables!V38)*Population_Tables!J38</f>
        <v>85.679466213569356</v>
      </c>
      <c r="J120" s="253">
        <f>(J172/Population_Tables!W38)*Population_Tables!K38</f>
        <v>111.90409297676163</v>
      </c>
      <c r="K120" s="253">
        <f>(K172/Population_Tables!X38)*Population_Tables!L38</f>
        <v>67.713527274919628</v>
      </c>
      <c r="L120" s="170"/>
      <c r="M120" s="170"/>
      <c r="N120" s="195">
        <f t="shared" si="11"/>
        <v>24.740233407226697</v>
      </c>
      <c r="O120" s="195">
        <f t="shared" si="13"/>
        <v>478.17559473564074</v>
      </c>
      <c r="P120" s="195">
        <f t="shared" si="12"/>
        <v>714.38429668715639</v>
      </c>
      <c r="Q120" s="195">
        <f t="shared" si="14"/>
        <v>1217.3001248300238</v>
      </c>
      <c r="R120" s="196">
        <f t="shared" si="15"/>
        <v>2.0323856789779979E-2</v>
      </c>
      <c r="S120" s="170"/>
      <c r="T120" s="170"/>
      <c r="U120" s="195">
        <f t="shared" si="20"/>
        <v>9.3514265729002659</v>
      </c>
      <c r="V120" s="195">
        <f t="shared" si="16"/>
        <v>32.482833234492489</v>
      </c>
      <c r="W120" s="195">
        <f t="shared" si="16"/>
        <v>51.526790064716693</v>
      </c>
      <c r="X120" s="195">
        <f t="shared" si="19"/>
        <v>93.361049872109447</v>
      </c>
      <c r="Y120" s="207">
        <f t="shared" si="18"/>
        <v>0.10016411111175709</v>
      </c>
      <c r="AC120" s="251">
        <f t="shared" si="17"/>
        <v>0.85375148758491914</v>
      </c>
    </row>
    <row r="121" spans="1:29" ht="16.2" thickBot="1" x14ac:dyDescent="0.35">
      <c r="A121" s="208">
        <v>2050</v>
      </c>
      <c r="B121" s="253">
        <f>(B173/Population_Tables!O39)*Population_Tables!C39</f>
        <v>1014.6638889534063</v>
      </c>
      <c r="C121" s="253">
        <f>(C173/Population_Tables!P39)*Population_Tables!D39</f>
        <v>612.51596188146448</v>
      </c>
      <c r="D121" s="253">
        <f>(D173/Population_Tables!Q39)*Population_Tables!E39</f>
        <v>58.622429304136638</v>
      </c>
      <c r="E121" s="253">
        <f>(E173/Population_Tables!R39)*Population_Tables!F39</f>
        <v>486.01428547149101</v>
      </c>
      <c r="F121" s="253">
        <f>(F173/Population_Tables!S39)*Population_Tables!G39</f>
        <v>32.328210991402891</v>
      </c>
      <c r="G121" s="253">
        <f>(G173/Population_Tables!T39)*Population_Tables!H39</f>
        <v>61.59132032613612</v>
      </c>
      <c r="H121" s="253">
        <f>(H173/Population_Tables!U39)*Population_Tables!I39</f>
        <v>492.82253054289754</v>
      </c>
      <c r="I121" s="253">
        <f>(I173/Population_Tables!V39)*Population_Tables!J39</f>
        <v>90.977915313468841</v>
      </c>
      <c r="J121" s="253">
        <f>(J173/Population_Tables!W39)*Population_Tables!K39</f>
        <v>112.66420157436959</v>
      </c>
      <c r="K121" s="253">
        <f>(K173/Population_Tables!X39)*Population_Tables!L39</f>
        <v>67.820985479999649</v>
      </c>
      <c r="L121" s="209"/>
      <c r="M121" s="209"/>
      <c r="N121" s="195">
        <f t="shared" si="11"/>
        <v>25.519965919996366</v>
      </c>
      <c r="O121" s="195">
        <f t="shared" si="13"/>
        <v>492.82253054289754</v>
      </c>
      <c r="P121" s="195">
        <f t="shared" si="12"/>
        <v>732.72971151173726</v>
      </c>
      <c r="Q121" s="195">
        <f t="shared" si="14"/>
        <v>1251.0722079746311</v>
      </c>
      <c r="R121" s="210">
        <f t="shared" si="15"/>
        <v>2.0398475609422102E-2</v>
      </c>
      <c r="S121" s="209"/>
      <c r="T121" s="209"/>
      <c r="U121" s="211">
        <f t="shared" si="20"/>
        <v>10.038844857413551</v>
      </c>
      <c r="V121" s="195">
        <f t="shared" si="16"/>
        <v>35.010421793761054</v>
      </c>
      <c r="W121" s="211">
        <f t="shared" si="16"/>
        <v>55.039105473957875</v>
      </c>
      <c r="X121" s="195">
        <f t="shared" si="19"/>
        <v>100.08837212513248</v>
      </c>
      <c r="Y121" s="212">
        <f t="shared" si="18"/>
        <v>0.10029981149920979</v>
      </c>
      <c r="AC121" s="251">
        <f t="shared" si="17"/>
        <v>0.85178865655719083</v>
      </c>
    </row>
    <row r="122" spans="1:29" ht="15.6" x14ac:dyDescent="0.3">
      <c r="A122" s="213">
        <v>2051</v>
      </c>
      <c r="B122" s="253">
        <f>(B174/Population_Tables!O40)*Population_Tables!C40</f>
        <v>1040.04218061917</v>
      </c>
      <c r="C122" s="253">
        <f>(C174/Population_Tables!P40)*Population_Tables!D40</f>
        <v>628.13723402830794</v>
      </c>
      <c r="D122" s="253">
        <f>(D174/Population_Tables!Q40)*Population_Tables!E40</f>
        <v>60.121649836152123</v>
      </c>
      <c r="E122" s="253">
        <f>(E174/Population_Tables!R40)*Population_Tables!F40</f>
        <v>500.95653142358418</v>
      </c>
      <c r="F122" s="253">
        <f>(F174/Population_Tables!S40)*Population_Tables!G40</f>
        <v>33.294912786405853</v>
      </c>
      <c r="G122" s="253">
        <f>(G174/Population_Tables!T40)*Population_Tables!H40</f>
        <v>63.316271381548155</v>
      </c>
      <c r="H122" s="253">
        <f>(H174/Population_Tables!U40)*Population_Tables!I40</f>
        <v>507.81267091990657</v>
      </c>
      <c r="I122" s="253">
        <f>(I174/Population_Tables!V40)*Population_Tables!J40</f>
        <v>96.574489618980252</v>
      </c>
      <c r="J122" s="253">
        <f>(J174/Population_Tables!W40)*Population_Tables!K40</f>
        <v>113.45357190109559</v>
      </c>
      <c r="K122" s="253">
        <f>(K174/Population_Tables!X40)*Population_Tables!L40</f>
        <v>67.948830611068232</v>
      </c>
      <c r="N122" s="195">
        <f t="shared" si="11"/>
        <v>26.438773290083475</v>
      </c>
      <c r="O122" s="195">
        <f t="shared" si="13"/>
        <v>507.81267091990657</v>
      </c>
      <c r="P122" s="195">
        <f t="shared" si="12"/>
        <v>751.57515524600819</v>
      </c>
      <c r="Q122" s="195">
        <f t="shared" si="14"/>
        <v>1285.8265994559983</v>
      </c>
      <c r="R122" s="214">
        <f t="shared" si="15"/>
        <v>2.0561694167214359E-2</v>
      </c>
      <c r="U122" s="215">
        <f t="shared" si="20"/>
        <v>10.785858514622248</v>
      </c>
      <c r="V122" s="195">
        <f t="shared" si="16"/>
        <v>37.696853873815087</v>
      </c>
      <c r="W122" s="215">
        <f t="shared" si="16"/>
        <v>58.752854825928694</v>
      </c>
      <c r="X122" s="195">
        <f t="shared" si="19"/>
        <v>107.23556721436603</v>
      </c>
      <c r="Y122" s="214">
        <f t="shared" si="18"/>
        <v>0.10058098068396563</v>
      </c>
      <c r="AC122" s="251">
        <f t="shared" si="17"/>
        <v>0.84971675443191808</v>
      </c>
    </row>
    <row r="123" spans="1:29" ht="15.6" x14ac:dyDescent="0.3">
      <c r="A123" s="194">
        <v>2052</v>
      </c>
      <c r="B123" s="253">
        <f>(B175/Population_Tables!O41)*Population_Tables!C41</f>
        <v>1066.0320872258458</v>
      </c>
      <c r="C123" s="253">
        <f>(C175/Population_Tables!P41)*Population_Tables!D41</f>
        <v>644.16123401049606</v>
      </c>
      <c r="D123" s="253">
        <f>(D175/Population_Tables!Q41)*Population_Tables!E41</f>
        <v>61.684241675234318</v>
      </c>
      <c r="E123" s="253">
        <f>(E175/Population_Tables!R41)*Population_Tables!F41</f>
        <v>516.3739935652701</v>
      </c>
      <c r="F123" s="253">
        <f>(F175/Population_Tables!S41)*Population_Tables!G41</f>
        <v>34.28747315975361</v>
      </c>
      <c r="G123" s="253">
        <f>(G175/Population_Tables!T41)*Population_Tables!H41</f>
        <v>65.092645837225618</v>
      </c>
      <c r="H123" s="253">
        <f>(H175/Population_Tables!U41)*Population_Tables!I41</f>
        <v>523.15970147310543</v>
      </c>
      <c r="I123" s="253">
        <f>(I175/Population_Tables!V41)*Population_Tables!J41</f>
        <v>102.48193391494203</v>
      </c>
      <c r="J123" s="253">
        <f>(J175/Population_Tables!W41)*Population_Tables!K41</f>
        <v>114.27405297456065</v>
      </c>
      <c r="K123" s="253">
        <f>(K175/Population_Tables!X41)*Population_Tables!L41</f>
        <v>68.097406602869839</v>
      </c>
      <c r="N123" s="195">
        <f t="shared" si="11"/>
        <v>27.5017652519183</v>
      </c>
      <c r="O123" s="195">
        <f t="shared" si="13"/>
        <v>523.15970147310543</v>
      </c>
      <c r="P123" s="195">
        <f t="shared" si="12"/>
        <v>770.93812152295607</v>
      </c>
      <c r="Q123" s="195">
        <f t="shared" si="14"/>
        <v>1321.5995882479797</v>
      </c>
      <c r="R123" s="196">
        <f t="shared" si="15"/>
        <v>2.0809453556486716E-2</v>
      </c>
      <c r="U123" s="195">
        <f t="shared" si="20"/>
        <v>11.595117573723542</v>
      </c>
      <c r="V123" s="195">
        <f t="shared" si="16"/>
        <v>40.55159488020837</v>
      </c>
      <c r="W123" s="195">
        <f t="shared" si="16"/>
        <v>62.67998401906857</v>
      </c>
      <c r="X123" s="195">
        <f t="shared" si="19"/>
        <v>114.82669647300048</v>
      </c>
      <c r="Y123" s="196">
        <f t="shared" si="18"/>
        <v>0.10097928382403594</v>
      </c>
      <c r="AC123" s="251">
        <f t="shared" si="17"/>
        <v>0.84751519722517754</v>
      </c>
    </row>
    <row r="124" spans="1:29" ht="15.6" x14ac:dyDescent="0.3">
      <c r="A124" s="194">
        <v>2053</v>
      </c>
      <c r="B124" s="253">
        <f>(B176/Population_Tables!O42)*Population_Tables!C42</f>
        <v>1092.6432608014802</v>
      </c>
      <c r="C124" s="253">
        <f>(C176/Population_Tables!P42)*Population_Tables!D42</f>
        <v>660.60376367068704</v>
      </c>
      <c r="D124" s="253">
        <f>(D176/Population_Tables!Q42)*Population_Tables!E42</f>
        <v>63.313696484463279</v>
      </c>
      <c r="E124" s="253">
        <f>(E176/Population_Tables!R42)*Population_Tables!F42</f>
        <v>532.28394243154571</v>
      </c>
      <c r="F124" s="253">
        <f>(F176/Population_Tables!S42)*Population_Tables!G42</f>
        <v>35.306512155122014</v>
      </c>
      <c r="G124" s="253">
        <f>(G176/Population_Tables!T42)*Population_Tables!H42</f>
        <v>66.922116508097375</v>
      </c>
      <c r="H124" s="253">
        <f>(H176/Population_Tables!U42)*Population_Tables!I42</f>
        <v>538.87656451826365</v>
      </c>
      <c r="I124" s="253">
        <f>(I176/Population_Tables!V42)*Population_Tables!J42</f>
        <v>108.71294966690449</v>
      </c>
      <c r="J124" s="253">
        <f>(J176/Population_Tables!W42)*Population_Tables!K42</f>
        <v>115.12800268625092</v>
      </c>
      <c r="K124" s="253">
        <f>(K176/Population_Tables!X42)*Population_Tables!L42</f>
        <v>68.267283906770231</v>
      </c>
      <c r="N124" s="195">
        <f t="shared" si="11"/>
        <v>28.713890068404112</v>
      </c>
      <c r="O124" s="195">
        <f t="shared" si="13"/>
        <v>538.87656451826365</v>
      </c>
      <c r="P124" s="195">
        <f t="shared" si="12"/>
        <v>790.83957666324773</v>
      </c>
      <c r="Q124" s="195">
        <f t="shared" si="14"/>
        <v>1358.4300312499154</v>
      </c>
      <c r="R124" s="196">
        <f t="shared" si="15"/>
        <v>2.1137555419018496E-2</v>
      </c>
      <c r="U124" s="195">
        <f t="shared" si="20"/>
        <v>12.469110592387949</v>
      </c>
      <c r="V124" s="195">
        <f t="shared" si="16"/>
        <v>43.58336692782666</v>
      </c>
      <c r="W124" s="195">
        <f t="shared" si="16"/>
        <v>66.835911639496885</v>
      </c>
      <c r="X124" s="195">
        <f t="shared" si="19"/>
        <v>122.88838915971149</v>
      </c>
      <c r="Y124" s="196">
        <f t="shared" si="18"/>
        <v>0.10146695450765907</v>
      </c>
      <c r="AC124" s="251">
        <f t="shared" si="17"/>
        <v>0.8451459468276632</v>
      </c>
    </row>
    <row r="125" spans="1:29" ht="15.6" x14ac:dyDescent="0.3">
      <c r="A125" s="194">
        <v>2054</v>
      </c>
      <c r="B125" s="253">
        <f>(B177/Population_Tables!O43)*Population_Tables!C43</f>
        <v>1119.8835123291883</v>
      </c>
      <c r="C125" s="253">
        <f>(C177/Population_Tables!P43)*Population_Tables!D43</f>
        <v>677.4811704353159</v>
      </c>
      <c r="D125" s="253">
        <f>(D177/Population_Tables!Q43)*Population_Tables!E43</f>
        <v>65.01357995270223</v>
      </c>
      <c r="E125" s="253">
        <f>(E177/Population_Tables!R43)*Population_Tables!F43</f>
        <v>548.70256334647502</v>
      </c>
      <c r="F125" s="253">
        <f>(F177/Population_Tables!S43)*Population_Tables!G43</f>
        <v>36.352621488987054</v>
      </c>
      <c r="G125" s="253">
        <f>(G177/Population_Tables!T43)*Population_Tables!H43</f>
        <v>68.806291071340212</v>
      </c>
      <c r="H125" s="253">
        <f>(H177/Population_Tables!U43)*Population_Tables!I43</f>
        <v>554.97588709763158</v>
      </c>
      <c r="I125" s="253">
        <f>(I177/Population_Tables!V43)*Population_Tables!J43</f>
        <v>115.28001463349891</v>
      </c>
      <c r="J125" s="253">
        <f>(J177/Population_Tables!W43)*Population_Tables!K43</f>
        <v>116.01779096003249</v>
      </c>
      <c r="K125" s="253">
        <f>(K177/Population_Tables!X43)*Population_Tables!L43</f>
        <v>68.458979440545761</v>
      </c>
      <c r="N125" s="195">
        <f t="shared" si="11"/>
        <v>30.07929773783053</v>
      </c>
      <c r="O125" s="195">
        <f t="shared" si="13"/>
        <v>554.97588709763158</v>
      </c>
      <c r="P125" s="195">
        <f t="shared" si="12"/>
        <v>811.30104145935832</v>
      </c>
      <c r="Q125" s="195">
        <f t="shared" si="14"/>
        <v>1396.3562262948203</v>
      </c>
      <c r="R125" s="196">
        <f t="shared" si="15"/>
        <v>2.1541278057422952E-2</v>
      </c>
      <c r="U125" s="195">
        <f t="shared" si="20"/>
        <v>13.409527863672224</v>
      </c>
      <c r="V125" s="195">
        <f t="shared" si="16"/>
        <v>46.800576858036607</v>
      </c>
      <c r="W125" s="195">
        <f t="shared" si="16"/>
        <v>71.236610745141434</v>
      </c>
      <c r="X125" s="195">
        <f t="shared" si="19"/>
        <v>131.44671546685026</v>
      </c>
      <c r="Y125" s="196">
        <f t="shared" si="18"/>
        <v>0.10201493294105163</v>
      </c>
      <c r="AC125" s="251">
        <f t="shared" si="17"/>
        <v>0.84257507126243147</v>
      </c>
    </row>
    <row r="126" spans="1:29" ht="15.6" x14ac:dyDescent="0.3">
      <c r="A126" s="194">
        <v>2055</v>
      </c>
      <c r="B126" s="253">
        <f>(B178/Population_Tables!O44)*Population_Tables!C44</f>
        <v>1147.7603098283821</v>
      </c>
      <c r="C126" s="253">
        <f>(C178/Population_Tables!P44)*Population_Tables!D44</f>
        <v>694.80925094744964</v>
      </c>
      <c r="D126" s="253">
        <f>(D178/Population_Tables!Q44)*Population_Tables!E44</f>
        <v>66.787526081674514</v>
      </c>
      <c r="E126" s="253">
        <f>(E178/Population_Tables!R44)*Population_Tables!F44</f>
        <v>565.64626636897924</v>
      </c>
      <c r="F126" s="253">
        <f>(F178/Population_Tables!S44)*Population_Tables!G44</f>
        <v>37.426391247547762</v>
      </c>
      <c r="G126" s="253">
        <f>(G178/Population_Tables!T44)*Population_Tables!H44</f>
        <v>70.746801863253268</v>
      </c>
      <c r="H126" s="253">
        <f>(H178/Population_Tables!U44)*Population_Tables!I44</f>
        <v>571.47063972900185</v>
      </c>
      <c r="I126" s="253">
        <f>(I178/Population_Tables!V44)*Population_Tables!J44</f>
        <v>122.19581049459197</v>
      </c>
      <c r="J126" s="253">
        <f>(J178/Population_Tables!W44)*Population_Tables!K44</f>
        <v>116.94569454891968</v>
      </c>
      <c r="K126" s="253">
        <f>(K178/Population_Tables!X44)*Population_Tables!L44</f>
        <v>68.672885590210626</v>
      </c>
      <c r="N126" s="195">
        <f t="shared" si="11"/>
        <v>31.602017887525108</v>
      </c>
      <c r="O126" s="195">
        <f t="shared" si="13"/>
        <v>571.47063972900185</v>
      </c>
      <c r="P126" s="195">
        <f t="shared" si="12"/>
        <v>832.34357889237742</v>
      </c>
      <c r="Q126" s="195">
        <f t="shared" si="14"/>
        <v>1435.4162365089044</v>
      </c>
      <c r="R126" s="196">
        <f t="shared" si="15"/>
        <v>2.2015926170923641E-2</v>
      </c>
      <c r="U126" s="195">
        <f t="shared" si="20"/>
        <v>14.417939309671056</v>
      </c>
      <c r="V126" s="195">
        <f t="shared" si="16"/>
        <v>50.211974987747112</v>
      </c>
      <c r="W126" s="195">
        <f t="shared" si="16"/>
        <v>75.897596582544224</v>
      </c>
      <c r="X126" s="195">
        <f t="shared" si="19"/>
        <v>140.52751087996239</v>
      </c>
      <c r="Y126" s="196">
        <f t="shared" si="18"/>
        <v>0.10259869558201139</v>
      </c>
      <c r="AC126" s="251">
        <f t="shared" si="17"/>
        <v>0.83978174764568203</v>
      </c>
    </row>
    <row r="127" spans="1:29" ht="15.6" x14ac:dyDescent="0.3">
      <c r="A127" s="194">
        <v>2056</v>
      </c>
      <c r="B127" s="253">
        <f>(B179/Population_Tables!O45)*Population_Tables!C45</f>
        <v>1176.2838628333707</v>
      </c>
      <c r="C127" s="253">
        <f>(C179/Population_Tables!P45)*Population_Tables!D45</f>
        <v>712.60269997180433</v>
      </c>
      <c r="D127" s="253">
        <f>(D179/Population_Tables!Q45)*Population_Tables!E45</f>
        <v>68.639266793401561</v>
      </c>
      <c r="E127" s="253">
        <f>(E179/Population_Tables!R45)*Population_Tables!F45</f>
        <v>583.13415881112178</v>
      </c>
      <c r="F127" s="253">
        <f>(F179/Population_Tables!S45)*Population_Tables!G45</f>
        <v>38.528477131738569</v>
      </c>
      <c r="G127" s="253">
        <f>(G179/Population_Tables!T45)*Population_Tables!H45</f>
        <v>72.745427678315096</v>
      </c>
      <c r="H127" s="253">
        <f>(H179/Population_Tables!U45)*Population_Tables!I45</f>
        <v>588.37512304031645</v>
      </c>
      <c r="I127" s="253">
        <f>(I179/Population_Tables!V45)*Population_Tables!J45</f>
        <v>129.47418941046621</v>
      </c>
      <c r="J127" s="253">
        <f>(J179/Population_Tables!W45)*Population_Tables!K45</f>
        <v>117.91378745374568</v>
      </c>
      <c r="K127" s="253">
        <f>(K179/Population_Tables!X45)*Population_Tables!L45</f>
        <v>68.90933113373832</v>
      </c>
      <c r="N127" s="195">
        <f t="shared" si="11"/>
        <v>33.287512902543881</v>
      </c>
      <c r="O127" s="195">
        <f t="shared" si="13"/>
        <v>588.37512304031645</v>
      </c>
      <c r="P127" s="195">
        <f t="shared" si="12"/>
        <v>853.987394443521</v>
      </c>
      <c r="Q127" s="195">
        <f t="shared" si="14"/>
        <v>1475.6500303863813</v>
      </c>
      <c r="R127" s="196">
        <f t="shared" si="15"/>
        <v>2.2557864139255257E-2</v>
      </c>
      <c r="U127" s="195">
        <f t="shared" si="20"/>
        <v>15.497347610207498</v>
      </c>
      <c r="V127" s="195">
        <f t="shared" si="16"/>
        <v>53.827641744016432</v>
      </c>
      <c r="W127" s="195">
        <f t="shared" si="16"/>
        <v>80.833526898373634</v>
      </c>
      <c r="X127" s="195">
        <f t="shared" si="19"/>
        <v>150.15851625259756</v>
      </c>
      <c r="Y127" s="196">
        <f t="shared" si="18"/>
        <v>0.10320658459449457</v>
      </c>
      <c r="AC127" s="251">
        <f t="shared" si="17"/>
        <v>0.83676418221708981</v>
      </c>
    </row>
    <row r="128" spans="1:29" ht="15.6" x14ac:dyDescent="0.3">
      <c r="A128" s="194">
        <v>2057</v>
      </c>
      <c r="B128" s="253">
        <f>(B180/Population_Tables!O46)*Population_Tables!C46</f>
        <v>1205.4624836117803</v>
      </c>
      <c r="C128" s="253">
        <f>(C180/Population_Tables!P46)*Population_Tables!D46</f>
        <v>730.87423785721171</v>
      </c>
      <c r="D128" s="253">
        <f>(D180/Population_Tables!Q46)*Population_Tables!E46</f>
        <v>70.572603173784458</v>
      </c>
      <c r="E128" s="253">
        <f>(E180/Population_Tables!R46)*Population_Tables!F46</f>
        <v>601.18466586544866</v>
      </c>
      <c r="F128" s="253">
        <f>(F180/Population_Tables!S46)*Population_Tables!G46</f>
        <v>39.659506705132401</v>
      </c>
      <c r="G128" s="253">
        <f>(G180/Population_Tables!T46)*Population_Tables!H46</f>
        <v>74.803880914586415</v>
      </c>
      <c r="H128" s="253">
        <f>(H180/Population_Tables!U46)*Population_Tables!I46</f>
        <v>605.70393503474054</v>
      </c>
      <c r="I128" s="253">
        <f>(I180/Population_Tables!V46)*Population_Tables!J46</f>
        <v>137.12895041680977</v>
      </c>
      <c r="J128" s="253">
        <f>(J180/Population_Tables!W46)*Population_Tables!K46</f>
        <v>118.92391515366241</v>
      </c>
      <c r="K128" s="253">
        <f>(K180/Population_Tables!X46)*Population_Tables!L46</f>
        <v>69.168402076989537</v>
      </c>
      <c r="N128" s="195">
        <f t="shared" si="11"/>
        <v>35.140237535840583</v>
      </c>
      <c r="O128" s="195">
        <f t="shared" si="13"/>
        <v>605.70393503474054</v>
      </c>
      <c r="P128" s="195">
        <f t="shared" si="12"/>
        <v>876.25072194558265</v>
      </c>
      <c r="Q128" s="195">
        <f t="shared" si="14"/>
        <v>1517.0948945161638</v>
      </c>
      <c r="R128" s="196">
        <f t="shared" si="15"/>
        <v>2.316284740187436E-2</v>
      </c>
      <c r="U128" s="195">
        <f t="shared" si="20"/>
        <v>16.649747813002364</v>
      </c>
      <c r="V128" s="195">
        <f t="shared" si="16"/>
        <v>57.657954929125822</v>
      </c>
      <c r="W128" s="195">
        <f t="shared" si="16"/>
        <v>86.057087790876267</v>
      </c>
      <c r="X128" s="195">
        <f t="shared" si="19"/>
        <v>160.36479053300445</v>
      </c>
      <c r="Y128" s="196">
        <f t="shared" si="18"/>
        <v>0.10382421077384629</v>
      </c>
      <c r="AC128" s="251">
        <f t="shared" si="17"/>
        <v>0.83352973574197209</v>
      </c>
    </row>
    <row r="129" spans="1:29" ht="15.6" x14ac:dyDescent="0.3">
      <c r="A129" s="194">
        <v>2058</v>
      </c>
      <c r="B129" s="253">
        <f>(B181/Population_Tables!O47)*Population_Tables!C47</f>
        <v>1235.298214184819</v>
      </c>
      <c r="C129" s="253">
        <f>(C181/Population_Tables!P47)*Population_Tables!D47</f>
        <v>749.63412395996693</v>
      </c>
      <c r="D129" s="253">
        <f>(D181/Population_Tables!Q47)*Population_Tables!E47</f>
        <v>72.591186342973629</v>
      </c>
      <c r="E129" s="253">
        <f>(E181/Population_Tables!R47)*Population_Tables!F47</f>
        <v>619.81210405470074</v>
      </c>
      <c r="F129" s="253">
        <f>(F181/Population_Tables!S47)*Population_Tables!G47</f>
        <v>40.819998458631346</v>
      </c>
      <c r="G129" s="253">
        <f>(G181/Population_Tables!T47)*Population_Tables!H47</f>
        <v>76.923633492533583</v>
      </c>
      <c r="H129" s="253">
        <f>(H181/Population_Tables!U47)*Population_Tables!I47</f>
        <v>623.47050837666438</v>
      </c>
      <c r="I129" s="253">
        <f>(I181/Population_Tables!V47)*Population_Tables!J47</f>
        <v>145.17241781660923</v>
      </c>
      <c r="J129" s="253">
        <f>(J181/Population_Tables!W47)*Population_Tables!K47</f>
        <v>119.97752823861752</v>
      </c>
      <c r="K129" s="253">
        <f>(K181/Population_Tables!X47)*Population_Tables!L47</f>
        <v>69.44987800372607</v>
      </c>
      <c r="N129" s="195">
        <f t="shared" si="11"/>
        <v>37.161594136667645</v>
      </c>
      <c r="O129" s="195">
        <f t="shared" si="13"/>
        <v>623.47050837666438</v>
      </c>
      <c r="P129" s="195">
        <f t="shared" si="12"/>
        <v>899.14894379547411</v>
      </c>
      <c r="Q129" s="195">
        <f t="shared" si="14"/>
        <v>1559.7810463088063</v>
      </c>
      <c r="R129" s="196">
        <f t="shared" si="15"/>
        <v>2.3824878642172174E-2</v>
      </c>
      <c r="U129" s="195">
        <f t="shared" si="20"/>
        <v>17.8740825620755</v>
      </c>
      <c r="V129" s="195">
        <f t="shared" si="16"/>
        <v>61.712127006581909</v>
      </c>
      <c r="W129" s="195">
        <f t="shared" si="16"/>
        <v>91.57811392241581</v>
      </c>
      <c r="X129" s="195">
        <f t="shared" si="19"/>
        <v>171.16432349107322</v>
      </c>
      <c r="Y129" s="196">
        <f t="shared" si="18"/>
        <v>0.10442644937633684</v>
      </c>
      <c r="AC129" s="251">
        <f t="shared" si="17"/>
        <v>0.83008791488337841</v>
      </c>
    </row>
    <row r="130" spans="1:29" ht="15.6" x14ac:dyDescent="0.3">
      <c r="A130" s="194">
        <v>2059</v>
      </c>
      <c r="B130" s="253">
        <f>(B182/Population_Tables!O48)*Population_Tables!C48</f>
        <v>1265.7900139780741</v>
      </c>
      <c r="C130" s="253">
        <f>(C182/Population_Tables!P48)*Population_Tables!D48</f>
        <v>768.89066421659334</v>
      </c>
      <c r="D130" s="253">
        <f>(D182/Population_Tables!Q48)*Population_Tables!E48</f>
        <v>74.698675668081819</v>
      </c>
      <c r="E130" s="253">
        <f>(E182/Population_Tables!R48)*Population_Tables!F48</f>
        <v>639.02888577329497</v>
      </c>
      <c r="F130" s="253">
        <f>(F182/Population_Tables!S48)*Population_Tables!G48</f>
        <v>42.010422883047013</v>
      </c>
      <c r="G130" s="253">
        <f>(G182/Population_Tables!T48)*Population_Tables!H48</f>
        <v>79.106050458398343</v>
      </c>
      <c r="H130" s="253">
        <f>(H182/Population_Tables!U48)*Population_Tables!I48</f>
        <v>641.6878201804335</v>
      </c>
      <c r="I130" s="253">
        <f>(I182/Population_Tables!V48)*Population_Tables!J48</f>
        <v>153.61616954379261</v>
      </c>
      <c r="J130" s="253">
        <f>(J182/Population_Tables!W48)*Population_Tables!K48</f>
        <v>121.07588134496395</v>
      </c>
      <c r="K130" s="253">
        <f>(K182/Population_Tables!X48)*Population_Tables!L48</f>
        <v>69.753341298796599</v>
      </c>
      <c r="N130" s="195">
        <f t="shared" si="11"/>
        <v>39.351488475908468</v>
      </c>
      <c r="O130" s="195">
        <f t="shared" si="13"/>
        <v>641.6878201804335</v>
      </c>
      <c r="P130" s="195">
        <f t="shared" si="12"/>
        <v>922.69539034307354</v>
      </c>
      <c r="Q130" s="195">
        <f t="shared" si="14"/>
        <v>1603.7346989994155</v>
      </c>
      <c r="R130" s="196">
        <f t="shared" si="15"/>
        <v>2.4537405407802311E-2</v>
      </c>
      <c r="U130" s="195">
        <f t="shared" si="20"/>
        <v>19.16779792307716</v>
      </c>
      <c r="V130" s="195">
        <f t="shared" si="16"/>
        <v>65.998914889846446</v>
      </c>
      <c r="W130" s="195">
        <f t="shared" si="16"/>
        <v>97.404387908323542</v>
      </c>
      <c r="X130" s="195">
        <f t="shared" si="19"/>
        <v>182.57110072124715</v>
      </c>
      <c r="Y130" s="196">
        <f t="shared" si="18"/>
        <v>0.10498812707681979</v>
      </c>
      <c r="AC130" s="251">
        <f t="shared" si="17"/>
        <v>0.82645263710487715</v>
      </c>
    </row>
    <row r="131" spans="1:29" ht="15.6" x14ac:dyDescent="0.3">
      <c r="A131" s="194">
        <v>2060</v>
      </c>
      <c r="B131" s="253">
        <f>(B183/Population_Tables!O49)*Population_Tables!C49</f>
        <v>1296.9379490006083</v>
      </c>
      <c r="C131" s="253">
        <f>(C183/Population_Tables!P49)*Population_Tables!D49</f>
        <v>788.65210575644119</v>
      </c>
      <c r="D131" s="253">
        <f>(D183/Population_Tables!Q49)*Population_Tables!E49</f>
        <v>76.898825072251327</v>
      </c>
      <c r="E131" s="253">
        <f>(E183/Population_Tables!R49)*Population_Tables!F49</f>
        <v>658.84845556142545</v>
      </c>
      <c r="F131" s="253">
        <f>(F183/Population_Tables!S49)*Population_Tables!G49</f>
        <v>43.231287127575385</v>
      </c>
      <c r="G131" s="253">
        <f>(G183/Population_Tables!T49)*Population_Tables!H49</f>
        <v>81.352574505450804</v>
      </c>
      <c r="H131" s="253">
        <f>(H183/Population_Tables!U49)*Population_Tables!I49</f>
        <v>660.3692313476032</v>
      </c>
      <c r="I131" s="253">
        <f>(I183/Population_Tables!V49)*Population_Tables!J49</f>
        <v>162.47216130373153</v>
      </c>
      <c r="J131" s="253">
        <f>(J183/Population_Tables!W49)*Population_Tables!K49</f>
        <v>122.22024218031136</v>
      </c>
      <c r="K131" s="253">
        <f>(K183/Population_Tables!X49)*Population_Tables!L49</f>
        <v>70.078427484825198</v>
      </c>
      <c r="N131" s="195">
        <f t="shared" si="11"/>
        <v>41.710511341397591</v>
      </c>
      <c r="O131" s="195">
        <f t="shared" si="13"/>
        <v>660.3692313476032</v>
      </c>
      <c r="P131" s="195">
        <f t="shared" si="12"/>
        <v>946.90350533414335</v>
      </c>
      <c r="Q131" s="195">
        <f t="shared" si="14"/>
        <v>1648.9832480231441</v>
      </c>
      <c r="R131" s="196">
        <f>N131/Q131</f>
        <v>2.529468470428765E-2</v>
      </c>
      <c r="U131" s="195">
        <f t="shared" si="20"/>
        <v>20.529024978609073</v>
      </c>
      <c r="V131" s="195">
        <f t="shared" si="16"/>
        <v>70.527459279591085</v>
      </c>
      <c r="W131" s="195">
        <f t="shared" si="16"/>
        <v>103.54380575981395</v>
      </c>
      <c r="X131" s="195">
        <f t="shared" si="19"/>
        <v>194.60029001801411</v>
      </c>
      <c r="Y131" s="196">
        <f t="shared" si="18"/>
        <v>0.10549329076903588</v>
      </c>
      <c r="AC131" s="251">
        <f t="shared" si="17"/>
        <v>0.82263996975993015</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432.40366379443651</v>
      </c>
      <c r="C137" s="229">
        <v>242.71667404077883</v>
      </c>
      <c r="D137" s="229">
        <v>22.577752457254896</v>
      </c>
      <c r="E137" s="229">
        <v>138.88788223203827</v>
      </c>
      <c r="F137" s="229">
        <v>9.7550255923880087</v>
      </c>
      <c r="G137" s="229">
        <v>23.089263841707499</v>
      </c>
      <c r="H137" s="229">
        <v>110.77857142857144</v>
      </c>
      <c r="I137" s="229">
        <v>10.247</v>
      </c>
      <c r="J137" s="229">
        <v>92.507389000000003</v>
      </c>
      <c r="K137" s="229">
        <v>75.239767771023054</v>
      </c>
      <c r="N137" s="195">
        <f t="shared" ref="N137:N183" si="21">SUMIF($C$83:$G$83,"Y",C137:G137)-H137</f>
        <v>37.864336395854849</v>
      </c>
      <c r="O137" s="195">
        <f>H137</f>
        <v>110.77857142857144</v>
      </c>
      <c r="P137" s="195">
        <f t="shared" ref="P137:P183" si="22">SUMIF($C$83:$G$83,"N",C137:G137)-(IF($E$83="N",H137))</f>
        <v>288.38369033974124</v>
      </c>
      <c r="Q137" s="195">
        <f>N137+P137+O137</f>
        <v>437.02659816416758</v>
      </c>
      <c r="R137" s="196">
        <f>N137/Q137</f>
        <v>8.6640805284879344E-2</v>
      </c>
      <c r="AC137" s="251"/>
    </row>
    <row r="138" spans="1:29" ht="15.6" x14ac:dyDescent="0.3">
      <c r="A138" s="194">
        <v>2015</v>
      </c>
      <c r="B138" s="229">
        <v>440.59229824063544</v>
      </c>
      <c r="C138" s="229">
        <v>248.9172714797898</v>
      </c>
      <c r="D138" s="229">
        <v>23.960728682533301</v>
      </c>
      <c r="E138" s="229">
        <v>144.98545488039542</v>
      </c>
      <c r="F138" s="229">
        <v>10.190211075449591</v>
      </c>
      <c r="G138" s="229">
        <v>23.707307011197013</v>
      </c>
      <c r="H138" s="229">
        <v>113.19754489485025</v>
      </c>
      <c r="I138" s="229">
        <v>10.734412211184107</v>
      </c>
      <c r="J138" s="229">
        <v>93.239344929717433</v>
      </c>
      <c r="K138" s="229">
        <v>74.086895901498096</v>
      </c>
      <c r="N138" s="195">
        <f t="shared" si="21"/>
        <v>41.978121060994752</v>
      </c>
      <c r="O138" s="195">
        <f t="shared" ref="O138:O183" si="23">H138</f>
        <v>113.19754489485025</v>
      </c>
      <c r="P138" s="195">
        <f t="shared" si="22"/>
        <v>296.58530717352016</v>
      </c>
      <c r="Q138" s="195">
        <f t="shared" ref="Q138:Q183" si="24">N138+P138+O138</f>
        <v>451.76097312936514</v>
      </c>
      <c r="R138" s="196">
        <f t="shared" ref="R138:R182" si="25">N138/Q138</f>
        <v>9.292108782706647E-2</v>
      </c>
      <c r="AC138" s="251"/>
    </row>
    <row r="139" spans="1:29" ht="15.6" x14ac:dyDescent="0.3">
      <c r="A139" s="194">
        <v>2016</v>
      </c>
      <c r="B139" s="229">
        <v>448.86502167831657</v>
      </c>
      <c r="C139" s="229">
        <v>255.30792306614495</v>
      </c>
      <c r="D139" s="229">
        <v>24.931197816107815</v>
      </c>
      <c r="E139" s="229">
        <v>151.8056928454798</v>
      </c>
      <c r="F139" s="229">
        <v>10.58560058398035</v>
      </c>
      <c r="G139" s="229">
        <v>24.327958885687796</v>
      </c>
      <c r="H139" s="229">
        <v>121.55963600379647</v>
      </c>
      <c r="I139" s="229">
        <v>11.49532787329467</v>
      </c>
      <c r="J139" s="229">
        <v>93.696571348898459</v>
      </c>
      <c r="K139" s="229">
        <v>73.53224527956894</v>
      </c>
      <c r="N139" s="195">
        <f t="shared" si="21"/>
        <v>40.831657425663678</v>
      </c>
      <c r="O139" s="195">
        <f t="shared" si="23"/>
        <v>121.55963600379647</v>
      </c>
      <c r="P139" s="195">
        <f t="shared" si="22"/>
        <v>304.56707976794058</v>
      </c>
      <c r="Q139" s="195">
        <f t="shared" si="24"/>
        <v>466.9583731974007</v>
      </c>
      <c r="R139" s="196">
        <f t="shared" si="25"/>
        <v>8.744175020586388E-2</v>
      </c>
      <c r="AC139" s="251"/>
    </row>
    <row r="140" spans="1:29" ht="15.6" x14ac:dyDescent="0.3">
      <c r="A140" s="194">
        <v>2017</v>
      </c>
      <c r="B140" s="229">
        <v>457.49790596835527</v>
      </c>
      <c r="C140" s="229">
        <v>261.82482909786785</v>
      </c>
      <c r="D140" s="229">
        <v>25.872882057951749</v>
      </c>
      <c r="E140" s="229">
        <v>158.65547496035566</v>
      </c>
      <c r="F140" s="229">
        <v>10.988169668343122</v>
      </c>
      <c r="G140" s="229">
        <v>24.961113198888356</v>
      </c>
      <c r="H140" s="229">
        <v>129.96260133166209</v>
      </c>
      <c r="I140" s="229">
        <v>12.265346857544058</v>
      </c>
      <c r="J140" s="229">
        <v>94.13558515987647</v>
      </c>
      <c r="K140" s="229">
        <v>72.990814901569919</v>
      </c>
      <c r="N140" s="195">
        <f t="shared" si="21"/>
        <v>39.681043297036695</v>
      </c>
      <c r="O140" s="195">
        <f t="shared" si="23"/>
        <v>129.96260133166209</v>
      </c>
      <c r="P140" s="195">
        <f t="shared" si="22"/>
        <v>312.65882435470797</v>
      </c>
      <c r="Q140" s="195">
        <f t="shared" si="24"/>
        <v>482.30246898340675</v>
      </c>
      <c r="R140" s="196">
        <f t="shared" si="25"/>
        <v>8.2274186530033891E-2</v>
      </c>
      <c r="AC140" s="251"/>
    </row>
    <row r="141" spans="1:29" ht="15.6" x14ac:dyDescent="0.3">
      <c r="A141" s="194">
        <v>2018</v>
      </c>
      <c r="B141" s="229">
        <v>466.48865568267081</v>
      </c>
      <c r="C141" s="229">
        <v>268.47112544911755</v>
      </c>
      <c r="D141" s="229">
        <v>26.787807244991996</v>
      </c>
      <c r="E141" s="229">
        <v>165.54125401961522</v>
      </c>
      <c r="F141" s="229">
        <v>11.398145440062395</v>
      </c>
      <c r="G141" s="229">
        <v>25.607155974260305</v>
      </c>
      <c r="H141" s="229">
        <v>138.41066107933082</v>
      </c>
      <c r="I141" s="229">
        <v>13.050637172646038</v>
      </c>
      <c r="J141" s="229">
        <v>94.557354393598104</v>
      </c>
      <c r="K141" s="229">
        <v>72.46260476750102</v>
      </c>
      <c r="N141" s="195">
        <f t="shared" si="21"/>
        <v>38.528738380346795</v>
      </c>
      <c r="O141" s="195">
        <f t="shared" si="23"/>
        <v>138.41066107933082</v>
      </c>
      <c r="P141" s="195">
        <f t="shared" si="22"/>
        <v>320.86608866836985</v>
      </c>
      <c r="Q141" s="195">
        <f t="shared" si="24"/>
        <v>497.8054881280475</v>
      </c>
      <c r="R141" s="196">
        <f t="shared" si="25"/>
        <v>7.7397174798595786E-2</v>
      </c>
      <c r="AC141" s="251"/>
    </row>
    <row r="142" spans="1:29" ht="16.2" thickBot="1" x14ac:dyDescent="0.35">
      <c r="A142" s="198">
        <v>2019</v>
      </c>
      <c r="B142" s="230">
        <v>475.83497539318256</v>
      </c>
      <c r="C142" s="230">
        <v>275.24994799405289</v>
      </c>
      <c r="D142" s="230">
        <v>27.677999214155445</v>
      </c>
      <c r="E142" s="230">
        <v>172.46948281785058</v>
      </c>
      <c r="F142" s="230">
        <v>11.815755010662649</v>
      </c>
      <c r="G142" s="230">
        <v>26.266473235265252</v>
      </c>
      <c r="H142" s="230">
        <v>146.90803544768647</v>
      </c>
      <c r="I142" s="230">
        <v>13.857366827314374</v>
      </c>
      <c r="J142" s="230">
        <v>94.962847081010011</v>
      </c>
      <c r="K142" s="230">
        <v>71.94761487736227</v>
      </c>
      <c r="N142" s="195">
        <f t="shared" si="21"/>
        <v>37.377202380826759</v>
      </c>
      <c r="O142" s="195">
        <f t="shared" si="23"/>
        <v>146.90803544768647</v>
      </c>
      <c r="P142" s="195">
        <f t="shared" si="22"/>
        <v>329.19442044347358</v>
      </c>
      <c r="Q142" s="195">
        <f t="shared" si="24"/>
        <v>513.47965827198686</v>
      </c>
      <c r="R142" s="199">
        <f t="shared" si="25"/>
        <v>7.2791982659278581E-2</v>
      </c>
      <c r="AC142" s="251"/>
    </row>
    <row r="143" spans="1:29" ht="15.6" x14ac:dyDescent="0.3">
      <c r="A143" s="201">
        <v>2020</v>
      </c>
      <c r="B143" s="228">
        <v>485.53456967180978</v>
      </c>
      <c r="C143" s="228">
        <v>282.16443260683286</v>
      </c>
      <c r="D143" s="228">
        <v>28.545483802368999</v>
      </c>
      <c r="E143" s="228">
        <v>179.4466141496539</v>
      </c>
      <c r="F143" s="228">
        <v>12.241225491668368</v>
      </c>
      <c r="G143" s="228">
        <v>26.939451005364802</v>
      </c>
      <c r="H143" s="228">
        <v>155.45894463761272</v>
      </c>
      <c r="I143" s="228">
        <v>14.691703830262835</v>
      </c>
      <c r="J143" s="228">
        <v>95.353031253058845</v>
      </c>
      <c r="K143" s="228">
        <v>71.44584523115364</v>
      </c>
      <c r="L143" s="202"/>
      <c r="M143" s="202"/>
      <c r="N143" s="195">
        <f t="shared" si="21"/>
        <v>36.228895003709539</v>
      </c>
      <c r="O143" s="195">
        <f t="shared" si="23"/>
        <v>155.45894463761272</v>
      </c>
      <c r="P143" s="195">
        <f t="shared" si="22"/>
        <v>337.64936741456665</v>
      </c>
      <c r="Q143" s="195">
        <f t="shared" si="24"/>
        <v>529.33720705588894</v>
      </c>
      <c r="R143" s="220">
        <f t="shared" si="25"/>
        <v>6.8441995991950721E-2</v>
      </c>
      <c r="AC143" s="251"/>
    </row>
    <row r="144" spans="1:29" ht="15.6" x14ac:dyDescent="0.3">
      <c r="A144" s="206">
        <v>2021</v>
      </c>
      <c r="B144" s="229">
        <v>495.58514309047166</v>
      </c>
      <c r="C144" s="229">
        <v>289.21771516161647</v>
      </c>
      <c r="D144" s="229">
        <v>29.392286846559543</v>
      </c>
      <c r="E144" s="229">
        <v>186.47910080961734</v>
      </c>
      <c r="F144" s="229">
        <v>12.674783994604038</v>
      </c>
      <c r="G144" s="229">
        <v>27.62647530802057</v>
      </c>
      <c r="H144" s="229">
        <v>164.06760884999338</v>
      </c>
      <c r="I144" s="229">
        <v>15.559816190205185</v>
      </c>
      <c r="J144" s="229">
        <v>95.728874940691256</v>
      </c>
      <c r="K144" s="229">
        <v>70.957295828875147</v>
      </c>
      <c r="L144" s="170"/>
      <c r="M144" s="170"/>
      <c r="N144" s="195">
        <f t="shared" si="21"/>
        <v>35.086275954228</v>
      </c>
      <c r="O144" s="195">
        <f t="shared" si="23"/>
        <v>164.06760884999338</v>
      </c>
      <c r="P144" s="195">
        <f t="shared" si="22"/>
        <v>346.23647731619661</v>
      </c>
      <c r="Q144" s="195">
        <f t="shared" si="24"/>
        <v>545.39036212041799</v>
      </c>
      <c r="R144" s="221">
        <f t="shared" si="25"/>
        <v>6.4332409208362987E-2</v>
      </c>
      <c r="AC144" s="251"/>
    </row>
    <row r="145" spans="1:29" ht="15.6" x14ac:dyDescent="0.3">
      <c r="A145" s="206">
        <v>2022</v>
      </c>
      <c r="B145" s="229">
        <v>505.98440022108753</v>
      </c>
      <c r="C145" s="229">
        <v>296.41293153256265</v>
      </c>
      <c r="D145" s="229">
        <v>30.220434183653975</v>
      </c>
      <c r="E145" s="229">
        <v>193.57339559233304</v>
      </c>
      <c r="F145" s="229">
        <v>13.116657630994141</v>
      </c>
      <c r="G145" s="229">
        <v>28.327932166694161</v>
      </c>
      <c r="H145" s="229">
        <v>172.73824828571216</v>
      </c>
      <c r="I145" s="229">
        <v>16.467871915855191</v>
      </c>
      <c r="J145" s="229">
        <v>96.091346174853882</v>
      </c>
      <c r="K145" s="229">
        <v>70.481966670526774</v>
      </c>
      <c r="L145" s="170"/>
      <c r="M145" s="170"/>
      <c r="N145" s="195">
        <f t="shared" si="21"/>
        <v>33.951804937615037</v>
      </c>
      <c r="O145" s="195">
        <f t="shared" si="23"/>
        <v>172.73824828571216</v>
      </c>
      <c r="P145" s="195">
        <f t="shared" si="22"/>
        <v>354.9612978829108</v>
      </c>
      <c r="Q145" s="195">
        <f t="shared" si="24"/>
        <v>561.65135110623805</v>
      </c>
      <c r="R145" s="221">
        <f t="shared" si="25"/>
        <v>6.0449965749646971E-2</v>
      </c>
      <c r="AC145" s="251"/>
    </row>
    <row r="146" spans="1:29" ht="15.6" x14ac:dyDescent="0.3">
      <c r="A146" s="206">
        <v>2023</v>
      </c>
      <c r="B146" s="229">
        <v>516.73004563557674</v>
      </c>
      <c r="C146" s="229">
        <v>303.7532175938303</v>
      </c>
      <c r="D146" s="229">
        <v>31.031951650579185</v>
      </c>
      <c r="E146" s="229">
        <v>200.73595129239311</v>
      </c>
      <c r="F146" s="229">
        <v>13.567073512363159</v>
      </c>
      <c r="G146" s="229">
        <v>29.044207604847184</v>
      </c>
      <c r="H146" s="229">
        <v>181.47508314565283</v>
      </c>
      <c r="I146" s="229">
        <v>17.422039015926618</v>
      </c>
      <c r="J146" s="229">
        <v>96.441412986493404</v>
      </c>
      <c r="K146" s="229">
        <v>70.01985775610855</v>
      </c>
      <c r="L146" s="170"/>
      <c r="M146" s="170"/>
      <c r="N146" s="195">
        <f t="shared" si="21"/>
        <v>32.827941659103431</v>
      </c>
      <c r="O146" s="195">
        <f t="shared" si="23"/>
        <v>181.47508314565283</v>
      </c>
      <c r="P146" s="195">
        <f t="shared" si="22"/>
        <v>363.82937684925668</v>
      </c>
      <c r="Q146" s="195">
        <f>N146+P146+O146</f>
        <v>578.13240165401294</v>
      </c>
      <c r="R146" s="221">
        <f t="shared" si="25"/>
        <v>5.6782739672061357E-2</v>
      </c>
      <c r="AC146" s="251"/>
    </row>
    <row r="147" spans="1:29" ht="15.6" x14ac:dyDescent="0.3">
      <c r="A147" s="206">
        <v>2024</v>
      </c>
      <c r="B147" s="229">
        <v>527.81978390585846</v>
      </c>
      <c r="C147" s="229">
        <v>311.24170921957841</v>
      </c>
      <c r="D147" s="229">
        <v>31.828865084262066</v>
      </c>
      <c r="E147" s="229">
        <v>207.97322070438975</v>
      </c>
      <c r="F147" s="229">
        <v>14.026258750235577</v>
      </c>
      <c r="G147" s="229">
        <v>29.775687645941247</v>
      </c>
      <c r="H147" s="229">
        <v>190.2823336306991</v>
      </c>
      <c r="I147" s="229">
        <v>18.428485499133231</v>
      </c>
      <c r="J147" s="229">
        <v>96.780043406556445</v>
      </c>
      <c r="K147" s="229">
        <v>69.570969085620447</v>
      </c>
      <c r="L147" s="170"/>
      <c r="M147" s="170"/>
      <c r="N147" s="195">
        <f t="shared" si="21"/>
        <v>31.717145823926217</v>
      </c>
      <c r="O147" s="195">
        <f t="shared" si="23"/>
        <v>190.2823336306991</v>
      </c>
      <c r="P147" s="195">
        <f t="shared" si="22"/>
        <v>372.84626194978171</v>
      </c>
      <c r="Q147" s="195">
        <f t="shared" si="24"/>
        <v>594.84574140440702</v>
      </c>
      <c r="R147" s="221">
        <f t="shared" si="25"/>
        <v>5.3319951066714041E-2</v>
      </c>
      <c r="AC147" s="251"/>
    </row>
    <row r="148" spans="1:29" ht="15.6" x14ac:dyDescent="0.3">
      <c r="A148" s="206">
        <v>2025</v>
      </c>
      <c r="B148" s="229">
        <v>539.25131960385215</v>
      </c>
      <c r="C148" s="229">
        <v>318.88154228396593</v>
      </c>
      <c r="D148" s="229">
        <v>32.613200321629513</v>
      </c>
      <c r="E148" s="229">
        <v>215.29165662291507</v>
      </c>
      <c r="F148" s="229">
        <v>14.49444045613588</v>
      </c>
      <c r="G148" s="229">
        <v>30.522758313437961</v>
      </c>
      <c r="H148" s="229">
        <v>199.16421994173476</v>
      </c>
      <c r="I148" s="229">
        <v>19.493379374188795</v>
      </c>
      <c r="J148" s="229">
        <v>97.108205465989656</v>
      </c>
      <c r="K148" s="229">
        <v>69.13530065906248</v>
      </c>
      <c r="L148" s="170"/>
      <c r="M148" s="170"/>
      <c r="N148" s="195">
        <f t="shared" si="21"/>
        <v>30.621877137316204</v>
      </c>
      <c r="O148" s="195">
        <f t="shared" si="23"/>
        <v>199.16421994173476</v>
      </c>
      <c r="P148" s="195">
        <f t="shared" si="22"/>
        <v>382.01750091903341</v>
      </c>
      <c r="Q148" s="195">
        <f t="shared" si="24"/>
        <v>611.80359799808434</v>
      </c>
      <c r="R148" s="221">
        <f t="shared" si="25"/>
        <v>5.0051809498204501E-2</v>
      </c>
      <c r="AC148" s="251"/>
    </row>
    <row r="149" spans="1:29" ht="15.6" x14ac:dyDescent="0.3">
      <c r="A149" s="206">
        <v>2026</v>
      </c>
      <c r="B149" s="229">
        <v>551.02235730147686</v>
      </c>
      <c r="C149" s="229">
        <v>326.67585266115179</v>
      </c>
      <c r="D149" s="229">
        <v>33.386983199608423</v>
      </c>
      <c r="E149" s="229">
        <v>222.6977118425612</v>
      </c>
      <c r="F149" s="229">
        <v>14.971845741588552</v>
      </c>
      <c r="G149" s="229">
        <v>31.285805630798933</v>
      </c>
      <c r="H149" s="229">
        <v>208.12496227964354</v>
      </c>
      <c r="I149" s="229">
        <v>20.622888649807081</v>
      </c>
      <c r="J149" s="229">
        <v>97.426867195739689</v>
      </c>
      <c r="K149" s="229">
        <v>68.712852476434648</v>
      </c>
      <c r="L149" s="170"/>
      <c r="M149" s="170"/>
      <c r="N149" s="195">
        <f t="shared" si="21"/>
        <v>29.544595304506203</v>
      </c>
      <c r="O149" s="195">
        <f t="shared" si="23"/>
        <v>208.12496227964354</v>
      </c>
      <c r="P149" s="195">
        <f t="shared" si="22"/>
        <v>391.34864149155919</v>
      </c>
      <c r="Q149" s="195">
        <f t="shared" si="24"/>
        <v>629.01819907570894</v>
      </c>
      <c r="R149" s="221">
        <f t="shared" si="25"/>
        <v>4.6969380771366524E-2</v>
      </c>
      <c r="AC149" s="251"/>
    </row>
    <row r="150" spans="1:29" ht="15.6" x14ac:dyDescent="0.3">
      <c r="A150" s="206">
        <v>2027</v>
      </c>
      <c r="B150" s="229">
        <v>563.13060157065206</v>
      </c>
      <c r="C150" s="229">
        <v>334.62777622529495</v>
      </c>
      <c r="D150" s="229">
        <v>34.152239555125682</v>
      </c>
      <c r="E150" s="229">
        <v>230.19783915792033</v>
      </c>
      <c r="F150" s="229">
        <v>15.458701718118075</v>
      </c>
      <c r="G150" s="229">
        <v>32.06521562148577</v>
      </c>
      <c r="H150" s="229">
        <v>217.16878084530919</v>
      </c>
      <c r="I150" s="229">
        <v>21.82318133470185</v>
      </c>
      <c r="J150" s="229">
        <v>97.736996626753211</v>
      </c>
      <c r="K150" s="229">
        <v>68.303624537736937</v>
      </c>
      <c r="L150" s="170"/>
      <c r="M150" s="170"/>
      <c r="N150" s="195">
        <f t="shared" si="21"/>
        <v>28.48776003072922</v>
      </c>
      <c r="O150" s="195">
        <f t="shared" si="23"/>
        <v>217.16878084530919</v>
      </c>
      <c r="P150" s="195">
        <f t="shared" si="22"/>
        <v>400.8452314019064</v>
      </c>
      <c r="Q150" s="195">
        <f t="shared" si="24"/>
        <v>646.50177227794484</v>
      </c>
      <c r="R150" s="221">
        <f t="shared" si="25"/>
        <v>4.4064473219234623E-2</v>
      </c>
      <c r="AC150" s="251"/>
    </row>
    <row r="151" spans="1:29" ht="15.6" x14ac:dyDescent="0.3">
      <c r="A151" s="206">
        <v>2028</v>
      </c>
      <c r="B151" s="229">
        <v>575.5737569832969</v>
      </c>
      <c r="C151" s="229">
        <v>342.74044885055434</v>
      </c>
      <c r="D151" s="229">
        <v>34.910995225108181</v>
      </c>
      <c r="E151" s="229">
        <v>237.79849136358459</v>
      </c>
      <c r="F151" s="229">
        <v>15.955235497248932</v>
      </c>
      <c r="G151" s="229">
        <v>32.86137430896008</v>
      </c>
      <c r="H151" s="229">
        <v>226.29989583961549</v>
      </c>
      <c r="I151" s="229">
        <v>23.100425437586864</v>
      </c>
      <c r="J151" s="229">
        <v>98.039561789976844</v>
      </c>
      <c r="K151" s="229">
        <v>67.907616842969375</v>
      </c>
      <c r="L151" s="170"/>
      <c r="M151" s="170"/>
      <c r="N151" s="195">
        <f t="shared" si="21"/>
        <v>27.453831021218036</v>
      </c>
      <c r="O151" s="195">
        <f t="shared" si="23"/>
        <v>226.29989583961549</v>
      </c>
      <c r="P151" s="195">
        <f t="shared" si="22"/>
        <v>410.51281838462262</v>
      </c>
      <c r="Q151" s="195">
        <f t="shared" si="24"/>
        <v>664.2665452454562</v>
      </c>
      <c r="R151" s="221">
        <f t="shared" si="25"/>
        <v>4.1329540404708237E-2</v>
      </c>
      <c r="AC151" s="251"/>
    </row>
    <row r="152" spans="1:29" ht="15.6" x14ac:dyDescent="0.3">
      <c r="A152" s="206">
        <v>2029</v>
      </c>
      <c r="B152" s="229">
        <v>588.34952811133076</v>
      </c>
      <c r="C152" s="229">
        <v>351.01700641108903</v>
      </c>
      <c r="D152" s="229">
        <v>35.66527604648283</v>
      </c>
      <c r="E152" s="229">
        <v>245.50612125414614</v>
      </c>
      <c r="F152" s="229">
        <v>16.461674190505608</v>
      </c>
      <c r="G152" s="229">
        <v>33.67466771668348</v>
      </c>
      <c r="H152" s="229">
        <v>235.52252746344612</v>
      </c>
      <c r="I152" s="229">
        <v>24.460788967175901</v>
      </c>
      <c r="J152" s="229">
        <v>98.335530716357255</v>
      </c>
      <c r="K152" s="229">
        <v>67.524829392131934</v>
      </c>
      <c r="L152" s="170"/>
      <c r="M152" s="170"/>
      <c r="N152" s="195">
        <f t="shared" si="21"/>
        <v>26.445267981205632</v>
      </c>
      <c r="O152" s="195">
        <f t="shared" si="23"/>
        <v>235.52252746344612</v>
      </c>
      <c r="P152" s="195">
        <f t="shared" si="22"/>
        <v>420.35695017425536</v>
      </c>
      <c r="Q152" s="195">
        <f t="shared" si="24"/>
        <v>682.32474561890717</v>
      </c>
      <c r="R152" s="221">
        <f t="shared" si="25"/>
        <v>3.8757597684982506E-2</v>
      </c>
      <c r="AC152" s="251"/>
    </row>
    <row r="153" spans="1:29" ht="15.6" x14ac:dyDescent="0.3">
      <c r="A153" s="206">
        <v>2030</v>
      </c>
      <c r="B153" s="229">
        <v>601.45561952667276</v>
      </c>
      <c r="C153" s="229">
        <v>359.46058478105783</v>
      </c>
      <c r="D153" s="229">
        <v>36.4171078561765</v>
      </c>
      <c r="E153" s="229">
        <v>253.32718162419707</v>
      </c>
      <c r="F153" s="229">
        <v>16.978244909412588</v>
      </c>
      <c r="G153" s="229">
        <v>34.505481868117563</v>
      </c>
      <c r="H153" s="229">
        <v>244.84089591768486</v>
      </c>
      <c r="I153" s="229">
        <v>25.910439932182719</v>
      </c>
      <c r="J153" s="229">
        <v>98.625871436841095</v>
      </c>
      <c r="K153" s="229">
        <v>67.155262185224629</v>
      </c>
      <c r="L153" s="170"/>
      <c r="M153" s="170"/>
      <c r="N153" s="195">
        <f t="shared" si="21"/>
        <v>25.464530615924787</v>
      </c>
      <c r="O153" s="195">
        <f t="shared" si="23"/>
        <v>244.84089591768486</v>
      </c>
      <c r="P153" s="195">
        <f t="shared" si="22"/>
        <v>430.38317450535186</v>
      </c>
      <c r="Q153" s="195">
        <f t="shared" si="24"/>
        <v>700.68860103896145</v>
      </c>
      <c r="R153" s="221">
        <f t="shared" si="25"/>
        <v>3.6342150533299235E-2</v>
      </c>
      <c r="AC153" s="251"/>
    </row>
    <row r="154" spans="1:29" ht="15.6" x14ac:dyDescent="0.3">
      <c r="A154" s="206">
        <v>2031</v>
      </c>
      <c r="B154" s="229">
        <v>614.88973580124252</v>
      </c>
      <c r="C154" s="229">
        <v>368.07431983461981</v>
      </c>
      <c r="D154" s="229">
        <v>37.168516491116101</v>
      </c>
      <c r="E154" s="229">
        <v>261.26812526832958</v>
      </c>
      <c r="F154" s="229">
        <v>17.505174765494353</v>
      </c>
      <c r="G154" s="229">
        <v>35.354202786723953</v>
      </c>
      <c r="H154" s="229">
        <v>254.25922140321552</v>
      </c>
      <c r="I154" s="229">
        <v>27.455546341321089</v>
      </c>
      <c r="J154" s="229">
        <v>98.911551982375002</v>
      </c>
      <c r="K154" s="229">
        <v>66.798915222247444</v>
      </c>
      <c r="L154" s="170"/>
      <c r="M154" s="170"/>
      <c r="N154" s="195">
        <f t="shared" si="21"/>
        <v>24.514078630608424</v>
      </c>
      <c r="O154" s="195">
        <f t="shared" si="23"/>
        <v>254.25922140321552</v>
      </c>
      <c r="P154" s="195">
        <f t="shared" si="22"/>
        <v>440.59703911245987</v>
      </c>
      <c r="Q154" s="195">
        <f t="shared" si="24"/>
        <v>719.37033914628387</v>
      </c>
      <c r="R154" s="221">
        <f t="shared" si="25"/>
        <v>3.4077132871089211E-2</v>
      </c>
      <c r="AC154" s="251"/>
    </row>
    <row r="155" spans="1:29" ht="15.6" x14ac:dyDescent="0.3">
      <c r="A155" s="206">
        <v>2032</v>
      </c>
      <c r="B155" s="229">
        <v>628.64958150695884</v>
      </c>
      <c r="C155" s="229">
        <v>376.8613474459338</v>
      </c>
      <c r="D155" s="229">
        <v>37.921527788228516</v>
      </c>
      <c r="E155" s="229">
        <v>269.33540498113581</v>
      </c>
      <c r="F155" s="229">
        <v>18.042690870275386</v>
      </c>
      <c r="G155" s="229">
        <v>36.221216495964256</v>
      </c>
      <c r="H155" s="229">
        <v>263.78172412092175</v>
      </c>
      <c r="I155" s="229">
        <v>29.102276203304768</v>
      </c>
      <c r="J155" s="229">
        <v>99.193540383905642</v>
      </c>
      <c r="K155" s="229">
        <v>66.455788503200409</v>
      </c>
      <c r="L155" s="170"/>
      <c r="M155" s="170"/>
      <c r="N155" s="195">
        <f t="shared" si="21"/>
        <v>23.596371730489466</v>
      </c>
      <c r="O155" s="195">
        <f t="shared" si="23"/>
        <v>263.78172412092175</v>
      </c>
      <c r="P155" s="195">
        <f t="shared" si="22"/>
        <v>451.00409173012656</v>
      </c>
      <c r="Q155" s="195">
        <f t="shared" si="24"/>
        <v>738.38218758153778</v>
      </c>
      <c r="R155" s="221">
        <f t="shared" si="25"/>
        <v>3.1956853953608914E-2</v>
      </c>
      <c r="AC155" s="251"/>
    </row>
    <row r="156" spans="1:29" ht="15.6" x14ac:dyDescent="0.3">
      <c r="A156" s="206">
        <v>2033</v>
      </c>
      <c r="B156" s="229">
        <v>642.73286121574142</v>
      </c>
      <c r="C156" s="229">
        <v>385.82480348915885</v>
      </c>
      <c r="D156" s="229">
        <v>38.678167584440651</v>
      </c>
      <c r="E156" s="229">
        <v>277.53547355720787</v>
      </c>
      <c r="F156" s="229">
        <v>18.59102033528017</v>
      </c>
      <c r="G156" s="229">
        <v>37.106909019300069</v>
      </c>
      <c r="H156" s="229">
        <v>273.41262427168732</v>
      </c>
      <c r="I156" s="229">
        <v>30.856797526847522</v>
      </c>
      <c r="J156" s="229">
        <v>99.472804672379652</v>
      </c>
      <c r="K156" s="229">
        <v>66.125882028083495</v>
      </c>
      <c r="L156" s="170"/>
      <c r="M156" s="170"/>
      <c r="N156" s="195">
        <f t="shared" si="21"/>
        <v>22.713869620800722</v>
      </c>
      <c r="O156" s="195">
        <f t="shared" si="23"/>
        <v>273.41262427168732</v>
      </c>
      <c r="P156" s="195">
        <f t="shared" si="22"/>
        <v>461.60988009289957</v>
      </c>
      <c r="Q156" s="195">
        <f t="shared" si="24"/>
        <v>757.73637398538767</v>
      </c>
      <c r="R156" s="221">
        <f t="shared" si="25"/>
        <v>2.9975952588015446E-2</v>
      </c>
      <c r="AC156" s="251"/>
    </row>
    <row r="157" spans="1:29" ht="15.6" x14ac:dyDescent="0.3">
      <c r="A157" s="206">
        <v>2034</v>
      </c>
      <c r="B157" s="229">
        <v>657.13727949950942</v>
      </c>
      <c r="C157" s="229">
        <v>394.96782383845385</v>
      </c>
      <c r="D157" s="229">
        <v>39.44046171667938</v>
      </c>
      <c r="E157" s="229">
        <v>285.87478379113799</v>
      </c>
      <c r="F157" s="229">
        <v>19.150390272033199</v>
      </c>
      <c r="G157" s="229">
        <v>38.011666380193013</v>
      </c>
      <c r="H157" s="229">
        <v>283.15614205639605</v>
      </c>
      <c r="I157" s="229">
        <v>32.725278320663129</v>
      </c>
      <c r="J157" s="229">
        <v>99.750312878743671</v>
      </c>
      <c r="K157" s="229">
        <v>65.809195796896717</v>
      </c>
      <c r="L157" s="170"/>
      <c r="M157" s="170"/>
      <c r="N157" s="195">
        <f t="shared" si="21"/>
        <v>21.869032006775114</v>
      </c>
      <c r="O157" s="195">
        <f t="shared" si="23"/>
        <v>283.15614205639605</v>
      </c>
      <c r="P157" s="195">
        <f t="shared" si="22"/>
        <v>472.41995193532625</v>
      </c>
      <c r="Q157" s="195">
        <f t="shared" si="24"/>
        <v>777.44512599849736</v>
      </c>
      <c r="R157" s="221">
        <f t="shared" si="25"/>
        <v>2.8129357655549032E-2</v>
      </c>
      <c r="AC157" s="251"/>
    </row>
    <row r="158" spans="1:29" ht="15.6" x14ac:dyDescent="0.3">
      <c r="A158" s="206">
        <v>2035</v>
      </c>
      <c r="B158" s="229">
        <v>671.86054093018208</v>
      </c>
      <c r="C158" s="229">
        <v>404.2935443679778</v>
      </c>
      <c r="D158" s="229">
        <v>40.210436021871615</v>
      </c>
      <c r="E158" s="229">
        <v>294.35978847751824</v>
      </c>
      <c r="F158" s="229">
        <v>19.721027792058941</v>
      </c>
      <c r="G158" s="229">
        <v>38.93587460210469</v>
      </c>
      <c r="H158" s="229">
        <v>293.01649767593159</v>
      </c>
      <c r="I158" s="229">
        <v>34.713886593465347</v>
      </c>
      <c r="J158" s="229">
        <v>100.02703303394438</v>
      </c>
      <c r="K158" s="229">
        <v>65.505729809640073</v>
      </c>
      <c r="L158" s="170"/>
      <c r="M158" s="170"/>
      <c r="N158" s="195">
        <f t="shared" si="21"/>
        <v>21.064318593645567</v>
      </c>
      <c r="O158" s="195">
        <f t="shared" si="23"/>
        <v>293.01649767593159</v>
      </c>
      <c r="P158" s="195">
        <f t="shared" si="22"/>
        <v>483.43985499195412</v>
      </c>
      <c r="Q158" s="195">
        <f t="shared" si="24"/>
        <v>797.52067126153133</v>
      </c>
      <c r="R158" s="221">
        <f t="shared" si="25"/>
        <v>2.6412254067754357E-2</v>
      </c>
      <c r="AC158" s="251"/>
    </row>
    <row r="159" spans="1:29" ht="15.6" x14ac:dyDescent="0.3">
      <c r="A159" s="206">
        <v>2036</v>
      </c>
      <c r="B159" s="229">
        <v>686.90035007967867</v>
      </c>
      <c r="C159" s="229">
        <v>413.80510095188959</v>
      </c>
      <c r="D159" s="229">
        <v>40.99011633694424</v>
      </c>
      <c r="E159" s="229">
        <v>302.99694041094074</v>
      </c>
      <c r="F159" s="229">
        <v>20.303160006881889</v>
      </c>
      <c r="G159" s="229">
        <v>39.879919708496715</v>
      </c>
      <c r="H159" s="229">
        <v>302.99791133117776</v>
      </c>
      <c r="I159" s="229">
        <v>36.828790353967939</v>
      </c>
      <c r="J159" s="229">
        <v>100.30393316892841</v>
      </c>
      <c r="K159" s="229">
        <v>65.215484066313564</v>
      </c>
      <c r="L159" s="170"/>
      <c r="M159" s="170"/>
      <c r="N159" s="195">
        <f t="shared" si="21"/>
        <v>20.302189086644887</v>
      </c>
      <c r="O159" s="195">
        <f t="shared" si="23"/>
        <v>302.99791133117776</v>
      </c>
      <c r="P159" s="195">
        <f t="shared" si="22"/>
        <v>494.67513699733058</v>
      </c>
      <c r="Q159" s="195">
        <f t="shared" si="24"/>
        <v>817.97523741515317</v>
      </c>
      <c r="R159" s="221">
        <f t="shared" si="25"/>
        <v>2.4820053417265935E-2</v>
      </c>
      <c r="AC159" s="251"/>
    </row>
    <row r="160" spans="1:29" ht="15.6" x14ac:dyDescent="0.3">
      <c r="A160" s="206">
        <v>2037</v>
      </c>
      <c r="B160" s="229">
        <v>702.25441151991845</v>
      </c>
      <c r="C160" s="229">
        <v>423.5056294643482</v>
      </c>
      <c r="D160" s="229">
        <v>41.781528498824144</v>
      </c>
      <c r="E160" s="229">
        <v>311.79269238599773</v>
      </c>
      <c r="F160" s="229">
        <v>20.897014028026526</v>
      </c>
      <c r="G160" s="229">
        <v>40.844187722830682</v>
      </c>
      <c r="H160" s="229">
        <v>313.10460322301827</v>
      </c>
      <c r="I160" s="229">
        <v>39.076157610884678</v>
      </c>
      <c r="J160" s="229">
        <v>100.58198131464241</v>
      </c>
      <c r="K160" s="229">
        <v>64.938458566917177</v>
      </c>
      <c r="L160" s="170"/>
      <c r="M160" s="170"/>
      <c r="N160" s="195">
        <f t="shared" si="21"/>
        <v>19.585103191005999</v>
      </c>
      <c r="O160" s="195">
        <f t="shared" si="23"/>
        <v>313.10460322301827</v>
      </c>
      <c r="P160" s="195">
        <f t="shared" si="22"/>
        <v>506.13134568600304</v>
      </c>
      <c r="Q160" s="195">
        <f t="shared" si="24"/>
        <v>838.82105210002737</v>
      </c>
      <c r="R160" s="221">
        <f t="shared" si="25"/>
        <v>2.334836869195615E-2</v>
      </c>
      <c r="AC160" s="251"/>
    </row>
    <row r="161" spans="1:29" ht="15.6" x14ac:dyDescent="0.3">
      <c r="A161" s="206">
        <v>2038</v>
      </c>
      <c r="B161" s="229">
        <v>717.92042982282078</v>
      </c>
      <c r="C161" s="229">
        <v>433.3982657795126</v>
      </c>
      <c r="D161" s="229">
        <v>42.586698344438219</v>
      </c>
      <c r="E161" s="229">
        <v>320.75349719728126</v>
      </c>
      <c r="F161" s="229">
        <v>21.502816967017338</v>
      </c>
      <c r="G161" s="229">
        <v>41.829064668568222</v>
      </c>
      <c r="H161" s="229">
        <v>323.34079355233689</v>
      </c>
      <c r="I161" s="229">
        <v>41.462156372929321</v>
      </c>
      <c r="J161" s="229">
        <v>100.86214550203303</v>
      </c>
      <c r="K161" s="229">
        <v>64.674653311450925</v>
      </c>
      <c r="L161" s="170"/>
      <c r="M161" s="170"/>
      <c r="N161" s="195">
        <f t="shared" si="21"/>
        <v>18.915520611961711</v>
      </c>
      <c r="O161" s="195">
        <f t="shared" si="23"/>
        <v>323.34079355233689</v>
      </c>
      <c r="P161" s="195">
        <f t="shared" si="22"/>
        <v>517.81402879251903</v>
      </c>
      <c r="Q161" s="195">
        <f t="shared" si="24"/>
        <v>860.07034295681763</v>
      </c>
      <c r="R161" s="221">
        <f t="shared" si="25"/>
        <v>2.1992992511440917E-2</v>
      </c>
      <c r="AC161" s="251"/>
    </row>
    <row r="162" spans="1:29" ht="15.6" x14ac:dyDescent="0.3">
      <c r="A162" s="206">
        <v>2039</v>
      </c>
      <c r="B162" s="229">
        <v>733.89610956030492</v>
      </c>
      <c r="C162" s="229">
        <v>443.48614577154177</v>
      </c>
      <c r="D162" s="229">
        <v>43.407651710713381</v>
      </c>
      <c r="E162" s="229">
        <v>329.88580763938353</v>
      </c>
      <c r="F162" s="229">
        <v>22.120795935378801</v>
      </c>
      <c r="G162" s="229">
        <v>42.834936569170928</v>
      </c>
      <c r="H162" s="229">
        <v>333.71070252001738</v>
      </c>
      <c r="I162" s="229">
        <v>43.99295464881564</v>
      </c>
      <c r="J162" s="229">
        <v>101.14539376204692</v>
      </c>
      <c r="K162" s="229">
        <v>64.424068299914808</v>
      </c>
      <c r="L162" s="170"/>
      <c r="M162" s="170"/>
      <c r="N162" s="195">
        <f t="shared" si="21"/>
        <v>18.295901054744945</v>
      </c>
      <c r="O162" s="195">
        <f t="shared" si="23"/>
        <v>333.71070252001738</v>
      </c>
      <c r="P162" s="195">
        <f t="shared" si="22"/>
        <v>529.72873405142604</v>
      </c>
      <c r="Q162" s="195">
        <f t="shared" si="24"/>
        <v>881.73533762618831</v>
      </c>
      <c r="R162" s="221">
        <f t="shared" si="25"/>
        <v>2.0749878420435377E-2</v>
      </c>
      <c r="AC162" s="251"/>
    </row>
    <row r="163" spans="1:29" ht="15.6" x14ac:dyDescent="0.3">
      <c r="A163" s="206">
        <v>2040</v>
      </c>
      <c r="B163" s="229">
        <v>750.17915530429013</v>
      </c>
      <c r="C163" s="229">
        <v>453.77240531459461</v>
      </c>
      <c r="D163" s="229">
        <v>44.246414434576494</v>
      </c>
      <c r="E163" s="229">
        <v>339.1960765068967</v>
      </c>
      <c r="F163" s="229">
        <v>22.751178044635402</v>
      </c>
      <c r="G163" s="229">
        <v>43.862189448100409</v>
      </c>
      <c r="H163" s="229">
        <v>344.21855032694344</v>
      </c>
      <c r="I163" s="229">
        <v>46.674720447257407</v>
      </c>
      <c r="J163" s="229">
        <v>101.43269412563073</v>
      </c>
      <c r="K163" s="229">
        <v>64.186703532308826</v>
      </c>
      <c r="L163" s="170"/>
      <c r="M163" s="170"/>
      <c r="N163" s="195">
        <f t="shared" si="21"/>
        <v>17.728704224588682</v>
      </c>
      <c r="O163" s="195">
        <f t="shared" si="23"/>
        <v>344.21855032694344</v>
      </c>
      <c r="P163" s="195">
        <f t="shared" si="22"/>
        <v>541.88100919727151</v>
      </c>
      <c r="Q163" s="195">
        <f t="shared" si="24"/>
        <v>903.82826374880369</v>
      </c>
      <c r="R163" s="221">
        <f t="shared" si="25"/>
        <v>1.9615124836941292E-2</v>
      </c>
      <c r="AC163" s="251"/>
    </row>
    <row r="164" spans="1:29" ht="15.6" x14ac:dyDescent="0.3">
      <c r="A164" s="206">
        <v>2041</v>
      </c>
      <c r="B164" s="229">
        <v>766.76727162669567</v>
      </c>
      <c r="C164" s="229">
        <v>464.26018028283011</v>
      </c>
      <c r="D164" s="229">
        <v>45.105012352954475</v>
      </c>
      <c r="E164" s="229">
        <v>348.69075659441296</v>
      </c>
      <c r="F164" s="229">
        <v>23.39419040631163</v>
      </c>
      <c r="G164" s="229">
        <v>44.911209328818281</v>
      </c>
      <c r="H164" s="229">
        <v>354.86855717399885</v>
      </c>
      <c r="I164" s="229">
        <v>49.513621776968371</v>
      </c>
      <c r="J164" s="229">
        <v>101.72501462373111</v>
      </c>
      <c r="K164" s="229">
        <v>63.962559008632972</v>
      </c>
      <c r="L164" s="170"/>
      <c r="M164" s="170"/>
      <c r="N164" s="195">
        <f t="shared" si="21"/>
        <v>17.216389826725731</v>
      </c>
      <c r="O164" s="195">
        <f t="shared" si="23"/>
        <v>354.86855717399885</v>
      </c>
      <c r="P164" s="195">
        <f t="shared" si="22"/>
        <v>554.27640196460288</v>
      </c>
      <c r="Q164" s="195">
        <f>N164+P164+O164</f>
        <v>926.36134896532747</v>
      </c>
      <c r="R164" s="221">
        <f>N164/Q164</f>
        <v>1.8584961306897227E-2</v>
      </c>
      <c r="AC164" s="251"/>
    </row>
    <row r="165" spans="1:29" ht="15.6" x14ac:dyDescent="0.3">
      <c r="A165" s="206">
        <v>2042</v>
      </c>
      <c r="B165" s="229">
        <v>783.65816309944091</v>
      </c>
      <c r="C165" s="229">
        <v>474.95260655040715</v>
      </c>
      <c r="D165" s="229">
        <v>45.985471302774201</v>
      </c>
      <c r="E165" s="229">
        <v>358.37630069652425</v>
      </c>
      <c r="F165" s="229">
        <v>24.050060131931957</v>
      </c>
      <c r="G165" s="229">
        <v>45.982382234786144</v>
      </c>
      <c r="H165" s="229">
        <v>365.66494326206731</v>
      </c>
      <c r="I165" s="229">
        <v>52.515826646662312</v>
      </c>
      <c r="J165" s="229">
        <v>102.02332328729473</v>
      </c>
      <c r="K165" s="229">
        <v>63.751634728887254</v>
      </c>
      <c r="L165" s="170"/>
      <c r="M165" s="170"/>
      <c r="N165" s="195">
        <f t="shared" si="21"/>
        <v>16.7614175663889</v>
      </c>
      <c r="O165" s="195">
        <f t="shared" si="23"/>
        <v>365.66494326206731</v>
      </c>
      <c r="P165" s="195">
        <f t="shared" si="22"/>
        <v>566.92046008796751</v>
      </c>
      <c r="Q165" s="195">
        <f t="shared" si="24"/>
        <v>949.34682091642367</v>
      </c>
      <c r="R165" s="221">
        <f t="shared" si="25"/>
        <v>1.7655736762470817E-2</v>
      </c>
      <c r="AC165" s="251"/>
    </row>
    <row r="166" spans="1:29" ht="15.6" x14ac:dyDescent="0.3">
      <c r="A166" s="206">
        <v>2043</v>
      </c>
      <c r="B166" s="229">
        <v>800.84953429444511</v>
      </c>
      <c r="C166" s="229">
        <v>485.85281999148481</v>
      </c>
      <c r="D166" s="229">
        <v>46.889817120962562</v>
      </c>
      <c r="E166" s="229">
        <v>368.25916160782299</v>
      </c>
      <c r="F166" s="229">
        <v>24.71901433302088</v>
      </c>
      <c r="G166" s="229">
        <v>47.076094189465614</v>
      </c>
      <c r="H166" s="229">
        <v>376.61192879203264</v>
      </c>
      <c r="I166" s="229">
        <v>55.687503065052987</v>
      </c>
      <c r="J166" s="229">
        <v>102.32858814726821</v>
      </c>
      <c r="K166" s="229">
        <v>63.553930693071663</v>
      </c>
      <c r="L166" s="170"/>
      <c r="M166" s="170"/>
      <c r="N166" s="195">
        <f t="shared" si="21"/>
        <v>16.366247148811226</v>
      </c>
      <c r="O166" s="195">
        <f t="shared" si="23"/>
        <v>376.61192879203264</v>
      </c>
      <c r="P166" s="195">
        <f t="shared" si="22"/>
        <v>579.81873130191298</v>
      </c>
      <c r="Q166" s="195">
        <f t="shared" si="24"/>
        <v>972.79690724275679</v>
      </c>
      <c r="R166" s="221">
        <f t="shared" si="25"/>
        <v>1.6823909520023904E-2</v>
      </c>
      <c r="AC166" s="251"/>
    </row>
    <row r="167" spans="1:29" ht="15.6" x14ac:dyDescent="0.3">
      <c r="A167" s="206">
        <v>2044</v>
      </c>
      <c r="B167" s="229">
        <v>818.3390897836274</v>
      </c>
      <c r="C167" s="229">
        <v>496.9639564802219</v>
      </c>
      <c r="D167" s="229">
        <v>47.820075644446476</v>
      </c>
      <c r="E167" s="229">
        <v>378.34579212290112</v>
      </c>
      <c r="F167" s="229">
        <v>25.401280121102875</v>
      </c>
      <c r="G167" s="229">
        <v>48.1927312163183</v>
      </c>
      <c r="H167" s="229">
        <v>387.71373396477861</v>
      </c>
      <c r="I167" s="229">
        <v>59.034819040854174</v>
      </c>
      <c r="J167" s="229">
        <v>102.64177723459819</v>
      </c>
      <c r="K167" s="229">
        <v>63.369446901186208</v>
      </c>
      <c r="L167" s="170"/>
      <c r="M167" s="170"/>
      <c r="N167" s="195">
        <f t="shared" si="21"/>
        <v>16.033338279225404</v>
      </c>
      <c r="O167" s="195">
        <f t="shared" si="23"/>
        <v>387.71373396477861</v>
      </c>
      <c r="P167" s="195">
        <f t="shared" si="22"/>
        <v>592.97676334098662</v>
      </c>
      <c r="Q167" s="195">
        <f t="shared" si="24"/>
        <v>996.72383558499064</v>
      </c>
      <c r="R167" s="221">
        <f t="shared" si="25"/>
        <v>1.6086038787078091E-2</v>
      </c>
      <c r="AC167" s="251"/>
    </row>
    <row r="168" spans="1:29" ht="15.6" x14ac:dyDescent="0.3">
      <c r="A168" s="206">
        <v>2045</v>
      </c>
      <c r="B168" s="229">
        <v>836.12453413890728</v>
      </c>
      <c r="C168" s="229">
        <v>508.28915189077748</v>
      </c>
      <c r="D168" s="229">
        <v>48.778272710152805</v>
      </c>
      <c r="E168" s="229">
        <v>388.64264503635081</v>
      </c>
      <c r="F168" s="229">
        <v>26.097084607702428</v>
      </c>
      <c r="G168" s="229">
        <v>49.332679338805804</v>
      </c>
      <c r="H168" s="229">
        <v>398.97457898118887</v>
      </c>
      <c r="I168" s="229">
        <v>62.563942582779625</v>
      </c>
      <c r="J168" s="229">
        <v>102.96385858023136</v>
      </c>
      <c r="K168" s="229">
        <v>63.198183353230881</v>
      </c>
      <c r="L168" s="170"/>
      <c r="M168" s="170"/>
      <c r="N168" s="195">
        <f t="shared" si="21"/>
        <v>15.765150662864357</v>
      </c>
      <c r="O168" s="195">
        <f t="shared" si="23"/>
        <v>398.97457898118887</v>
      </c>
      <c r="P168" s="195">
        <f t="shared" si="22"/>
        <v>606.40010393973603</v>
      </c>
      <c r="Q168" s="195">
        <f t="shared" si="24"/>
        <v>1021.1398335837893</v>
      </c>
      <c r="R168" s="221">
        <f t="shared" si="25"/>
        <v>1.5438777476278672E-2</v>
      </c>
      <c r="AC168" s="251"/>
    </row>
    <row r="169" spans="1:29" ht="15.6" x14ac:dyDescent="0.3">
      <c r="A169" s="206">
        <v>2046</v>
      </c>
      <c r="B169" s="229">
        <v>854.20357193220389</v>
      </c>
      <c r="C169" s="229">
        <v>519.83154209731038</v>
      </c>
      <c r="D169" s="229">
        <v>49.766434155008469</v>
      </c>
      <c r="E169" s="229">
        <v>399.15617314276432</v>
      </c>
      <c r="F169" s="229">
        <v>26.806654904344022</v>
      </c>
      <c r="G169" s="229">
        <v>50.496324580389732</v>
      </c>
      <c r="H169" s="229">
        <v>410.39868404214724</v>
      </c>
      <c r="I169" s="229">
        <v>66.28104169954311</v>
      </c>
      <c r="J169" s="229">
        <v>103.29580021511435</v>
      </c>
      <c r="K169" s="229">
        <v>63.040140049205689</v>
      </c>
      <c r="L169" s="170"/>
      <c r="M169" s="170"/>
      <c r="N169" s="195">
        <f t="shared" si="21"/>
        <v>15.564144004961122</v>
      </c>
      <c r="O169" s="195">
        <f t="shared" si="23"/>
        <v>410.39868404214724</v>
      </c>
      <c r="P169" s="195">
        <f t="shared" si="22"/>
        <v>620.09430083270854</v>
      </c>
      <c r="Q169" s="195">
        <f t="shared" si="24"/>
        <v>1046.0571288798169</v>
      </c>
      <c r="R169" s="221">
        <f t="shared" si="25"/>
        <v>1.4878866149144432E-2</v>
      </c>
      <c r="AC169" s="251"/>
    </row>
    <row r="170" spans="1:29" ht="15.6" x14ac:dyDescent="0.3">
      <c r="A170" s="206">
        <v>2047</v>
      </c>
      <c r="B170" s="229">
        <v>872.57390773543648</v>
      </c>
      <c r="C170" s="229">
        <v>531.59426297397977</v>
      </c>
      <c r="D170" s="229">
        <v>50.786585815940342</v>
      </c>
      <c r="E170" s="229">
        <v>409.89282923673375</v>
      </c>
      <c r="F170" s="229">
        <v>27.530218122552135</v>
      </c>
      <c r="G170" s="229">
        <v>51.684052964531702</v>
      </c>
      <c r="H170" s="229">
        <v>421.99026934853737</v>
      </c>
      <c r="I170" s="229">
        <v>70.192284399858394</v>
      </c>
      <c r="J170" s="229">
        <v>103.63857017019382</v>
      </c>
      <c r="K170" s="229">
        <v>62.895316989110626</v>
      </c>
      <c r="L170" s="170"/>
      <c r="M170" s="170"/>
      <c r="N170" s="195">
        <f t="shared" si="21"/>
        <v>15.432778010748507</v>
      </c>
      <c r="O170" s="195">
        <f t="shared" si="23"/>
        <v>421.99026934853737</v>
      </c>
      <c r="P170" s="195">
        <f t="shared" si="22"/>
        <v>634.06490175445185</v>
      </c>
      <c r="Q170" s="195">
        <f t="shared" si="24"/>
        <v>1071.4879491137376</v>
      </c>
      <c r="R170" s="221">
        <f t="shared" si="25"/>
        <v>1.4403127933929128E-2</v>
      </c>
      <c r="AC170" s="251"/>
    </row>
    <row r="171" spans="1:29" ht="15.6" x14ac:dyDescent="0.3">
      <c r="A171" s="206">
        <v>2048</v>
      </c>
      <c r="B171" s="229">
        <v>891.23324612052454</v>
      </c>
      <c r="C171" s="229">
        <v>543.58045039494436</v>
      </c>
      <c r="D171" s="229">
        <v>51.840753529875322</v>
      </c>
      <c r="E171" s="229">
        <v>420.85906611285117</v>
      </c>
      <c r="F171" s="229">
        <v>28.268001373851263</v>
      </c>
      <c r="G171" s="229">
        <v>52.896250514693321</v>
      </c>
      <c r="H171" s="229">
        <v>433.75355510124319</v>
      </c>
      <c r="I171" s="229">
        <v>74.303838692439257</v>
      </c>
      <c r="J171" s="229">
        <v>103.99313647641638</v>
      </c>
      <c r="K171" s="229">
        <v>62.763714172945697</v>
      </c>
      <c r="L171" s="170"/>
      <c r="M171" s="170"/>
      <c r="N171" s="195">
        <f t="shared" si="21"/>
        <v>15.373512385459264</v>
      </c>
      <c r="O171" s="195">
        <f t="shared" si="23"/>
        <v>433.75355510124319</v>
      </c>
      <c r="P171" s="195">
        <f t="shared" si="22"/>
        <v>648.31745443951297</v>
      </c>
      <c r="Q171" s="195">
        <f t="shared" si="24"/>
        <v>1097.4445219262154</v>
      </c>
      <c r="R171" s="221">
        <f t="shared" si="25"/>
        <v>1.4008464280705455E-2</v>
      </c>
      <c r="AC171" s="251"/>
    </row>
    <row r="172" spans="1:29" ht="15.6" x14ac:dyDescent="0.3">
      <c r="A172" s="206">
        <v>2049</v>
      </c>
      <c r="B172" s="229">
        <v>910.17929165938722</v>
      </c>
      <c r="C172" s="229">
        <v>555.79324023436322</v>
      </c>
      <c r="D172" s="229">
        <v>52.93096313374032</v>
      </c>
      <c r="E172" s="229">
        <v>432.06133656570881</v>
      </c>
      <c r="F172" s="229">
        <v>29.020231769765878</v>
      </c>
      <c r="G172" s="229">
        <v>54.133303254336198</v>
      </c>
      <c r="H172" s="229">
        <v>445.69276150114825</v>
      </c>
      <c r="I172" s="229">
        <v>78.621872585999441</v>
      </c>
      <c r="J172" s="229">
        <v>104.36046716472873</v>
      </c>
      <c r="K172" s="229">
        <v>62.645331600710904</v>
      </c>
      <c r="L172" s="170"/>
      <c r="M172" s="170"/>
      <c r="N172" s="195">
        <f t="shared" si="21"/>
        <v>15.388806834326431</v>
      </c>
      <c r="O172" s="195">
        <f t="shared" si="23"/>
        <v>445.69276150114825</v>
      </c>
      <c r="P172" s="195">
        <f t="shared" si="22"/>
        <v>662.8575066224397</v>
      </c>
      <c r="Q172" s="195">
        <f t="shared" si="24"/>
        <v>1123.9390749579143</v>
      </c>
      <c r="R172" s="221">
        <f t="shared" si="25"/>
        <v>1.3691851433230633E-2</v>
      </c>
      <c r="AC172" s="251"/>
    </row>
    <row r="173" spans="1:29" ht="16.2" thickBot="1" x14ac:dyDescent="0.35">
      <c r="A173" s="208">
        <v>2050</v>
      </c>
      <c r="B173" s="231">
        <v>929.40974892394365</v>
      </c>
      <c r="C173" s="231">
        <v>568.23576836639529</v>
      </c>
      <c r="D173" s="231">
        <v>54.059240464462199</v>
      </c>
      <c r="E173" s="231">
        <v>443.50609338989881</v>
      </c>
      <c r="F173" s="231">
        <v>29.78713642182047</v>
      </c>
      <c r="G173" s="231">
        <v>55.395597206921941</v>
      </c>
      <c r="H173" s="231">
        <v>457.81210874913648</v>
      </c>
      <c r="I173" s="231">
        <v>83.152554089252732</v>
      </c>
      <c r="J173" s="231">
        <v>104.74153026607749</v>
      </c>
      <c r="K173" s="231">
        <v>62.540169272406239</v>
      </c>
      <c r="L173" s="209"/>
      <c r="M173" s="209"/>
      <c r="N173" s="195">
        <f t="shared" si="21"/>
        <v>15.481121062582815</v>
      </c>
      <c r="O173" s="195">
        <f t="shared" si="23"/>
        <v>457.81210874913648</v>
      </c>
      <c r="P173" s="195">
        <f t="shared" si="22"/>
        <v>677.69060603777939</v>
      </c>
      <c r="Q173" s="195">
        <f t="shared" si="24"/>
        <v>1150.9838358494987</v>
      </c>
      <c r="R173" s="222">
        <f t="shared" si="25"/>
        <v>1.3450337511609596E-2</v>
      </c>
      <c r="AC173" s="251"/>
    </row>
    <row r="174" spans="1:29" ht="15.6" x14ac:dyDescent="0.3">
      <c r="A174" s="213">
        <v>2051</v>
      </c>
      <c r="B174" s="227">
        <v>948.92232248611333</v>
      </c>
      <c r="C174" s="227">
        <v>580.91117066519951</v>
      </c>
      <c r="D174" s="227">
        <v>55.227611358967863</v>
      </c>
      <c r="E174" s="227">
        <v>455.19978938001321</v>
      </c>
      <c r="F174" s="227">
        <v>30.568942441539519</v>
      </c>
      <c r="G174" s="227">
        <v>56.683518395912152</v>
      </c>
      <c r="H174" s="227">
        <v>470.11581704609148</v>
      </c>
      <c r="I174" s="227">
        <v>87.902051210912902</v>
      </c>
      <c r="J174" s="227">
        <v>105.13729381140934</v>
      </c>
      <c r="K174" s="227">
        <v>62.448227188031709</v>
      </c>
      <c r="N174" s="195">
        <f t="shared" si="21"/>
        <v>15.652914775461227</v>
      </c>
      <c r="O174" s="195">
        <f t="shared" si="23"/>
        <v>470.11581704609148</v>
      </c>
      <c r="P174" s="195">
        <f t="shared" si="22"/>
        <v>692.8223004200795</v>
      </c>
      <c r="Q174" s="195">
        <f t="shared" si="24"/>
        <v>1178.5910322416321</v>
      </c>
      <c r="R174" s="214">
        <f t="shared" si="25"/>
        <v>1.328104011252319E-2</v>
      </c>
      <c r="AC174" s="251"/>
    </row>
    <row r="175" spans="1:29" ht="15.6" x14ac:dyDescent="0.3">
      <c r="A175" s="194">
        <v>2052</v>
      </c>
      <c r="B175" s="229">
        <v>968.71471691781551</v>
      </c>
      <c r="C175" s="229">
        <v>593.82258300493481</v>
      </c>
      <c r="D175" s="229">
        <v>56.438101654184237</v>
      </c>
      <c r="E175" s="229">
        <v>467.14887733064432</v>
      </c>
      <c r="F175" s="229">
        <v>31.365876940447514</v>
      </c>
      <c r="G175" s="229">
        <v>57.997452844768439</v>
      </c>
      <c r="H175" s="229">
        <v>482.60810659289706</v>
      </c>
      <c r="I175" s="229">
        <v>92.876531959693693</v>
      </c>
      <c r="J175" s="229">
        <v>105.54872583167088</v>
      </c>
      <c r="K175" s="229">
        <v>62.369505347587307</v>
      </c>
      <c r="N175" s="195">
        <f t="shared" si="21"/>
        <v>15.906647678194759</v>
      </c>
      <c r="O175" s="195">
        <f t="shared" si="23"/>
        <v>482.60810659289706</v>
      </c>
      <c r="P175" s="195">
        <f t="shared" si="22"/>
        <v>708.2581375038875</v>
      </c>
      <c r="Q175" s="195">
        <f t="shared" si="24"/>
        <v>1206.7728917749794</v>
      </c>
      <c r="R175" s="196">
        <f t="shared" si="25"/>
        <v>1.3181144345062722E-2</v>
      </c>
      <c r="AC175" s="251"/>
    </row>
    <row r="176" spans="1:29" ht="15.6" x14ac:dyDescent="0.3">
      <c r="A176" s="194">
        <v>2053</v>
      </c>
      <c r="B176" s="229">
        <v>988.78463679096944</v>
      </c>
      <c r="C176" s="229">
        <v>606.97314125976027</v>
      </c>
      <c r="D176" s="229">
        <v>57.692737187038162</v>
      </c>
      <c r="E176" s="229">
        <v>479.3598100363842</v>
      </c>
      <c r="F176" s="229">
        <v>32.178167030068934</v>
      </c>
      <c r="G176" s="229">
        <v>59.337786576952432</v>
      </c>
      <c r="H176" s="229">
        <v>495.29319759043699</v>
      </c>
      <c r="I176" s="229">
        <v>98.082164344308865</v>
      </c>
      <c r="J176" s="229">
        <v>105.9767943578088</v>
      </c>
      <c r="K176" s="229">
        <v>62.30400375107304</v>
      </c>
      <c r="N176" s="195">
        <f t="shared" si="21"/>
        <v>16.244779476016163</v>
      </c>
      <c r="O176" s="195">
        <f t="shared" si="23"/>
        <v>495.29319759043699</v>
      </c>
      <c r="P176" s="195">
        <f t="shared" si="22"/>
        <v>724.00366502375084</v>
      </c>
      <c r="Q176" s="195">
        <f t="shared" si="24"/>
        <v>1235.5416420902038</v>
      </c>
      <c r="R176" s="196">
        <f t="shared" si="25"/>
        <v>1.3147901230212176E-2</v>
      </c>
      <c r="AC176" s="251"/>
    </row>
    <row r="177" spans="1:29" ht="15.6" x14ac:dyDescent="0.3">
      <c r="A177" s="194">
        <v>2054</v>
      </c>
      <c r="B177" s="229">
        <v>1009.1297866774944</v>
      </c>
      <c r="C177" s="229">
        <v>620.3659813038347</v>
      </c>
      <c r="D177" s="229">
        <v>58.993543794456556</v>
      </c>
      <c r="E177" s="229">
        <v>491.83904029182497</v>
      </c>
      <c r="F177" s="229">
        <v>33.006039821928262</v>
      </c>
      <c r="G177" s="229">
        <v>60.704905615925711</v>
      </c>
      <c r="H177" s="229">
        <v>508.17531023959498</v>
      </c>
      <c r="I177" s="229">
        <v>103.5251163734722</v>
      </c>
      <c r="J177" s="229">
        <v>106.42246742076973</v>
      </c>
      <c r="K177" s="229">
        <v>62.251722398488909</v>
      </c>
      <c r="N177" s="195">
        <f t="shared" si="21"/>
        <v>16.669769874158305</v>
      </c>
      <c r="O177" s="195">
        <f t="shared" si="23"/>
        <v>508.17531023959498</v>
      </c>
      <c r="P177" s="195">
        <f t="shared" si="22"/>
        <v>740.06443071421688</v>
      </c>
      <c r="Q177" s="195">
        <f t="shared" si="24"/>
        <v>1264.9095108279703</v>
      </c>
      <c r="R177" s="196">
        <f t="shared" si="25"/>
        <v>1.3178626400908942E-2</v>
      </c>
      <c r="AC177" s="251"/>
    </row>
    <row r="178" spans="1:29" ht="15.6" x14ac:dyDescent="0.3">
      <c r="A178" s="194">
        <v>2055</v>
      </c>
      <c r="B178" s="229">
        <v>1029.7478711493095</v>
      </c>
      <c r="C178" s="229">
        <v>634.00423901131705</v>
      </c>
      <c r="D178" s="229">
        <v>60.34254731336631</v>
      </c>
      <c r="E178" s="229">
        <v>504.59302089155881</v>
      </c>
      <c r="F178" s="229">
        <v>33.849722427549985</v>
      </c>
      <c r="G178" s="229">
        <v>62.099195985149898</v>
      </c>
      <c r="H178" s="229">
        <v>521.25866474125473</v>
      </c>
      <c r="I178" s="229">
        <v>109.21155605589749</v>
      </c>
      <c r="J178" s="229">
        <v>106.88671305150034</v>
      </c>
      <c r="K178" s="229">
        <v>62.212661289834898</v>
      </c>
      <c r="N178" s="195">
        <f t="shared" si="21"/>
        <v>17.184078577854052</v>
      </c>
      <c r="O178" s="195">
        <f t="shared" si="23"/>
        <v>521.25866474125473</v>
      </c>
      <c r="P178" s="195">
        <f t="shared" si="22"/>
        <v>756.4459823098332</v>
      </c>
      <c r="Q178" s="195">
        <f t="shared" si="24"/>
        <v>1294.888725628942</v>
      </c>
      <c r="R178" s="196">
        <f t="shared" si="25"/>
        <v>1.3270699047524375E-2</v>
      </c>
      <c r="AC178" s="251"/>
    </row>
    <row r="179" spans="1:29" ht="15.6" x14ac:dyDescent="0.3">
      <c r="A179" s="194">
        <v>2056</v>
      </c>
      <c r="B179" s="229">
        <v>1050.6365947783345</v>
      </c>
      <c r="C179" s="229">
        <v>647.89105025636638</v>
      </c>
      <c r="D179" s="229">
        <v>61.741773580694328</v>
      </c>
      <c r="E179" s="229">
        <v>517.62820463017783</v>
      </c>
      <c r="F179" s="229">
        <v>34.709441958458584</v>
      </c>
      <c r="G179" s="229">
        <v>63.521043708086601</v>
      </c>
      <c r="H179" s="229">
        <v>534.54748129630002</v>
      </c>
      <c r="I179" s="229">
        <v>115.14765140029846</v>
      </c>
      <c r="J179" s="229">
        <v>107.37049928094726</v>
      </c>
      <c r="K179" s="229">
        <v>62.18682042511103</v>
      </c>
      <c r="N179" s="195">
        <f t="shared" si="21"/>
        <v>17.790165292336383</v>
      </c>
      <c r="O179" s="195">
        <f t="shared" si="23"/>
        <v>534.54748129630002</v>
      </c>
      <c r="P179" s="195">
        <f t="shared" si="22"/>
        <v>773.15386754514736</v>
      </c>
      <c r="Q179" s="195">
        <f t="shared" si="24"/>
        <v>1325.4915141337838</v>
      </c>
      <c r="R179" s="196">
        <f t="shared" si="25"/>
        <v>1.3421561060662359E-2</v>
      </c>
      <c r="AC179" s="251"/>
    </row>
    <row r="180" spans="1:29" ht="15.6" x14ac:dyDescent="0.3">
      <c r="A180" s="194">
        <v>2057</v>
      </c>
      <c r="B180" s="229">
        <v>1071.7936621364884</v>
      </c>
      <c r="C180" s="229">
        <v>662.02955091314152</v>
      </c>
      <c r="D180" s="229">
        <v>63.193248433367501</v>
      </c>
      <c r="E180" s="229">
        <v>530.95104430227434</v>
      </c>
      <c r="F180" s="229">
        <v>35.585425526178547</v>
      </c>
      <c r="G180" s="229">
        <v>64.970834808197424</v>
      </c>
      <c r="H180" s="229">
        <v>548.04598010561472</v>
      </c>
      <c r="I180" s="229">
        <v>121.33957041538889</v>
      </c>
      <c r="J180" s="229">
        <v>107.87479414005715</v>
      </c>
      <c r="K180" s="229">
        <v>62.17419980431729</v>
      </c>
      <c r="N180" s="195">
        <f t="shared" si="21"/>
        <v>18.49048972283822</v>
      </c>
      <c r="O180" s="195">
        <f t="shared" si="23"/>
        <v>548.04598010561472</v>
      </c>
      <c r="P180" s="195">
        <f t="shared" si="22"/>
        <v>790.19363415470639</v>
      </c>
      <c r="Q180" s="195">
        <f t="shared" si="24"/>
        <v>1356.7301039831593</v>
      </c>
      <c r="R180" s="196">
        <f t="shared" si="25"/>
        <v>1.3628716329469562E-2</v>
      </c>
      <c r="AC180" s="251"/>
    </row>
    <row r="181" spans="1:29" ht="15.6" x14ac:dyDescent="0.3">
      <c r="A181" s="194">
        <v>2058</v>
      </c>
      <c r="B181" s="229">
        <v>1093.2167777956902</v>
      </c>
      <c r="C181" s="229">
        <v>676.42287685580163</v>
      </c>
      <c r="D181" s="229">
        <v>64.698997708312717</v>
      </c>
      <c r="E181" s="229">
        <v>544.56799270244028</v>
      </c>
      <c r="F181" s="229">
        <v>36.477900242234355</v>
      </c>
      <c r="G181" s="229">
        <v>66.448955308943994</v>
      </c>
      <c r="H181" s="229">
        <v>561.75838137008247</v>
      </c>
      <c r="I181" s="229">
        <v>127.79348110988255</v>
      </c>
      <c r="J181" s="229">
        <v>108.40056565977666</v>
      </c>
      <c r="K181" s="229">
        <v>62.174799427453685</v>
      </c>
      <c r="N181" s="195">
        <f t="shared" si="21"/>
        <v>19.287511574592145</v>
      </c>
      <c r="O181" s="195">
        <f t="shared" si="23"/>
        <v>561.75838137008247</v>
      </c>
      <c r="P181" s="195">
        <f t="shared" si="22"/>
        <v>807.5708298730583</v>
      </c>
      <c r="Q181" s="195">
        <f t="shared" si="24"/>
        <v>1388.6167228177328</v>
      </c>
      <c r="R181" s="196">
        <f t="shared" si="25"/>
        <v>1.3889730159272889E-2</v>
      </c>
      <c r="AC181" s="251"/>
    </row>
    <row r="182" spans="1:29" ht="15.6" x14ac:dyDescent="0.3">
      <c r="A182" s="194">
        <v>2059</v>
      </c>
      <c r="B182" s="229">
        <v>1114.9036463278594</v>
      </c>
      <c r="C182" s="229">
        <v>691.07416395850532</v>
      </c>
      <c r="D182" s="229">
        <v>66.261047242456854</v>
      </c>
      <c r="E182" s="229">
        <v>558.48550262526783</v>
      </c>
      <c r="F182" s="229">
        <v>37.38709321815049</v>
      </c>
      <c r="G182" s="229">
        <v>67.955791233787892</v>
      </c>
      <c r="H182" s="229">
        <v>575.68890529058706</v>
      </c>
      <c r="I182" s="229">
        <v>134.51555149249322</v>
      </c>
      <c r="J182" s="229">
        <v>108.94878187105243</v>
      </c>
      <c r="K182" s="229">
        <v>62.188619294520208</v>
      </c>
      <c r="N182" s="195">
        <f t="shared" si="21"/>
        <v>20.183690552831308</v>
      </c>
      <c r="O182" s="195">
        <f t="shared" si="23"/>
        <v>575.68890529058706</v>
      </c>
      <c r="P182" s="195">
        <f t="shared" si="22"/>
        <v>825.29100243475</v>
      </c>
      <c r="Q182" s="195">
        <f t="shared" si="24"/>
        <v>1421.1635982781684</v>
      </c>
      <c r="R182" s="196">
        <f t="shared" si="25"/>
        <v>1.4202228777380138E-2</v>
      </c>
      <c r="AC182" s="251"/>
    </row>
    <row r="183" spans="1:29" ht="15.6" x14ac:dyDescent="0.3">
      <c r="A183" s="194">
        <v>2060</v>
      </c>
      <c r="B183" s="229">
        <v>1136.8519723049153</v>
      </c>
      <c r="C183" s="229">
        <v>705.98654809541176</v>
      </c>
      <c r="D183" s="229">
        <v>67.88142287272683</v>
      </c>
      <c r="E183" s="229">
        <v>572.71002686534916</v>
      </c>
      <c r="F183" s="229">
        <v>38.313231565451431</v>
      </c>
      <c r="G183" s="229">
        <v>69.491728606190748</v>
      </c>
      <c r="H183" s="229">
        <v>589.84177206801212</v>
      </c>
      <c r="I183" s="229">
        <v>141.51194957193462</v>
      </c>
      <c r="J183" s="229">
        <v>109.52041080483113</v>
      </c>
      <c r="K183" s="229">
        <v>62.215659405516867</v>
      </c>
      <c r="N183" s="195">
        <f t="shared" si="21"/>
        <v>21.181486362788519</v>
      </c>
      <c r="O183" s="195">
        <f t="shared" si="23"/>
        <v>589.84177206801212</v>
      </c>
      <c r="P183" s="195">
        <f t="shared" si="22"/>
        <v>843.3596995743294</v>
      </c>
      <c r="Q183" s="195">
        <f t="shared" si="24"/>
        <v>1454.3829580051301</v>
      </c>
      <c r="R183" s="196">
        <f>N183/Q183</f>
        <v>1.4563898900356755E-2</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7030A0"/>
  </sheetPr>
  <dimension ref="A1:EG183"/>
  <sheetViews>
    <sheetView showGridLines="0" zoomScale="96" zoomScaleNormal="96" zoomScalePageLayoutView="80" workbookViewId="0">
      <selection activeCell="N23" sqref="N23"/>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36.5" style="153"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Paper_cluster_mdc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405</v>
      </c>
      <c r="E3" s="249">
        <v>0.44</v>
      </c>
      <c r="F3" s="167" t="s">
        <v>211</v>
      </c>
      <c r="G3" s="167" t="s">
        <v>213</v>
      </c>
      <c r="I3" s="618"/>
      <c r="J3" s="618"/>
      <c r="K3" s="618"/>
      <c r="L3" s="618"/>
      <c r="M3" s="166"/>
      <c r="N3" s="164">
        <f ca="1">SUM(OFFSET(O27,B3-2015,0,B4-B3+1,4))/1000</f>
        <v>0.70813124955136175</v>
      </c>
      <c r="O3" s="165" t="s">
        <v>209</v>
      </c>
      <c r="Q3" s="165"/>
      <c r="S3" s="671" t="s">
        <v>210</v>
      </c>
      <c r="T3" s="671"/>
      <c r="U3" s="671"/>
      <c r="V3" s="671"/>
      <c r="W3" s="671"/>
    </row>
    <row r="4" spans="1:137" ht="13.8" x14ac:dyDescent="0.25">
      <c r="A4" s="153" t="s">
        <v>215</v>
      </c>
      <c r="B4" s="234">
        <v>2050</v>
      </c>
      <c r="D4" s="248"/>
      <c r="E4" s="249"/>
      <c r="F4" s="167"/>
      <c r="G4" s="167"/>
      <c r="I4" s="168"/>
      <c r="J4" s="168"/>
      <c r="K4" s="168"/>
      <c r="L4" s="168"/>
      <c r="M4" s="168"/>
      <c r="N4" s="168"/>
      <c r="S4" s="671"/>
      <c r="T4" s="671"/>
      <c r="U4" s="671"/>
      <c r="V4" s="671"/>
      <c r="W4" s="671"/>
    </row>
    <row r="5" spans="1:137" ht="12.75" customHeight="1" x14ac:dyDescent="0.25">
      <c r="D5" s="248"/>
      <c r="E5" s="249"/>
      <c r="F5" s="167"/>
      <c r="G5" s="167"/>
      <c r="I5" s="618" t="s">
        <v>214</v>
      </c>
      <c r="J5" s="618"/>
      <c r="K5" s="618"/>
      <c r="L5" s="618"/>
      <c r="M5" s="169"/>
      <c r="N5" s="164">
        <f>SUM(J27:M72)/1000</f>
        <v>0</v>
      </c>
      <c r="O5" s="165" t="s">
        <v>208</v>
      </c>
      <c r="S5" s="671"/>
      <c r="T5" s="671"/>
      <c r="U5" s="671"/>
      <c r="V5" s="671"/>
      <c r="W5" s="671"/>
    </row>
    <row r="6" spans="1:137" ht="13.8" x14ac:dyDescent="0.25">
      <c r="D6" s="248"/>
      <c r="E6" s="249"/>
      <c r="F6" s="167"/>
      <c r="G6" s="167"/>
      <c r="I6" s="618"/>
      <c r="J6" s="618"/>
      <c r="K6" s="618"/>
      <c r="L6" s="618"/>
      <c r="M6" s="163"/>
      <c r="N6" s="164">
        <f>SUM(O27:R72)/1000</f>
        <v>1.6053308976965359</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c r="Q14" s="383" t="s">
        <v>409</v>
      </c>
      <c r="R14" s="383" t="s">
        <v>408</v>
      </c>
    </row>
    <row r="15" spans="1:137" ht="55.2" x14ac:dyDescent="0.25">
      <c r="O15" s="260" t="s">
        <v>322</v>
      </c>
      <c r="P15" s="260" t="s">
        <v>268</v>
      </c>
      <c r="Q15" s="260" t="s">
        <v>406</v>
      </c>
      <c r="R15" s="260" t="s">
        <v>406</v>
      </c>
    </row>
    <row r="16" spans="1:137" ht="13.8" x14ac:dyDescent="0.25">
      <c r="F16" s="153" t="s">
        <v>217</v>
      </c>
      <c r="O16" s="261"/>
      <c r="P16" s="261"/>
      <c r="Q16" s="261">
        <v>1318973.9612408415</v>
      </c>
      <c r="R16" s="261">
        <v>524550.47029999993</v>
      </c>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211</v>
      </c>
      <c r="P24" s="167" t="s">
        <v>211</v>
      </c>
      <c r="Q24" s="167" t="s">
        <v>213</v>
      </c>
      <c r="R24" s="167" t="s">
        <v>213</v>
      </c>
    </row>
    <row r="25" spans="1:26" ht="38.25" customHeight="1" x14ac:dyDescent="0.25">
      <c r="B25" s="223" t="s">
        <v>500</v>
      </c>
      <c r="C25" s="223" t="s">
        <v>500</v>
      </c>
      <c r="D25" s="225" t="s">
        <v>513</v>
      </c>
      <c r="E25" s="174" t="s">
        <v>407</v>
      </c>
      <c r="F25" s="174" t="s">
        <v>407</v>
      </c>
      <c r="G25" s="174" t="s">
        <v>249</v>
      </c>
      <c r="H25" s="174" t="s">
        <v>407</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IFERROR(IF($F$17="Y",$E$17,1-$Y85)*(SUMIF($G$3:$G$14,"Y",$E$3:$E$14))*(B85-B137),0)</f>
        <v>-3.2179667492300725E-4</v>
      </c>
      <c r="F26" s="183" t="str">
        <f>IFERROR(E26-E25,"")</f>
        <v/>
      </c>
      <c r="G26" s="247">
        <f>IFERROR(E26/(B85-B137),"")</f>
        <v>0.44</v>
      </c>
      <c r="H26" s="245"/>
      <c r="J26" s="182"/>
      <c r="K26" s="182"/>
      <c r="L26" s="182"/>
      <c r="M26" s="182"/>
      <c r="N26" s="163"/>
      <c r="O26" s="259" t="str">
        <f>IF($O$24="Y",IFERROR(E26*($E$6/SUMIF($G$3:$G$14,"Y",$E$3:$E$14))*$O$16*'Emissions Factors'!B12,""),"")</f>
        <v/>
      </c>
      <c r="P26" s="259" t="str">
        <f>IF($P$24="Y",IFERROR($E26*(SUM($E$3,$E$4,$E$5)/SUMIF($G$3:$G$14,"Y",$E$3:$E$14))*('Emissions Factors'!$T$143*$P$16)/10^6,""),"")</f>
        <v/>
      </c>
      <c r="Q26" s="259">
        <f>IF($Q$24="Y",IFERROR($E26*$Q$16/10^6,""))</f>
        <v>-4.2444143503733023E-4</v>
      </c>
      <c r="R26" s="259">
        <f>IF($R$24="Y",IFERROR($E26*$R$16/10^6,""))</f>
        <v>-1.6879859717183965E-4</v>
      </c>
      <c r="T26" s="180" t="str">
        <f t="shared" ref="T26:T72" si="1">IF(AND(A26&gt;=$B$3,A26&lt;=$B$4),SUM(O26:R26),"")</f>
        <v/>
      </c>
      <c r="U26" s="180" t="str">
        <f t="shared" ref="U26:U72" si="2">IF(AND(A26&gt;=$B$3,A26&lt;=$B$4),SUM(J26:M26),"")</f>
        <v/>
      </c>
      <c r="V26" s="177"/>
      <c r="X26" s="180">
        <f t="shared" ref="X26:X72" si="3">SUM(O26:R26)</f>
        <v>-5.9324003220916988E-4</v>
      </c>
      <c r="Y26" s="180">
        <f t="shared" ref="Y26:Y72" si="4">SUM(J26:M26)</f>
        <v>0</v>
      </c>
    </row>
    <row r="27" spans="1:26" ht="15.6" x14ac:dyDescent="0.3">
      <c r="A27" s="152">
        <v>2015</v>
      </c>
      <c r="B27" s="178">
        <f t="shared" si="0"/>
        <v>0</v>
      </c>
      <c r="C27" s="182">
        <f>IFERROR(B27-B26,"")</f>
        <v>0</v>
      </c>
      <c r="D27" s="183"/>
      <c r="E27" s="179">
        <f t="shared" ref="E27:E72" si="5">IFERROR(IF($F$17="Y",$E$17,1-$Y86)*(SUMIF($G$3:$G$14,"Y",$E$3:$E$14))*(B86-B138),0)</f>
        <v>-3.2213908767062097E-4</v>
      </c>
      <c r="F27" s="183">
        <f>IFERROR(E27-E26,"")</f>
        <v>-3.4241274761372033E-7</v>
      </c>
      <c r="G27" s="247">
        <f t="shared" ref="G27:G72" si="6">IFERROR(E27/(B86-B138),"")</f>
        <v>0.44000000000000006</v>
      </c>
      <c r="H27" s="246"/>
      <c r="J27" s="182"/>
      <c r="K27" s="182"/>
      <c r="L27" s="182"/>
      <c r="M27" s="182"/>
      <c r="N27" s="163"/>
      <c r="O27" s="259" t="str">
        <f>IF($O$24="Y",IFERROR(E27*($E$6/SUMIF($G$3:$G$14,"Y",$E$3:$E$14))*$O$16*'Emissions Factors'!B12,""),"")</f>
        <v/>
      </c>
      <c r="P27" s="259" t="str">
        <f>IF($P$24="Y",IFERROR($E27*(SUM($E$3,$E$4,$E$5)/SUMIF($G$3:$G$14,"Y",$E$3:$E$14))*('Emissions Factors'!$T$143*$P$16)/10^6,""),"")</f>
        <v/>
      </c>
      <c r="Q27" s="259">
        <f t="shared" ref="Q27:Q72" si="7">IF($Q$24="Y",IFERROR($E27*$Q$16/10^6,""))</f>
        <v>-4.2489306853542969E-4</v>
      </c>
      <c r="R27" s="259">
        <f t="shared" ref="R27:R72" si="8">IF($R$24="Y",IFERROR($E27*$R$16/10^6,""))</f>
        <v>-1.6897820993963715E-4</v>
      </c>
      <c r="T27" s="180" t="str">
        <f t="shared" si="1"/>
        <v/>
      </c>
      <c r="U27" s="180" t="str">
        <f t="shared" si="2"/>
        <v/>
      </c>
      <c r="V27" s="177"/>
      <c r="X27" s="180">
        <f t="shared" si="3"/>
        <v>-5.9387127847506684E-4</v>
      </c>
      <c r="Y27" s="180">
        <f t="shared" si="4"/>
        <v>0</v>
      </c>
    </row>
    <row r="28" spans="1:26" ht="15.6" x14ac:dyDescent="0.3">
      <c r="A28" s="152">
        <v>2016</v>
      </c>
      <c r="B28" s="178">
        <f t="shared" si="0"/>
        <v>0</v>
      </c>
      <c r="C28" s="182">
        <f t="shared" ref="C28:C72" si="9">IFERROR(B28-B27,"")</f>
        <v>0</v>
      </c>
      <c r="D28" s="183"/>
      <c r="E28" s="179">
        <f t="shared" si="5"/>
        <v>0</v>
      </c>
      <c r="F28" s="183">
        <f t="shared" ref="F28:F72" si="10">IFERROR(E28-E27,"")</f>
        <v>3.2213908767062097E-4</v>
      </c>
      <c r="G28" s="247">
        <f t="shared" si="6"/>
        <v>0</v>
      </c>
      <c r="H28" s="246"/>
      <c r="J28" s="182"/>
      <c r="K28" s="182"/>
      <c r="L28" s="182"/>
      <c r="M28" s="182"/>
      <c r="N28" s="163"/>
      <c r="O28" s="259" t="str">
        <f>IF($O$24="Y",IFERROR(E28*($E$6/SUMIF($G$3:$G$14,"Y",$E$3:$E$14))*$O$16*'Emissions Factors'!B13,""),"")</f>
        <v/>
      </c>
      <c r="P28" s="259" t="str">
        <f>IF($P$24="Y",IFERROR($E28*(SUM($E$3,$E$4,$E$5)/SUMIF($G$3:$G$14,"Y",$E$3:$E$14))*('Emissions Factors'!$T$143*$P$16)/10^6,""),"")</f>
        <v/>
      </c>
      <c r="Q28" s="259">
        <f t="shared" si="7"/>
        <v>0</v>
      </c>
      <c r="R28" s="259">
        <f t="shared" si="8"/>
        <v>0</v>
      </c>
      <c r="T28" s="180" t="str">
        <f t="shared" si="1"/>
        <v/>
      </c>
      <c r="U28" s="180" t="str">
        <f t="shared" si="2"/>
        <v/>
      </c>
      <c r="V28" s="177"/>
      <c r="X28" s="180">
        <f t="shared" si="3"/>
        <v>0</v>
      </c>
      <c r="Y28" s="180">
        <f t="shared" si="4"/>
        <v>0</v>
      </c>
    </row>
    <row r="29" spans="1:26" ht="15.6" x14ac:dyDescent="0.3">
      <c r="A29" s="152">
        <v>2017</v>
      </c>
      <c r="B29" s="178">
        <f t="shared" si="0"/>
        <v>0</v>
      </c>
      <c r="C29" s="182">
        <f>IFERROR(B29-B28,"")</f>
        <v>0</v>
      </c>
      <c r="D29" s="183"/>
      <c r="E29" s="179">
        <f t="shared" si="5"/>
        <v>0</v>
      </c>
      <c r="F29" s="183">
        <f>IFERROR(E29-E28,"")</f>
        <v>0</v>
      </c>
      <c r="G29" s="247">
        <f t="shared" si="6"/>
        <v>0</v>
      </c>
      <c r="H29" s="246"/>
      <c r="J29" s="182"/>
      <c r="K29" s="182"/>
      <c r="L29" s="182"/>
      <c r="M29" s="182"/>
      <c r="N29" s="163"/>
      <c r="O29" s="259" t="str">
        <f>IF($O$24="Y",IFERROR(E29*($E$6/SUMIF($G$3:$G$14,"Y",$E$3:$E$14))*$O$16*'Emissions Factors'!B14,""),"")</f>
        <v/>
      </c>
      <c r="P29" s="259" t="str">
        <f>IF($P$24="Y",IFERROR($E29*(SUM($E$3,$E$4,$E$5)/SUMIF($G$3:$G$14,"Y",$E$3:$E$14))*('Emissions Factors'!$T$143*$P$16)/10^6,""),"")</f>
        <v/>
      </c>
      <c r="Q29" s="259">
        <f t="shared" si="7"/>
        <v>0</v>
      </c>
      <c r="R29" s="259">
        <f t="shared" si="8"/>
        <v>0</v>
      </c>
      <c r="T29" s="180" t="str">
        <f t="shared" si="1"/>
        <v/>
      </c>
      <c r="U29" s="180" t="str">
        <f t="shared" si="2"/>
        <v/>
      </c>
      <c r="V29" s="177"/>
      <c r="X29" s="180">
        <f t="shared" si="3"/>
        <v>0</v>
      </c>
      <c r="Y29" s="180">
        <f t="shared" si="4"/>
        <v>0</v>
      </c>
    </row>
    <row r="30" spans="1:26" ht="15.6" x14ac:dyDescent="0.3">
      <c r="A30" s="152">
        <v>2018</v>
      </c>
      <c r="B30" s="178">
        <f t="shared" si="0"/>
        <v>0</v>
      </c>
      <c r="C30" s="182">
        <f t="shared" si="9"/>
        <v>0</v>
      </c>
      <c r="D30" s="183"/>
      <c r="E30" s="179">
        <f t="shared" si="5"/>
        <v>0</v>
      </c>
      <c r="F30" s="183">
        <f t="shared" si="10"/>
        <v>0</v>
      </c>
      <c r="G30" s="247">
        <f t="shared" si="6"/>
        <v>0</v>
      </c>
      <c r="H30" s="246"/>
      <c r="J30" s="182"/>
      <c r="K30" s="182"/>
      <c r="L30" s="182"/>
      <c r="M30" s="182"/>
      <c r="N30" s="163"/>
      <c r="O30" s="259" t="str">
        <f>IF($O$24="Y",IFERROR(E30*($E$6/SUMIF($G$3:$G$14,"Y",$E$3:$E$14))*$O$16*'Emissions Factors'!B15,""),"")</f>
        <v/>
      </c>
      <c r="P30" s="259" t="str">
        <f>IF($P$24="Y",IFERROR($E30*(SUM($E$3,$E$4,$E$5)/SUMIF($G$3:$G$14,"Y",$E$3:$E$14))*('Emissions Factors'!$T$143*$P$16)/10^6,""),"")</f>
        <v/>
      </c>
      <c r="Q30" s="259">
        <f t="shared" si="7"/>
        <v>0</v>
      </c>
      <c r="R30" s="259">
        <f t="shared" si="8"/>
        <v>0</v>
      </c>
      <c r="T30" s="180" t="str">
        <f t="shared" si="1"/>
        <v/>
      </c>
      <c r="U30" s="180" t="str">
        <f t="shared" si="2"/>
        <v/>
      </c>
      <c r="V30" s="177"/>
      <c r="X30" s="180">
        <f t="shared" si="3"/>
        <v>0</v>
      </c>
      <c r="Y30" s="180">
        <f t="shared" si="4"/>
        <v>0</v>
      </c>
    </row>
    <row r="31" spans="1:26" ht="15.6" x14ac:dyDescent="0.3">
      <c r="A31" s="152">
        <v>2019</v>
      </c>
      <c r="B31" s="178">
        <f t="shared" si="0"/>
        <v>0</v>
      </c>
      <c r="C31" s="182">
        <f t="shared" si="9"/>
        <v>0</v>
      </c>
      <c r="D31" s="183"/>
      <c r="E31" s="179">
        <f t="shared" si="5"/>
        <v>0</v>
      </c>
      <c r="F31" s="183">
        <f t="shared" si="10"/>
        <v>0</v>
      </c>
      <c r="G31" s="247">
        <f t="shared" si="6"/>
        <v>0</v>
      </c>
      <c r="H31" s="246"/>
      <c r="J31" s="182"/>
      <c r="K31" s="182"/>
      <c r="L31" s="182"/>
      <c r="M31" s="182"/>
      <c r="N31" s="163"/>
      <c r="O31" s="259" t="str">
        <f>IF($O$24="Y",IFERROR(E31*($E$6/SUMIF($G$3:$G$14,"Y",$E$3:$E$14))*$O$16*'Emissions Factors'!B16,""),"")</f>
        <v/>
      </c>
      <c r="P31" s="259" t="str">
        <f>IF($P$24="Y",IFERROR($E31*(SUM($E$3,$E$4,$E$5)/SUMIF($G$3:$G$14,"Y",$E$3:$E$14))*('Emissions Factors'!$T$143*$P$16)/10^6,""),"")</f>
        <v/>
      </c>
      <c r="Q31" s="259">
        <f t="shared" si="7"/>
        <v>0</v>
      </c>
      <c r="R31" s="259">
        <f t="shared" si="8"/>
        <v>0</v>
      </c>
      <c r="T31" s="180" t="str">
        <f t="shared" si="1"/>
        <v/>
      </c>
      <c r="U31" s="180" t="str">
        <f t="shared" si="2"/>
        <v/>
      </c>
      <c r="V31" s="177"/>
      <c r="X31" s="180">
        <f t="shared" si="3"/>
        <v>0</v>
      </c>
      <c r="Y31" s="180">
        <f t="shared" si="4"/>
        <v>0</v>
      </c>
    </row>
    <row r="32" spans="1:26" ht="15.6" x14ac:dyDescent="0.3">
      <c r="A32" s="152">
        <v>2020</v>
      </c>
      <c r="B32" s="178">
        <f t="shared" si="0"/>
        <v>0</v>
      </c>
      <c r="C32" s="182">
        <f t="shared" si="9"/>
        <v>0</v>
      </c>
      <c r="D32" s="183"/>
      <c r="E32" s="179">
        <f t="shared" si="5"/>
        <v>0</v>
      </c>
      <c r="F32" s="183">
        <f t="shared" si="10"/>
        <v>0</v>
      </c>
      <c r="G32" s="247">
        <f t="shared" si="6"/>
        <v>0</v>
      </c>
      <c r="H32" s="246"/>
      <c r="J32" s="182"/>
      <c r="K32" s="182"/>
      <c r="L32" s="182"/>
      <c r="M32" s="182"/>
      <c r="N32" s="163"/>
      <c r="O32" s="259" t="str">
        <f>IF($O$24="Y",IFERROR(E32*($E$6/SUMIF($G$3:$G$14,"Y",$E$3:$E$14))*$O$16*'Emissions Factors'!B17,""),"")</f>
        <v/>
      </c>
      <c r="P32" s="259" t="str">
        <f>IF($P$24="Y",IFERROR($E32*(SUM($E$3,$E$4,$E$5)/SUMIF($G$3:$G$14,"Y",$E$3:$E$14))*('Emissions Factors'!$T$143*$P$16)/10^6,""),"")</f>
        <v/>
      </c>
      <c r="Q32" s="259">
        <f t="shared" si="7"/>
        <v>0</v>
      </c>
      <c r="R32" s="259">
        <f t="shared" si="8"/>
        <v>0</v>
      </c>
      <c r="T32" s="180">
        <f t="shared" si="1"/>
        <v>0</v>
      </c>
      <c r="U32" s="180">
        <f t="shared" si="2"/>
        <v>0</v>
      </c>
      <c r="V32" s="177"/>
      <c r="X32" s="180">
        <f t="shared" si="3"/>
        <v>0</v>
      </c>
      <c r="Y32" s="180">
        <f t="shared" si="4"/>
        <v>0</v>
      </c>
    </row>
    <row r="33" spans="1:25" ht="15.6" x14ac:dyDescent="0.3">
      <c r="A33" s="152">
        <v>2021</v>
      </c>
      <c r="B33" s="178">
        <f t="shared" si="0"/>
        <v>0</v>
      </c>
      <c r="C33" s="182">
        <f t="shared" si="9"/>
        <v>0</v>
      </c>
      <c r="D33" s="183"/>
      <c r="E33" s="179">
        <f t="shared" si="5"/>
        <v>0.24606388721391406</v>
      </c>
      <c r="F33" s="183">
        <f t="shared" si="10"/>
        <v>0.24606388721391406</v>
      </c>
      <c r="G33" s="247">
        <f t="shared" si="6"/>
        <v>0.39263377656521503</v>
      </c>
      <c r="H33" s="246"/>
      <c r="J33" s="182"/>
      <c r="K33" s="182"/>
      <c r="L33" s="182"/>
      <c r="M33" s="182"/>
      <c r="N33" s="163"/>
      <c r="O33" s="259" t="str">
        <f>IF($O$24="Y",IFERROR(E33*($E$6/SUMIF($G$3:$G$14,"Y",$E$3:$E$14))*$O$16*'Emissions Factors'!B18,""),"")</f>
        <v/>
      </c>
      <c r="P33" s="259" t="str">
        <f>IF($P$24="Y",IFERROR($E33*(SUM($E$3,$E$4,$E$5)/SUMIF($G$3:$G$14,"Y",$E$3:$E$14))*('Emissions Factors'!$T$143*$P$16)/10^6,""),"")</f>
        <v/>
      </c>
      <c r="Q33" s="259">
        <f t="shared" si="7"/>
        <v>0.32455186003685593</v>
      </c>
      <c r="R33" s="259">
        <f t="shared" si="8"/>
        <v>0.12907292776190477</v>
      </c>
      <c r="T33" s="180">
        <f t="shared" si="1"/>
        <v>0.4536247877987607</v>
      </c>
      <c r="U33" s="180">
        <f t="shared" si="2"/>
        <v>0</v>
      </c>
      <c r="V33" s="177"/>
      <c r="X33" s="180">
        <f t="shared" si="3"/>
        <v>0.4536247877987607</v>
      </c>
      <c r="Y33" s="180">
        <f t="shared" si="4"/>
        <v>0</v>
      </c>
    </row>
    <row r="34" spans="1:25" ht="15.6" x14ac:dyDescent="0.3">
      <c r="A34" s="152">
        <v>2022</v>
      </c>
      <c r="B34" s="178">
        <f t="shared" si="0"/>
        <v>0</v>
      </c>
      <c r="C34" s="182">
        <f t="shared" si="9"/>
        <v>0</v>
      </c>
      <c r="D34" s="183"/>
      <c r="E34" s="179">
        <f t="shared" si="5"/>
        <v>0.55633463759998047</v>
      </c>
      <c r="F34" s="183">
        <f t="shared" si="10"/>
        <v>0.31027075038606644</v>
      </c>
      <c r="G34" s="247">
        <f t="shared" si="6"/>
        <v>0.38869800868534449</v>
      </c>
      <c r="H34" s="246"/>
      <c r="J34" s="182"/>
      <c r="K34" s="182"/>
      <c r="L34" s="182"/>
      <c r="M34" s="182"/>
      <c r="N34" s="163"/>
      <c r="O34" s="259" t="str">
        <f>IF($O$24="Y",IFERROR(E34*($E$6/SUMIF($G$3:$G$14,"Y",$E$3:$E$14))*$O$16*'Emissions Factors'!B19,""),"")</f>
        <v/>
      </c>
      <c r="P34" s="259" t="str">
        <f>IF($P$24="Y",IFERROR($E34*(SUM($E$3,$E$4,$E$5)/SUMIF($G$3:$G$14,"Y",$E$3:$E$14))*('Emissions Factors'!$T$143*$P$16)/10^6,""),"")</f>
        <v/>
      </c>
      <c r="Q34" s="259">
        <f t="shared" si="7"/>
        <v>0.73379090073073427</v>
      </c>
      <c r="R34" s="259">
        <f t="shared" si="8"/>
        <v>0.29182559579724976</v>
      </c>
      <c r="T34" s="180">
        <f t="shared" si="1"/>
        <v>1.0256164965279839</v>
      </c>
      <c r="U34" s="180">
        <f t="shared" si="2"/>
        <v>0</v>
      </c>
      <c r="V34" s="177"/>
      <c r="X34" s="180">
        <f t="shared" si="3"/>
        <v>1.0256164965279839</v>
      </c>
      <c r="Y34" s="180">
        <f t="shared" si="4"/>
        <v>0</v>
      </c>
    </row>
    <row r="35" spans="1:25" ht="15.6" x14ac:dyDescent="0.3">
      <c r="A35" s="152">
        <v>2023</v>
      </c>
      <c r="B35" s="178">
        <f t="shared" si="0"/>
        <v>0</v>
      </c>
      <c r="C35" s="182">
        <f t="shared" si="9"/>
        <v>0</v>
      </c>
      <c r="D35" s="183"/>
      <c r="E35" s="179">
        <f t="shared" si="5"/>
        <v>0.92705675555886735</v>
      </c>
      <c r="F35" s="183">
        <f t="shared" si="10"/>
        <v>0.37072211795888688</v>
      </c>
      <c r="G35" s="247">
        <f t="shared" si="6"/>
        <v>0.38660201142892558</v>
      </c>
      <c r="H35" s="246"/>
      <c r="J35" s="182"/>
      <c r="K35" s="182"/>
      <c r="L35" s="182"/>
      <c r="M35" s="182"/>
      <c r="N35" s="163"/>
      <c r="O35" s="259" t="str">
        <f>IF($O$24="Y",IFERROR(E35*($E$6/SUMIF($G$3:$G$14,"Y",$E$3:$E$14))*$O$16*'Emissions Factors'!B20,""),"")</f>
        <v/>
      </c>
      <c r="P35" s="259" t="str">
        <f>IF($P$24="Y",IFERROR($E35*(SUM($E$3,$E$4,$E$5)/SUMIF($G$3:$G$14,"Y",$E$3:$E$14))*('Emissions Factors'!$T$143*$P$16)/10^6,""),"")</f>
        <v/>
      </c>
      <c r="Q35" s="259">
        <f t="shared" si="7"/>
        <v>1.2227637211745619</v>
      </c>
      <c r="R35" s="259">
        <f t="shared" si="8"/>
        <v>0.48628805712319595</v>
      </c>
      <c r="T35" s="180">
        <f t="shared" si="1"/>
        <v>1.7090517782977579</v>
      </c>
      <c r="U35" s="180">
        <f t="shared" si="2"/>
        <v>0</v>
      </c>
      <c r="V35" s="177"/>
      <c r="X35" s="180">
        <f t="shared" si="3"/>
        <v>1.7090517782977579</v>
      </c>
      <c r="Y35" s="180">
        <f t="shared" si="4"/>
        <v>0</v>
      </c>
    </row>
    <row r="36" spans="1:25" ht="15.6" x14ac:dyDescent="0.3">
      <c r="A36" s="152">
        <v>2024</v>
      </c>
      <c r="B36" s="178">
        <f t="shared" si="0"/>
        <v>0</v>
      </c>
      <c r="C36" s="182">
        <f t="shared" si="9"/>
        <v>0</v>
      </c>
      <c r="D36" s="183"/>
      <c r="E36" s="179">
        <f t="shared" si="5"/>
        <v>1.3579307568645638</v>
      </c>
      <c r="F36" s="183">
        <f t="shared" si="10"/>
        <v>0.43087400130569642</v>
      </c>
      <c r="G36" s="247">
        <f t="shared" si="6"/>
        <v>0.38553635627729121</v>
      </c>
      <c r="H36" s="246"/>
      <c r="J36" s="182"/>
      <c r="K36" s="182"/>
      <c r="L36" s="182"/>
      <c r="M36" s="182"/>
      <c r="N36" s="163"/>
      <c r="O36" s="259" t="str">
        <f>IF($O$24="Y",IFERROR(E36*($E$6/SUMIF($G$3:$G$14,"Y",$E$3:$E$14))*$O$16*'Emissions Factors'!B21,""),"")</f>
        <v/>
      </c>
      <c r="P36" s="259" t="str">
        <f>IF($P$24="Y",IFERROR($E36*(SUM($E$3,$E$4,$E$5)/SUMIF($G$3:$G$14,"Y",$E$3:$E$14))*('Emissions Factors'!$T$143*$P$16)/10^6,""),"")</f>
        <v/>
      </c>
      <c r="Q36" s="259">
        <f t="shared" si="7"/>
        <v>1.7910753094724277</v>
      </c>
      <c r="R36" s="259">
        <f t="shared" si="8"/>
        <v>0.71230321714814182</v>
      </c>
      <c r="T36" s="180">
        <f t="shared" si="1"/>
        <v>2.5033785266205695</v>
      </c>
      <c r="U36" s="180">
        <f t="shared" si="2"/>
        <v>0</v>
      </c>
      <c r="V36" s="177"/>
      <c r="X36" s="180">
        <f t="shared" si="3"/>
        <v>2.5033785266205695</v>
      </c>
      <c r="Y36" s="180">
        <f t="shared" si="4"/>
        <v>0</v>
      </c>
    </row>
    <row r="37" spans="1:25" ht="15.6" x14ac:dyDescent="0.3">
      <c r="A37" s="152">
        <v>2025</v>
      </c>
      <c r="B37" s="178">
        <f t="shared" si="0"/>
        <v>0</v>
      </c>
      <c r="C37" s="182">
        <f t="shared" si="9"/>
        <v>0</v>
      </c>
      <c r="D37" s="183"/>
      <c r="E37" s="179">
        <f t="shared" si="5"/>
        <v>1.8492865491450963</v>
      </c>
      <c r="F37" s="183">
        <f t="shared" si="10"/>
        <v>0.4913557922805325</v>
      </c>
      <c r="G37" s="247">
        <f t="shared" si="6"/>
        <v>0.38510759249818649</v>
      </c>
      <c r="H37" s="246"/>
      <c r="J37" s="182"/>
      <c r="K37" s="182"/>
      <c r="L37" s="182"/>
      <c r="M37" s="182"/>
      <c r="N37" s="163"/>
      <c r="O37" s="259" t="str">
        <f>IF($O$24="Y",IFERROR(E37*($E$6/SUMIF($G$3:$G$14,"Y",$E$3:$E$14))*$O$16*'Emissions Factors'!B22,""),"")</f>
        <v/>
      </c>
      <c r="P37" s="259" t="str">
        <f>IF($P$24="Y",IFERROR($E37*(SUM($E$3,$E$4,$E$5)/SUMIF($G$3:$G$14,"Y",$E$3:$E$14))*('Emissions Factors'!$T$143*$P$16)/10^6,""),"")</f>
        <v/>
      </c>
      <c r="Q37" s="259">
        <f t="shared" si="7"/>
        <v>2.4391608051953138</v>
      </c>
      <c r="R37" s="259">
        <f t="shared" si="8"/>
        <v>0.97004412907352411</v>
      </c>
      <c r="T37" s="180">
        <f t="shared" si="1"/>
        <v>3.4092049342688378</v>
      </c>
      <c r="U37" s="180">
        <f t="shared" si="2"/>
        <v>0</v>
      </c>
      <c r="V37" s="177"/>
      <c r="X37" s="180">
        <f t="shared" si="3"/>
        <v>3.4092049342688378</v>
      </c>
      <c r="Y37" s="180">
        <f t="shared" si="4"/>
        <v>0</v>
      </c>
    </row>
    <row r="38" spans="1:25" ht="15.6" x14ac:dyDescent="0.3">
      <c r="A38" s="152">
        <v>2026</v>
      </c>
      <c r="B38" s="178">
        <f t="shared" si="0"/>
        <v>0</v>
      </c>
      <c r="C38" s="182">
        <f t="shared" si="9"/>
        <v>0</v>
      </c>
      <c r="D38" s="183"/>
      <c r="E38" s="179">
        <f t="shared" si="5"/>
        <v>2.4010482386652723</v>
      </c>
      <c r="F38" s="183">
        <f t="shared" si="10"/>
        <v>0.55176168952017601</v>
      </c>
      <c r="G38" s="247">
        <f t="shared" si="6"/>
        <v>0.38509655633902956</v>
      </c>
      <c r="H38" s="246"/>
      <c r="J38" s="182"/>
      <c r="K38" s="182"/>
      <c r="L38" s="182"/>
      <c r="M38" s="182"/>
      <c r="N38" s="163"/>
      <c r="O38" s="259" t="str">
        <f>IF($O$24="Y",IFERROR(E38*($E$6/SUMIF($G$3:$G$14,"Y",$E$3:$E$14))*$O$16*'Emissions Factors'!B23,""),"")</f>
        <v/>
      </c>
      <c r="P38" s="259" t="str">
        <f>IF($P$24="Y",IFERROR($E38*(SUM($E$3,$E$4,$E$5)/SUMIF($G$3:$G$14,"Y",$E$3:$E$14))*('Emissions Factors'!$T$143*$P$16)/10^6,""),"")</f>
        <v/>
      </c>
      <c r="Q38" s="259">
        <f t="shared" si="7"/>
        <v>3.1669201064826793</v>
      </c>
      <c r="R38" s="259">
        <f t="shared" si="8"/>
        <v>1.2594709828048551</v>
      </c>
      <c r="T38" s="180">
        <f t="shared" si="1"/>
        <v>4.4263910892875344</v>
      </c>
      <c r="U38" s="180">
        <f t="shared" si="2"/>
        <v>0</v>
      </c>
      <c r="V38" s="177"/>
      <c r="X38" s="180">
        <f t="shared" si="3"/>
        <v>4.4263910892875344</v>
      </c>
      <c r="Y38" s="180">
        <f t="shared" si="4"/>
        <v>0</v>
      </c>
    </row>
    <row r="39" spans="1:25" ht="15.6" x14ac:dyDescent="0.3">
      <c r="A39" s="152">
        <v>2027</v>
      </c>
      <c r="B39" s="178">
        <f t="shared" si="0"/>
        <v>0</v>
      </c>
      <c r="C39" s="182">
        <f t="shared" si="9"/>
        <v>0</v>
      </c>
      <c r="D39" s="183"/>
      <c r="E39" s="179">
        <f t="shared" si="5"/>
        <v>3.0130646728596453</v>
      </c>
      <c r="F39" s="183">
        <f t="shared" si="10"/>
        <v>0.61201643419437302</v>
      </c>
      <c r="G39" s="247">
        <f t="shared" si="6"/>
        <v>0.38535670825189944</v>
      </c>
      <c r="H39" s="246"/>
      <c r="J39" s="182"/>
      <c r="K39" s="182"/>
      <c r="L39" s="182"/>
      <c r="M39" s="182"/>
      <c r="N39" s="163"/>
      <c r="O39" s="259" t="str">
        <f>IF($O$24="Y",IFERROR(E39*($E$6/SUMIF($G$3:$G$14,"Y",$E$3:$E$14))*$O$16*'Emissions Factors'!B24,""),"")</f>
        <v/>
      </c>
      <c r="P39" s="259" t="str">
        <f>IF($P$24="Y",IFERROR($E39*(SUM($E$3,$E$4,$E$5)/SUMIF($G$3:$G$14,"Y",$E$3:$E$14))*('Emissions Factors'!$T$143*$P$16)/10^6,""),"")</f>
        <v/>
      </c>
      <c r="Q39" s="259">
        <f t="shared" si="7"/>
        <v>3.9741538470365265</v>
      </c>
      <c r="R39" s="259">
        <f t="shared" si="8"/>
        <v>1.5805044911928423</v>
      </c>
      <c r="T39" s="180">
        <f t="shared" si="1"/>
        <v>5.5546583382293688</v>
      </c>
      <c r="U39" s="180">
        <f t="shared" si="2"/>
        <v>0</v>
      </c>
      <c r="V39" s="177"/>
      <c r="X39" s="180">
        <f t="shared" si="3"/>
        <v>5.5546583382293688</v>
      </c>
      <c r="Y39" s="180">
        <f t="shared" si="4"/>
        <v>0</v>
      </c>
    </row>
    <row r="40" spans="1:25" ht="15.6" x14ac:dyDescent="0.3">
      <c r="A40" s="152">
        <v>2028</v>
      </c>
      <c r="B40" s="178">
        <f t="shared" si="0"/>
        <v>0</v>
      </c>
      <c r="C40" s="182">
        <f t="shared" si="9"/>
        <v>0</v>
      </c>
      <c r="D40" s="183"/>
      <c r="E40" s="179">
        <f t="shared" si="5"/>
        <v>3.6871129574124439</v>
      </c>
      <c r="F40" s="183">
        <f t="shared" si="10"/>
        <v>0.67404828455279864</v>
      </c>
      <c r="G40" s="247">
        <f t="shared" si="6"/>
        <v>0.38577022426045221</v>
      </c>
      <c r="H40" s="246"/>
      <c r="J40" s="182"/>
      <c r="K40" s="182"/>
      <c r="L40" s="182"/>
      <c r="M40" s="182"/>
      <c r="N40" s="163"/>
      <c r="O40" s="259" t="str">
        <f>IF($O$24="Y",IFERROR(E40*($E$6/SUMIF($G$3:$G$14,"Y",$E$3:$E$14))*$O$16*'Emissions Factors'!B25,""),"")</f>
        <v/>
      </c>
      <c r="P40" s="259" t="str">
        <f>IF($P$24="Y",IFERROR($E40*(SUM($E$3,$E$4,$E$5)/SUMIF($G$3:$G$14,"Y",$E$3:$E$14))*('Emissions Factors'!$T$143*$P$16)/10^6,""),"")</f>
        <v/>
      </c>
      <c r="Q40" s="259">
        <f t="shared" si="7"/>
        <v>4.863205982980725</v>
      </c>
      <c r="R40" s="259">
        <f t="shared" si="8"/>
        <v>1.934076835859921</v>
      </c>
      <c r="T40" s="180">
        <f t="shared" si="1"/>
        <v>6.797282818840646</v>
      </c>
      <c r="U40" s="180">
        <f t="shared" si="2"/>
        <v>0</v>
      </c>
      <c r="V40" s="177"/>
      <c r="X40" s="180">
        <f t="shared" si="3"/>
        <v>6.797282818840646</v>
      </c>
      <c r="Y40" s="180">
        <f t="shared" si="4"/>
        <v>0</v>
      </c>
    </row>
    <row r="41" spans="1:25" ht="15.6" x14ac:dyDescent="0.3">
      <c r="A41" s="152">
        <v>2029</v>
      </c>
      <c r="B41" s="178">
        <f t="shared" si="0"/>
        <v>0</v>
      </c>
      <c r="C41" s="182">
        <f t="shared" si="9"/>
        <v>0</v>
      </c>
      <c r="D41" s="183"/>
      <c r="E41" s="179">
        <f t="shared" si="5"/>
        <v>4.4255582169921475</v>
      </c>
      <c r="F41" s="183">
        <f t="shared" si="10"/>
        <v>0.73844525957970353</v>
      </c>
      <c r="G41" s="247">
        <f t="shared" si="6"/>
        <v>0.3862564105985048</v>
      </c>
      <c r="H41" s="246"/>
      <c r="J41" s="182"/>
      <c r="K41" s="182"/>
      <c r="L41" s="182"/>
      <c r="M41" s="182"/>
      <c r="N41" s="163"/>
      <c r="O41" s="259" t="str">
        <f>IF($O$24="Y",IFERROR(E41*($E$6/SUMIF($G$3:$G$14,"Y",$E$3:$E$14))*$O$16*'Emissions Factors'!B26,""),"")</f>
        <v/>
      </c>
      <c r="P41" s="259" t="str">
        <f>IF($P$24="Y",IFERROR($E41*(SUM($E$3,$E$4,$E$5)/SUMIF($G$3:$G$14,"Y",$E$3:$E$14))*('Emissions Factors'!$T$143*$P$16)/10^6,""),"")</f>
        <v/>
      </c>
      <c r="Q41" s="259">
        <f t="shared" si="7"/>
        <v>5.837196052168089</v>
      </c>
      <c r="R41" s="259">
        <f t="shared" si="8"/>
        <v>2.3214286440632601</v>
      </c>
      <c r="T41" s="180">
        <f t="shared" si="1"/>
        <v>8.1586246962313496</v>
      </c>
      <c r="U41" s="180">
        <f t="shared" si="2"/>
        <v>0</v>
      </c>
      <c r="V41" s="177"/>
      <c r="X41" s="180">
        <f t="shared" si="3"/>
        <v>8.1586246962313496</v>
      </c>
      <c r="Y41" s="180">
        <f t="shared" si="4"/>
        <v>0</v>
      </c>
    </row>
    <row r="42" spans="1:25" ht="15.6" x14ac:dyDescent="0.3">
      <c r="A42" s="152">
        <v>2030</v>
      </c>
      <c r="B42" s="178">
        <f t="shared" si="0"/>
        <v>0</v>
      </c>
      <c r="C42" s="182">
        <f t="shared" si="9"/>
        <v>0</v>
      </c>
      <c r="D42" s="183"/>
      <c r="E42" s="179">
        <f t="shared" si="5"/>
        <v>5.2310052524427348</v>
      </c>
      <c r="F42" s="183">
        <f t="shared" si="10"/>
        <v>0.80544703545058738</v>
      </c>
      <c r="G42" s="247">
        <f t="shared" si="6"/>
        <v>0.38677219509859223</v>
      </c>
      <c r="H42" s="246"/>
      <c r="J42" s="182"/>
      <c r="K42" s="182"/>
      <c r="L42" s="182"/>
      <c r="M42" s="182"/>
      <c r="N42" s="163"/>
      <c r="O42" s="259" t="str">
        <f>IF($O$24="Y",IFERROR(E42*($E$6/SUMIF($G$3:$G$14,"Y",$E$3:$E$14))*$O$16*'Emissions Factors'!B27,""),"")</f>
        <v/>
      </c>
      <c r="P42" s="259" t="str">
        <f>IF($P$24="Y",IFERROR($E42*(SUM($E$3,$E$4,$E$5)/SUMIF($G$3:$G$14,"Y",$E$3:$E$14))*('Emissions Factors'!$T$143*$P$16)/10^6,""),"")</f>
        <v/>
      </c>
      <c r="Q42" s="259">
        <f t="shared" si="7"/>
        <v>6.8995597190860423</v>
      </c>
      <c r="R42" s="259">
        <f t="shared" si="8"/>
        <v>2.7439262653106065</v>
      </c>
      <c r="T42" s="180">
        <f t="shared" si="1"/>
        <v>9.6434859843966478</v>
      </c>
      <c r="U42" s="180">
        <f t="shared" si="2"/>
        <v>0</v>
      </c>
      <c r="V42" s="177"/>
      <c r="X42" s="180">
        <f t="shared" si="3"/>
        <v>9.6434859843966478</v>
      </c>
      <c r="Y42" s="180">
        <f t="shared" si="4"/>
        <v>0</v>
      </c>
    </row>
    <row r="43" spans="1:25" ht="15.6" x14ac:dyDescent="0.3">
      <c r="A43" s="152">
        <v>2031</v>
      </c>
      <c r="B43" s="178">
        <f t="shared" si="0"/>
        <v>0</v>
      </c>
      <c r="C43" s="182">
        <f t="shared" si="9"/>
        <v>0</v>
      </c>
      <c r="D43" s="183"/>
      <c r="E43" s="179">
        <f t="shared" si="5"/>
        <v>6.1053826483359055</v>
      </c>
      <c r="F43" s="183">
        <f t="shared" si="10"/>
        <v>0.87437739589317065</v>
      </c>
      <c r="G43" s="247">
        <f t="shared" si="6"/>
        <v>0.38731491648947791</v>
      </c>
      <c r="H43" s="246"/>
      <c r="J43" s="182"/>
      <c r="K43" s="182"/>
      <c r="L43" s="182"/>
      <c r="M43" s="182"/>
      <c r="N43" s="163"/>
      <c r="O43" s="259" t="str">
        <f>IF($O$24="Y",IFERROR(E43*($E$6/SUMIF($G$3:$G$14,"Y",$E$3:$E$14))*$O$16*'Emissions Factors'!B28,""),"")</f>
        <v/>
      </c>
      <c r="P43" s="259" t="str">
        <f>IF($P$24="Y",IFERROR($E43*(SUM($E$3,$E$4,$E$5)/SUMIF($G$3:$G$14,"Y",$E$3:$E$14))*('Emissions Factors'!$T$143*$P$16)/10^6,""),"")</f>
        <v/>
      </c>
      <c r="Q43" s="259">
        <f t="shared" si="7"/>
        <v>8.0528407365667096</v>
      </c>
      <c r="R43" s="259">
        <f t="shared" si="8"/>
        <v>3.2025813395460583</v>
      </c>
      <c r="T43" s="180">
        <f t="shared" si="1"/>
        <v>11.255422076112769</v>
      </c>
      <c r="U43" s="180">
        <f t="shared" si="2"/>
        <v>0</v>
      </c>
      <c r="V43" s="177"/>
      <c r="X43" s="180">
        <f t="shared" si="3"/>
        <v>11.255422076112769</v>
      </c>
      <c r="Y43" s="180">
        <f t="shared" si="4"/>
        <v>0</v>
      </c>
    </row>
    <row r="44" spans="1:25" ht="15.6" x14ac:dyDescent="0.3">
      <c r="A44" s="152">
        <v>2032</v>
      </c>
      <c r="B44" s="178">
        <f t="shared" si="0"/>
        <v>0</v>
      </c>
      <c r="C44" s="182">
        <f t="shared" si="9"/>
        <v>0</v>
      </c>
      <c r="D44" s="183"/>
      <c r="E44" s="179">
        <f t="shared" si="5"/>
        <v>7.0470707939300148</v>
      </c>
      <c r="F44" s="183">
        <f t="shared" si="10"/>
        <v>0.94168814559410929</v>
      </c>
      <c r="G44" s="247">
        <f t="shared" si="6"/>
        <v>0.3878942858399696</v>
      </c>
      <c r="H44" s="246"/>
      <c r="J44" s="182"/>
      <c r="K44" s="182"/>
      <c r="L44" s="182"/>
      <c r="M44" s="182"/>
      <c r="N44" s="163"/>
      <c r="O44" s="259" t="str">
        <f>IF($O$24="Y",IFERROR(E44*($E$6/SUMIF($G$3:$G$14,"Y",$E$3:$E$14))*$O$16*'Emissions Factors'!B29,""),"")</f>
        <v/>
      </c>
      <c r="P44" s="259" t="str">
        <f>IF($P$24="Y",IFERROR($E44*(SUM($E$3,$E$4,$E$5)/SUMIF($G$3:$G$14,"Y",$E$3:$E$14))*('Emissions Factors'!$T$143*$P$16)/10^6,""),"")</f>
        <v/>
      </c>
      <c r="Q44" s="259">
        <f t="shared" si="7"/>
        <v>9.2949028802145151</v>
      </c>
      <c r="R44" s="259">
        <f t="shared" si="8"/>
        <v>3.6965442991933832</v>
      </c>
      <c r="T44" s="180">
        <f t="shared" si="1"/>
        <v>12.991447179407899</v>
      </c>
      <c r="U44" s="180">
        <f t="shared" si="2"/>
        <v>0</v>
      </c>
      <c r="V44" s="177"/>
      <c r="X44" s="180">
        <f t="shared" si="3"/>
        <v>12.991447179407899</v>
      </c>
      <c r="Y44" s="180">
        <f t="shared" si="4"/>
        <v>0</v>
      </c>
    </row>
    <row r="45" spans="1:25" ht="15.6" x14ac:dyDescent="0.3">
      <c r="A45" s="152">
        <v>2033</v>
      </c>
      <c r="B45" s="178">
        <f t="shared" si="0"/>
        <v>0</v>
      </c>
      <c r="C45" s="182">
        <f t="shared" si="9"/>
        <v>0</v>
      </c>
      <c r="D45" s="183"/>
      <c r="E45" s="179">
        <f t="shared" si="5"/>
        <v>8.0482095240263689</v>
      </c>
      <c r="F45" s="183">
        <f t="shared" si="10"/>
        <v>1.0011387300963541</v>
      </c>
      <c r="G45" s="247">
        <f t="shared" si="6"/>
        <v>0.38851930136803164</v>
      </c>
      <c r="H45" s="246"/>
      <c r="J45" s="182"/>
      <c r="K45" s="182"/>
      <c r="L45" s="182"/>
      <c r="M45" s="182"/>
      <c r="N45" s="163"/>
      <c r="O45" s="259" t="str">
        <f>IF($O$24="Y",IFERROR(E45*($E$6/SUMIF($G$3:$G$14,"Y",$E$3:$E$14))*$O$16*'Emissions Factors'!B30,""),"")</f>
        <v/>
      </c>
      <c r="P45" s="259" t="str">
        <f>IF($P$24="Y",IFERROR($E45*(SUM($E$3,$E$4,$E$5)/SUMIF($G$3:$G$14,"Y",$E$3:$E$14))*('Emissions Factors'!$T$143*$P$16)/10^6,""),"")</f>
        <v/>
      </c>
      <c r="Q45" s="259">
        <f t="shared" si="7"/>
        <v>10.615378796801327</v>
      </c>
      <c r="R45" s="259">
        <f t="shared" si="8"/>
        <v>4.2216920909009703</v>
      </c>
      <c r="T45" s="180">
        <f t="shared" si="1"/>
        <v>14.837070887702296</v>
      </c>
      <c r="U45" s="180">
        <f t="shared" si="2"/>
        <v>0</v>
      </c>
      <c r="V45" s="177"/>
      <c r="X45" s="180">
        <f t="shared" si="3"/>
        <v>14.837070887702296</v>
      </c>
      <c r="Y45" s="180">
        <f t="shared" si="4"/>
        <v>0</v>
      </c>
    </row>
    <row r="46" spans="1:25" ht="15.6" x14ac:dyDescent="0.3">
      <c r="A46" s="152">
        <v>2034</v>
      </c>
      <c r="B46" s="178">
        <f t="shared" si="0"/>
        <v>0</v>
      </c>
      <c r="C46" s="182">
        <f t="shared" si="9"/>
        <v>0</v>
      </c>
      <c r="D46" s="183"/>
      <c r="E46" s="179">
        <f t="shared" si="5"/>
        <v>9.0971954739367629</v>
      </c>
      <c r="F46" s="183">
        <f t="shared" si="10"/>
        <v>1.048985949910394</v>
      </c>
      <c r="G46" s="247">
        <f t="shared" si="6"/>
        <v>0.38919405700890775</v>
      </c>
      <c r="H46" s="246"/>
      <c r="J46" s="182"/>
      <c r="K46" s="182"/>
      <c r="L46" s="182"/>
      <c r="M46" s="182"/>
      <c r="N46" s="163"/>
      <c r="O46" s="259" t="str">
        <f>IF($O$24="Y",IFERROR(E46*($E$6/SUMIF($G$3:$G$14,"Y",$E$3:$E$14))*$O$16*'Emissions Factors'!B31,""),"")</f>
        <v/>
      </c>
      <c r="P46" s="259" t="str">
        <f>IF($P$24="Y",IFERROR($E46*(SUM($E$3,$E$4,$E$5)/SUMIF($G$3:$G$14,"Y",$E$3:$E$14))*('Emissions Factors'!$T$143*$P$16)/10^6,""),"")</f>
        <v/>
      </c>
      <c r="Q46" s="259">
        <f t="shared" si="7"/>
        <v>11.998963950440627</v>
      </c>
      <c r="R46" s="259">
        <f t="shared" si="8"/>
        <v>4.7719381642645597</v>
      </c>
      <c r="T46" s="180">
        <f t="shared" si="1"/>
        <v>16.770902114705187</v>
      </c>
      <c r="U46" s="180">
        <f t="shared" si="2"/>
        <v>0</v>
      </c>
      <c r="V46" s="177"/>
      <c r="X46" s="180">
        <f t="shared" si="3"/>
        <v>16.770902114705187</v>
      </c>
      <c r="Y46" s="180">
        <f t="shared" si="4"/>
        <v>0</v>
      </c>
    </row>
    <row r="47" spans="1:25" ht="15.6" x14ac:dyDescent="0.3">
      <c r="A47" s="152">
        <v>2035</v>
      </c>
      <c r="B47" s="178">
        <f t="shared" si="0"/>
        <v>0</v>
      </c>
      <c r="C47" s="182">
        <f t="shared" si="9"/>
        <v>0</v>
      </c>
      <c r="D47" s="183"/>
      <c r="E47" s="179">
        <f t="shared" si="5"/>
        <v>10.185223234063431</v>
      </c>
      <c r="F47" s="183">
        <f t="shared" si="10"/>
        <v>1.0880277601266677</v>
      </c>
      <c r="G47" s="247">
        <f t="shared" si="6"/>
        <v>0.3899069701011445</v>
      </c>
      <c r="H47" s="246"/>
      <c r="J47" s="182"/>
      <c r="K47" s="182"/>
      <c r="L47" s="182"/>
      <c r="M47" s="182"/>
      <c r="N47" s="163"/>
      <c r="O47" s="259" t="str">
        <f>IF($O$24="Y",IFERROR(E47*($E$6/SUMIF($G$3:$G$14,"Y",$E$3:$E$14))*$O$16*'Emissions Factors'!B32,""),"")</f>
        <v/>
      </c>
      <c r="P47" s="259" t="str">
        <f>IF($P$24="Y",IFERROR($E47*(SUM($E$3,$E$4,$E$5)/SUMIF($G$3:$G$14,"Y",$E$3:$E$14))*('Emissions Factors'!$T$143*$P$16)/10^6,""),"")</f>
        <v/>
      </c>
      <c r="Q47" s="259">
        <f t="shared" si="7"/>
        <v>13.434044235154898</v>
      </c>
      <c r="R47" s="259">
        <f t="shared" si="8"/>
        <v>5.3426636375384593</v>
      </c>
      <c r="T47" s="180">
        <f t="shared" si="1"/>
        <v>18.776707872693358</v>
      </c>
      <c r="U47" s="180">
        <f t="shared" si="2"/>
        <v>0</v>
      </c>
      <c r="V47" s="177"/>
      <c r="X47" s="180">
        <f t="shared" si="3"/>
        <v>18.776707872693358</v>
      </c>
      <c r="Y47" s="180">
        <f t="shared" si="4"/>
        <v>0</v>
      </c>
    </row>
    <row r="48" spans="1:25" ht="15.6" x14ac:dyDescent="0.3">
      <c r="A48" s="152">
        <v>2036</v>
      </c>
      <c r="B48" s="178">
        <f t="shared" si="0"/>
        <v>0</v>
      </c>
      <c r="C48" s="182">
        <f t="shared" si="9"/>
        <v>0</v>
      </c>
      <c r="D48" s="183"/>
      <c r="E48" s="179">
        <f t="shared" si="5"/>
        <v>11.308562417330865</v>
      </c>
      <c r="F48" s="183">
        <f t="shared" si="10"/>
        <v>1.1233391832674346</v>
      </c>
      <c r="G48" s="247">
        <f t="shared" si="6"/>
        <v>0.39063473782778318</v>
      </c>
      <c r="H48" s="246"/>
      <c r="J48" s="182"/>
      <c r="K48" s="182"/>
      <c r="L48" s="182"/>
      <c r="M48" s="182"/>
      <c r="N48" s="163"/>
      <c r="O48" s="259" t="str">
        <f>IF($O$24="Y",IFERROR(E48*($E$6/SUMIF($G$3:$G$14,"Y",$E$3:$E$14))*$O$16*'Emissions Factors'!B33,""),"")</f>
        <v/>
      </c>
      <c r="P48" s="259" t="str">
        <f>IF($P$24="Y",IFERROR($E48*(SUM($E$3,$E$4,$E$5)/SUMIF($G$3:$G$14,"Y",$E$3:$E$14))*('Emissions Factors'!$T$143*$P$16)/10^6,""),"")</f>
        <v/>
      </c>
      <c r="Q48" s="259">
        <f t="shared" si="7"/>
        <v>14.915699367526198</v>
      </c>
      <c r="R48" s="259">
        <f t="shared" si="8"/>
        <v>5.9319117344278096</v>
      </c>
      <c r="T48" s="180">
        <f t="shared" si="1"/>
        <v>20.847611101954008</v>
      </c>
      <c r="U48" s="180">
        <f t="shared" si="2"/>
        <v>0</v>
      </c>
      <c r="V48" s="177"/>
      <c r="X48" s="180">
        <f t="shared" si="3"/>
        <v>20.847611101954008</v>
      </c>
      <c r="Y48" s="180">
        <f t="shared" si="4"/>
        <v>0</v>
      </c>
    </row>
    <row r="49" spans="1:25" ht="15.6" x14ac:dyDescent="0.3">
      <c r="A49" s="152">
        <v>2037</v>
      </c>
      <c r="B49" s="178">
        <f t="shared" si="0"/>
        <v>0</v>
      </c>
      <c r="C49" s="182">
        <f t="shared" si="9"/>
        <v>0</v>
      </c>
      <c r="D49" s="183"/>
      <c r="E49" s="179">
        <f t="shared" si="5"/>
        <v>12.469771836729956</v>
      </c>
      <c r="F49" s="183">
        <f t="shared" si="10"/>
        <v>1.1612094193990909</v>
      </c>
      <c r="G49" s="247">
        <f t="shared" si="6"/>
        <v>0.39135255800815605</v>
      </c>
      <c r="H49" s="246"/>
      <c r="J49" s="182"/>
      <c r="K49" s="182"/>
      <c r="L49" s="182"/>
      <c r="M49" s="182"/>
      <c r="N49" s="163"/>
      <c r="O49" s="259" t="str">
        <f>IF($O$24="Y",IFERROR(E49*($E$6/SUMIF($G$3:$G$14,"Y",$E$3:$E$14))*$O$16*'Emissions Factors'!B34,""),"")</f>
        <v/>
      </c>
      <c r="P49" s="259" t="str">
        <f>IF($P$24="Y",IFERROR($E49*(SUM($E$3,$E$4,$E$5)/SUMIF($G$3:$G$14,"Y",$E$3:$E$14))*('Emissions Factors'!$T$143*$P$16)/10^6,""),"")</f>
        <v/>
      </c>
      <c r="Q49" s="259">
        <f t="shared" si="7"/>
        <v>16.447304355261195</v>
      </c>
      <c r="R49" s="259">
        <f t="shared" si="8"/>
        <v>6.5410246814903923</v>
      </c>
      <c r="T49" s="180">
        <f t="shared" si="1"/>
        <v>22.988329036751587</v>
      </c>
      <c r="U49" s="180">
        <f t="shared" si="2"/>
        <v>0</v>
      </c>
      <c r="V49" s="177"/>
      <c r="X49" s="180">
        <f t="shared" si="3"/>
        <v>22.988329036751587</v>
      </c>
      <c r="Y49" s="180">
        <f t="shared" si="4"/>
        <v>0</v>
      </c>
    </row>
    <row r="50" spans="1:25" ht="15.6" x14ac:dyDescent="0.3">
      <c r="A50" s="152">
        <v>2038</v>
      </c>
      <c r="B50" s="178">
        <f t="shared" si="0"/>
        <v>0</v>
      </c>
      <c r="C50" s="182">
        <f t="shared" si="9"/>
        <v>0</v>
      </c>
      <c r="D50" s="183"/>
      <c r="E50" s="179">
        <f t="shared" si="5"/>
        <v>13.674187863780144</v>
      </c>
      <c r="F50" s="183">
        <f t="shared" si="10"/>
        <v>1.204416027050188</v>
      </c>
      <c r="G50" s="247">
        <f t="shared" si="6"/>
        <v>0.39204438846674872</v>
      </c>
      <c r="H50" s="246"/>
      <c r="J50" s="182"/>
      <c r="K50" s="182"/>
      <c r="L50" s="182"/>
      <c r="M50" s="182"/>
      <c r="N50" s="163"/>
      <c r="O50" s="259" t="str">
        <f>IF($O$24="Y",IFERROR(E50*($E$6/SUMIF($G$3:$G$14,"Y",$E$3:$E$14))*$O$16*'Emissions Factors'!B35,""),"")</f>
        <v/>
      </c>
      <c r="P50" s="259" t="str">
        <f>IF($P$24="Y",IFERROR($E50*(SUM($E$3,$E$4,$E$5)/SUMIF($G$3:$G$14,"Y",$E$3:$E$14))*('Emissions Factors'!$T$143*$P$16)/10^6,""),"")</f>
        <v/>
      </c>
      <c r="Q50" s="259">
        <f t="shared" si="7"/>
        <v>18.035897733441541</v>
      </c>
      <c r="R50" s="259">
        <f t="shared" si="8"/>
        <v>7.1728016749164256</v>
      </c>
      <c r="T50" s="180">
        <f t="shared" si="1"/>
        <v>25.208699408357965</v>
      </c>
      <c r="U50" s="180">
        <f t="shared" si="2"/>
        <v>0</v>
      </c>
      <c r="V50" s="177"/>
      <c r="X50" s="180">
        <f t="shared" si="3"/>
        <v>25.208699408357965</v>
      </c>
      <c r="Y50" s="180">
        <f t="shared" si="4"/>
        <v>0</v>
      </c>
    </row>
    <row r="51" spans="1:25" ht="15.6" x14ac:dyDescent="0.3">
      <c r="A51" s="152">
        <v>2039</v>
      </c>
      <c r="B51" s="178">
        <f t="shared" si="0"/>
        <v>0</v>
      </c>
      <c r="C51" s="182">
        <f t="shared" si="9"/>
        <v>0</v>
      </c>
      <c r="D51" s="183"/>
      <c r="E51" s="179">
        <f t="shared" si="5"/>
        <v>14.930968814105093</v>
      </c>
      <c r="F51" s="183">
        <f t="shared" si="10"/>
        <v>1.2567809503249485</v>
      </c>
      <c r="G51" s="247">
        <f t="shared" si="6"/>
        <v>0.39269783240418327</v>
      </c>
      <c r="H51" s="246"/>
      <c r="J51" s="182"/>
      <c r="K51" s="182"/>
      <c r="L51" s="182"/>
      <c r="M51" s="182"/>
      <c r="N51" s="163"/>
      <c r="O51" s="259" t="str">
        <f>IF($O$24="Y",IFERROR(E51*($E$6/SUMIF($G$3:$G$14,"Y",$E$3:$E$14))*$O$16*'Emissions Factors'!B36,""),"")</f>
        <v/>
      </c>
      <c r="P51" s="259" t="str">
        <f>IF($P$24="Y",IFERROR($E51*(SUM($E$3,$E$4,$E$5)/SUMIF($G$3:$G$14,"Y",$E$3:$E$14))*('Emissions Factors'!$T$143*$P$16)/10^6,""),"")</f>
        <v/>
      </c>
      <c r="Q51" s="259">
        <f t="shared" si="7"/>
        <v>19.693559081903661</v>
      </c>
      <c r="R51" s="259">
        <f t="shared" si="8"/>
        <v>7.832046713473459</v>
      </c>
      <c r="T51" s="180">
        <f t="shared" si="1"/>
        <v>27.525605795377121</v>
      </c>
      <c r="U51" s="180">
        <f t="shared" si="2"/>
        <v>0</v>
      </c>
      <c r="V51" s="177"/>
      <c r="X51" s="180">
        <f t="shared" si="3"/>
        <v>27.525605795377121</v>
      </c>
      <c r="Y51" s="180">
        <f t="shared" si="4"/>
        <v>0</v>
      </c>
    </row>
    <row r="52" spans="1:25" ht="15.6" x14ac:dyDescent="0.3">
      <c r="A52" s="152">
        <v>2040</v>
      </c>
      <c r="B52" s="178">
        <f t="shared" si="0"/>
        <v>0</v>
      </c>
      <c r="C52" s="182">
        <f t="shared" si="9"/>
        <v>0</v>
      </c>
      <c r="D52" s="183"/>
      <c r="E52" s="179">
        <f t="shared" si="5"/>
        <v>16.248371504408055</v>
      </c>
      <c r="F52" s="183">
        <f t="shared" si="10"/>
        <v>1.3174026903029628</v>
      </c>
      <c r="G52" s="247">
        <f t="shared" si="6"/>
        <v>0.39330447693060838</v>
      </c>
      <c r="H52" s="246"/>
      <c r="J52" s="182"/>
      <c r="K52" s="182"/>
      <c r="L52" s="182"/>
      <c r="M52" s="182"/>
      <c r="N52" s="163"/>
      <c r="O52" s="259" t="str">
        <f>IF($O$24="Y",IFERROR(E52*($E$6/SUMIF($G$3:$G$14,"Y",$E$3:$E$14))*$O$16*'Emissions Factors'!B37,""),"")</f>
        <v/>
      </c>
      <c r="P52" s="259" t="str">
        <f>IF($P$24="Y",IFERROR($E52*(SUM($E$3,$E$4,$E$5)/SUMIF($G$3:$G$14,"Y",$E$3:$E$14))*('Emissions Factors'!$T$143*$P$16)/10^6,""),"")</f>
        <v/>
      </c>
      <c r="Q52" s="259">
        <f t="shared" si="7"/>
        <v>21.431178926881906</v>
      </c>
      <c r="R52" s="259">
        <f t="shared" si="8"/>
        <v>8.5230909142463638</v>
      </c>
      <c r="T52" s="180">
        <f t="shared" si="1"/>
        <v>29.954269841128269</v>
      </c>
      <c r="U52" s="180">
        <f t="shared" si="2"/>
        <v>0</v>
      </c>
      <c r="V52" s="177"/>
      <c r="X52" s="180">
        <f t="shared" si="3"/>
        <v>29.954269841128269</v>
      </c>
      <c r="Y52" s="180">
        <f t="shared" si="4"/>
        <v>0</v>
      </c>
    </row>
    <row r="53" spans="1:25" ht="15.6" x14ac:dyDescent="0.3">
      <c r="A53" s="152">
        <v>2041</v>
      </c>
      <c r="B53" s="178">
        <f t="shared" si="0"/>
        <v>0</v>
      </c>
      <c r="C53" s="182">
        <f t="shared" si="9"/>
        <v>0</v>
      </c>
      <c r="D53" s="183"/>
      <c r="E53" s="179">
        <f t="shared" si="5"/>
        <v>17.62958692726076</v>
      </c>
      <c r="F53" s="183">
        <f t="shared" si="10"/>
        <v>1.3812154228527049</v>
      </c>
      <c r="G53" s="247">
        <f t="shared" si="6"/>
        <v>0.39386161003597148</v>
      </c>
      <c r="H53" s="246"/>
      <c r="J53" s="182"/>
      <c r="K53" s="182"/>
      <c r="L53" s="182"/>
      <c r="M53" s="182"/>
      <c r="N53" s="163"/>
      <c r="O53" s="259" t="str">
        <f>IF($O$24="Y",IFERROR(E53*($E$6/SUMIF($G$3:$G$14,"Y",$E$3:$E$14))*$O$16*'Emissions Factors'!B38,""),"")</f>
        <v/>
      </c>
      <c r="P53" s="259" t="str">
        <f>IF($P$24="Y",IFERROR($E53*(SUM($E$3,$E$4,$E$5)/SUMIF($G$3:$G$14,"Y",$E$3:$E$14))*('Emissions Factors'!$T$143*$P$16)/10^6,""),"")</f>
        <v/>
      </c>
      <c r="Q53" s="259">
        <f t="shared" si="7"/>
        <v>23.25296610448888</v>
      </c>
      <c r="R53" s="259">
        <f t="shared" si="8"/>
        <v>9.2476081138893633</v>
      </c>
      <c r="T53" s="180">
        <f t="shared" si="1"/>
        <v>32.500574218378247</v>
      </c>
      <c r="U53" s="180">
        <f t="shared" si="2"/>
        <v>0</v>
      </c>
      <c r="V53" s="177"/>
      <c r="X53" s="180">
        <f t="shared" si="3"/>
        <v>32.500574218378247</v>
      </c>
      <c r="Y53" s="180">
        <f t="shared" si="4"/>
        <v>0</v>
      </c>
    </row>
    <row r="54" spans="1:25" ht="15.6" x14ac:dyDescent="0.3">
      <c r="A54" s="152">
        <v>2042</v>
      </c>
      <c r="B54" s="178">
        <f t="shared" si="0"/>
        <v>0</v>
      </c>
      <c r="C54" s="182">
        <f t="shared" si="9"/>
        <v>0</v>
      </c>
      <c r="D54" s="183"/>
      <c r="E54" s="179">
        <f t="shared" si="5"/>
        <v>19.076262515631019</v>
      </c>
      <c r="F54" s="183">
        <f t="shared" si="10"/>
        <v>1.4466755883702582</v>
      </c>
      <c r="G54" s="247">
        <f t="shared" si="6"/>
        <v>0.39436378938092259</v>
      </c>
      <c r="H54" s="246"/>
      <c r="J54" s="182"/>
      <c r="K54" s="182"/>
      <c r="L54" s="182"/>
      <c r="M54" s="182"/>
      <c r="N54" s="163"/>
      <c r="O54" s="259" t="str">
        <f>IF($O$24="Y",IFERROR(E54*($E$6/SUMIF($G$3:$G$14,"Y",$E$3:$E$14))*$O$16*'Emissions Factors'!B39,""),"")</f>
        <v/>
      </c>
      <c r="P54" s="259" t="str">
        <f>IF($P$24="Y",IFERROR($E54*(SUM($E$3,$E$4,$E$5)/SUMIF($G$3:$G$14,"Y",$E$3:$E$14))*('Emissions Factors'!$T$143*$P$16)/10^6,""),"")</f>
        <v/>
      </c>
      <c r="Q54" s="259">
        <f t="shared" si="7"/>
        <v>25.161093535912027</v>
      </c>
      <c r="R54" s="259">
        <f t="shared" si="8"/>
        <v>10.006462474140511</v>
      </c>
      <c r="T54" s="180">
        <f t="shared" si="1"/>
        <v>35.167556010052536</v>
      </c>
      <c r="U54" s="180">
        <f t="shared" si="2"/>
        <v>0</v>
      </c>
      <c r="V54" s="177"/>
      <c r="X54" s="180">
        <f t="shared" si="3"/>
        <v>35.167556010052536</v>
      </c>
      <c r="Y54" s="180">
        <f t="shared" si="4"/>
        <v>0</v>
      </c>
    </row>
    <row r="55" spans="1:25" ht="15.6" x14ac:dyDescent="0.3">
      <c r="A55" s="152">
        <v>2043</v>
      </c>
      <c r="B55" s="178">
        <f t="shared" si="0"/>
        <v>0</v>
      </c>
      <c r="C55" s="182">
        <f t="shared" si="9"/>
        <v>0</v>
      </c>
      <c r="D55" s="183"/>
      <c r="E55" s="179">
        <f t="shared" si="5"/>
        <v>20.594392367741705</v>
      </c>
      <c r="F55" s="183">
        <f t="shared" si="10"/>
        <v>1.5181298521106861</v>
      </c>
      <c r="G55" s="247">
        <f t="shared" si="6"/>
        <v>0.39480194175872874</v>
      </c>
      <c r="H55" s="246"/>
      <c r="J55" s="182"/>
      <c r="K55" s="182"/>
      <c r="L55" s="182"/>
      <c r="M55" s="182"/>
      <c r="N55" s="163"/>
      <c r="O55" s="259" t="str">
        <f>IF($O$24="Y",IFERROR(E55*($E$6/SUMIF($G$3:$G$14,"Y",$E$3:$E$14))*$O$16*'Emissions Factors'!B40,""),"")</f>
        <v/>
      </c>
      <c r="P55" s="259" t="str">
        <f>IF($P$24="Y",IFERROR($E55*(SUM($E$3,$E$4,$E$5)/SUMIF($G$3:$G$14,"Y",$E$3:$E$14))*('Emissions Factors'!$T$143*$P$16)/10^6,""),"")</f>
        <v/>
      </c>
      <c r="Q55" s="259">
        <f t="shared" si="7"/>
        <v>27.163467280628431</v>
      </c>
      <c r="R55" s="259">
        <f t="shared" si="8"/>
        <v>10.802798202041641</v>
      </c>
      <c r="T55" s="180">
        <f t="shared" si="1"/>
        <v>37.966265482670075</v>
      </c>
      <c r="U55" s="180">
        <f t="shared" si="2"/>
        <v>0</v>
      </c>
      <c r="V55" s="177"/>
      <c r="X55" s="180">
        <f t="shared" si="3"/>
        <v>37.966265482670075</v>
      </c>
      <c r="Y55" s="180">
        <f t="shared" si="4"/>
        <v>0</v>
      </c>
    </row>
    <row r="56" spans="1:25" ht="15.6" x14ac:dyDescent="0.3">
      <c r="A56" s="152">
        <v>2044</v>
      </c>
      <c r="B56" s="178">
        <f t="shared" si="0"/>
        <v>0</v>
      </c>
      <c r="C56" s="182">
        <f t="shared" si="9"/>
        <v>0</v>
      </c>
      <c r="D56" s="183"/>
      <c r="E56" s="179">
        <f t="shared" si="5"/>
        <v>22.190873677537972</v>
      </c>
      <c r="F56" s="183">
        <f t="shared" si="10"/>
        <v>1.5964813097962676</v>
      </c>
      <c r="G56" s="247">
        <f t="shared" si="6"/>
        <v>0.39516746486288684</v>
      </c>
      <c r="H56" s="246"/>
      <c r="J56" s="182"/>
      <c r="K56" s="182"/>
      <c r="L56" s="182"/>
      <c r="M56" s="182"/>
      <c r="N56" s="163"/>
      <c r="O56" s="259" t="str">
        <f>IF($O$24="Y",IFERROR(E56*($E$6/SUMIF($G$3:$G$14,"Y",$E$3:$E$14))*$O$16*'Emissions Factors'!B41,""),"")</f>
        <v/>
      </c>
      <c r="P56" s="259" t="str">
        <f>IF($P$24="Y",IFERROR($E56*(SUM($E$3,$E$4,$E$5)/SUMIF($G$3:$G$14,"Y",$E$3:$E$14))*('Emissions Factors'!$T$143*$P$16)/10^6,""),"")</f>
        <v/>
      </c>
      <c r="Q56" s="259">
        <f t="shared" si="7"/>
        <v>29.269184557857379</v>
      </c>
      <c r="R56" s="259">
        <f t="shared" si="8"/>
        <v>11.640233223920433</v>
      </c>
      <c r="T56" s="180">
        <f t="shared" si="1"/>
        <v>40.909417781777812</v>
      </c>
      <c r="U56" s="180">
        <f t="shared" si="2"/>
        <v>0</v>
      </c>
      <c r="V56" s="177"/>
      <c r="X56" s="180">
        <f t="shared" si="3"/>
        <v>40.909417781777812</v>
      </c>
      <c r="Y56" s="180">
        <f t="shared" si="4"/>
        <v>0</v>
      </c>
    </row>
    <row r="57" spans="1:25" ht="15.6" x14ac:dyDescent="0.3">
      <c r="A57" s="152">
        <v>2045</v>
      </c>
      <c r="B57" s="178">
        <f t="shared" si="0"/>
        <v>0</v>
      </c>
      <c r="C57" s="182">
        <f t="shared" si="9"/>
        <v>0</v>
      </c>
      <c r="D57" s="183"/>
      <c r="E57" s="179">
        <f t="shared" si="5"/>
        <v>23.872425005778414</v>
      </c>
      <c r="F57" s="183">
        <f t="shared" si="10"/>
        <v>1.6815513282404417</v>
      </c>
      <c r="G57" s="247">
        <f t="shared" si="6"/>
        <v>0.39545699591173811</v>
      </c>
      <c r="H57" s="246"/>
      <c r="J57" s="182"/>
      <c r="K57" s="182"/>
      <c r="L57" s="182"/>
      <c r="M57" s="182"/>
      <c r="N57" s="163"/>
      <c r="O57" s="259" t="str">
        <f>IF($O$24="Y",IFERROR(E57*($E$6/SUMIF($G$3:$G$14,"Y",$E$3:$E$14))*$O$16*'Emissions Factors'!B42,""),"")</f>
        <v/>
      </c>
      <c r="P57" s="259" t="str">
        <f>IF($P$24="Y",IFERROR($E57*(SUM($E$3,$E$4,$E$5)/SUMIF($G$3:$G$14,"Y",$E$3:$E$14))*('Emissions Factors'!$T$143*$P$16)/10^6,""),"")</f>
        <v/>
      </c>
      <c r="Q57" s="259">
        <f t="shared" si="7"/>
        <v>31.487106974296474</v>
      </c>
      <c r="R57" s="259">
        <f t="shared" si="8"/>
        <v>12.522291763982546</v>
      </c>
      <c r="T57" s="180">
        <f t="shared" si="1"/>
        <v>44.009398738279017</v>
      </c>
      <c r="U57" s="180">
        <f t="shared" si="2"/>
        <v>0</v>
      </c>
      <c r="V57" s="177"/>
      <c r="X57" s="180">
        <f t="shared" si="3"/>
        <v>44.009398738279017</v>
      </c>
      <c r="Y57" s="180">
        <f t="shared" si="4"/>
        <v>0</v>
      </c>
    </row>
    <row r="58" spans="1:25" ht="15.6" x14ac:dyDescent="0.3">
      <c r="A58" s="152">
        <v>2046</v>
      </c>
      <c r="B58" s="178">
        <f t="shared" si="0"/>
        <v>0</v>
      </c>
      <c r="C58" s="182">
        <f t="shared" si="9"/>
        <v>0</v>
      </c>
      <c r="D58" s="183"/>
      <c r="E58" s="179">
        <f t="shared" si="5"/>
        <v>25.644445619606628</v>
      </c>
      <c r="F58" s="183">
        <f t="shared" si="10"/>
        <v>1.7720206138282144</v>
      </c>
      <c r="G58" s="247">
        <f t="shared" si="6"/>
        <v>0.3956765132072862</v>
      </c>
      <c r="H58" s="246"/>
      <c r="J58" s="182"/>
      <c r="K58" s="182"/>
      <c r="L58" s="182"/>
      <c r="M58" s="182"/>
      <c r="N58" s="163"/>
      <c r="O58" s="259" t="str">
        <f>IF($O$24="Y",IFERROR(E58*($E$6/SUMIF($G$3:$G$14,"Y",$E$3:$E$14))*$O$16*'Emissions Factors'!B43,""),"")</f>
        <v/>
      </c>
      <c r="P58" s="259" t="str">
        <f>IF($P$24="Y",IFERROR($E58*(SUM($E$3,$E$4,$E$5)/SUMIF($G$3:$G$14,"Y",$E$3:$E$14))*('Emissions Factors'!$T$143*$P$16)/10^6,""),"")</f>
        <v/>
      </c>
      <c r="Q58" s="259">
        <f t="shared" si="7"/>
        <v>33.8243560227179</v>
      </c>
      <c r="R58" s="259">
        <f t="shared" si="8"/>
        <v>13.451806010347429</v>
      </c>
      <c r="T58" s="180">
        <f t="shared" si="1"/>
        <v>47.276162033065333</v>
      </c>
      <c r="U58" s="180">
        <f t="shared" si="2"/>
        <v>0</v>
      </c>
      <c r="V58" s="177"/>
      <c r="X58" s="180">
        <f t="shared" si="3"/>
        <v>47.276162033065333</v>
      </c>
      <c r="Y58" s="180">
        <f t="shared" si="4"/>
        <v>0</v>
      </c>
    </row>
    <row r="59" spans="1:25" ht="15.6" x14ac:dyDescent="0.3">
      <c r="A59" s="152">
        <v>2047</v>
      </c>
      <c r="B59" s="178">
        <f t="shared" si="0"/>
        <v>0</v>
      </c>
      <c r="C59" s="182">
        <f t="shared" si="9"/>
        <v>0</v>
      </c>
      <c r="D59" s="183"/>
      <c r="E59" s="179">
        <f t="shared" si="5"/>
        <v>27.511976127854957</v>
      </c>
      <c r="F59" s="183">
        <f t="shared" si="10"/>
        <v>1.8675305082483291</v>
      </c>
      <c r="G59" s="247">
        <f t="shared" si="6"/>
        <v>0.39583058578201641</v>
      </c>
      <c r="H59" s="246"/>
      <c r="J59" s="182"/>
      <c r="K59" s="182"/>
      <c r="L59" s="182"/>
      <c r="M59" s="182"/>
      <c r="N59" s="163"/>
      <c r="O59" s="259" t="str">
        <f>IF($O$24="Y",IFERROR(E59*($E$6/SUMIF($G$3:$G$14,"Y",$E$3:$E$14))*$O$16*'Emissions Factors'!B44,""),"")</f>
        <v/>
      </c>
      <c r="P59" s="259" t="str">
        <f>IF($P$24="Y",IFERROR($E59*(SUM($E$3,$E$4,$E$5)/SUMIF($G$3:$G$14,"Y",$E$3:$E$14))*('Emissions Factors'!$T$143*$P$16)/10^6,""),"")</f>
        <v/>
      </c>
      <c r="Q59" s="259">
        <f t="shared" si="7"/>
        <v>36.287580134920319</v>
      </c>
      <c r="R59" s="259">
        <f t="shared" si="8"/>
        <v>14.431420016748689</v>
      </c>
      <c r="T59" s="180">
        <f t="shared" si="1"/>
        <v>50.719000151669007</v>
      </c>
      <c r="U59" s="180">
        <f t="shared" si="2"/>
        <v>0</v>
      </c>
      <c r="V59" s="177"/>
      <c r="X59" s="180">
        <f t="shared" si="3"/>
        <v>50.719000151669007</v>
      </c>
      <c r="Y59" s="180">
        <f t="shared" si="4"/>
        <v>0</v>
      </c>
    </row>
    <row r="60" spans="1:25" ht="15.6" x14ac:dyDescent="0.3">
      <c r="A60" s="152">
        <v>2048</v>
      </c>
      <c r="B60" s="178">
        <f t="shared" si="0"/>
        <v>0</v>
      </c>
      <c r="C60" s="182">
        <f t="shared" si="9"/>
        <v>0</v>
      </c>
      <c r="D60" s="183"/>
      <c r="E60" s="179">
        <f t="shared" si="5"/>
        <v>29.481148833582967</v>
      </c>
      <c r="F60" s="183">
        <f t="shared" si="10"/>
        <v>1.9691727057280097</v>
      </c>
      <c r="G60" s="247">
        <f t="shared" si="6"/>
        <v>0.39591571917923829</v>
      </c>
      <c r="H60" s="246"/>
      <c r="J60" s="182"/>
      <c r="K60" s="182"/>
      <c r="L60" s="182"/>
      <c r="M60" s="182"/>
      <c r="N60" s="163"/>
      <c r="O60" s="259" t="str">
        <f>IF($O$24="Y",IFERROR(E60*($E$6/SUMIF($G$3:$G$14,"Y",$E$3:$E$14))*$O$16*'Emissions Factors'!B45,""),"")</f>
        <v/>
      </c>
      <c r="P60" s="259" t="str">
        <f>IF($P$24="Y",IFERROR($E60*(SUM($E$3,$E$4,$E$5)/SUMIF($G$3:$G$14,"Y",$E$3:$E$14))*('Emissions Factors'!$T$143*$P$16)/10^6,""),"")</f>
        <v/>
      </c>
      <c r="Q60" s="259">
        <f t="shared" si="7"/>
        <v>38.884867658961745</v>
      </c>
      <c r="R60" s="259">
        <f t="shared" si="8"/>
        <v>15.464350485640239</v>
      </c>
      <c r="T60" s="180">
        <f t="shared" si="1"/>
        <v>54.349218144601984</v>
      </c>
      <c r="U60" s="180">
        <f t="shared" si="2"/>
        <v>0</v>
      </c>
      <c r="V60" s="177"/>
      <c r="X60" s="180">
        <f t="shared" si="3"/>
        <v>54.349218144601984</v>
      </c>
      <c r="Y60" s="180">
        <f t="shared" si="4"/>
        <v>0</v>
      </c>
    </row>
    <row r="61" spans="1:25" ht="15.6" x14ac:dyDescent="0.3">
      <c r="A61" s="152">
        <v>2049</v>
      </c>
      <c r="B61" s="178">
        <f t="shared" si="0"/>
        <v>0</v>
      </c>
      <c r="C61" s="182">
        <f t="shared" si="9"/>
        <v>0</v>
      </c>
      <c r="D61" s="183"/>
      <c r="E61" s="179">
        <f t="shared" si="5"/>
        <v>31.558269979785386</v>
      </c>
      <c r="F61" s="183">
        <f t="shared" si="10"/>
        <v>2.0771211462024191</v>
      </c>
      <c r="G61" s="247">
        <f t="shared" si="6"/>
        <v>0.39592779111082688</v>
      </c>
      <c r="H61" s="246"/>
      <c r="J61" s="182"/>
      <c r="K61" s="182"/>
      <c r="L61" s="182"/>
      <c r="M61" s="182"/>
      <c r="N61" s="163"/>
      <c r="O61" s="259" t="str">
        <f>IF($O$24="Y",IFERROR(E61*($E$6/SUMIF($G$3:$G$14,"Y",$E$3:$E$14))*$O$16*'Emissions Factors'!B46,""),"")</f>
        <v/>
      </c>
      <c r="P61" s="259" t="str">
        <f>IF($P$24="Y",IFERROR($E61*(SUM($E$3,$E$4,$E$5)/SUMIF($G$3:$G$14,"Y",$E$3:$E$14))*('Emissions Factors'!$T$143*$P$16)/10^6,""),"")</f>
        <v/>
      </c>
      <c r="Q61" s="259">
        <f t="shared" si="7"/>
        <v>41.62453636514546</v>
      </c>
      <c r="R61" s="259">
        <f t="shared" si="8"/>
        <v>16.553905359750793</v>
      </c>
      <c r="T61" s="180">
        <f t="shared" si="1"/>
        <v>58.178441724896253</v>
      </c>
      <c r="U61" s="180">
        <f t="shared" si="2"/>
        <v>0</v>
      </c>
      <c r="V61" s="177"/>
      <c r="X61" s="180">
        <f t="shared" si="3"/>
        <v>58.178441724896253</v>
      </c>
      <c r="Y61" s="180">
        <f t="shared" si="4"/>
        <v>0</v>
      </c>
    </row>
    <row r="62" spans="1:25" ht="15.6" x14ac:dyDescent="0.3">
      <c r="A62" s="152">
        <v>2050</v>
      </c>
      <c r="B62" s="178">
        <f t="shared" si="0"/>
        <v>0</v>
      </c>
      <c r="C62" s="182">
        <f t="shared" si="9"/>
        <v>0</v>
      </c>
      <c r="D62" s="183"/>
      <c r="E62" s="179">
        <f t="shared" si="5"/>
        <v>33.749392976191331</v>
      </c>
      <c r="F62" s="183">
        <f t="shared" si="10"/>
        <v>2.1911229964059444</v>
      </c>
      <c r="G62" s="247">
        <f t="shared" si="6"/>
        <v>0.3958680829403477</v>
      </c>
      <c r="H62" s="246"/>
      <c r="J62" s="182"/>
      <c r="K62" s="182"/>
      <c r="L62" s="182"/>
      <c r="M62" s="182"/>
      <c r="N62" s="163"/>
      <c r="O62" s="259" t="str">
        <f>IF($O$24="Y",IFERROR(E62*($E$6/SUMIF($G$3:$G$14,"Y",$E$3:$E$14))*$O$16*'Emissions Factors'!B47,""),"")</f>
        <v/>
      </c>
      <c r="P62" s="259" t="str">
        <f>IF($P$24="Y",IFERROR($E62*(SUM($E$3,$E$4,$E$5)/SUMIF($G$3:$G$14,"Y",$E$3:$E$14))*('Emissions Factors'!$T$143*$P$16)/10^6,""),"")</f>
        <v/>
      </c>
      <c r="Q62" s="259">
        <f t="shared" si="7"/>
        <v>44.514570543280911</v>
      </c>
      <c r="R62" s="259">
        <f t="shared" si="8"/>
        <v>17.703259958000679</v>
      </c>
      <c r="T62" s="180">
        <f t="shared" si="1"/>
        <v>62.21783050128159</v>
      </c>
      <c r="U62" s="180">
        <f t="shared" si="2"/>
        <v>0</v>
      </c>
      <c r="V62" s="177"/>
      <c r="X62" s="180">
        <f t="shared" si="3"/>
        <v>62.21783050128159</v>
      </c>
      <c r="Y62" s="180">
        <f t="shared" si="4"/>
        <v>0</v>
      </c>
    </row>
    <row r="63" spans="1:25" ht="15.6" x14ac:dyDescent="0.3">
      <c r="A63" s="152">
        <v>2051</v>
      </c>
      <c r="B63" s="178">
        <f t="shared" si="0"/>
        <v>0</v>
      </c>
      <c r="C63" s="182">
        <f t="shared" si="9"/>
        <v>0</v>
      </c>
      <c r="D63" s="183"/>
      <c r="E63" s="179">
        <f t="shared" si="5"/>
        <v>36.060170714590022</v>
      </c>
      <c r="F63" s="183">
        <f t="shared" si="10"/>
        <v>2.3107777383986914</v>
      </c>
      <c r="G63" s="247">
        <f t="shared" si="6"/>
        <v>0.39574436849905514</v>
      </c>
      <c r="H63" s="246"/>
      <c r="J63" s="182"/>
      <c r="K63" s="182"/>
      <c r="L63" s="182"/>
      <c r="M63" s="182"/>
      <c r="N63" s="163"/>
      <c r="O63" s="259" t="str">
        <f>IF($O$24="Y",IFERROR(E63*($E$6/SUMIF($G$3:$G$14,"Y",$E$3:$E$14))*$O$16*'Emissions Factors'!B48,""),"")</f>
        <v/>
      </c>
      <c r="P63" s="259" t="str">
        <f>IF($P$24="Y",IFERROR($E63*(SUM($E$3,$E$4,$E$5)/SUMIF($G$3:$G$14,"Y",$E$3:$E$14))*('Emissions Factors'!$T$143*$P$16)/10^6,""),"")</f>
        <v/>
      </c>
      <c r="Q63" s="259">
        <f t="shared" si="7"/>
        <v>47.562426210443789</v>
      </c>
      <c r="R63" s="259">
        <f t="shared" si="8"/>
        <v>18.91537950743648</v>
      </c>
      <c r="T63" s="180" t="str">
        <f t="shared" si="1"/>
        <v/>
      </c>
      <c r="U63" s="180" t="str">
        <f t="shared" si="2"/>
        <v/>
      </c>
      <c r="V63" s="177"/>
      <c r="X63" s="180">
        <f t="shared" si="3"/>
        <v>66.477805717880273</v>
      </c>
      <c r="Y63" s="180">
        <f t="shared" si="4"/>
        <v>0</v>
      </c>
    </row>
    <row r="64" spans="1:25" ht="15.6" x14ac:dyDescent="0.3">
      <c r="A64" s="152">
        <v>2052</v>
      </c>
      <c r="B64" s="178">
        <f t="shared" si="0"/>
        <v>0</v>
      </c>
      <c r="C64" s="182">
        <f t="shared" si="9"/>
        <v>0</v>
      </c>
      <c r="D64" s="183"/>
      <c r="E64" s="179">
        <f t="shared" si="5"/>
        <v>38.495746058302217</v>
      </c>
      <c r="F64" s="183">
        <f t="shared" si="10"/>
        <v>2.4355753437121948</v>
      </c>
      <c r="G64" s="247">
        <f t="shared" si="6"/>
        <v>0.39556911511742415</v>
      </c>
      <c r="H64" s="246"/>
      <c r="J64" s="182"/>
      <c r="K64" s="182"/>
      <c r="L64" s="182"/>
      <c r="M64" s="182"/>
      <c r="N64" s="163"/>
      <c r="O64" s="259" t="str">
        <f>IF($O$24="Y",IFERROR(E64*($E$6/SUMIF($G$3:$G$14,"Y",$E$3:$E$14))*$O$16*'Emissions Factors'!B49,""),"")</f>
        <v/>
      </c>
      <c r="P64" s="259" t="str">
        <f>IF($P$24="Y",IFERROR($E64*(SUM($E$3,$E$4,$E$5)/SUMIF($G$3:$G$14,"Y",$E$3:$E$14))*('Emissions Factors'!$T$143*$P$16)/10^6,""),"")</f>
        <v/>
      </c>
      <c r="Q64" s="259">
        <f t="shared" si="7"/>
        <v>50.774886669440392</v>
      </c>
      <c r="R64" s="259">
        <f t="shared" si="8"/>
        <v>20.192961699431795</v>
      </c>
      <c r="T64" s="180" t="str">
        <f t="shared" si="1"/>
        <v/>
      </c>
      <c r="U64" s="180" t="str">
        <f t="shared" si="2"/>
        <v/>
      </c>
      <c r="V64" s="177"/>
      <c r="X64" s="180">
        <f t="shared" si="3"/>
        <v>70.967848368872183</v>
      </c>
      <c r="Y64" s="180">
        <f t="shared" si="4"/>
        <v>0</v>
      </c>
    </row>
    <row r="65" spans="1:25" ht="15.6" x14ac:dyDescent="0.3">
      <c r="A65" s="152">
        <v>2053</v>
      </c>
      <c r="B65" s="178">
        <f t="shared" si="0"/>
        <v>0</v>
      </c>
      <c r="C65" s="182">
        <f t="shared" si="9"/>
        <v>0</v>
      </c>
      <c r="D65" s="183"/>
      <c r="E65" s="179">
        <f t="shared" si="5"/>
        <v>41.060978522435612</v>
      </c>
      <c r="F65" s="183">
        <f t="shared" si="10"/>
        <v>2.5652324641333948</v>
      </c>
      <c r="G65" s="247">
        <f t="shared" si="6"/>
        <v>0.39535454001663001</v>
      </c>
      <c r="H65" s="246"/>
      <c r="J65" s="182"/>
      <c r="K65" s="182"/>
      <c r="L65" s="182"/>
      <c r="M65" s="182"/>
      <c r="N65" s="163"/>
      <c r="O65" s="259" t="str">
        <f>IF($O$24="Y",IFERROR(E65*($E$6/SUMIF($G$3:$G$14,"Y",$E$3:$E$14))*$O$16*'Emissions Factors'!B50,""),"")</f>
        <v/>
      </c>
      <c r="P65" s="259" t="str">
        <f>IF($P$24="Y",IFERROR($E65*(SUM($E$3,$E$4,$E$5)/SUMIF($G$3:$G$14,"Y",$E$3:$E$14))*('Emissions Factors'!$T$143*$P$16)/10^6,""),"")</f>
        <v/>
      </c>
      <c r="Q65" s="259">
        <f t="shared" si="7"/>
        <v>54.158361494162016</v>
      </c>
      <c r="R65" s="259">
        <f t="shared" si="8"/>
        <v>21.538555594921796</v>
      </c>
      <c r="T65" s="180" t="str">
        <f t="shared" si="1"/>
        <v/>
      </c>
      <c r="U65" s="180" t="str">
        <f t="shared" si="2"/>
        <v/>
      </c>
      <c r="V65" s="177"/>
      <c r="X65" s="180">
        <f t="shared" si="3"/>
        <v>75.696917089083811</v>
      </c>
      <c r="Y65" s="180">
        <f t="shared" si="4"/>
        <v>0</v>
      </c>
    </row>
    <row r="66" spans="1:25" ht="15.6" x14ac:dyDescent="0.3">
      <c r="A66" s="152">
        <v>2054</v>
      </c>
      <c r="B66" s="178">
        <f t="shared" si="0"/>
        <v>0</v>
      </c>
      <c r="C66" s="182">
        <f t="shared" si="9"/>
        <v>0</v>
      </c>
      <c r="D66" s="183"/>
      <c r="E66" s="179">
        <f t="shared" si="5"/>
        <v>43.760284372800484</v>
      </c>
      <c r="F66" s="183">
        <f t="shared" si="10"/>
        <v>2.6993058503648726</v>
      </c>
      <c r="G66" s="247">
        <f t="shared" si="6"/>
        <v>0.39511342950593731</v>
      </c>
      <c r="H66" s="246"/>
      <c r="J66" s="182"/>
      <c r="K66" s="182"/>
      <c r="L66" s="182"/>
      <c r="M66" s="182"/>
      <c r="N66" s="163"/>
      <c r="O66" s="259" t="str">
        <f>IF($O$24="Y",IFERROR(E66*($E$6/SUMIF($G$3:$G$14,"Y",$E$3:$E$14))*$O$16*'Emissions Factors'!B51,""),"")</f>
        <v/>
      </c>
      <c r="P66" s="259" t="str">
        <f>IF($P$24="Y",IFERROR($E66*(SUM($E$3,$E$4,$E$5)/SUMIF($G$3:$G$14,"Y",$E$3:$E$14))*('Emissions Factors'!$T$143*$P$16)/10^6,""),"")</f>
        <v/>
      </c>
      <c r="Q66" s="259">
        <f t="shared" si="7"/>
        <v>57.718675624218349</v>
      </c>
      <c r="R66" s="259">
        <f t="shared" si="8"/>
        <v>22.954477748214231</v>
      </c>
      <c r="T66" s="180" t="str">
        <f t="shared" si="1"/>
        <v/>
      </c>
      <c r="U66" s="180" t="str">
        <f t="shared" si="2"/>
        <v/>
      </c>
      <c r="V66" s="177"/>
      <c r="X66" s="180">
        <f t="shared" si="3"/>
        <v>80.67315337243258</v>
      </c>
      <c r="Y66" s="180">
        <f t="shared" si="4"/>
        <v>0</v>
      </c>
    </row>
    <row r="67" spans="1:25" ht="15.6" x14ac:dyDescent="0.3">
      <c r="A67" s="152">
        <v>2055</v>
      </c>
      <c r="B67" s="178">
        <f t="shared" si="0"/>
        <v>0</v>
      </c>
      <c r="C67" s="182">
        <f t="shared" si="9"/>
        <v>0</v>
      </c>
      <c r="D67" s="183"/>
      <c r="E67" s="179">
        <f t="shared" si="5"/>
        <v>46.597987219584965</v>
      </c>
      <c r="F67" s="183">
        <f t="shared" si="10"/>
        <v>2.8377028467844809</v>
      </c>
      <c r="G67" s="247">
        <f t="shared" si="6"/>
        <v>0.39485657394391499</v>
      </c>
      <c r="H67" s="246"/>
      <c r="J67" s="182"/>
      <c r="K67" s="182"/>
      <c r="L67" s="182"/>
      <c r="M67" s="182"/>
      <c r="N67" s="163"/>
      <c r="O67" s="259" t="str">
        <f>IF($O$24="Y",IFERROR(E67*($E$6/SUMIF($G$3:$G$14,"Y",$E$3:$E$14))*$O$16*'Emissions Factors'!B52,""),"")</f>
        <v/>
      </c>
      <c r="P67" s="259" t="str">
        <f>IF($P$24="Y",IFERROR($E67*(SUM($E$3,$E$4,$E$5)/SUMIF($G$3:$G$14,"Y",$E$3:$E$14))*('Emissions Factors'!$T$143*$P$16)/10^6,""),"")</f>
        <v/>
      </c>
      <c r="Q67" s="259">
        <f t="shared" si="7"/>
        <v>61.46153178886609</v>
      </c>
      <c r="R67" s="259">
        <f t="shared" si="8"/>
        <v>24.44299611106668</v>
      </c>
      <c r="T67" s="180" t="str">
        <f t="shared" si="1"/>
        <v/>
      </c>
      <c r="U67" s="180" t="str">
        <f t="shared" si="2"/>
        <v/>
      </c>
      <c r="V67" s="177"/>
      <c r="X67" s="180">
        <f t="shared" si="3"/>
        <v>85.904527899932773</v>
      </c>
      <c r="Y67" s="180">
        <f t="shared" si="4"/>
        <v>0</v>
      </c>
    </row>
    <row r="68" spans="1:25" ht="15.6" x14ac:dyDescent="0.3">
      <c r="A68" s="152">
        <v>2056</v>
      </c>
      <c r="B68" s="178">
        <f t="shared" si="0"/>
        <v>0</v>
      </c>
      <c r="C68" s="182">
        <f t="shared" si="9"/>
        <v>0</v>
      </c>
      <c r="D68" s="183"/>
      <c r="E68" s="179">
        <f t="shared" si="5"/>
        <v>49.579042768396661</v>
      </c>
      <c r="F68" s="183">
        <f t="shared" si="10"/>
        <v>2.9810555488116961</v>
      </c>
      <c r="G68" s="247">
        <f t="shared" si="6"/>
        <v>0.39458910277842235</v>
      </c>
      <c r="H68" s="246"/>
      <c r="J68" s="182"/>
      <c r="K68" s="182"/>
      <c r="L68" s="182"/>
      <c r="M68" s="182"/>
      <c r="N68" s="163"/>
      <c r="O68" s="259" t="str">
        <f>IF($O$24="Y",IFERROR(E68*($E$6/SUMIF($G$3:$G$14,"Y",$E$3:$E$14))*$O$16*'Emissions Factors'!B53,""),"")</f>
        <v/>
      </c>
      <c r="P68" s="259" t="str">
        <f>IF($P$24="Y",IFERROR($E68*(SUM($E$3,$E$4,$E$5)/SUMIF($G$3:$G$14,"Y",$E$3:$E$14))*('Emissions Factors'!$T$143*$P$16)/10^6,""),"")</f>
        <v/>
      </c>
      <c r="Q68" s="259">
        <f t="shared" si="7"/>
        <v>65.393466434761237</v>
      </c>
      <c r="R68" s="259">
        <f t="shared" si="8"/>
        <v>26.00671020118628</v>
      </c>
      <c r="T68" s="180" t="str">
        <f t="shared" si="1"/>
        <v/>
      </c>
      <c r="U68" s="180" t="str">
        <f t="shared" si="2"/>
        <v/>
      </c>
      <c r="V68" s="177"/>
      <c r="X68" s="180">
        <f t="shared" si="3"/>
        <v>91.400176635947517</v>
      </c>
      <c r="Y68" s="180">
        <f t="shared" si="4"/>
        <v>0</v>
      </c>
    </row>
    <row r="69" spans="1:25" ht="15.6" x14ac:dyDescent="0.3">
      <c r="A69" s="152">
        <v>2057</v>
      </c>
      <c r="B69" s="178">
        <f t="shared" si="0"/>
        <v>0</v>
      </c>
      <c r="C69" s="182">
        <f t="shared" si="9"/>
        <v>0</v>
      </c>
      <c r="D69" s="183"/>
      <c r="E69" s="179">
        <f t="shared" si="5"/>
        <v>52.707935095441812</v>
      </c>
      <c r="F69" s="183">
        <f t="shared" si="10"/>
        <v>3.1288923270451505</v>
      </c>
      <c r="G69" s="247">
        <f t="shared" si="6"/>
        <v>0.39431734725950762</v>
      </c>
      <c r="H69" s="246"/>
      <c r="J69" s="182"/>
      <c r="K69" s="182"/>
      <c r="L69" s="182"/>
      <c r="M69" s="182"/>
      <c r="N69" s="163"/>
      <c r="O69" s="259" t="str">
        <f>IF($O$24="Y",IFERROR(E69*($E$6/SUMIF($G$3:$G$14,"Y",$E$3:$E$14))*$O$16*'Emissions Factors'!B54,""),"")</f>
        <v/>
      </c>
      <c r="P69" s="259" t="str">
        <f>IF($P$24="Y",IFERROR($E69*(SUM($E$3,$E$4,$E$5)/SUMIF($G$3:$G$14,"Y",$E$3:$E$14))*('Emissions Factors'!$T$143*$P$16)/10^6,""),"")</f>
        <v/>
      </c>
      <c r="Q69" s="259">
        <f t="shared" si="7"/>
        <v>69.52039394166006</v>
      </c>
      <c r="R69" s="259">
        <f t="shared" si="8"/>
        <v>27.647972142855874</v>
      </c>
      <c r="T69" s="180" t="str">
        <f t="shared" si="1"/>
        <v/>
      </c>
      <c r="U69" s="180" t="str">
        <f t="shared" si="2"/>
        <v/>
      </c>
      <c r="V69" s="177"/>
      <c r="X69" s="180">
        <f t="shared" si="3"/>
        <v>97.168366084515938</v>
      </c>
      <c r="Y69" s="180">
        <f t="shared" si="4"/>
        <v>0</v>
      </c>
    </row>
    <row r="70" spans="1:25" ht="15.6" x14ac:dyDescent="0.3">
      <c r="A70" s="152">
        <v>2058</v>
      </c>
      <c r="B70" s="178">
        <f t="shared" si="0"/>
        <v>0</v>
      </c>
      <c r="C70" s="182">
        <f t="shared" si="9"/>
        <v>0</v>
      </c>
      <c r="D70" s="183"/>
      <c r="E70" s="179">
        <f t="shared" si="5"/>
        <v>55.987525644477792</v>
      </c>
      <c r="F70" s="183">
        <f t="shared" si="10"/>
        <v>3.27959054903598</v>
      </c>
      <c r="G70" s="247">
        <f t="shared" si="6"/>
        <v>0.39405236227441182</v>
      </c>
      <c r="H70" s="246"/>
      <c r="J70" s="182"/>
      <c r="K70" s="182"/>
      <c r="L70" s="182"/>
      <c r="M70" s="182"/>
      <c r="N70" s="163"/>
      <c r="O70" s="259" t="str">
        <f>IF($O$24="Y",IFERROR(E70*($E$6/SUMIF($G$3:$G$14,"Y",$E$3:$E$14))*$O$16*'Emissions Factors'!B55,""),"")</f>
        <v/>
      </c>
      <c r="P70" s="259" t="str">
        <f>IF($P$24="Y",IFERROR($E70*(SUM($E$3,$E$4,$E$5)/SUMIF($G$3:$G$14,"Y",$E$3:$E$14))*('Emissions Factors'!$T$143*$P$16)/10^6,""),"")</f>
        <v/>
      </c>
      <c r="Q70" s="259">
        <f t="shared" si="7"/>
        <v>73.846088479370067</v>
      </c>
      <c r="R70" s="259">
        <f t="shared" si="8"/>
        <v>29.368282907744131</v>
      </c>
      <c r="T70" s="180" t="str">
        <f t="shared" si="1"/>
        <v/>
      </c>
      <c r="U70" s="180" t="str">
        <f t="shared" si="2"/>
        <v/>
      </c>
      <c r="V70" s="177"/>
      <c r="X70" s="180">
        <f t="shared" si="3"/>
        <v>103.2143713871142</v>
      </c>
      <c r="Y70" s="180">
        <f t="shared" si="4"/>
        <v>0</v>
      </c>
    </row>
    <row r="71" spans="1:25" ht="15.6" x14ac:dyDescent="0.3">
      <c r="A71" s="152">
        <v>2059</v>
      </c>
      <c r="B71" s="178">
        <f t="shared" si="0"/>
        <v>0</v>
      </c>
      <c r="C71" s="182">
        <f t="shared" si="9"/>
        <v>0</v>
      </c>
      <c r="D71" s="183"/>
      <c r="E71" s="179">
        <f t="shared" si="5"/>
        <v>59.419839824045432</v>
      </c>
      <c r="F71" s="183">
        <f t="shared" si="10"/>
        <v>3.4323141795676406</v>
      </c>
      <c r="G71" s="247">
        <f t="shared" si="6"/>
        <v>0.39380522408619928</v>
      </c>
      <c r="H71" s="246"/>
      <c r="J71" s="182"/>
      <c r="K71" s="182"/>
      <c r="L71" s="182"/>
      <c r="M71" s="182"/>
      <c r="N71" s="163"/>
      <c r="O71" s="259" t="str">
        <f>IF($O$24="Y",IFERROR(E71*($E$6/SUMIF($G$3:$G$14,"Y",$E$3:$E$14))*$O$16*'Emissions Factors'!B56,""),"")</f>
        <v/>
      </c>
      <c r="P71" s="259" t="str">
        <f>IF($P$24="Y",IFERROR($E71*(SUM($E$3,$E$4,$E$5)/SUMIF($G$3:$G$14,"Y",$E$3:$E$14))*('Emissions Factors'!$T$143*$P$16)/10^6,""),"")</f>
        <v/>
      </c>
      <c r="Q71" s="259">
        <f t="shared" si="7"/>
        <v>78.373221509017512</v>
      </c>
      <c r="R71" s="259">
        <f t="shared" si="8"/>
        <v>31.168704924853696</v>
      </c>
      <c r="T71" s="180" t="str">
        <f t="shared" si="1"/>
        <v/>
      </c>
      <c r="U71" s="180" t="str">
        <f t="shared" si="2"/>
        <v/>
      </c>
      <c r="V71" s="177"/>
      <c r="X71" s="180">
        <f t="shared" si="3"/>
        <v>109.54192643387121</v>
      </c>
      <c r="Y71" s="180">
        <f t="shared" si="4"/>
        <v>0</v>
      </c>
    </row>
    <row r="72" spans="1:25" ht="15.6" x14ac:dyDescent="0.3">
      <c r="A72" s="152">
        <v>2060</v>
      </c>
      <c r="B72" s="178">
        <f t="shared" si="0"/>
        <v>0</v>
      </c>
      <c r="C72" s="182">
        <f t="shared" si="9"/>
        <v>0</v>
      </c>
      <c r="D72" s="183"/>
      <c r="E72" s="179">
        <f t="shared" si="5"/>
        <v>63.007111291559241</v>
      </c>
      <c r="F72" s="183">
        <f t="shared" si="10"/>
        <v>3.5872714675138084</v>
      </c>
      <c r="G72" s="247">
        <f t="shared" si="6"/>
        <v>0.39358295206162419</v>
      </c>
      <c r="H72" s="246"/>
      <c r="J72" s="182"/>
      <c r="K72" s="182"/>
      <c r="L72" s="182"/>
      <c r="M72" s="182"/>
      <c r="N72" s="163"/>
      <c r="O72" s="259" t="str">
        <f>IF($O$24="Y",IFERROR(E72*($E$6/SUMIF($G$3:$G$14,"Y",$E$3:$E$14))*$O$16*'Emissions Factors'!B57,""),"")</f>
        <v/>
      </c>
      <c r="P72" s="259" t="str">
        <f>IF($P$24="Y",IFERROR($E72*(SUM($E$3,$E$4,$E$5)/SUMIF($G$3:$G$14,"Y",$E$3:$E$14))*('Emissions Factors'!$T$143*$P$16)/10^6,""),"")</f>
        <v/>
      </c>
      <c r="Q72" s="259">
        <f t="shared" si="7"/>
        <v>83.104739166570454</v>
      </c>
      <c r="R72" s="259">
        <f t="shared" si="8"/>
        <v>33.050409860231838</v>
      </c>
      <c r="T72" s="180" t="str">
        <f t="shared" si="1"/>
        <v/>
      </c>
      <c r="U72" s="180" t="str">
        <f t="shared" si="2"/>
        <v/>
      </c>
      <c r="V72" s="177"/>
      <c r="X72" s="180">
        <f t="shared" si="3"/>
        <v>116.15514902680229</v>
      </c>
      <c r="Y72" s="180">
        <f t="shared" si="4"/>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432.40293243835714</v>
      </c>
      <c r="C85" s="253">
        <f>(C137/Population_Tables!P3)*Population_Tables!D3</f>
        <v>242.7166740407788</v>
      </c>
      <c r="D85" s="253">
        <f>(D137/Population_Tables!Q3)*Population_Tables!E3</f>
        <v>22.577752457254896</v>
      </c>
      <c r="E85" s="253">
        <f>(E137/Population_Tables!R3)*Population_Tables!F3</f>
        <v>138.88744913948076</v>
      </c>
      <c r="F85" s="253">
        <f>(F137/Population_Tables!S3)*Population_Tables!G3</f>
        <v>9.7550255923880087</v>
      </c>
      <c r="G85" s="253">
        <f>(G137/Population_Tables!T3)*Population_Tables!H3</f>
        <v>23.089263841707499</v>
      </c>
      <c r="H85" s="253">
        <f>(H137/Population_Tables!U3)*Population_Tables!I3</f>
        <v>110.77857142857144</v>
      </c>
      <c r="I85" s="253">
        <f>(I137/Population_Tables!V3)*Population_Tables!J3</f>
        <v>10.247</v>
      </c>
      <c r="J85" s="253">
        <f>(J137/Population_Tables!W3)*Population_Tables!K3</f>
        <v>92.507389000000003</v>
      </c>
      <c r="K85" s="253">
        <f>(K137/Population_Tables!X3)*Population_Tables!L3</f>
        <v>75.239767771023054</v>
      </c>
      <c r="N85" s="195">
        <f t="shared" ref="N85:N131" si="11">SUMIF($C$83:$G$83,"Y",C85:G85)-H85</f>
        <v>37.863903303297349</v>
      </c>
      <c r="O85" s="195">
        <f>H85</f>
        <v>110.77857142857144</v>
      </c>
      <c r="P85" s="195">
        <f t="shared" ref="P85:P131" si="12">SUMIF($C$83:$G$83,"N",C85:G85)-(IF($E$83="N",H85))</f>
        <v>288.38369033974124</v>
      </c>
      <c r="Q85" s="195">
        <f>N85+P85+O85</f>
        <v>437.02616507161008</v>
      </c>
      <c r="R85" s="196">
        <f>N85/Q85</f>
        <v>8.6639900146695009E-2</v>
      </c>
      <c r="U85" s="197">
        <v>0</v>
      </c>
      <c r="V85" s="195">
        <f>O85-O137</f>
        <v>0</v>
      </c>
      <c r="W85" s="197">
        <v>0</v>
      </c>
      <c r="X85" s="195">
        <f>U85+V85+W85</f>
        <v>0</v>
      </c>
      <c r="Y85" s="196">
        <v>0</v>
      </c>
      <c r="AC85" s="251">
        <f>(B85-B137)/((SUM(C85:G85)-SUM(C137:G137)))</f>
        <v>1.6886830925735701</v>
      </c>
      <c r="AF85" s="250">
        <f>B85</f>
        <v>432.40293243835714</v>
      </c>
      <c r="AG85" s="250">
        <f>SUM(C85:G85)</f>
        <v>437.02616507161002</v>
      </c>
      <c r="AH85" s="250">
        <f>AG85-AF85</f>
        <v>4.6232326332528828</v>
      </c>
      <c r="AI85" s="251">
        <f>AH85/AG85</f>
        <v>1.0578846308882516E-2</v>
      </c>
    </row>
    <row r="86" spans="1:35" ht="15.6" x14ac:dyDescent="0.3">
      <c r="A86" s="194">
        <v>2015</v>
      </c>
      <c r="B86" s="253">
        <f>(B138/Population_Tables!O4)*Population_Tables!C4</f>
        <v>440.59156610634528</v>
      </c>
      <c r="C86" s="253">
        <f>(C138/Population_Tables!P4)*Population_Tables!D4</f>
        <v>248.9172714797898</v>
      </c>
      <c r="D86" s="253">
        <f>(D138/Population_Tables!Q4)*Population_Tables!E4</f>
        <v>23.960728682533301</v>
      </c>
      <c r="E86" s="253">
        <f>(E138/Population_Tables!R4)*Population_Tables!F4</f>
        <v>144.98500989681921</v>
      </c>
      <c r="F86" s="253">
        <f>(F138/Population_Tables!S4)*Population_Tables!G4</f>
        <v>10.190211075449591</v>
      </c>
      <c r="G86" s="253">
        <f>(G138/Population_Tables!T4)*Population_Tables!H4</f>
        <v>23.707307011197013</v>
      </c>
      <c r="H86" s="253">
        <f>(H138/Population_Tables!U4)*Population_Tables!I4</f>
        <v>113.19754489485025</v>
      </c>
      <c r="I86" s="253">
        <f>(I138/Population_Tables!V4)*Population_Tables!J4</f>
        <v>10.734412211184107</v>
      </c>
      <c r="J86" s="253">
        <f>(J138/Population_Tables!W4)*Population_Tables!K4</f>
        <v>93.239344929717433</v>
      </c>
      <c r="K86" s="253">
        <f>(K138/Population_Tables!X4)*Population_Tables!L4</f>
        <v>74.086895901498096</v>
      </c>
      <c r="N86" s="195">
        <f t="shared" si="11"/>
        <v>41.977676077418536</v>
      </c>
      <c r="O86" s="195">
        <f t="shared" ref="O86:O131" si="13">H86</f>
        <v>113.19754489485025</v>
      </c>
      <c r="P86" s="195">
        <f t="shared" si="12"/>
        <v>296.58530717352016</v>
      </c>
      <c r="Q86" s="195">
        <f t="shared" ref="Q86:Q131" si="14">N86+P86+O86</f>
        <v>451.76052814578895</v>
      </c>
      <c r="R86" s="196">
        <f t="shared" ref="R86:R130" si="15">N86/Q86</f>
        <v>9.2920194355430266E-2</v>
      </c>
      <c r="U86" s="197">
        <v>0</v>
      </c>
      <c r="V86" s="195">
        <f t="shared" ref="V86:W131" si="16">O86-O138</f>
        <v>0</v>
      </c>
      <c r="W86" s="197">
        <v>0</v>
      </c>
      <c r="X86" s="195">
        <f>U86+V86+W86</f>
        <v>0</v>
      </c>
      <c r="Y86" s="196">
        <v>0</v>
      </c>
      <c r="AC86" s="251">
        <f t="shared" ref="AC86:AC131" si="17">(B86-B138)/((SUM(C86:G86)-SUM(C138:G138)))</f>
        <v>1.6453063197067033</v>
      </c>
    </row>
    <row r="87" spans="1:35" ht="15.6" x14ac:dyDescent="0.3">
      <c r="A87" s="194">
        <v>2016</v>
      </c>
      <c r="B87" s="253">
        <f>(B139/Population_Tables!O5)*Population_Tables!C5</f>
        <v>448.86429407781111</v>
      </c>
      <c r="C87" s="253">
        <f>(C139/Population_Tables!P5)*Population_Tables!D5</f>
        <v>255.30792306614492</v>
      </c>
      <c r="D87" s="253">
        <f>(D139/Population_Tables!Q5)*Population_Tables!E5</f>
        <v>24.931197816107815</v>
      </c>
      <c r="E87" s="253">
        <f>(E139/Population_Tables!R5)*Population_Tables!F5</f>
        <v>151.80523750226175</v>
      </c>
      <c r="F87" s="253">
        <f>(F139/Population_Tables!S5)*Population_Tables!G5</f>
        <v>10.58560058398035</v>
      </c>
      <c r="G87" s="253">
        <f>(G139/Population_Tables!T5)*Population_Tables!H5</f>
        <v>24.327958885687796</v>
      </c>
      <c r="H87" s="253">
        <f>(H139/Population_Tables!U5)*Population_Tables!I5</f>
        <v>121.55963600379647</v>
      </c>
      <c r="I87" s="253">
        <f>(I139/Population_Tables!V5)*Population_Tables!J5</f>
        <v>11.495327873294668</v>
      </c>
      <c r="J87" s="253">
        <f>(J139/Population_Tables!W5)*Population_Tables!K5</f>
        <v>93.696571348898459</v>
      </c>
      <c r="K87" s="253">
        <f>(K139/Population_Tables!X5)*Population_Tables!L5</f>
        <v>73.53224527956894</v>
      </c>
      <c r="N87" s="195">
        <f t="shared" si="11"/>
        <v>40.831202082445628</v>
      </c>
      <c r="O87" s="195">
        <f t="shared" si="13"/>
        <v>121.55963600379647</v>
      </c>
      <c r="P87" s="195">
        <f t="shared" si="12"/>
        <v>304.56707976794053</v>
      </c>
      <c r="Q87" s="195">
        <f t="shared" si="14"/>
        <v>466.95791785418265</v>
      </c>
      <c r="R87" s="196">
        <f t="shared" si="15"/>
        <v>8.7440860345783925E-2</v>
      </c>
      <c r="U87" s="195">
        <f>N87-N139</f>
        <v>-4.5534321805007494E-4</v>
      </c>
      <c r="V87" s="195">
        <f>O87-O139</f>
        <v>0</v>
      </c>
      <c r="W87" s="195">
        <f>P87-P139</f>
        <v>0</v>
      </c>
      <c r="X87" s="195">
        <f>U87+V87+W87</f>
        <v>-4.5534321805007494E-4</v>
      </c>
      <c r="Y87" s="196">
        <f t="shared" ref="Y87:Y131" si="18">U87/X87</f>
        <v>1</v>
      </c>
      <c r="AC87" s="251">
        <f>(B87-B139)/((SUM(C87:G87)-SUM(C139:G139)))</f>
        <v>1.5979166405300809</v>
      </c>
    </row>
    <row r="88" spans="1:35" ht="15.6" x14ac:dyDescent="0.3">
      <c r="A88" s="194">
        <v>2017</v>
      </c>
      <c r="B88" s="253">
        <f>(B140/Population_Tables!O6)*Population_Tables!C6</f>
        <v>457.49718497802417</v>
      </c>
      <c r="C88" s="253">
        <f>(C140/Population_Tables!P6)*Population_Tables!D6</f>
        <v>261.82482909786785</v>
      </c>
      <c r="D88" s="253">
        <f>(D140/Population_Tables!Q6)*Population_Tables!E6</f>
        <v>25.872882057951749</v>
      </c>
      <c r="E88" s="253">
        <f>(E140/Population_Tables!R6)*Population_Tables!F6</f>
        <v>158.6550114118821</v>
      </c>
      <c r="F88" s="253">
        <f>(F140/Population_Tables!S6)*Population_Tables!G6</f>
        <v>10.988169668343122</v>
      </c>
      <c r="G88" s="253">
        <f>(G140/Population_Tables!T6)*Population_Tables!H6</f>
        <v>24.961113198888356</v>
      </c>
      <c r="H88" s="253">
        <f>(H140/Population_Tables!U6)*Population_Tables!I6</f>
        <v>129.96260133166209</v>
      </c>
      <c r="I88" s="253">
        <f>(I140/Population_Tables!V6)*Population_Tables!J6</f>
        <v>12.265346857544058</v>
      </c>
      <c r="J88" s="253">
        <f>(J140/Population_Tables!W6)*Population_Tables!K6</f>
        <v>94.13558515987647</v>
      </c>
      <c r="K88" s="253">
        <f>(K140/Population_Tables!X6)*Population_Tables!L6</f>
        <v>72.990814901569919</v>
      </c>
      <c r="N88" s="195">
        <f t="shared" si="11"/>
        <v>39.680579748563133</v>
      </c>
      <c r="O88" s="195">
        <f>H88</f>
        <v>129.96260133166209</v>
      </c>
      <c r="P88" s="195">
        <f t="shared" si="12"/>
        <v>312.65882435470797</v>
      </c>
      <c r="Q88" s="195">
        <f t="shared" si="14"/>
        <v>482.30200543493322</v>
      </c>
      <c r="R88" s="196">
        <f t="shared" si="15"/>
        <v>8.2273304488501425E-2</v>
      </c>
      <c r="U88" s="195">
        <f>N88-N140</f>
        <v>-4.6354847356155915E-4</v>
      </c>
      <c r="V88" s="195">
        <f t="shared" si="16"/>
        <v>0</v>
      </c>
      <c r="W88" s="195">
        <f t="shared" si="16"/>
        <v>0</v>
      </c>
      <c r="X88" s="195">
        <f t="shared" ref="X88:X131" si="19">U88+V88+W88</f>
        <v>-4.6354847356155915E-4</v>
      </c>
      <c r="Y88" s="196">
        <f t="shared" si="18"/>
        <v>1</v>
      </c>
      <c r="AC88" s="251">
        <f t="shared" si="17"/>
        <v>1.5553720315803559</v>
      </c>
    </row>
    <row r="89" spans="1:35" ht="15.6" x14ac:dyDescent="0.3">
      <c r="A89" s="194">
        <v>2018</v>
      </c>
      <c r="B89" s="253">
        <f>(B141/Population_Tables!O7)*Population_Tables!C7</f>
        <v>466.48794327598938</v>
      </c>
      <c r="C89" s="253">
        <f>(C141/Population_Tables!P7)*Population_Tables!D7</f>
        <v>268.47112544911755</v>
      </c>
      <c r="D89" s="253">
        <f>(D141/Population_Tables!Q7)*Population_Tables!E7</f>
        <v>26.787807244991996</v>
      </c>
      <c r="E89" s="253">
        <f>(E141/Population_Tables!R7)*Population_Tables!F7</f>
        <v>165.54078440263237</v>
      </c>
      <c r="F89" s="253">
        <f>(F141/Population_Tables!S7)*Population_Tables!G7</f>
        <v>11.398145440062395</v>
      </c>
      <c r="G89" s="253">
        <f>(G141/Population_Tables!T7)*Population_Tables!H7</f>
        <v>25.607155974260305</v>
      </c>
      <c r="H89" s="253">
        <f>(H141/Population_Tables!U7)*Population_Tables!I7</f>
        <v>138.41066107933082</v>
      </c>
      <c r="I89" s="253">
        <f>(I141/Population_Tables!V7)*Population_Tables!J7</f>
        <v>13.050637172646038</v>
      </c>
      <c r="J89" s="253">
        <f>(J141/Population_Tables!W7)*Population_Tables!K7</f>
        <v>94.557354393598118</v>
      </c>
      <c r="K89" s="253">
        <f>(K141/Population_Tables!X7)*Population_Tables!L7</f>
        <v>72.46260476750102</v>
      </c>
      <c r="N89" s="195">
        <f t="shared" si="11"/>
        <v>38.52826876336394</v>
      </c>
      <c r="O89" s="195">
        <f t="shared" si="13"/>
        <v>138.41066107933082</v>
      </c>
      <c r="P89" s="195">
        <f t="shared" si="12"/>
        <v>320.86608866836985</v>
      </c>
      <c r="Q89" s="195">
        <f t="shared" si="14"/>
        <v>497.80501851106465</v>
      </c>
      <c r="R89" s="196">
        <f t="shared" si="15"/>
        <v>7.7396304437833977E-2</v>
      </c>
      <c r="U89" s="195">
        <f t="shared" ref="U89:U131" si="20">N89-N141</f>
        <v>-4.6961698285485909E-4</v>
      </c>
      <c r="V89" s="195">
        <f t="shared" si="16"/>
        <v>0</v>
      </c>
      <c r="W89" s="195">
        <f t="shared" si="16"/>
        <v>0</v>
      </c>
      <c r="X89" s="195">
        <f t="shared" si="19"/>
        <v>-4.6961698285485909E-4</v>
      </c>
      <c r="Y89" s="196">
        <f t="shared" si="18"/>
        <v>1</v>
      </c>
      <c r="AC89" s="251">
        <f t="shared" si="17"/>
        <v>1.5169951416558742</v>
      </c>
    </row>
    <row r="90" spans="1:35" ht="16.2" thickBot="1" x14ac:dyDescent="0.35">
      <c r="A90" s="198">
        <v>2019</v>
      </c>
      <c r="B90" s="253">
        <f>(B142/Population_Tables!O8)*Population_Tables!C8</f>
        <v>475.83426986196787</v>
      </c>
      <c r="C90" s="253">
        <f>(C142/Population_Tables!P8)*Population_Tables!D8</f>
        <v>275.24994799405289</v>
      </c>
      <c r="D90" s="253">
        <f>(D142/Population_Tables!Q8)*Population_Tables!E8</f>
        <v>27.677999214155445</v>
      </c>
      <c r="E90" s="253">
        <f>(E142/Population_Tables!R8)*Population_Tables!F8</f>
        <v>172.46900681755503</v>
      </c>
      <c r="F90" s="253">
        <f>(F142/Population_Tables!S8)*Population_Tables!G8</f>
        <v>11.815755010662649</v>
      </c>
      <c r="G90" s="253">
        <f>(G142/Population_Tables!T8)*Population_Tables!H8</f>
        <v>26.266473235265252</v>
      </c>
      <c r="H90" s="253">
        <f>(H142/Population_Tables!U8)*Population_Tables!I8</f>
        <v>146.90803544768647</v>
      </c>
      <c r="I90" s="253">
        <f>(I142/Population_Tables!V8)*Population_Tables!J8</f>
        <v>13.857366827314374</v>
      </c>
      <c r="J90" s="253">
        <f>(J142/Population_Tables!W8)*Population_Tables!K8</f>
        <v>94.962847081010011</v>
      </c>
      <c r="K90" s="253">
        <f>(K142/Population_Tables!X8)*Population_Tables!L8</f>
        <v>71.94761487736227</v>
      </c>
      <c r="N90" s="195">
        <f t="shared" si="11"/>
        <v>37.37672638053121</v>
      </c>
      <c r="O90" s="195">
        <f t="shared" si="13"/>
        <v>146.90803544768647</v>
      </c>
      <c r="P90" s="195">
        <f t="shared" si="12"/>
        <v>329.19442044347358</v>
      </c>
      <c r="Q90" s="195">
        <f t="shared" si="14"/>
        <v>513.47918227169134</v>
      </c>
      <c r="R90" s="199">
        <f t="shared" si="15"/>
        <v>7.2791123128248827E-2</v>
      </c>
      <c r="U90" s="200">
        <f t="shared" si="20"/>
        <v>-4.7600029554928369E-4</v>
      </c>
      <c r="V90" s="195">
        <f t="shared" si="16"/>
        <v>0</v>
      </c>
      <c r="W90" s="200">
        <f t="shared" si="16"/>
        <v>0</v>
      </c>
      <c r="X90" s="195">
        <f t="shared" si="19"/>
        <v>-4.7600029554928369E-4</v>
      </c>
      <c r="Y90" s="199">
        <f t="shared" si="18"/>
        <v>1</v>
      </c>
      <c r="AC90" s="251">
        <f t="shared" si="17"/>
        <v>1.4822075140094615</v>
      </c>
    </row>
    <row r="91" spans="1:35" ht="15.6" x14ac:dyDescent="0.3">
      <c r="A91" s="201">
        <v>2020</v>
      </c>
      <c r="B91" s="253">
        <f>(B143/Population_Tables!O9)*Population_Tables!C9</f>
        <v>485.5338691628919</v>
      </c>
      <c r="C91" s="253">
        <f>(C143/Population_Tables!P9)*Population_Tables!D9</f>
        <v>282.16443260683286</v>
      </c>
      <c r="D91" s="253">
        <f>(D143/Population_Tables!Q9)*Population_Tables!E9</f>
        <v>28.545483802368999</v>
      </c>
      <c r="E91" s="253">
        <f>(E143/Population_Tables!R9)*Population_Tables!F9</f>
        <v>179.44613117679449</v>
      </c>
      <c r="F91" s="253">
        <f>(F143/Population_Tables!S9)*Population_Tables!G9</f>
        <v>12.241225491668368</v>
      </c>
      <c r="G91" s="253">
        <f>(G143/Population_Tables!T9)*Population_Tables!H9</f>
        <v>26.939451005364806</v>
      </c>
      <c r="H91" s="253">
        <f>(H143/Population_Tables!U9)*Population_Tables!I9</f>
        <v>155.45894463761272</v>
      </c>
      <c r="I91" s="253">
        <f>(I143/Population_Tables!V9)*Population_Tables!J9</f>
        <v>14.691703830262833</v>
      </c>
      <c r="J91" s="253">
        <f>(J143/Population_Tables!W9)*Population_Tables!K9</f>
        <v>95.353031253058845</v>
      </c>
      <c r="K91" s="253">
        <f>(K143/Population_Tables!X9)*Population_Tables!L9</f>
        <v>71.44584523115364</v>
      </c>
      <c r="L91" s="202"/>
      <c r="M91" s="202"/>
      <c r="N91" s="195">
        <f t="shared" si="11"/>
        <v>36.228412030850137</v>
      </c>
      <c r="O91" s="195">
        <f t="shared" si="13"/>
        <v>155.45894463761272</v>
      </c>
      <c r="P91" s="195">
        <f t="shared" si="12"/>
        <v>337.64936741456665</v>
      </c>
      <c r="Q91" s="195">
        <f t="shared" si="14"/>
        <v>529.33672408302948</v>
      </c>
      <c r="R91" s="203">
        <f t="shared" si="15"/>
        <v>6.8441146027811789E-2</v>
      </c>
      <c r="S91" s="202"/>
      <c r="T91" s="202"/>
      <c r="U91" s="204">
        <f>N91-N143</f>
        <v>-4.829728594017979E-4</v>
      </c>
      <c r="V91" s="195">
        <f t="shared" si="16"/>
        <v>0</v>
      </c>
      <c r="W91" s="204">
        <f t="shared" si="16"/>
        <v>0</v>
      </c>
      <c r="X91" s="195">
        <f t="shared" si="19"/>
        <v>-4.829728594017979E-4</v>
      </c>
      <c r="Y91" s="205">
        <f>U91/X91</f>
        <v>1</v>
      </c>
      <c r="AC91" s="251">
        <f t="shared" si="17"/>
        <v>1.4504105237371028</v>
      </c>
    </row>
    <row r="92" spans="1:35" ht="15.6" x14ac:dyDescent="0.3">
      <c r="A92" s="206">
        <v>2021</v>
      </c>
      <c r="B92" s="253">
        <f>(B144/Population_Tables!O10)*Population_Tables!C10</f>
        <v>496.21184385311744</v>
      </c>
      <c r="C92" s="253">
        <f>(C144/Population_Tables!P10)*Population_Tables!D10</f>
        <v>289.51770016432852</v>
      </c>
      <c r="D92" s="253">
        <f>(D144/Population_Tables!Q10)*Population_Tables!E10</f>
        <v>29.427156775493245</v>
      </c>
      <c r="E92" s="253">
        <f>(E144/Population_Tables!R10)*Population_Tables!F10</f>
        <v>186.7017493225928</v>
      </c>
      <c r="F92" s="253">
        <f>(F144/Population_Tables!S10)*Population_Tables!G10</f>
        <v>12.691777567929758</v>
      </c>
      <c r="G92" s="253">
        <f>(G144/Population_Tables!T10)*Population_Tables!H10</f>
        <v>27.678793853743933</v>
      </c>
      <c r="H92" s="253">
        <f>(H144/Population_Tables!U10)*Population_Tables!I10</f>
        <v>164.23977392256455</v>
      </c>
      <c r="I92" s="253">
        <f>(I144/Population_Tables!V10)*Population_Tables!J10</f>
        <v>15.577716942528504</v>
      </c>
      <c r="J92" s="253">
        <f>(J144/Population_Tables!W10)*Population_Tables!K10</f>
        <v>95.827914825231005</v>
      </c>
      <c r="K92" s="253">
        <f>(K144/Population_Tables!X10)*Population_Tables!L10</f>
        <v>71.032260467429495</v>
      </c>
      <c r="L92" s="170"/>
      <c r="M92" s="170"/>
      <c r="N92" s="195">
        <f t="shared" si="11"/>
        <v>35.153752967958013</v>
      </c>
      <c r="O92" s="195">
        <f t="shared" si="13"/>
        <v>164.23977392256455</v>
      </c>
      <c r="P92" s="195">
        <f t="shared" si="12"/>
        <v>346.62365079356567</v>
      </c>
      <c r="Q92" s="195">
        <f t="shared" si="14"/>
        <v>546.01717768408821</v>
      </c>
      <c r="R92" s="196">
        <f t="shared" si="15"/>
        <v>6.4382137421136396E-2</v>
      </c>
      <c r="S92" s="170"/>
      <c r="T92" s="170"/>
      <c r="U92" s="195">
        <f t="shared" si="20"/>
        <v>6.7477013730012914E-2</v>
      </c>
      <c r="V92" s="195">
        <f t="shared" si="16"/>
        <v>0.17216507257117541</v>
      </c>
      <c r="W92" s="195">
        <f t="shared" si="16"/>
        <v>0.38717347736906049</v>
      </c>
      <c r="X92" s="195">
        <f t="shared" si="19"/>
        <v>0.62681556367024882</v>
      </c>
      <c r="Y92" s="207">
        <f t="shared" si="18"/>
        <v>0.10765050780632945</v>
      </c>
      <c r="AC92" s="251">
        <f t="shared" si="17"/>
        <v>0.99981685039217438</v>
      </c>
    </row>
    <row r="93" spans="1:35" ht="15.6" x14ac:dyDescent="0.3">
      <c r="A93" s="206">
        <v>2022</v>
      </c>
      <c r="B93" s="253">
        <f>(B145/Population_Tables!O11)*Population_Tables!C11</f>
        <v>507.41567752420934</v>
      </c>
      <c r="C93" s="253">
        <f>(C145/Population_Tables!P11)*Population_Tables!D11</f>
        <v>297.11277605328786</v>
      </c>
      <c r="D93" s="253">
        <f>(D145/Population_Tables!Q11)*Population_Tables!E11</f>
        <v>30.29824758377973</v>
      </c>
      <c r="E93" s="253">
        <f>(E145/Population_Tables!R11)*Population_Tables!F11</f>
        <v>194.11015599086807</v>
      </c>
      <c r="F93" s="253">
        <f>(F145/Population_Tables!S11)*Population_Tables!G11</f>
        <v>13.154537464929037</v>
      </c>
      <c r="G93" s="253">
        <f>(G145/Population_Tables!T11)*Population_Tables!H11</f>
        <v>28.436896810077013</v>
      </c>
      <c r="H93" s="253">
        <f>(H145/Population_Tables!U11)*Population_Tables!I11</f>
        <v>173.14251194703451</v>
      </c>
      <c r="I93" s="253">
        <f>(I145/Population_Tables!V11)*Population_Tables!J11</f>
        <v>16.513395655374776</v>
      </c>
      <c r="J93" s="253">
        <f>(J145/Population_Tables!W11)*Population_Tables!K11</f>
        <v>96.313606598833957</v>
      </c>
      <c r="K93" s="253">
        <f>(K145/Population_Tables!X11)*Population_Tables!L11</f>
        <v>70.654307469868158</v>
      </c>
      <c r="L93" s="170"/>
      <c r="M93" s="170"/>
      <c r="N93" s="195">
        <f t="shared" si="11"/>
        <v>34.122181508762594</v>
      </c>
      <c r="O93" s="195">
        <f t="shared" si="13"/>
        <v>173.14251194703451</v>
      </c>
      <c r="P93" s="195">
        <f t="shared" si="12"/>
        <v>355.84792044714465</v>
      </c>
      <c r="Q93" s="195">
        <f t="shared" si="14"/>
        <v>563.1126139029418</v>
      </c>
      <c r="R93" s="196">
        <f t="shared" si="15"/>
        <v>6.0595661802461238E-2</v>
      </c>
      <c r="S93" s="170"/>
      <c r="T93" s="170"/>
      <c r="U93" s="195">
        <f t="shared" si="20"/>
        <v>0.17037657114755689</v>
      </c>
      <c r="V93" s="195">
        <f t="shared" si="16"/>
        <v>0.40426366132234648</v>
      </c>
      <c r="W93" s="195">
        <f t="shared" si="16"/>
        <v>0.88662256423384633</v>
      </c>
      <c r="X93" s="195">
        <f t="shared" si="19"/>
        <v>1.4612627967037497</v>
      </c>
      <c r="Y93" s="207">
        <f t="shared" si="18"/>
        <v>0.11659543480603532</v>
      </c>
      <c r="AC93" s="251">
        <f t="shared" si="17"/>
        <v>0.97947973927101095</v>
      </c>
    </row>
    <row r="94" spans="1:35" ht="15.6" x14ac:dyDescent="0.3">
      <c r="A94" s="206">
        <v>2023</v>
      </c>
      <c r="B94" s="253">
        <f>(B146/Population_Tables!O12)*Population_Tables!C12</f>
        <v>519.1280071778159</v>
      </c>
      <c r="C94" s="253">
        <f>(C146/Population_Tables!P12)*Population_Tables!D12</f>
        <v>304.94479038530574</v>
      </c>
      <c r="D94" s="253">
        <f>(D146/Population_Tables!Q12)*Population_Tables!E12</f>
        <v>31.160526574658867</v>
      </c>
      <c r="E94" s="253">
        <f>(E146/Population_Tables!R12)*Population_Tables!F12</f>
        <v>201.67057656725973</v>
      </c>
      <c r="F94" s="253">
        <f>(F146/Population_Tables!S12)*Population_Tables!G12</f>
        <v>13.629722873697149</v>
      </c>
      <c r="G94" s="253">
        <f>(G146/Population_Tables!T12)*Population_Tables!H12</f>
        <v>29.215761755362504</v>
      </c>
      <c r="H94" s="253">
        <f>(H146/Population_Tables!U12)*Population_Tables!I12</f>
        <v>182.17029792089448</v>
      </c>
      <c r="I94" s="253">
        <f>(I146/Population_Tables!V12)*Population_Tables!J12</f>
        <v>17.504421600834618</v>
      </c>
      <c r="J94" s="253">
        <f>(J146/Population_Tables!W12)*Population_Tables!K12</f>
        <v>96.807542941691992</v>
      </c>
      <c r="K94" s="253">
        <f>(K146/Population_Tables!X12)*Population_Tables!L12</f>
        <v>70.307422958794206</v>
      </c>
      <c r="L94" s="170"/>
      <c r="M94" s="170"/>
      <c r="N94" s="195">
        <f t="shared" si="11"/>
        <v>33.130001520062393</v>
      </c>
      <c r="O94" s="195">
        <f t="shared" si="13"/>
        <v>182.17029792089448</v>
      </c>
      <c r="P94" s="195">
        <f t="shared" si="12"/>
        <v>365.32107871532713</v>
      </c>
      <c r="Q94" s="195">
        <f t="shared" si="14"/>
        <v>580.62137815628398</v>
      </c>
      <c r="R94" s="196">
        <f t="shared" si="15"/>
        <v>5.7059561990748638E-2</v>
      </c>
      <c r="S94" s="170"/>
      <c r="T94" s="170"/>
      <c r="U94" s="195">
        <f>N94-N146</f>
        <v>0.30205986095896264</v>
      </c>
      <c r="V94" s="195">
        <f t="shared" si="16"/>
        <v>0.69521477524165221</v>
      </c>
      <c r="W94" s="195">
        <f t="shared" si="16"/>
        <v>1.4917018660704571</v>
      </c>
      <c r="X94" s="195">
        <f t="shared" si="19"/>
        <v>2.4889765022710719</v>
      </c>
      <c r="Y94" s="207">
        <f t="shared" si="18"/>
        <v>0.12135906493426012</v>
      </c>
      <c r="AC94" s="251">
        <f t="shared" si="17"/>
        <v>0.9634327765052304</v>
      </c>
    </row>
    <row r="95" spans="1:35" ht="15.6" x14ac:dyDescent="0.3">
      <c r="A95" s="206">
        <v>2024</v>
      </c>
      <c r="B95" s="253">
        <f>(B147/Population_Tables!O13)*Population_Tables!C13</f>
        <v>531.34196990662019</v>
      </c>
      <c r="C95" s="253">
        <f>(C147/Population_Tables!P13)*Population_Tables!D13</f>
        <v>313.01060176723291</v>
      </c>
      <c r="D95" s="253">
        <f>(D147/Population_Tables!Q13)*Population_Tables!E13</f>
        <v>32.015642087104226</v>
      </c>
      <c r="E95" s="253">
        <f>(E147/Population_Tables!R13)*Population_Tables!F13</f>
        <v>209.38403130270581</v>
      </c>
      <c r="F95" s="253">
        <f>(F147/Population_Tables!S13)*Population_Tables!G13</f>
        <v>14.117915106963576</v>
      </c>
      <c r="G95" s="253">
        <f>(G147/Population_Tables!T13)*Population_Tables!H13</f>
        <v>30.019557282129959</v>
      </c>
      <c r="H95" s="253">
        <f>(H147/Population_Tables!U13)*Population_Tables!I13</f>
        <v>191.32656253219218</v>
      </c>
      <c r="I95" s="253">
        <f>(I147/Population_Tables!V13)*Population_Tables!J13</f>
        <v>18.556758448223764</v>
      </c>
      <c r="J95" s="253">
        <f>(J147/Population_Tables!W13)*Population_Tables!K13</f>
        <v>97.307817562131248</v>
      </c>
      <c r="K95" s="253">
        <f>(K147/Population_Tables!X13)*Population_Tables!L13</f>
        <v>69.988010872686246</v>
      </c>
      <c r="L95" s="170"/>
      <c r="M95" s="170"/>
      <c r="N95" s="195">
        <f t="shared" si="11"/>
        <v>32.175383877477202</v>
      </c>
      <c r="O95" s="195">
        <f t="shared" si="13"/>
        <v>191.32656253219218</v>
      </c>
      <c r="P95" s="195">
        <f t="shared" si="12"/>
        <v>375.04580113646711</v>
      </c>
      <c r="Q95" s="195">
        <f t="shared" si="14"/>
        <v>598.54774754613652</v>
      </c>
      <c r="R95" s="196">
        <f t="shared" si="15"/>
        <v>5.3755751332097527E-2</v>
      </c>
      <c r="S95" s="170"/>
      <c r="T95" s="170"/>
      <c r="U95" s="195">
        <f t="shared" si="20"/>
        <v>0.45823805355098557</v>
      </c>
      <c r="V95" s="195">
        <f t="shared" si="16"/>
        <v>1.044228901493085</v>
      </c>
      <c r="W95" s="195">
        <f t="shared" si="16"/>
        <v>2.1995391866853993</v>
      </c>
      <c r="X95" s="195">
        <f t="shared" si="19"/>
        <v>3.7020061417294698</v>
      </c>
      <c r="Y95" s="207">
        <f t="shared" si="18"/>
        <v>0.12378100846070181</v>
      </c>
      <c r="AC95" s="251">
        <f t="shared" si="17"/>
        <v>0.95142629858424632</v>
      </c>
    </row>
    <row r="96" spans="1:35" ht="15.6" x14ac:dyDescent="0.3">
      <c r="A96" s="206">
        <v>2025</v>
      </c>
      <c r="B96" s="253">
        <f>(B148/Population_Tables!O14)*Population_Tables!C14</f>
        <v>544.05331931813669</v>
      </c>
      <c r="C96" s="253">
        <f>(C148/Population_Tables!P14)*Population_Tables!D14</f>
        <v>321.30897748195645</v>
      </c>
      <c r="D96" s="253">
        <f>(D148/Population_Tables!Q14)*Population_Tables!E14</f>
        <v>32.865397222862313</v>
      </c>
      <c r="E96" s="253">
        <f>(E148/Population_Tables!R14)*Population_Tables!F14</f>
        <v>217.25320983617485</v>
      </c>
      <c r="F96" s="253">
        <f>(F148/Population_Tables!S14)*Population_Tables!G14</f>
        <v>14.619681843145189</v>
      </c>
      <c r="G96" s="253">
        <f>(G148/Population_Tables!T14)*Population_Tables!H14</f>
        <v>30.85170280963953</v>
      </c>
      <c r="H96" s="253">
        <f>(H148/Population_Tables!U14)*Population_Tables!I14</f>
        <v>200.61533910553331</v>
      </c>
      <c r="I96" s="253">
        <f>(I148/Population_Tables!V14)*Population_Tables!J14</f>
        <v>19.676609232020418</v>
      </c>
      <c r="J96" s="253">
        <f>(J148/Population_Tables!W14)*Population_Tables!K14</f>
        <v>97.813165249336791</v>
      </c>
      <c r="K96" s="253">
        <f>(K148/Population_Tables!X14)*Population_Tables!L14</f>
        <v>69.693377825711821</v>
      </c>
      <c r="L96" s="170"/>
      <c r="M96" s="170"/>
      <c r="N96" s="195">
        <f t="shared" si="11"/>
        <v>31.257552573786739</v>
      </c>
      <c r="O96" s="195">
        <f t="shared" si="13"/>
        <v>200.61533910553331</v>
      </c>
      <c r="P96" s="195">
        <f t="shared" si="12"/>
        <v>385.02607751445828</v>
      </c>
      <c r="Q96" s="195">
        <f t="shared" si="14"/>
        <v>616.89896919377827</v>
      </c>
      <c r="R96" s="196">
        <f t="shared" si="15"/>
        <v>5.0668835797597546E-2</v>
      </c>
      <c r="S96" s="170"/>
      <c r="T96" s="170"/>
      <c r="U96" s="195">
        <f t="shared" si="20"/>
        <v>0.63567543647053526</v>
      </c>
      <c r="V96" s="195">
        <f t="shared" si="16"/>
        <v>1.4511191637985519</v>
      </c>
      <c r="W96" s="195">
        <f t="shared" si="16"/>
        <v>3.00857659542487</v>
      </c>
      <c r="X96" s="195">
        <f t="shared" si="19"/>
        <v>5.0953711956939571</v>
      </c>
      <c r="Y96" s="207">
        <f t="shared" si="18"/>
        <v>0.12475547159503074</v>
      </c>
      <c r="AC96" s="251">
        <f t="shared" si="17"/>
        <v>0.94242392356864568</v>
      </c>
    </row>
    <row r="97" spans="1:29" ht="15.6" x14ac:dyDescent="0.3">
      <c r="A97" s="206">
        <v>2026</v>
      </c>
      <c r="B97" s="253">
        <f>(B149/Population_Tables!O15)*Population_Tables!C15</f>
        <v>557.25728254072374</v>
      </c>
      <c r="C97" s="253">
        <f>(C149/Population_Tables!P15)*Population_Tables!D15</f>
        <v>329.84103979379455</v>
      </c>
      <c r="D97" s="253">
        <f>(D149/Population_Tables!Q15)*Population_Tables!E15</f>
        <v>33.712153098272985</v>
      </c>
      <c r="E97" s="253">
        <f>(E149/Population_Tables!R15)*Population_Tables!F15</f>
        <v>225.28263256818465</v>
      </c>
      <c r="F97" s="253">
        <f>(F149/Population_Tables!S15)*Population_Tables!G15</f>
        <v>15.135452764600501</v>
      </c>
      <c r="G97" s="253">
        <f>(G149/Population_Tables!T15)*Population_Tables!H15</f>
        <v>31.713264255507603</v>
      </c>
      <c r="H97" s="253">
        <f>(H149/Population_Tables!U15)*Population_Tables!I15</f>
        <v>210.04166000659268</v>
      </c>
      <c r="I97" s="253">
        <f>(I149/Population_Tables!V15)*Population_Tables!J15</f>
        <v>20.870403019634473</v>
      </c>
      <c r="J97" s="253">
        <f>(J149/Population_Tables!W15)*Population_Tables!K15</f>
        <v>98.323028707750041</v>
      </c>
      <c r="K97" s="253">
        <f>(K149/Population_Tables!X15)*Population_Tables!L15</f>
        <v>69.421718575473477</v>
      </c>
      <c r="L97" s="170"/>
      <c r="M97" s="170"/>
      <c r="N97" s="195">
        <f t="shared" si="11"/>
        <v>30.376425326192475</v>
      </c>
      <c r="O97" s="195">
        <f t="shared" si="13"/>
        <v>210.04166000659268</v>
      </c>
      <c r="P97" s="195">
        <f t="shared" si="12"/>
        <v>395.26645714757518</v>
      </c>
      <c r="Q97" s="195">
        <f t="shared" si="14"/>
        <v>635.68454248036028</v>
      </c>
      <c r="R97" s="196">
        <f t="shared" si="15"/>
        <v>4.7785376702204403E-2</v>
      </c>
      <c r="S97" s="170"/>
      <c r="T97" s="170"/>
      <c r="U97" s="195">
        <f>N97-N149</f>
        <v>0.8318300216862724</v>
      </c>
      <c r="V97" s="195">
        <f t="shared" si="16"/>
        <v>1.9166977269491383</v>
      </c>
      <c r="W97" s="195">
        <f t="shared" si="16"/>
        <v>3.9178156560159891</v>
      </c>
      <c r="X97" s="195">
        <f t="shared" si="19"/>
        <v>6.6663434046513999</v>
      </c>
      <c r="Y97" s="207">
        <f t="shared" si="18"/>
        <v>0.12478055377493277</v>
      </c>
      <c r="AC97" s="251">
        <f t="shared" si="17"/>
        <v>0.93528413716229342</v>
      </c>
    </row>
    <row r="98" spans="1:29" ht="15.6" x14ac:dyDescent="0.3">
      <c r="A98" s="206">
        <v>2027</v>
      </c>
      <c r="B98" s="253">
        <f>(B150/Population_Tables!O16)*Population_Tables!C16</f>
        <v>570.9494992525631</v>
      </c>
      <c r="C98" s="253">
        <f>(C150/Population_Tables!P16)*Population_Tables!D16</f>
        <v>338.61034944505553</v>
      </c>
      <c r="D98" s="253">
        <f>(D150/Population_Tables!Q16)*Population_Tables!E16</f>
        <v>34.558415348004928</v>
      </c>
      <c r="E98" s="253">
        <f>(E150/Population_Tables!R16)*Population_Tables!F16</f>
        <v>233.4792079906448</v>
      </c>
      <c r="F98" s="253">
        <f>(F150/Population_Tables!S16)*Population_Tables!G16</f>
        <v>15.665498458539084</v>
      </c>
      <c r="G98" s="253">
        <f>(G150/Population_Tables!T16)*Population_Tables!H16</f>
        <v>32.60363400388119</v>
      </c>
      <c r="H98" s="253">
        <f>(H150/Population_Tables!U16)*Population_Tables!I16</f>
        <v>219.61185211268713</v>
      </c>
      <c r="I98" s="253">
        <f>(I150/Population_Tables!V16)*Population_Tables!J16</f>
        <v>22.144934808148541</v>
      </c>
      <c r="J98" s="253">
        <f>(J150/Population_Tables!W16)*Population_Tables!K16</f>
        <v>98.837525986877267</v>
      </c>
      <c r="K98" s="253">
        <f>(K150/Population_Tables!X16)*Population_Tables!L16</f>
        <v>69.172030207730714</v>
      </c>
      <c r="L98" s="170"/>
      <c r="M98" s="170"/>
      <c r="N98" s="195">
        <f t="shared" si="11"/>
        <v>29.53285433649674</v>
      </c>
      <c r="O98" s="195">
        <f t="shared" si="13"/>
        <v>219.61185211268713</v>
      </c>
      <c r="P98" s="195">
        <f t="shared" si="12"/>
        <v>405.77239879694167</v>
      </c>
      <c r="Q98" s="195">
        <f t="shared" si="14"/>
        <v>654.91710524612563</v>
      </c>
      <c r="R98" s="196">
        <f t="shared" si="15"/>
        <v>4.5094034191392733E-2</v>
      </c>
      <c r="S98" s="170"/>
      <c r="T98" s="170"/>
      <c r="U98" s="195">
        <f t="shared" si="20"/>
        <v>1.0450943057675204</v>
      </c>
      <c r="V98" s="195">
        <f t="shared" si="16"/>
        <v>2.4430712673779453</v>
      </c>
      <c r="W98" s="195">
        <f t="shared" si="16"/>
        <v>4.9271673950352692</v>
      </c>
      <c r="X98" s="195">
        <f t="shared" si="19"/>
        <v>8.415332968180735</v>
      </c>
      <c r="Y98" s="207">
        <f t="shared" si="18"/>
        <v>0.12418929942750127</v>
      </c>
      <c r="AC98" s="251">
        <f t="shared" si="17"/>
        <v>0.92912517086074509</v>
      </c>
    </row>
    <row r="99" spans="1:29" ht="15.6" x14ac:dyDescent="0.3">
      <c r="A99" s="206">
        <v>2028</v>
      </c>
      <c r="B99" s="253">
        <f>(B151/Population_Tables!O17)*Population_Tables!C17</f>
        <v>585.13155259720384</v>
      </c>
      <c r="C99" s="253">
        <f>(C151/Population_Tables!P17)*Population_Tables!D17</f>
        <v>347.62294292746418</v>
      </c>
      <c r="D99" s="253">
        <f>(D151/Population_Tables!Q17)*Population_Tables!E17</f>
        <v>35.406328189971781</v>
      </c>
      <c r="E99" s="253">
        <f>(E151/Population_Tables!R17)*Population_Tables!F17</f>
        <v>241.85276462205294</v>
      </c>
      <c r="F99" s="253">
        <f>(F151/Population_Tables!S17)*Population_Tables!G17</f>
        <v>16.210160764006403</v>
      </c>
      <c r="G99" s="253">
        <f>(G151/Population_Tables!T17)*Population_Tables!H17</f>
        <v>33.523017130204437</v>
      </c>
      <c r="H99" s="253">
        <f>(H151/Population_Tables!U17)*Population_Tables!I17</f>
        <v>229.33362626052906</v>
      </c>
      <c r="I99" s="253">
        <f>(I151/Population_Tables!V17)*Population_Tables!J17</f>
        <v>23.507553797114106</v>
      </c>
      <c r="J99" s="253">
        <f>(J151/Population_Tables!W17)*Population_Tables!K17</f>
        <v>99.357440521327788</v>
      </c>
      <c r="K99" s="253">
        <f>(K151/Population_Tables!X17)*Population_Tables!L17</f>
        <v>68.943958982262117</v>
      </c>
      <c r="L99" s="170"/>
      <c r="M99" s="170"/>
      <c r="N99" s="195">
        <f t="shared" si="11"/>
        <v>28.729299125530304</v>
      </c>
      <c r="O99" s="195">
        <f t="shared" si="13"/>
        <v>229.33362626052906</v>
      </c>
      <c r="P99" s="195">
        <f t="shared" si="12"/>
        <v>416.55228824764038</v>
      </c>
      <c r="Q99" s="195">
        <f t="shared" si="14"/>
        <v>674.6152136336998</v>
      </c>
      <c r="R99" s="196">
        <f t="shared" si="15"/>
        <v>4.25862010593933E-2</v>
      </c>
      <c r="S99" s="170"/>
      <c r="T99" s="170"/>
      <c r="U99" s="195">
        <f t="shared" si="20"/>
        <v>1.2754681043122673</v>
      </c>
      <c r="V99" s="195">
        <f t="shared" si="16"/>
        <v>3.0337304209135709</v>
      </c>
      <c r="W99" s="195">
        <f t="shared" si="16"/>
        <v>6.0394698630177572</v>
      </c>
      <c r="X99" s="195">
        <f t="shared" si="19"/>
        <v>10.348668388243595</v>
      </c>
      <c r="Y99" s="207">
        <f t="shared" si="18"/>
        <v>0.12324949031715406</v>
      </c>
      <c r="AC99" s="251">
        <f t="shared" si="17"/>
        <v>0.92357733916422347</v>
      </c>
    </row>
    <row r="100" spans="1:29" ht="15.6" x14ac:dyDescent="0.3">
      <c r="A100" s="206">
        <v>2029</v>
      </c>
      <c r="B100" s="253">
        <f>(B152/Population_Tables!O18)*Population_Tables!C18</f>
        <v>599.80709385149476</v>
      </c>
      <c r="C100" s="253">
        <f>(C152/Population_Tables!P18)*Population_Tables!D18</f>
        <v>356.88668528117756</v>
      </c>
      <c r="D100" s="253">
        <f>(D152/Population_Tables!Q18)*Population_Tables!E18</f>
        <v>36.257943181359195</v>
      </c>
      <c r="E100" s="253">
        <f>(E152/Population_Tables!R18)*Population_Tables!F18</f>
        <v>250.41539933492922</v>
      </c>
      <c r="F100" s="253">
        <f>(F152/Population_Tables!S18)*Population_Tables!G18</f>
        <v>16.769733926935945</v>
      </c>
      <c r="G100" s="253">
        <f>(G152/Population_Tables!T18)*Population_Tables!H18</f>
        <v>34.471177274370142</v>
      </c>
      <c r="H100" s="253">
        <f>(H152/Population_Tables!U18)*Population_Tables!I18</f>
        <v>239.21596661179339</v>
      </c>
      <c r="I100" s="253">
        <f>(I152/Population_Tables!V18)*Population_Tables!J18</f>
        <v>24.966070519545319</v>
      </c>
      <c r="J100" s="253">
        <f>(J152/Population_Tables!W18)*Population_Tables!K18</f>
        <v>99.883951668850713</v>
      </c>
      <c r="K100" s="253">
        <f>(K152/Population_Tables!X18)*Population_Tables!L18</f>
        <v>68.737607957188402</v>
      </c>
      <c r="L100" s="170"/>
      <c r="M100" s="170"/>
      <c r="N100" s="195">
        <f t="shared" si="11"/>
        <v>27.969166650071799</v>
      </c>
      <c r="O100" s="195">
        <f t="shared" si="13"/>
        <v>239.21596661179339</v>
      </c>
      <c r="P100" s="195">
        <f t="shared" si="12"/>
        <v>427.61580573690685</v>
      </c>
      <c r="Q100" s="195">
        <f t="shared" si="14"/>
        <v>694.80093899877204</v>
      </c>
      <c r="R100" s="196">
        <f t="shared" si="15"/>
        <v>4.0254935018332251E-2</v>
      </c>
      <c r="S100" s="170"/>
      <c r="T100" s="170"/>
      <c r="U100" s="195">
        <f t="shared" si="20"/>
        <v>1.5238986688661669</v>
      </c>
      <c r="V100" s="195">
        <f t="shared" si="16"/>
        <v>3.6934391483472666</v>
      </c>
      <c r="W100" s="195">
        <f t="shared" si="16"/>
        <v>7.2588555626514903</v>
      </c>
      <c r="X100" s="195">
        <f t="shared" si="19"/>
        <v>12.476193379864924</v>
      </c>
      <c r="Y100" s="207">
        <f t="shared" si="18"/>
        <v>0.1221445213670346</v>
      </c>
      <c r="AC100" s="251">
        <f t="shared" si="17"/>
        <v>0.91835429215574571</v>
      </c>
    </row>
    <row r="101" spans="1:29" ht="15.6" x14ac:dyDescent="0.3">
      <c r="A101" s="206">
        <v>2030</v>
      </c>
      <c r="B101" s="253">
        <f>(B153/Population_Tables!O19)*Population_Tables!C19</f>
        <v>614.98039022822047</v>
      </c>
      <c r="C101" s="253">
        <f>(C153/Population_Tables!P19)*Population_Tables!D19</f>
        <v>366.40939735424968</v>
      </c>
      <c r="D101" s="253">
        <f>(D153/Population_Tables!Q19)*Population_Tables!E19</f>
        <v>37.115413613613249</v>
      </c>
      <c r="E101" s="253">
        <f>(E153/Population_Tables!R19)*Population_Tables!F19</f>
        <v>259.17928478063186</v>
      </c>
      <c r="F101" s="253">
        <f>(F153/Population_Tables!S19)*Population_Tables!G19</f>
        <v>17.344554370782991</v>
      </c>
      <c r="G101" s="253">
        <f>(G153/Population_Tables!T19)*Population_Tables!H19</f>
        <v>35.44807618067447</v>
      </c>
      <c r="H101" s="253">
        <f>(H153/Population_Tables!U19)*Population_Tables!I19</f>
        <v>249.26793580288182</v>
      </c>
      <c r="I101" s="253">
        <f>(I153/Population_Tables!V19)*Population_Tables!J19</f>
        <v>26.52846312437762</v>
      </c>
      <c r="J101" s="253">
        <f>(J153/Population_Tables!W19)*Population_Tables!K19</f>
        <v>100.4182507347163</v>
      </c>
      <c r="K101" s="253">
        <f>(K153/Population_Tables!X19)*Population_Tables!L19</f>
        <v>68.552982098189645</v>
      </c>
      <c r="L101" s="170"/>
      <c r="M101" s="170"/>
      <c r="N101" s="195">
        <f t="shared" si="11"/>
        <v>27.255903348533025</v>
      </c>
      <c r="O101" s="195">
        <f t="shared" si="13"/>
        <v>249.26793580288182</v>
      </c>
      <c r="P101" s="195">
        <f t="shared" si="12"/>
        <v>438.97288714853744</v>
      </c>
      <c r="Q101" s="195">
        <f t="shared" si="14"/>
        <v>715.49672629995234</v>
      </c>
      <c r="R101" s="196">
        <f t="shared" si="15"/>
        <v>3.8093680022103601E-2</v>
      </c>
      <c r="S101" s="170"/>
      <c r="T101" s="170"/>
      <c r="U101" s="195">
        <f t="shared" si="20"/>
        <v>1.791372732608238</v>
      </c>
      <c r="V101" s="195">
        <f t="shared" si="16"/>
        <v>4.4270398851969617</v>
      </c>
      <c r="W101" s="195">
        <f t="shared" si="16"/>
        <v>8.5897126431855781</v>
      </c>
      <c r="X101" s="195">
        <f t="shared" si="19"/>
        <v>14.808125260990778</v>
      </c>
      <c r="Y101" s="207">
        <f t="shared" si="18"/>
        <v>0.12097228386683578</v>
      </c>
      <c r="AC101" s="251">
        <f t="shared" si="17"/>
        <v>0.91333443384465252</v>
      </c>
    </row>
    <row r="102" spans="1:29" ht="15.6" x14ac:dyDescent="0.3">
      <c r="A102" s="206">
        <v>2031</v>
      </c>
      <c r="B102" s="253">
        <f>(B154/Population_Tables!O20)*Population_Tables!C20</f>
        <v>630.65309111859904</v>
      </c>
      <c r="C102" s="253">
        <f>(C154/Population_Tables!P20)*Population_Tables!D20</f>
        <v>376.19619773659684</v>
      </c>
      <c r="D102" s="253">
        <f>(D154/Population_Tables!Q20)*Population_Tables!E20</f>
        <v>37.981018897556055</v>
      </c>
      <c r="E102" s="253">
        <f>(E154/Population_Tables!R20)*Population_Tables!F20</f>
        <v>268.15353766213411</v>
      </c>
      <c r="F102" s="253">
        <f>(F154/Population_Tables!S20)*Population_Tables!G20</f>
        <v>17.935037242141526</v>
      </c>
      <c r="G102" s="253">
        <f>(G154/Population_Tables!T20)*Population_Tables!H20</f>
        <v>36.454420374683785</v>
      </c>
      <c r="H102" s="253">
        <f>(H154/Population_Tables!U20)*Population_Tables!I20</f>
        <v>259.49704287453699</v>
      </c>
      <c r="I102" s="253">
        <f>(I154/Population_Tables!V20)*Population_Tables!J20</f>
        <v>28.202312749837958</v>
      </c>
      <c r="J102" s="253">
        <f>(J154/Population_Tables!W20)*Population_Tables!K20</f>
        <v>100.96088135552257</v>
      </c>
      <c r="K102" s="253">
        <f>(K154/Population_Tables!X20)*Population_Tables!L20</f>
        <v>68.389436529757475</v>
      </c>
      <c r="L102" s="170"/>
      <c r="M102" s="170"/>
      <c r="N102" s="195">
        <f t="shared" si="11"/>
        <v>26.59153202973863</v>
      </c>
      <c r="O102" s="195">
        <f t="shared" si="13"/>
        <v>259.49704287453699</v>
      </c>
      <c r="P102" s="195">
        <f t="shared" si="12"/>
        <v>450.63163700883666</v>
      </c>
      <c r="Q102" s="195">
        <f t="shared" si="14"/>
        <v>736.72021191311228</v>
      </c>
      <c r="R102" s="196">
        <f t="shared" si="15"/>
        <v>3.6094478744767761E-2</v>
      </c>
      <c r="S102" s="170"/>
      <c r="T102" s="170"/>
      <c r="U102" s="195">
        <f t="shared" si="20"/>
        <v>2.0774533991302064</v>
      </c>
      <c r="V102" s="195">
        <f t="shared" si="16"/>
        <v>5.2378214713214675</v>
      </c>
      <c r="W102" s="195">
        <f t="shared" si="16"/>
        <v>10.034597896376795</v>
      </c>
      <c r="X102" s="195">
        <f t="shared" si="19"/>
        <v>17.349872766828469</v>
      </c>
      <c r="Y102" s="207">
        <f t="shared" si="18"/>
        <v>0.11973882616027748</v>
      </c>
      <c r="AC102" s="251">
        <f t="shared" si="17"/>
        <v>0.90855740149833253</v>
      </c>
    </row>
    <row r="103" spans="1:29" ht="15.6" x14ac:dyDescent="0.3">
      <c r="A103" s="206">
        <v>2032</v>
      </c>
      <c r="B103" s="253">
        <f>(B155/Population_Tables!O21)*Population_Tables!C21</f>
        <v>646.8170850025823</v>
      </c>
      <c r="C103" s="253">
        <f>(C155/Population_Tables!P21)*Population_Tables!D21</f>
        <v>386.24686211271808</v>
      </c>
      <c r="D103" s="253">
        <f>(D155/Population_Tables!Q21)*Population_Tables!E21</f>
        <v>38.85675340179526</v>
      </c>
      <c r="E103" s="253">
        <f>(E155/Population_Tables!R21)*Population_Tables!F21</f>
        <v>277.34220019271868</v>
      </c>
      <c r="F103" s="253">
        <f>(F155/Population_Tables!S21)*Population_Tables!G21</f>
        <v>18.541343695251228</v>
      </c>
      <c r="G103" s="253">
        <f>(G155/Population_Tables!T21)*Population_Tables!H21</f>
        <v>37.490746894768478</v>
      </c>
      <c r="H103" s="253">
        <f>(H155/Population_Tables!U21)*Population_Tables!I21</f>
        <v>269.90739539556824</v>
      </c>
      <c r="I103" s="253">
        <f>(I155/Population_Tables!V21)*Population_Tables!J21</f>
        <v>29.994581122261138</v>
      </c>
      <c r="J103" s="253">
        <f>(J155/Population_Tables!W21)*Population_Tables!K21</f>
        <v>101.51122268132707</v>
      </c>
      <c r="K103" s="253">
        <f>(K155/Population_Tables!X21)*Population_Tables!L21</f>
        <v>68.245226778012409</v>
      </c>
      <c r="L103" s="170"/>
      <c r="M103" s="170"/>
      <c r="N103" s="195">
        <f t="shared" si="11"/>
        <v>25.976148492401649</v>
      </c>
      <c r="O103" s="195">
        <f t="shared" si="13"/>
        <v>269.90739539556824</v>
      </c>
      <c r="P103" s="195">
        <f t="shared" si="12"/>
        <v>462.59436240928176</v>
      </c>
      <c r="Q103" s="195">
        <f t="shared" si="14"/>
        <v>758.47790629725159</v>
      </c>
      <c r="R103" s="196">
        <f t="shared" si="15"/>
        <v>3.4247732566413683E-2</v>
      </c>
      <c r="S103" s="170"/>
      <c r="T103" s="170"/>
      <c r="U103" s="195">
        <f t="shared" si="20"/>
        <v>2.3797767619121828</v>
      </c>
      <c r="V103" s="195">
        <f t="shared" si="16"/>
        <v>6.1256712746464927</v>
      </c>
      <c r="W103" s="195">
        <f t="shared" si="16"/>
        <v>11.590270679155196</v>
      </c>
      <c r="X103" s="195">
        <f t="shared" si="19"/>
        <v>20.095718715713872</v>
      </c>
      <c r="Y103" s="207">
        <f t="shared" si="18"/>
        <v>0.11842207763643275</v>
      </c>
      <c r="AC103" s="251">
        <f t="shared" si="17"/>
        <v>0.90404845691919489</v>
      </c>
    </row>
    <row r="104" spans="1:29" ht="15.6" x14ac:dyDescent="0.3">
      <c r="A104" s="206">
        <v>2033</v>
      </c>
      <c r="B104" s="253">
        <f>(B156/Population_Tables!O22)*Population_Tables!C22</f>
        <v>663.44794408469409</v>
      </c>
      <c r="C104" s="253">
        <f>(C156/Population_Tables!P22)*Population_Tables!D22</f>
        <v>396.55424817666011</v>
      </c>
      <c r="D104" s="253">
        <f>(D156/Population_Tables!Q22)*Population_Tables!E22</f>
        <v>39.74379733883422</v>
      </c>
      <c r="E104" s="253">
        <f>(E156/Population_Tables!R22)*Population_Tables!F22</f>
        <v>286.74301712627437</v>
      </c>
      <c r="F104" s="253">
        <f>(F156/Population_Tables!S22)*Population_Tables!G22</f>
        <v>19.163021003220756</v>
      </c>
      <c r="G104" s="253">
        <f>(G156/Population_Tables!T22)*Population_Tables!H22</f>
        <v>38.556254523344577</v>
      </c>
      <c r="H104" s="253">
        <f>(H156/Population_Tables!U22)*Population_Tables!I22</f>
        <v>280.498328141841</v>
      </c>
      <c r="I104" s="253">
        <f>(I156/Population_Tables!V22)*Population_Tables!J22</f>
        <v>31.911448724623956</v>
      </c>
      <c r="J104" s="253">
        <f>(J156/Population_Tables!W22)*Population_Tables!K22</f>
        <v>102.06725243353644</v>
      </c>
      <c r="K104" s="253">
        <f>(K156/Population_Tables!X22)*Population_Tables!L22</f>
        <v>68.117336305263862</v>
      </c>
      <c r="L104" s="170"/>
      <c r="M104" s="170"/>
      <c r="N104" s="195">
        <f t="shared" si="11"/>
        <v>25.40770998765413</v>
      </c>
      <c r="O104" s="195">
        <f t="shared" si="13"/>
        <v>280.498328141841</v>
      </c>
      <c r="P104" s="195">
        <f t="shared" si="12"/>
        <v>474.85430003883891</v>
      </c>
      <c r="Q104" s="195">
        <f t="shared" si="14"/>
        <v>780.7603381683341</v>
      </c>
      <c r="R104" s="196">
        <f t="shared" si="15"/>
        <v>3.2542265206837589E-2</v>
      </c>
      <c r="S104" s="170"/>
      <c r="T104" s="170"/>
      <c r="U104" s="195">
        <f t="shared" si="20"/>
        <v>2.6938403668534079</v>
      </c>
      <c r="V104" s="195">
        <f t="shared" si="16"/>
        <v>7.0857038701536794</v>
      </c>
      <c r="W104" s="195">
        <f t="shared" si="16"/>
        <v>13.244419945939342</v>
      </c>
      <c r="X104" s="195">
        <f t="shared" si="19"/>
        <v>23.023964182946429</v>
      </c>
      <c r="Y104" s="207">
        <f t="shared" si="18"/>
        <v>0.11700158779992816</v>
      </c>
      <c r="AC104" s="251">
        <f t="shared" si="17"/>
        <v>0.89971834147900887</v>
      </c>
    </row>
    <row r="105" spans="1:29" ht="15.6" x14ac:dyDescent="0.3">
      <c r="A105" s="206">
        <v>2034</v>
      </c>
      <c r="B105" s="253">
        <f>(B157/Population_Tables!O23)*Population_Tables!C23</f>
        <v>680.51172551199966</v>
      </c>
      <c r="C105" s="253">
        <f>(C157/Population_Tables!P23)*Population_Tables!D23</f>
        <v>407.10617848934942</v>
      </c>
      <c r="D105" s="253">
        <f>(D157/Population_Tables!Q23)*Population_Tables!E23</f>
        <v>40.642896693894357</v>
      </c>
      <c r="E105" s="253">
        <f>(E157/Population_Tables!R23)*Population_Tables!F23</f>
        <v>296.34906670704197</v>
      </c>
      <c r="F105" s="253">
        <f>(F157/Population_Tables!S23)*Population_Tables!G23</f>
        <v>19.799331081910108</v>
      </c>
      <c r="G105" s="253">
        <f>(G157/Population_Tables!T23)*Population_Tables!H23</f>
        <v>39.649594936362227</v>
      </c>
      <c r="H105" s="253">
        <f>(H157/Population_Tables!U23)*Population_Tables!I23</f>
        <v>291.26542538981482</v>
      </c>
      <c r="I105" s="253">
        <f>(I157/Population_Tables!V23)*Population_Tables!J23</f>
        <v>33.958379058781297</v>
      </c>
      <c r="J105" s="253">
        <f>(J157/Population_Tables!W23)*Population_Tables!K23</f>
        <v>102.6260131202941</v>
      </c>
      <c r="K105" s="253">
        <f>(K157/Population_Tables!X23)*Population_Tables!L23</f>
        <v>68.002097829040366</v>
      </c>
      <c r="L105" s="170"/>
      <c r="M105" s="170"/>
      <c r="N105" s="195">
        <f t="shared" si="11"/>
        <v>24.882972399137259</v>
      </c>
      <c r="O105" s="195">
        <f t="shared" si="13"/>
        <v>291.26542538981482</v>
      </c>
      <c r="P105" s="195">
        <f t="shared" si="12"/>
        <v>487.39867011960604</v>
      </c>
      <c r="Q105" s="195">
        <f t="shared" si="14"/>
        <v>803.54706790855812</v>
      </c>
      <c r="R105" s="196">
        <f t="shared" si="15"/>
        <v>3.0966415525479692E-2</v>
      </c>
      <c r="S105" s="170"/>
      <c r="T105" s="170"/>
      <c r="U105" s="195">
        <f t="shared" si="20"/>
        <v>3.0139403923621444</v>
      </c>
      <c r="V105" s="195">
        <f t="shared" si="16"/>
        <v>8.1092833334187731</v>
      </c>
      <c r="W105" s="195">
        <f t="shared" si="16"/>
        <v>14.978718184279785</v>
      </c>
      <c r="X105" s="195">
        <f t="shared" si="19"/>
        <v>26.101941910060702</v>
      </c>
      <c r="Y105" s="207">
        <f t="shared" si="18"/>
        <v>0.1154680522524822</v>
      </c>
      <c r="AC105" s="251">
        <f t="shared" si="17"/>
        <v>0.89550601610529879</v>
      </c>
    </row>
    <row r="106" spans="1:29" ht="15.6" x14ac:dyDescent="0.3">
      <c r="A106" s="206">
        <v>2035</v>
      </c>
      <c r="B106" s="253">
        <f>(B158/Population_Tables!O24)*Population_Tables!C24</f>
        <v>697.98272908039985</v>
      </c>
      <c r="C106" s="253">
        <f>(C158/Population_Tables!P24)*Population_Tables!D24</f>
        <v>417.8936943032059</v>
      </c>
      <c r="D106" s="253">
        <f>(D158/Population_Tables!Q24)*Population_Tables!E24</f>
        <v>41.555121704853434</v>
      </c>
      <c r="E106" s="253">
        <f>(E158/Population_Tables!R24)*Population_Tables!F24</f>
        <v>306.15661791237972</v>
      </c>
      <c r="F106" s="253">
        <f>(F158/Population_Tables!S24)*Population_Tables!G24</f>
        <v>20.449821556153928</v>
      </c>
      <c r="G106" s="253">
        <f>(G158/Population_Tables!T24)*Population_Tables!H24</f>
        <v>40.769869745894653</v>
      </c>
      <c r="H106" s="253">
        <f>(H158/Population_Tables!U24)*Population_Tables!I24</f>
        <v>302.20587340117032</v>
      </c>
      <c r="I106" s="253">
        <f>(I158/Population_Tables!V24)*Population_Tables!J24</f>
        <v>36.141150868225104</v>
      </c>
      <c r="J106" s="253">
        <f>(J158/Population_Tables!W24)*Population_Tables!K24</f>
        <v>103.18552622548998</v>
      </c>
      <c r="K106" s="253">
        <f>(K158/Population_Tables!X24)*Population_Tables!L24</f>
        <v>67.896900222938768</v>
      </c>
      <c r="L106" s="170"/>
      <c r="M106" s="170"/>
      <c r="N106" s="195">
        <f t="shared" si="11"/>
        <v>24.400566067363343</v>
      </c>
      <c r="O106" s="195">
        <f t="shared" si="13"/>
        <v>302.20587340117032</v>
      </c>
      <c r="P106" s="195">
        <f t="shared" si="12"/>
        <v>500.21868575395399</v>
      </c>
      <c r="Q106" s="195">
        <f t="shared" si="14"/>
        <v>826.82512522248771</v>
      </c>
      <c r="R106" s="196">
        <f t="shared" si="15"/>
        <v>2.9511156982315302E-2</v>
      </c>
      <c r="S106" s="170"/>
      <c r="T106" s="170"/>
      <c r="U106" s="195">
        <f t="shared" si="20"/>
        <v>3.3362474737177763</v>
      </c>
      <c r="V106" s="195">
        <f t="shared" si="16"/>
        <v>9.1893757252387331</v>
      </c>
      <c r="W106" s="195">
        <f t="shared" si="16"/>
        <v>16.77883076199987</v>
      </c>
      <c r="X106" s="195">
        <f t="shared" si="19"/>
        <v>29.30445396095638</v>
      </c>
      <c r="Y106" s="207">
        <f t="shared" si="18"/>
        <v>0.11384779522467152</v>
      </c>
      <c r="AC106" s="251">
        <f t="shared" si="17"/>
        <v>0.89140675287864479</v>
      </c>
    </row>
    <row r="107" spans="1:29" ht="15.6" x14ac:dyDescent="0.3">
      <c r="A107" s="206">
        <v>2036</v>
      </c>
      <c r="B107" s="253">
        <f>(B159/Population_Tables!O25)*Population_Tables!C25</f>
        <v>715.849548198143</v>
      </c>
      <c r="C107" s="253">
        <f>(C159/Population_Tables!P25)*Population_Tables!D25</f>
        <v>428.91399922229255</v>
      </c>
      <c r="D107" s="253">
        <f>(D159/Population_Tables!Q25)*Population_Tables!E25</f>
        <v>42.482084370417198</v>
      </c>
      <c r="E107" s="253">
        <f>(E159/Population_Tables!R25)*Population_Tables!F25</f>
        <v>316.16820860225027</v>
      </c>
      <c r="F107" s="253">
        <f>(F159/Population_Tables!S25)*Population_Tables!G25</f>
        <v>21.11451662907637</v>
      </c>
      <c r="G107" s="253">
        <f>(G159/Population_Tables!T25)*Population_Tables!H25</f>
        <v>41.916923548289319</v>
      </c>
      <c r="H107" s="253">
        <f>(H159/Population_Tables!U25)*Population_Tables!I25</f>
        <v>313.32071958616291</v>
      </c>
      <c r="I107" s="253">
        <f>(I159/Population_Tables!V25)*Population_Tables!J25</f>
        <v>38.466441482952973</v>
      </c>
      <c r="J107" s="253">
        <f>(J159/Population_Tables!W25)*Population_Tables!K25</f>
        <v>103.74520403599216</v>
      </c>
      <c r="K107" s="253">
        <f>(K159/Population_Tables!X25)*Population_Tables!L25</f>
        <v>67.800674445164915</v>
      </c>
      <c r="L107" s="170"/>
      <c r="M107" s="170"/>
      <c r="N107" s="195">
        <f t="shared" si="11"/>
        <v>23.962005645163742</v>
      </c>
      <c r="O107" s="195">
        <f t="shared" si="13"/>
        <v>313.32071958616291</v>
      </c>
      <c r="P107" s="195">
        <f t="shared" si="12"/>
        <v>513.31300714099905</v>
      </c>
      <c r="Q107" s="195">
        <f t="shared" si="14"/>
        <v>850.59573237232564</v>
      </c>
      <c r="R107" s="196">
        <f t="shared" si="15"/>
        <v>2.8170851008543517E-2</v>
      </c>
      <c r="S107" s="170"/>
      <c r="T107" s="170"/>
      <c r="U107" s="195">
        <f t="shared" si="20"/>
        <v>3.6598165585188553</v>
      </c>
      <c r="V107" s="195">
        <f t="shared" si="16"/>
        <v>10.322808254985148</v>
      </c>
      <c r="W107" s="195">
        <f t="shared" si="16"/>
        <v>18.637870143668465</v>
      </c>
      <c r="X107" s="195">
        <f t="shared" si="19"/>
        <v>32.620494957172468</v>
      </c>
      <c r="Y107" s="207">
        <f t="shared" si="18"/>
        <v>0.11219377766412919</v>
      </c>
      <c r="AC107" s="251">
        <f t="shared" si="17"/>
        <v>0.88745428775595836</v>
      </c>
    </row>
    <row r="108" spans="1:29" ht="15.6" x14ac:dyDescent="0.3">
      <c r="A108" s="206">
        <v>2037</v>
      </c>
      <c r="B108" s="253">
        <f>(B160/Population_Tables!O26)*Population_Tables!C26</f>
        <v>734.11768053800438</v>
      </c>
      <c r="C108" s="253">
        <f>(C160/Population_Tables!P26)*Population_Tables!D26</f>
        <v>440.17212623301259</v>
      </c>
      <c r="D108" s="253">
        <f>(D160/Population_Tables!Q26)*Population_Tables!E26</f>
        <v>43.42621199587073</v>
      </c>
      <c r="E108" s="253">
        <f>(E160/Population_Tables!R26)*Population_Tables!F26</f>
        <v>326.39405259692722</v>
      </c>
      <c r="F108" s="253">
        <f>(F160/Population_Tables!S26)*Population_Tables!G26</f>
        <v>21.793974763575324</v>
      </c>
      <c r="G108" s="253">
        <f>(G160/Population_Tables!T26)*Population_Tables!H26</f>
        <v>43.09161021394079</v>
      </c>
      <c r="H108" s="253">
        <f>(H160/Population_Tables!U26)*Population_Tables!I26</f>
        <v>324.61638529617699</v>
      </c>
      <c r="I108" s="253">
        <f>(I160/Population_Tables!V26)*Population_Tables!J26</f>
        <v>40.941993695738319</v>
      </c>
      <c r="J108" s="253">
        <f>(J160/Population_Tables!W26)*Population_Tables!K26</f>
        <v>104.30630749789938</v>
      </c>
      <c r="K108" s="253">
        <f>(K160/Population_Tables!X26)*Population_Tables!L26</f>
        <v>67.713861766660074</v>
      </c>
      <c r="L108" s="170"/>
      <c r="M108" s="170"/>
      <c r="N108" s="195">
        <f t="shared" si="11"/>
        <v>23.571642064325545</v>
      </c>
      <c r="O108" s="195">
        <f t="shared" si="13"/>
        <v>324.61638529617699</v>
      </c>
      <c r="P108" s="195">
        <f t="shared" si="12"/>
        <v>526.68994844282417</v>
      </c>
      <c r="Q108" s="195">
        <f t="shared" si="14"/>
        <v>874.87797580332676</v>
      </c>
      <c r="R108" s="196">
        <f t="shared" si="15"/>
        <v>2.6942776840029253E-2</v>
      </c>
      <c r="S108" s="170"/>
      <c r="T108" s="170"/>
      <c r="U108" s="195">
        <f t="shared" si="20"/>
        <v>3.9865388733195459</v>
      </c>
      <c r="V108" s="195">
        <f t="shared" si="16"/>
        <v>11.511782073158713</v>
      </c>
      <c r="W108" s="195">
        <f t="shared" si="16"/>
        <v>20.558602756821131</v>
      </c>
      <c r="X108" s="195">
        <f t="shared" si="19"/>
        <v>36.05692370329939</v>
      </c>
      <c r="Y108" s="207">
        <f t="shared" si="18"/>
        <v>0.1105623681632817</v>
      </c>
      <c r="AC108" s="251">
        <f t="shared" si="17"/>
        <v>0.88369349754511306</v>
      </c>
    </row>
    <row r="109" spans="1:29" ht="15.6" x14ac:dyDescent="0.3">
      <c r="A109" s="206">
        <v>2038</v>
      </c>
      <c r="B109" s="253">
        <f>(B161/Population_Tables!O27)*Population_Tables!C27</f>
        <v>752.79961255327305</v>
      </c>
      <c r="C109" s="253">
        <f>(C161/Population_Tables!P27)*Population_Tables!D27</f>
        <v>451.67656429655472</v>
      </c>
      <c r="D109" s="253">
        <f>(D161/Population_Tables!Q27)*Population_Tables!E27</f>
        <v>44.390368160703304</v>
      </c>
      <c r="E109" s="253">
        <f>(E161/Population_Tables!R27)*Population_Tables!F27</f>
        <v>336.84761793464139</v>
      </c>
      <c r="F109" s="253">
        <f>(F161/Population_Tables!S27)*Population_Tables!G27</f>
        <v>22.488956212165956</v>
      </c>
      <c r="G109" s="253">
        <f>(G161/Population_Tables!T27)*Population_Tables!H27</f>
        <v>44.295411036472032</v>
      </c>
      <c r="H109" s="253">
        <f>(H161/Population_Tables!U27)*Population_Tables!I27</f>
        <v>336.10193414132539</v>
      </c>
      <c r="I109" s="253">
        <f>(I161/Population_Tables!V27)*Population_Tables!J27</f>
        <v>43.575942063383543</v>
      </c>
      <c r="J109" s="253">
        <f>(J161/Population_Tables!W27)*Population_Tables!K27</f>
        <v>104.87092391308936</v>
      </c>
      <c r="K109" s="253">
        <f>(K161/Population_Tables!X27)*Population_Tables!L27</f>
        <v>67.637343294873546</v>
      </c>
      <c r="L109" s="170"/>
      <c r="M109" s="170"/>
      <c r="N109" s="195">
        <f t="shared" si="11"/>
        <v>23.234640005481936</v>
      </c>
      <c r="O109" s="195">
        <f t="shared" si="13"/>
        <v>336.10193414132539</v>
      </c>
      <c r="P109" s="195">
        <f t="shared" si="12"/>
        <v>540.36234349373001</v>
      </c>
      <c r="Q109" s="195">
        <f t="shared" si="14"/>
        <v>899.69891764053739</v>
      </c>
      <c r="R109" s="196">
        <f t="shared" si="15"/>
        <v>2.5824906032358954E-2</v>
      </c>
      <c r="S109" s="170"/>
      <c r="T109" s="170"/>
      <c r="U109" s="195">
        <f t="shared" si="20"/>
        <v>4.319119393520225</v>
      </c>
      <c r="V109" s="195">
        <f t="shared" si="16"/>
        <v>12.761140588988496</v>
      </c>
      <c r="W109" s="195">
        <f t="shared" si="16"/>
        <v>22.548314701210984</v>
      </c>
      <c r="X109" s="195">
        <f t="shared" si="19"/>
        <v>39.628574683719705</v>
      </c>
      <c r="Y109" s="207">
        <f t="shared" si="18"/>
        <v>0.10899002621193477</v>
      </c>
      <c r="AC109" s="251">
        <f t="shared" si="17"/>
        <v>0.88015233979084695</v>
      </c>
    </row>
    <row r="110" spans="1:29" ht="15.6" x14ac:dyDescent="0.3">
      <c r="A110" s="206">
        <v>2039</v>
      </c>
      <c r="B110" s="253">
        <f>(B162/Population_Tables!O28)*Population_Tables!C28</f>
        <v>771.91763038891349</v>
      </c>
      <c r="C110" s="253">
        <f>(C162/Population_Tables!P28)*Population_Tables!D28</f>
        <v>463.44073006253092</v>
      </c>
      <c r="D110" s="253">
        <f>(D162/Population_Tables!Q28)*Population_Tables!E28</f>
        <v>45.377988343185983</v>
      </c>
      <c r="E110" s="253">
        <f>(E162/Population_Tables!R28)*Population_Tables!F28</f>
        <v>347.54728954806257</v>
      </c>
      <c r="F110" s="253">
        <f>(F162/Population_Tables!S28)*Population_Tables!G28</f>
        <v>23.200506156463501</v>
      </c>
      <c r="G110" s="253">
        <f>(G162/Population_Tables!T28)*Population_Tables!H28</f>
        <v>45.530447000259983</v>
      </c>
      <c r="H110" s="253">
        <f>(H162/Population_Tables!U28)*Population_Tables!I28</f>
        <v>347.79030651050442</v>
      </c>
      <c r="I110" s="253">
        <f>(I162/Population_Tables!V28)*Population_Tables!J28</f>
        <v>46.377223335042963</v>
      </c>
      <c r="J110" s="253">
        <f>(J162/Population_Tables!W28)*Population_Tables!K28</f>
        <v>105.44219810563571</v>
      </c>
      <c r="K110" s="253">
        <f>(K162/Population_Tables!X28)*Population_Tables!L28</f>
        <v>67.572684351522298</v>
      </c>
      <c r="L110" s="170"/>
      <c r="M110" s="170"/>
      <c r="N110" s="195">
        <f t="shared" si="11"/>
        <v>22.957489194021662</v>
      </c>
      <c r="O110" s="195">
        <f t="shared" si="13"/>
        <v>347.79030651050442</v>
      </c>
      <c r="P110" s="195">
        <f t="shared" si="12"/>
        <v>554.34916540597692</v>
      </c>
      <c r="Q110" s="195">
        <f t="shared" si="14"/>
        <v>925.09696111050312</v>
      </c>
      <c r="R110" s="196">
        <f t="shared" si="15"/>
        <v>2.4816305921557754E-2</v>
      </c>
      <c r="S110" s="170"/>
      <c r="T110" s="170"/>
      <c r="U110" s="195">
        <f t="shared" si="20"/>
        <v>4.6615881392767164</v>
      </c>
      <c r="V110" s="195">
        <f t="shared" si="16"/>
        <v>14.079603990487044</v>
      </c>
      <c r="W110" s="195">
        <f t="shared" si="16"/>
        <v>24.620431354550874</v>
      </c>
      <c r="X110" s="195">
        <f t="shared" si="19"/>
        <v>43.361623484314634</v>
      </c>
      <c r="Y110" s="207">
        <f t="shared" si="18"/>
        <v>0.10750492635412903</v>
      </c>
      <c r="AC110" s="251">
        <f t="shared" si="17"/>
        <v>0.87684726201182228</v>
      </c>
    </row>
    <row r="111" spans="1:29" ht="15.6" x14ac:dyDescent="0.3">
      <c r="A111" s="206">
        <v>2040</v>
      </c>
      <c r="B111" s="253">
        <f>(B163/Population_Tables!O29)*Population_Tables!C29</f>
        <v>791.49160521895203</v>
      </c>
      <c r="C111" s="253">
        <f>(C163/Population_Tables!P29)*Population_Tables!D29</f>
        <v>475.4768841366087</v>
      </c>
      <c r="D111" s="253">
        <f>(D163/Population_Tables!Q29)*Population_Tables!E29</f>
        <v>46.392380967592828</v>
      </c>
      <c r="E111" s="253">
        <f>(E163/Population_Tables!R29)*Population_Tables!F29</f>
        <v>358.51091978155949</v>
      </c>
      <c r="F111" s="253">
        <f>(F163/Population_Tables!S29)*Population_Tables!G29</f>
        <v>23.929582743402435</v>
      </c>
      <c r="G111" s="253">
        <f>(G163/Population_Tables!T29)*Population_Tables!H29</f>
        <v>46.798709702854829</v>
      </c>
      <c r="H111" s="253">
        <f>(H163/Population_Tables!U29)*Population_Tables!I29</f>
        <v>359.69412942741695</v>
      </c>
      <c r="I111" s="253">
        <f>(I163/Population_Tables!V29)*Population_Tables!J29</f>
        <v>49.354956352664196</v>
      </c>
      <c r="J111" s="253">
        <f>(J163/Population_Tables!W29)*Population_Tables!K29</f>
        <v>106.02283590405891</v>
      </c>
      <c r="K111" s="253">
        <f>(K163/Population_Tables!X29)*Population_Tables!L29</f>
        <v>67.521143127838954</v>
      </c>
      <c r="L111" s="170"/>
      <c r="M111" s="170"/>
      <c r="N111" s="195">
        <f t="shared" si="11"/>
        <v>22.746373097544961</v>
      </c>
      <c r="O111" s="195">
        <f t="shared" si="13"/>
        <v>359.69412942741695</v>
      </c>
      <c r="P111" s="195">
        <f t="shared" si="12"/>
        <v>568.66797480705634</v>
      </c>
      <c r="Q111" s="195">
        <f t="shared" si="14"/>
        <v>951.10847733201831</v>
      </c>
      <c r="R111" s="196">
        <f>N111/Q111</f>
        <v>2.391564541759891E-2</v>
      </c>
      <c r="S111" s="170"/>
      <c r="T111" s="170"/>
      <c r="U111" s="195">
        <f t="shared" si="20"/>
        <v>5.0176688729562784</v>
      </c>
      <c r="V111" s="195">
        <f t="shared" si="16"/>
        <v>15.47557910047351</v>
      </c>
      <c r="W111" s="195">
        <f t="shared" si="16"/>
        <v>26.786965609784829</v>
      </c>
      <c r="X111" s="195">
        <f t="shared" si="19"/>
        <v>47.280213583214618</v>
      </c>
      <c r="Y111" s="207">
        <f t="shared" si="18"/>
        <v>0.10612618879407193</v>
      </c>
      <c r="AC111" s="251">
        <f t="shared" si="17"/>
        <v>0.87377883439444548</v>
      </c>
    </row>
    <row r="112" spans="1:29" ht="15.6" x14ac:dyDescent="0.3">
      <c r="A112" s="206">
        <v>2041</v>
      </c>
      <c r="B112" s="253">
        <f>(B164/Population_Tables!O30)*Population_Tables!C30</f>
        <v>811.52813807836799</v>
      </c>
      <c r="C112" s="253">
        <f>(C164/Population_Tables!P30)*Population_Tables!D30</f>
        <v>487.79202919125157</v>
      </c>
      <c r="D112" s="253">
        <f>(D164/Population_Tables!Q30)*Population_Tables!E30</f>
        <v>47.436208296192888</v>
      </c>
      <c r="E112" s="253">
        <f>(E164/Population_Tables!R30)*Population_Tables!F30</f>
        <v>369.75044587647506</v>
      </c>
      <c r="F112" s="253">
        <f>(F164/Population_Tables!S30)*Population_Tables!G30</f>
        <v>24.676735916564418</v>
      </c>
      <c r="G112" s="253">
        <f>(G164/Population_Tables!T30)*Population_Tables!H30</f>
        <v>48.101313216146785</v>
      </c>
      <c r="H112" s="253">
        <f>(H164/Population_Tables!U30)*Population_Tables!I30</f>
        <v>371.82147322149996</v>
      </c>
      <c r="I112" s="253">
        <f>(I164/Population_Tables!V30)*Population_Tables!J30</f>
        <v>52.517606291693497</v>
      </c>
      <c r="J112" s="253">
        <f>(J164/Population_Tables!W30)*Population_Tables!K30</f>
        <v>106.6142713898668</v>
      </c>
      <c r="K112" s="253">
        <f>(K164/Population_Tables!X30)*Population_Tables!L30</f>
        <v>67.483041011662593</v>
      </c>
      <c r="L112" s="170"/>
      <c r="M112" s="170"/>
      <c r="N112" s="195">
        <f t="shared" si="11"/>
        <v>22.605708571539537</v>
      </c>
      <c r="O112" s="195">
        <f t="shared" si="13"/>
        <v>371.82147322149996</v>
      </c>
      <c r="P112" s="195">
        <f t="shared" si="12"/>
        <v>583.32955070359117</v>
      </c>
      <c r="Q112" s="195">
        <f t="shared" si="14"/>
        <v>977.75673249663055</v>
      </c>
      <c r="R112" s="196">
        <f t="shared" si="15"/>
        <v>2.3119972300080723E-2</v>
      </c>
      <c r="S112" s="170"/>
      <c r="T112" s="170"/>
      <c r="U112" s="195">
        <f t="shared" si="20"/>
        <v>5.3893187448138065</v>
      </c>
      <c r="V112" s="195">
        <f t="shared" si="16"/>
        <v>16.952916047501105</v>
      </c>
      <c r="W112" s="195">
        <f t="shared" si="16"/>
        <v>29.053148738988284</v>
      </c>
      <c r="X112" s="195">
        <f t="shared" si="19"/>
        <v>51.395383531303196</v>
      </c>
      <c r="Y112" s="207">
        <f t="shared" si="18"/>
        <v>0.10485997719097385</v>
      </c>
      <c r="AC112" s="251">
        <f t="shared" si="17"/>
        <v>0.87091219826017796</v>
      </c>
    </row>
    <row r="113" spans="1:29" ht="15.6" x14ac:dyDescent="0.3">
      <c r="A113" s="206">
        <v>2042</v>
      </c>
      <c r="B113" s="253">
        <f>(B165/Population_Tables!O31)*Population_Tables!C31</f>
        <v>832.03040981503614</v>
      </c>
      <c r="C113" s="253">
        <f>(C165/Population_Tables!P31)*Population_Tables!D31</f>
        <v>500.39043937775244</v>
      </c>
      <c r="D113" s="253">
        <f>(D165/Population_Tables!Q31)*Population_Tables!E31</f>
        <v>48.511880740940896</v>
      </c>
      <c r="E113" s="253">
        <f>(E165/Population_Tables!R31)*Population_Tables!F31</f>
        <v>381.27680150820561</v>
      </c>
      <c r="F113" s="253">
        <f>(F165/Population_Tables!S31)*Population_Tables!G31</f>
        <v>25.442407328658913</v>
      </c>
      <c r="G113" s="253">
        <f>(G165/Population_Tables!T31)*Population_Tables!H31</f>
        <v>49.439066548304581</v>
      </c>
      <c r="H113" s="253">
        <f>(H165/Population_Tables!U31)*Population_Tables!I31</f>
        <v>384.17923319898438</v>
      </c>
      <c r="I113" s="253">
        <f>(I165/Population_Tables!V31)*Population_Tables!J31</f>
        <v>55.873783362802797</v>
      </c>
      <c r="J113" s="253">
        <f>(J165/Population_Tables!W31)*Population_Tables!K31</f>
        <v>107.21728692021419</v>
      </c>
      <c r="K113" s="253">
        <f>(K165/Population_Tables!X31)*Population_Tables!L31</f>
        <v>67.458350777883638</v>
      </c>
      <c r="L113" s="170"/>
      <c r="M113" s="170"/>
      <c r="N113" s="195">
        <f t="shared" si="11"/>
        <v>22.539975637880161</v>
      </c>
      <c r="O113" s="195">
        <f t="shared" si="13"/>
        <v>384.17923319898438</v>
      </c>
      <c r="P113" s="195">
        <f t="shared" si="12"/>
        <v>598.34138666699789</v>
      </c>
      <c r="Q113" s="195">
        <f t="shared" si="14"/>
        <v>1005.0605955038625</v>
      </c>
      <c r="R113" s="196">
        <f t="shared" si="15"/>
        <v>2.242648427240379E-2</v>
      </c>
      <c r="S113" s="170"/>
      <c r="T113" s="170"/>
      <c r="U113" s="195">
        <f t="shared" si="20"/>
        <v>5.7785580714912612</v>
      </c>
      <c r="V113" s="195">
        <f t="shared" si="16"/>
        <v>18.514289936917066</v>
      </c>
      <c r="W113" s="195">
        <f t="shared" si="16"/>
        <v>31.420926579030379</v>
      </c>
      <c r="X113" s="195">
        <f t="shared" si="19"/>
        <v>55.713774587438706</v>
      </c>
      <c r="Y113" s="207">
        <f t="shared" si="18"/>
        <v>0.10371866049790318</v>
      </c>
      <c r="AC113" s="251">
        <f t="shared" si="17"/>
        <v>0.8682277780278288</v>
      </c>
    </row>
    <row r="114" spans="1:29" ht="15.6" x14ac:dyDescent="0.3">
      <c r="A114" s="206">
        <v>2043</v>
      </c>
      <c r="B114" s="253">
        <f>(B166/Population_Tables!O32)*Population_Tables!C32</f>
        <v>853.01339214174857</v>
      </c>
      <c r="C114" s="253">
        <f>(C166/Population_Tables!P32)*Population_Tables!D32</f>
        <v>513.28041021030481</v>
      </c>
      <c r="D114" s="253">
        <f>(D166/Population_Tables!Q32)*Population_Tables!E32</f>
        <v>49.622290847167065</v>
      </c>
      <c r="E114" s="253">
        <f>(E166/Population_Tables!R32)*Population_Tables!F32</f>
        <v>393.10737726337192</v>
      </c>
      <c r="F114" s="253">
        <f>(F166/Population_Tables!S32)*Population_Tables!G32</f>
        <v>26.227385114147918</v>
      </c>
      <c r="G114" s="253">
        <f>(G166/Population_Tables!T32)*Population_Tables!H32</f>
        <v>50.813434518804563</v>
      </c>
      <c r="H114" s="253">
        <f>(H166/Population_Tables!U32)*Population_Tables!I32</f>
        <v>396.77905299819366</v>
      </c>
      <c r="I114" s="253">
        <f>(I166/Population_Tables!V32)*Population_Tables!J32</f>
        <v>59.433487737506788</v>
      </c>
      <c r="J114" s="253">
        <f>(J166/Population_Tables!W32)*Population_Tables!K32</f>
        <v>107.83347774313994</v>
      </c>
      <c r="K114" s="253">
        <f>(K166/Population_Tables!X32)*Population_Tables!L32</f>
        <v>67.447652021354969</v>
      </c>
      <c r="L114" s="170"/>
      <c r="M114" s="170"/>
      <c r="N114" s="195">
        <f t="shared" si="11"/>
        <v>22.555709379326174</v>
      </c>
      <c r="O114" s="195">
        <f t="shared" si="13"/>
        <v>396.77905299819366</v>
      </c>
      <c r="P114" s="195">
        <f t="shared" si="12"/>
        <v>613.71613557627643</v>
      </c>
      <c r="Q114" s="195">
        <f t="shared" si="14"/>
        <v>1033.0508979537963</v>
      </c>
      <c r="R114" s="196">
        <f t="shared" si="15"/>
        <v>2.1834073639549742E-2</v>
      </c>
      <c r="S114" s="170"/>
      <c r="T114" s="170"/>
      <c r="U114" s="195">
        <f t="shared" si="20"/>
        <v>6.1894622305149483</v>
      </c>
      <c r="V114" s="195">
        <f t="shared" si="16"/>
        <v>20.16712420616102</v>
      </c>
      <c r="W114" s="195">
        <f t="shared" si="16"/>
        <v>33.897404274363453</v>
      </c>
      <c r="X114" s="195">
        <f t="shared" si="19"/>
        <v>60.253990711039421</v>
      </c>
      <c r="Y114" s="207">
        <f t="shared" si="18"/>
        <v>0.10272285963925286</v>
      </c>
      <c r="AC114" s="251">
        <f t="shared" si="17"/>
        <v>0.86573282917418981</v>
      </c>
    </row>
    <row r="115" spans="1:29" ht="15.6" x14ac:dyDescent="0.3">
      <c r="A115" s="206">
        <v>2044</v>
      </c>
      <c r="B115" s="253">
        <f>(B167/Population_Tables!O33)*Population_Tables!C33</f>
        <v>874.49470898481252</v>
      </c>
      <c r="C115" s="253">
        <f>(C167/Population_Tables!P33)*Population_Tables!D33</f>
        <v>526.47059737816687</v>
      </c>
      <c r="D115" s="253">
        <f>(D167/Population_Tables!Q33)*Population_Tables!E33</f>
        <v>50.770393120997596</v>
      </c>
      <c r="E115" s="253">
        <f>(E167/Population_Tables!R33)*Population_Tables!F33</f>
        <v>405.26172153736945</v>
      </c>
      <c r="F115" s="253">
        <f>(F167/Population_Tables!S33)*Population_Tables!G33</f>
        <v>27.032518889311945</v>
      </c>
      <c r="G115" s="253">
        <f>(G167/Population_Tables!T33)*Population_Tables!H33</f>
        <v>52.225991768323858</v>
      </c>
      <c r="H115" s="253">
        <f>(H167/Population_Tables!U33)*Population_Tables!I33</f>
        <v>409.63410455018715</v>
      </c>
      <c r="I115" s="253">
        <f>(I167/Population_Tables!V33)*Population_Tables!J33</f>
        <v>63.207514999003585</v>
      </c>
      <c r="J115" s="253">
        <f>(J167/Population_Tables!W33)*Population_Tables!K33</f>
        <v>108.46444018343085</v>
      </c>
      <c r="K115" s="253">
        <f>(K167/Population_Tables!X33)*Population_Tables!L33</f>
        <v>67.451574510203912</v>
      </c>
      <c r="L115" s="170"/>
      <c r="M115" s="170"/>
      <c r="N115" s="195">
        <f t="shared" si="11"/>
        <v>22.66013587649428</v>
      </c>
      <c r="O115" s="195">
        <f t="shared" si="13"/>
        <v>409.63410455018715</v>
      </c>
      <c r="P115" s="195">
        <f t="shared" si="12"/>
        <v>629.46698226748833</v>
      </c>
      <c r="Q115" s="195">
        <f t="shared" si="14"/>
        <v>1061.7612226941699</v>
      </c>
      <c r="R115" s="196">
        <f t="shared" si="15"/>
        <v>2.1342026241074463E-2</v>
      </c>
      <c r="S115" s="170"/>
      <c r="T115" s="170"/>
      <c r="U115" s="195">
        <f t="shared" si="20"/>
        <v>6.626797597268876</v>
      </c>
      <c r="V115" s="195">
        <f t="shared" si="16"/>
        <v>21.920370585408534</v>
      </c>
      <c r="W115" s="195">
        <f t="shared" si="16"/>
        <v>36.490218926501711</v>
      </c>
      <c r="X115" s="195">
        <f t="shared" si="19"/>
        <v>65.037387109179122</v>
      </c>
      <c r="Y115" s="207">
        <f t="shared" si="18"/>
        <v>0.10189212531162088</v>
      </c>
      <c r="AC115" s="251">
        <f t="shared" si="17"/>
        <v>0.86343596656052668</v>
      </c>
    </row>
    <row r="116" spans="1:29" ht="15.6" x14ac:dyDescent="0.3">
      <c r="A116" s="206">
        <v>2045</v>
      </c>
      <c r="B116" s="253">
        <f>(B168/Population_Tables!O34)*Population_Tables!C34</f>
        <v>896.49121181201258</v>
      </c>
      <c r="C116" s="253">
        <f>(C168/Population_Tables!P34)*Population_Tables!D34</f>
        <v>539.97055561710772</v>
      </c>
      <c r="D116" s="253">
        <f>(D168/Population_Tables!Q34)*Population_Tables!E34</f>
        <v>51.959213135774718</v>
      </c>
      <c r="E116" s="253">
        <f>(E168/Population_Tables!R34)*Population_Tables!F34</f>
        <v>417.75922503824631</v>
      </c>
      <c r="F116" s="253">
        <f>(F168/Population_Tables!S34)*Population_Tables!G34</f>
        <v>27.858627128746633</v>
      </c>
      <c r="G116" s="253">
        <f>(G168/Population_Tables!T34)*Population_Tables!H34</f>
        <v>53.678334263462418</v>
      </c>
      <c r="H116" s="253">
        <f>(H168/Population_Tables!U34)*Population_Tables!I34</f>
        <v>422.75759604744883</v>
      </c>
      <c r="I116" s="253">
        <f>(I168/Population_Tables!V34)*Population_Tables!J34</f>
        <v>67.206942124966034</v>
      </c>
      <c r="J116" s="253">
        <f>(J168/Population_Tables!W34)*Population_Tables!K34</f>
        <v>109.11189442308601</v>
      </c>
      <c r="K116" s="253">
        <f>(K168/Population_Tables!X34)*Population_Tables!L34</f>
        <v>67.470781410095313</v>
      </c>
      <c r="L116" s="170"/>
      <c r="M116" s="170"/>
      <c r="N116" s="195">
        <f t="shared" si="11"/>
        <v>22.860256119544147</v>
      </c>
      <c r="O116" s="195">
        <f t="shared" si="13"/>
        <v>422.75759604744883</v>
      </c>
      <c r="P116" s="195">
        <f t="shared" si="12"/>
        <v>645.60810301634478</v>
      </c>
      <c r="Q116" s="195">
        <f t="shared" si="14"/>
        <v>1091.2259551833376</v>
      </c>
      <c r="R116" s="196">
        <f t="shared" si="15"/>
        <v>2.0949149908832017E-2</v>
      </c>
      <c r="S116" s="170"/>
      <c r="T116" s="170"/>
      <c r="U116" s="195">
        <f t="shared" si="20"/>
        <v>7.0951054566797893</v>
      </c>
      <c r="V116" s="195">
        <f t="shared" si="16"/>
        <v>23.783017066259958</v>
      </c>
      <c r="W116" s="195">
        <f t="shared" si="16"/>
        <v>39.207999076608758</v>
      </c>
      <c r="X116" s="195">
        <f t="shared" si="19"/>
        <v>70.086121599548505</v>
      </c>
      <c r="Y116" s="207">
        <f t="shared" si="18"/>
        <v>0.10123410020059515</v>
      </c>
      <c r="AC116" s="251">
        <f t="shared" si="17"/>
        <v>0.86132141849741584</v>
      </c>
    </row>
    <row r="117" spans="1:29" ht="15.6" x14ac:dyDescent="0.3">
      <c r="A117" s="206">
        <v>2046</v>
      </c>
      <c r="B117" s="253">
        <f>(B169/Population_Tables!O35)*Population_Tables!C35</f>
        <v>919.01521670671207</v>
      </c>
      <c r="C117" s="253">
        <f>(C169/Population_Tables!P35)*Population_Tables!D35</f>
        <v>553.78941528830751</v>
      </c>
      <c r="D117" s="253">
        <f>(D169/Population_Tables!Q35)*Population_Tables!E35</f>
        <v>53.191772767566754</v>
      </c>
      <c r="E117" s="253">
        <f>(E169/Population_Tables!R35)*Population_Tables!F35</f>
        <v>430.6167418603236</v>
      </c>
      <c r="F117" s="253">
        <f>(F169/Population_Tables!S35)*Population_Tables!G35</f>
        <v>28.706413035455213</v>
      </c>
      <c r="G117" s="253">
        <f>(G169/Population_Tables!T35)*Population_Tables!H35</f>
        <v>55.17192224860419</v>
      </c>
      <c r="H117" s="253">
        <f>(H169/Population_Tables!U35)*Population_Tables!I35</f>
        <v>436.16164931668834</v>
      </c>
      <c r="I117" s="253">
        <f>(I169/Population_Tables!V35)*Population_Tables!J35</f>
        <v>71.44238760421878</v>
      </c>
      <c r="J117" s="253">
        <f>(J169/Population_Tables!W35)*Population_Tables!K35</f>
        <v>109.77751547822918</v>
      </c>
      <c r="K117" s="253">
        <f>(K169/Population_Tables!X35)*Population_Tables!L35</f>
        <v>67.505727677930253</v>
      </c>
      <c r="L117" s="170"/>
      <c r="M117" s="170"/>
      <c r="N117" s="195">
        <f t="shared" si="11"/>
        <v>23.161505579090488</v>
      </c>
      <c r="O117" s="195">
        <f t="shared" si="13"/>
        <v>436.16164931668834</v>
      </c>
      <c r="P117" s="195">
        <f t="shared" si="12"/>
        <v>662.15311030447845</v>
      </c>
      <c r="Q117" s="195">
        <f t="shared" si="14"/>
        <v>1121.4762652002573</v>
      </c>
      <c r="R117" s="196">
        <f t="shared" si="15"/>
        <v>2.0652693505693261E-2</v>
      </c>
      <c r="S117" s="170"/>
      <c r="T117" s="170"/>
      <c r="U117" s="195">
        <f t="shared" si="20"/>
        <v>7.5973615741293656</v>
      </c>
      <c r="V117" s="195">
        <f t="shared" si="16"/>
        <v>25.762965274541102</v>
      </c>
      <c r="W117" s="195">
        <f t="shared" si="16"/>
        <v>42.058809471769905</v>
      </c>
      <c r="X117" s="195">
        <f t="shared" si="19"/>
        <v>75.419136320440373</v>
      </c>
      <c r="Y117" s="207">
        <f t="shared" si="18"/>
        <v>0.10073519725616774</v>
      </c>
      <c r="AC117" s="251">
        <f t="shared" si="17"/>
        <v>0.85935278414137495</v>
      </c>
    </row>
    <row r="118" spans="1:29" ht="15.6" x14ac:dyDescent="0.3">
      <c r="A118" s="206">
        <v>2047</v>
      </c>
      <c r="B118" s="253">
        <f>(B170/Population_Tables!O36)*Population_Tables!C36</f>
        <v>942.07832986972244</v>
      </c>
      <c r="C118" s="253">
        <f>(C170/Population_Tables!P36)*Population_Tables!D36</f>
        <v>567.93811389752898</v>
      </c>
      <c r="D118" s="253">
        <f>(D170/Population_Tables!Q36)*Population_Tables!E36</f>
        <v>54.471154934958889</v>
      </c>
      <c r="E118" s="253">
        <f>(E170/Population_Tables!R36)*Population_Tables!F36</f>
        <v>443.85089944697404</v>
      </c>
      <c r="F118" s="253">
        <f>(F170/Population_Tables!S36)*Population_Tables!G36</f>
        <v>29.576535763213339</v>
      </c>
      <c r="G118" s="253">
        <f>(G170/Population_Tables!T36)*Population_Tables!H36</f>
        <v>56.708265433795681</v>
      </c>
      <c r="H118" s="253">
        <f>(H170/Population_Tables!U36)*Population_Tables!I36</f>
        <v>449.85774559108182</v>
      </c>
      <c r="I118" s="253">
        <f>(I170/Population_Tables!V36)*Population_Tables!J36</f>
        <v>75.924718005164465</v>
      </c>
      <c r="J118" s="253">
        <f>(J170/Population_Tables!W36)*Population_Tables!K36</f>
        <v>110.46320284903028</v>
      </c>
      <c r="K118" s="253">
        <f>(K170/Population_Tables!X36)*Population_Tables!L36</f>
        <v>67.557067999618212</v>
      </c>
      <c r="L118" s="170"/>
      <c r="M118" s="170"/>
      <c r="N118" s="195">
        <f t="shared" si="11"/>
        <v>23.569689619105532</v>
      </c>
      <c r="O118" s="195">
        <f t="shared" si="13"/>
        <v>449.85774559108182</v>
      </c>
      <c r="P118" s="195">
        <f t="shared" si="12"/>
        <v>679.11753426628354</v>
      </c>
      <c r="Q118" s="195">
        <f t="shared" si="14"/>
        <v>1152.5449694764709</v>
      </c>
      <c r="R118" s="196">
        <f t="shared" si="15"/>
        <v>2.0450125802737022E-2</v>
      </c>
      <c r="S118" s="170"/>
      <c r="T118" s="170"/>
      <c r="U118" s="195">
        <f t="shared" si="20"/>
        <v>8.1369116083570248</v>
      </c>
      <c r="V118" s="195">
        <f t="shared" si="16"/>
        <v>27.867476242544456</v>
      </c>
      <c r="W118" s="195">
        <f t="shared" si="16"/>
        <v>45.052632511831689</v>
      </c>
      <c r="X118" s="195">
        <f t="shared" si="19"/>
        <v>81.057020362733169</v>
      </c>
      <c r="Y118" s="207">
        <f t="shared" si="18"/>
        <v>0.10038503231359905</v>
      </c>
      <c r="AC118" s="251">
        <f t="shared" si="17"/>
        <v>0.85747566124748731</v>
      </c>
    </row>
    <row r="119" spans="1:29" ht="15.6" x14ac:dyDescent="0.3">
      <c r="A119" s="206">
        <v>2048</v>
      </c>
      <c r="B119" s="253">
        <f>(B171/Population_Tables!O37)*Population_Tables!C37</f>
        <v>965.696439687831</v>
      </c>
      <c r="C119" s="253">
        <f>(C171/Population_Tables!P37)*Population_Tables!D37</f>
        <v>582.43106648140235</v>
      </c>
      <c r="D119" s="253">
        <f>(D171/Population_Tables!Q37)*Population_Tables!E37</f>
        <v>55.800530879878337</v>
      </c>
      <c r="E119" s="253">
        <f>(E171/Population_Tables!R37)*Population_Tables!F37</f>
        <v>457.48144260319185</v>
      </c>
      <c r="F119" s="253">
        <f>(F171/Population_Tables!S37)*Population_Tables!G37</f>
        <v>30.469725519885177</v>
      </c>
      <c r="G119" s="253">
        <f>(G171/Population_Tables!T37)*Population_Tables!H37</f>
        <v>58.28906916907416</v>
      </c>
      <c r="H119" s="253">
        <f>(H171/Population_Tables!U37)*Population_Tables!I37</f>
        <v>463.85825461638399</v>
      </c>
      <c r="I119" s="253">
        <f>(I171/Population_Tables!V37)*Population_Tables!J37</f>
        <v>80.666104168436576</v>
      </c>
      <c r="J119" s="253">
        <f>(J171/Population_Tables!W37)*Population_Tables!K37</f>
        <v>111.17122100794631</v>
      </c>
      <c r="K119" s="253">
        <f>(K171/Population_Tables!X37)*Population_Tables!L37</f>
        <v>67.625909238251225</v>
      </c>
      <c r="L119" s="170"/>
      <c r="M119" s="170"/>
      <c r="N119" s="195">
        <f t="shared" si="11"/>
        <v>24.092913506693037</v>
      </c>
      <c r="O119" s="195">
        <f t="shared" si="13"/>
        <v>463.85825461638399</v>
      </c>
      <c r="P119" s="195">
        <f t="shared" si="12"/>
        <v>696.5206665303549</v>
      </c>
      <c r="Q119" s="195">
        <f t="shared" si="14"/>
        <v>1184.4718346534319</v>
      </c>
      <c r="R119" s="196">
        <f t="shared" si="15"/>
        <v>2.0340638588288978E-2</v>
      </c>
      <c r="S119" s="170"/>
      <c r="T119" s="170"/>
      <c r="U119" s="195">
        <f t="shared" si="20"/>
        <v>8.7194011212337728</v>
      </c>
      <c r="V119" s="195">
        <f t="shared" si="16"/>
        <v>30.104699515140794</v>
      </c>
      <c r="W119" s="195">
        <f t="shared" si="16"/>
        <v>48.20321209084193</v>
      </c>
      <c r="X119" s="195">
        <f t="shared" si="19"/>
        <v>87.027312727216497</v>
      </c>
      <c r="Y119" s="207">
        <f t="shared" si="18"/>
        <v>0.10019154731991294</v>
      </c>
      <c r="AC119" s="251">
        <f t="shared" si="17"/>
        <v>0.85563016062219799</v>
      </c>
    </row>
    <row r="120" spans="1:29" ht="15.6" x14ac:dyDescent="0.3">
      <c r="A120" s="206">
        <v>2049</v>
      </c>
      <c r="B120" s="253">
        <f>(B172/Population_Tables!O38)*Population_Tables!C38</f>
        <v>989.88642687019058</v>
      </c>
      <c r="C120" s="253">
        <f>(C172/Population_Tables!P38)*Population_Tables!D38</f>
        <v>597.28496247337296</v>
      </c>
      <c r="D120" s="253">
        <f>(D172/Population_Tables!Q38)*Population_Tables!E38</f>
        <v>57.183182102405112</v>
      </c>
      <c r="E120" s="253">
        <f>(E172/Population_Tables!R38)*Population_Tables!F38</f>
        <v>471.5291156025848</v>
      </c>
      <c r="F120" s="253">
        <f>(F172/Population_Tables!S38)*Population_Tables!G38</f>
        <v>31.386712540282648</v>
      </c>
      <c r="G120" s="253">
        <f>(G172/Population_Tables!T38)*Population_Tables!H38</f>
        <v>59.916152111378295</v>
      </c>
      <c r="H120" s="253">
        <f>(H172/Population_Tables!U38)*Population_Tables!I38</f>
        <v>478.17559473564074</v>
      </c>
      <c r="I120" s="253">
        <f>(I172/Population_Tables!V38)*Population_Tables!J38</f>
        <v>85.679466213569356</v>
      </c>
      <c r="J120" s="253">
        <f>(J172/Population_Tables!W38)*Population_Tables!K38</f>
        <v>111.90409297676163</v>
      </c>
      <c r="K120" s="253">
        <f>(K172/Population_Tables!X38)*Population_Tables!L38</f>
        <v>67.713527274919628</v>
      </c>
      <c r="L120" s="170"/>
      <c r="M120" s="170"/>
      <c r="N120" s="195">
        <f t="shared" si="11"/>
        <v>24.740233407226697</v>
      </c>
      <c r="O120" s="195">
        <f t="shared" si="13"/>
        <v>478.17559473564074</v>
      </c>
      <c r="P120" s="195">
        <f t="shared" si="12"/>
        <v>714.38429668715639</v>
      </c>
      <c r="Q120" s="195">
        <f t="shared" si="14"/>
        <v>1217.3001248300238</v>
      </c>
      <c r="R120" s="196">
        <f t="shared" si="15"/>
        <v>2.0323856789779979E-2</v>
      </c>
      <c r="S120" s="170"/>
      <c r="T120" s="170"/>
      <c r="U120" s="195">
        <f t="shared" si="20"/>
        <v>9.3514265729002659</v>
      </c>
      <c r="V120" s="195">
        <f t="shared" si="16"/>
        <v>32.482833234492489</v>
      </c>
      <c r="W120" s="195">
        <f t="shared" si="16"/>
        <v>51.526790064716693</v>
      </c>
      <c r="X120" s="195">
        <f t="shared" si="19"/>
        <v>93.361049872109447</v>
      </c>
      <c r="Y120" s="207">
        <f t="shared" si="18"/>
        <v>0.10016411111175709</v>
      </c>
      <c r="AC120" s="251">
        <f t="shared" si="17"/>
        <v>0.85375148758491914</v>
      </c>
    </row>
    <row r="121" spans="1:29" ht="16.2" thickBot="1" x14ac:dyDescent="0.35">
      <c r="A121" s="208">
        <v>2050</v>
      </c>
      <c r="B121" s="253">
        <f>(B173/Population_Tables!O39)*Population_Tables!C39</f>
        <v>1014.6638889534063</v>
      </c>
      <c r="C121" s="253">
        <f>(C173/Population_Tables!P39)*Population_Tables!D39</f>
        <v>612.51596188146448</v>
      </c>
      <c r="D121" s="253">
        <f>(D173/Population_Tables!Q39)*Population_Tables!E39</f>
        <v>58.622429304136638</v>
      </c>
      <c r="E121" s="253">
        <f>(E173/Population_Tables!R39)*Population_Tables!F39</f>
        <v>486.01428547149101</v>
      </c>
      <c r="F121" s="253">
        <f>(F173/Population_Tables!S39)*Population_Tables!G39</f>
        <v>32.328210991402891</v>
      </c>
      <c r="G121" s="253">
        <f>(G173/Population_Tables!T39)*Population_Tables!H39</f>
        <v>61.59132032613612</v>
      </c>
      <c r="H121" s="253">
        <f>(H173/Population_Tables!U39)*Population_Tables!I39</f>
        <v>492.82253054289754</v>
      </c>
      <c r="I121" s="253">
        <f>(I173/Population_Tables!V39)*Population_Tables!J39</f>
        <v>90.977915313468841</v>
      </c>
      <c r="J121" s="253">
        <f>(J173/Population_Tables!W39)*Population_Tables!K39</f>
        <v>112.66420157436959</v>
      </c>
      <c r="K121" s="253">
        <f>(K173/Population_Tables!X39)*Population_Tables!L39</f>
        <v>67.820985479999649</v>
      </c>
      <c r="L121" s="209"/>
      <c r="M121" s="209"/>
      <c r="N121" s="195">
        <f t="shared" si="11"/>
        <v>25.519965919996366</v>
      </c>
      <c r="O121" s="195">
        <f t="shared" si="13"/>
        <v>492.82253054289754</v>
      </c>
      <c r="P121" s="195">
        <f t="shared" si="12"/>
        <v>732.72971151173726</v>
      </c>
      <c r="Q121" s="195">
        <f t="shared" si="14"/>
        <v>1251.0722079746311</v>
      </c>
      <c r="R121" s="210">
        <f t="shared" si="15"/>
        <v>2.0398475609422102E-2</v>
      </c>
      <c r="S121" s="209"/>
      <c r="T121" s="209"/>
      <c r="U121" s="211">
        <f t="shared" si="20"/>
        <v>10.038844857413551</v>
      </c>
      <c r="V121" s="195">
        <f t="shared" si="16"/>
        <v>35.010421793761054</v>
      </c>
      <c r="W121" s="211">
        <f t="shared" si="16"/>
        <v>55.039105473957875</v>
      </c>
      <c r="X121" s="195">
        <f t="shared" si="19"/>
        <v>100.08837212513248</v>
      </c>
      <c r="Y121" s="212">
        <f t="shared" si="18"/>
        <v>0.10029981149920979</v>
      </c>
      <c r="AC121" s="251">
        <f t="shared" si="17"/>
        <v>0.85178865655719083</v>
      </c>
    </row>
    <row r="122" spans="1:29" ht="15.6" x14ac:dyDescent="0.3">
      <c r="A122" s="213">
        <v>2051</v>
      </c>
      <c r="B122" s="253">
        <f>(B174/Population_Tables!O40)*Population_Tables!C40</f>
        <v>1040.04218061917</v>
      </c>
      <c r="C122" s="253">
        <f>(C174/Population_Tables!P40)*Population_Tables!D40</f>
        <v>628.13723402830794</v>
      </c>
      <c r="D122" s="253">
        <f>(D174/Population_Tables!Q40)*Population_Tables!E40</f>
        <v>60.121649836152123</v>
      </c>
      <c r="E122" s="253">
        <f>(E174/Population_Tables!R40)*Population_Tables!F40</f>
        <v>500.95653142358418</v>
      </c>
      <c r="F122" s="253">
        <f>(F174/Population_Tables!S40)*Population_Tables!G40</f>
        <v>33.294912786405853</v>
      </c>
      <c r="G122" s="253">
        <f>(G174/Population_Tables!T40)*Population_Tables!H40</f>
        <v>63.316271381548155</v>
      </c>
      <c r="H122" s="253">
        <f>(H174/Population_Tables!U40)*Population_Tables!I40</f>
        <v>507.81267091990657</v>
      </c>
      <c r="I122" s="253">
        <f>(I174/Population_Tables!V40)*Population_Tables!J40</f>
        <v>96.574489618980252</v>
      </c>
      <c r="J122" s="253">
        <f>(J174/Population_Tables!W40)*Population_Tables!K40</f>
        <v>113.45357190109559</v>
      </c>
      <c r="K122" s="253">
        <f>(K174/Population_Tables!X40)*Population_Tables!L40</f>
        <v>67.948830611068232</v>
      </c>
      <c r="N122" s="195">
        <f t="shared" si="11"/>
        <v>26.438773290083475</v>
      </c>
      <c r="O122" s="195">
        <f t="shared" si="13"/>
        <v>507.81267091990657</v>
      </c>
      <c r="P122" s="195">
        <f t="shared" si="12"/>
        <v>751.57515524600819</v>
      </c>
      <c r="Q122" s="195">
        <f t="shared" si="14"/>
        <v>1285.8265994559983</v>
      </c>
      <c r="R122" s="214">
        <f t="shared" si="15"/>
        <v>2.0561694167214359E-2</v>
      </c>
      <c r="U122" s="215">
        <f t="shared" si="20"/>
        <v>10.785858514622248</v>
      </c>
      <c r="V122" s="195">
        <f t="shared" si="16"/>
        <v>37.696853873815087</v>
      </c>
      <c r="W122" s="215">
        <f t="shared" si="16"/>
        <v>58.752854825928694</v>
      </c>
      <c r="X122" s="195">
        <f t="shared" si="19"/>
        <v>107.23556721436603</v>
      </c>
      <c r="Y122" s="214">
        <f t="shared" si="18"/>
        <v>0.10058098068396563</v>
      </c>
      <c r="AC122" s="251">
        <f t="shared" si="17"/>
        <v>0.84971675443191808</v>
      </c>
    </row>
    <row r="123" spans="1:29" ht="15.6" x14ac:dyDescent="0.3">
      <c r="A123" s="194">
        <v>2052</v>
      </c>
      <c r="B123" s="253">
        <f>(B175/Population_Tables!O41)*Population_Tables!C41</f>
        <v>1066.0320872258458</v>
      </c>
      <c r="C123" s="253">
        <f>(C175/Population_Tables!P41)*Population_Tables!D41</f>
        <v>644.16123401049606</v>
      </c>
      <c r="D123" s="253">
        <f>(D175/Population_Tables!Q41)*Population_Tables!E41</f>
        <v>61.684241675234318</v>
      </c>
      <c r="E123" s="253">
        <f>(E175/Population_Tables!R41)*Population_Tables!F41</f>
        <v>516.3739935652701</v>
      </c>
      <c r="F123" s="253">
        <f>(F175/Population_Tables!S41)*Population_Tables!G41</f>
        <v>34.28747315975361</v>
      </c>
      <c r="G123" s="253">
        <f>(G175/Population_Tables!T41)*Population_Tables!H41</f>
        <v>65.092645837225618</v>
      </c>
      <c r="H123" s="253">
        <f>(H175/Population_Tables!U41)*Population_Tables!I41</f>
        <v>523.15970147310543</v>
      </c>
      <c r="I123" s="253">
        <f>(I175/Population_Tables!V41)*Population_Tables!J41</f>
        <v>102.48193391494203</v>
      </c>
      <c r="J123" s="253">
        <f>(J175/Population_Tables!W41)*Population_Tables!K41</f>
        <v>114.27405297456065</v>
      </c>
      <c r="K123" s="253">
        <f>(K175/Population_Tables!X41)*Population_Tables!L41</f>
        <v>68.097406602869839</v>
      </c>
      <c r="N123" s="195">
        <f t="shared" si="11"/>
        <v>27.5017652519183</v>
      </c>
      <c r="O123" s="195">
        <f t="shared" si="13"/>
        <v>523.15970147310543</v>
      </c>
      <c r="P123" s="195">
        <f t="shared" si="12"/>
        <v>770.93812152295607</v>
      </c>
      <c r="Q123" s="195">
        <f t="shared" si="14"/>
        <v>1321.5995882479797</v>
      </c>
      <c r="R123" s="196">
        <f t="shared" si="15"/>
        <v>2.0809453556486716E-2</v>
      </c>
      <c r="U123" s="195">
        <f t="shared" si="20"/>
        <v>11.595117573723542</v>
      </c>
      <c r="V123" s="195">
        <f t="shared" si="16"/>
        <v>40.55159488020837</v>
      </c>
      <c r="W123" s="195">
        <f t="shared" si="16"/>
        <v>62.67998401906857</v>
      </c>
      <c r="X123" s="195">
        <f t="shared" si="19"/>
        <v>114.82669647300048</v>
      </c>
      <c r="Y123" s="196">
        <f t="shared" si="18"/>
        <v>0.10097928382403594</v>
      </c>
      <c r="AC123" s="251">
        <f t="shared" si="17"/>
        <v>0.84751519722517754</v>
      </c>
    </row>
    <row r="124" spans="1:29" ht="15.6" x14ac:dyDescent="0.3">
      <c r="A124" s="194">
        <v>2053</v>
      </c>
      <c r="B124" s="253">
        <f>(B176/Population_Tables!O42)*Population_Tables!C42</f>
        <v>1092.6432608014802</v>
      </c>
      <c r="C124" s="253">
        <f>(C176/Population_Tables!P42)*Population_Tables!D42</f>
        <v>660.60376367068704</v>
      </c>
      <c r="D124" s="253">
        <f>(D176/Population_Tables!Q42)*Population_Tables!E42</f>
        <v>63.313696484463279</v>
      </c>
      <c r="E124" s="253">
        <f>(E176/Population_Tables!R42)*Population_Tables!F42</f>
        <v>532.28394243154571</v>
      </c>
      <c r="F124" s="253">
        <f>(F176/Population_Tables!S42)*Population_Tables!G42</f>
        <v>35.306512155122014</v>
      </c>
      <c r="G124" s="253">
        <f>(G176/Population_Tables!T42)*Population_Tables!H42</f>
        <v>66.922116508097375</v>
      </c>
      <c r="H124" s="253">
        <f>(H176/Population_Tables!U42)*Population_Tables!I42</f>
        <v>538.87656451826365</v>
      </c>
      <c r="I124" s="253">
        <f>(I176/Population_Tables!V42)*Population_Tables!J42</f>
        <v>108.71294966690449</v>
      </c>
      <c r="J124" s="253">
        <f>(J176/Population_Tables!W42)*Population_Tables!K42</f>
        <v>115.12800268625092</v>
      </c>
      <c r="K124" s="253">
        <f>(K176/Population_Tables!X42)*Population_Tables!L42</f>
        <v>68.267283906770231</v>
      </c>
      <c r="N124" s="195">
        <f t="shared" si="11"/>
        <v>28.713890068404112</v>
      </c>
      <c r="O124" s="195">
        <f t="shared" si="13"/>
        <v>538.87656451826365</v>
      </c>
      <c r="P124" s="195">
        <f t="shared" si="12"/>
        <v>790.83957666324773</v>
      </c>
      <c r="Q124" s="195">
        <f t="shared" si="14"/>
        <v>1358.4300312499154</v>
      </c>
      <c r="R124" s="196">
        <f t="shared" si="15"/>
        <v>2.1137555419018496E-2</v>
      </c>
      <c r="U124" s="195">
        <f t="shared" si="20"/>
        <v>12.469110592387949</v>
      </c>
      <c r="V124" s="195">
        <f t="shared" si="16"/>
        <v>43.58336692782666</v>
      </c>
      <c r="W124" s="195">
        <f t="shared" si="16"/>
        <v>66.835911639496885</v>
      </c>
      <c r="X124" s="195">
        <f t="shared" si="19"/>
        <v>122.88838915971149</v>
      </c>
      <c r="Y124" s="196">
        <f t="shared" si="18"/>
        <v>0.10146695450765907</v>
      </c>
      <c r="AC124" s="251">
        <f t="shared" si="17"/>
        <v>0.8451459468276632</v>
      </c>
    </row>
    <row r="125" spans="1:29" ht="15.6" x14ac:dyDescent="0.3">
      <c r="A125" s="194">
        <v>2054</v>
      </c>
      <c r="B125" s="253">
        <f>(B177/Population_Tables!O43)*Population_Tables!C43</f>
        <v>1119.8835123291883</v>
      </c>
      <c r="C125" s="253">
        <f>(C177/Population_Tables!P43)*Population_Tables!D43</f>
        <v>677.4811704353159</v>
      </c>
      <c r="D125" s="253">
        <f>(D177/Population_Tables!Q43)*Population_Tables!E43</f>
        <v>65.01357995270223</v>
      </c>
      <c r="E125" s="253">
        <f>(E177/Population_Tables!R43)*Population_Tables!F43</f>
        <v>548.70256334647502</v>
      </c>
      <c r="F125" s="253">
        <f>(F177/Population_Tables!S43)*Population_Tables!G43</f>
        <v>36.352621488987054</v>
      </c>
      <c r="G125" s="253">
        <f>(G177/Population_Tables!T43)*Population_Tables!H43</f>
        <v>68.806291071340212</v>
      </c>
      <c r="H125" s="253">
        <f>(H177/Population_Tables!U43)*Population_Tables!I43</f>
        <v>554.97588709763158</v>
      </c>
      <c r="I125" s="253">
        <f>(I177/Population_Tables!V43)*Population_Tables!J43</f>
        <v>115.28001463349891</v>
      </c>
      <c r="J125" s="253">
        <f>(J177/Population_Tables!W43)*Population_Tables!K43</f>
        <v>116.01779096003249</v>
      </c>
      <c r="K125" s="253">
        <f>(K177/Population_Tables!X43)*Population_Tables!L43</f>
        <v>68.458979440545761</v>
      </c>
      <c r="N125" s="195">
        <f t="shared" si="11"/>
        <v>30.07929773783053</v>
      </c>
      <c r="O125" s="195">
        <f t="shared" si="13"/>
        <v>554.97588709763158</v>
      </c>
      <c r="P125" s="195">
        <f t="shared" si="12"/>
        <v>811.30104145935832</v>
      </c>
      <c r="Q125" s="195">
        <f t="shared" si="14"/>
        <v>1396.3562262948203</v>
      </c>
      <c r="R125" s="196">
        <f t="shared" si="15"/>
        <v>2.1541278057422952E-2</v>
      </c>
      <c r="U125" s="195">
        <f t="shared" si="20"/>
        <v>13.409527863672224</v>
      </c>
      <c r="V125" s="195">
        <f t="shared" si="16"/>
        <v>46.800576858036607</v>
      </c>
      <c r="W125" s="195">
        <f t="shared" si="16"/>
        <v>71.236610745141434</v>
      </c>
      <c r="X125" s="195">
        <f t="shared" si="19"/>
        <v>131.44671546685026</v>
      </c>
      <c r="Y125" s="196">
        <f t="shared" si="18"/>
        <v>0.10201493294105163</v>
      </c>
      <c r="AC125" s="251">
        <f t="shared" si="17"/>
        <v>0.84257507126243147</v>
      </c>
    </row>
    <row r="126" spans="1:29" ht="15.6" x14ac:dyDescent="0.3">
      <c r="A126" s="194">
        <v>2055</v>
      </c>
      <c r="B126" s="253">
        <f>(B178/Population_Tables!O44)*Population_Tables!C44</f>
        <v>1147.7603098283821</v>
      </c>
      <c r="C126" s="253">
        <f>(C178/Population_Tables!P44)*Population_Tables!D44</f>
        <v>694.80925094744964</v>
      </c>
      <c r="D126" s="253">
        <f>(D178/Population_Tables!Q44)*Population_Tables!E44</f>
        <v>66.787526081674514</v>
      </c>
      <c r="E126" s="253">
        <f>(E178/Population_Tables!R44)*Population_Tables!F44</f>
        <v>565.64626636897924</v>
      </c>
      <c r="F126" s="253">
        <f>(F178/Population_Tables!S44)*Population_Tables!G44</f>
        <v>37.426391247547762</v>
      </c>
      <c r="G126" s="253">
        <f>(G178/Population_Tables!T44)*Population_Tables!H44</f>
        <v>70.746801863253268</v>
      </c>
      <c r="H126" s="253">
        <f>(H178/Population_Tables!U44)*Population_Tables!I44</f>
        <v>571.47063972900185</v>
      </c>
      <c r="I126" s="253">
        <f>(I178/Population_Tables!V44)*Population_Tables!J44</f>
        <v>122.19581049459197</v>
      </c>
      <c r="J126" s="253">
        <f>(J178/Population_Tables!W44)*Population_Tables!K44</f>
        <v>116.94569454891968</v>
      </c>
      <c r="K126" s="253">
        <f>(K178/Population_Tables!X44)*Population_Tables!L44</f>
        <v>68.672885590210626</v>
      </c>
      <c r="N126" s="195">
        <f t="shared" si="11"/>
        <v>31.602017887525108</v>
      </c>
      <c r="O126" s="195">
        <f t="shared" si="13"/>
        <v>571.47063972900185</v>
      </c>
      <c r="P126" s="195">
        <f t="shared" si="12"/>
        <v>832.34357889237742</v>
      </c>
      <c r="Q126" s="195">
        <f t="shared" si="14"/>
        <v>1435.4162365089044</v>
      </c>
      <c r="R126" s="196">
        <f t="shared" si="15"/>
        <v>2.2015926170923641E-2</v>
      </c>
      <c r="U126" s="195">
        <f t="shared" si="20"/>
        <v>14.417939309671056</v>
      </c>
      <c r="V126" s="195">
        <f t="shared" si="16"/>
        <v>50.211974987747112</v>
      </c>
      <c r="W126" s="195">
        <f t="shared" si="16"/>
        <v>75.897596582544224</v>
      </c>
      <c r="X126" s="195">
        <f t="shared" si="19"/>
        <v>140.52751087996239</v>
      </c>
      <c r="Y126" s="196">
        <f t="shared" si="18"/>
        <v>0.10259869558201139</v>
      </c>
      <c r="AC126" s="251">
        <f t="shared" si="17"/>
        <v>0.83978174764568203</v>
      </c>
    </row>
    <row r="127" spans="1:29" ht="15.6" x14ac:dyDescent="0.3">
      <c r="A127" s="194">
        <v>2056</v>
      </c>
      <c r="B127" s="253">
        <f>(B179/Population_Tables!O45)*Population_Tables!C45</f>
        <v>1176.2838628333707</v>
      </c>
      <c r="C127" s="253">
        <f>(C179/Population_Tables!P45)*Population_Tables!D45</f>
        <v>712.60269997180433</v>
      </c>
      <c r="D127" s="253">
        <f>(D179/Population_Tables!Q45)*Population_Tables!E45</f>
        <v>68.639266793401561</v>
      </c>
      <c r="E127" s="253">
        <f>(E179/Population_Tables!R45)*Population_Tables!F45</f>
        <v>583.13415881112178</v>
      </c>
      <c r="F127" s="253">
        <f>(F179/Population_Tables!S45)*Population_Tables!G45</f>
        <v>38.528477131738569</v>
      </c>
      <c r="G127" s="253">
        <f>(G179/Population_Tables!T45)*Population_Tables!H45</f>
        <v>72.745427678315096</v>
      </c>
      <c r="H127" s="253">
        <f>(H179/Population_Tables!U45)*Population_Tables!I45</f>
        <v>588.37512304031645</v>
      </c>
      <c r="I127" s="253">
        <f>(I179/Population_Tables!V45)*Population_Tables!J45</f>
        <v>129.47418941046621</v>
      </c>
      <c r="J127" s="253">
        <f>(J179/Population_Tables!W45)*Population_Tables!K45</f>
        <v>117.91378745374568</v>
      </c>
      <c r="K127" s="253">
        <f>(K179/Population_Tables!X45)*Population_Tables!L45</f>
        <v>68.90933113373832</v>
      </c>
      <c r="N127" s="195">
        <f t="shared" si="11"/>
        <v>33.287512902543881</v>
      </c>
      <c r="O127" s="195">
        <f t="shared" si="13"/>
        <v>588.37512304031645</v>
      </c>
      <c r="P127" s="195">
        <f t="shared" si="12"/>
        <v>853.987394443521</v>
      </c>
      <c r="Q127" s="195">
        <f t="shared" si="14"/>
        <v>1475.6500303863813</v>
      </c>
      <c r="R127" s="196">
        <f t="shared" si="15"/>
        <v>2.2557864139255257E-2</v>
      </c>
      <c r="U127" s="195">
        <f t="shared" si="20"/>
        <v>15.497347610207498</v>
      </c>
      <c r="V127" s="195">
        <f t="shared" si="16"/>
        <v>53.827641744016432</v>
      </c>
      <c r="W127" s="195">
        <f t="shared" si="16"/>
        <v>80.833526898373634</v>
      </c>
      <c r="X127" s="195">
        <f t="shared" si="19"/>
        <v>150.15851625259756</v>
      </c>
      <c r="Y127" s="196">
        <f t="shared" si="18"/>
        <v>0.10320658459449457</v>
      </c>
      <c r="AC127" s="251">
        <f t="shared" si="17"/>
        <v>0.83676418221708981</v>
      </c>
    </row>
    <row r="128" spans="1:29" ht="15.6" x14ac:dyDescent="0.3">
      <c r="A128" s="194">
        <v>2057</v>
      </c>
      <c r="B128" s="253">
        <f>(B180/Population_Tables!O46)*Population_Tables!C46</f>
        <v>1205.4624836117803</v>
      </c>
      <c r="C128" s="253">
        <f>(C180/Population_Tables!P46)*Population_Tables!D46</f>
        <v>730.87423785721171</v>
      </c>
      <c r="D128" s="253">
        <f>(D180/Population_Tables!Q46)*Population_Tables!E46</f>
        <v>70.572603173784458</v>
      </c>
      <c r="E128" s="253">
        <f>(E180/Population_Tables!R46)*Population_Tables!F46</f>
        <v>601.18466586544866</v>
      </c>
      <c r="F128" s="253">
        <f>(F180/Population_Tables!S46)*Population_Tables!G46</f>
        <v>39.659506705132401</v>
      </c>
      <c r="G128" s="253">
        <f>(G180/Population_Tables!T46)*Population_Tables!H46</f>
        <v>74.803880914586415</v>
      </c>
      <c r="H128" s="253">
        <f>(H180/Population_Tables!U46)*Population_Tables!I46</f>
        <v>605.70393503474054</v>
      </c>
      <c r="I128" s="253">
        <f>(I180/Population_Tables!V46)*Population_Tables!J46</f>
        <v>137.12895041680977</v>
      </c>
      <c r="J128" s="253">
        <f>(J180/Population_Tables!W46)*Population_Tables!K46</f>
        <v>118.92391515366241</v>
      </c>
      <c r="K128" s="253">
        <f>(K180/Population_Tables!X46)*Population_Tables!L46</f>
        <v>69.168402076989537</v>
      </c>
      <c r="N128" s="195">
        <f t="shared" si="11"/>
        <v>35.140237535840583</v>
      </c>
      <c r="O128" s="195">
        <f t="shared" si="13"/>
        <v>605.70393503474054</v>
      </c>
      <c r="P128" s="195">
        <f t="shared" si="12"/>
        <v>876.25072194558265</v>
      </c>
      <c r="Q128" s="195">
        <f t="shared" si="14"/>
        <v>1517.0948945161638</v>
      </c>
      <c r="R128" s="196">
        <f t="shared" si="15"/>
        <v>2.316284740187436E-2</v>
      </c>
      <c r="U128" s="195">
        <f t="shared" si="20"/>
        <v>16.649747813002364</v>
      </c>
      <c r="V128" s="195">
        <f t="shared" si="16"/>
        <v>57.657954929125822</v>
      </c>
      <c r="W128" s="195">
        <f t="shared" si="16"/>
        <v>86.057087790876267</v>
      </c>
      <c r="X128" s="195">
        <f t="shared" si="19"/>
        <v>160.36479053300445</v>
      </c>
      <c r="Y128" s="196">
        <f t="shared" si="18"/>
        <v>0.10382421077384629</v>
      </c>
      <c r="AC128" s="251">
        <f t="shared" si="17"/>
        <v>0.83352973574197209</v>
      </c>
    </row>
    <row r="129" spans="1:29" ht="15.6" x14ac:dyDescent="0.3">
      <c r="A129" s="194">
        <v>2058</v>
      </c>
      <c r="B129" s="253">
        <f>(B181/Population_Tables!O47)*Population_Tables!C47</f>
        <v>1235.298214184819</v>
      </c>
      <c r="C129" s="253">
        <f>(C181/Population_Tables!P47)*Population_Tables!D47</f>
        <v>749.63412395996693</v>
      </c>
      <c r="D129" s="253">
        <f>(D181/Population_Tables!Q47)*Population_Tables!E47</f>
        <v>72.591186342973629</v>
      </c>
      <c r="E129" s="253">
        <f>(E181/Population_Tables!R47)*Population_Tables!F47</f>
        <v>619.81210405470074</v>
      </c>
      <c r="F129" s="253">
        <f>(F181/Population_Tables!S47)*Population_Tables!G47</f>
        <v>40.819998458631346</v>
      </c>
      <c r="G129" s="253">
        <f>(G181/Population_Tables!T47)*Population_Tables!H47</f>
        <v>76.923633492533583</v>
      </c>
      <c r="H129" s="253">
        <f>(H181/Population_Tables!U47)*Population_Tables!I47</f>
        <v>623.47050837666438</v>
      </c>
      <c r="I129" s="253">
        <f>(I181/Population_Tables!V47)*Population_Tables!J47</f>
        <v>145.17241781660923</v>
      </c>
      <c r="J129" s="253">
        <f>(J181/Population_Tables!W47)*Population_Tables!K47</f>
        <v>119.97752823861752</v>
      </c>
      <c r="K129" s="253">
        <f>(K181/Population_Tables!X47)*Population_Tables!L47</f>
        <v>69.44987800372607</v>
      </c>
      <c r="N129" s="195">
        <f t="shared" si="11"/>
        <v>37.161594136667645</v>
      </c>
      <c r="O129" s="195">
        <f t="shared" si="13"/>
        <v>623.47050837666438</v>
      </c>
      <c r="P129" s="195">
        <f t="shared" si="12"/>
        <v>899.14894379547411</v>
      </c>
      <c r="Q129" s="195">
        <f t="shared" si="14"/>
        <v>1559.7810463088063</v>
      </c>
      <c r="R129" s="196">
        <f t="shared" si="15"/>
        <v>2.3824878642172174E-2</v>
      </c>
      <c r="U129" s="195">
        <f t="shared" si="20"/>
        <v>17.8740825620755</v>
      </c>
      <c r="V129" s="195">
        <f t="shared" si="16"/>
        <v>61.712127006581909</v>
      </c>
      <c r="W129" s="195">
        <f t="shared" si="16"/>
        <v>91.57811392241581</v>
      </c>
      <c r="X129" s="195">
        <f t="shared" si="19"/>
        <v>171.16432349107322</v>
      </c>
      <c r="Y129" s="196">
        <f t="shared" si="18"/>
        <v>0.10442644937633684</v>
      </c>
      <c r="AC129" s="251">
        <f t="shared" si="17"/>
        <v>0.83008791488337841</v>
      </c>
    </row>
    <row r="130" spans="1:29" ht="15.6" x14ac:dyDescent="0.3">
      <c r="A130" s="194">
        <v>2059</v>
      </c>
      <c r="B130" s="253">
        <f>(B182/Population_Tables!O48)*Population_Tables!C48</f>
        <v>1265.7900139780741</v>
      </c>
      <c r="C130" s="253">
        <f>(C182/Population_Tables!P48)*Population_Tables!D48</f>
        <v>768.89066421659334</v>
      </c>
      <c r="D130" s="253">
        <f>(D182/Population_Tables!Q48)*Population_Tables!E48</f>
        <v>74.698675668081819</v>
      </c>
      <c r="E130" s="253">
        <f>(E182/Population_Tables!R48)*Population_Tables!F48</f>
        <v>639.02888577329497</v>
      </c>
      <c r="F130" s="253">
        <f>(F182/Population_Tables!S48)*Population_Tables!G48</f>
        <v>42.010422883047013</v>
      </c>
      <c r="G130" s="253">
        <f>(G182/Population_Tables!T48)*Population_Tables!H48</f>
        <v>79.106050458398343</v>
      </c>
      <c r="H130" s="253">
        <f>(H182/Population_Tables!U48)*Population_Tables!I48</f>
        <v>641.6878201804335</v>
      </c>
      <c r="I130" s="253">
        <f>(I182/Population_Tables!V48)*Population_Tables!J48</f>
        <v>153.61616954379261</v>
      </c>
      <c r="J130" s="253">
        <f>(J182/Population_Tables!W48)*Population_Tables!K48</f>
        <v>121.07588134496395</v>
      </c>
      <c r="K130" s="253">
        <f>(K182/Population_Tables!X48)*Population_Tables!L48</f>
        <v>69.753341298796599</v>
      </c>
      <c r="N130" s="195">
        <f t="shared" si="11"/>
        <v>39.351488475908468</v>
      </c>
      <c r="O130" s="195">
        <f t="shared" si="13"/>
        <v>641.6878201804335</v>
      </c>
      <c r="P130" s="195">
        <f t="shared" si="12"/>
        <v>922.69539034307354</v>
      </c>
      <c r="Q130" s="195">
        <f t="shared" si="14"/>
        <v>1603.7346989994155</v>
      </c>
      <c r="R130" s="196">
        <f t="shared" si="15"/>
        <v>2.4537405407802311E-2</v>
      </c>
      <c r="U130" s="195">
        <f t="shared" si="20"/>
        <v>19.16779792307716</v>
      </c>
      <c r="V130" s="195">
        <f t="shared" si="16"/>
        <v>65.998914889846446</v>
      </c>
      <c r="W130" s="195">
        <f t="shared" si="16"/>
        <v>97.404387908323542</v>
      </c>
      <c r="X130" s="195">
        <f t="shared" si="19"/>
        <v>182.57110072124715</v>
      </c>
      <c r="Y130" s="196">
        <f t="shared" si="18"/>
        <v>0.10498812707681979</v>
      </c>
      <c r="AC130" s="251">
        <f t="shared" si="17"/>
        <v>0.82645263710487715</v>
      </c>
    </row>
    <row r="131" spans="1:29" ht="15.6" x14ac:dyDescent="0.3">
      <c r="A131" s="194">
        <v>2060</v>
      </c>
      <c r="B131" s="253">
        <f>(B183/Population_Tables!O49)*Population_Tables!C49</f>
        <v>1296.9379490006083</v>
      </c>
      <c r="C131" s="253">
        <f>(C183/Population_Tables!P49)*Population_Tables!D49</f>
        <v>788.65210575644119</v>
      </c>
      <c r="D131" s="253">
        <f>(D183/Population_Tables!Q49)*Population_Tables!E49</f>
        <v>76.898825072251327</v>
      </c>
      <c r="E131" s="253">
        <f>(E183/Population_Tables!R49)*Population_Tables!F49</f>
        <v>658.84845556142545</v>
      </c>
      <c r="F131" s="253">
        <f>(F183/Population_Tables!S49)*Population_Tables!G49</f>
        <v>43.231287127575385</v>
      </c>
      <c r="G131" s="253">
        <f>(G183/Population_Tables!T49)*Population_Tables!H49</f>
        <v>81.352574505450804</v>
      </c>
      <c r="H131" s="253">
        <f>(H183/Population_Tables!U49)*Population_Tables!I49</f>
        <v>660.3692313476032</v>
      </c>
      <c r="I131" s="253">
        <f>(I183/Population_Tables!V49)*Population_Tables!J49</f>
        <v>162.47216130373153</v>
      </c>
      <c r="J131" s="253">
        <f>(J183/Population_Tables!W49)*Population_Tables!K49</f>
        <v>122.22024218031136</v>
      </c>
      <c r="K131" s="253">
        <f>(K183/Population_Tables!X49)*Population_Tables!L49</f>
        <v>70.078427484825198</v>
      </c>
      <c r="N131" s="195">
        <f t="shared" si="11"/>
        <v>41.710511341397591</v>
      </c>
      <c r="O131" s="195">
        <f t="shared" si="13"/>
        <v>660.3692313476032</v>
      </c>
      <c r="P131" s="195">
        <f t="shared" si="12"/>
        <v>946.90350533414335</v>
      </c>
      <c r="Q131" s="195">
        <f t="shared" si="14"/>
        <v>1648.9832480231441</v>
      </c>
      <c r="R131" s="196">
        <f>N131/Q131</f>
        <v>2.529468470428765E-2</v>
      </c>
      <c r="U131" s="195">
        <f t="shared" si="20"/>
        <v>20.529024978609073</v>
      </c>
      <c r="V131" s="195">
        <f t="shared" si="16"/>
        <v>70.527459279591085</v>
      </c>
      <c r="W131" s="195">
        <f t="shared" si="16"/>
        <v>103.54380575981395</v>
      </c>
      <c r="X131" s="195">
        <f t="shared" si="19"/>
        <v>194.60029001801411</v>
      </c>
      <c r="Y131" s="196">
        <f t="shared" si="18"/>
        <v>0.10549329076903588</v>
      </c>
      <c r="AC131" s="251">
        <f t="shared" si="17"/>
        <v>0.82263996975993015</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432.40366379443651</v>
      </c>
      <c r="C137" s="229">
        <v>242.71667404077883</v>
      </c>
      <c r="D137" s="229">
        <v>22.577752457254896</v>
      </c>
      <c r="E137" s="229">
        <v>138.88788223203827</v>
      </c>
      <c r="F137" s="229">
        <v>9.7550255923880087</v>
      </c>
      <c r="G137" s="229">
        <v>23.089263841707499</v>
      </c>
      <c r="H137" s="229">
        <v>110.77857142857144</v>
      </c>
      <c r="I137" s="229">
        <v>10.247</v>
      </c>
      <c r="J137" s="229">
        <v>92.507389000000003</v>
      </c>
      <c r="K137" s="229">
        <v>75.239767771023054</v>
      </c>
      <c r="N137" s="195">
        <f t="shared" ref="N137:N183" si="21">SUMIF($C$83:$G$83,"Y",C137:G137)-H137</f>
        <v>37.864336395854849</v>
      </c>
      <c r="O137" s="195">
        <f>H137</f>
        <v>110.77857142857144</v>
      </c>
      <c r="P137" s="195">
        <f t="shared" ref="P137:P183" si="22">SUMIF($C$83:$G$83,"N",C137:G137)-(IF($E$83="N",H137))</f>
        <v>288.38369033974124</v>
      </c>
      <c r="Q137" s="195">
        <f>N137+P137+O137</f>
        <v>437.02659816416758</v>
      </c>
      <c r="R137" s="196">
        <f>N137/Q137</f>
        <v>8.6640805284879344E-2</v>
      </c>
      <c r="AC137" s="251"/>
    </row>
    <row r="138" spans="1:29" ht="15.6" x14ac:dyDescent="0.3">
      <c r="A138" s="194">
        <v>2015</v>
      </c>
      <c r="B138" s="229">
        <v>440.59229824063544</v>
      </c>
      <c r="C138" s="229">
        <v>248.9172714797898</v>
      </c>
      <c r="D138" s="229">
        <v>23.960728682533301</v>
      </c>
      <c r="E138" s="229">
        <v>144.98545488039542</v>
      </c>
      <c r="F138" s="229">
        <v>10.190211075449591</v>
      </c>
      <c r="G138" s="229">
        <v>23.707307011197013</v>
      </c>
      <c r="H138" s="229">
        <v>113.19754489485025</v>
      </c>
      <c r="I138" s="229">
        <v>10.734412211184107</v>
      </c>
      <c r="J138" s="229">
        <v>93.239344929717433</v>
      </c>
      <c r="K138" s="229">
        <v>74.086895901498096</v>
      </c>
      <c r="N138" s="195">
        <f t="shared" si="21"/>
        <v>41.978121060994752</v>
      </c>
      <c r="O138" s="195">
        <f t="shared" ref="O138:O183" si="23">H138</f>
        <v>113.19754489485025</v>
      </c>
      <c r="P138" s="195">
        <f t="shared" si="22"/>
        <v>296.58530717352016</v>
      </c>
      <c r="Q138" s="195">
        <f t="shared" ref="Q138:Q183" si="24">N138+P138+O138</f>
        <v>451.76097312936514</v>
      </c>
      <c r="R138" s="196">
        <f t="shared" ref="R138:R182" si="25">N138/Q138</f>
        <v>9.292108782706647E-2</v>
      </c>
      <c r="AC138" s="251"/>
    </row>
    <row r="139" spans="1:29" ht="15.6" x14ac:dyDescent="0.3">
      <c r="A139" s="194">
        <v>2016</v>
      </c>
      <c r="B139" s="229">
        <v>448.86502167831657</v>
      </c>
      <c r="C139" s="229">
        <v>255.30792306614495</v>
      </c>
      <c r="D139" s="229">
        <v>24.931197816107815</v>
      </c>
      <c r="E139" s="229">
        <v>151.8056928454798</v>
      </c>
      <c r="F139" s="229">
        <v>10.58560058398035</v>
      </c>
      <c r="G139" s="229">
        <v>24.327958885687796</v>
      </c>
      <c r="H139" s="229">
        <v>121.55963600379647</v>
      </c>
      <c r="I139" s="229">
        <v>11.49532787329467</v>
      </c>
      <c r="J139" s="229">
        <v>93.696571348898459</v>
      </c>
      <c r="K139" s="229">
        <v>73.53224527956894</v>
      </c>
      <c r="N139" s="195">
        <f t="shared" si="21"/>
        <v>40.831657425663678</v>
      </c>
      <c r="O139" s="195">
        <f t="shared" si="23"/>
        <v>121.55963600379647</v>
      </c>
      <c r="P139" s="195">
        <f t="shared" si="22"/>
        <v>304.56707976794058</v>
      </c>
      <c r="Q139" s="195">
        <f t="shared" si="24"/>
        <v>466.9583731974007</v>
      </c>
      <c r="R139" s="196">
        <f t="shared" si="25"/>
        <v>8.744175020586388E-2</v>
      </c>
      <c r="AC139" s="251"/>
    </row>
    <row r="140" spans="1:29" ht="15.6" x14ac:dyDescent="0.3">
      <c r="A140" s="194">
        <v>2017</v>
      </c>
      <c r="B140" s="229">
        <v>457.49790596835527</v>
      </c>
      <c r="C140" s="229">
        <v>261.82482909786785</v>
      </c>
      <c r="D140" s="229">
        <v>25.872882057951749</v>
      </c>
      <c r="E140" s="229">
        <v>158.65547496035566</v>
      </c>
      <c r="F140" s="229">
        <v>10.988169668343122</v>
      </c>
      <c r="G140" s="229">
        <v>24.961113198888356</v>
      </c>
      <c r="H140" s="229">
        <v>129.96260133166209</v>
      </c>
      <c r="I140" s="229">
        <v>12.265346857544058</v>
      </c>
      <c r="J140" s="229">
        <v>94.13558515987647</v>
      </c>
      <c r="K140" s="229">
        <v>72.990814901569919</v>
      </c>
      <c r="N140" s="195">
        <f t="shared" si="21"/>
        <v>39.681043297036695</v>
      </c>
      <c r="O140" s="195">
        <f t="shared" si="23"/>
        <v>129.96260133166209</v>
      </c>
      <c r="P140" s="195">
        <f t="shared" si="22"/>
        <v>312.65882435470797</v>
      </c>
      <c r="Q140" s="195">
        <f t="shared" si="24"/>
        <v>482.30246898340675</v>
      </c>
      <c r="R140" s="196">
        <f t="shared" si="25"/>
        <v>8.2274186530033891E-2</v>
      </c>
      <c r="AC140" s="251"/>
    </row>
    <row r="141" spans="1:29" ht="15.6" x14ac:dyDescent="0.3">
      <c r="A141" s="194">
        <v>2018</v>
      </c>
      <c r="B141" s="229">
        <v>466.48865568267081</v>
      </c>
      <c r="C141" s="229">
        <v>268.47112544911755</v>
      </c>
      <c r="D141" s="229">
        <v>26.787807244991996</v>
      </c>
      <c r="E141" s="229">
        <v>165.54125401961522</v>
      </c>
      <c r="F141" s="229">
        <v>11.398145440062395</v>
      </c>
      <c r="G141" s="229">
        <v>25.607155974260305</v>
      </c>
      <c r="H141" s="229">
        <v>138.41066107933082</v>
      </c>
      <c r="I141" s="229">
        <v>13.050637172646038</v>
      </c>
      <c r="J141" s="229">
        <v>94.557354393598104</v>
      </c>
      <c r="K141" s="229">
        <v>72.46260476750102</v>
      </c>
      <c r="N141" s="195">
        <f t="shared" si="21"/>
        <v>38.528738380346795</v>
      </c>
      <c r="O141" s="195">
        <f t="shared" si="23"/>
        <v>138.41066107933082</v>
      </c>
      <c r="P141" s="195">
        <f t="shared" si="22"/>
        <v>320.86608866836985</v>
      </c>
      <c r="Q141" s="195">
        <f t="shared" si="24"/>
        <v>497.8054881280475</v>
      </c>
      <c r="R141" s="196">
        <f t="shared" si="25"/>
        <v>7.7397174798595786E-2</v>
      </c>
      <c r="AC141" s="251"/>
    </row>
    <row r="142" spans="1:29" ht="16.2" thickBot="1" x14ac:dyDescent="0.35">
      <c r="A142" s="198">
        <v>2019</v>
      </c>
      <c r="B142" s="230">
        <v>475.83497539318256</v>
      </c>
      <c r="C142" s="230">
        <v>275.24994799405289</v>
      </c>
      <c r="D142" s="230">
        <v>27.677999214155445</v>
      </c>
      <c r="E142" s="230">
        <v>172.46948281785058</v>
      </c>
      <c r="F142" s="230">
        <v>11.815755010662649</v>
      </c>
      <c r="G142" s="230">
        <v>26.266473235265252</v>
      </c>
      <c r="H142" s="230">
        <v>146.90803544768647</v>
      </c>
      <c r="I142" s="230">
        <v>13.857366827314374</v>
      </c>
      <c r="J142" s="230">
        <v>94.962847081010011</v>
      </c>
      <c r="K142" s="230">
        <v>71.94761487736227</v>
      </c>
      <c r="N142" s="195">
        <f t="shared" si="21"/>
        <v>37.377202380826759</v>
      </c>
      <c r="O142" s="195">
        <f t="shared" si="23"/>
        <v>146.90803544768647</v>
      </c>
      <c r="P142" s="195">
        <f t="shared" si="22"/>
        <v>329.19442044347358</v>
      </c>
      <c r="Q142" s="195">
        <f t="shared" si="24"/>
        <v>513.47965827198686</v>
      </c>
      <c r="R142" s="199">
        <f t="shared" si="25"/>
        <v>7.2791982659278581E-2</v>
      </c>
      <c r="AC142" s="251"/>
    </row>
    <row r="143" spans="1:29" ht="15.6" x14ac:dyDescent="0.3">
      <c r="A143" s="201">
        <v>2020</v>
      </c>
      <c r="B143" s="228">
        <v>485.53456967180978</v>
      </c>
      <c r="C143" s="228">
        <v>282.16443260683286</v>
      </c>
      <c r="D143" s="228">
        <v>28.545483802368999</v>
      </c>
      <c r="E143" s="228">
        <v>179.4466141496539</v>
      </c>
      <c r="F143" s="228">
        <v>12.241225491668368</v>
      </c>
      <c r="G143" s="228">
        <v>26.939451005364802</v>
      </c>
      <c r="H143" s="228">
        <v>155.45894463761272</v>
      </c>
      <c r="I143" s="228">
        <v>14.691703830262835</v>
      </c>
      <c r="J143" s="228">
        <v>95.353031253058845</v>
      </c>
      <c r="K143" s="228">
        <v>71.44584523115364</v>
      </c>
      <c r="L143" s="202"/>
      <c r="M143" s="202"/>
      <c r="N143" s="195">
        <f t="shared" si="21"/>
        <v>36.228895003709539</v>
      </c>
      <c r="O143" s="195">
        <f t="shared" si="23"/>
        <v>155.45894463761272</v>
      </c>
      <c r="P143" s="195">
        <f t="shared" si="22"/>
        <v>337.64936741456665</v>
      </c>
      <c r="Q143" s="195">
        <f t="shared" si="24"/>
        <v>529.33720705588894</v>
      </c>
      <c r="R143" s="220">
        <f t="shared" si="25"/>
        <v>6.8441995991950721E-2</v>
      </c>
      <c r="AC143" s="251"/>
    </row>
    <row r="144" spans="1:29" ht="15.6" x14ac:dyDescent="0.3">
      <c r="A144" s="206">
        <v>2021</v>
      </c>
      <c r="B144" s="229">
        <v>495.58514309047166</v>
      </c>
      <c r="C144" s="229">
        <v>289.21771516161647</v>
      </c>
      <c r="D144" s="229">
        <v>29.392286846559543</v>
      </c>
      <c r="E144" s="229">
        <v>186.47910080961734</v>
      </c>
      <c r="F144" s="229">
        <v>12.674783994604038</v>
      </c>
      <c r="G144" s="229">
        <v>27.62647530802057</v>
      </c>
      <c r="H144" s="229">
        <v>164.06760884999338</v>
      </c>
      <c r="I144" s="229">
        <v>15.559816190205185</v>
      </c>
      <c r="J144" s="229">
        <v>95.728874940691256</v>
      </c>
      <c r="K144" s="229">
        <v>70.957295828875147</v>
      </c>
      <c r="L144" s="170"/>
      <c r="M144" s="170"/>
      <c r="N144" s="195">
        <f t="shared" si="21"/>
        <v>35.086275954228</v>
      </c>
      <c r="O144" s="195">
        <f t="shared" si="23"/>
        <v>164.06760884999338</v>
      </c>
      <c r="P144" s="195">
        <f t="shared" si="22"/>
        <v>346.23647731619661</v>
      </c>
      <c r="Q144" s="195">
        <f t="shared" si="24"/>
        <v>545.39036212041799</v>
      </c>
      <c r="R144" s="221">
        <f t="shared" si="25"/>
        <v>6.4332409208362987E-2</v>
      </c>
      <c r="AC144" s="251"/>
    </row>
    <row r="145" spans="1:29" ht="15.6" x14ac:dyDescent="0.3">
      <c r="A145" s="206">
        <v>2022</v>
      </c>
      <c r="B145" s="229">
        <v>505.98440022108753</v>
      </c>
      <c r="C145" s="229">
        <v>296.41293153256265</v>
      </c>
      <c r="D145" s="229">
        <v>30.220434183653975</v>
      </c>
      <c r="E145" s="229">
        <v>193.57339559233304</v>
      </c>
      <c r="F145" s="229">
        <v>13.116657630994141</v>
      </c>
      <c r="G145" s="229">
        <v>28.327932166694161</v>
      </c>
      <c r="H145" s="229">
        <v>172.73824828571216</v>
      </c>
      <c r="I145" s="229">
        <v>16.467871915855191</v>
      </c>
      <c r="J145" s="229">
        <v>96.091346174853882</v>
      </c>
      <c r="K145" s="229">
        <v>70.481966670526774</v>
      </c>
      <c r="L145" s="170"/>
      <c r="M145" s="170"/>
      <c r="N145" s="195">
        <f t="shared" si="21"/>
        <v>33.951804937615037</v>
      </c>
      <c r="O145" s="195">
        <f t="shared" si="23"/>
        <v>172.73824828571216</v>
      </c>
      <c r="P145" s="195">
        <f t="shared" si="22"/>
        <v>354.9612978829108</v>
      </c>
      <c r="Q145" s="195">
        <f t="shared" si="24"/>
        <v>561.65135110623805</v>
      </c>
      <c r="R145" s="221">
        <f t="shared" si="25"/>
        <v>6.0449965749646971E-2</v>
      </c>
      <c r="AC145" s="251"/>
    </row>
    <row r="146" spans="1:29" ht="15.6" x14ac:dyDescent="0.3">
      <c r="A146" s="206">
        <v>2023</v>
      </c>
      <c r="B146" s="229">
        <v>516.73004563557674</v>
      </c>
      <c r="C146" s="229">
        <v>303.7532175938303</v>
      </c>
      <c r="D146" s="229">
        <v>31.031951650579185</v>
      </c>
      <c r="E146" s="229">
        <v>200.73595129239311</v>
      </c>
      <c r="F146" s="229">
        <v>13.567073512363159</v>
      </c>
      <c r="G146" s="229">
        <v>29.044207604847184</v>
      </c>
      <c r="H146" s="229">
        <v>181.47508314565283</v>
      </c>
      <c r="I146" s="229">
        <v>17.422039015926618</v>
      </c>
      <c r="J146" s="229">
        <v>96.441412986493404</v>
      </c>
      <c r="K146" s="229">
        <v>70.01985775610855</v>
      </c>
      <c r="L146" s="170"/>
      <c r="M146" s="170"/>
      <c r="N146" s="195">
        <f t="shared" si="21"/>
        <v>32.827941659103431</v>
      </c>
      <c r="O146" s="195">
        <f t="shared" si="23"/>
        <v>181.47508314565283</v>
      </c>
      <c r="P146" s="195">
        <f t="shared" si="22"/>
        <v>363.82937684925668</v>
      </c>
      <c r="Q146" s="195">
        <f>N146+P146+O146</f>
        <v>578.13240165401294</v>
      </c>
      <c r="R146" s="221">
        <f t="shared" si="25"/>
        <v>5.6782739672061357E-2</v>
      </c>
      <c r="AC146" s="251"/>
    </row>
    <row r="147" spans="1:29" ht="15.6" x14ac:dyDescent="0.3">
      <c r="A147" s="206">
        <v>2024</v>
      </c>
      <c r="B147" s="229">
        <v>527.81978390585846</v>
      </c>
      <c r="C147" s="229">
        <v>311.24170921957841</v>
      </c>
      <c r="D147" s="229">
        <v>31.828865084262066</v>
      </c>
      <c r="E147" s="229">
        <v>207.97322070438975</v>
      </c>
      <c r="F147" s="229">
        <v>14.026258750235577</v>
      </c>
      <c r="G147" s="229">
        <v>29.775687645941247</v>
      </c>
      <c r="H147" s="229">
        <v>190.2823336306991</v>
      </c>
      <c r="I147" s="229">
        <v>18.428485499133231</v>
      </c>
      <c r="J147" s="229">
        <v>96.780043406556445</v>
      </c>
      <c r="K147" s="229">
        <v>69.570969085620447</v>
      </c>
      <c r="L147" s="170"/>
      <c r="M147" s="170"/>
      <c r="N147" s="195">
        <f t="shared" si="21"/>
        <v>31.717145823926217</v>
      </c>
      <c r="O147" s="195">
        <f t="shared" si="23"/>
        <v>190.2823336306991</v>
      </c>
      <c r="P147" s="195">
        <f t="shared" si="22"/>
        <v>372.84626194978171</v>
      </c>
      <c r="Q147" s="195">
        <f t="shared" si="24"/>
        <v>594.84574140440702</v>
      </c>
      <c r="R147" s="221">
        <f t="shared" si="25"/>
        <v>5.3319951066714041E-2</v>
      </c>
      <c r="AC147" s="251"/>
    </row>
    <row r="148" spans="1:29" ht="15.6" x14ac:dyDescent="0.3">
      <c r="A148" s="206">
        <v>2025</v>
      </c>
      <c r="B148" s="229">
        <v>539.25131960385215</v>
      </c>
      <c r="C148" s="229">
        <v>318.88154228396593</v>
      </c>
      <c r="D148" s="229">
        <v>32.613200321629513</v>
      </c>
      <c r="E148" s="229">
        <v>215.29165662291507</v>
      </c>
      <c r="F148" s="229">
        <v>14.49444045613588</v>
      </c>
      <c r="G148" s="229">
        <v>30.522758313437961</v>
      </c>
      <c r="H148" s="229">
        <v>199.16421994173476</v>
      </c>
      <c r="I148" s="229">
        <v>19.493379374188795</v>
      </c>
      <c r="J148" s="229">
        <v>97.108205465989656</v>
      </c>
      <c r="K148" s="229">
        <v>69.13530065906248</v>
      </c>
      <c r="L148" s="170"/>
      <c r="M148" s="170"/>
      <c r="N148" s="195">
        <f t="shared" si="21"/>
        <v>30.621877137316204</v>
      </c>
      <c r="O148" s="195">
        <f t="shared" si="23"/>
        <v>199.16421994173476</v>
      </c>
      <c r="P148" s="195">
        <f t="shared" si="22"/>
        <v>382.01750091903341</v>
      </c>
      <c r="Q148" s="195">
        <f t="shared" si="24"/>
        <v>611.80359799808434</v>
      </c>
      <c r="R148" s="221">
        <f t="shared" si="25"/>
        <v>5.0051809498204501E-2</v>
      </c>
      <c r="AC148" s="251"/>
    </row>
    <row r="149" spans="1:29" ht="15.6" x14ac:dyDescent="0.3">
      <c r="A149" s="206">
        <v>2026</v>
      </c>
      <c r="B149" s="229">
        <v>551.02235730147686</v>
      </c>
      <c r="C149" s="229">
        <v>326.67585266115179</v>
      </c>
      <c r="D149" s="229">
        <v>33.386983199608423</v>
      </c>
      <c r="E149" s="229">
        <v>222.6977118425612</v>
      </c>
      <c r="F149" s="229">
        <v>14.971845741588552</v>
      </c>
      <c r="G149" s="229">
        <v>31.285805630798933</v>
      </c>
      <c r="H149" s="229">
        <v>208.12496227964354</v>
      </c>
      <c r="I149" s="229">
        <v>20.622888649807081</v>
      </c>
      <c r="J149" s="229">
        <v>97.426867195739689</v>
      </c>
      <c r="K149" s="229">
        <v>68.712852476434648</v>
      </c>
      <c r="L149" s="170"/>
      <c r="M149" s="170"/>
      <c r="N149" s="195">
        <f t="shared" si="21"/>
        <v>29.544595304506203</v>
      </c>
      <c r="O149" s="195">
        <f t="shared" si="23"/>
        <v>208.12496227964354</v>
      </c>
      <c r="P149" s="195">
        <f t="shared" si="22"/>
        <v>391.34864149155919</v>
      </c>
      <c r="Q149" s="195">
        <f t="shared" si="24"/>
        <v>629.01819907570894</v>
      </c>
      <c r="R149" s="221">
        <f t="shared" si="25"/>
        <v>4.6969380771366524E-2</v>
      </c>
      <c r="AC149" s="251"/>
    </row>
    <row r="150" spans="1:29" ht="15.6" x14ac:dyDescent="0.3">
      <c r="A150" s="206">
        <v>2027</v>
      </c>
      <c r="B150" s="229">
        <v>563.13060157065206</v>
      </c>
      <c r="C150" s="229">
        <v>334.62777622529495</v>
      </c>
      <c r="D150" s="229">
        <v>34.152239555125682</v>
      </c>
      <c r="E150" s="229">
        <v>230.19783915792033</v>
      </c>
      <c r="F150" s="229">
        <v>15.458701718118075</v>
      </c>
      <c r="G150" s="229">
        <v>32.06521562148577</v>
      </c>
      <c r="H150" s="229">
        <v>217.16878084530919</v>
      </c>
      <c r="I150" s="229">
        <v>21.82318133470185</v>
      </c>
      <c r="J150" s="229">
        <v>97.736996626753211</v>
      </c>
      <c r="K150" s="229">
        <v>68.303624537736937</v>
      </c>
      <c r="L150" s="170"/>
      <c r="M150" s="170"/>
      <c r="N150" s="195">
        <f t="shared" si="21"/>
        <v>28.48776003072922</v>
      </c>
      <c r="O150" s="195">
        <f t="shared" si="23"/>
        <v>217.16878084530919</v>
      </c>
      <c r="P150" s="195">
        <f t="shared" si="22"/>
        <v>400.8452314019064</v>
      </c>
      <c r="Q150" s="195">
        <f t="shared" si="24"/>
        <v>646.50177227794484</v>
      </c>
      <c r="R150" s="221">
        <f t="shared" si="25"/>
        <v>4.4064473219234623E-2</v>
      </c>
      <c r="AC150" s="251"/>
    </row>
    <row r="151" spans="1:29" ht="15.6" x14ac:dyDescent="0.3">
      <c r="A151" s="206">
        <v>2028</v>
      </c>
      <c r="B151" s="229">
        <v>575.5737569832969</v>
      </c>
      <c r="C151" s="229">
        <v>342.74044885055434</v>
      </c>
      <c r="D151" s="229">
        <v>34.910995225108181</v>
      </c>
      <c r="E151" s="229">
        <v>237.79849136358459</v>
      </c>
      <c r="F151" s="229">
        <v>15.955235497248932</v>
      </c>
      <c r="G151" s="229">
        <v>32.86137430896008</v>
      </c>
      <c r="H151" s="229">
        <v>226.29989583961549</v>
      </c>
      <c r="I151" s="229">
        <v>23.100425437586864</v>
      </c>
      <c r="J151" s="229">
        <v>98.039561789976844</v>
      </c>
      <c r="K151" s="229">
        <v>67.907616842969375</v>
      </c>
      <c r="L151" s="170"/>
      <c r="M151" s="170"/>
      <c r="N151" s="195">
        <f t="shared" si="21"/>
        <v>27.453831021218036</v>
      </c>
      <c r="O151" s="195">
        <f t="shared" si="23"/>
        <v>226.29989583961549</v>
      </c>
      <c r="P151" s="195">
        <f t="shared" si="22"/>
        <v>410.51281838462262</v>
      </c>
      <c r="Q151" s="195">
        <f t="shared" si="24"/>
        <v>664.2665452454562</v>
      </c>
      <c r="R151" s="221">
        <f t="shared" si="25"/>
        <v>4.1329540404708237E-2</v>
      </c>
      <c r="AC151" s="251"/>
    </row>
    <row r="152" spans="1:29" ht="15.6" x14ac:dyDescent="0.3">
      <c r="A152" s="206">
        <v>2029</v>
      </c>
      <c r="B152" s="229">
        <v>588.34952811133076</v>
      </c>
      <c r="C152" s="229">
        <v>351.01700641108903</v>
      </c>
      <c r="D152" s="229">
        <v>35.66527604648283</v>
      </c>
      <c r="E152" s="229">
        <v>245.50612125414614</v>
      </c>
      <c r="F152" s="229">
        <v>16.461674190505608</v>
      </c>
      <c r="G152" s="229">
        <v>33.67466771668348</v>
      </c>
      <c r="H152" s="229">
        <v>235.52252746344612</v>
      </c>
      <c r="I152" s="229">
        <v>24.460788967175901</v>
      </c>
      <c r="J152" s="229">
        <v>98.335530716357255</v>
      </c>
      <c r="K152" s="229">
        <v>67.524829392131934</v>
      </c>
      <c r="L152" s="170"/>
      <c r="M152" s="170"/>
      <c r="N152" s="195">
        <f t="shared" si="21"/>
        <v>26.445267981205632</v>
      </c>
      <c r="O152" s="195">
        <f t="shared" si="23"/>
        <v>235.52252746344612</v>
      </c>
      <c r="P152" s="195">
        <f t="shared" si="22"/>
        <v>420.35695017425536</v>
      </c>
      <c r="Q152" s="195">
        <f t="shared" si="24"/>
        <v>682.32474561890717</v>
      </c>
      <c r="R152" s="221">
        <f t="shared" si="25"/>
        <v>3.8757597684982506E-2</v>
      </c>
      <c r="AC152" s="251"/>
    </row>
    <row r="153" spans="1:29" ht="15.6" x14ac:dyDescent="0.3">
      <c r="A153" s="206">
        <v>2030</v>
      </c>
      <c r="B153" s="229">
        <v>601.45561952667276</v>
      </c>
      <c r="C153" s="229">
        <v>359.46058478105783</v>
      </c>
      <c r="D153" s="229">
        <v>36.4171078561765</v>
      </c>
      <c r="E153" s="229">
        <v>253.32718162419707</v>
      </c>
      <c r="F153" s="229">
        <v>16.978244909412588</v>
      </c>
      <c r="G153" s="229">
        <v>34.505481868117563</v>
      </c>
      <c r="H153" s="229">
        <v>244.84089591768486</v>
      </c>
      <c r="I153" s="229">
        <v>25.910439932182719</v>
      </c>
      <c r="J153" s="229">
        <v>98.625871436841095</v>
      </c>
      <c r="K153" s="229">
        <v>67.155262185224629</v>
      </c>
      <c r="L153" s="170"/>
      <c r="M153" s="170"/>
      <c r="N153" s="195">
        <f t="shared" si="21"/>
        <v>25.464530615924787</v>
      </c>
      <c r="O153" s="195">
        <f t="shared" si="23"/>
        <v>244.84089591768486</v>
      </c>
      <c r="P153" s="195">
        <f t="shared" si="22"/>
        <v>430.38317450535186</v>
      </c>
      <c r="Q153" s="195">
        <f t="shared" si="24"/>
        <v>700.68860103896145</v>
      </c>
      <c r="R153" s="221">
        <f t="shared" si="25"/>
        <v>3.6342150533299235E-2</v>
      </c>
      <c r="AC153" s="251"/>
    </row>
    <row r="154" spans="1:29" ht="15.6" x14ac:dyDescent="0.3">
      <c r="A154" s="206">
        <v>2031</v>
      </c>
      <c r="B154" s="229">
        <v>614.88973580124252</v>
      </c>
      <c r="C154" s="229">
        <v>368.07431983461981</v>
      </c>
      <c r="D154" s="229">
        <v>37.168516491116101</v>
      </c>
      <c r="E154" s="229">
        <v>261.26812526832958</v>
      </c>
      <c r="F154" s="229">
        <v>17.505174765494353</v>
      </c>
      <c r="G154" s="229">
        <v>35.354202786723953</v>
      </c>
      <c r="H154" s="229">
        <v>254.25922140321552</v>
      </c>
      <c r="I154" s="229">
        <v>27.455546341321089</v>
      </c>
      <c r="J154" s="229">
        <v>98.911551982375002</v>
      </c>
      <c r="K154" s="229">
        <v>66.798915222247444</v>
      </c>
      <c r="L154" s="170"/>
      <c r="M154" s="170"/>
      <c r="N154" s="195">
        <f t="shared" si="21"/>
        <v>24.514078630608424</v>
      </c>
      <c r="O154" s="195">
        <f t="shared" si="23"/>
        <v>254.25922140321552</v>
      </c>
      <c r="P154" s="195">
        <f t="shared" si="22"/>
        <v>440.59703911245987</v>
      </c>
      <c r="Q154" s="195">
        <f t="shared" si="24"/>
        <v>719.37033914628387</v>
      </c>
      <c r="R154" s="221">
        <f t="shared" si="25"/>
        <v>3.4077132871089211E-2</v>
      </c>
      <c r="AC154" s="251"/>
    </row>
    <row r="155" spans="1:29" ht="15.6" x14ac:dyDescent="0.3">
      <c r="A155" s="206">
        <v>2032</v>
      </c>
      <c r="B155" s="229">
        <v>628.64958150695884</v>
      </c>
      <c r="C155" s="229">
        <v>376.8613474459338</v>
      </c>
      <c r="D155" s="229">
        <v>37.921527788228516</v>
      </c>
      <c r="E155" s="229">
        <v>269.33540498113581</v>
      </c>
      <c r="F155" s="229">
        <v>18.042690870275386</v>
      </c>
      <c r="G155" s="229">
        <v>36.221216495964256</v>
      </c>
      <c r="H155" s="229">
        <v>263.78172412092175</v>
      </c>
      <c r="I155" s="229">
        <v>29.102276203304768</v>
      </c>
      <c r="J155" s="229">
        <v>99.193540383905642</v>
      </c>
      <c r="K155" s="229">
        <v>66.455788503200409</v>
      </c>
      <c r="L155" s="170"/>
      <c r="M155" s="170"/>
      <c r="N155" s="195">
        <f t="shared" si="21"/>
        <v>23.596371730489466</v>
      </c>
      <c r="O155" s="195">
        <f t="shared" si="23"/>
        <v>263.78172412092175</v>
      </c>
      <c r="P155" s="195">
        <f t="shared" si="22"/>
        <v>451.00409173012656</v>
      </c>
      <c r="Q155" s="195">
        <f t="shared" si="24"/>
        <v>738.38218758153778</v>
      </c>
      <c r="R155" s="221">
        <f t="shared" si="25"/>
        <v>3.1956853953608914E-2</v>
      </c>
      <c r="AC155" s="251"/>
    </row>
    <row r="156" spans="1:29" ht="15.6" x14ac:dyDescent="0.3">
      <c r="A156" s="206">
        <v>2033</v>
      </c>
      <c r="B156" s="229">
        <v>642.73286121574142</v>
      </c>
      <c r="C156" s="229">
        <v>385.82480348915885</v>
      </c>
      <c r="D156" s="229">
        <v>38.678167584440651</v>
      </c>
      <c r="E156" s="229">
        <v>277.53547355720787</v>
      </c>
      <c r="F156" s="229">
        <v>18.59102033528017</v>
      </c>
      <c r="G156" s="229">
        <v>37.106909019300069</v>
      </c>
      <c r="H156" s="229">
        <v>273.41262427168732</v>
      </c>
      <c r="I156" s="229">
        <v>30.856797526847522</v>
      </c>
      <c r="J156" s="229">
        <v>99.472804672379652</v>
      </c>
      <c r="K156" s="229">
        <v>66.125882028083495</v>
      </c>
      <c r="L156" s="170"/>
      <c r="M156" s="170"/>
      <c r="N156" s="195">
        <f t="shared" si="21"/>
        <v>22.713869620800722</v>
      </c>
      <c r="O156" s="195">
        <f t="shared" si="23"/>
        <v>273.41262427168732</v>
      </c>
      <c r="P156" s="195">
        <f t="shared" si="22"/>
        <v>461.60988009289957</v>
      </c>
      <c r="Q156" s="195">
        <f t="shared" si="24"/>
        <v>757.73637398538767</v>
      </c>
      <c r="R156" s="221">
        <f t="shared" si="25"/>
        <v>2.9975952588015446E-2</v>
      </c>
      <c r="AC156" s="251"/>
    </row>
    <row r="157" spans="1:29" ht="15.6" x14ac:dyDescent="0.3">
      <c r="A157" s="206">
        <v>2034</v>
      </c>
      <c r="B157" s="229">
        <v>657.13727949950942</v>
      </c>
      <c r="C157" s="229">
        <v>394.96782383845385</v>
      </c>
      <c r="D157" s="229">
        <v>39.44046171667938</v>
      </c>
      <c r="E157" s="229">
        <v>285.87478379113799</v>
      </c>
      <c r="F157" s="229">
        <v>19.150390272033199</v>
      </c>
      <c r="G157" s="229">
        <v>38.011666380193013</v>
      </c>
      <c r="H157" s="229">
        <v>283.15614205639605</v>
      </c>
      <c r="I157" s="229">
        <v>32.725278320663129</v>
      </c>
      <c r="J157" s="229">
        <v>99.750312878743671</v>
      </c>
      <c r="K157" s="229">
        <v>65.809195796896717</v>
      </c>
      <c r="L157" s="170"/>
      <c r="M157" s="170"/>
      <c r="N157" s="195">
        <f t="shared" si="21"/>
        <v>21.869032006775114</v>
      </c>
      <c r="O157" s="195">
        <f t="shared" si="23"/>
        <v>283.15614205639605</v>
      </c>
      <c r="P157" s="195">
        <f t="shared" si="22"/>
        <v>472.41995193532625</v>
      </c>
      <c r="Q157" s="195">
        <f t="shared" si="24"/>
        <v>777.44512599849736</v>
      </c>
      <c r="R157" s="221">
        <f t="shared" si="25"/>
        <v>2.8129357655549032E-2</v>
      </c>
      <c r="AC157" s="251"/>
    </row>
    <row r="158" spans="1:29" ht="15.6" x14ac:dyDescent="0.3">
      <c r="A158" s="206">
        <v>2035</v>
      </c>
      <c r="B158" s="229">
        <v>671.86054093018208</v>
      </c>
      <c r="C158" s="229">
        <v>404.2935443679778</v>
      </c>
      <c r="D158" s="229">
        <v>40.210436021871615</v>
      </c>
      <c r="E158" s="229">
        <v>294.35978847751824</v>
      </c>
      <c r="F158" s="229">
        <v>19.721027792058941</v>
      </c>
      <c r="G158" s="229">
        <v>38.93587460210469</v>
      </c>
      <c r="H158" s="229">
        <v>293.01649767593159</v>
      </c>
      <c r="I158" s="229">
        <v>34.713886593465347</v>
      </c>
      <c r="J158" s="229">
        <v>100.02703303394438</v>
      </c>
      <c r="K158" s="229">
        <v>65.505729809640073</v>
      </c>
      <c r="L158" s="170"/>
      <c r="M158" s="170"/>
      <c r="N158" s="195">
        <f t="shared" si="21"/>
        <v>21.064318593645567</v>
      </c>
      <c r="O158" s="195">
        <f t="shared" si="23"/>
        <v>293.01649767593159</v>
      </c>
      <c r="P158" s="195">
        <f t="shared" si="22"/>
        <v>483.43985499195412</v>
      </c>
      <c r="Q158" s="195">
        <f t="shared" si="24"/>
        <v>797.52067126153133</v>
      </c>
      <c r="R158" s="221">
        <f t="shared" si="25"/>
        <v>2.6412254067754357E-2</v>
      </c>
      <c r="AC158" s="251"/>
    </row>
    <row r="159" spans="1:29" ht="15.6" x14ac:dyDescent="0.3">
      <c r="A159" s="206">
        <v>2036</v>
      </c>
      <c r="B159" s="229">
        <v>686.90035007967867</v>
      </c>
      <c r="C159" s="229">
        <v>413.80510095188959</v>
      </c>
      <c r="D159" s="229">
        <v>40.99011633694424</v>
      </c>
      <c r="E159" s="229">
        <v>302.99694041094074</v>
      </c>
      <c r="F159" s="229">
        <v>20.303160006881889</v>
      </c>
      <c r="G159" s="229">
        <v>39.879919708496715</v>
      </c>
      <c r="H159" s="229">
        <v>302.99791133117776</v>
      </c>
      <c r="I159" s="229">
        <v>36.828790353967939</v>
      </c>
      <c r="J159" s="229">
        <v>100.30393316892841</v>
      </c>
      <c r="K159" s="229">
        <v>65.215484066313564</v>
      </c>
      <c r="L159" s="170"/>
      <c r="M159" s="170"/>
      <c r="N159" s="195">
        <f t="shared" si="21"/>
        <v>20.302189086644887</v>
      </c>
      <c r="O159" s="195">
        <f t="shared" si="23"/>
        <v>302.99791133117776</v>
      </c>
      <c r="P159" s="195">
        <f t="shared" si="22"/>
        <v>494.67513699733058</v>
      </c>
      <c r="Q159" s="195">
        <f t="shared" si="24"/>
        <v>817.97523741515317</v>
      </c>
      <c r="R159" s="221">
        <f t="shared" si="25"/>
        <v>2.4820053417265935E-2</v>
      </c>
      <c r="AC159" s="251"/>
    </row>
    <row r="160" spans="1:29" ht="15.6" x14ac:dyDescent="0.3">
      <c r="A160" s="206">
        <v>2037</v>
      </c>
      <c r="B160" s="229">
        <v>702.25441151991845</v>
      </c>
      <c r="C160" s="229">
        <v>423.5056294643482</v>
      </c>
      <c r="D160" s="229">
        <v>41.781528498824144</v>
      </c>
      <c r="E160" s="229">
        <v>311.79269238599773</v>
      </c>
      <c r="F160" s="229">
        <v>20.897014028026526</v>
      </c>
      <c r="G160" s="229">
        <v>40.844187722830682</v>
      </c>
      <c r="H160" s="229">
        <v>313.10460322301827</v>
      </c>
      <c r="I160" s="229">
        <v>39.076157610884678</v>
      </c>
      <c r="J160" s="229">
        <v>100.58198131464241</v>
      </c>
      <c r="K160" s="229">
        <v>64.938458566917177</v>
      </c>
      <c r="L160" s="170"/>
      <c r="M160" s="170"/>
      <c r="N160" s="195">
        <f t="shared" si="21"/>
        <v>19.585103191005999</v>
      </c>
      <c r="O160" s="195">
        <f t="shared" si="23"/>
        <v>313.10460322301827</v>
      </c>
      <c r="P160" s="195">
        <f t="shared" si="22"/>
        <v>506.13134568600304</v>
      </c>
      <c r="Q160" s="195">
        <f t="shared" si="24"/>
        <v>838.82105210002737</v>
      </c>
      <c r="R160" s="221">
        <f t="shared" si="25"/>
        <v>2.334836869195615E-2</v>
      </c>
      <c r="AC160" s="251"/>
    </row>
    <row r="161" spans="1:29" ht="15.6" x14ac:dyDescent="0.3">
      <c r="A161" s="206">
        <v>2038</v>
      </c>
      <c r="B161" s="229">
        <v>717.92042982282078</v>
      </c>
      <c r="C161" s="229">
        <v>433.3982657795126</v>
      </c>
      <c r="D161" s="229">
        <v>42.586698344438219</v>
      </c>
      <c r="E161" s="229">
        <v>320.75349719728126</v>
      </c>
      <c r="F161" s="229">
        <v>21.502816967017338</v>
      </c>
      <c r="G161" s="229">
        <v>41.829064668568222</v>
      </c>
      <c r="H161" s="229">
        <v>323.34079355233689</v>
      </c>
      <c r="I161" s="229">
        <v>41.462156372929321</v>
      </c>
      <c r="J161" s="229">
        <v>100.86214550203303</v>
      </c>
      <c r="K161" s="229">
        <v>64.674653311450925</v>
      </c>
      <c r="L161" s="170"/>
      <c r="M161" s="170"/>
      <c r="N161" s="195">
        <f t="shared" si="21"/>
        <v>18.915520611961711</v>
      </c>
      <c r="O161" s="195">
        <f t="shared" si="23"/>
        <v>323.34079355233689</v>
      </c>
      <c r="P161" s="195">
        <f t="shared" si="22"/>
        <v>517.81402879251903</v>
      </c>
      <c r="Q161" s="195">
        <f t="shared" si="24"/>
        <v>860.07034295681763</v>
      </c>
      <c r="R161" s="221">
        <f t="shared" si="25"/>
        <v>2.1992992511440917E-2</v>
      </c>
      <c r="AC161" s="251"/>
    </row>
    <row r="162" spans="1:29" ht="15.6" x14ac:dyDescent="0.3">
      <c r="A162" s="206">
        <v>2039</v>
      </c>
      <c r="B162" s="229">
        <v>733.89610956030492</v>
      </c>
      <c r="C162" s="229">
        <v>443.48614577154177</v>
      </c>
      <c r="D162" s="229">
        <v>43.407651710713381</v>
      </c>
      <c r="E162" s="229">
        <v>329.88580763938353</v>
      </c>
      <c r="F162" s="229">
        <v>22.120795935378801</v>
      </c>
      <c r="G162" s="229">
        <v>42.834936569170928</v>
      </c>
      <c r="H162" s="229">
        <v>333.71070252001738</v>
      </c>
      <c r="I162" s="229">
        <v>43.99295464881564</v>
      </c>
      <c r="J162" s="229">
        <v>101.14539376204692</v>
      </c>
      <c r="K162" s="229">
        <v>64.424068299914808</v>
      </c>
      <c r="L162" s="170"/>
      <c r="M162" s="170"/>
      <c r="N162" s="195">
        <f t="shared" si="21"/>
        <v>18.295901054744945</v>
      </c>
      <c r="O162" s="195">
        <f t="shared" si="23"/>
        <v>333.71070252001738</v>
      </c>
      <c r="P162" s="195">
        <f t="shared" si="22"/>
        <v>529.72873405142604</v>
      </c>
      <c r="Q162" s="195">
        <f t="shared" si="24"/>
        <v>881.73533762618831</v>
      </c>
      <c r="R162" s="221">
        <f t="shared" si="25"/>
        <v>2.0749878420435377E-2</v>
      </c>
      <c r="AC162" s="251"/>
    </row>
    <row r="163" spans="1:29" ht="15.6" x14ac:dyDescent="0.3">
      <c r="A163" s="206">
        <v>2040</v>
      </c>
      <c r="B163" s="229">
        <v>750.17915530429013</v>
      </c>
      <c r="C163" s="229">
        <v>453.77240531459461</v>
      </c>
      <c r="D163" s="229">
        <v>44.246414434576494</v>
      </c>
      <c r="E163" s="229">
        <v>339.1960765068967</v>
      </c>
      <c r="F163" s="229">
        <v>22.751178044635402</v>
      </c>
      <c r="G163" s="229">
        <v>43.862189448100409</v>
      </c>
      <c r="H163" s="229">
        <v>344.21855032694344</v>
      </c>
      <c r="I163" s="229">
        <v>46.674720447257407</v>
      </c>
      <c r="J163" s="229">
        <v>101.43269412563073</v>
      </c>
      <c r="K163" s="229">
        <v>64.186703532308826</v>
      </c>
      <c r="L163" s="170"/>
      <c r="M163" s="170"/>
      <c r="N163" s="195">
        <f t="shared" si="21"/>
        <v>17.728704224588682</v>
      </c>
      <c r="O163" s="195">
        <f t="shared" si="23"/>
        <v>344.21855032694344</v>
      </c>
      <c r="P163" s="195">
        <f t="shared" si="22"/>
        <v>541.88100919727151</v>
      </c>
      <c r="Q163" s="195">
        <f t="shared" si="24"/>
        <v>903.82826374880369</v>
      </c>
      <c r="R163" s="221">
        <f t="shared" si="25"/>
        <v>1.9615124836941292E-2</v>
      </c>
      <c r="AC163" s="251"/>
    </row>
    <row r="164" spans="1:29" ht="15.6" x14ac:dyDescent="0.3">
      <c r="A164" s="206">
        <v>2041</v>
      </c>
      <c r="B164" s="229">
        <v>766.76727162669567</v>
      </c>
      <c r="C164" s="229">
        <v>464.26018028283011</v>
      </c>
      <c r="D164" s="229">
        <v>45.105012352954475</v>
      </c>
      <c r="E164" s="229">
        <v>348.69075659441296</v>
      </c>
      <c r="F164" s="229">
        <v>23.39419040631163</v>
      </c>
      <c r="G164" s="229">
        <v>44.911209328818281</v>
      </c>
      <c r="H164" s="229">
        <v>354.86855717399885</v>
      </c>
      <c r="I164" s="229">
        <v>49.513621776968371</v>
      </c>
      <c r="J164" s="229">
        <v>101.72501462373111</v>
      </c>
      <c r="K164" s="229">
        <v>63.962559008632972</v>
      </c>
      <c r="L164" s="170"/>
      <c r="M164" s="170"/>
      <c r="N164" s="195">
        <f t="shared" si="21"/>
        <v>17.216389826725731</v>
      </c>
      <c r="O164" s="195">
        <f t="shared" si="23"/>
        <v>354.86855717399885</v>
      </c>
      <c r="P164" s="195">
        <f t="shared" si="22"/>
        <v>554.27640196460288</v>
      </c>
      <c r="Q164" s="195">
        <f>N164+P164+O164</f>
        <v>926.36134896532747</v>
      </c>
      <c r="R164" s="221">
        <f>N164/Q164</f>
        <v>1.8584961306897227E-2</v>
      </c>
      <c r="AC164" s="251"/>
    </row>
    <row r="165" spans="1:29" ht="15.6" x14ac:dyDescent="0.3">
      <c r="A165" s="206">
        <v>2042</v>
      </c>
      <c r="B165" s="229">
        <v>783.65816309944091</v>
      </c>
      <c r="C165" s="229">
        <v>474.95260655040715</v>
      </c>
      <c r="D165" s="229">
        <v>45.985471302774201</v>
      </c>
      <c r="E165" s="229">
        <v>358.37630069652425</v>
      </c>
      <c r="F165" s="229">
        <v>24.050060131931957</v>
      </c>
      <c r="G165" s="229">
        <v>45.982382234786144</v>
      </c>
      <c r="H165" s="229">
        <v>365.66494326206731</v>
      </c>
      <c r="I165" s="229">
        <v>52.515826646662312</v>
      </c>
      <c r="J165" s="229">
        <v>102.02332328729473</v>
      </c>
      <c r="K165" s="229">
        <v>63.751634728887254</v>
      </c>
      <c r="L165" s="170"/>
      <c r="M165" s="170"/>
      <c r="N165" s="195">
        <f t="shared" si="21"/>
        <v>16.7614175663889</v>
      </c>
      <c r="O165" s="195">
        <f t="shared" si="23"/>
        <v>365.66494326206731</v>
      </c>
      <c r="P165" s="195">
        <f t="shared" si="22"/>
        <v>566.92046008796751</v>
      </c>
      <c r="Q165" s="195">
        <f t="shared" si="24"/>
        <v>949.34682091642367</v>
      </c>
      <c r="R165" s="221">
        <f t="shared" si="25"/>
        <v>1.7655736762470817E-2</v>
      </c>
      <c r="AC165" s="251"/>
    </row>
    <row r="166" spans="1:29" ht="15.6" x14ac:dyDescent="0.3">
      <c r="A166" s="206">
        <v>2043</v>
      </c>
      <c r="B166" s="229">
        <v>800.84953429444511</v>
      </c>
      <c r="C166" s="229">
        <v>485.85281999148481</v>
      </c>
      <c r="D166" s="229">
        <v>46.889817120962562</v>
      </c>
      <c r="E166" s="229">
        <v>368.25916160782299</v>
      </c>
      <c r="F166" s="229">
        <v>24.71901433302088</v>
      </c>
      <c r="G166" s="229">
        <v>47.076094189465614</v>
      </c>
      <c r="H166" s="229">
        <v>376.61192879203264</v>
      </c>
      <c r="I166" s="229">
        <v>55.687503065052987</v>
      </c>
      <c r="J166" s="229">
        <v>102.32858814726821</v>
      </c>
      <c r="K166" s="229">
        <v>63.553930693071663</v>
      </c>
      <c r="L166" s="170"/>
      <c r="M166" s="170"/>
      <c r="N166" s="195">
        <f t="shared" si="21"/>
        <v>16.366247148811226</v>
      </c>
      <c r="O166" s="195">
        <f t="shared" si="23"/>
        <v>376.61192879203264</v>
      </c>
      <c r="P166" s="195">
        <f t="shared" si="22"/>
        <v>579.81873130191298</v>
      </c>
      <c r="Q166" s="195">
        <f t="shared" si="24"/>
        <v>972.79690724275679</v>
      </c>
      <c r="R166" s="221">
        <f t="shared" si="25"/>
        <v>1.6823909520023904E-2</v>
      </c>
      <c r="AC166" s="251"/>
    </row>
    <row r="167" spans="1:29" ht="15.6" x14ac:dyDescent="0.3">
      <c r="A167" s="206">
        <v>2044</v>
      </c>
      <c r="B167" s="229">
        <v>818.3390897836274</v>
      </c>
      <c r="C167" s="229">
        <v>496.9639564802219</v>
      </c>
      <c r="D167" s="229">
        <v>47.820075644446476</v>
      </c>
      <c r="E167" s="229">
        <v>378.34579212290112</v>
      </c>
      <c r="F167" s="229">
        <v>25.401280121102875</v>
      </c>
      <c r="G167" s="229">
        <v>48.1927312163183</v>
      </c>
      <c r="H167" s="229">
        <v>387.71373396477861</v>
      </c>
      <c r="I167" s="229">
        <v>59.034819040854174</v>
      </c>
      <c r="J167" s="229">
        <v>102.64177723459819</v>
      </c>
      <c r="K167" s="229">
        <v>63.369446901186208</v>
      </c>
      <c r="L167" s="170"/>
      <c r="M167" s="170"/>
      <c r="N167" s="195">
        <f t="shared" si="21"/>
        <v>16.033338279225404</v>
      </c>
      <c r="O167" s="195">
        <f t="shared" si="23"/>
        <v>387.71373396477861</v>
      </c>
      <c r="P167" s="195">
        <f t="shared" si="22"/>
        <v>592.97676334098662</v>
      </c>
      <c r="Q167" s="195">
        <f t="shared" si="24"/>
        <v>996.72383558499064</v>
      </c>
      <c r="R167" s="221">
        <f t="shared" si="25"/>
        <v>1.6086038787078091E-2</v>
      </c>
      <c r="AC167" s="251"/>
    </row>
    <row r="168" spans="1:29" ht="15.6" x14ac:dyDescent="0.3">
      <c r="A168" s="206">
        <v>2045</v>
      </c>
      <c r="B168" s="229">
        <v>836.12453413890728</v>
      </c>
      <c r="C168" s="229">
        <v>508.28915189077748</v>
      </c>
      <c r="D168" s="229">
        <v>48.778272710152805</v>
      </c>
      <c r="E168" s="229">
        <v>388.64264503635081</v>
      </c>
      <c r="F168" s="229">
        <v>26.097084607702428</v>
      </c>
      <c r="G168" s="229">
        <v>49.332679338805804</v>
      </c>
      <c r="H168" s="229">
        <v>398.97457898118887</v>
      </c>
      <c r="I168" s="229">
        <v>62.563942582779625</v>
      </c>
      <c r="J168" s="229">
        <v>102.96385858023136</v>
      </c>
      <c r="K168" s="229">
        <v>63.198183353230881</v>
      </c>
      <c r="L168" s="170"/>
      <c r="M168" s="170"/>
      <c r="N168" s="195">
        <f t="shared" si="21"/>
        <v>15.765150662864357</v>
      </c>
      <c r="O168" s="195">
        <f t="shared" si="23"/>
        <v>398.97457898118887</v>
      </c>
      <c r="P168" s="195">
        <f t="shared" si="22"/>
        <v>606.40010393973603</v>
      </c>
      <c r="Q168" s="195">
        <f t="shared" si="24"/>
        <v>1021.1398335837893</v>
      </c>
      <c r="R168" s="221">
        <f t="shared" si="25"/>
        <v>1.5438777476278672E-2</v>
      </c>
      <c r="AC168" s="251"/>
    </row>
    <row r="169" spans="1:29" ht="15.6" x14ac:dyDescent="0.3">
      <c r="A169" s="206">
        <v>2046</v>
      </c>
      <c r="B169" s="229">
        <v>854.20357193220389</v>
      </c>
      <c r="C169" s="229">
        <v>519.83154209731038</v>
      </c>
      <c r="D169" s="229">
        <v>49.766434155008469</v>
      </c>
      <c r="E169" s="229">
        <v>399.15617314276432</v>
      </c>
      <c r="F169" s="229">
        <v>26.806654904344022</v>
      </c>
      <c r="G169" s="229">
        <v>50.496324580389732</v>
      </c>
      <c r="H169" s="229">
        <v>410.39868404214724</v>
      </c>
      <c r="I169" s="229">
        <v>66.28104169954311</v>
      </c>
      <c r="J169" s="229">
        <v>103.29580021511435</v>
      </c>
      <c r="K169" s="229">
        <v>63.040140049205689</v>
      </c>
      <c r="L169" s="170"/>
      <c r="M169" s="170"/>
      <c r="N169" s="195">
        <f t="shared" si="21"/>
        <v>15.564144004961122</v>
      </c>
      <c r="O169" s="195">
        <f t="shared" si="23"/>
        <v>410.39868404214724</v>
      </c>
      <c r="P169" s="195">
        <f t="shared" si="22"/>
        <v>620.09430083270854</v>
      </c>
      <c r="Q169" s="195">
        <f t="shared" si="24"/>
        <v>1046.0571288798169</v>
      </c>
      <c r="R169" s="221">
        <f t="shared" si="25"/>
        <v>1.4878866149144432E-2</v>
      </c>
      <c r="AC169" s="251"/>
    </row>
    <row r="170" spans="1:29" ht="15.6" x14ac:dyDescent="0.3">
      <c r="A170" s="206">
        <v>2047</v>
      </c>
      <c r="B170" s="229">
        <v>872.57390773543648</v>
      </c>
      <c r="C170" s="229">
        <v>531.59426297397977</v>
      </c>
      <c r="D170" s="229">
        <v>50.786585815940342</v>
      </c>
      <c r="E170" s="229">
        <v>409.89282923673375</v>
      </c>
      <c r="F170" s="229">
        <v>27.530218122552135</v>
      </c>
      <c r="G170" s="229">
        <v>51.684052964531702</v>
      </c>
      <c r="H170" s="229">
        <v>421.99026934853737</v>
      </c>
      <c r="I170" s="229">
        <v>70.192284399858394</v>
      </c>
      <c r="J170" s="229">
        <v>103.63857017019382</v>
      </c>
      <c r="K170" s="229">
        <v>62.895316989110626</v>
      </c>
      <c r="L170" s="170"/>
      <c r="M170" s="170"/>
      <c r="N170" s="195">
        <f t="shared" si="21"/>
        <v>15.432778010748507</v>
      </c>
      <c r="O170" s="195">
        <f t="shared" si="23"/>
        <v>421.99026934853737</v>
      </c>
      <c r="P170" s="195">
        <f t="shared" si="22"/>
        <v>634.06490175445185</v>
      </c>
      <c r="Q170" s="195">
        <f t="shared" si="24"/>
        <v>1071.4879491137376</v>
      </c>
      <c r="R170" s="221">
        <f t="shared" si="25"/>
        <v>1.4403127933929128E-2</v>
      </c>
      <c r="AC170" s="251"/>
    </row>
    <row r="171" spans="1:29" ht="15.6" x14ac:dyDescent="0.3">
      <c r="A171" s="206">
        <v>2048</v>
      </c>
      <c r="B171" s="229">
        <v>891.23324612052454</v>
      </c>
      <c r="C171" s="229">
        <v>543.58045039494436</v>
      </c>
      <c r="D171" s="229">
        <v>51.840753529875322</v>
      </c>
      <c r="E171" s="229">
        <v>420.85906611285117</v>
      </c>
      <c r="F171" s="229">
        <v>28.268001373851263</v>
      </c>
      <c r="G171" s="229">
        <v>52.896250514693321</v>
      </c>
      <c r="H171" s="229">
        <v>433.75355510124319</v>
      </c>
      <c r="I171" s="229">
        <v>74.303838692439257</v>
      </c>
      <c r="J171" s="229">
        <v>103.99313647641638</v>
      </c>
      <c r="K171" s="229">
        <v>62.763714172945697</v>
      </c>
      <c r="L171" s="170"/>
      <c r="M171" s="170"/>
      <c r="N171" s="195">
        <f t="shared" si="21"/>
        <v>15.373512385459264</v>
      </c>
      <c r="O171" s="195">
        <f t="shared" si="23"/>
        <v>433.75355510124319</v>
      </c>
      <c r="P171" s="195">
        <f t="shared" si="22"/>
        <v>648.31745443951297</v>
      </c>
      <c r="Q171" s="195">
        <f t="shared" si="24"/>
        <v>1097.4445219262154</v>
      </c>
      <c r="R171" s="221">
        <f t="shared" si="25"/>
        <v>1.4008464280705455E-2</v>
      </c>
      <c r="AC171" s="251"/>
    </row>
    <row r="172" spans="1:29" ht="15.6" x14ac:dyDescent="0.3">
      <c r="A172" s="206">
        <v>2049</v>
      </c>
      <c r="B172" s="229">
        <v>910.17929165938722</v>
      </c>
      <c r="C172" s="229">
        <v>555.79324023436322</v>
      </c>
      <c r="D172" s="229">
        <v>52.93096313374032</v>
      </c>
      <c r="E172" s="229">
        <v>432.06133656570881</v>
      </c>
      <c r="F172" s="229">
        <v>29.020231769765878</v>
      </c>
      <c r="G172" s="229">
        <v>54.133303254336198</v>
      </c>
      <c r="H172" s="229">
        <v>445.69276150114825</v>
      </c>
      <c r="I172" s="229">
        <v>78.621872585999441</v>
      </c>
      <c r="J172" s="229">
        <v>104.36046716472873</v>
      </c>
      <c r="K172" s="229">
        <v>62.645331600710904</v>
      </c>
      <c r="L172" s="170"/>
      <c r="M172" s="170"/>
      <c r="N172" s="195">
        <f t="shared" si="21"/>
        <v>15.388806834326431</v>
      </c>
      <c r="O172" s="195">
        <f t="shared" si="23"/>
        <v>445.69276150114825</v>
      </c>
      <c r="P172" s="195">
        <f t="shared" si="22"/>
        <v>662.8575066224397</v>
      </c>
      <c r="Q172" s="195">
        <f t="shared" si="24"/>
        <v>1123.9390749579143</v>
      </c>
      <c r="R172" s="221">
        <f t="shared" si="25"/>
        <v>1.3691851433230633E-2</v>
      </c>
      <c r="AC172" s="251"/>
    </row>
    <row r="173" spans="1:29" ht="16.2" thickBot="1" x14ac:dyDescent="0.35">
      <c r="A173" s="208">
        <v>2050</v>
      </c>
      <c r="B173" s="231">
        <v>929.40974892394365</v>
      </c>
      <c r="C173" s="231">
        <v>568.23576836639529</v>
      </c>
      <c r="D173" s="231">
        <v>54.059240464462199</v>
      </c>
      <c r="E173" s="231">
        <v>443.50609338989881</v>
      </c>
      <c r="F173" s="231">
        <v>29.78713642182047</v>
      </c>
      <c r="G173" s="231">
        <v>55.395597206921941</v>
      </c>
      <c r="H173" s="231">
        <v>457.81210874913648</v>
      </c>
      <c r="I173" s="231">
        <v>83.152554089252732</v>
      </c>
      <c r="J173" s="231">
        <v>104.74153026607749</v>
      </c>
      <c r="K173" s="231">
        <v>62.540169272406239</v>
      </c>
      <c r="L173" s="209"/>
      <c r="M173" s="209"/>
      <c r="N173" s="195">
        <f t="shared" si="21"/>
        <v>15.481121062582815</v>
      </c>
      <c r="O173" s="195">
        <f t="shared" si="23"/>
        <v>457.81210874913648</v>
      </c>
      <c r="P173" s="195">
        <f t="shared" si="22"/>
        <v>677.69060603777939</v>
      </c>
      <c r="Q173" s="195">
        <f t="shared" si="24"/>
        <v>1150.9838358494987</v>
      </c>
      <c r="R173" s="222">
        <f t="shared" si="25"/>
        <v>1.3450337511609596E-2</v>
      </c>
      <c r="AC173" s="251"/>
    </row>
    <row r="174" spans="1:29" ht="15.6" x14ac:dyDescent="0.3">
      <c r="A174" s="213">
        <v>2051</v>
      </c>
      <c r="B174" s="227">
        <v>948.92232248611333</v>
      </c>
      <c r="C174" s="227">
        <v>580.91117066519951</v>
      </c>
      <c r="D174" s="227">
        <v>55.227611358967863</v>
      </c>
      <c r="E174" s="227">
        <v>455.19978938001321</v>
      </c>
      <c r="F174" s="227">
        <v>30.568942441539519</v>
      </c>
      <c r="G174" s="227">
        <v>56.683518395912152</v>
      </c>
      <c r="H174" s="227">
        <v>470.11581704609148</v>
      </c>
      <c r="I174" s="227">
        <v>87.902051210912902</v>
      </c>
      <c r="J174" s="227">
        <v>105.13729381140934</v>
      </c>
      <c r="K174" s="227">
        <v>62.448227188031709</v>
      </c>
      <c r="N174" s="195">
        <f t="shared" si="21"/>
        <v>15.652914775461227</v>
      </c>
      <c r="O174" s="195">
        <f t="shared" si="23"/>
        <v>470.11581704609148</v>
      </c>
      <c r="P174" s="195">
        <f t="shared" si="22"/>
        <v>692.8223004200795</v>
      </c>
      <c r="Q174" s="195">
        <f t="shared" si="24"/>
        <v>1178.5910322416321</v>
      </c>
      <c r="R174" s="214">
        <f t="shared" si="25"/>
        <v>1.328104011252319E-2</v>
      </c>
      <c r="AC174" s="251"/>
    </row>
    <row r="175" spans="1:29" ht="15.6" x14ac:dyDescent="0.3">
      <c r="A175" s="194">
        <v>2052</v>
      </c>
      <c r="B175" s="229">
        <v>968.71471691781551</v>
      </c>
      <c r="C175" s="229">
        <v>593.82258300493481</v>
      </c>
      <c r="D175" s="229">
        <v>56.438101654184237</v>
      </c>
      <c r="E175" s="229">
        <v>467.14887733064432</v>
      </c>
      <c r="F175" s="229">
        <v>31.365876940447514</v>
      </c>
      <c r="G175" s="229">
        <v>57.997452844768439</v>
      </c>
      <c r="H175" s="229">
        <v>482.60810659289706</v>
      </c>
      <c r="I175" s="229">
        <v>92.876531959693693</v>
      </c>
      <c r="J175" s="229">
        <v>105.54872583167088</v>
      </c>
      <c r="K175" s="229">
        <v>62.369505347587307</v>
      </c>
      <c r="N175" s="195">
        <f t="shared" si="21"/>
        <v>15.906647678194759</v>
      </c>
      <c r="O175" s="195">
        <f t="shared" si="23"/>
        <v>482.60810659289706</v>
      </c>
      <c r="P175" s="195">
        <f t="shared" si="22"/>
        <v>708.2581375038875</v>
      </c>
      <c r="Q175" s="195">
        <f t="shared" si="24"/>
        <v>1206.7728917749794</v>
      </c>
      <c r="R175" s="196">
        <f t="shared" si="25"/>
        <v>1.3181144345062722E-2</v>
      </c>
      <c r="AC175" s="251"/>
    </row>
    <row r="176" spans="1:29" ht="15.6" x14ac:dyDescent="0.3">
      <c r="A176" s="194">
        <v>2053</v>
      </c>
      <c r="B176" s="229">
        <v>988.78463679096944</v>
      </c>
      <c r="C176" s="229">
        <v>606.97314125976027</v>
      </c>
      <c r="D176" s="229">
        <v>57.692737187038162</v>
      </c>
      <c r="E176" s="229">
        <v>479.3598100363842</v>
      </c>
      <c r="F176" s="229">
        <v>32.178167030068934</v>
      </c>
      <c r="G176" s="229">
        <v>59.337786576952432</v>
      </c>
      <c r="H176" s="229">
        <v>495.29319759043699</v>
      </c>
      <c r="I176" s="229">
        <v>98.082164344308865</v>
      </c>
      <c r="J176" s="229">
        <v>105.9767943578088</v>
      </c>
      <c r="K176" s="229">
        <v>62.30400375107304</v>
      </c>
      <c r="N176" s="195">
        <f t="shared" si="21"/>
        <v>16.244779476016163</v>
      </c>
      <c r="O176" s="195">
        <f t="shared" si="23"/>
        <v>495.29319759043699</v>
      </c>
      <c r="P176" s="195">
        <f t="shared" si="22"/>
        <v>724.00366502375084</v>
      </c>
      <c r="Q176" s="195">
        <f t="shared" si="24"/>
        <v>1235.5416420902038</v>
      </c>
      <c r="R176" s="196">
        <f t="shared" si="25"/>
        <v>1.3147901230212176E-2</v>
      </c>
      <c r="AC176" s="251"/>
    </row>
    <row r="177" spans="1:29" ht="15.6" x14ac:dyDescent="0.3">
      <c r="A177" s="194">
        <v>2054</v>
      </c>
      <c r="B177" s="229">
        <v>1009.1297866774944</v>
      </c>
      <c r="C177" s="229">
        <v>620.3659813038347</v>
      </c>
      <c r="D177" s="229">
        <v>58.993543794456556</v>
      </c>
      <c r="E177" s="229">
        <v>491.83904029182497</v>
      </c>
      <c r="F177" s="229">
        <v>33.006039821928262</v>
      </c>
      <c r="G177" s="229">
        <v>60.704905615925711</v>
      </c>
      <c r="H177" s="229">
        <v>508.17531023959498</v>
      </c>
      <c r="I177" s="229">
        <v>103.5251163734722</v>
      </c>
      <c r="J177" s="229">
        <v>106.42246742076973</v>
      </c>
      <c r="K177" s="229">
        <v>62.251722398488909</v>
      </c>
      <c r="N177" s="195">
        <f t="shared" si="21"/>
        <v>16.669769874158305</v>
      </c>
      <c r="O177" s="195">
        <f t="shared" si="23"/>
        <v>508.17531023959498</v>
      </c>
      <c r="P177" s="195">
        <f t="shared" si="22"/>
        <v>740.06443071421688</v>
      </c>
      <c r="Q177" s="195">
        <f t="shared" si="24"/>
        <v>1264.9095108279703</v>
      </c>
      <c r="R177" s="196">
        <f t="shared" si="25"/>
        <v>1.3178626400908942E-2</v>
      </c>
      <c r="AC177" s="251"/>
    </row>
    <row r="178" spans="1:29" ht="15.6" x14ac:dyDescent="0.3">
      <c r="A178" s="194">
        <v>2055</v>
      </c>
      <c r="B178" s="229">
        <v>1029.7478711493095</v>
      </c>
      <c r="C178" s="229">
        <v>634.00423901131705</v>
      </c>
      <c r="D178" s="229">
        <v>60.34254731336631</v>
      </c>
      <c r="E178" s="229">
        <v>504.59302089155881</v>
      </c>
      <c r="F178" s="229">
        <v>33.849722427549985</v>
      </c>
      <c r="G178" s="229">
        <v>62.099195985149898</v>
      </c>
      <c r="H178" s="229">
        <v>521.25866474125473</v>
      </c>
      <c r="I178" s="229">
        <v>109.21155605589749</v>
      </c>
      <c r="J178" s="229">
        <v>106.88671305150034</v>
      </c>
      <c r="K178" s="229">
        <v>62.212661289834898</v>
      </c>
      <c r="N178" s="195">
        <f t="shared" si="21"/>
        <v>17.184078577854052</v>
      </c>
      <c r="O178" s="195">
        <f t="shared" si="23"/>
        <v>521.25866474125473</v>
      </c>
      <c r="P178" s="195">
        <f t="shared" si="22"/>
        <v>756.4459823098332</v>
      </c>
      <c r="Q178" s="195">
        <f t="shared" si="24"/>
        <v>1294.888725628942</v>
      </c>
      <c r="R178" s="196">
        <f t="shared" si="25"/>
        <v>1.3270699047524375E-2</v>
      </c>
      <c r="AC178" s="251"/>
    </row>
    <row r="179" spans="1:29" ht="15.6" x14ac:dyDescent="0.3">
      <c r="A179" s="194">
        <v>2056</v>
      </c>
      <c r="B179" s="229">
        <v>1050.6365947783345</v>
      </c>
      <c r="C179" s="229">
        <v>647.89105025636638</v>
      </c>
      <c r="D179" s="229">
        <v>61.741773580694328</v>
      </c>
      <c r="E179" s="229">
        <v>517.62820463017783</v>
      </c>
      <c r="F179" s="229">
        <v>34.709441958458584</v>
      </c>
      <c r="G179" s="229">
        <v>63.521043708086601</v>
      </c>
      <c r="H179" s="229">
        <v>534.54748129630002</v>
      </c>
      <c r="I179" s="229">
        <v>115.14765140029846</v>
      </c>
      <c r="J179" s="229">
        <v>107.37049928094726</v>
      </c>
      <c r="K179" s="229">
        <v>62.18682042511103</v>
      </c>
      <c r="N179" s="195">
        <f t="shared" si="21"/>
        <v>17.790165292336383</v>
      </c>
      <c r="O179" s="195">
        <f t="shared" si="23"/>
        <v>534.54748129630002</v>
      </c>
      <c r="P179" s="195">
        <f t="shared" si="22"/>
        <v>773.15386754514736</v>
      </c>
      <c r="Q179" s="195">
        <f t="shared" si="24"/>
        <v>1325.4915141337838</v>
      </c>
      <c r="R179" s="196">
        <f t="shared" si="25"/>
        <v>1.3421561060662359E-2</v>
      </c>
      <c r="AC179" s="251"/>
    </row>
    <row r="180" spans="1:29" ht="15.6" x14ac:dyDescent="0.3">
      <c r="A180" s="194">
        <v>2057</v>
      </c>
      <c r="B180" s="229">
        <v>1071.7936621364884</v>
      </c>
      <c r="C180" s="229">
        <v>662.02955091314152</v>
      </c>
      <c r="D180" s="229">
        <v>63.193248433367501</v>
      </c>
      <c r="E180" s="229">
        <v>530.95104430227434</v>
      </c>
      <c r="F180" s="229">
        <v>35.585425526178547</v>
      </c>
      <c r="G180" s="229">
        <v>64.970834808197424</v>
      </c>
      <c r="H180" s="229">
        <v>548.04598010561472</v>
      </c>
      <c r="I180" s="229">
        <v>121.33957041538889</v>
      </c>
      <c r="J180" s="229">
        <v>107.87479414005715</v>
      </c>
      <c r="K180" s="229">
        <v>62.17419980431729</v>
      </c>
      <c r="N180" s="195">
        <f t="shared" si="21"/>
        <v>18.49048972283822</v>
      </c>
      <c r="O180" s="195">
        <f t="shared" si="23"/>
        <v>548.04598010561472</v>
      </c>
      <c r="P180" s="195">
        <f t="shared" si="22"/>
        <v>790.19363415470639</v>
      </c>
      <c r="Q180" s="195">
        <f t="shared" si="24"/>
        <v>1356.7301039831593</v>
      </c>
      <c r="R180" s="196">
        <f t="shared" si="25"/>
        <v>1.3628716329469562E-2</v>
      </c>
      <c r="AC180" s="251"/>
    </row>
    <row r="181" spans="1:29" ht="15.6" x14ac:dyDescent="0.3">
      <c r="A181" s="194">
        <v>2058</v>
      </c>
      <c r="B181" s="229">
        <v>1093.2167777956902</v>
      </c>
      <c r="C181" s="229">
        <v>676.42287685580163</v>
      </c>
      <c r="D181" s="229">
        <v>64.698997708312717</v>
      </c>
      <c r="E181" s="229">
        <v>544.56799270244028</v>
      </c>
      <c r="F181" s="229">
        <v>36.477900242234355</v>
      </c>
      <c r="G181" s="229">
        <v>66.448955308943994</v>
      </c>
      <c r="H181" s="229">
        <v>561.75838137008247</v>
      </c>
      <c r="I181" s="229">
        <v>127.79348110988255</v>
      </c>
      <c r="J181" s="229">
        <v>108.40056565977666</v>
      </c>
      <c r="K181" s="229">
        <v>62.174799427453685</v>
      </c>
      <c r="N181" s="195">
        <f t="shared" si="21"/>
        <v>19.287511574592145</v>
      </c>
      <c r="O181" s="195">
        <f t="shared" si="23"/>
        <v>561.75838137008247</v>
      </c>
      <c r="P181" s="195">
        <f t="shared" si="22"/>
        <v>807.5708298730583</v>
      </c>
      <c r="Q181" s="195">
        <f t="shared" si="24"/>
        <v>1388.6167228177328</v>
      </c>
      <c r="R181" s="196">
        <f t="shared" si="25"/>
        <v>1.3889730159272889E-2</v>
      </c>
      <c r="AC181" s="251"/>
    </row>
    <row r="182" spans="1:29" ht="15.6" x14ac:dyDescent="0.3">
      <c r="A182" s="194">
        <v>2059</v>
      </c>
      <c r="B182" s="229">
        <v>1114.9036463278594</v>
      </c>
      <c r="C182" s="229">
        <v>691.07416395850532</v>
      </c>
      <c r="D182" s="229">
        <v>66.261047242456854</v>
      </c>
      <c r="E182" s="229">
        <v>558.48550262526783</v>
      </c>
      <c r="F182" s="229">
        <v>37.38709321815049</v>
      </c>
      <c r="G182" s="229">
        <v>67.955791233787892</v>
      </c>
      <c r="H182" s="229">
        <v>575.68890529058706</v>
      </c>
      <c r="I182" s="229">
        <v>134.51555149249322</v>
      </c>
      <c r="J182" s="229">
        <v>108.94878187105243</v>
      </c>
      <c r="K182" s="229">
        <v>62.188619294520208</v>
      </c>
      <c r="N182" s="195">
        <f t="shared" si="21"/>
        <v>20.183690552831308</v>
      </c>
      <c r="O182" s="195">
        <f t="shared" si="23"/>
        <v>575.68890529058706</v>
      </c>
      <c r="P182" s="195">
        <f t="shared" si="22"/>
        <v>825.29100243475</v>
      </c>
      <c r="Q182" s="195">
        <f t="shared" si="24"/>
        <v>1421.1635982781684</v>
      </c>
      <c r="R182" s="196">
        <f t="shared" si="25"/>
        <v>1.4202228777380138E-2</v>
      </c>
      <c r="AC182" s="251"/>
    </row>
    <row r="183" spans="1:29" ht="15.6" x14ac:dyDescent="0.3">
      <c r="A183" s="194">
        <v>2060</v>
      </c>
      <c r="B183" s="229">
        <v>1136.8519723049153</v>
      </c>
      <c r="C183" s="229">
        <v>705.98654809541176</v>
      </c>
      <c r="D183" s="229">
        <v>67.88142287272683</v>
      </c>
      <c r="E183" s="229">
        <v>572.71002686534916</v>
      </c>
      <c r="F183" s="229">
        <v>38.313231565451431</v>
      </c>
      <c r="G183" s="229">
        <v>69.491728606190748</v>
      </c>
      <c r="H183" s="229">
        <v>589.84177206801212</v>
      </c>
      <c r="I183" s="229">
        <v>141.51194957193462</v>
      </c>
      <c r="J183" s="229">
        <v>109.52041080483113</v>
      </c>
      <c r="K183" s="229">
        <v>62.215659405516867</v>
      </c>
      <c r="N183" s="195">
        <f t="shared" si="21"/>
        <v>21.181486362788519</v>
      </c>
      <c r="O183" s="195">
        <f t="shared" si="23"/>
        <v>589.84177206801212</v>
      </c>
      <c r="P183" s="195">
        <f t="shared" si="22"/>
        <v>843.3596995743294</v>
      </c>
      <c r="Q183" s="195">
        <f t="shared" si="24"/>
        <v>1454.3829580051301</v>
      </c>
      <c r="R183" s="196">
        <f>N183/Q183</f>
        <v>1.4563898900356755E-2</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cellWatches>
    <cellWatch r="AZ156"/>
    <cellWatch r="AZ157"/>
    <cellWatch r="AZ158"/>
    <cellWatch r="AZ159"/>
    <cellWatch r="AZ160"/>
    <cellWatch r="AZ217"/>
    <cellWatch r="AZ218"/>
    <cellWatch r="AZ219"/>
    <cellWatch r="AZ220"/>
    <cellWatch r="AZ221"/>
    <cellWatch r="AZ222"/>
    <cellWatch r="AZ223"/>
    <cellWatch r="AZ224"/>
    <cellWatch r="AZ225"/>
    <cellWatch r="AZ226"/>
    <cellWatch r="AZ227"/>
    <cellWatch r="AZ228"/>
    <cellWatch r="AZ229"/>
    <cellWatch r="AZ230"/>
    <cellWatch r="AZ231"/>
    <cellWatch r="AZ232"/>
    <cellWatch r="AZ233"/>
    <cellWatch r="AZ234"/>
    <cellWatch r="AZ235"/>
    <cellWatch r="AZ236"/>
    <cellWatch r="AZ237"/>
    <cellWatch r="AZ238"/>
    <cellWatch r="AZ239"/>
    <cellWatch r="AZ240"/>
    <cellWatch r="AZ241"/>
    <cellWatch r="AZ242"/>
    <cellWatch r="AZ243"/>
    <cellWatch r="AZ244"/>
    <cellWatch r="AZ245"/>
    <cellWatch r="AZ246"/>
    <cellWatch r="AZ142"/>
    <cellWatch r="AZ143"/>
    <cellWatch r="AZ144"/>
    <cellWatch r="AZ145"/>
    <cellWatch r="AZ146"/>
    <cellWatch r="AZ147"/>
    <cellWatch r="AZ148"/>
    <cellWatch r="AZ149"/>
    <cellWatch r="AZ150"/>
    <cellWatch r="AZ151"/>
    <cellWatch r="AZ152"/>
    <cellWatch r="AZ153"/>
    <cellWatch r="AZ154"/>
    <cellWatch r="AZ155"/>
    <cellWatch r="AZ161"/>
    <cellWatch r="AZ162"/>
    <cellWatch r="AZ163"/>
    <cellWatch r="AZ164"/>
    <cellWatch r="AZ165"/>
    <cellWatch r="AZ166"/>
    <cellWatch r="AZ167"/>
    <cellWatch r="AZ168"/>
    <cellWatch r="AZ169"/>
    <cellWatch r="AZ170"/>
    <cellWatch r="AZ171"/>
    <cellWatch r="AZ172"/>
    <cellWatch r="AZ173"/>
    <cellWatch r="AZ174"/>
    <cellWatch r="AZ175"/>
    <cellWatch r="AZ176"/>
    <cellWatch r="AZ137"/>
    <cellWatch r="AZ138"/>
    <cellWatch r="AZ139"/>
    <cellWatch r="AZ140"/>
    <cellWatch r="AZ141"/>
    <cellWatch r="AZ212"/>
    <cellWatch r="AZ213"/>
    <cellWatch r="AZ214"/>
    <cellWatch r="AZ215"/>
    <cellWatch r="AZ216"/>
    <cellWatch r="BA137"/>
    <cellWatch r="BA138"/>
    <cellWatch r="BA139"/>
    <cellWatch r="BA140"/>
    <cellWatch r="BA141"/>
    <cellWatch r="BA142"/>
    <cellWatch r="BA143"/>
    <cellWatch r="BA144"/>
    <cellWatch r="BA145"/>
    <cellWatch r="BA146"/>
    <cellWatch r="BA147"/>
    <cellWatch r="BA148"/>
    <cellWatch r="BA149"/>
    <cellWatch r="BA150"/>
    <cellWatch r="BA151"/>
    <cellWatch r="BA152"/>
    <cellWatch r="BA153"/>
    <cellWatch r="BA154"/>
    <cellWatch r="BA155"/>
    <cellWatch r="BA156"/>
    <cellWatch r="BA157"/>
    <cellWatch r="BA158"/>
    <cellWatch r="BA159"/>
    <cellWatch r="BA160"/>
    <cellWatch r="BA161"/>
    <cellWatch r="BA162"/>
    <cellWatch r="BA163"/>
    <cellWatch r="BA164"/>
    <cellWatch r="BA165"/>
    <cellWatch r="BA166"/>
    <cellWatch r="BA167"/>
    <cellWatch r="BA168"/>
    <cellWatch r="BA169"/>
    <cellWatch r="BA170"/>
    <cellWatch r="BA171"/>
    <cellWatch r="AY148"/>
    <cellWatch r="AY149"/>
    <cellWatch r="AY150"/>
    <cellWatch r="AY151"/>
    <cellWatch r="AY152"/>
    <cellWatch r="AY153"/>
    <cellWatch r="AY154"/>
    <cellWatch r="AY155"/>
    <cellWatch r="AY156"/>
    <cellWatch r="AY157"/>
    <cellWatch r="AY158"/>
    <cellWatch r="AY159"/>
    <cellWatch r="AY160"/>
    <cellWatch r="AY161"/>
    <cellWatch r="AY162"/>
    <cellWatch r="AY163"/>
    <cellWatch r="AY164"/>
    <cellWatch r="AY165"/>
    <cellWatch r="AY166"/>
    <cellWatch r="AY167"/>
    <cellWatch r="AY168"/>
    <cellWatch r="AY169"/>
    <cellWatch r="AY170"/>
    <cellWatch r="AY171"/>
    <cellWatch r="AY172"/>
    <cellWatch r="AY173"/>
    <cellWatch r="AY174"/>
    <cellWatch r="AY175"/>
    <cellWatch r="AY176"/>
    <cellWatch r="AY177"/>
    <cellWatch r="AY178"/>
    <cellWatch r="AY179"/>
    <cellWatch r="AY180"/>
    <cellWatch r="AY181"/>
    <cellWatch r="AY182"/>
    <cellWatch r="AZ296"/>
    <cellWatch r="AZ297"/>
    <cellWatch r="AZ298"/>
    <cellWatch r="AZ299"/>
    <cellWatch r="AZ300"/>
    <cellWatch r="AZ301"/>
    <cellWatch r="AZ302"/>
    <cellWatch r="AZ303"/>
    <cellWatch r="AZ304"/>
    <cellWatch r="AZ305"/>
    <cellWatch r="AZ306"/>
    <cellWatch r="AZ307"/>
    <cellWatch r="AZ308"/>
    <cellWatch r="AZ309"/>
    <cellWatch r="AZ310"/>
    <cellWatch r="AZ311"/>
    <cellWatch r="AZ312"/>
    <cellWatch r="AZ313"/>
    <cellWatch r="AZ314"/>
    <cellWatch r="AZ315"/>
    <cellWatch r="AZ316"/>
    <cellWatch r="AZ317"/>
    <cellWatch r="AZ318"/>
    <cellWatch r="AZ319"/>
    <cellWatch r="AZ320"/>
    <cellWatch r="AZ321"/>
  </cellWatches>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7030A0"/>
  </sheetPr>
  <dimension ref="A1:EG183"/>
  <sheetViews>
    <sheetView showGridLines="0" topLeftCell="A133" zoomScale="96" zoomScaleNormal="96" zoomScalePageLayoutView="80" workbookViewId="0">
      <selection activeCell="B137" sqref="B137:K183"/>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36.5" style="153"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Water_cluster_lldc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413</v>
      </c>
      <c r="E3" s="249">
        <v>0.85</v>
      </c>
      <c r="F3" s="167" t="s">
        <v>211</v>
      </c>
      <c r="G3" s="167" t="s">
        <v>213</v>
      </c>
      <c r="I3" s="618"/>
      <c r="J3" s="618"/>
      <c r="K3" s="618"/>
      <c r="L3" s="618"/>
      <c r="M3" s="166"/>
      <c r="N3" s="164">
        <f ca="1">SUM(OFFSET(O27,B3-2015,0,B4-B3+1,4))/1000</f>
        <v>0.23510950366272487</v>
      </c>
      <c r="O3" s="165" t="s">
        <v>209</v>
      </c>
      <c r="Q3" s="165"/>
      <c r="S3" s="671" t="s">
        <v>210</v>
      </c>
      <c r="T3" s="671"/>
      <c r="U3" s="671"/>
      <c r="V3" s="671"/>
      <c r="W3" s="671"/>
    </row>
    <row r="4" spans="1:137" ht="13.8" x14ac:dyDescent="0.25">
      <c r="A4" s="153" t="s">
        <v>215</v>
      </c>
      <c r="B4" s="234">
        <v>2050</v>
      </c>
      <c r="D4" s="248"/>
      <c r="E4" s="249"/>
      <c r="F4" s="167"/>
      <c r="G4" s="167"/>
      <c r="I4" s="168"/>
      <c r="J4" s="168"/>
      <c r="K4" s="168"/>
      <c r="L4" s="168"/>
      <c r="M4" s="168"/>
      <c r="N4" s="168"/>
      <c r="S4" s="671"/>
      <c r="T4" s="671"/>
      <c r="U4" s="671"/>
      <c r="V4" s="671"/>
      <c r="W4" s="671"/>
    </row>
    <row r="5" spans="1:137" ht="12.75" customHeight="1" x14ac:dyDescent="0.25">
      <c r="D5" s="248"/>
      <c r="E5" s="249"/>
      <c r="F5" s="167"/>
      <c r="G5" s="167"/>
      <c r="I5" s="618" t="s">
        <v>214</v>
      </c>
      <c r="J5" s="618"/>
      <c r="K5" s="618"/>
      <c r="L5" s="618"/>
      <c r="M5" s="169"/>
      <c r="N5" s="164">
        <f>SUM(J27:M72)/1000</f>
        <v>0</v>
      </c>
      <c r="O5" s="165" t="s">
        <v>208</v>
      </c>
      <c r="S5" s="671"/>
      <c r="T5" s="671"/>
      <c r="U5" s="671"/>
      <c r="V5" s="671"/>
      <c r="W5" s="671"/>
    </row>
    <row r="6" spans="1:137" ht="13.8" x14ac:dyDescent="0.25">
      <c r="D6" s="248"/>
      <c r="E6" s="249"/>
      <c r="F6" s="167"/>
      <c r="G6" s="167"/>
      <c r="I6" s="618"/>
      <c r="J6" s="618"/>
      <c r="K6" s="618"/>
      <c r="L6" s="618"/>
      <c r="M6" s="163"/>
      <c r="N6" s="164">
        <f>SUM(O27:R72)/1000</f>
        <v>0.53048889521197107</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c r="Q14" s="383" t="s">
        <v>409</v>
      </c>
      <c r="R14" s="383" t="s">
        <v>408</v>
      </c>
    </row>
    <row r="15" spans="1:137" ht="55.2" x14ac:dyDescent="0.25">
      <c r="O15" s="260" t="s">
        <v>412</v>
      </c>
      <c r="P15" s="260" t="s">
        <v>268</v>
      </c>
      <c r="Q15" s="260" t="s">
        <v>406</v>
      </c>
      <c r="R15" s="260" t="s">
        <v>406</v>
      </c>
    </row>
    <row r="16" spans="1:137" ht="13.8" x14ac:dyDescent="0.25">
      <c r="F16" s="153" t="s">
        <v>217</v>
      </c>
      <c r="O16" s="387">
        <v>1.2702321631971134E-3</v>
      </c>
      <c r="P16" s="261"/>
      <c r="Q16" s="261"/>
      <c r="R16" s="261"/>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211</v>
      </c>
      <c r="Q24" s="167" t="s">
        <v>213</v>
      </c>
      <c r="R24" s="167" t="s">
        <v>213</v>
      </c>
    </row>
    <row r="25" spans="1:26" ht="38.25" customHeight="1" x14ac:dyDescent="0.25">
      <c r="B25" s="223" t="s">
        <v>500</v>
      </c>
      <c r="C25" s="223" t="s">
        <v>500</v>
      </c>
      <c r="D25" s="225" t="s">
        <v>513</v>
      </c>
      <c r="E25" s="174" t="s">
        <v>407</v>
      </c>
      <c r="F25" s="174" t="s">
        <v>407</v>
      </c>
      <c r="G25" s="174" t="s">
        <v>249</v>
      </c>
      <c r="H25" s="174" t="s">
        <v>407</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IFERROR(IF($F$17="Y",$E$17,$Y85)*(SUMIF($G$3:$G$14,"Y",$E$3:$E$14))*(B85-B137),0)</f>
        <v>0</v>
      </c>
      <c r="F26" s="183" t="str">
        <f>IFERROR(E26-E25,"")</f>
        <v/>
      </c>
      <c r="G26" s="247">
        <f>IFERROR(E26/(B85-B137),"")</f>
        <v>0</v>
      </c>
      <c r="H26" s="245"/>
      <c r="J26" s="182"/>
      <c r="K26" s="182"/>
      <c r="L26" s="182"/>
      <c r="M26" s="182"/>
      <c r="N26" s="163"/>
      <c r="O26" s="259">
        <f>IF($O$24="Y",IFERROR(E26*$O$16*'Emissions Factors'!B12,""),"")</f>
        <v>0</v>
      </c>
      <c r="P26" s="259" t="str">
        <f>IF($P$24="Y",IFERROR($E26*(SUM($E$3,$E$4,$E$5)/SUMIF($G$3:$G$14,"Y",$E$3:$E$14))*('Emissions Factors'!$T$143*$P$16)/10^6,""),"")</f>
        <v/>
      </c>
      <c r="Q26" s="259">
        <f>IF($Q$24="Y",IFERROR($E26*$Q$16/10^6,""))</f>
        <v>0</v>
      </c>
      <c r="R26" s="259">
        <f>IF($R$24="Y",IFERROR($E26*$R$16/10^6,""))</f>
        <v>0</v>
      </c>
      <c r="T26" s="180" t="str">
        <f t="shared" ref="T26:T72" si="1">IF(AND(A26&gt;=$B$3,A26&lt;=$B$4),SUM(O26:R26),"")</f>
        <v/>
      </c>
      <c r="U26" s="180" t="str">
        <f t="shared" ref="U26:U72" si="2">IF(AND(A26&gt;=$B$3,A26&lt;=$B$4),SUM(J26:M26),"")</f>
        <v/>
      </c>
      <c r="V26" s="177"/>
      <c r="X26" s="180">
        <f t="shared" ref="X26:X72" si="3">SUM(O26:R26)</f>
        <v>0</v>
      </c>
      <c r="Y26" s="180">
        <f t="shared" ref="Y26:Y72" si="4">SUM(J26:M26)</f>
        <v>0</v>
      </c>
    </row>
    <row r="27" spans="1:26" ht="15.6" x14ac:dyDescent="0.3">
      <c r="A27" s="152">
        <v>2015</v>
      </c>
      <c r="B27" s="178">
        <f t="shared" si="0"/>
        <v>0</v>
      </c>
      <c r="C27" s="182">
        <f>IFERROR(B27-B26,"")</f>
        <v>0</v>
      </c>
      <c r="D27" s="183"/>
      <c r="E27" s="179">
        <f t="shared" ref="E27:E72" si="5">IFERROR(IF($F$17="Y",$E$17,$Y86)*(SUMIF($G$3:$G$14,"Y",$E$3:$E$14))*(B86-B138),0)</f>
        <v>0</v>
      </c>
      <c r="F27" s="183">
        <f>IFERROR(E27-E26,"")</f>
        <v>0</v>
      </c>
      <c r="G27" s="247">
        <f t="shared" ref="G27:G72" si="6">IFERROR(E27/(B86-B138),"")</f>
        <v>0</v>
      </c>
      <c r="H27" s="246"/>
      <c r="J27" s="182"/>
      <c r="K27" s="182"/>
      <c r="L27" s="182"/>
      <c r="M27" s="182"/>
      <c r="N27" s="163"/>
      <c r="O27" s="259">
        <f>IF($O$24="Y",IFERROR(E27*$O$16*'Emissions Factors'!B12,""),"")</f>
        <v>0</v>
      </c>
      <c r="P27" s="259" t="str">
        <f>IF($P$24="Y",IFERROR($E27*(SUM($E$3,$E$4,$E$5)/SUMIF($G$3:$G$14,"Y",$E$3:$E$14))*('Emissions Factors'!$T$143*$P$16)/10^6,""),"")</f>
        <v/>
      </c>
      <c r="Q27" s="259">
        <f t="shared" ref="Q27:Q72" si="7">IF($Q$24="Y",IFERROR($E27*$Q$16/10^6,""))</f>
        <v>0</v>
      </c>
      <c r="R27" s="259">
        <f t="shared" ref="R27:R72" si="8">IF($R$24="Y",IFERROR($E27*$R$16/10^6,""))</f>
        <v>0</v>
      </c>
      <c r="T27" s="180" t="str">
        <f t="shared" si="1"/>
        <v/>
      </c>
      <c r="U27" s="180" t="str">
        <f t="shared" si="2"/>
        <v/>
      </c>
      <c r="V27" s="177"/>
      <c r="X27" s="180">
        <f t="shared" si="3"/>
        <v>0</v>
      </c>
      <c r="Y27" s="180">
        <f t="shared" si="4"/>
        <v>0</v>
      </c>
    </row>
    <row r="28" spans="1:26" ht="15.6" x14ac:dyDescent="0.3">
      <c r="A28" s="152">
        <v>2016</v>
      </c>
      <c r="B28" s="178">
        <f t="shared" si="0"/>
        <v>0</v>
      </c>
      <c r="C28" s="182">
        <f t="shared" ref="C28:C72" si="9">IFERROR(B28-B27,"")</f>
        <v>0</v>
      </c>
      <c r="D28" s="183"/>
      <c r="E28" s="179">
        <f t="shared" si="5"/>
        <v>-0.63438190859160382</v>
      </c>
      <c r="F28" s="183">
        <f t="shared" ref="F28:F72" si="10">IFERROR(E28-E27,"")</f>
        <v>-0.63438190859160382</v>
      </c>
      <c r="G28" s="247">
        <f t="shared" si="6"/>
        <v>0.85</v>
      </c>
      <c r="H28" s="246"/>
      <c r="J28" s="182"/>
      <c r="K28" s="182"/>
      <c r="L28" s="182"/>
      <c r="M28" s="182"/>
      <c r="N28" s="163"/>
      <c r="O28" s="259">
        <f>IF($O$24="Y",IFERROR(E28*$O$16*'Emissions Factors'!B13,""),"")</f>
        <v>-4.9400622410275573E-4</v>
      </c>
      <c r="P28" s="259" t="str">
        <f>IF($P$24="Y",IFERROR($E28*(SUM($E$3,$E$4,$E$5)/SUMIF($G$3:$G$14,"Y",$E$3:$E$14))*('Emissions Factors'!$T$143*$P$16)/10^6,""),"")</f>
        <v/>
      </c>
      <c r="Q28" s="259">
        <f t="shared" si="7"/>
        <v>0</v>
      </c>
      <c r="R28" s="259">
        <f t="shared" si="8"/>
        <v>0</v>
      </c>
      <c r="T28" s="180" t="str">
        <f t="shared" si="1"/>
        <v/>
      </c>
      <c r="U28" s="180" t="str">
        <f t="shared" si="2"/>
        <v/>
      </c>
      <c r="V28" s="177"/>
      <c r="X28" s="180">
        <f t="shared" si="3"/>
        <v>-4.9400622410275573E-4</v>
      </c>
      <c r="Y28" s="180">
        <f t="shared" si="4"/>
        <v>0</v>
      </c>
    </row>
    <row r="29" spans="1:26" ht="15.6" x14ac:dyDescent="0.3">
      <c r="A29" s="152">
        <v>2017</v>
      </c>
      <c r="B29" s="178">
        <f t="shared" si="0"/>
        <v>0</v>
      </c>
      <c r="C29" s="182">
        <f>IFERROR(B29-B28,"")</f>
        <v>0</v>
      </c>
      <c r="D29" s="183"/>
      <c r="E29" s="179">
        <f t="shared" si="5"/>
        <v>-0.63165167231636588</v>
      </c>
      <c r="F29" s="183">
        <f>IFERROR(E29-E28,"")</f>
        <v>2.7302362752379405E-3</v>
      </c>
      <c r="G29" s="247">
        <f t="shared" si="6"/>
        <v>0.85</v>
      </c>
      <c r="H29" s="246"/>
      <c r="J29" s="182"/>
      <c r="K29" s="182"/>
      <c r="L29" s="182"/>
      <c r="M29" s="182"/>
      <c r="N29" s="163"/>
      <c r="O29" s="259">
        <f>IF($O$24="Y",IFERROR(E29*$O$16*'Emissions Factors'!B14,""),"")</f>
        <v>-4.8586681080618771E-4</v>
      </c>
      <c r="P29" s="259" t="str">
        <f>IF($P$24="Y",IFERROR($E29*(SUM($E$3,$E$4,$E$5)/SUMIF($G$3:$G$14,"Y",$E$3:$E$14))*('Emissions Factors'!$T$143*$P$16)/10^6,""),"")</f>
        <v/>
      </c>
      <c r="Q29" s="259">
        <f t="shared" si="7"/>
        <v>0</v>
      </c>
      <c r="R29" s="259">
        <f t="shared" si="8"/>
        <v>0</v>
      </c>
      <c r="T29" s="180" t="str">
        <f t="shared" si="1"/>
        <v/>
      </c>
      <c r="U29" s="180" t="str">
        <f t="shared" si="2"/>
        <v/>
      </c>
      <c r="V29" s="177"/>
      <c r="X29" s="180">
        <f t="shared" si="3"/>
        <v>-4.8586681080618771E-4</v>
      </c>
      <c r="Y29" s="180">
        <f t="shared" si="4"/>
        <v>0</v>
      </c>
    </row>
    <row r="30" spans="1:26" ht="15.6" x14ac:dyDescent="0.3">
      <c r="A30" s="152">
        <v>2018</v>
      </c>
      <c r="B30" s="178">
        <f t="shared" si="0"/>
        <v>0</v>
      </c>
      <c r="C30" s="182">
        <f t="shared" si="9"/>
        <v>0</v>
      </c>
      <c r="D30" s="183"/>
      <c r="E30" s="179">
        <f t="shared" si="5"/>
        <v>-0.62674841952975835</v>
      </c>
      <c r="F30" s="183">
        <f t="shared" si="10"/>
        <v>4.9032527866075259E-3</v>
      </c>
      <c r="G30" s="247">
        <f t="shared" si="6"/>
        <v>0.85</v>
      </c>
      <c r="H30" s="246"/>
      <c r="J30" s="182"/>
      <c r="K30" s="182"/>
      <c r="L30" s="182"/>
      <c r="M30" s="182"/>
      <c r="N30" s="163"/>
      <c r="O30" s="259">
        <f>IF($O$24="Y",IFERROR(E30*$O$16*'Emissions Factors'!B15,""),"")</f>
        <v>-4.7752929616216334E-4</v>
      </c>
      <c r="P30" s="259" t="str">
        <f>IF($P$24="Y",IFERROR($E30*(SUM($E$3,$E$4,$E$5)/SUMIF($G$3:$G$14,"Y",$E$3:$E$14))*('Emissions Factors'!$T$143*$P$16)/10^6,""),"")</f>
        <v/>
      </c>
      <c r="Q30" s="259">
        <f t="shared" si="7"/>
        <v>0</v>
      </c>
      <c r="R30" s="259">
        <f t="shared" si="8"/>
        <v>0</v>
      </c>
      <c r="T30" s="180" t="str">
        <f t="shared" si="1"/>
        <v/>
      </c>
      <c r="U30" s="180" t="str">
        <f t="shared" si="2"/>
        <v/>
      </c>
      <c r="V30" s="177"/>
      <c r="X30" s="180">
        <f t="shared" si="3"/>
        <v>-4.7752929616216334E-4</v>
      </c>
      <c r="Y30" s="180">
        <f t="shared" si="4"/>
        <v>0</v>
      </c>
    </row>
    <row r="31" spans="1:26" ht="15.6" x14ac:dyDescent="0.3">
      <c r="A31" s="152">
        <v>2019</v>
      </c>
      <c r="B31" s="178">
        <f t="shared" si="0"/>
        <v>0</v>
      </c>
      <c r="C31" s="182">
        <f t="shared" si="9"/>
        <v>0</v>
      </c>
      <c r="D31" s="183"/>
      <c r="E31" s="179">
        <f t="shared" si="5"/>
        <v>-0.62293877858901392</v>
      </c>
      <c r="F31" s="183">
        <f t="shared" si="10"/>
        <v>3.8096409407444298E-3</v>
      </c>
      <c r="G31" s="247">
        <f t="shared" si="6"/>
        <v>0.85</v>
      </c>
      <c r="H31" s="246"/>
      <c r="J31" s="182"/>
      <c r="K31" s="182"/>
      <c r="L31" s="182"/>
      <c r="M31" s="182"/>
      <c r="N31" s="163"/>
      <c r="O31" s="259">
        <f>IF($O$24="Y",IFERROR(E31*$O$16*'Emissions Factors'!B16,""),"")</f>
        <v>-4.7214866582532948E-4</v>
      </c>
      <c r="P31" s="259" t="str">
        <f>IF($P$24="Y",IFERROR($E31*(SUM($E$3,$E$4,$E$5)/SUMIF($G$3:$G$14,"Y",$E$3:$E$14))*('Emissions Factors'!$T$143*$P$16)/10^6,""),"")</f>
        <v/>
      </c>
      <c r="Q31" s="259">
        <f t="shared" si="7"/>
        <v>0</v>
      </c>
      <c r="R31" s="259">
        <f t="shared" si="8"/>
        <v>0</v>
      </c>
      <c r="T31" s="180" t="str">
        <f t="shared" si="1"/>
        <v/>
      </c>
      <c r="U31" s="180" t="str">
        <f t="shared" si="2"/>
        <v/>
      </c>
      <c r="V31" s="177"/>
      <c r="X31" s="180">
        <f t="shared" si="3"/>
        <v>-4.7214866582532948E-4</v>
      </c>
      <c r="Y31" s="180">
        <f t="shared" si="4"/>
        <v>0</v>
      </c>
    </row>
    <row r="32" spans="1:26" ht="15.6" x14ac:dyDescent="0.3">
      <c r="A32" s="152">
        <v>2020</v>
      </c>
      <c r="B32" s="178">
        <f t="shared" si="0"/>
        <v>0</v>
      </c>
      <c r="C32" s="182">
        <f t="shared" si="9"/>
        <v>0</v>
      </c>
      <c r="D32" s="183"/>
      <c r="E32" s="179">
        <f t="shared" si="5"/>
        <v>-0.62040141368051993</v>
      </c>
      <c r="F32" s="183">
        <f t="shared" si="10"/>
        <v>2.5373649084939887E-3</v>
      </c>
      <c r="G32" s="247">
        <f t="shared" si="6"/>
        <v>0.85</v>
      </c>
      <c r="H32" s="246"/>
      <c r="J32" s="182"/>
      <c r="K32" s="182"/>
      <c r="L32" s="182"/>
      <c r="M32" s="182"/>
      <c r="N32" s="163"/>
      <c r="O32" s="259">
        <f>IF($O$24="Y",IFERROR(E32*$O$16*'Emissions Factors'!B17,""),"")</f>
        <v>-4.6728161325569259E-4</v>
      </c>
      <c r="P32" s="259" t="str">
        <f>IF($P$24="Y",IFERROR($E32*(SUM($E$3,$E$4,$E$5)/SUMIF($G$3:$G$14,"Y",$E$3:$E$14))*('Emissions Factors'!$T$143*$P$16)/10^6,""),"")</f>
        <v/>
      </c>
      <c r="Q32" s="259">
        <f t="shared" si="7"/>
        <v>0</v>
      </c>
      <c r="R32" s="259">
        <f t="shared" si="8"/>
        <v>0</v>
      </c>
      <c r="T32" s="180">
        <f t="shared" si="1"/>
        <v>-4.6728161325569259E-4</v>
      </c>
      <c r="U32" s="180">
        <f t="shared" si="2"/>
        <v>0</v>
      </c>
      <c r="V32" s="177"/>
      <c r="X32" s="180">
        <f t="shared" si="3"/>
        <v>-4.6728161325569259E-4</v>
      </c>
      <c r="Y32" s="180">
        <f t="shared" si="4"/>
        <v>0</v>
      </c>
    </row>
    <row r="33" spans="1:25" ht="15.6" x14ac:dyDescent="0.3">
      <c r="A33" s="152">
        <v>2021</v>
      </c>
      <c r="B33" s="178">
        <f t="shared" si="0"/>
        <v>0</v>
      </c>
      <c r="C33" s="182">
        <f t="shared" si="9"/>
        <v>0</v>
      </c>
      <c r="D33" s="183"/>
      <c r="E33" s="179">
        <f t="shared" si="5"/>
        <v>196.51395995901771</v>
      </c>
      <c r="F33" s="183">
        <f t="shared" si="10"/>
        <v>197.13436137269824</v>
      </c>
      <c r="G33" s="247">
        <f t="shared" si="6"/>
        <v>0.30017776207879376</v>
      </c>
      <c r="H33" s="246"/>
      <c r="J33" s="182"/>
      <c r="K33" s="182"/>
      <c r="L33" s="182"/>
      <c r="M33" s="182"/>
      <c r="N33" s="163"/>
      <c r="O33" s="259">
        <f>IF($O$24="Y",IFERROR(E33*$O$16*'Emissions Factors'!B18,""),"")</f>
        <v>0.14712361177238986</v>
      </c>
      <c r="P33" s="259" t="str">
        <f>IF($P$24="Y",IFERROR($E33*(SUM($E$3,$E$4,$E$5)/SUMIF($G$3:$G$14,"Y",$E$3:$E$14))*('Emissions Factors'!$T$143*$P$16)/10^6,""),"")</f>
        <v/>
      </c>
      <c r="Q33" s="259">
        <f t="shared" si="7"/>
        <v>0</v>
      </c>
      <c r="R33" s="259">
        <f t="shared" si="8"/>
        <v>0</v>
      </c>
      <c r="T33" s="180">
        <f t="shared" si="1"/>
        <v>0.14712361177238986</v>
      </c>
      <c r="U33" s="180">
        <f t="shared" si="2"/>
        <v>0</v>
      </c>
      <c r="V33" s="177"/>
      <c r="X33" s="180">
        <f t="shared" si="3"/>
        <v>0.14712361177238986</v>
      </c>
      <c r="Y33" s="180">
        <f t="shared" si="4"/>
        <v>0</v>
      </c>
    </row>
    <row r="34" spans="1:25" ht="15.6" x14ac:dyDescent="0.3">
      <c r="A34" s="152">
        <v>2022</v>
      </c>
      <c r="B34" s="178">
        <f t="shared" si="0"/>
        <v>0</v>
      </c>
      <c r="C34" s="182">
        <f t="shared" si="9"/>
        <v>0</v>
      </c>
      <c r="D34" s="183"/>
      <c r="E34" s="179">
        <f t="shared" si="5"/>
        <v>466.90333199708641</v>
      </c>
      <c r="F34" s="183">
        <f t="shared" si="10"/>
        <v>270.3893720380687</v>
      </c>
      <c r="G34" s="247">
        <f t="shared" si="6"/>
        <v>0.31162479769670898</v>
      </c>
      <c r="H34" s="246"/>
      <c r="J34" s="182"/>
      <c r="K34" s="182"/>
      <c r="L34" s="182"/>
      <c r="M34" s="182"/>
      <c r="N34" s="163"/>
      <c r="O34" s="259">
        <f>IF($O$24="Y",IFERROR(E34*$O$16*'Emissions Factors'!B19,""),"")</f>
        <v>0.34747704540551222</v>
      </c>
      <c r="P34" s="259" t="str">
        <f>IF($P$24="Y",IFERROR($E34*(SUM($E$3,$E$4,$E$5)/SUMIF($G$3:$G$14,"Y",$E$3:$E$14))*('Emissions Factors'!$T$143*$P$16)/10^6,""),"")</f>
        <v/>
      </c>
      <c r="Q34" s="259">
        <f t="shared" si="7"/>
        <v>0</v>
      </c>
      <c r="R34" s="259">
        <f t="shared" si="8"/>
        <v>0</v>
      </c>
      <c r="T34" s="180">
        <f t="shared" si="1"/>
        <v>0.34747704540551222</v>
      </c>
      <c r="U34" s="180">
        <f t="shared" si="2"/>
        <v>0</v>
      </c>
      <c r="V34" s="177"/>
      <c r="X34" s="180">
        <f t="shared" si="3"/>
        <v>0.34747704540551222</v>
      </c>
      <c r="Y34" s="180">
        <f t="shared" si="4"/>
        <v>0</v>
      </c>
    </row>
    <row r="35" spans="1:25" ht="15.6" x14ac:dyDescent="0.3">
      <c r="A35" s="152">
        <v>2023</v>
      </c>
      <c r="B35" s="178">
        <f t="shared" si="0"/>
        <v>0</v>
      </c>
      <c r="C35" s="182">
        <f t="shared" si="9"/>
        <v>0</v>
      </c>
      <c r="D35" s="183"/>
      <c r="E35" s="179">
        <f>IFERROR(IF($F$17="Y",$E$17,$Y94)*(SUMIF($G$3:$G$14,"Y",$E$3:$E$14))*(B94-B146),0)</f>
        <v>802.14270130127272</v>
      </c>
      <c r="F35" s="183">
        <f t="shared" si="10"/>
        <v>335.23936930418631</v>
      </c>
      <c r="G35" s="247">
        <f t="shared" si="6"/>
        <v>0.3190090920219979</v>
      </c>
      <c r="H35" s="246"/>
      <c r="J35" s="182"/>
      <c r="K35" s="182"/>
      <c r="L35" s="182"/>
      <c r="M35" s="182"/>
      <c r="N35" s="163"/>
      <c r="O35" s="259">
        <f>IF($O$24="Y",IFERROR(E35*$O$16*'Emissions Factors'!B20,""),"")</f>
        <v>0.59348299330454302</v>
      </c>
      <c r="P35" s="259" t="str">
        <f>IF($P$24="Y",IFERROR($E35*(SUM($E$3,$E$4,$E$5)/SUMIF($G$3:$G$14,"Y",$E$3:$E$14))*('Emissions Factors'!$T$143*$P$16)/10^6,""),"")</f>
        <v/>
      </c>
      <c r="Q35" s="259">
        <f t="shared" si="7"/>
        <v>0</v>
      </c>
      <c r="R35" s="259">
        <f t="shared" si="8"/>
        <v>0</v>
      </c>
      <c r="T35" s="180">
        <f t="shared" si="1"/>
        <v>0.59348299330454302</v>
      </c>
      <c r="U35" s="180">
        <f t="shared" si="2"/>
        <v>0</v>
      </c>
      <c r="V35" s="177"/>
      <c r="X35" s="180">
        <f t="shared" si="3"/>
        <v>0.59348299330454302</v>
      </c>
      <c r="Y35" s="180">
        <f t="shared" si="4"/>
        <v>0</v>
      </c>
    </row>
    <row r="36" spans="1:25" ht="15.6" x14ac:dyDescent="0.3">
      <c r="A36" s="152">
        <v>2024</v>
      </c>
      <c r="B36" s="178">
        <f t="shared" si="0"/>
        <v>0</v>
      </c>
      <c r="C36" s="182">
        <f t="shared" si="9"/>
        <v>0</v>
      </c>
      <c r="D36" s="183"/>
      <c r="E36" s="179">
        <f t="shared" si="5"/>
        <v>1196.6894613366903</v>
      </c>
      <c r="F36" s="183">
        <f t="shared" si="10"/>
        <v>394.54676003541761</v>
      </c>
      <c r="G36" s="247">
        <f t="shared" si="6"/>
        <v>0.32358857626210913</v>
      </c>
      <c r="H36" s="246"/>
      <c r="J36" s="182"/>
      <c r="K36" s="182"/>
      <c r="L36" s="182"/>
      <c r="M36" s="182"/>
      <c r="N36" s="163"/>
      <c r="O36" s="259">
        <f>IF($O$24="Y",IFERROR(E36*$O$16*'Emissions Factors'!B21,""),"")</f>
        <v>0.88031482554581686</v>
      </c>
      <c r="P36" s="259" t="str">
        <f>IF($P$24="Y",IFERROR($E36*(SUM($E$3,$E$4,$E$5)/SUMIF($G$3:$G$14,"Y",$E$3:$E$14))*('Emissions Factors'!$T$143*$P$16)/10^6,""),"")</f>
        <v/>
      </c>
      <c r="Q36" s="259">
        <f t="shared" si="7"/>
        <v>0</v>
      </c>
      <c r="R36" s="259">
        <f t="shared" si="8"/>
        <v>0</v>
      </c>
      <c r="T36" s="180">
        <f t="shared" si="1"/>
        <v>0.88031482554581686</v>
      </c>
      <c r="U36" s="180">
        <f t="shared" si="2"/>
        <v>0</v>
      </c>
      <c r="V36" s="177"/>
      <c r="X36" s="180">
        <f t="shared" si="3"/>
        <v>0.88031482554581686</v>
      </c>
      <c r="Y36" s="180">
        <f t="shared" si="4"/>
        <v>0</v>
      </c>
    </row>
    <row r="37" spans="1:25" ht="15.6" x14ac:dyDescent="0.3">
      <c r="A37" s="152">
        <v>2025</v>
      </c>
      <c r="B37" s="178">
        <f t="shared" si="0"/>
        <v>0</v>
      </c>
      <c r="C37" s="182">
        <f t="shared" si="9"/>
        <v>0</v>
      </c>
      <c r="D37" s="183"/>
      <c r="E37" s="179">
        <f t="shared" si="5"/>
        <v>1646.8553462464179</v>
      </c>
      <c r="F37" s="183">
        <f t="shared" si="10"/>
        <v>450.16588490972754</v>
      </c>
      <c r="G37" s="247">
        <f t="shared" si="6"/>
        <v>0.32631594438206235</v>
      </c>
      <c r="H37" s="246"/>
      <c r="J37" s="182"/>
      <c r="K37" s="182"/>
      <c r="L37" s="182"/>
      <c r="M37" s="182"/>
      <c r="N37" s="163"/>
      <c r="O37" s="259">
        <f>IF($O$24="Y",IFERROR(E37*$O$16*'Emissions Factors'!B22,""),"")</f>
        <v>1.2053059043159109</v>
      </c>
      <c r="P37" s="259" t="str">
        <f>IF($P$24="Y",IFERROR($E37*(SUM($E$3,$E$4,$E$5)/SUMIF($G$3:$G$14,"Y",$E$3:$E$14))*('Emissions Factors'!$T$143*$P$16)/10^6,""),"")</f>
        <v/>
      </c>
      <c r="Q37" s="259">
        <f t="shared" si="7"/>
        <v>0</v>
      </c>
      <c r="R37" s="259">
        <f t="shared" si="8"/>
        <v>0</v>
      </c>
      <c r="T37" s="180">
        <f t="shared" si="1"/>
        <v>1.2053059043159109</v>
      </c>
      <c r="U37" s="180">
        <f t="shared" si="2"/>
        <v>0</v>
      </c>
      <c r="V37" s="177"/>
      <c r="X37" s="180">
        <f t="shared" si="3"/>
        <v>1.2053059043159109</v>
      </c>
      <c r="Y37" s="180">
        <f t="shared" si="4"/>
        <v>0</v>
      </c>
    </row>
    <row r="38" spans="1:25" ht="15.6" x14ac:dyDescent="0.3">
      <c r="A38" s="152">
        <v>2026</v>
      </c>
      <c r="B38" s="178">
        <f t="shared" si="0"/>
        <v>0</v>
      </c>
      <c r="C38" s="182">
        <f t="shared" si="9"/>
        <v>0</v>
      </c>
      <c r="D38" s="183"/>
      <c r="E38" s="179">
        <f t="shared" si="5"/>
        <v>2150.604271422485</v>
      </c>
      <c r="F38" s="183">
        <f t="shared" si="10"/>
        <v>503.74892517606713</v>
      </c>
      <c r="G38" s="247">
        <f t="shared" si="6"/>
        <v>0.32798326600876521</v>
      </c>
      <c r="H38" s="246"/>
      <c r="J38" s="182"/>
      <c r="K38" s="182"/>
      <c r="L38" s="182"/>
      <c r="M38" s="182"/>
      <c r="N38" s="163"/>
      <c r="O38" s="259">
        <f>IF($O$24="Y",IFERROR(E38*$O$16*'Emissions Factors'!B23,""),"")</f>
        <v>1.564320184647694</v>
      </c>
      <c r="P38" s="259" t="str">
        <f>IF($P$24="Y",IFERROR($E38*(SUM($E$3,$E$4,$E$5)/SUMIF($G$3:$G$14,"Y",$E$3:$E$14))*('Emissions Factors'!$T$143*$P$16)/10^6,""),"")</f>
        <v/>
      </c>
      <c r="Q38" s="259">
        <f t="shared" si="7"/>
        <v>0</v>
      </c>
      <c r="R38" s="259">
        <f t="shared" si="8"/>
        <v>0</v>
      </c>
      <c r="T38" s="180">
        <f t="shared" si="1"/>
        <v>1.564320184647694</v>
      </c>
      <c r="U38" s="180">
        <f t="shared" si="2"/>
        <v>0</v>
      </c>
      <c r="V38" s="177"/>
      <c r="X38" s="180">
        <f t="shared" si="3"/>
        <v>1.564320184647694</v>
      </c>
      <c r="Y38" s="180">
        <f t="shared" si="4"/>
        <v>0</v>
      </c>
    </row>
    <row r="39" spans="1:25" ht="15.6" x14ac:dyDescent="0.3">
      <c r="A39" s="152">
        <v>2027</v>
      </c>
      <c r="B39" s="178">
        <f t="shared" si="0"/>
        <v>0</v>
      </c>
      <c r="C39" s="182">
        <f t="shared" si="9"/>
        <v>0</v>
      </c>
      <c r="D39" s="183"/>
      <c r="E39" s="179">
        <f t="shared" si="5"/>
        <v>2707.660832355662</v>
      </c>
      <c r="F39" s="183">
        <f t="shared" si="10"/>
        <v>557.05656093317702</v>
      </c>
      <c r="G39" s="247">
        <f t="shared" si="6"/>
        <v>0.32916360420823987</v>
      </c>
      <c r="H39" s="246"/>
      <c r="J39" s="182"/>
      <c r="K39" s="182"/>
      <c r="L39" s="182"/>
      <c r="M39" s="182"/>
      <c r="N39" s="163"/>
      <c r="O39" s="259">
        <f>IF($O$24="Y",IFERROR(E39*$O$16*'Emissions Factors'!B24,""),"")</f>
        <v>1.9586615295321776</v>
      </c>
      <c r="P39" s="259" t="str">
        <f>IF($P$24="Y",IFERROR($E39*(SUM($E$3,$E$4,$E$5)/SUMIF($G$3:$G$14,"Y",$E$3:$E$14))*('Emissions Factors'!$T$143*$P$16)/10^6,""),"")</f>
        <v/>
      </c>
      <c r="Q39" s="259">
        <f t="shared" si="7"/>
        <v>0</v>
      </c>
      <c r="R39" s="259">
        <f t="shared" si="8"/>
        <v>0</v>
      </c>
      <c r="T39" s="180">
        <f t="shared" si="1"/>
        <v>1.9586615295321776</v>
      </c>
      <c r="U39" s="180">
        <f t="shared" si="2"/>
        <v>0</v>
      </c>
      <c r="V39" s="177"/>
      <c r="X39" s="180">
        <f t="shared" si="3"/>
        <v>1.9586615295321776</v>
      </c>
      <c r="Y39" s="180">
        <f t="shared" si="4"/>
        <v>0</v>
      </c>
    </row>
    <row r="40" spans="1:25" ht="15.6" x14ac:dyDescent="0.3">
      <c r="A40" s="152">
        <v>2028</v>
      </c>
      <c r="B40" s="178">
        <f t="shared" si="0"/>
        <v>0</v>
      </c>
      <c r="C40" s="182">
        <f t="shared" si="9"/>
        <v>0</v>
      </c>
      <c r="D40" s="183"/>
      <c r="E40" s="179">
        <f t="shared" si="5"/>
        <v>3320.1763718584625</v>
      </c>
      <c r="F40" s="183">
        <f t="shared" si="10"/>
        <v>612.51553950280049</v>
      </c>
      <c r="G40" s="247">
        <f t="shared" si="6"/>
        <v>0.33015492840652166</v>
      </c>
      <c r="H40" s="246"/>
      <c r="J40" s="182"/>
      <c r="K40" s="182"/>
      <c r="L40" s="182"/>
      <c r="M40" s="182"/>
      <c r="N40" s="163"/>
      <c r="O40" s="259">
        <f>IF($O$24="Y",IFERROR(E40*$O$16*'Emissions Factors'!B25,""),"")</f>
        <v>2.3886429625750143</v>
      </c>
      <c r="P40" s="259" t="str">
        <f>IF($P$24="Y",IFERROR($E40*(SUM($E$3,$E$4,$E$5)/SUMIF($G$3:$G$14,"Y",$E$3:$E$14))*('Emissions Factors'!$T$143*$P$16)/10^6,""),"")</f>
        <v/>
      </c>
      <c r="Q40" s="259">
        <f t="shared" si="7"/>
        <v>0</v>
      </c>
      <c r="R40" s="259">
        <f t="shared" si="8"/>
        <v>0</v>
      </c>
      <c r="T40" s="180">
        <f t="shared" si="1"/>
        <v>2.3886429625750143</v>
      </c>
      <c r="U40" s="180">
        <f t="shared" si="2"/>
        <v>0</v>
      </c>
      <c r="V40" s="177"/>
      <c r="X40" s="180">
        <f t="shared" si="3"/>
        <v>2.3886429625750143</v>
      </c>
      <c r="Y40" s="180">
        <f t="shared" si="4"/>
        <v>0</v>
      </c>
    </row>
    <row r="41" spans="1:25" ht="15.6" x14ac:dyDescent="0.3">
      <c r="A41" s="152">
        <v>2029</v>
      </c>
      <c r="B41" s="178">
        <f t="shared" si="0"/>
        <v>0</v>
      </c>
      <c r="C41" s="182">
        <f t="shared" si="9"/>
        <v>0</v>
      </c>
      <c r="D41" s="183"/>
      <c r="E41" s="179">
        <f t="shared" si="5"/>
        <v>3991.9027446259911</v>
      </c>
      <c r="F41" s="183">
        <f t="shared" si="10"/>
        <v>671.72637276752857</v>
      </c>
      <c r="G41" s="247">
        <f t="shared" si="6"/>
        <v>0.33117086706451937</v>
      </c>
      <c r="H41" s="246"/>
      <c r="J41" s="182"/>
      <c r="K41" s="182"/>
      <c r="L41" s="182"/>
      <c r="M41" s="182"/>
      <c r="N41" s="163"/>
      <c r="O41" s="259">
        <f>IF($O$24="Y",IFERROR(E41*$O$16*'Emissions Factors'!B26,""),"")</f>
        <v>2.856380437235853</v>
      </c>
      <c r="P41" s="259" t="str">
        <f>IF($P$24="Y",IFERROR($E41*(SUM($E$3,$E$4,$E$5)/SUMIF($G$3:$G$14,"Y",$E$3:$E$14))*('Emissions Factors'!$T$143*$P$16)/10^6,""),"")</f>
        <v/>
      </c>
      <c r="Q41" s="259">
        <f t="shared" si="7"/>
        <v>0</v>
      </c>
      <c r="R41" s="259">
        <f t="shared" si="8"/>
        <v>0</v>
      </c>
      <c r="T41" s="180">
        <f t="shared" si="1"/>
        <v>2.856380437235853</v>
      </c>
      <c r="U41" s="180">
        <f t="shared" si="2"/>
        <v>0</v>
      </c>
      <c r="V41" s="177"/>
      <c r="X41" s="180">
        <f t="shared" si="3"/>
        <v>2.856380437235853</v>
      </c>
      <c r="Y41" s="180">
        <f t="shared" si="4"/>
        <v>0</v>
      </c>
    </row>
    <row r="42" spans="1:25" ht="15.6" x14ac:dyDescent="0.3">
      <c r="A42" s="152">
        <v>2030</v>
      </c>
      <c r="B42" s="178">
        <f t="shared" si="0"/>
        <v>0</v>
      </c>
      <c r="C42" s="182">
        <f t="shared" si="9"/>
        <v>0</v>
      </c>
      <c r="D42" s="183"/>
      <c r="E42" s="179">
        <f t="shared" si="5"/>
        <v>4726.7105167448826</v>
      </c>
      <c r="F42" s="183">
        <f t="shared" si="10"/>
        <v>734.80777211889153</v>
      </c>
      <c r="G42" s="247">
        <f t="shared" si="6"/>
        <v>0.3323009628992929</v>
      </c>
      <c r="H42" s="246"/>
      <c r="J42" s="182"/>
      <c r="K42" s="182"/>
      <c r="L42" s="182"/>
      <c r="M42" s="182"/>
      <c r="N42" s="163"/>
      <c r="O42" s="259">
        <f>IF($O$24="Y",IFERROR(E42*$O$16*'Emissions Factors'!B27,""),"")</f>
        <v>3.364803333245348</v>
      </c>
      <c r="P42" s="259" t="str">
        <f>IF($P$24="Y",IFERROR($E42*(SUM($E$3,$E$4,$E$5)/SUMIF($G$3:$G$14,"Y",$E$3:$E$14))*('Emissions Factors'!$T$143*$P$16)/10^6,""),"")</f>
        <v/>
      </c>
      <c r="Q42" s="259">
        <f t="shared" si="7"/>
        <v>0</v>
      </c>
      <c r="R42" s="259">
        <f t="shared" si="8"/>
        <v>0</v>
      </c>
      <c r="T42" s="180">
        <f t="shared" si="1"/>
        <v>3.364803333245348</v>
      </c>
      <c r="U42" s="180">
        <f t="shared" si="2"/>
        <v>0</v>
      </c>
      <c r="V42" s="177"/>
      <c r="X42" s="180">
        <f t="shared" si="3"/>
        <v>3.364803333245348</v>
      </c>
      <c r="Y42" s="180">
        <f t="shared" si="4"/>
        <v>0</v>
      </c>
    </row>
    <row r="43" spans="1:25" ht="15.6" x14ac:dyDescent="0.3">
      <c r="A43" s="152">
        <v>2031</v>
      </c>
      <c r="B43" s="178">
        <f t="shared" si="0"/>
        <v>0</v>
      </c>
      <c r="C43" s="182">
        <f t="shared" si="9"/>
        <v>0</v>
      </c>
      <c r="D43" s="183"/>
      <c r="E43" s="179">
        <f t="shared" si="5"/>
        <v>5526.3388831919501</v>
      </c>
      <c r="F43" s="183">
        <f t="shared" si="10"/>
        <v>799.62836644706749</v>
      </c>
      <c r="G43" s="247">
        <f t="shared" si="6"/>
        <v>0.33350840314108515</v>
      </c>
      <c r="H43" s="246"/>
      <c r="J43" s="182"/>
      <c r="K43" s="182"/>
      <c r="L43" s="182"/>
      <c r="M43" s="182"/>
      <c r="N43" s="163"/>
      <c r="O43" s="259">
        <f>IF($O$24="Y",IFERROR(E43*$O$16*'Emissions Factors'!B28,""),"")</f>
        <v>3.9121356085673842</v>
      </c>
      <c r="P43" s="259" t="str">
        <f>IF($P$24="Y",IFERROR($E43*(SUM($E$3,$E$4,$E$5)/SUMIF($G$3:$G$14,"Y",$E$3:$E$14))*('Emissions Factors'!$T$143*$P$16)/10^6,""),"")</f>
        <v/>
      </c>
      <c r="Q43" s="259">
        <f t="shared" si="7"/>
        <v>0</v>
      </c>
      <c r="R43" s="259">
        <f t="shared" si="8"/>
        <v>0</v>
      </c>
      <c r="T43" s="180">
        <f t="shared" si="1"/>
        <v>3.9121356085673842</v>
      </c>
      <c r="U43" s="180">
        <f t="shared" si="2"/>
        <v>0</v>
      </c>
      <c r="V43" s="177"/>
      <c r="X43" s="180">
        <f t="shared" si="3"/>
        <v>3.9121356085673842</v>
      </c>
      <c r="Y43" s="180">
        <f t="shared" si="4"/>
        <v>0</v>
      </c>
    </row>
    <row r="44" spans="1:25" ht="15.6" x14ac:dyDescent="0.3">
      <c r="A44" s="152">
        <v>2032</v>
      </c>
      <c r="B44" s="178">
        <f t="shared" si="0"/>
        <v>0</v>
      </c>
      <c r="C44" s="182">
        <f t="shared" si="9"/>
        <v>0</v>
      </c>
      <c r="D44" s="183"/>
      <c r="E44" s="179">
        <f t="shared" si="5"/>
        <v>6388.2839482088193</v>
      </c>
      <c r="F44" s="183">
        <f t="shared" si="10"/>
        <v>861.94506501686919</v>
      </c>
      <c r="G44" s="247">
        <f t="shared" si="6"/>
        <v>0.33472648738825822</v>
      </c>
      <c r="H44" s="246"/>
      <c r="J44" s="182"/>
      <c r="K44" s="182"/>
      <c r="L44" s="182"/>
      <c r="M44" s="182"/>
      <c r="N44" s="163"/>
      <c r="O44" s="259">
        <f>IF($O$24="Y",IFERROR(E44*$O$16*'Emissions Factors'!B29,""),"")</f>
        <v>4.4982929723156593</v>
      </c>
      <c r="P44" s="259" t="str">
        <f>IF($P$24="Y",IFERROR($E44*(SUM($E$3,$E$4,$E$5)/SUMIF($G$3:$G$14,"Y",$E$3:$E$14))*('Emissions Factors'!$T$143*$P$16)/10^6,""),"")</f>
        <v/>
      </c>
      <c r="Q44" s="259">
        <f t="shared" si="7"/>
        <v>0</v>
      </c>
      <c r="R44" s="259">
        <f t="shared" si="8"/>
        <v>0</v>
      </c>
      <c r="T44" s="180">
        <f t="shared" si="1"/>
        <v>4.4982929723156593</v>
      </c>
      <c r="U44" s="180">
        <f t="shared" si="2"/>
        <v>0</v>
      </c>
      <c r="V44" s="177"/>
      <c r="X44" s="180">
        <f t="shared" si="3"/>
        <v>4.4982929723156593</v>
      </c>
      <c r="Y44" s="180">
        <f t="shared" si="4"/>
        <v>0</v>
      </c>
    </row>
    <row r="45" spans="1:25" ht="15.6" x14ac:dyDescent="0.3">
      <c r="A45" s="152">
        <v>2033</v>
      </c>
      <c r="B45" s="178">
        <f t="shared" si="0"/>
        <v>0</v>
      </c>
      <c r="C45" s="182">
        <f t="shared" si="9"/>
        <v>0</v>
      </c>
      <c r="D45" s="183"/>
      <c r="E45" s="179">
        <f t="shared" si="5"/>
        <v>7304.2000478858108</v>
      </c>
      <c r="F45" s="183">
        <f t="shared" si="10"/>
        <v>915.91609967699151</v>
      </c>
      <c r="G45" s="247">
        <f t="shared" si="6"/>
        <v>0.33591469168686733</v>
      </c>
      <c r="H45" s="246"/>
      <c r="J45" s="182"/>
      <c r="K45" s="182"/>
      <c r="L45" s="182"/>
      <c r="M45" s="182"/>
      <c r="N45" s="163"/>
      <c r="O45" s="259">
        <f>IF($O$24="Y",IFERROR(E45*$O$16*'Emissions Factors'!B30,""),"")</f>
        <v>5.1159946401368686</v>
      </c>
      <c r="P45" s="259" t="str">
        <f>IF($P$24="Y",IFERROR($E45*(SUM($E$3,$E$4,$E$5)/SUMIF($G$3:$G$14,"Y",$E$3:$E$14))*('Emissions Factors'!$T$143*$P$16)/10^6,""),"")</f>
        <v/>
      </c>
      <c r="Q45" s="259">
        <f t="shared" si="7"/>
        <v>0</v>
      </c>
      <c r="R45" s="259">
        <f t="shared" si="8"/>
        <v>0</v>
      </c>
      <c r="T45" s="180">
        <f t="shared" si="1"/>
        <v>5.1159946401368686</v>
      </c>
      <c r="U45" s="180">
        <f t="shared" si="2"/>
        <v>0</v>
      </c>
      <c r="V45" s="177"/>
      <c r="X45" s="180">
        <f t="shared" si="3"/>
        <v>5.1159946401368686</v>
      </c>
      <c r="Y45" s="180">
        <f t="shared" si="4"/>
        <v>0</v>
      </c>
    </row>
    <row r="46" spans="1:25" ht="15.6" x14ac:dyDescent="0.3">
      <c r="A46" s="152">
        <v>2034</v>
      </c>
      <c r="B46" s="178">
        <f t="shared" si="0"/>
        <v>0</v>
      </c>
      <c r="C46" s="182">
        <f t="shared" si="9"/>
        <v>0</v>
      </c>
      <c r="D46" s="183"/>
      <c r="E46" s="179">
        <f t="shared" si="5"/>
        <v>8262.1580306108517</v>
      </c>
      <c r="F46" s="183">
        <f t="shared" si="10"/>
        <v>957.95798272504089</v>
      </c>
      <c r="G46" s="247">
        <f t="shared" si="6"/>
        <v>0.33704457251353143</v>
      </c>
      <c r="H46" s="246"/>
      <c r="J46" s="182"/>
      <c r="K46" s="182"/>
      <c r="L46" s="182"/>
      <c r="M46" s="182"/>
      <c r="N46" s="163"/>
      <c r="O46" s="259">
        <f>IF($O$24="Y",IFERROR(E46*$O$16*'Emissions Factors'!B31,""),"")</f>
        <v>5.756364226540768</v>
      </c>
      <c r="P46" s="259" t="str">
        <f>IF($P$24="Y",IFERROR($E46*(SUM($E$3,$E$4,$E$5)/SUMIF($G$3:$G$14,"Y",$E$3:$E$14))*('Emissions Factors'!$T$143*$P$16)/10^6,""),"")</f>
        <v/>
      </c>
      <c r="Q46" s="259">
        <f t="shared" si="7"/>
        <v>0</v>
      </c>
      <c r="R46" s="259">
        <f t="shared" si="8"/>
        <v>0</v>
      </c>
      <c r="T46" s="180">
        <f t="shared" si="1"/>
        <v>5.756364226540768</v>
      </c>
      <c r="U46" s="180">
        <f t="shared" si="2"/>
        <v>0</v>
      </c>
      <c r="V46" s="177"/>
      <c r="X46" s="180">
        <f t="shared" si="3"/>
        <v>5.756364226540768</v>
      </c>
      <c r="Y46" s="180">
        <f t="shared" si="4"/>
        <v>0</v>
      </c>
    </row>
    <row r="47" spans="1:25" ht="15.6" x14ac:dyDescent="0.3">
      <c r="A47" s="152">
        <v>2035</v>
      </c>
      <c r="B47" s="178">
        <f t="shared" si="0"/>
        <v>0</v>
      </c>
      <c r="C47" s="182">
        <f t="shared" si="9"/>
        <v>0</v>
      </c>
      <c r="D47" s="183"/>
      <c r="E47" s="179">
        <f t="shared" si="5"/>
        <v>9253.6653675049238</v>
      </c>
      <c r="F47" s="183">
        <f t="shared" si="10"/>
        <v>991.50733689407207</v>
      </c>
      <c r="G47" s="247">
        <f t="shared" si="6"/>
        <v>0.3381224043498402</v>
      </c>
      <c r="H47" s="246"/>
      <c r="J47" s="182"/>
      <c r="K47" s="182"/>
      <c r="L47" s="182"/>
      <c r="M47" s="182"/>
      <c r="N47" s="163"/>
      <c r="O47" s="259">
        <f>IF($O$24="Y",IFERROR(E47*$O$16*'Emissions Factors'!B32,""),"")</f>
        <v>6.4121340374373101</v>
      </c>
      <c r="P47" s="259" t="str">
        <f>IF($P$24="Y",IFERROR($E47*(SUM($E$3,$E$4,$E$5)/SUMIF($G$3:$G$14,"Y",$E$3:$E$14))*('Emissions Factors'!$T$143*$P$16)/10^6,""),"")</f>
        <v/>
      </c>
      <c r="Q47" s="259">
        <f t="shared" si="7"/>
        <v>0</v>
      </c>
      <c r="R47" s="259">
        <f t="shared" si="8"/>
        <v>0</v>
      </c>
      <c r="T47" s="180">
        <f t="shared" si="1"/>
        <v>6.4121340374373101</v>
      </c>
      <c r="U47" s="180">
        <f t="shared" si="2"/>
        <v>0</v>
      </c>
      <c r="V47" s="177"/>
      <c r="X47" s="180">
        <f t="shared" si="3"/>
        <v>6.4121340374373101</v>
      </c>
      <c r="Y47" s="180">
        <f t="shared" si="4"/>
        <v>0</v>
      </c>
    </row>
    <row r="48" spans="1:25" ht="15.6" x14ac:dyDescent="0.3">
      <c r="A48" s="152">
        <v>2036</v>
      </c>
      <c r="B48" s="178">
        <f t="shared" si="0"/>
        <v>0</v>
      </c>
      <c r="C48" s="182">
        <f t="shared" si="9"/>
        <v>0</v>
      </c>
      <c r="D48" s="183"/>
      <c r="E48" s="179">
        <f t="shared" si="5"/>
        <v>10276.173612503439</v>
      </c>
      <c r="F48" s="183">
        <f t="shared" si="10"/>
        <v>1022.5082449985148</v>
      </c>
      <c r="G48" s="247">
        <f t="shared" si="6"/>
        <v>0.33918311481645042</v>
      </c>
      <c r="H48" s="246"/>
      <c r="J48" s="182"/>
      <c r="K48" s="182"/>
      <c r="L48" s="182"/>
      <c r="M48" s="182"/>
      <c r="N48" s="163"/>
      <c r="O48" s="259">
        <f>IF($O$24="Y",IFERROR(E48*$O$16*'Emissions Factors'!B33,""),"")</f>
        <v>7.0837756975382327</v>
      </c>
      <c r="P48" s="259" t="str">
        <f>IF($P$24="Y",IFERROR($E48*(SUM($E$3,$E$4,$E$5)/SUMIF($G$3:$G$14,"Y",$E$3:$E$14))*('Emissions Factors'!$T$143*$P$16)/10^6,""),"")</f>
        <v/>
      </c>
      <c r="Q48" s="259">
        <f t="shared" si="7"/>
        <v>0</v>
      </c>
      <c r="R48" s="259">
        <f t="shared" si="8"/>
        <v>0</v>
      </c>
      <c r="T48" s="180">
        <f t="shared" si="1"/>
        <v>7.0837756975382327</v>
      </c>
      <c r="U48" s="180">
        <f t="shared" si="2"/>
        <v>0</v>
      </c>
      <c r="V48" s="177"/>
      <c r="X48" s="180">
        <f t="shared" si="3"/>
        <v>7.0837756975382327</v>
      </c>
      <c r="Y48" s="180">
        <f t="shared" si="4"/>
        <v>0</v>
      </c>
    </row>
    <row r="49" spans="1:25" ht="15.6" x14ac:dyDescent="0.3">
      <c r="A49" s="152">
        <v>2037</v>
      </c>
      <c r="B49" s="178">
        <f t="shared" si="0"/>
        <v>0</v>
      </c>
      <c r="C49" s="182">
        <f t="shared" si="9"/>
        <v>0</v>
      </c>
      <c r="D49" s="183"/>
      <c r="E49" s="179">
        <f t="shared" si="5"/>
        <v>11333.739710022497</v>
      </c>
      <c r="F49" s="183">
        <f t="shared" si="10"/>
        <v>1057.5660975190585</v>
      </c>
      <c r="G49" s="247">
        <f t="shared" si="6"/>
        <v>0.34026723384243418</v>
      </c>
      <c r="H49" s="246"/>
      <c r="J49" s="182"/>
      <c r="K49" s="182"/>
      <c r="L49" s="182"/>
      <c r="M49" s="182"/>
      <c r="N49" s="163"/>
      <c r="O49" s="259">
        <f>IF($O$24="Y",IFERROR(E49*$O$16*'Emissions Factors'!B34,""),"")</f>
        <v>7.7711397158639297</v>
      </c>
      <c r="P49" s="259" t="str">
        <f>IF($P$24="Y",IFERROR($E49*(SUM($E$3,$E$4,$E$5)/SUMIF($G$3:$G$14,"Y",$E$3:$E$14))*('Emissions Factors'!$T$143*$P$16)/10^6,""),"")</f>
        <v/>
      </c>
      <c r="Q49" s="259">
        <f t="shared" si="7"/>
        <v>0</v>
      </c>
      <c r="R49" s="259">
        <f t="shared" si="8"/>
        <v>0</v>
      </c>
      <c r="T49" s="180">
        <f t="shared" si="1"/>
        <v>7.7711397158639297</v>
      </c>
      <c r="U49" s="180">
        <f t="shared" si="2"/>
        <v>0</v>
      </c>
      <c r="V49" s="177"/>
      <c r="X49" s="180">
        <f t="shared" si="3"/>
        <v>7.7711397158639297</v>
      </c>
      <c r="Y49" s="180">
        <f t="shared" si="4"/>
        <v>0</v>
      </c>
    </row>
    <row r="50" spans="1:25" ht="15.6" x14ac:dyDescent="0.3">
      <c r="A50" s="152">
        <v>2038</v>
      </c>
      <c r="B50" s="178">
        <f t="shared" si="0"/>
        <v>0</v>
      </c>
      <c r="C50" s="182">
        <f t="shared" si="9"/>
        <v>0</v>
      </c>
      <c r="D50" s="183"/>
      <c r="E50" s="179">
        <f t="shared" si="5"/>
        <v>12432.786039607943</v>
      </c>
      <c r="F50" s="183">
        <f t="shared" si="10"/>
        <v>1099.0463295854461</v>
      </c>
      <c r="G50" s="247">
        <f t="shared" si="6"/>
        <v>0.34139665327164914</v>
      </c>
      <c r="H50" s="246"/>
      <c r="J50" s="182"/>
      <c r="K50" s="182"/>
      <c r="L50" s="182"/>
      <c r="M50" s="182"/>
      <c r="N50" s="163"/>
      <c r="O50" s="259">
        <f>IF($O$24="Y",IFERROR(E50*$O$16*'Emissions Factors'!B35,""),"")</f>
        <v>8.4790624390569747</v>
      </c>
      <c r="P50" s="259" t="str">
        <f>IF($P$24="Y",IFERROR($E50*(SUM($E$3,$E$4,$E$5)/SUMIF($G$3:$G$14,"Y",$E$3:$E$14))*('Emissions Factors'!$T$143*$P$16)/10^6,""),"")</f>
        <v/>
      </c>
      <c r="Q50" s="259">
        <f t="shared" si="7"/>
        <v>0</v>
      </c>
      <c r="R50" s="259">
        <f t="shared" si="8"/>
        <v>0</v>
      </c>
      <c r="T50" s="180">
        <f t="shared" si="1"/>
        <v>8.4790624390569747</v>
      </c>
      <c r="U50" s="180">
        <f t="shared" si="2"/>
        <v>0</v>
      </c>
      <c r="V50" s="177"/>
      <c r="X50" s="180">
        <f t="shared" si="3"/>
        <v>8.4790624390569747</v>
      </c>
      <c r="Y50" s="180">
        <f t="shared" si="4"/>
        <v>0</v>
      </c>
    </row>
    <row r="51" spans="1:25" ht="15.6" x14ac:dyDescent="0.3">
      <c r="A51" s="152">
        <v>2039</v>
      </c>
      <c r="B51" s="178">
        <f t="shared" si="0"/>
        <v>0</v>
      </c>
      <c r="C51" s="182">
        <f t="shared" si="9"/>
        <v>0</v>
      </c>
      <c r="D51" s="183"/>
      <c r="E51" s="179">
        <f t="shared" si="5"/>
        <v>13583.426276933942</v>
      </c>
      <c r="F51" s="183">
        <f t="shared" si="10"/>
        <v>1150.6402373259989</v>
      </c>
      <c r="G51" s="247">
        <f t="shared" si="6"/>
        <v>0.34258864224090479</v>
      </c>
      <c r="H51" s="246"/>
      <c r="J51" s="182"/>
      <c r="K51" s="182"/>
      <c r="L51" s="182"/>
      <c r="M51" s="182"/>
      <c r="N51" s="163"/>
      <c r="O51" s="259">
        <f>IF($O$24="Y",IFERROR(E51*$O$16*'Emissions Factors'!B36,""),"")</f>
        <v>9.2136635172964159</v>
      </c>
      <c r="P51" s="259" t="str">
        <f>IF($P$24="Y",IFERROR($E51*(SUM($E$3,$E$4,$E$5)/SUMIF($G$3:$G$14,"Y",$E$3:$E$14))*('Emissions Factors'!$T$143*$P$16)/10^6,""),"")</f>
        <v/>
      </c>
      <c r="Q51" s="259">
        <f t="shared" si="7"/>
        <v>0</v>
      </c>
      <c r="R51" s="259">
        <f t="shared" si="8"/>
        <v>0</v>
      </c>
      <c r="T51" s="180">
        <f t="shared" si="1"/>
        <v>9.2136635172964159</v>
      </c>
      <c r="U51" s="180">
        <f t="shared" si="2"/>
        <v>0</v>
      </c>
      <c r="V51" s="177"/>
      <c r="X51" s="180">
        <f t="shared" si="3"/>
        <v>9.2136635172964159</v>
      </c>
      <c r="Y51" s="180">
        <f t="shared" si="4"/>
        <v>0</v>
      </c>
    </row>
    <row r="52" spans="1:25" ht="15.6" x14ac:dyDescent="0.3">
      <c r="A52" s="152">
        <v>2040</v>
      </c>
      <c r="B52" s="178">
        <f t="shared" si="0"/>
        <v>0</v>
      </c>
      <c r="C52" s="182">
        <f t="shared" si="9"/>
        <v>0</v>
      </c>
      <c r="D52" s="183"/>
      <c r="E52" s="179">
        <f t="shared" si="5"/>
        <v>14795.005981682452</v>
      </c>
      <c r="F52" s="183">
        <f t="shared" si="10"/>
        <v>1211.5797047485103</v>
      </c>
      <c r="G52" s="247">
        <f t="shared" si="6"/>
        <v>0.34385399365902708</v>
      </c>
      <c r="H52" s="246"/>
      <c r="J52" s="182"/>
      <c r="K52" s="182"/>
      <c r="L52" s="182"/>
      <c r="M52" s="182"/>
      <c r="N52" s="163"/>
      <c r="O52" s="259">
        <f>IF($O$24="Y",IFERROR(E52*$O$16*'Emissions Factors'!B37,""),"")</f>
        <v>9.9768803830897248</v>
      </c>
      <c r="P52" s="259" t="str">
        <f>IF($P$24="Y",IFERROR($E52*(SUM($E$3,$E$4,$E$5)/SUMIF($G$3:$G$14,"Y",$E$3:$E$14))*('Emissions Factors'!$T$143*$P$16)/10^6,""),"")</f>
        <v/>
      </c>
      <c r="Q52" s="259">
        <f t="shared" si="7"/>
        <v>0</v>
      </c>
      <c r="R52" s="259">
        <f t="shared" si="8"/>
        <v>0</v>
      </c>
      <c r="T52" s="180">
        <f t="shared" si="1"/>
        <v>9.9768803830897248</v>
      </c>
      <c r="U52" s="180">
        <f t="shared" si="2"/>
        <v>0</v>
      </c>
      <c r="V52" s="177"/>
      <c r="X52" s="180">
        <f t="shared" si="3"/>
        <v>9.9768803830897248</v>
      </c>
      <c r="Y52" s="180">
        <f t="shared" si="4"/>
        <v>0</v>
      </c>
    </row>
    <row r="53" spans="1:25" ht="15.6" x14ac:dyDescent="0.3">
      <c r="A53" s="152">
        <v>2041</v>
      </c>
      <c r="B53" s="178">
        <f t="shared" si="0"/>
        <v>0</v>
      </c>
      <c r="C53" s="182">
        <f t="shared" si="9"/>
        <v>0</v>
      </c>
      <c r="D53" s="183"/>
      <c r="E53" s="179">
        <f t="shared" si="5"/>
        <v>16071.787546502463</v>
      </c>
      <c r="F53" s="183">
        <f t="shared" si="10"/>
        <v>1276.7815648200103</v>
      </c>
      <c r="G53" s="247">
        <f t="shared" si="6"/>
        <v>0.34518992210039368</v>
      </c>
      <c r="H53" s="246"/>
      <c r="J53" s="182"/>
      <c r="K53" s="182"/>
      <c r="L53" s="182"/>
      <c r="M53" s="182"/>
      <c r="N53" s="163"/>
      <c r="O53" s="259">
        <f>IF($O$24="Y",IFERROR(E53*$O$16*'Emissions Factors'!B38,""),"")</f>
        <v>10.782845843029373</v>
      </c>
      <c r="P53" s="259" t="str">
        <f>IF($P$24="Y",IFERROR($E53*(SUM($E$3,$E$4,$E$5)/SUMIF($G$3:$G$14,"Y",$E$3:$E$14))*('Emissions Factors'!$T$143*$P$16)/10^6,""),"")</f>
        <v/>
      </c>
      <c r="Q53" s="259">
        <f t="shared" si="7"/>
        <v>0</v>
      </c>
      <c r="R53" s="259">
        <f t="shared" si="8"/>
        <v>0</v>
      </c>
      <c r="T53" s="180">
        <f t="shared" si="1"/>
        <v>10.782845843029373</v>
      </c>
      <c r="U53" s="180">
        <f t="shared" si="2"/>
        <v>0</v>
      </c>
      <c r="V53" s="177"/>
      <c r="X53" s="180">
        <f t="shared" si="3"/>
        <v>10.782845843029373</v>
      </c>
      <c r="Y53" s="180">
        <f t="shared" si="4"/>
        <v>0</v>
      </c>
    </row>
    <row r="54" spans="1:25" ht="15.6" x14ac:dyDescent="0.3">
      <c r="A54" s="152">
        <v>2042</v>
      </c>
      <c r="B54" s="178">
        <f t="shared" si="0"/>
        <v>0</v>
      </c>
      <c r="C54" s="182">
        <f t="shared" si="9"/>
        <v>0</v>
      </c>
      <c r="D54" s="183"/>
      <c r="E54" s="179">
        <f t="shared" si="5"/>
        <v>17417.310263809337</v>
      </c>
      <c r="F54" s="183">
        <f t="shared" si="10"/>
        <v>1345.5227173068743</v>
      </c>
      <c r="G54" s="247">
        <f t="shared" si="6"/>
        <v>0.3466019101066185</v>
      </c>
      <c r="H54" s="246"/>
      <c r="J54" s="182"/>
      <c r="K54" s="182"/>
      <c r="L54" s="182"/>
      <c r="M54" s="182"/>
      <c r="N54" s="163"/>
      <c r="O54" s="259">
        <f>IF($O$24="Y",IFERROR(E54*$O$16*'Emissions Factors'!B39,""),"")</f>
        <v>11.621054228708116</v>
      </c>
      <c r="P54" s="259" t="str">
        <f>IF($P$24="Y",IFERROR($E54*(SUM($E$3,$E$4,$E$5)/SUMIF($G$3:$G$14,"Y",$E$3:$E$14))*('Emissions Factors'!$T$143*$P$16)/10^6,""),"")</f>
        <v/>
      </c>
      <c r="Q54" s="259">
        <f t="shared" si="7"/>
        <v>0</v>
      </c>
      <c r="R54" s="259">
        <f t="shared" si="8"/>
        <v>0</v>
      </c>
      <c r="T54" s="180">
        <f t="shared" si="1"/>
        <v>11.621054228708116</v>
      </c>
      <c r="U54" s="180">
        <f t="shared" si="2"/>
        <v>0</v>
      </c>
      <c r="V54" s="177"/>
      <c r="X54" s="180">
        <f t="shared" si="3"/>
        <v>11.621054228708116</v>
      </c>
      <c r="Y54" s="180">
        <f t="shared" si="4"/>
        <v>0</v>
      </c>
    </row>
    <row r="55" spans="1:25" ht="15.6" x14ac:dyDescent="0.3">
      <c r="A55" s="152">
        <v>2043</v>
      </c>
      <c r="B55" s="178">
        <f t="shared" si="0"/>
        <v>0</v>
      </c>
      <c r="C55" s="182">
        <f t="shared" si="9"/>
        <v>0</v>
      </c>
      <c r="D55" s="183"/>
      <c r="E55" s="179">
        <f t="shared" si="5"/>
        <v>18840.324801899787</v>
      </c>
      <c r="F55" s="183">
        <f t="shared" si="10"/>
        <v>1423.0145380904505</v>
      </c>
      <c r="G55" s="247">
        <f t="shared" si="6"/>
        <v>0.34810918292464804</v>
      </c>
      <c r="H55" s="246"/>
      <c r="J55" s="182"/>
      <c r="K55" s="182"/>
      <c r="L55" s="182"/>
      <c r="M55" s="182"/>
      <c r="N55" s="163"/>
      <c r="O55" s="259">
        <f>IF($O$24="Y",IFERROR(E55*$O$16*'Emissions Factors'!B40,""),"")</f>
        <v>12.50037365897016</v>
      </c>
      <c r="P55" s="259" t="str">
        <f>IF($P$24="Y",IFERROR($E55*(SUM($E$3,$E$4,$E$5)/SUMIF($G$3:$G$14,"Y",$E$3:$E$14))*('Emissions Factors'!$T$143*$P$16)/10^6,""),"")</f>
        <v/>
      </c>
      <c r="Q55" s="259">
        <f t="shared" si="7"/>
        <v>0</v>
      </c>
      <c r="R55" s="259">
        <f t="shared" si="8"/>
        <v>0</v>
      </c>
      <c r="T55" s="180">
        <f t="shared" si="1"/>
        <v>12.50037365897016</v>
      </c>
      <c r="U55" s="180">
        <f t="shared" si="2"/>
        <v>0</v>
      </c>
      <c r="V55" s="177"/>
      <c r="X55" s="180">
        <f t="shared" si="3"/>
        <v>12.50037365897016</v>
      </c>
      <c r="Y55" s="180">
        <f t="shared" si="4"/>
        <v>0</v>
      </c>
    </row>
    <row r="56" spans="1:25" ht="15.6" x14ac:dyDescent="0.3">
      <c r="A56" s="152">
        <v>2044</v>
      </c>
      <c r="B56" s="178">
        <f t="shared" si="0"/>
        <v>0</v>
      </c>
      <c r="C56" s="182">
        <f t="shared" si="9"/>
        <v>0</v>
      </c>
      <c r="D56" s="183"/>
      <c r="E56" s="179">
        <f t="shared" si="5"/>
        <v>20351.126130076922</v>
      </c>
      <c r="F56" s="183">
        <f t="shared" si="10"/>
        <v>1510.8013281771346</v>
      </c>
      <c r="G56" s="247">
        <f t="shared" si="6"/>
        <v>0.34973233157757805</v>
      </c>
      <c r="H56" s="246"/>
      <c r="J56" s="182"/>
      <c r="K56" s="182"/>
      <c r="L56" s="182"/>
      <c r="M56" s="182"/>
      <c r="N56" s="163"/>
      <c r="O56" s="259">
        <f>IF($O$24="Y",IFERROR(E56*$O$16*'Emissions Factors'!B41,""),"")</f>
        <v>13.426574979859009</v>
      </c>
      <c r="P56" s="259" t="str">
        <f>IF($P$24="Y",IFERROR($E56*(SUM($E$3,$E$4,$E$5)/SUMIF($G$3:$G$14,"Y",$E$3:$E$14))*('Emissions Factors'!$T$143*$P$16)/10^6,""),"")</f>
        <v/>
      </c>
      <c r="Q56" s="259">
        <f t="shared" si="7"/>
        <v>0</v>
      </c>
      <c r="R56" s="259">
        <f t="shared" si="8"/>
        <v>0</v>
      </c>
      <c r="T56" s="180">
        <f t="shared" si="1"/>
        <v>13.426574979859009</v>
      </c>
      <c r="U56" s="180">
        <f t="shared" si="2"/>
        <v>0</v>
      </c>
      <c r="V56" s="177"/>
      <c r="X56" s="180">
        <f t="shared" si="3"/>
        <v>13.426574979859009</v>
      </c>
      <c r="Y56" s="180">
        <f t="shared" si="4"/>
        <v>0</v>
      </c>
    </row>
    <row r="57" spans="1:25" ht="15.6" x14ac:dyDescent="0.3">
      <c r="A57" s="152">
        <v>2045</v>
      </c>
      <c r="B57" s="178">
        <f t="shared" si="0"/>
        <v>0</v>
      </c>
      <c r="C57" s="182">
        <f t="shared" si="9"/>
        <v>0</v>
      </c>
      <c r="D57" s="183"/>
      <c r="E57" s="179">
        <f t="shared" si="5"/>
        <v>21959.444971923971</v>
      </c>
      <c r="F57" s="183">
        <f t="shared" si="10"/>
        <v>1608.318841847049</v>
      </c>
      <c r="G57" s="247">
        <f t="shared" si="6"/>
        <v>0.35147783161373403</v>
      </c>
      <c r="H57" s="246"/>
      <c r="J57" s="182"/>
      <c r="K57" s="182"/>
      <c r="L57" s="182"/>
      <c r="M57" s="182"/>
      <c r="N57" s="163"/>
      <c r="O57" s="259">
        <f>IF($O$24="Y",IFERROR(E57*$O$16*'Emissions Factors'!B42,""),"")</f>
        <v>14.401913605976738</v>
      </c>
      <c r="P57" s="259" t="str">
        <f>IF($P$24="Y",IFERROR($E57*(SUM($E$3,$E$4,$E$5)/SUMIF($G$3:$G$14,"Y",$E$3:$E$14))*('Emissions Factors'!$T$143*$P$16)/10^6,""),"")</f>
        <v/>
      </c>
      <c r="Q57" s="259">
        <f t="shared" si="7"/>
        <v>0</v>
      </c>
      <c r="R57" s="259">
        <f t="shared" si="8"/>
        <v>0</v>
      </c>
      <c r="T57" s="180">
        <f t="shared" si="1"/>
        <v>14.401913605976738</v>
      </c>
      <c r="U57" s="180">
        <f t="shared" si="2"/>
        <v>0</v>
      </c>
      <c r="V57" s="177"/>
      <c r="X57" s="180">
        <f t="shared" si="3"/>
        <v>14.401913605976738</v>
      </c>
      <c r="Y57" s="180">
        <f t="shared" si="4"/>
        <v>0</v>
      </c>
    </row>
    <row r="58" spans="1:25" ht="15.6" x14ac:dyDescent="0.3">
      <c r="A58" s="152">
        <v>2046</v>
      </c>
      <c r="B58" s="178">
        <f t="shared" si="0"/>
        <v>0</v>
      </c>
      <c r="C58" s="182">
        <f t="shared" si="9"/>
        <v>0</v>
      </c>
      <c r="D58" s="183"/>
      <c r="E58" s="179">
        <f t="shared" si="5"/>
        <v>23672.513239172451</v>
      </c>
      <c r="F58" s="183">
        <f t="shared" si="10"/>
        <v>1713.06826724848</v>
      </c>
      <c r="G58" s="247">
        <f t="shared" si="6"/>
        <v>0.35333345846547232</v>
      </c>
      <c r="H58" s="246"/>
      <c r="J58" s="182"/>
      <c r="K58" s="182"/>
      <c r="L58" s="182"/>
      <c r="M58" s="182"/>
      <c r="N58" s="163"/>
      <c r="O58" s="259">
        <f>IF($O$24="Y",IFERROR(E58*$O$16*'Emissions Factors'!B43,""),"")</f>
        <v>15.438668019422295</v>
      </c>
      <c r="P58" s="259" t="str">
        <f>IF($P$24="Y",IFERROR($E58*(SUM($E$3,$E$4,$E$5)/SUMIF($G$3:$G$14,"Y",$E$3:$E$14))*('Emissions Factors'!$T$143*$P$16)/10^6,""),"")</f>
        <v/>
      </c>
      <c r="Q58" s="259">
        <f t="shared" si="7"/>
        <v>0</v>
      </c>
      <c r="R58" s="259">
        <f t="shared" si="8"/>
        <v>0</v>
      </c>
      <c r="T58" s="180">
        <f t="shared" si="1"/>
        <v>15.438668019422295</v>
      </c>
      <c r="U58" s="180">
        <f t="shared" si="2"/>
        <v>0</v>
      </c>
      <c r="V58" s="177"/>
      <c r="X58" s="180">
        <f t="shared" si="3"/>
        <v>15.438668019422295</v>
      </c>
      <c r="Y58" s="180">
        <f t="shared" si="4"/>
        <v>0</v>
      </c>
    </row>
    <row r="59" spans="1:25" ht="15.6" x14ac:dyDescent="0.3">
      <c r="A59" s="152">
        <v>2047</v>
      </c>
      <c r="B59" s="178">
        <f t="shared" si="0"/>
        <v>0</v>
      </c>
      <c r="C59" s="182">
        <f t="shared" si="9"/>
        <v>0</v>
      </c>
      <c r="D59" s="183"/>
      <c r="E59" s="179">
        <f t="shared" si="5"/>
        <v>25496.973995712389</v>
      </c>
      <c r="F59" s="183">
        <f t="shared" si="10"/>
        <v>1824.4607565399383</v>
      </c>
      <c r="G59" s="247">
        <f t="shared" si="6"/>
        <v>0.35528146763659102</v>
      </c>
      <c r="H59" s="246"/>
      <c r="J59" s="182"/>
      <c r="K59" s="182"/>
      <c r="L59" s="182"/>
      <c r="M59" s="182"/>
      <c r="N59" s="163"/>
      <c r="O59" s="259">
        <f>IF($O$24="Y",IFERROR(E59*$O$16*'Emissions Factors'!B44,""),"")</f>
        <v>16.530829822953262</v>
      </c>
      <c r="P59" s="259" t="str">
        <f>IF($P$24="Y",IFERROR($E59*(SUM($E$3,$E$4,$E$5)/SUMIF($G$3:$G$14,"Y",$E$3:$E$14))*('Emissions Factors'!$T$143*$P$16)/10^6,""),"")</f>
        <v/>
      </c>
      <c r="Q59" s="259">
        <f t="shared" si="7"/>
        <v>0</v>
      </c>
      <c r="R59" s="259">
        <f t="shared" si="8"/>
        <v>0</v>
      </c>
      <c r="T59" s="180">
        <f t="shared" si="1"/>
        <v>16.530829822953262</v>
      </c>
      <c r="U59" s="180">
        <f t="shared" si="2"/>
        <v>0</v>
      </c>
      <c r="V59" s="177"/>
      <c r="X59" s="180">
        <f t="shared" si="3"/>
        <v>16.530829822953262</v>
      </c>
      <c r="Y59" s="180">
        <f t="shared" si="4"/>
        <v>0</v>
      </c>
    </row>
    <row r="60" spans="1:25" ht="15.6" x14ac:dyDescent="0.3">
      <c r="A60" s="152">
        <v>2048</v>
      </c>
      <c r="B60" s="178">
        <f t="shared" si="0"/>
        <v>0</v>
      </c>
      <c r="C60" s="182">
        <f t="shared" si="9"/>
        <v>0</v>
      </c>
      <c r="D60" s="183"/>
      <c r="E60" s="179">
        <f t="shared" si="5"/>
        <v>27441.634737602137</v>
      </c>
      <c r="F60" s="183">
        <f t="shared" si="10"/>
        <v>1944.6607418897474</v>
      </c>
      <c r="G60" s="247">
        <f t="shared" si="6"/>
        <v>0.35731250096915979</v>
      </c>
      <c r="H60" s="246"/>
      <c r="J60" s="182"/>
      <c r="K60" s="182"/>
      <c r="L60" s="182"/>
      <c r="M60" s="182"/>
      <c r="N60" s="163"/>
      <c r="O60" s="259">
        <f>IF($O$24="Y",IFERROR(E60*$O$16*'Emissions Factors'!B45,""),"")</f>
        <v>17.685473691332856</v>
      </c>
      <c r="P60" s="259" t="str">
        <f>IF($P$24="Y",IFERROR($E60*(SUM($E$3,$E$4,$E$5)/SUMIF($G$3:$G$14,"Y",$E$3:$E$14))*('Emissions Factors'!$T$143*$P$16)/10^6,""),"")</f>
        <v/>
      </c>
      <c r="Q60" s="259">
        <f t="shared" si="7"/>
        <v>0</v>
      </c>
      <c r="R60" s="259">
        <f t="shared" si="8"/>
        <v>0</v>
      </c>
      <c r="T60" s="180">
        <f t="shared" si="1"/>
        <v>17.685473691332856</v>
      </c>
      <c r="U60" s="180">
        <f t="shared" si="2"/>
        <v>0</v>
      </c>
      <c r="V60" s="177"/>
      <c r="X60" s="180">
        <f t="shared" si="3"/>
        <v>17.685473691332856</v>
      </c>
      <c r="Y60" s="180">
        <f t="shared" si="4"/>
        <v>0</v>
      </c>
    </row>
    <row r="61" spans="1:25" ht="15.6" x14ac:dyDescent="0.3">
      <c r="A61" s="152">
        <v>2049</v>
      </c>
      <c r="B61" s="178">
        <f t="shared" si="0"/>
        <v>0</v>
      </c>
      <c r="C61" s="182">
        <f t="shared" si="9"/>
        <v>0</v>
      </c>
      <c r="D61" s="183"/>
      <c r="E61" s="179">
        <f t="shared" si="5"/>
        <v>29515.622706548587</v>
      </c>
      <c r="F61" s="183">
        <f t="shared" si="10"/>
        <v>2073.9879689464506</v>
      </c>
      <c r="G61" s="247">
        <f t="shared" si="6"/>
        <v>0.35941513318360058</v>
      </c>
      <c r="H61" s="246"/>
      <c r="J61" s="182"/>
      <c r="K61" s="182"/>
      <c r="L61" s="182"/>
      <c r="M61" s="182"/>
      <c r="N61" s="163"/>
      <c r="O61" s="259">
        <f>IF($O$24="Y",IFERROR(E61*$O$16*'Emissions Factors'!B46,""),"")</f>
        <v>18.924062336236201</v>
      </c>
      <c r="P61" s="259" t="str">
        <f>IF($P$24="Y",IFERROR($E61*(SUM($E$3,$E$4,$E$5)/SUMIF($G$3:$G$14,"Y",$E$3:$E$14))*('Emissions Factors'!$T$143*$P$16)/10^6,""),"")</f>
        <v/>
      </c>
      <c r="Q61" s="259">
        <f t="shared" si="7"/>
        <v>0</v>
      </c>
      <c r="R61" s="259">
        <f t="shared" si="8"/>
        <v>0</v>
      </c>
      <c r="T61" s="180">
        <f t="shared" si="1"/>
        <v>18.924062336236201</v>
      </c>
      <c r="U61" s="180">
        <f t="shared" si="2"/>
        <v>0</v>
      </c>
      <c r="V61" s="177"/>
      <c r="X61" s="180">
        <f t="shared" si="3"/>
        <v>18.924062336236201</v>
      </c>
      <c r="Y61" s="180">
        <f t="shared" si="4"/>
        <v>0</v>
      </c>
    </row>
    <row r="62" spans="1:25" ht="15.6" x14ac:dyDescent="0.3">
      <c r="A62" s="152">
        <v>2050</v>
      </c>
      <c r="B62" s="178">
        <f t="shared" si="0"/>
        <v>0</v>
      </c>
      <c r="C62" s="182">
        <f t="shared" si="9"/>
        <v>0</v>
      </c>
      <c r="D62" s="183"/>
      <c r="E62" s="179">
        <f t="shared" si="5"/>
        <v>31727.433510407533</v>
      </c>
      <c r="F62" s="183">
        <f t="shared" si="10"/>
        <v>2211.8108038589453</v>
      </c>
      <c r="G62" s="247">
        <f t="shared" si="6"/>
        <v>0.36157530128507459</v>
      </c>
      <c r="H62" s="246"/>
      <c r="J62" s="182"/>
      <c r="K62" s="182"/>
      <c r="L62" s="182"/>
      <c r="M62" s="182"/>
      <c r="N62" s="163"/>
      <c r="O62" s="259">
        <f>IF($O$24="Y",IFERROR(E62*$O$16*'Emissions Factors'!B47,""),"")</f>
        <v>20.27221869242662</v>
      </c>
      <c r="P62" s="259" t="str">
        <f>IF($P$24="Y",IFERROR($E62*(SUM($E$3,$E$4,$E$5)/SUMIF($G$3:$G$14,"Y",$E$3:$E$14))*('Emissions Factors'!$T$143*$P$16)/10^6,""),"")</f>
        <v/>
      </c>
      <c r="Q62" s="259">
        <f t="shared" si="7"/>
        <v>0</v>
      </c>
      <c r="R62" s="259">
        <f t="shared" si="8"/>
        <v>0</v>
      </c>
      <c r="T62" s="180">
        <f t="shared" si="1"/>
        <v>20.27221869242662</v>
      </c>
      <c r="U62" s="180">
        <f t="shared" si="2"/>
        <v>0</v>
      </c>
      <c r="V62" s="177"/>
      <c r="X62" s="180">
        <f t="shared" si="3"/>
        <v>20.27221869242662</v>
      </c>
      <c r="Y62" s="180">
        <f t="shared" si="4"/>
        <v>0</v>
      </c>
    </row>
    <row r="63" spans="1:25" ht="15.6" x14ac:dyDescent="0.3">
      <c r="A63" s="152">
        <v>2051</v>
      </c>
      <c r="B63" s="178">
        <f t="shared" si="0"/>
        <v>0</v>
      </c>
      <c r="C63" s="182">
        <f t="shared" si="9"/>
        <v>0</v>
      </c>
      <c r="D63" s="183"/>
      <c r="E63" s="179">
        <f t="shared" si="5"/>
        <v>34084.759265732282</v>
      </c>
      <c r="F63" s="183">
        <f t="shared" si="10"/>
        <v>2357.3257553247495</v>
      </c>
      <c r="G63" s="247">
        <f t="shared" si="6"/>
        <v>0.36377942653358097</v>
      </c>
      <c r="H63" s="246"/>
      <c r="J63" s="182"/>
      <c r="K63" s="182"/>
      <c r="L63" s="182"/>
      <c r="M63" s="182"/>
      <c r="N63" s="163"/>
      <c r="O63" s="259">
        <f>IF($O$24="Y",IFERROR(E63*$O$16*'Emissions Factors'!B48,""),"")</f>
        <v>21.695191607067301</v>
      </c>
      <c r="P63" s="259" t="str">
        <f>IF($P$24="Y",IFERROR($E63*(SUM($E$3,$E$4,$E$5)/SUMIF($G$3:$G$14,"Y",$E$3:$E$14))*('Emissions Factors'!$T$143*$P$16)/10^6,""),"")</f>
        <v/>
      </c>
      <c r="Q63" s="259">
        <f t="shared" si="7"/>
        <v>0</v>
      </c>
      <c r="R63" s="259">
        <f t="shared" si="8"/>
        <v>0</v>
      </c>
      <c r="T63" s="180" t="str">
        <f t="shared" si="1"/>
        <v/>
      </c>
      <c r="U63" s="180" t="str">
        <f t="shared" si="2"/>
        <v/>
      </c>
      <c r="V63" s="177"/>
      <c r="X63" s="180">
        <f t="shared" si="3"/>
        <v>21.695191607067301</v>
      </c>
      <c r="Y63" s="180">
        <f t="shared" si="4"/>
        <v>0</v>
      </c>
    </row>
    <row r="64" spans="1:25" ht="15.6" x14ac:dyDescent="0.3">
      <c r="A64" s="152">
        <v>2052</v>
      </c>
      <c r="B64" s="178">
        <f t="shared" si="0"/>
        <v>0</v>
      </c>
      <c r="C64" s="182">
        <f t="shared" si="9"/>
        <v>0</v>
      </c>
      <c r="D64" s="183"/>
      <c r="E64" s="179">
        <f t="shared" si="5"/>
        <v>36593.851810791377</v>
      </c>
      <c r="F64" s="183">
        <f t="shared" si="10"/>
        <v>2509.0925450590948</v>
      </c>
      <c r="G64" s="247">
        <f t="shared" si="6"/>
        <v>0.36600962645999319</v>
      </c>
      <c r="H64" s="246"/>
      <c r="J64" s="182"/>
      <c r="K64" s="182"/>
      <c r="L64" s="182"/>
      <c r="M64" s="182"/>
      <c r="N64" s="163"/>
      <c r="O64" s="259">
        <f>IF($O$24="Y",IFERROR(E64*$O$16*'Emissions Factors'!B49,""),"")</f>
        <v>23.206237321324977</v>
      </c>
      <c r="P64" s="259" t="str">
        <f>IF($P$24="Y",IFERROR($E64*(SUM($E$3,$E$4,$E$5)/SUMIF($G$3:$G$14,"Y",$E$3:$E$14))*('Emissions Factors'!$T$143*$P$16)/10^6,""),"")</f>
        <v/>
      </c>
      <c r="Q64" s="259">
        <f t="shared" si="7"/>
        <v>0</v>
      </c>
      <c r="R64" s="259">
        <f t="shared" si="8"/>
        <v>0</v>
      </c>
      <c r="T64" s="180" t="str">
        <f t="shared" si="1"/>
        <v/>
      </c>
      <c r="U64" s="180" t="str">
        <f t="shared" si="2"/>
        <v/>
      </c>
      <c r="V64" s="177"/>
      <c r="X64" s="180">
        <f t="shared" si="3"/>
        <v>23.206237321324977</v>
      </c>
      <c r="Y64" s="180">
        <f t="shared" si="4"/>
        <v>0</v>
      </c>
    </row>
    <row r="65" spans="1:25" ht="15.6" x14ac:dyDescent="0.3">
      <c r="A65" s="152">
        <v>2053</v>
      </c>
      <c r="B65" s="178">
        <f t="shared" si="0"/>
        <v>0</v>
      </c>
      <c r="C65" s="182">
        <f t="shared" si="9"/>
        <v>0</v>
      </c>
      <c r="D65" s="183"/>
      <c r="E65" s="179">
        <f t="shared" si="5"/>
        <v>39259.718565988886</v>
      </c>
      <c r="F65" s="183">
        <f t="shared" si="10"/>
        <v>2665.8667551975086</v>
      </c>
      <c r="G65" s="247">
        <f t="shared" si="6"/>
        <v>0.36824234602120098</v>
      </c>
      <c r="H65" s="246"/>
      <c r="J65" s="182"/>
      <c r="K65" s="182"/>
      <c r="L65" s="182"/>
      <c r="M65" s="182"/>
      <c r="N65" s="163"/>
      <c r="O65" s="259">
        <f>IF($O$24="Y",IFERROR(E65*$O$16*'Emissions Factors'!B50,""),"")</f>
        <v>24.802605654051266</v>
      </c>
      <c r="P65" s="259" t="str">
        <f>IF($P$24="Y",IFERROR($E65*(SUM($E$3,$E$4,$E$5)/SUMIF($G$3:$G$14,"Y",$E$3:$E$14))*('Emissions Factors'!$T$143*$P$16)/10^6,""),"")</f>
        <v/>
      </c>
      <c r="Q65" s="259">
        <f t="shared" si="7"/>
        <v>0</v>
      </c>
      <c r="R65" s="259">
        <f t="shared" si="8"/>
        <v>0</v>
      </c>
      <c r="T65" s="180" t="str">
        <f t="shared" si="1"/>
        <v/>
      </c>
      <c r="U65" s="180" t="str">
        <f t="shared" si="2"/>
        <v/>
      </c>
      <c r="V65" s="177"/>
      <c r="X65" s="180">
        <f t="shared" si="3"/>
        <v>24.802605654051266</v>
      </c>
      <c r="Y65" s="180">
        <f t="shared" si="4"/>
        <v>0</v>
      </c>
    </row>
    <row r="66" spans="1:25" ht="15.6" x14ac:dyDescent="0.3">
      <c r="A66" s="152">
        <v>2054</v>
      </c>
      <c r="B66" s="178">
        <f t="shared" si="0"/>
        <v>0</v>
      </c>
      <c r="C66" s="182">
        <f t="shared" si="9"/>
        <v>0</v>
      </c>
      <c r="D66" s="183"/>
      <c r="E66" s="179">
        <f t="shared" si="5"/>
        <v>42086.231443939287</v>
      </c>
      <c r="F66" s="183">
        <f t="shared" si="10"/>
        <v>2826.5128779504012</v>
      </c>
      <c r="G66" s="247">
        <f t="shared" si="6"/>
        <v>0.37045399797297246</v>
      </c>
      <c r="H66" s="246"/>
      <c r="J66" s="182"/>
      <c r="K66" s="182"/>
      <c r="L66" s="182"/>
      <c r="M66" s="182"/>
      <c r="N66" s="163"/>
      <c r="O66" s="259">
        <f>IF($O$24="Y",IFERROR(E66*$O$16*'Emissions Factors'!B51,""),"")</f>
        <v>26.485106400848682</v>
      </c>
      <c r="P66" s="259" t="str">
        <f>IF($P$24="Y",IFERROR($E66*(SUM($E$3,$E$4,$E$5)/SUMIF($G$3:$G$14,"Y",$E$3:$E$14))*('Emissions Factors'!$T$143*$P$16)/10^6,""),"")</f>
        <v/>
      </c>
      <c r="Q66" s="259">
        <f t="shared" si="7"/>
        <v>0</v>
      </c>
      <c r="R66" s="259">
        <f t="shared" si="8"/>
        <v>0</v>
      </c>
      <c r="T66" s="180" t="str">
        <f t="shared" si="1"/>
        <v/>
      </c>
      <c r="U66" s="180" t="str">
        <f t="shared" si="2"/>
        <v/>
      </c>
      <c r="V66" s="177"/>
      <c r="X66" s="180">
        <f t="shared" si="3"/>
        <v>26.485106400848682</v>
      </c>
      <c r="Y66" s="180">
        <f t="shared" si="4"/>
        <v>0</v>
      </c>
    </row>
    <row r="67" spans="1:25" ht="15.6" x14ac:dyDescent="0.3">
      <c r="A67" s="152">
        <v>2055</v>
      </c>
      <c r="B67" s="178">
        <f t="shared" si="0"/>
        <v>0</v>
      </c>
      <c r="C67" s="182">
        <f t="shared" si="9"/>
        <v>0</v>
      </c>
      <c r="D67" s="183"/>
      <c r="E67" s="179">
        <f t="shared" si="5"/>
        <v>45077.262852189604</v>
      </c>
      <c r="F67" s="183">
        <f t="shared" si="10"/>
        <v>2991.0314082503173</v>
      </c>
      <c r="G67" s="247">
        <f t="shared" si="6"/>
        <v>0.37262643952111574</v>
      </c>
      <c r="H67" s="246"/>
      <c r="J67" s="182"/>
      <c r="K67" s="182"/>
      <c r="L67" s="182"/>
      <c r="M67" s="182"/>
      <c r="N67" s="163"/>
      <c r="O67" s="259">
        <f>IF($O$24="Y",IFERROR(E67*$O$16*'Emissions Factors'!B52,""),"")</f>
        <v>28.252088662355561</v>
      </c>
      <c r="P67" s="259" t="str">
        <f>IF($P$24="Y",IFERROR($E67*(SUM($E$3,$E$4,$E$5)/SUMIF($G$3:$G$14,"Y",$E$3:$E$14))*('Emissions Factors'!$T$143*$P$16)/10^6,""),"")</f>
        <v/>
      </c>
      <c r="Q67" s="259">
        <f t="shared" si="7"/>
        <v>0</v>
      </c>
      <c r="R67" s="259">
        <f t="shared" si="8"/>
        <v>0</v>
      </c>
      <c r="T67" s="180" t="str">
        <f t="shared" si="1"/>
        <v/>
      </c>
      <c r="U67" s="180" t="str">
        <f t="shared" si="2"/>
        <v/>
      </c>
      <c r="V67" s="177"/>
      <c r="X67" s="180">
        <f t="shared" si="3"/>
        <v>28.252088662355561</v>
      </c>
      <c r="Y67" s="180">
        <f t="shared" si="4"/>
        <v>0</v>
      </c>
    </row>
    <row r="68" spans="1:25" ht="15.6" x14ac:dyDescent="0.3">
      <c r="A68" s="152">
        <v>2056</v>
      </c>
      <c r="B68" s="178">
        <f t="shared" si="0"/>
        <v>0</v>
      </c>
      <c r="C68" s="182">
        <f t="shared" si="9"/>
        <v>0</v>
      </c>
      <c r="D68" s="183"/>
      <c r="E68" s="179">
        <f t="shared" si="5"/>
        <v>48238.771587712748</v>
      </c>
      <c r="F68" s="183">
        <f t="shared" si="10"/>
        <v>3161.5087355231444</v>
      </c>
      <c r="G68" s="247">
        <f t="shared" si="6"/>
        <v>0.37475302514636294</v>
      </c>
      <c r="H68" s="246"/>
      <c r="J68" s="182"/>
      <c r="K68" s="182"/>
      <c r="L68" s="182"/>
      <c r="M68" s="182"/>
      <c r="N68" s="163"/>
      <c r="O68" s="259">
        <f>IF($O$24="Y",IFERROR(E68*$O$16*'Emissions Factors'!B53,""),"")</f>
        <v>30.112501904479576</v>
      </c>
      <c r="P68" s="259" t="str">
        <f>IF($P$24="Y",IFERROR($E68*(SUM($E$3,$E$4,$E$5)/SUMIF($G$3:$G$14,"Y",$E$3:$E$14))*('Emissions Factors'!$T$143*$P$16)/10^6,""),"")</f>
        <v/>
      </c>
      <c r="Q68" s="259">
        <f t="shared" si="7"/>
        <v>0</v>
      </c>
      <c r="R68" s="259">
        <f t="shared" si="8"/>
        <v>0</v>
      </c>
      <c r="T68" s="180" t="str">
        <f t="shared" si="1"/>
        <v/>
      </c>
      <c r="U68" s="180" t="str">
        <f t="shared" si="2"/>
        <v/>
      </c>
      <c r="V68" s="177"/>
      <c r="X68" s="180">
        <f t="shared" si="3"/>
        <v>30.112501904479576</v>
      </c>
      <c r="Y68" s="180">
        <f t="shared" si="4"/>
        <v>0</v>
      </c>
    </row>
    <row r="69" spans="1:25" ht="15.6" x14ac:dyDescent="0.3">
      <c r="A69" s="152">
        <v>2057</v>
      </c>
      <c r="B69" s="178">
        <f t="shared" si="0"/>
        <v>0</v>
      </c>
      <c r="C69" s="182">
        <f t="shared" si="9"/>
        <v>0</v>
      </c>
      <c r="D69" s="183"/>
      <c r="E69" s="179">
        <f t="shared" si="5"/>
        <v>51576.030141237832</v>
      </c>
      <c r="F69" s="183">
        <f t="shared" si="10"/>
        <v>3337.2585535250837</v>
      </c>
      <c r="G69" s="247">
        <f t="shared" si="6"/>
        <v>0.37682831613759271</v>
      </c>
      <c r="H69" s="246"/>
      <c r="J69" s="182"/>
      <c r="K69" s="182"/>
      <c r="L69" s="182"/>
      <c r="M69" s="182"/>
      <c r="N69" s="163"/>
      <c r="O69" s="259">
        <f>IF($O$24="Y",IFERROR(E69*$O$16*'Emissions Factors'!B54,""),"")</f>
        <v>32.060614864567668</v>
      </c>
      <c r="P69" s="259" t="str">
        <f>IF($P$24="Y",IFERROR($E69*(SUM($E$3,$E$4,$E$5)/SUMIF($G$3:$G$14,"Y",$E$3:$E$14))*('Emissions Factors'!$T$143*$P$16)/10^6,""),"")</f>
        <v/>
      </c>
      <c r="Q69" s="259">
        <f t="shared" si="7"/>
        <v>0</v>
      </c>
      <c r="R69" s="259">
        <f t="shared" si="8"/>
        <v>0</v>
      </c>
      <c r="T69" s="180" t="str">
        <f t="shared" si="1"/>
        <v/>
      </c>
      <c r="U69" s="180" t="str">
        <f t="shared" si="2"/>
        <v/>
      </c>
      <c r="V69" s="177"/>
      <c r="X69" s="180">
        <f t="shared" si="3"/>
        <v>32.060614864567668</v>
      </c>
      <c r="Y69" s="180">
        <f t="shared" si="4"/>
        <v>0</v>
      </c>
    </row>
    <row r="70" spans="1:25" ht="15.6" x14ac:dyDescent="0.3">
      <c r="A70" s="152">
        <v>2058</v>
      </c>
      <c r="B70" s="178">
        <f t="shared" si="0"/>
        <v>0</v>
      </c>
      <c r="C70" s="182">
        <f t="shared" si="9"/>
        <v>0</v>
      </c>
      <c r="D70" s="183"/>
      <c r="E70" s="179">
        <f t="shared" si="5"/>
        <v>55091.054818182238</v>
      </c>
      <c r="F70" s="183">
        <f t="shared" si="10"/>
        <v>3515.0246769444057</v>
      </c>
      <c r="G70" s="247">
        <f t="shared" si="6"/>
        <v>0.37884202569629605</v>
      </c>
      <c r="H70" s="246"/>
      <c r="J70" s="182"/>
      <c r="K70" s="182"/>
      <c r="L70" s="182"/>
      <c r="M70" s="182"/>
      <c r="N70" s="163"/>
      <c r="O70" s="259">
        <f>IF($O$24="Y",IFERROR(E70*$O$16*'Emissions Factors'!B55,""),"")</f>
        <v>34.097955139641776</v>
      </c>
      <c r="P70" s="259" t="str">
        <f>IF($P$24="Y",IFERROR($E70*(SUM($E$3,$E$4,$E$5)/SUMIF($G$3:$G$14,"Y",$E$3:$E$14))*('Emissions Factors'!$T$143*$P$16)/10^6,""),"")</f>
        <v/>
      </c>
      <c r="Q70" s="259">
        <f t="shared" si="7"/>
        <v>0</v>
      </c>
      <c r="R70" s="259">
        <f t="shared" si="8"/>
        <v>0</v>
      </c>
      <c r="T70" s="180" t="str">
        <f t="shared" si="1"/>
        <v/>
      </c>
      <c r="U70" s="180" t="str">
        <f t="shared" si="2"/>
        <v/>
      </c>
      <c r="V70" s="177"/>
      <c r="X70" s="180">
        <f t="shared" si="3"/>
        <v>34.097955139641776</v>
      </c>
      <c r="Y70" s="180">
        <f t="shared" si="4"/>
        <v>0</v>
      </c>
    </row>
    <row r="71" spans="1:25" ht="15.6" x14ac:dyDescent="0.3">
      <c r="A71" s="152">
        <v>2059</v>
      </c>
      <c r="B71" s="178">
        <f t="shared" si="0"/>
        <v>0</v>
      </c>
      <c r="C71" s="182">
        <f t="shared" si="9"/>
        <v>0</v>
      </c>
      <c r="D71" s="183"/>
      <c r="E71" s="179">
        <f t="shared" si="5"/>
        <v>58784.418566784916</v>
      </c>
      <c r="F71" s="183">
        <f t="shared" si="10"/>
        <v>3693.3637486026782</v>
      </c>
      <c r="G71" s="247">
        <f t="shared" si="6"/>
        <v>0.3807846551752474</v>
      </c>
      <c r="H71" s="246"/>
      <c r="J71" s="182"/>
      <c r="K71" s="182"/>
      <c r="L71" s="182"/>
      <c r="M71" s="182"/>
      <c r="N71" s="163"/>
      <c r="O71" s="259">
        <f>IF($O$24="Y",IFERROR(E71*$O$16*'Emissions Factors'!B56,""),"")</f>
        <v>36.222703073288585</v>
      </c>
      <c r="P71" s="259" t="str">
        <f>IF($P$24="Y",IFERROR($E71*(SUM($E$3,$E$4,$E$5)/SUMIF($G$3:$G$14,"Y",$E$3:$E$14))*('Emissions Factors'!$T$143*$P$16)/10^6,""),"")</f>
        <v/>
      </c>
      <c r="Q71" s="259">
        <f t="shared" si="7"/>
        <v>0</v>
      </c>
      <c r="R71" s="259">
        <f t="shared" si="8"/>
        <v>0</v>
      </c>
      <c r="T71" s="180" t="str">
        <f t="shared" si="1"/>
        <v/>
      </c>
      <c r="U71" s="180" t="str">
        <f t="shared" si="2"/>
        <v/>
      </c>
      <c r="V71" s="177"/>
      <c r="X71" s="180">
        <f t="shared" si="3"/>
        <v>36.222703073288585</v>
      </c>
      <c r="Y71" s="180">
        <f t="shared" si="4"/>
        <v>0</v>
      </c>
    </row>
    <row r="72" spans="1:25" ht="15.6" x14ac:dyDescent="0.3">
      <c r="A72" s="152">
        <v>2060</v>
      </c>
      <c r="B72" s="178">
        <f t="shared" si="0"/>
        <v>0</v>
      </c>
      <c r="C72" s="182">
        <f t="shared" si="9"/>
        <v>0</v>
      </c>
      <c r="D72" s="183"/>
      <c r="E72" s="179">
        <f t="shared" si="5"/>
        <v>62657.518852527137</v>
      </c>
      <c r="F72" s="183">
        <f t="shared" si="10"/>
        <v>3873.1002857422209</v>
      </c>
      <c r="G72" s="247">
        <f t="shared" si="6"/>
        <v>0.38265153717592648</v>
      </c>
      <c r="H72" s="246"/>
      <c r="J72" s="182"/>
      <c r="K72" s="182"/>
      <c r="L72" s="182"/>
      <c r="M72" s="182"/>
      <c r="N72" s="163"/>
      <c r="O72" s="259">
        <f>IF($O$24="Y",IFERROR(E72*$O$16*'Emissions Factors'!B57,""),"")</f>
        <v>38.446316472617781</v>
      </c>
      <c r="P72" s="259" t="str">
        <f>IF($P$24="Y",IFERROR($E72*(SUM($E$3,$E$4,$E$5)/SUMIF($G$3:$G$14,"Y",$E$3:$E$14))*('Emissions Factors'!$T$143*$P$16)/10^6,""),"")</f>
        <v/>
      </c>
      <c r="Q72" s="259">
        <f t="shared" si="7"/>
        <v>0</v>
      </c>
      <c r="R72" s="259">
        <f t="shared" si="8"/>
        <v>0</v>
      </c>
      <c r="T72" s="180" t="str">
        <f t="shared" si="1"/>
        <v/>
      </c>
      <c r="U72" s="180" t="str">
        <f t="shared" si="2"/>
        <v/>
      </c>
      <c r="V72" s="177"/>
      <c r="X72" s="180">
        <f t="shared" si="3"/>
        <v>38.446316472617781</v>
      </c>
      <c r="Y72" s="180">
        <f t="shared" si="4"/>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438695.70812576759</v>
      </c>
      <c r="C85" s="253">
        <f>(C137/Population_Tables!P3)*Population_Tables!D3</f>
        <v>137774.08357504738</v>
      </c>
      <c r="D85" s="253">
        <f>(D137/Population_Tables!Q3)*Population_Tables!E3</f>
        <v>40458.669774063565</v>
      </c>
      <c r="E85" s="253">
        <f>(E137/Population_Tables!R3)*Population_Tables!F3</f>
        <v>168420.6222070051</v>
      </c>
      <c r="F85" s="253">
        <f>(F137/Population_Tables!S3)*Population_Tables!G3</f>
        <v>37663.600616097028</v>
      </c>
      <c r="G85" s="253">
        <f>(G137/Population_Tables!T3)*Population_Tables!H3</f>
        <v>62060.414563864266</v>
      </c>
      <c r="H85" s="253">
        <f>(H137/Population_Tables!U3)*Population_Tables!I3</f>
        <v>46977.096435971587</v>
      </c>
      <c r="I85" s="253">
        <f>(I137/Population_Tables!V3)*Population_Tables!J3</f>
        <v>22776.645123314047</v>
      </c>
      <c r="J85" s="253">
        <f>(J137/Population_Tables!W3)*Population_Tables!K3</f>
        <v>67712.398313891827</v>
      </c>
      <c r="K85" s="253">
        <f>(K137/Population_Tables!X3)*Population_Tables!L3</f>
        <v>73092.900830136685</v>
      </c>
      <c r="N85" s="195">
        <f t="shared" ref="N85:N131" si="11">SUMIF($C$83:$G$83,"Y",C85:G85)-H85</f>
        <v>159107.12638713056</v>
      </c>
      <c r="O85" s="195">
        <f>H85</f>
        <v>46977.096435971587</v>
      </c>
      <c r="P85" s="195">
        <f t="shared" ref="P85:P131" si="12">SUMIF($C$83:$G$83,"N",C85:G85)-(IF($E$83="N",H85))</f>
        <v>240293.16791297522</v>
      </c>
      <c r="Q85" s="195">
        <f>N85+P85+O85</f>
        <v>446377.39073607733</v>
      </c>
      <c r="R85" s="196">
        <f>N85/Q85</f>
        <v>0.356440827177117</v>
      </c>
      <c r="U85" s="197">
        <v>0</v>
      </c>
      <c r="V85" s="195">
        <f>O85-O137</f>
        <v>0</v>
      </c>
      <c r="W85" s="197">
        <v>0</v>
      </c>
      <c r="X85" s="195">
        <f>U85+V85+W85</f>
        <v>0</v>
      </c>
      <c r="Y85" s="196">
        <v>0</v>
      </c>
      <c r="AC85" s="251">
        <f>(B85-B137)/((SUM(C85:G85)-SUM(C137:G137)))</f>
        <v>1.4128323948099362</v>
      </c>
      <c r="AF85" s="250">
        <f>B85</f>
        <v>438695.70812576759</v>
      </c>
      <c r="AG85" s="250">
        <f>SUM(C85:G85)</f>
        <v>446377.39073607733</v>
      </c>
      <c r="AH85" s="250">
        <f>AG85-AF85</f>
        <v>7681.682610309741</v>
      </c>
      <c r="AI85" s="251">
        <f>AH85/AG85</f>
        <v>1.7208941961963237E-2</v>
      </c>
    </row>
    <row r="86" spans="1:35" ht="15.6" x14ac:dyDescent="0.3">
      <c r="A86" s="194">
        <v>2015</v>
      </c>
      <c r="B86" s="253">
        <f>(B138/Population_Tables!O4)*Population_Tables!C4</f>
        <v>449459.1484941555</v>
      </c>
      <c r="C86" s="253">
        <f>(C138/Population_Tables!P4)*Population_Tables!D4</f>
        <v>140001.89890512943</v>
      </c>
      <c r="D86" s="253">
        <f>(D138/Population_Tables!Q4)*Population_Tables!E4</f>
        <v>41491.645606019258</v>
      </c>
      <c r="E86" s="253">
        <f>(E138/Population_Tables!R4)*Population_Tables!F4</f>
        <v>173450.21092954013</v>
      </c>
      <c r="F86" s="253">
        <f>(F138/Population_Tables!S4)*Population_Tables!G4</f>
        <v>38783.889227495783</v>
      </c>
      <c r="G86" s="253">
        <f>(G138/Population_Tables!T4)*Population_Tables!H4</f>
        <v>63482.802912237443</v>
      </c>
      <c r="H86" s="253">
        <f>(H138/Population_Tables!U4)*Population_Tables!I4</f>
        <v>50301.468509839244</v>
      </c>
      <c r="I86" s="253">
        <f>(I138/Population_Tables!V4)*Population_Tables!J4</f>
        <v>24025.852653188198</v>
      </c>
      <c r="J86" s="253">
        <f>(J138/Population_Tables!W4)*Population_Tables!K4</f>
        <v>68179.108034618519</v>
      </c>
      <c r="K86" s="253">
        <f>(K138/Population_Tables!X4)*Population_Tables!L4</f>
        <v>73714.670487818454</v>
      </c>
      <c r="N86" s="195">
        <f t="shared" si="11"/>
        <v>161932.63164719669</v>
      </c>
      <c r="O86" s="195">
        <f t="shared" ref="O86:O131" si="13">H86</f>
        <v>50301.468509839244</v>
      </c>
      <c r="P86" s="195">
        <f t="shared" si="12"/>
        <v>244976.34742338615</v>
      </c>
      <c r="Q86" s="195">
        <f t="shared" ref="Q86:Q131" si="14">N86+P86+O86</f>
        <v>457210.4475804221</v>
      </c>
      <c r="R86" s="196">
        <f t="shared" ref="R86:R130" si="15">N86/Q86</f>
        <v>0.35417526546943828</v>
      </c>
      <c r="U86" s="197">
        <v>0</v>
      </c>
      <c r="V86" s="195">
        <f t="shared" ref="V86:W131" si="16">O86-O138</f>
        <v>0</v>
      </c>
      <c r="W86" s="197">
        <v>0</v>
      </c>
      <c r="X86" s="195">
        <f>U86+V86+W86</f>
        <v>0</v>
      </c>
      <c r="Y86" s="196">
        <v>0</v>
      </c>
      <c r="AC86" s="251">
        <f t="shared" ref="AC86:AC131" si="17">(B86-B138)/((SUM(C86:G86)-SUM(C138:G138)))</f>
        <v>1.4029722508741209</v>
      </c>
    </row>
    <row r="87" spans="1:35" ht="15.6" x14ac:dyDescent="0.3">
      <c r="A87" s="194">
        <v>2016</v>
      </c>
      <c r="B87" s="253">
        <f>(B139/Population_Tables!O5)*Population_Tables!C5</f>
        <v>460419.73569772282</v>
      </c>
      <c r="C87" s="253">
        <f>(C139/Population_Tables!P5)*Population_Tables!D5</f>
        <v>142550.34366071914</v>
      </c>
      <c r="D87" s="253">
        <f>(D139/Population_Tables!Q5)*Population_Tables!E5</f>
        <v>42450.96235311561</v>
      </c>
      <c r="E87" s="253">
        <f>(E139/Population_Tables!R5)*Population_Tables!F5</f>
        <v>178659.10985937333</v>
      </c>
      <c r="F87" s="253">
        <f>(F139/Population_Tables!S5)*Population_Tables!G5</f>
        <v>39758.115609022185</v>
      </c>
      <c r="G87" s="253">
        <f>(G139/Population_Tables!T5)*Population_Tables!H5</f>
        <v>65041.38565001481</v>
      </c>
      <c r="H87" s="253">
        <f>(H139/Population_Tables!U5)*Population_Tables!I5</f>
        <v>53610.501861130113</v>
      </c>
      <c r="I87" s="253">
        <f>(I139/Population_Tables!V5)*Population_Tables!J5</f>
        <v>25227.20530896942</v>
      </c>
      <c r="J87" s="253">
        <f>(J139/Population_Tables!W5)*Population_Tables!K5</f>
        <v>68961.173165756467</v>
      </c>
      <c r="K87" s="253">
        <f>(K139/Population_Tables!X5)*Population_Tables!L5</f>
        <v>74873.306642577198</v>
      </c>
      <c r="N87" s="195">
        <f t="shared" si="11"/>
        <v>164806.72360726539</v>
      </c>
      <c r="O87" s="195">
        <f t="shared" si="13"/>
        <v>53610.501861130113</v>
      </c>
      <c r="P87" s="195">
        <f t="shared" si="12"/>
        <v>250042.69166384957</v>
      </c>
      <c r="Q87" s="195">
        <f t="shared" si="14"/>
        <v>468459.91713224509</v>
      </c>
      <c r="R87" s="196">
        <f t="shared" si="15"/>
        <v>0.35180538949021939</v>
      </c>
      <c r="U87" s="195">
        <f>N87-N139</f>
        <v>-0.53589201110298745</v>
      </c>
      <c r="V87" s="195">
        <f>O87-O139</f>
        <v>0</v>
      </c>
      <c r="W87" s="195">
        <f>P87-P139</f>
        <v>0</v>
      </c>
      <c r="X87" s="195">
        <f>U87+V87+W87</f>
        <v>-0.53589201110298745</v>
      </c>
      <c r="Y87" s="196">
        <f t="shared" ref="Y87:Y131" si="18">U87/X87</f>
        <v>1</v>
      </c>
      <c r="AC87" s="251">
        <f>(B87-B139)/((SUM(C87:G87)-SUM(C139:G139)))</f>
        <v>1.3926903959436532</v>
      </c>
    </row>
    <row r="88" spans="1:35" ht="15.6" x14ac:dyDescent="0.3">
      <c r="A88" s="194">
        <v>2017</v>
      </c>
      <c r="B88" s="253">
        <f>(B140/Population_Tables!O6)*Population_Tables!C6</f>
        <v>471539.09986731253</v>
      </c>
      <c r="C88" s="253">
        <f>(C140/Population_Tables!P6)*Population_Tables!D6</f>
        <v>145123.80873543871</v>
      </c>
      <c r="D88" s="253">
        <f>(D140/Population_Tables!Q6)*Population_Tables!E6</f>
        <v>43411.942306247482</v>
      </c>
      <c r="E88" s="253">
        <f>(E140/Population_Tables!R6)*Population_Tables!F6</f>
        <v>183928.17083313808</v>
      </c>
      <c r="F88" s="253">
        <f>(F140/Population_Tables!S6)*Population_Tables!G6</f>
        <v>40758.241949161733</v>
      </c>
      <c r="G88" s="253">
        <f>(G140/Population_Tables!T6)*Population_Tables!H6</f>
        <v>66633.219061253243</v>
      </c>
      <c r="H88" s="253">
        <f>(H140/Population_Tables!U6)*Population_Tables!I6</f>
        <v>56813.098606217995</v>
      </c>
      <c r="I88" s="253">
        <f>(I140/Population_Tables!V6)*Population_Tables!J6</f>
        <v>26485.338053506668</v>
      </c>
      <c r="J88" s="253">
        <f>(J140/Population_Tables!W6)*Population_Tables!K6</f>
        <v>69728.984867156571</v>
      </c>
      <c r="K88" s="253">
        <f>(K140/Population_Tables!X6)*Population_Tables!L6</f>
        <v>76024.492709361235</v>
      </c>
      <c r="N88" s="195">
        <f t="shared" si="11"/>
        <v>167873.3141760818</v>
      </c>
      <c r="O88" s="195">
        <f>H88</f>
        <v>56813.098606217995</v>
      </c>
      <c r="P88" s="195">
        <f t="shared" si="12"/>
        <v>255168.97010293943</v>
      </c>
      <c r="Q88" s="195">
        <f t="shared" si="14"/>
        <v>479855.3828852392</v>
      </c>
      <c r="R88" s="196">
        <f t="shared" si="15"/>
        <v>0.34984147341789823</v>
      </c>
      <c r="U88" s="195">
        <f>N88-N140</f>
        <v>-0.53739003941882402</v>
      </c>
      <c r="V88" s="195">
        <f t="shared" si="16"/>
        <v>0</v>
      </c>
      <c r="W88" s="195">
        <f t="shared" si="16"/>
        <v>0</v>
      </c>
      <c r="X88" s="195">
        <f t="shared" ref="X88:X131" si="19">U88+V88+W88</f>
        <v>-0.53739003941882402</v>
      </c>
      <c r="Y88" s="196">
        <f t="shared" si="18"/>
        <v>1</v>
      </c>
      <c r="AC88" s="251">
        <f t="shared" si="17"/>
        <v>1.3828310165434223</v>
      </c>
    </row>
    <row r="89" spans="1:35" ht="15.6" x14ac:dyDescent="0.3">
      <c r="A89" s="194">
        <v>2018</v>
      </c>
      <c r="B89" s="253">
        <f>(B141/Population_Tables!O7)*Population_Tables!C7</f>
        <v>482821.67839217029</v>
      </c>
      <c r="C89" s="253">
        <f>(C141/Population_Tables!P7)*Population_Tables!D7</f>
        <v>147723.56758647895</v>
      </c>
      <c r="D89" s="253">
        <f>(D141/Population_Tables!Q7)*Population_Tables!E7</f>
        <v>44375.397638676885</v>
      </c>
      <c r="E89" s="253">
        <f>(E141/Population_Tables!R7)*Population_Tables!F7</f>
        <v>189258.74418274837</v>
      </c>
      <c r="F89" s="253">
        <f>(F141/Population_Tables!S7)*Population_Tables!G7</f>
        <v>41784.9154853457</v>
      </c>
      <c r="G89" s="253">
        <f>(G141/Population_Tables!T7)*Population_Tables!H7</f>
        <v>68258.054041840456</v>
      </c>
      <c r="H89" s="253">
        <f>(H141/Population_Tables!U7)*Population_Tables!I7</f>
        <v>59911.173429751856</v>
      </c>
      <c r="I89" s="253">
        <f>(I141/Population_Tables!V7)*Population_Tables!J7</f>
        <v>27798.722771901346</v>
      </c>
      <c r="J89" s="253">
        <f>(J141/Population_Tables!W7)*Population_Tables!K7</f>
        <v>70482.718803123571</v>
      </c>
      <c r="K89" s="253">
        <f>(K141/Population_Tables!X7)*Population_Tables!L7</f>
        <v>77168.310435934574</v>
      </c>
      <c r="N89" s="195">
        <f t="shared" si="11"/>
        <v>171132.48623834222</v>
      </c>
      <c r="O89" s="195">
        <f t="shared" si="13"/>
        <v>59911.173429751856</v>
      </c>
      <c r="P89" s="195">
        <f t="shared" si="12"/>
        <v>260357.0192669963</v>
      </c>
      <c r="Q89" s="195">
        <f t="shared" si="14"/>
        <v>491400.67893509043</v>
      </c>
      <c r="R89" s="196">
        <f t="shared" si="15"/>
        <v>0.34825447658965741</v>
      </c>
      <c r="U89" s="195">
        <f t="shared" ref="U89:U131" si="20">N89-N141</f>
        <v>-0.53690165080479346</v>
      </c>
      <c r="V89" s="195">
        <f t="shared" si="16"/>
        <v>0</v>
      </c>
      <c r="W89" s="195">
        <f t="shared" si="16"/>
        <v>0</v>
      </c>
      <c r="X89" s="195">
        <f t="shared" si="19"/>
        <v>-0.53690165080479346</v>
      </c>
      <c r="Y89" s="196">
        <f t="shared" si="18"/>
        <v>1</v>
      </c>
      <c r="AC89" s="251">
        <f t="shared" si="17"/>
        <v>1.3733447841974173</v>
      </c>
    </row>
    <row r="90" spans="1:35" ht="16.2" thickBot="1" x14ac:dyDescent="0.35">
      <c r="A90" s="198">
        <v>2019</v>
      </c>
      <c r="B90" s="253">
        <f>(B142/Population_Tables!O8)*Population_Tables!C8</f>
        <v>494271.90493604145</v>
      </c>
      <c r="C90" s="253">
        <f>(C142/Population_Tables!P8)*Population_Tables!D8</f>
        <v>150350.89367103079</v>
      </c>
      <c r="D90" s="253">
        <f>(D142/Population_Tables!Q8)*Population_Tables!E8</f>
        <v>45342.140523665861</v>
      </c>
      <c r="E90" s="253">
        <f>(E142/Population_Tables!R8)*Population_Tables!F8</f>
        <v>194652.17750240024</v>
      </c>
      <c r="F90" s="253">
        <f>(F142/Population_Tables!S8)*Population_Tables!G8</f>
        <v>42838.783455005352</v>
      </c>
      <c r="G90" s="253">
        <f>(G142/Population_Tables!T8)*Population_Tables!H8</f>
        <v>69915.641487664121</v>
      </c>
      <c r="H90" s="253">
        <f>(H142/Population_Tables!U8)*Population_Tables!I8</f>
        <v>62906.641016380614</v>
      </c>
      <c r="I90" s="253">
        <f>(I142/Population_Tables!V8)*Population_Tables!J8</f>
        <v>29165.83134925483</v>
      </c>
      <c r="J90" s="253">
        <f>(J142/Population_Tables!W8)*Population_Tables!K8</f>
        <v>71222.550637962238</v>
      </c>
      <c r="K90" s="253">
        <f>(K142/Population_Tables!X8)*Population_Tables!L8</f>
        <v>78304.841570061239</v>
      </c>
      <c r="N90" s="195">
        <f t="shared" si="11"/>
        <v>174584.31994102499</v>
      </c>
      <c r="O90" s="195">
        <f t="shared" si="13"/>
        <v>62906.641016380614</v>
      </c>
      <c r="P90" s="195">
        <f t="shared" si="12"/>
        <v>265608.67568236077</v>
      </c>
      <c r="Q90" s="195">
        <f t="shared" si="14"/>
        <v>503099.6366397664</v>
      </c>
      <c r="R90" s="199">
        <f t="shared" si="15"/>
        <v>0.34701738428412404</v>
      </c>
      <c r="U90" s="200">
        <f t="shared" si="20"/>
        <v>-0.53722402488347143</v>
      </c>
      <c r="V90" s="195">
        <f t="shared" si="16"/>
        <v>0</v>
      </c>
      <c r="W90" s="200">
        <f t="shared" si="16"/>
        <v>0</v>
      </c>
      <c r="X90" s="195">
        <f t="shared" si="19"/>
        <v>-0.53722402488347143</v>
      </c>
      <c r="Y90" s="199">
        <f t="shared" si="18"/>
        <v>1</v>
      </c>
      <c r="AC90" s="251">
        <f t="shared" si="17"/>
        <v>1.3641779168036041</v>
      </c>
    </row>
    <row r="91" spans="1:35" ht="15.6" x14ac:dyDescent="0.3">
      <c r="A91" s="201">
        <v>2020</v>
      </c>
      <c r="B91" s="253">
        <f>(B143/Population_Tables!O9)*Population_Tables!C9</f>
        <v>505894.21679557039</v>
      </c>
      <c r="C91" s="253">
        <f>(C143/Population_Tables!P9)*Population_Tables!D9</f>
        <v>153007.06044628509</v>
      </c>
      <c r="D91" s="253">
        <f>(D143/Population_Tables!Q9)*Population_Tables!E9</f>
        <v>46312.983134476424</v>
      </c>
      <c r="E91" s="253">
        <f>(E143/Population_Tables!R9)*Population_Tables!F9</f>
        <v>200109.82095218793</v>
      </c>
      <c r="F91" s="253">
        <f>(F143/Population_Tables!S9)*Population_Tables!G9</f>
        <v>43920.493095571954</v>
      </c>
      <c r="G91" s="253">
        <f>(G143/Population_Tables!T9)*Population_Tables!H9</f>
        <v>71605.732294611924</v>
      </c>
      <c r="H91" s="253">
        <f>(H143/Population_Tables!U9)*Population_Tables!I9</f>
        <v>65801.416050753236</v>
      </c>
      <c r="I91" s="253">
        <f>(I143/Population_Tables!V9)*Population_Tables!J9</f>
        <v>30585.135670668518</v>
      </c>
      <c r="J91" s="253">
        <f>(J143/Population_Tables!W9)*Population_Tables!K9</f>
        <v>71948.656035977358</v>
      </c>
      <c r="K91" s="253">
        <f>(K143/Population_Tables!X9)*Population_Tables!L9</f>
        <v>79434.167859505251</v>
      </c>
      <c r="L91" s="202"/>
      <c r="M91" s="202"/>
      <c r="N91" s="195">
        <f t="shared" si="11"/>
        <v>178228.89799700666</v>
      </c>
      <c r="O91" s="195">
        <f t="shared" si="13"/>
        <v>65801.416050753236</v>
      </c>
      <c r="P91" s="195">
        <f t="shared" si="12"/>
        <v>270925.77587537345</v>
      </c>
      <c r="Q91" s="195">
        <f t="shared" si="14"/>
        <v>514956.08992313338</v>
      </c>
      <c r="R91" s="203">
        <f t="shared" si="15"/>
        <v>0.34610503979787982</v>
      </c>
      <c r="S91" s="202"/>
      <c r="T91" s="202"/>
      <c r="U91" s="204">
        <f>N91-N143</f>
        <v>-0.53858844315982424</v>
      </c>
      <c r="V91" s="195">
        <f t="shared" si="16"/>
        <v>0</v>
      </c>
      <c r="W91" s="204">
        <f t="shared" si="16"/>
        <v>0</v>
      </c>
      <c r="X91" s="195">
        <f t="shared" si="19"/>
        <v>-0.53858844315982424</v>
      </c>
      <c r="Y91" s="205">
        <f>U91/X91</f>
        <v>1</v>
      </c>
      <c r="AC91" s="251">
        <f t="shared" si="17"/>
        <v>1.3551794981935394</v>
      </c>
    </row>
    <row r="92" spans="1:35" ht="15.6" x14ac:dyDescent="0.3">
      <c r="A92" s="206">
        <v>2021</v>
      </c>
      <c r="B92" s="253">
        <f>(B144/Population_Tables!O10)*Population_Tables!C10</f>
        <v>518348.43849487597</v>
      </c>
      <c r="C92" s="253">
        <f>(C144/Population_Tables!P10)*Population_Tables!D10</f>
        <v>155854.83101887154</v>
      </c>
      <c r="D92" s="253">
        <f>(D144/Population_Tables!Q10)*Population_Tables!E10</f>
        <v>47344.839264827438</v>
      </c>
      <c r="E92" s="253">
        <f>(E144/Population_Tables!R10)*Population_Tables!F10</f>
        <v>205879.0840889051</v>
      </c>
      <c r="F92" s="253">
        <f>(F144/Population_Tables!S10)*Population_Tables!G10</f>
        <v>45091.066035132593</v>
      </c>
      <c r="G92" s="253">
        <f>(G144/Population_Tables!T10)*Population_Tables!H10</f>
        <v>73466.944815433773</v>
      </c>
      <c r="H92" s="253">
        <f>(H144/Population_Tables!U10)*Population_Tables!I10</f>
        <v>68669.396217134286</v>
      </c>
      <c r="I92" s="253">
        <f>(I144/Population_Tables!V10)*Population_Tables!J10</f>
        <v>32091.985341083862</v>
      </c>
      <c r="J92" s="253">
        <f>(J144/Population_Tables!W10)*Population_Tables!K10</f>
        <v>72736.385031995538</v>
      </c>
      <c r="K92" s="253">
        <f>(K144/Population_Tables!X10)*Population_Tables!L10</f>
        <v>80641.476877564477</v>
      </c>
      <c r="L92" s="170"/>
      <c r="M92" s="170"/>
      <c r="N92" s="195">
        <f t="shared" si="11"/>
        <v>182300.75390690341</v>
      </c>
      <c r="O92" s="195">
        <f t="shared" si="13"/>
        <v>68669.396217134286</v>
      </c>
      <c r="P92" s="195">
        <f t="shared" si="12"/>
        <v>276666.61509913276</v>
      </c>
      <c r="Q92" s="195">
        <f t="shared" si="14"/>
        <v>527636.76522317051</v>
      </c>
      <c r="R92" s="196">
        <f t="shared" si="15"/>
        <v>0.34550426718236182</v>
      </c>
      <c r="S92" s="170"/>
      <c r="T92" s="170"/>
      <c r="U92" s="195">
        <f t="shared" si="20"/>
        <v>233.90956155254389</v>
      </c>
      <c r="V92" s="195">
        <f t="shared" si="16"/>
        <v>71.982999615647714</v>
      </c>
      <c r="W92" s="195">
        <f t="shared" si="16"/>
        <v>356.45872675790451</v>
      </c>
      <c r="X92" s="195">
        <f t="shared" si="19"/>
        <v>662.35128792609612</v>
      </c>
      <c r="Y92" s="207">
        <f t="shared" si="18"/>
        <v>0.35315030832799266</v>
      </c>
      <c r="AC92" s="251">
        <f t="shared" si="17"/>
        <v>0.9883858211476465</v>
      </c>
    </row>
    <row r="93" spans="1:35" ht="15.6" x14ac:dyDescent="0.3">
      <c r="A93" s="206">
        <v>2022</v>
      </c>
      <c r="B93" s="253">
        <f>(B145/Population_Tables!O11)*Population_Tables!C11</f>
        <v>531171.86172856006</v>
      </c>
      <c r="C93" s="253">
        <f>(C145/Population_Tables!P11)*Population_Tables!D11</f>
        <v>158785.02555455975</v>
      </c>
      <c r="D93" s="253">
        <f>(D145/Population_Tables!Q11)*Population_Tables!E11</f>
        <v>48394.505296270123</v>
      </c>
      <c r="E93" s="253">
        <f>(E145/Population_Tables!R11)*Population_Tables!F11</f>
        <v>211809.38720159559</v>
      </c>
      <c r="F93" s="253">
        <f>(F145/Population_Tables!S11)*Population_Tables!G11</f>
        <v>46303.361597240335</v>
      </c>
      <c r="G93" s="253">
        <f>(G145/Population_Tables!T11)*Population_Tables!H11</f>
        <v>75371.235452297042</v>
      </c>
      <c r="H93" s="253">
        <f>(H145/Population_Tables!U11)*Population_Tables!I11</f>
        <v>71463.404301575953</v>
      </c>
      <c r="I93" s="253">
        <f>(I145/Population_Tables!V11)*Population_Tables!J11</f>
        <v>33667.031564346282</v>
      </c>
      <c r="J93" s="253">
        <f>(J145/Population_Tables!W11)*Population_Tables!K11</f>
        <v>73530.073631777894</v>
      </c>
      <c r="K93" s="253">
        <f>(K145/Population_Tables!X11)*Population_Tables!L11</f>
        <v>81871.234151304598</v>
      </c>
      <c r="L93" s="170"/>
      <c r="M93" s="170"/>
      <c r="N93" s="195">
        <f t="shared" si="11"/>
        <v>186649.34449725994</v>
      </c>
      <c r="O93" s="195">
        <f t="shared" si="13"/>
        <v>71463.404301575953</v>
      </c>
      <c r="P93" s="195">
        <f t="shared" si="12"/>
        <v>282550.76630312693</v>
      </c>
      <c r="Q93" s="195">
        <f t="shared" si="14"/>
        <v>540663.51510196284</v>
      </c>
      <c r="R93" s="196">
        <f t="shared" si="15"/>
        <v>0.34522274813024889</v>
      </c>
      <c r="S93" s="170"/>
      <c r="T93" s="170"/>
      <c r="U93" s="195">
        <f t="shared" si="20"/>
        <v>552.18110834894469</v>
      </c>
      <c r="V93" s="195">
        <f t="shared" si="16"/>
        <v>166.85710025017033</v>
      </c>
      <c r="W93" s="195">
        <f t="shared" si="16"/>
        <v>787.112603421323</v>
      </c>
      <c r="X93" s="195">
        <f t="shared" si="19"/>
        <v>1506.150812020438</v>
      </c>
      <c r="Y93" s="207">
        <f t="shared" si="18"/>
        <v>0.36661740905495177</v>
      </c>
      <c r="AC93" s="251">
        <f t="shared" si="17"/>
        <v>0.99477875888589162</v>
      </c>
    </row>
    <row r="94" spans="1:35" ht="15.6" x14ac:dyDescent="0.3">
      <c r="A94" s="206">
        <v>2023</v>
      </c>
      <c r="B94" s="253">
        <f>(B146/Population_Tables!O12)*Population_Tables!C12</f>
        <v>544353.25150157697</v>
      </c>
      <c r="C94" s="253">
        <f>(C146/Population_Tables!P12)*Population_Tables!D12</f>
        <v>161793.54832102923</v>
      </c>
      <c r="D94" s="253">
        <f>(D146/Population_Tables!Q12)*Population_Tables!E12</f>
        <v>49462.323062251729</v>
      </c>
      <c r="E94" s="253">
        <f>(E146/Population_Tables!R12)*Population_Tables!F12</f>
        <v>217891.86640433015</v>
      </c>
      <c r="F94" s="253">
        <f>(F146/Population_Tables!S12)*Population_Tables!G12</f>
        <v>47557.744777754036</v>
      </c>
      <c r="G94" s="253">
        <f>(G146/Population_Tables!T12)*Population_Tables!H12</f>
        <v>77322.569847288003</v>
      </c>
      <c r="H94" s="253">
        <f>(H146/Population_Tables!U12)*Population_Tables!I12</f>
        <v>74183.839768933758</v>
      </c>
      <c r="I94" s="253">
        <f>(I146/Population_Tables!V12)*Population_Tables!J12</f>
        <v>35307.110883285022</v>
      </c>
      <c r="J94" s="253">
        <f>(J146/Population_Tables!W12)*Population_Tables!K12</f>
        <v>74327.479719353694</v>
      </c>
      <c r="K94" s="253">
        <f>(K146/Population_Tables!X12)*Population_Tables!L12</f>
        <v>83119.703998728961</v>
      </c>
      <c r="L94" s="170"/>
      <c r="M94" s="170"/>
      <c r="N94" s="195">
        <f t="shared" si="11"/>
        <v>191265.77141315042</v>
      </c>
      <c r="O94" s="195">
        <f t="shared" si="13"/>
        <v>74183.839768933758</v>
      </c>
      <c r="P94" s="195">
        <f t="shared" si="12"/>
        <v>288578.44123056898</v>
      </c>
      <c r="Q94" s="195">
        <f t="shared" si="14"/>
        <v>554028.05241265311</v>
      </c>
      <c r="R94" s="196">
        <f t="shared" si="15"/>
        <v>0.34522759376575968</v>
      </c>
      <c r="S94" s="170"/>
      <c r="T94" s="170"/>
      <c r="U94" s="195">
        <f>N94-N146</f>
        <v>945.29475286218803</v>
      </c>
      <c r="V94" s="195">
        <f t="shared" si="16"/>
        <v>283.10708211016026</v>
      </c>
      <c r="W94" s="195">
        <f t="shared" si="16"/>
        <v>1290.3368468626286</v>
      </c>
      <c r="X94" s="195">
        <f t="shared" si="19"/>
        <v>2518.7386818349769</v>
      </c>
      <c r="Y94" s="207">
        <f t="shared" si="18"/>
        <v>0.37530481414352695</v>
      </c>
      <c r="AC94" s="251">
        <f t="shared" si="17"/>
        <v>0.99831009618030531</v>
      </c>
    </row>
    <row r="95" spans="1:35" ht="15.6" x14ac:dyDescent="0.3">
      <c r="A95" s="206">
        <v>2024</v>
      </c>
      <c r="B95" s="253">
        <f>(B147/Population_Tables!O13)*Population_Tables!C13</f>
        <v>557891.98247923062</v>
      </c>
      <c r="C95" s="253">
        <f>(C147/Population_Tables!P13)*Population_Tables!D13</f>
        <v>164877.36225334683</v>
      </c>
      <c r="D95" s="253">
        <f>(D147/Population_Tables!Q13)*Population_Tables!E13</f>
        <v>50548.49063821922</v>
      </c>
      <c r="E95" s="253">
        <f>(E147/Population_Tables!R13)*Population_Tables!F13</f>
        <v>224120.15964030835</v>
      </c>
      <c r="F95" s="253">
        <f>(F147/Population_Tables!S13)*Population_Tables!G13</f>
        <v>48855.875327164227</v>
      </c>
      <c r="G95" s="253">
        <f>(G147/Population_Tables!T13)*Population_Tables!H13</f>
        <v>79330.60444505098</v>
      </c>
      <c r="H95" s="253">
        <f>(H147/Population_Tables!U13)*Population_Tables!I13</f>
        <v>76831.216498131849</v>
      </c>
      <c r="I95" s="253">
        <f>(I147/Population_Tables!V13)*Population_Tables!J13</f>
        <v>37009.575505877307</v>
      </c>
      <c r="J95" s="253">
        <f>(J147/Population_Tables!W13)*Population_Tables!K13</f>
        <v>75126.796186174688</v>
      </c>
      <c r="K95" s="253">
        <f>(K147/Population_Tables!X13)*Population_Tables!L13</f>
        <v>84383.88286462726</v>
      </c>
      <c r="L95" s="170"/>
      <c r="M95" s="170"/>
      <c r="N95" s="195">
        <f t="shared" si="11"/>
        <v>196144.81846934074</v>
      </c>
      <c r="O95" s="195">
        <f t="shared" si="13"/>
        <v>76831.216498131849</v>
      </c>
      <c r="P95" s="195">
        <f t="shared" si="12"/>
        <v>294756.45733661705</v>
      </c>
      <c r="Q95" s="195">
        <f t="shared" si="14"/>
        <v>567732.4923040896</v>
      </c>
      <c r="R95" s="196">
        <f t="shared" si="15"/>
        <v>0.34548809717285195</v>
      </c>
      <c r="S95" s="170"/>
      <c r="T95" s="170"/>
      <c r="U95" s="195">
        <f t="shared" si="20"/>
        <v>1407.9513657001662</v>
      </c>
      <c r="V95" s="195">
        <f t="shared" si="16"/>
        <v>419.33213947081822</v>
      </c>
      <c r="W95" s="195">
        <f t="shared" si="16"/>
        <v>1871.112385899527</v>
      </c>
      <c r="X95" s="195">
        <f t="shared" si="19"/>
        <v>3698.3958910705114</v>
      </c>
      <c r="Y95" s="207">
        <f t="shared" si="18"/>
        <v>0.38069244266130486</v>
      </c>
      <c r="AC95" s="251">
        <f t="shared" si="17"/>
        <v>0.99994217755784387</v>
      </c>
    </row>
    <row r="96" spans="1:35" ht="15.6" x14ac:dyDescent="0.3">
      <c r="A96" s="206">
        <v>2025</v>
      </c>
      <c r="B96" s="253">
        <f>(B148/Population_Tables!O14)*Population_Tables!C14</f>
        <v>571789.91835260089</v>
      </c>
      <c r="C96" s="253">
        <f>(C148/Population_Tables!P14)*Population_Tables!D14</f>
        <v>168034.54839120025</v>
      </c>
      <c r="D96" s="253">
        <f>(D148/Population_Tables!Q14)*Population_Tables!E14</f>
        <v>51653.487899310276</v>
      </c>
      <c r="E96" s="253">
        <f>(E148/Population_Tables!R14)*Population_Tables!F14</f>
        <v>230490.08224146222</v>
      </c>
      <c r="F96" s="253">
        <f>(F148/Population_Tables!S14)*Population_Tables!G14</f>
        <v>50199.358944409942</v>
      </c>
      <c r="G96" s="253">
        <f>(G148/Population_Tables!T14)*Population_Tables!H14</f>
        <v>81402.945918117213</v>
      </c>
      <c r="H96" s="253">
        <f>(H148/Population_Tables!U14)*Population_Tables!I14</f>
        <v>79406.289674710002</v>
      </c>
      <c r="I96" s="253">
        <f>(I148/Population_Tables!V14)*Population_Tables!J14</f>
        <v>38772.15826267442</v>
      </c>
      <c r="J96" s="253">
        <f>(J148/Population_Tables!W14)*Population_Tables!K14</f>
        <v>75926.653877651232</v>
      </c>
      <c r="K96" s="253">
        <f>(K148/Population_Tables!X14)*Population_Tables!L14</f>
        <v>85661.531672305835</v>
      </c>
      <c r="L96" s="170"/>
      <c r="M96" s="170"/>
      <c r="N96" s="195">
        <f t="shared" si="11"/>
        <v>201283.15151116217</v>
      </c>
      <c r="O96" s="195">
        <f t="shared" si="13"/>
        <v>79406.289674710002</v>
      </c>
      <c r="P96" s="195">
        <f t="shared" si="12"/>
        <v>301090.98220862774</v>
      </c>
      <c r="Q96" s="195">
        <f t="shared" si="14"/>
        <v>581780.42339449993</v>
      </c>
      <c r="R96" s="196">
        <f t="shared" si="15"/>
        <v>0.34597786968619587</v>
      </c>
      <c r="S96" s="170"/>
      <c r="T96" s="170"/>
      <c r="U96" s="195">
        <f t="shared" si="20"/>
        <v>1936.7338480361504</v>
      </c>
      <c r="V96" s="195">
        <f t="shared" si="16"/>
        <v>574.37277322295995</v>
      </c>
      <c r="W96" s="195">
        <f t="shared" si="16"/>
        <v>2533.7702815479133</v>
      </c>
      <c r="X96" s="195">
        <f t="shared" si="19"/>
        <v>5044.8769028070237</v>
      </c>
      <c r="Y96" s="207">
        <f t="shared" si="18"/>
        <v>0.38390111103772045</v>
      </c>
      <c r="AC96" s="251">
        <f t="shared" si="17"/>
        <v>1.0003836510120168</v>
      </c>
    </row>
    <row r="97" spans="1:29" ht="15.6" x14ac:dyDescent="0.3">
      <c r="A97" s="206">
        <v>2026</v>
      </c>
      <c r="B97" s="253">
        <f>(B149/Population_Tables!O15)*Population_Tables!C15</f>
        <v>586048.17823963659</v>
      </c>
      <c r="C97" s="253">
        <f>(C149/Population_Tables!P15)*Population_Tables!D15</f>
        <v>171264.50023224135</v>
      </c>
      <c r="D97" s="253">
        <f>(D149/Population_Tables!Q15)*Population_Tables!E15</f>
        <v>52778.690548690662</v>
      </c>
      <c r="E97" s="253">
        <f>(E149/Population_Tables!R15)*Population_Tables!F15</f>
        <v>236999.6481671526</v>
      </c>
      <c r="F97" s="253">
        <f>(F149/Population_Tables!S15)*Population_Tables!G15</f>
        <v>51589.32733858229</v>
      </c>
      <c r="G97" s="253">
        <f>(G149/Population_Tables!T15)*Population_Tables!H15</f>
        <v>83540.934384349384</v>
      </c>
      <c r="H97" s="253">
        <f>(H149/Population_Tables!U15)*Population_Tables!I15</f>
        <v>81910.201946731075</v>
      </c>
      <c r="I97" s="253">
        <f>(I149/Population_Tables!V15)*Population_Tables!J15</f>
        <v>40592.912991761965</v>
      </c>
      <c r="J97" s="253">
        <f>(J149/Population_Tables!W15)*Population_Tables!K15</f>
        <v>76726.188382700508</v>
      </c>
      <c r="K97" s="253">
        <f>(K149/Population_Tables!X15)*Population_Tables!L15</f>
        <v>86951.262236985742</v>
      </c>
      <c r="L97" s="170"/>
      <c r="M97" s="170"/>
      <c r="N97" s="195">
        <f t="shared" si="11"/>
        <v>206678.77355900384</v>
      </c>
      <c r="O97" s="195">
        <f t="shared" si="13"/>
        <v>81910.201946731075</v>
      </c>
      <c r="P97" s="195">
        <f t="shared" si="12"/>
        <v>307584.12516528141</v>
      </c>
      <c r="Q97" s="195">
        <f t="shared" si="14"/>
        <v>596173.10067101638</v>
      </c>
      <c r="R97" s="196">
        <f t="shared" si="15"/>
        <v>0.34667577810266637</v>
      </c>
      <c r="S97" s="170"/>
      <c r="T97" s="170"/>
      <c r="U97" s="195">
        <f>N97-N149</f>
        <v>2529.5622761012055</v>
      </c>
      <c r="V97" s="195">
        <f t="shared" si="16"/>
        <v>747.45694678054133</v>
      </c>
      <c r="W97" s="195">
        <f t="shared" si="16"/>
        <v>3278.5833261475782</v>
      </c>
      <c r="X97" s="195">
        <f t="shared" si="19"/>
        <v>6555.602549029325</v>
      </c>
      <c r="Y97" s="207">
        <f t="shared" si="18"/>
        <v>0.38586266589266499</v>
      </c>
      <c r="AC97" s="251">
        <f t="shared" si="17"/>
        <v>1.0002215387878797</v>
      </c>
    </row>
    <row r="98" spans="1:29" ht="15.6" x14ac:dyDescent="0.3">
      <c r="A98" s="206">
        <v>2027</v>
      </c>
      <c r="B98" s="253">
        <f>(B150/Population_Tables!O16)*Population_Tables!C16</f>
        <v>600668.1717145989</v>
      </c>
      <c r="C98" s="253">
        <f>(C150/Population_Tables!P16)*Population_Tables!D16</f>
        <v>174567.92214853689</v>
      </c>
      <c r="D98" s="253">
        <f>(D150/Population_Tables!Q16)*Population_Tables!E16</f>
        <v>53925.701815307431</v>
      </c>
      <c r="E98" s="253">
        <f>(E150/Population_Tables!R16)*Population_Tables!F16</f>
        <v>243649.52365272044</v>
      </c>
      <c r="F98" s="253">
        <f>(F150/Population_Tables!S16)*Population_Tables!G16</f>
        <v>53026.384751043232</v>
      </c>
      <c r="G98" s="253">
        <f>(G150/Population_Tables!T16)*Population_Tables!H16</f>
        <v>85741.477246466777</v>
      </c>
      <c r="H98" s="253">
        <f>(H150/Population_Tables!U16)*Population_Tables!I16</f>
        <v>84344.574254873674</v>
      </c>
      <c r="I98" s="253">
        <f>(I150/Population_Tables!V16)*Population_Tables!J16</f>
        <v>42470.457005610995</v>
      </c>
      <c r="J98" s="253">
        <f>(J150/Population_Tables!W16)*Population_Tables!K16</f>
        <v>77525.029820390773</v>
      </c>
      <c r="K98" s="253">
        <f>(K150/Population_Tables!X16)*Population_Tables!L16</f>
        <v>88252.530839186336</v>
      </c>
      <c r="L98" s="170"/>
      <c r="M98" s="170"/>
      <c r="N98" s="195">
        <f t="shared" si="11"/>
        <v>212331.33414888999</v>
      </c>
      <c r="O98" s="195">
        <f t="shared" si="13"/>
        <v>84344.574254873674</v>
      </c>
      <c r="P98" s="195">
        <f t="shared" si="12"/>
        <v>314235.10121031111</v>
      </c>
      <c r="Q98" s="195">
        <f t="shared" si="14"/>
        <v>610911.00961407484</v>
      </c>
      <c r="R98" s="196">
        <f t="shared" si="15"/>
        <v>0.34756508035928851</v>
      </c>
      <c r="S98" s="170"/>
      <c r="T98" s="170"/>
      <c r="U98" s="195">
        <f t="shared" si="20"/>
        <v>3186.0032417616458</v>
      </c>
      <c r="V98" s="195">
        <f t="shared" si="16"/>
        <v>938.290916173195</v>
      </c>
      <c r="W98" s="195">
        <f t="shared" si="16"/>
        <v>4102.929997091007</v>
      </c>
      <c r="X98" s="195">
        <f t="shared" si="19"/>
        <v>8227.2241550258477</v>
      </c>
      <c r="Y98" s="207">
        <f t="shared" si="18"/>
        <v>0.38725129906851752</v>
      </c>
      <c r="AC98" s="251">
        <f t="shared" si="17"/>
        <v>0.99983681448538209</v>
      </c>
    </row>
    <row r="99" spans="1:29" ht="15.6" x14ac:dyDescent="0.3">
      <c r="A99" s="206">
        <v>2028</v>
      </c>
      <c r="B99" s="253">
        <f>(B151/Population_Tables!O17)*Population_Tables!C17</f>
        <v>615657.46297643264</v>
      </c>
      <c r="C99" s="253">
        <f>(C151/Population_Tables!P17)*Population_Tables!D17</f>
        <v>177946.80370085864</v>
      </c>
      <c r="D99" s="253">
        <f>(D151/Population_Tables!Q17)*Population_Tables!E17</f>
        <v>55095.559380066021</v>
      </c>
      <c r="E99" s="253">
        <f>(E151/Population_Tables!R17)*Population_Tables!F17</f>
        <v>250443.44951455941</v>
      </c>
      <c r="F99" s="253">
        <f>(F151/Population_Tables!S17)*Population_Tables!G17</f>
        <v>54511.399521364001</v>
      </c>
      <c r="G99" s="253">
        <f>(G151/Population_Tables!T17)*Population_Tables!H17</f>
        <v>88003.61200657778</v>
      </c>
      <c r="H99" s="253">
        <f>(H151/Population_Tables!U17)*Population_Tables!I17</f>
        <v>86711.506187381223</v>
      </c>
      <c r="I99" s="253">
        <f>(I151/Population_Tables!V17)*Population_Tables!J17</f>
        <v>44404.282972762128</v>
      </c>
      <c r="J99" s="253">
        <f>(J151/Population_Tables!W17)*Population_Tables!K17</f>
        <v>78323.308872939451</v>
      </c>
      <c r="K99" s="253">
        <f>(K151/Population_Tables!X17)*Population_Tables!L17</f>
        <v>89565.53211003427</v>
      </c>
      <c r="L99" s="170"/>
      <c r="M99" s="170"/>
      <c r="N99" s="195">
        <f t="shared" si="11"/>
        <v>218243.3428485422</v>
      </c>
      <c r="O99" s="195">
        <f t="shared" si="13"/>
        <v>86711.506187381223</v>
      </c>
      <c r="P99" s="195">
        <f t="shared" si="12"/>
        <v>321045.97508750245</v>
      </c>
      <c r="Q99" s="195">
        <f t="shared" si="14"/>
        <v>626000.82412342587</v>
      </c>
      <c r="R99" s="196">
        <f t="shared" si="15"/>
        <v>0.34863107912700148</v>
      </c>
      <c r="S99" s="170"/>
      <c r="T99" s="170"/>
      <c r="U99" s="195">
        <f t="shared" si="20"/>
        <v>3908.4833685809572</v>
      </c>
      <c r="V99" s="195">
        <f t="shared" si="16"/>
        <v>1147.0595849954116</v>
      </c>
      <c r="W99" s="195">
        <f t="shared" si="16"/>
        <v>5007.0385118232807</v>
      </c>
      <c r="X99" s="195">
        <f t="shared" si="19"/>
        <v>10062.581465399649</v>
      </c>
      <c r="Y99" s="207">
        <f t="shared" si="18"/>
        <v>0.38841756283120199</v>
      </c>
      <c r="AC99" s="251">
        <f t="shared" si="17"/>
        <v>0.99938760917983571</v>
      </c>
    </row>
    <row r="100" spans="1:29" ht="15.6" x14ac:dyDescent="0.3">
      <c r="A100" s="206">
        <v>2029</v>
      </c>
      <c r="B100" s="253">
        <f>(B152/Population_Tables!O18)*Population_Tables!C18</f>
        <v>631025.72847174678</v>
      </c>
      <c r="C100" s="253">
        <f>(C152/Population_Tables!P18)*Population_Tables!D18</f>
        <v>181404.04677529851</v>
      </c>
      <c r="D100" s="253">
        <f>(D152/Population_Tables!Q18)*Population_Tables!E18</f>
        <v>56289.157368734908</v>
      </c>
      <c r="E100" s="253">
        <f>(E152/Population_Tables!R18)*Population_Tables!F18</f>
        <v>257387.44194498626</v>
      </c>
      <c r="F100" s="253">
        <f>(F152/Population_Tables!S18)*Population_Tables!G18</f>
        <v>56045.096732866972</v>
      </c>
      <c r="G100" s="253">
        <f>(G152/Population_Tables!T18)*Population_Tables!H18</f>
        <v>90325.201299417226</v>
      </c>
      <c r="H100" s="253">
        <f>(H152/Population_Tables!U18)*Population_Tables!I18</f>
        <v>89013.497267721687</v>
      </c>
      <c r="I100" s="253">
        <f>(I152/Population_Tables!V18)*Population_Tables!J18</f>
        <v>46394.510034976054</v>
      </c>
      <c r="J100" s="253">
        <f>(J152/Population_Tables!W18)*Population_Tables!K18</f>
        <v>79121.456175142463</v>
      </c>
      <c r="K100" s="253">
        <f>(K152/Population_Tables!X18)*Population_Tables!L18</f>
        <v>90891.019232094259</v>
      </c>
      <c r="L100" s="170"/>
      <c r="M100" s="170"/>
      <c r="N100" s="195">
        <f t="shared" si="11"/>
        <v>224419.04141013155</v>
      </c>
      <c r="O100" s="195">
        <f t="shared" si="13"/>
        <v>89013.497267721687</v>
      </c>
      <c r="P100" s="195">
        <f t="shared" si="12"/>
        <v>328018.40544345067</v>
      </c>
      <c r="Q100" s="195">
        <f t="shared" si="14"/>
        <v>641450.94412130397</v>
      </c>
      <c r="R100" s="196">
        <f t="shared" si="15"/>
        <v>0.34986158094685404</v>
      </c>
      <c r="S100" s="170"/>
      <c r="T100" s="170"/>
      <c r="U100" s="195">
        <f t="shared" si="20"/>
        <v>4701.1614645723021</v>
      </c>
      <c r="V100" s="195">
        <f t="shared" si="16"/>
        <v>1374.3477920662117</v>
      </c>
      <c r="W100" s="195">
        <f t="shared" si="16"/>
        <v>5990.730990599026</v>
      </c>
      <c r="X100" s="195">
        <f t="shared" si="19"/>
        <v>12066.24024723754</v>
      </c>
      <c r="Y100" s="207">
        <f t="shared" si="18"/>
        <v>0.38961278478178751</v>
      </c>
      <c r="AC100" s="251">
        <f t="shared" si="17"/>
        <v>0.9989778495250009</v>
      </c>
    </row>
    <row r="101" spans="1:29" ht="15.6" x14ac:dyDescent="0.3">
      <c r="A101" s="206">
        <v>2030</v>
      </c>
      <c r="B101" s="253">
        <f>(B153/Population_Tables!O19)*Population_Tables!C19</f>
        <v>646783.24704840861</v>
      </c>
      <c r="C101" s="253">
        <f>(C153/Population_Tables!P19)*Population_Tables!D19</f>
        <v>184942.4895888904</v>
      </c>
      <c r="D101" s="253">
        <f>(D153/Population_Tables!Q19)*Population_Tables!E19</f>
        <v>57507.544581612143</v>
      </c>
      <c r="E101" s="253">
        <f>(E153/Population_Tables!R19)*Population_Tables!F19</f>
        <v>264487.46677997505</v>
      </c>
      <c r="F101" s="253">
        <f>(F153/Population_Tables!S19)*Population_Tables!G19</f>
        <v>57628.359581635792</v>
      </c>
      <c r="G101" s="253">
        <f>(G153/Population_Tables!T19)*Population_Tables!H19</f>
        <v>92704.616442570594</v>
      </c>
      <c r="H101" s="253">
        <f>(H153/Population_Tables!U19)*Population_Tables!I19</f>
        <v>91252.974608059449</v>
      </c>
      <c r="I101" s="253">
        <f>(I153/Population_Tables!V19)*Population_Tables!J19</f>
        <v>48441.276944757272</v>
      </c>
      <c r="J101" s="253">
        <f>(J153/Population_Tables!W19)*Population_Tables!K19</f>
        <v>79919.903591932147</v>
      </c>
      <c r="K101" s="253">
        <f>(K153/Population_Tables!X19)*Population_Tables!L19</f>
        <v>92229.609103413022</v>
      </c>
      <c r="L101" s="170"/>
      <c r="M101" s="170"/>
      <c r="N101" s="195">
        <f t="shared" si="11"/>
        <v>230862.8517535514</v>
      </c>
      <c r="O101" s="195">
        <f t="shared" si="13"/>
        <v>91252.974608059449</v>
      </c>
      <c r="P101" s="195">
        <f t="shared" si="12"/>
        <v>335154.65061307314</v>
      </c>
      <c r="Q101" s="195">
        <f t="shared" si="14"/>
        <v>657270.47697468405</v>
      </c>
      <c r="R101" s="196">
        <f t="shared" si="15"/>
        <v>0.35124482209543012</v>
      </c>
      <c r="S101" s="170"/>
      <c r="T101" s="170"/>
      <c r="U101" s="195">
        <f t="shared" si="20"/>
        <v>5568.376505470922</v>
      </c>
      <c r="V101" s="195">
        <f t="shared" si="16"/>
        <v>1620.6679649010475</v>
      </c>
      <c r="W101" s="195">
        <f t="shared" si="16"/>
        <v>7054.4292419949197</v>
      </c>
      <c r="X101" s="195">
        <f t="shared" si="19"/>
        <v>14243.473712366889</v>
      </c>
      <c r="Y101" s="207">
        <f t="shared" si="18"/>
        <v>0.39094230929328577</v>
      </c>
      <c r="AC101" s="251">
        <f t="shared" si="17"/>
        <v>0.99864581653006679</v>
      </c>
    </row>
    <row r="102" spans="1:29" ht="15.6" x14ac:dyDescent="0.3">
      <c r="A102" s="206">
        <v>2031</v>
      </c>
      <c r="B102" s="253">
        <f>(B154/Population_Tables!O20)*Population_Tables!C20</f>
        <v>662937.5146399918</v>
      </c>
      <c r="C102" s="253">
        <f>(C154/Population_Tables!P20)*Population_Tables!D20</f>
        <v>188563.57771123905</v>
      </c>
      <c r="D102" s="253">
        <f>(D154/Population_Tables!Q20)*Population_Tables!E20</f>
        <v>58751.956421219671</v>
      </c>
      <c r="E102" s="253">
        <f>(E154/Population_Tables!R20)*Population_Tables!F20</f>
        <v>271746.26510623709</v>
      </c>
      <c r="F102" s="253">
        <f>(F154/Population_Tables!S20)*Population_Tables!G20</f>
        <v>59262.344340210395</v>
      </c>
      <c r="G102" s="253">
        <f>(G154/Population_Tables!T20)*Population_Tables!H20</f>
        <v>95142.160121662251</v>
      </c>
      <c r="H102" s="253">
        <f>(H154/Population_Tables!U20)*Population_Tables!I20</f>
        <v>93431.706292769086</v>
      </c>
      <c r="I102" s="253">
        <f>(I154/Population_Tables!V20)*Population_Tables!J20</f>
        <v>50543.703462319107</v>
      </c>
      <c r="J102" s="253">
        <f>(J154/Population_Tables!W20)*Population_Tables!K20</f>
        <v>80718.556137527019</v>
      </c>
      <c r="K102" s="253">
        <f>(K154/Population_Tables!X20)*Population_Tables!L20</f>
        <v>93581.014641328802</v>
      </c>
      <c r="L102" s="170"/>
      <c r="M102" s="170"/>
      <c r="N102" s="195">
        <f t="shared" si="11"/>
        <v>237576.90315367837</v>
      </c>
      <c r="O102" s="195">
        <f t="shared" si="13"/>
        <v>93431.706292769086</v>
      </c>
      <c r="P102" s="195">
        <f t="shared" si="12"/>
        <v>342457.69425412099</v>
      </c>
      <c r="Q102" s="195">
        <f t="shared" si="14"/>
        <v>673466.30370056839</v>
      </c>
      <c r="R102" s="196">
        <f t="shared" si="15"/>
        <v>0.35276732012906775</v>
      </c>
      <c r="S102" s="170"/>
      <c r="T102" s="170"/>
      <c r="U102" s="195">
        <f t="shared" si="20"/>
        <v>6512.1748219955771</v>
      </c>
      <c r="V102" s="195">
        <f t="shared" si="16"/>
        <v>1885.8735032255208</v>
      </c>
      <c r="W102" s="195">
        <f t="shared" si="16"/>
        <v>8199.2803974216222</v>
      </c>
      <c r="X102" s="195">
        <f t="shared" si="19"/>
        <v>16597.32872264272</v>
      </c>
      <c r="Y102" s="207">
        <f t="shared" si="18"/>
        <v>0.39236282722480609</v>
      </c>
      <c r="AC102" s="251">
        <f t="shared" si="17"/>
        <v>0.99837233096639721</v>
      </c>
    </row>
    <row r="103" spans="1:29" ht="15.6" x14ac:dyDescent="0.3">
      <c r="A103" s="206">
        <v>2032</v>
      </c>
      <c r="B103" s="253">
        <f>(B155/Population_Tables!O21)*Population_Tables!C21</f>
        <v>679485.76348041464</v>
      </c>
      <c r="C103" s="253">
        <f>(C155/Population_Tables!P21)*Population_Tables!D21</f>
        <v>192266.0988325192</v>
      </c>
      <c r="D103" s="253">
        <f>(D155/Population_Tables!Q21)*Population_Tables!E21</f>
        <v>60023.174776747903</v>
      </c>
      <c r="E103" s="253">
        <f>(E155/Population_Tables!R21)*Population_Tables!F21</f>
        <v>279161.42700544401</v>
      </c>
      <c r="F103" s="253">
        <f>(F155/Population_Tables!S21)*Population_Tables!G21</f>
        <v>60947.378676567292</v>
      </c>
      <c r="G103" s="253">
        <f>(G155/Population_Tables!T21)*Population_Tables!H21</f>
        <v>97637.665655373887</v>
      </c>
      <c r="H103" s="253">
        <f>(H155/Population_Tables!U21)*Population_Tables!I21</f>
        <v>95550.197860659784</v>
      </c>
      <c r="I103" s="253">
        <f>(I155/Population_Tables!V21)*Population_Tables!J21</f>
        <v>52699.574577342028</v>
      </c>
      <c r="J103" s="253">
        <f>(J155/Population_Tables!W21)*Population_Tables!K21</f>
        <v>81516.364565101714</v>
      </c>
      <c r="K103" s="253">
        <f>(K155/Population_Tables!X21)*Population_Tables!L21</f>
        <v>94943.343473989808</v>
      </c>
      <c r="L103" s="170"/>
      <c r="M103" s="170"/>
      <c r="N103" s="195">
        <f t="shared" si="11"/>
        <v>244558.6078213515</v>
      </c>
      <c r="O103" s="195">
        <f t="shared" si="13"/>
        <v>95550.197860659784</v>
      </c>
      <c r="P103" s="195">
        <f t="shared" si="12"/>
        <v>349926.93926464103</v>
      </c>
      <c r="Q103" s="195">
        <f t="shared" si="14"/>
        <v>690035.74494665232</v>
      </c>
      <c r="R103" s="196">
        <f t="shared" si="15"/>
        <v>0.35441440477878239</v>
      </c>
      <c r="S103" s="170"/>
      <c r="T103" s="170"/>
      <c r="U103" s="195">
        <f t="shared" si="20"/>
        <v>7529.8856808271958</v>
      </c>
      <c r="V103" s="195">
        <f t="shared" si="16"/>
        <v>2168.5552611999301</v>
      </c>
      <c r="W103" s="195">
        <f t="shared" si="16"/>
        <v>9422.8508285853313</v>
      </c>
      <c r="X103" s="195">
        <f t="shared" si="19"/>
        <v>19121.291770612457</v>
      </c>
      <c r="Y103" s="207">
        <f t="shared" si="18"/>
        <v>0.39379586751559792</v>
      </c>
      <c r="AC103" s="251">
        <f t="shared" si="17"/>
        <v>0.99810654410063182</v>
      </c>
    </row>
    <row r="104" spans="1:29" ht="15.6" x14ac:dyDescent="0.3">
      <c r="A104" s="206">
        <v>2033</v>
      </c>
      <c r="B104" s="253">
        <f>(B156/Population_Tables!O22)*Population_Tables!C22</f>
        <v>696408.1389299219</v>
      </c>
      <c r="C104" s="253">
        <f>(C156/Population_Tables!P22)*Population_Tables!D22</f>
        <v>196045.49628626346</v>
      </c>
      <c r="D104" s="253">
        <f>(D156/Population_Tables!Q22)*Population_Tables!E22</f>
        <v>61320.711277678034</v>
      </c>
      <c r="E104" s="253">
        <f>(E156/Population_Tables!R22)*Population_Tables!F22</f>
        <v>286724.33039300132</v>
      </c>
      <c r="F104" s="253">
        <f>(F156/Population_Tables!S22)*Population_Tables!G22</f>
        <v>62681.804645770018</v>
      </c>
      <c r="G104" s="253">
        <f>(G156/Population_Tables!T22)*Population_Tables!H22</f>
        <v>100187.46436842771</v>
      </c>
      <c r="H104" s="253">
        <f>(H156/Population_Tables!U22)*Population_Tables!I22</f>
        <v>97607.321700079134</v>
      </c>
      <c r="I104" s="253">
        <f>(I156/Population_Tables!V22)*Population_Tables!J22</f>
        <v>54905.190664945796</v>
      </c>
      <c r="J104" s="253">
        <f>(J156/Population_Tables!W22)*Population_Tables!K22</f>
        <v>82311.114147398126</v>
      </c>
      <c r="K104" s="253">
        <f>(K156/Population_Tables!X22)*Population_Tables!L22</f>
        <v>96312.728756350974</v>
      </c>
      <c r="L104" s="170"/>
      <c r="M104" s="170"/>
      <c r="N104" s="195">
        <f t="shared" si="11"/>
        <v>251798.81333869218</v>
      </c>
      <c r="O104" s="195">
        <f t="shared" si="13"/>
        <v>97607.321700079134</v>
      </c>
      <c r="P104" s="195">
        <f t="shared" si="12"/>
        <v>357553.67193236918</v>
      </c>
      <c r="Q104" s="195">
        <f t="shared" si="14"/>
        <v>706959.80697114044</v>
      </c>
      <c r="R104" s="196">
        <f t="shared" si="15"/>
        <v>0.35617132806670454</v>
      </c>
      <c r="S104" s="170"/>
      <c r="T104" s="170"/>
      <c r="U104" s="195">
        <f t="shared" si="20"/>
        <v>8612.2737199291587</v>
      </c>
      <c r="V104" s="195">
        <f t="shared" si="16"/>
        <v>2465.6709425228764</v>
      </c>
      <c r="W104" s="195">
        <f t="shared" si="16"/>
        <v>10714.590296881448</v>
      </c>
      <c r="X104" s="195">
        <f t="shared" si="19"/>
        <v>21792.534959333483</v>
      </c>
      <c r="Y104" s="207">
        <f t="shared" si="18"/>
        <v>0.39519375492572628</v>
      </c>
      <c r="AC104" s="251">
        <f t="shared" si="17"/>
        <v>0.99778256083982453</v>
      </c>
    </row>
    <row r="105" spans="1:29" ht="15.6" x14ac:dyDescent="0.3">
      <c r="A105" s="206">
        <v>2034</v>
      </c>
      <c r="B105" s="253">
        <f>(B157/Population_Tables!O23)*Population_Tables!C23</f>
        <v>713674.93723927764</v>
      </c>
      <c r="C105" s="253">
        <f>(C157/Population_Tables!P23)*Population_Tables!D23</f>
        <v>199894.9081582551</v>
      </c>
      <c r="D105" s="253">
        <f>(D157/Population_Tables!Q23)*Population_Tables!E23</f>
        <v>62643.395718616404</v>
      </c>
      <c r="E105" s="253">
        <f>(E157/Population_Tables!R23)*Population_Tables!F23</f>
        <v>294421.94927610713</v>
      </c>
      <c r="F105" s="253">
        <f>(F157/Population_Tables!S23)*Population_Tables!G23</f>
        <v>64463.092049836741</v>
      </c>
      <c r="G105" s="253">
        <f>(G157/Population_Tables!T23)*Population_Tables!H23</f>
        <v>102786.47741232316</v>
      </c>
      <c r="H105" s="253">
        <f>(H157/Population_Tables!U23)*Population_Tables!I23</f>
        <v>99600.813817082628</v>
      </c>
      <c r="I105" s="253">
        <f>(I157/Population_Tables!V23)*Population_Tables!J23</f>
        <v>57155.647695969397</v>
      </c>
      <c r="J105" s="253">
        <f>(J157/Population_Tables!W23)*Population_Tables!K23</f>
        <v>83099.780239634085</v>
      </c>
      <c r="K105" s="253">
        <f>(K157/Population_Tables!X23)*Population_Tables!L23</f>
        <v>97684.079620724078</v>
      </c>
      <c r="L105" s="170"/>
      <c r="M105" s="170"/>
      <c r="N105" s="195">
        <f t="shared" si="11"/>
        <v>259284.22750886128</v>
      </c>
      <c r="O105" s="195">
        <f t="shared" si="13"/>
        <v>99600.813817082628</v>
      </c>
      <c r="P105" s="195">
        <f t="shared" si="12"/>
        <v>365324.78128919465</v>
      </c>
      <c r="Q105" s="195">
        <f t="shared" si="14"/>
        <v>724209.8226151386</v>
      </c>
      <c r="R105" s="196">
        <f t="shared" si="15"/>
        <v>0.35802362714797192</v>
      </c>
      <c r="S105" s="170"/>
      <c r="T105" s="170"/>
      <c r="U105" s="195">
        <f t="shared" si="20"/>
        <v>9745.9637983044086</v>
      </c>
      <c r="V105" s="195">
        <f t="shared" si="16"/>
        <v>2773.0418686009216</v>
      </c>
      <c r="W105" s="195">
        <f t="shared" si="16"/>
        <v>12059.551307858492</v>
      </c>
      <c r="X105" s="195">
        <f t="shared" si="19"/>
        <v>24578.556974763822</v>
      </c>
      <c r="Y105" s="207">
        <f t="shared" si="18"/>
        <v>0.3965230264865075</v>
      </c>
      <c r="AC105" s="251">
        <f t="shared" si="17"/>
        <v>0.99735501993726294</v>
      </c>
    </row>
    <row r="106" spans="1:29" ht="15.6" x14ac:dyDescent="0.3">
      <c r="A106" s="206">
        <v>2035</v>
      </c>
      <c r="B106" s="253">
        <f>(B158/Population_Tables!O24)*Population_Tables!C24</f>
        <v>731265.29906982079</v>
      </c>
      <c r="C106" s="253">
        <f>(C158/Population_Tables!P24)*Population_Tables!D24</f>
        <v>203809.27085941556</v>
      </c>
      <c r="D106" s="253">
        <f>(D158/Population_Tables!Q24)*Population_Tables!E24</f>
        <v>63990.542569639838</v>
      </c>
      <c r="E106" s="253">
        <f>(E158/Population_Tables!R24)*Population_Tables!F24</f>
        <v>302244.73529082054</v>
      </c>
      <c r="F106" s="253">
        <f>(F158/Population_Tables!S24)*Population_Tables!G24</f>
        <v>66289.701861961163</v>
      </c>
      <c r="G106" s="253">
        <f>(G158/Population_Tables!T24)*Population_Tables!H24</f>
        <v>105430.81532769203</v>
      </c>
      <c r="H106" s="253">
        <f>(H158/Population_Tables!U24)*Population_Tables!I24</f>
        <v>101529.18660827848</v>
      </c>
      <c r="I106" s="253">
        <f>(I158/Population_Tables!V24)*Population_Tables!J24</f>
        <v>59446.70462961118</v>
      </c>
      <c r="J106" s="253">
        <f>(J158/Population_Tables!W24)*Population_Tables!K24</f>
        <v>83880.072517948211</v>
      </c>
      <c r="K106" s="253">
        <f>(K158/Population_Tables!X24)*Population_Tables!L24</f>
        <v>99053.502574375816</v>
      </c>
      <c r="L106" s="170"/>
      <c r="M106" s="170"/>
      <c r="N106" s="195">
        <f t="shared" si="11"/>
        <v>267005.25054450321</v>
      </c>
      <c r="O106" s="195">
        <f t="shared" si="13"/>
        <v>101529.18660827848</v>
      </c>
      <c r="P106" s="195">
        <f t="shared" si="12"/>
        <v>373230.62875674741</v>
      </c>
      <c r="Q106" s="195">
        <f t="shared" si="14"/>
        <v>741765.0659095291</v>
      </c>
      <c r="R106" s="196">
        <f t="shared" si="15"/>
        <v>0.35995932245354495</v>
      </c>
      <c r="S106" s="170"/>
      <c r="T106" s="170"/>
      <c r="U106" s="195">
        <f t="shared" si="20"/>
        <v>10921.273184439284</v>
      </c>
      <c r="V106" s="195">
        <f t="shared" si="16"/>
        <v>3087.2657513933518</v>
      </c>
      <c r="W106" s="195">
        <f t="shared" si="16"/>
        <v>13446.25875680591</v>
      </c>
      <c r="X106" s="195">
        <f t="shared" si="19"/>
        <v>27454.797692638545</v>
      </c>
      <c r="Y106" s="207">
        <f t="shared" si="18"/>
        <v>0.39779106394098851</v>
      </c>
      <c r="AC106" s="251">
        <f t="shared" si="17"/>
        <v>0.99683113446447169</v>
      </c>
    </row>
    <row r="107" spans="1:29" ht="15.6" x14ac:dyDescent="0.3">
      <c r="A107" s="206">
        <v>2036</v>
      </c>
      <c r="B107" s="253">
        <f>(B159/Population_Tables!O25)*Population_Tables!C25</f>
        <v>749173.53205206315</v>
      </c>
      <c r="C107" s="253">
        <f>(C159/Population_Tables!P25)*Population_Tables!D25</f>
        <v>207786.68489098584</v>
      </c>
      <c r="D107" s="253">
        <f>(D159/Population_Tables!Q25)*Population_Tables!E25</f>
        <v>65362.280013791009</v>
      </c>
      <c r="E107" s="253">
        <f>(E159/Population_Tables!R25)*Population_Tables!F25</f>
        <v>310189.5169033031</v>
      </c>
      <c r="F107" s="253">
        <f>(F159/Population_Tables!S25)*Population_Tables!G25</f>
        <v>68161.673755186261</v>
      </c>
      <c r="G107" s="253">
        <f>(G159/Population_Tables!T25)*Population_Tables!H25</f>
        <v>108118.52445082848</v>
      </c>
      <c r="H107" s="253">
        <f>(H159/Population_Tables!U25)*Population_Tables!I25</f>
        <v>103392.42651281574</v>
      </c>
      <c r="I107" s="253">
        <f>(I159/Population_Tables!V25)*Population_Tables!J25</f>
        <v>61775.691795369181</v>
      </c>
      <c r="J107" s="253">
        <f>(J159/Population_Tables!W25)*Population_Tables!K25</f>
        <v>84650.790423626386</v>
      </c>
      <c r="K107" s="253">
        <f>(K159/Population_Tables!X25)*Population_Tables!L25</f>
        <v>100419.14470291756</v>
      </c>
      <c r="L107" s="170"/>
      <c r="M107" s="170"/>
      <c r="N107" s="195">
        <f t="shared" si="11"/>
        <v>274958.7641456736</v>
      </c>
      <c r="O107" s="195">
        <f t="shared" si="13"/>
        <v>103392.42651281574</v>
      </c>
      <c r="P107" s="195">
        <f t="shared" si="12"/>
        <v>381267.48935560533</v>
      </c>
      <c r="Q107" s="195">
        <f t="shared" si="14"/>
        <v>759618.68001409469</v>
      </c>
      <c r="R107" s="196">
        <f t="shared" si="15"/>
        <v>0.36196946096766835</v>
      </c>
      <c r="S107" s="170"/>
      <c r="T107" s="170"/>
      <c r="U107" s="195">
        <f t="shared" si="20"/>
        <v>12135.000634231372</v>
      </c>
      <c r="V107" s="195">
        <f t="shared" si="16"/>
        <v>3406.4143454002624</v>
      </c>
      <c r="W107" s="195">
        <f t="shared" si="16"/>
        <v>14869.151137960958</v>
      </c>
      <c r="X107" s="195">
        <f t="shared" si="19"/>
        <v>30410.566117592592</v>
      </c>
      <c r="Y107" s="207">
        <f t="shared" si="18"/>
        <v>0.39903895860758876</v>
      </c>
      <c r="AC107" s="251">
        <f t="shared" si="17"/>
        <v>0.99626002330866115</v>
      </c>
    </row>
    <row r="108" spans="1:29" ht="15.6" x14ac:dyDescent="0.3">
      <c r="A108" s="206">
        <v>2037</v>
      </c>
      <c r="B108" s="253">
        <f>(B160/Population_Tables!O26)*Population_Tables!C26</f>
        <v>767411.77277512068</v>
      </c>
      <c r="C108" s="253">
        <f>(C160/Population_Tables!P26)*Population_Tables!D26</f>
        <v>211829.11189234836</v>
      </c>
      <c r="D108" s="253">
        <f>(D160/Population_Tables!Q26)*Population_Tables!E26</f>
        <v>66759.965587671279</v>
      </c>
      <c r="E108" s="253">
        <f>(E160/Population_Tables!R26)*Population_Tables!F26</f>
        <v>318260.67027466337</v>
      </c>
      <c r="F108" s="253">
        <f>(F160/Population_Tables!S26)*Population_Tables!G26</f>
        <v>70080.775538944465</v>
      </c>
      <c r="G108" s="253">
        <f>(G160/Population_Tables!T26)*Population_Tables!H26</f>
        <v>110850.25062157538</v>
      </c>
      <c r="H108" s="253">
        <f>(H160/Population_Tables!U26)*Population_Tables!I26</f>
        <v>105192.36876285523</v>
      </c>
      <c r="I108" s="253">
        <f>(I160/Population_Tables!V26)*Population_Tables!J26</f>
        <v>64141.619689874402</v>
      </c>
      <c r="J108" s="253">
        <f>(J160/Population_Tables!W26)*Population_Tables!K26</f>
        <v>85412.221953899003</v>
      </c>
      <c r="K108" s="253">
        <f>(K160/Population_Tables!X26)*Population_Tables!L26</f>
        <v>101781.32089482466</v>
      </c>
      <c r="L108" s="170"/>
      <c r="M108" s="170"/>
      <c r="N108" s="195">
        <f t="shared" si="11"/>
        <v>283149.07705075259</v>
      </c>
      <c r="O108" s="195">
        <f t="shared" si="13"/>
        <v>105192.36876285523</v>
      </c>
      <c r="P108" s="195">
        <f t="shared" si="12"/>
        <v>389439.32810159505</v>
      </c>
      <c r="Q108" s="195">
        <f t="shared" si="14"/>
        <v>777780.77391520282</v>
      </c>
      <c r="R108" s="196">
        <f t="shared" si="15"/>
        <v>0.36404741097601723</v>
      </c>
      <c r="S108" s="170"/>
      <c r="T108" s="170"/>
      <c r="U108" s="195">
        <f t="shared" si="20"/>
        <v>13391.371941902849</v>
      </c>
      <c r="V108" s="195">
        <f t="shared" si="16"/>
        <v>3730.4081981335476</v>
      </c>
      <c r="W108" s="195">
        <f t="shared" si="16"/>
        <v>16330.356940809696</v>
      </c>
      <c r="X108" s="195">
        <f t="shared" si="19"/>
        <v>33452.137080846092</v>
      </c>
      <c r="Y108" s="207">
        <f t="shared" si="18"/>
        <v>0.40031439275580494</v>
      </c>
      <c r="AC108" s="251">
        <f t="shared" si="17"/>
        <v>0.995701671300248</v>
      </c>
    </row>
    <row r="109" spans="1:29" ht="15.6" x14ac:dyDescent="0.3">
      <c r="A109" s="206">
        <v>2038</v>
      </c>
      <c r="B109" s="253">
        <f>(B161/Population_Tables!O27)*Population_Tables!C27</f>
        <v>785999.53128359921</v>
      </c>
      <c r="C109" s="253">
        <f>(C161/Population_Tables!P27)*Population_Tables!D27</f>
        <v>215940.15689259689</v>
      </c>
      <c r="D109" s="253">
        <f>(D161/Population_Tables!Q27)*Population_Tables!E27</f>
        <v>68185.598584278734</v>
      </c>
      <c r="E109" s="253">
        <f>(E161/Population_Tables!R27)*Population_Tables!F27</f>
        <v>326465.6051014383</v>
      </c>
      <c r="F109" s="253">
        <f>(F161/Population_Tables!S27)*Population_Tables!G27</f>
        <v>72049.40466003686</v>
      </c>
      <c r="G109" s="253">
        <f>(G161/Population_Tables!T27)*Population_Tables!H27</f>
        <v>113628.22575440365</v>
      </c>
      <c r="H109" s="253">
        <f>(H161/Population_Tables!U27)*Population_Tables!I27</f>
        <v>106931.66947178254</v>
      </c>
      <c r="I109" s="253">
        <f>(I161/Population_Tables!V27)*Population_Tables!J27</f>
        <v>66543.954810633586</v>
      </c>
      <c r="J109" s="253">
        <f>(J161/Population_Tables!W27)*Population_Tables!K27</f>
        <v>86165.331367410152</v>
      </c>
      <c r="K109" s="253">
        <f>(K161/Population_Tables!X27)*Population_Tables!L27</f>
        <v>103141.04888504425</v>
      </c>
      <c r="L109" s="170"/>
      <c r="M109" s="170"/>
      <c r="N109" s="195">
        <f t="shared" si="11"/>
        <v>291583.34028969263</v>
      </c>
      <c r="O109" s="195">
        <f t="shared" si="13"/>
        <v>106931.66947178254</v>
      </c>
      <c r="P109" s="195">
        <f t="shared" si="12"/>
        <v>397753.98123127932</v>
      </c>
      <c r="Q109" s="195">
        <f t="shared" si="14"/>
        <v>796268.99099275446</v>
      </c>
      <c r="R109" s="196">
        <f t="shared" si="15"/>
        <v>0.36618698403181427</v>
      </c>
      <c r="S109" s="170"/>
      <c r="T109" s="170"/>
      <c r="U109" s="195">
        <f t="shared" si="20"/>
        <v>14697.455193248228</v>
      </c>
      <c r="V109" s="195">
        <f t="shared" si="16"/>
        <v>4059.9887383298483</v>
      </c>
      <c r="W109" s="195">
        <f t="shared" si="16"/>
        <v>17835.875875574362</v>
      </c>
      <c r="X109" s="195">
        <f t="shared" si="19"/>
        <v>36593.319807152438</v>
      </c>
      <c r="Y109" s="207">
        <f t="shared" si="18"/>
        <v>0.40164312149605785</v>
      </c>
      <c r="AC109" s="251">
        <f t="shared" si="17"/>
        <v>0.99519317549207098</v>
      </c>
    </row>
    <row r="110" spans="1:29" ht="15.6" x14ac:dyDescent="0.3">
      <c r="A110" s="206">
        <v>2039</v>
      </c>
      <c r="B110" s="253">
        <f>(B162/Population_Tables!O28)*Population_Tables!C28</f>
        <v>804966.57088384032</v>
      </c>
      <c r="C110" s="253">
        <f>(C162/Population_Tables!P28)*Population_Tables!D28</f>
        <v>220125.714319791</v>
      </c>
      <c r="D110" s="253">
        <f>(D162/Population_Tables!Q28)*Population_Tables!E28</f>
        <v>69642.025234228713</v>
      </c>
      <c r="E110" s="253">
        <f>(E162/Population_Tables!R28)*Population_Tables!F28</f>
        <v>334816.27807849058</v>
      </c>
      <c r="F110" s="253">
        <f>(F162/Population_Tables!S28)*Population_Tables!G28</f>
        <v>74070.844663760188</v>
      </c>
      <c r="G110" s="253">
        <f>(G162/Population_Tables!T28)*Population_Tables!H28</f>
        <v>116456.27543531678</v>
      </c>
      <c r="H110" s="253">
        <f>(H162/Population_Tables!U28)*Population_Tables!I28</f>
        <v>108614.11540670085</v>
      </c>
      <c r="I110" s="253">
        <f>(I162/Population_Tables!V28)*Population_Tables!J28</f>
        <v>68983.164053223925</v>
      </c>
      <c r="J110" s="253">
        <f>(J162/Population_Tables!W28)*Population_Tables!K28</f>
        <v>86911.960164032949</v>
      </c>
      <c r="K110" s="253">
        <f>(K162/Population_Tables!X28)*Population_Tables!L28</f>
        <v>104500.47434029759</v>
      </c>
      <c r="L110" s="170"/>
      <c r="M110" s="170"/>
      <c r="N110" s="195">
        <f t="shared" si="11"/>
        <v>300273.00733554992</v>
      </c>
      <c r="O110" s="195">
        <f t="shared" si="13"/>
        <v>108614.11540670085</v>
      </c>
      <c r="P110" s="195">
        <f t="shared" si="12"/>
        <v>406224.01498933649</v>
      </c>
      <c r="Q110" s="195">
        <f t="shared" si="14"/>
        <v>815111.13773158728</v>
      </c>
      <c r="R110" s="196">
        <f t="shared" si="15"/>
        <v>0.36838290318445949</v>
      </c>
      <c r="S110" s="170"/>
      <c r="T110" s="170"/>
      <c r="U110" s="195">
        <f t="shared" si="20"/>
        <v>16064.620917165652</v>
      </c>
      <c r="V110" s="195">
        <f t="shared" si="16"/>
        <v>4397.0280484433752</v>
      </c>
      <c r="W110" s="195">
        <f t="shared" si="16"/>
        <v>19396.437660592666</v>
      </c>
      <c r="X110" s="195">
        <f t="shared" si="19"/>
        <v>39858.086626201693</v>
      </c>
      <c r="Y110" s="207">
        <f t="shared" si="18"/>
        <v>0.40304546145988801</v>
      </c>
      <c r="AC110" s="251">
        <f t="shared" si="17"/>
        <v>0.99476368503656887</v>
      </c>
    </row>
    <row r="111" spans="1:29" ht="15.6" x14ac:dyDescent="0.3">
      <c r="A111" s="206">
        <v>2040</v>
      </c>
      <c r="B111" s="253">
        <f>(B163/Population_Tables!O29)*Population_Tables!C29</f>
        <v>824340.11588389601</v>
      </c>
      <c r="C111" s="253">
        <f>(C163/Population_Tables!P29)*Population_Tables!D29</f>
        <v>224391.02407321669</v>
      </c>
      <c r="D111" s="253">
        <f>(D163/Population_Tables!Q29)*Population_Tables!E29</f>
        <v>71131.862202486038</v>
      </c>
      <c r="E111" s="253">
        <f>(E163/Population_Tables!R29)*Population_Tables!F29</f>
        <v>343323.84126234177</v>
      </c>
      <c r="F111" s="253">
        <f>(F163/Population_Tables!S29)*Population_Tables!G29</f>
        <v>76148.069950809004</v>
      </c>
      <c r="G111" s="253">
        <f>(G163/Population_Tables!T29)*Population_Tables!H29</f>
        <v>119337.83093903292</v>
      </c>
      <c r="H111" s="253">
        <f>(H163/Population_Tables!U29)*Population_Tables!I29</f>
        <v>110243.23016297698</v>
      </c>
      <c r="I111" s="253">
        <f>(I163/Population_Tables!V29)*Population_Tables!J29</f>
        <v>71459.670535202342</v>
      </c>
      <c r="J111" s="253">
        <f>(J163/Population_Tables!W29)*Population_Tables!K29</f>
        <v>87653.601313641426</v>
      </c>
      <c r="K111" s="253">
        <f>(K163/Population_Tables!X29)*Population_Tables!L29</f>
        <v>105861.38814448574</v>
      </c>
      <c r="L111" s="170"/>
      <c r="M111" s="170"/>
      <c r="N111" s="195">
        <f t="shared" si="11"/>
        <v>309228.68105017382</v>
      </c>
      <c r="O111" s="195">
        <f t="shared" si="13"/>
        <v>110243.23016297698</v>
      </c>
      <c r="P111" s="195">
        <f t="shared" si="12"/>
        <v>414860.71721473569</v>
      </c>
      <c r="Q111" s="195">
        <f t="shared" si="14"/>
        <v>834332.62842788652</v>
      </c>
      <c r="R111" s="196">
        <f>N111/Q111</f>
        <v>0.37062997480135257</v>
      </c>
      <c r="S111" s="170"/>
      <c r="T111" s="170"/>
      <c r="U111" s="195">
        <f t="shared" si="20"/>
        <v>17503.389031346305</v>
      </c>
      <c r="V111" s="195">
        <f t="shared" si="16"/>
        <v>4743.1350391920423</v>
      </c>
      <c r="W111" s="195">
        <f t="shared" si="16"/>
        <v>21021.493608493125</v>
      </c>
      <c r="X111" s="195">
        <f t="shared" si="19"/>
        <v>43268.017679031473</v>
      </c>
      <c r="Y111" s="207">
        <f t="shared" si="18"/>
        <v>0.40453411018709068</v>
      </c>
      <c r="AC111" s="251">
        <f t="shared" si="17"/>
        <v>0.99442967067937271</v>
      </c>
    </row>
    <row r="112" spans="1:29" ht="15.6" x14ac:dyDescent="0.3">
      <c r="A112" s="206">
        <v>2041</v>
      </c>
      <c r="B112" s="253">
        <f>(B164/Population_Tables!O30)*Population_Tables!C30</f>
        <v>844133.57194785774</v>
      </c>
      <c r="C112" s="253">
        <f>(C164/Population_Tables!P30)*Population_Tables!D30</f>
        <v>228738.77029324093</v>
      </c>
      <c r="D112" s="253">
        <f>(D164/Population_Tables!Q30)*Population_Tables!E30</f>
        <v>72656.70045720553</v>
      </c>
      <c r="E112" s="253">
        <f>(E164/Population_Tables!R30)*Population_Tables!F30</f>
        <v>351993.54287035414</v>
      </c>
      <c r="F112" s="253">
        <f>(F164/Population_Tables!S30)*Population_Tables!G30</f>
        <v>78282.735901730906</v>
      </c>
      <c r="G112" s="253">
        <f>(G164/Population_Tables!T30)*Population_Tables!H30</f>
        <v>122274.02890284732</v>
      </c>
      <c r="H112" s="253">
        <f>(H164/Population_Tables!U30)*Population_Tables!I30</f>
        <v>111821.01235611449</v>
      </c>
      <c r="I112" s="253">
        <f>(I164/Population_Tables!V30)*Population_Tables!J30</f>
        <v>73972.655949414548</v>
      </c>
      <c r="J112" s="253">
        <f>(J164/Population_Tables!W30)*Population_Tables!K30</f>
        <v>88390.70037196645</v>
      </c>
      <c r="K112" s="253">
        <f>(K164/Population_Tables!X30)*Population_Tables!L30</f>
        <v>107224.19011073452</v>
      </c>
      <c r="L112" s="170"/>
      <c r="M112" s="170"/>
      <c r="N112" s="195">
        <f t="shared" si="11"/>
        <v>318455.26641597052</v>
      </c>
      <c r="O112" s="195">
        <f t="shared" si="13"/>
        <v>111821.01235611449</v>
      </c>
      <c r="P112" s="195">
        <f t="shared" si="12"/>
        <v>423669.49965329375</v>
      </c>
      <c r="Q112" s="195">
        <f t="shared" si="14"/>
        <v>853945.77842537872</v>
      </c>
      <c r="R112" s="196">
        <f t="shared" si="15"/>
        <v>0.37292211573805262</v>
      </c>
      <c r="S112" s="170"/>
      <c r="T112" s="170"/>
      <c r="U112" s="195">
        <f t="shared" si="20"/>
        <v>19018.581574038602</v>
      </c>
      <c r="V112" s="195">
        <f t="shared" si="16"/>
        <v>5098.393641430448</v>
      </c>
      <c r="W112" s="195">
        <f t="shared" si="16"/>
        <v>22714.618938751984</v>
      </c>
      <c r="X112" s="195">
        <f t="shared" si="19"/>
        <v>46831.594154221035</v>
      </c>
      <c r="Y112" s="207">
        <f t="shared" si="18"/>
        <v>0.4061057907063455</v>
      </c>
      <c r="AC112" s="251">
        <f t="shared" si="17"/>
        <v>0.99418483314427719</v>
      </c>
    </row>
    <row r="113" spans="1:29" ht="15.6" x14ac:dyDescent="0.3">
      <c r="A113" s="206">
        <v>2042</v>
      </c>
      <c r="B113" s="253">
        <f>(B165/Population_Tables!O31)*Population_Tables!C31</f>
        <v>864356.84734364517</v>
      </c>
      <c r="C113" s="253">
        <f>(C165/Population_Tables!P31)*Population_Tables!D31</f>
        <v>233170.34185715605</v>
      </c>
      <c r="D113" s="253">
        <f>(D165/Population_Tables!Q31)*Population_Tables!E31</f>
        <v>74217.711676110004</v>
      </c>
      <c r="E113" s="253">
        <f>(E165/Population_Tables!R31)*Population_Tables!F31</f>
        <v>360829.5484602077</v>
      </c>
      <c r="F113" s="253">
        <f>(F165/Population_Tables!S31)*Population_Tables!G31</f>
        <v>80476.150034086604</v>
      </c>
      <c r="G113" s="253">
        <f>(G165/Population_Tables!T31)*Population_Tables!H31</f>
        <v>125265.19485211026</v>
      </c>
      <c r="H113" s="253">
        <f>(H165/Population_Tables!U31)*Population_Tables!I31</f>
        <v>113349.06881423399</v>
      </c>
      <c r="I113" s="253">
        <f>(I165/Population_Tables!V31)*Population_Tables!J31</f>
        <v>76521.300628997022</v>
      </c>
      <c r="J113" s="253">
        <f>(J165/Population_Tables!W31)*Population_Tables!K31</f>
        <v>89123.154213909103</v>
      </c>
      <c r="K113" s="253">
        <f>(K165/Population_Tables!X31)*Population_Tables!L31</f>
        <v>108588.73531130182</v>
      </c>
      <c r="L113" s="170"/>
      <c r="M113" s="170"/>
      <c r="N113" s="195">
        <f t="shared" si="11"/>
        <v>327956.62968006032</v>
      </c>
      <c r="O113" s="195">
        <f t="shared" si="13"/>
        <v>113349.06881423399</v>
      </c>
      <c r="P113" s="195">
        <f t="shared" si="12"/>
        <v>432653.2483853763</v>
      </c>
      <c r="Q113" s="195">
        <f t="shared" si="14"/>
        <v>873958.94687967061</v>
      </c>
      <c r="R113" s="196">
        <f t="shared" si="15"/>
        <v>0.37525404465618956</v>
      </c>
      <c r="S113" s="170"/>
      <c r="T113" s="170"/>
      <c r="U113" s="195">
        <f t="shared" si="20"/>
        <v>20613.981848204741</v>
      </c>
      <c r="V113" s="195">
        <f t="shared" si="16"/>
        <v>5462.4959986302711</v>
      </c>
      <c r="W113" s="195">
        <f t="shared" si="16"/>
        <v>24476.863205394358</v>
      </c>
      <c r="X113" s="195">
        <f t="shared" si="19"/>
        <v>50553.341052229371</v>
      </c>
      <c r="Y113" s="207">
        <f t="shared" si="18"/>
        <v>0.40776695306660998</v>
      </c>
      <c r="AC113" s="251">
        <f t="shared" si="17"/>
        <v>0.99403178883292409</v>
      </c>
    </row>
    <row r="114" spans="1:29" ht="15.6" x14ac:dyDescent="0.3">
      <c r="A114" s="206">
        <v>2043</v>
      </c>
      <c r="B114" s="253">
        <f>(B166/Population_Tables!O32)*Population_Tables!C32</f>
        <v>885032.16070893523</v>
      </c>
      <c r="C114" s="253">
        <f>(C166/Population_Tables!P32)*Population_Tables!D32</f>
        <v>237688.99920183397</v>
      </c>
      <c r="D114" s="253">
        <f>(D166/Population_Tables!Q32)*Population_Tables!E32</f>
        <v>75816.770523604268</v>
      </c>
      <c r="E114" s="253">
        <f>(E166/Population_Tables!R32)*Population_Tables!F32</f>
        <v>369841.99052988435</v>
      </c>
      <c r="F114" s="253">
        <f>(F166/Population_Tables!S32)*Population_Tables!G32</f>
        <v>82730.712164295575</v>
      </c>
      <c r="G114" s="253">
        <f>(G166/Population_Tables!T32)*Population_Tables!H32</f>
        <v>128313.28180185119</v>
      </c>
      <c r="H114" s="253">
        <f>(H166/Population_Tables!U32)*Population_Tables!I32</f>
        <v>114830.36529829707</v>
      </c>
      <c r="I114" s="253">
        <f>(I166/Population_Tables!V32)*Population_Tables!J32</f>
        <v>79106.430652830357</v>
      </c>
      <c r="J114" s="253">
        <f>(J166/Population_Tables!W32)*Population_Tables!K32</f>
        <v>89851.523957778831</v>
      </c>
      <c r="K114" s="253">
        <f>(K166/Population_Tables!X32)*Population_Tables!L32</f>
        <v>109955.8552098917</v>
      </c>
      <c r="L114" s="170"/>
      <c r="M114" s="170"/>
      <c r="N114" s="195">
        <f t="shared" si="11"/>
        <v>337742.33739588287</v>
      </c>
      <c r="O114" s="195">
        <f t="shared" si="13"/>
        <v>114830.36529829707</v>
      </c>
      <c r="P114" s="195">
        <f t="shared" si="12"/>
        <v>441819.05152728938</v>
      </c>
      <c r="Q114" s="195">
        <f t="shared" si="14"/>
        <v>894391.75422146928</v>
      </c>
      <c r="R114" s="196">
        <f t="shared" si="15"/>
        <v>0.37762237386666597</v>
      </c>
      <c r="S114" s="170"/>
      <c r="T114" s="170"/>
      <c r="U114" s="195">
        <f t="shared" si="20"/>
        <v>22299.073463126435</v>
      </c>
      <c r="V114" s="195">
        <f t="shared" si="16"/>
        <v>5836.4931871041626</v>
      </c>
      <c r="W114" s="195">
        <f t="shared" si="16"/>
        <v>26313.477998385613</v>
      </c>
      <c r="X114" s="195">
        <f t="shared" si="19"/>
        <v>54449.044648616211</v>
      </c>
      <c r="Y114" s="207">
        <f t="shared" si="18"/>
        <v>0.40954021520546829</v>
      </c>
      <c r="AC114" s="251">
        <f t="shared" si="17"/>
        <v>0.99399143371974619</v>
      </c>
    </row>
    <row r="115" spans="1:29" ht="15.6" x14ac:dyDescent="0.3">
      <c r="A115" s="206">
        <v>2044</v>
      </c>
      <c r="B115" s="253">
        <f>(B167/Population_Tables!O33)*Population_Tables!C33</f>
        <v>906184.49806420063</v>
      </c>
      <c r="C115" s="253">
        <f>(C167/Population_Tables!P33)*Population_Tables!D33</f>
        <v>242298.1321995139</v>
      </c>
      <c r="D115" s="253">
        <f>(D167/Population_Tables!Q33)*Population_Tables!E33</f>
        <v>77455.807152495676</v>
      </c>
      <c r="E115" s="253">
        <f>(E167/Population_Tables!R33)*Population_Tables!F33</f>
        <v>379042.77161981014</v>
      </c>
      <c r="F115" s="253">
        <f>(F167/Population_Tables!S33)*Population_Tables!G33</f>
        <v>85049.003804648222</v>
      </c>
      <c r="G115" s="253">
        <f>(G167/Population_Tables!T33)*Population_Tables!H33</f>
        <v>131420.46753050506</v>
      </c>
      <c r="H115" s="253">
        <f>(H167/Population_Tables!U33)*Population_Tables!I33</f>
        <v>116268.18291384185</v>
      </c>
      <c r="I115" s="253">
        <f>(I167/Population_Tables!V33)*Population_Tables!J33</f>
        <v>81729.504132526316</v>
      </c>
      <c r="J115" s="253">
        <f>(J167/Population_Tables!W33)*Population_Tables!K33</f>
        <v>90576.364664703127</v>
      </c>
      <c r="K115" s="253">
        <f>(K167/Population_Tables!X33)*Population_Tables!L33</f>
        <v>111326.50061295144</v>
      </c>
      <c r="L115" s="170"/>
      <c r="M115" s="170"/>
      <c r="N115" s="195">
        <f t="shared" si="11"/>
        <v>347823.59251061652</v>
      </c>
      <c r="O115" s="195">
        <f t="shared" si="13"/>
        <v>116268.18291384185</v>
      </c>
      <c r="P115" s="195">
        <f t="shared" si="12"/>
        <v>451174.4068825146</v>
      </c>
      <c r="Q115" s="195">
        <f t="shared" si="14"/>
        <v>915266.18230697303</v>
      </c>
      <c r="R115" s="196">
        <f t="shared" si="15"/>
        <v>0.38002452099116152</v>
      </c>
      <c r="S115" s="170"/>
      <c r="T115" s="170"/>
      <c r="U115" s="195">
        <f t="shared" si="20"/>
        <v>24084.976421823958</v>
      </c>
      <c r="V115" s="195">
        <f t="shared" si="16"/>
        <v>6221.7516277412942</v>
      </c>
      <c r="W115" s="195">
        <f t="shared" si="16"/>
        <v>28230.12459486688</v>
      </c>
      <c r="X115" s="195">
        <f t="shared" si="19"/>
        <v>58536.852644432132</v>
      </c>
      <c r="Y115" s="207">
        <f t="shared" si="18"/>
        <v>0.41144980185597418</v>
      </c>
      <c r="AC115" s="251">
        <f t="shared" si="17"/>
        <v>0.99408448279847239</v>
      </c>
    </row>
    <row r="116" spans="1:29" ht="15.6" x14ac:dyDescent="0.3">
      <c r="A116" s="206">
        <v>2045</v>
      </c>
      <c r="B116" s="253">
        <f>(B168/Population_Tables!O34)*Population_Tables!C34</f>
        <v>927838.05807096825</v>
      </c>
      <c r="C116" s="253">
        <f>(C168/Population_Tables!P34)*Population_Tables!D34</f>
        <v>247001.50376574739</v>
      </c>
      <c r="D116" s="253">
        <f>(D168/Population_Tables!Q34)*Population_Tables!E34</f>
        <v>79136.818130289437</v>
      </c>
      <c r="E116" s="253">
        <f>(E168/Population_Tables!R34)*Population_Tables!F34</f>
        <v>388443.35646480479</v>
      </c>
      <c r="F116" s="253">
        <f>(F168/Population_Tables!S34)*Population_Tables!G34</f>
        <v>87433.496989038598</v>
      </c>
      <c r="G116" s="253">
        <f>(G168/Population_Tables!T34)*Population_Tables!H34</f>
        <v>134588.92617789665</v>
      </c>
      <c r="H116" s="253">
        <f>(H168/Population_Tables!U34)*Population_Tables!I34</f>
        <v>117665.66655982462</v>
      </c>
      <c r="I116" s="253">
        <f>(I168/Population_Tables!V34)*Population_Tables!J34</f>
        <v>84391.84503880456</v>
      </c>
      <c r="J116" s="253">
        <f>(J168/Population_Tables!W34)*Population_Tables!K34</f>
        <v>91298.326895166771</v>
      </c>
      <c r="K116" s="253">
        <f>(K168/Population_Tables!X34)*Population_Tables!L34</f>
        <v>112701.71709909571</v>
      </c>
      <c r="L116" s="170"/>
      <c r="M116" s="170"/>
      <c r="N116" s="195">
        <f t="shared" si="11"/>
        <v>358211.18689401879</v>
      </c>
      <c r="O116" s="195">
        <f t="shared" si="13"/>
        <v>117665.66655982462</v>
      </c>
      <c r="P116" s="195">
        <f t="shared" si="12"/>
        <v>460727.24807393353</v>
      </c>
      <c r="Q116" s="195">
        <f t="shared" si="14"/>
        <v>936604.10152777692</v>
      </c>
      <c r="R116" s="196">
        <f t="shared" si="15"/>
        <v>0.38245741857174143</v>
      </c>
      <c r="S116" s="170"/>
      <c r="T116" s="170"/>
      <c r="U116" s="195">
        <f t="shared" si="20"/>
        <v>25982.399649896834</v>
      </c>
      <c r="V116" s="195">
        <f t="shared" si="16"/>
        <v>6619.5015348489978</v>
      </c>
      <c r="W116" s="195">
        <f t="shared" si="16"/>
        <v>30232.900091379182</v>
      </c>
      <c r="X116" s="195">
        <f t="shared" si="19"/>
        <v>62834.801276125014</v>
      </c>
      <c r="Y116" s="207">
        <f t="shared" si="18"/>
        <v>0.41350333131027533</v>
      </c>
      <c r="AC116" s="251">
        <f t="shared" si="17"/>
        <v>0.99431313087136652</v>
      </c>
    </row>
    <row r="117" spans="1:29" ht="15.6" x14ac:dyDescent="0.3">
      <c r="A117" s="206">
        <v>2046</v>
      </c>
      <c r="B117" s="253">
        <f>(B169/Population_Tables!O35)*Population_Tables!C35</f>
        <v>950012.37623630103</v>
      </c>
      <c r="C117" s="253">
        <f>(C169/Population_Tables!P35)*Population_Tables!D35</f>
        <v>251802.63805705725</v>
      </c>
      <c r="D117" s="253">
        <f>(D169/Population_Tables!Q35)*Population_Tables!E35</f>
        <v>80861.749447369468</v>
      </c>
      <c r="E117" s="253">
        <f>(E169/Population_Tables!R35)*Population_Tables!F35</f>
        <v>398052.58141092246</v>
      </c>
      <c r="F117" s="253">
        <f>(F169/Population_Tables!S35)*Population_Tables!G35</f>
        <v>89886.293907044252</v>
      </c>
      <c r="G117" s="253">
        <f>(G169/Population_Tables!T35)*Population_Tables!H35</f>
        <v>137820.43326257754</v>
      </c>
      <c r="H117" s="253">
        <f>(H169/Population_Tables!U35)*Population_Tables!I35</f>
        <v>119025.52465714964</v>
      </c>
      <c r="I117" s="253">
        <f>(I169/Population_Tables!V35)*Population_Tables!J35</f>
        <v>87093.724464194049</v>
      </c>
      <c r="J117" s="253">
        <f>(J169/Population_Tables!W35)*Population_Tables!K35</f>
        <v>92018.014740292623</v>
      </c>
      <c r="K117" s="253">
        <f>(K169/Population_Tables!X35)*Population_Tables!L35</f>
        <v>114082.23815251367</v>
      </c>
      <c r="L117" s="170"/>
      <c r="M117" s="170"/>
      <c r="N117" s="195">
        <f t="shared" si="11"/>
        <v>368913.35066081706</v>
      </c>
      <c r="O117" s="195">
        <f t="shared" si="13"/>
        <v>119025.52465714964</v>
      </c>
      <c r="P117" s="195">
        <f t="shared" si="12"/>
        <v>470484.82076700428</v>
      </c>
      <c r="Q117" s="195">
        <f t="shared" si="14"/>
        <v>958423.69608497096</v>
      </c>
      <c r="R117" s="196">
        <f t="shared" si="15"/>
        <v>0.3849167671540023</v>
      </c>
      <c r="S117" s="170"/>
      <c r="T117" s="170"/>
      <c r="U117" s="195">
        <f t="shared" si="20"/>
        <v>27999.49031791446</v>
      </c>
      <c r="V117" s="195">
        <f t="shared" si="16"/>
        <v>7030.5366446826229</v>
      </c>
      <c r="W117" s="195">
        <f t="shared" si="16"/>
        <v>32327.213627039804</v>
      </c>
      <c r="X117" s="195">
        <f t="shared" si="19"/>
        <v>67357.240589636887</v>
      </c>
      <c r="Y117" s="207">
        <f t="shared" si="18"/>
        <v>0.4156864217240851</v>
      </c>
      <c r="AC117" s="251">
        <f t="shared" si="17"/>
        <v>0.99466151916623435</v>
      </c>
    </row>
    <row r="118" spans="1:29" ht="15.6" x14ac:dyDescent="0.3">
      <c r="A118" s="206">
        <v>2047</v>
      </c>
      <c r="B118" s="253">
        <f>(B170/Population_Tables!O36)*Population_Tables!C36</f>
        <v>972726.31282412587</v>
      </c>
      <c r="C118" s="253">
        <f>(C170/Population_Tables!P36)*Population_Tables!D36</f>
        <v>256705.83751482278</v>
      </c>
      <c r="D118" s="253">
        <f>(D170/Population_Tables!Q36)*Population_Tables!E36</f>
        <v>82632.592312191555</v>
      </c>
      <c r="E118" s="253">
        <f>(E170/Population_Tables!R36)*Population_Tables!F36</f>
        <v>407878.84932459408</v>
      </c>
      <c r="F118" s="253">
        <f>(F170/Population_Tables!S36)*Population_Tables!G36</f>
        <v>92409.354917856646</v>
      </c>
      <c r="G118" s="253">
        <f>(G170/Population_Tables!T36)*Population_Tables!H36</f>
        <v>141116.83141620934</v>
      </c>
      <c r="H118" s="253">
        <f>(H170/Population_Tables!U36)*Population_Tables!I36</f>
        <v>120350.18488266582</v>
      </c>
      <c r="I118" s="253">
        <f>(I170/Population_Tables!V36)*Population_Tables!J36</f>
        <v>89835.317110618169</v>
      </c>
      <c r="J118" s="253">
        <f>(J170/Population_Tables!W36)*Population_Tables!K36</f>
        <v>92736.210457052264</v>
      </c>
      <c r="K118" s="253">
        <f>(K170/Population_Tables!X36)*Population_Tables!L36</f>
        <v>115469.16030192965</v>
      </c>
      <c r="L118" s="170"/>
      <c r="M118" s="170"/>
      <c r="N118" s="195">
        <f t="shared" si="11"/>
        <v>379938.0193597849</v>
      </c>
      <c r="O118" s="195">
        <f t="shared" si="13"/>
        <v>120350.18488266582</v>
      </c>
      <c r="P118" s="195">
        <f t="shared" si="12"/>
        <v>480455.26124322368</v>
      </c>
      <c r="Q118" s="195">
        <f t="shared" si="14"/>
        <v>980743.46548567445</v>
      </c>
      <c r="R118" s="196">
        <f t="shared" si="15"/>
        <v>0.38739796157768497</v>
      </c>
      <c r="S118" s="170"/>
      <c r="T118" s="170"/>
      <c r="U118" s="195">
        <f t="shared" si="20"/>
        <v>30144.101030492282</v>
      </c>
      <c r="V118" s="195">
        <f t="shared" si="16"/>
        <v>7455.3699494421162</v>
      </c>
      <c r="W118" s="195">
        <f t="shared" si="16"/>
        <v>34519.364957005251</v>
      </c>
      <c r="X118" s="195">
        <f t="shared" si="19"/>
        <v>72118.835936939649</v>
      </c>
      <c r="Y118" s="207">
        <f t="shared" si="18"/>
        <v>0.41797819721951884</v>
      </c>
      <c r="AC118" s="251">
        <f t="shared" si="17"/>
        <v>0.99510149480367205</v>
      </c>
    </row>
    <row r="119" spans="1:29" ht="15.6" x14ac:dyDescent="0.3">
      <c r="A119" s="206">
        <v>2048</v>
      </c>
      <c r="B119" s="253">
        <f>(B171/Population_Tables!O37)*Population_Tables!C37</f>
        <v>996003.21578968666</v>
      </c>
      <c r="C119" s="253">
        <f>(C171/Population_Tables!P37)*Population_Tables!D37</f>
        <v>261716.91198630462</v>
      </c>
      <c r="D119" s="253">
        <f>(D171/Population_Tables!Q37)*Population_Tables!E37</f>
        <v>84451.42102829268</v>
      </c>
      <c r="E119" s="253">
        <f>(E171/Population_Tables!R37)*Population_Tables!F37</f>
        <v>417933.19301471394</v>
      </c>
      <c r="F119" s="253">
        <f>(F171/Population_Tables!S37)*Population_Tables!G37</f>
        <v>95004.859745607944</v>
      </c>
      <c r="G119" s="253">
        <f>(G171/Population_Tables!T37)*Population_Tables!H37</f>
        <v>144480.38918777605</v>
      </c>
      <c r="H119" s="253">
        <f>(H171/Population_Tables!U37)*Population_Tables!I37</f>
        <v>121642.21882872912</v>
      </c>
      <c r="I119" s="253">
        <f>(I171/Population_Tables!V37)*Population_Tables!J37</f>
        <v>92617.90555969761</v>
      </c>
      <c r="J119" s="253">
        <f>(J171/Population_Tables!W37)*Population_Tables!K37</f>
        <v>93453.992430878337</v>
      </c>
      <c r="K119" s="253">
        <f>(K171/Population_Tables!X37)*Population_Tables!L37</f>
        <v>116864.39676759332</v>
      </c>
      <c r="L119" s="170"/>
      <c r="M119" s="170"/>
      <c r="N119" s="195">
        <f t="shared" si="11"/>
        <v>391295.83393159276</v>
      </c>
      <c r="O119" s="195">
        <f t="shared" si="13"/>
        <v>121642.21882872912</v>
      </c>
      <c r="P119" s="195">
        <f t="shared" si="12"/>
        <v>490648.72220237332</v>
      </c>
      <c r="Q119" s="195">
        <f t="shared" si="14"/>
        <v>1003586.7749626952</v>
      </c>
      <c r="R119" s="196">
        <f t="shared" si="15"/>
        <v>0.38989735984328588</v>
      </c>
      <c r="S119" s="170"/>
      <c r="T119" s="170"/>
      <c r="U119" s="195">
        <f t="shared" si="20"/>
        <v>32426.789784142922</v>
      </c>
      <c r="V119" s="195">
        <f t="shared" si="16"/>
        <v>7894.658356834494</v>
      </c>
      <c r="W119" s="195">
        <f t="shared" si="16"/>
        <v>36817.670254716417</v>
      </c>
      <c r="X119" s="195">
        <f t="shared" si="19"/>
        <v>77139.118395693833</v>
      </c>
      <c r="Y119" s="207">
        <f t="shared" si="18"/>
        <v>0.42036764819901151</v>
      </c>
      <c r="AC119" s="251">
        <f t="shared" si="17"/>
        <v>0.9956050653423687</v>
      </c>
    </row>
    <row r="120" spans="1:29" ht="15.6" x14ac:dyDescent="0.3">
      <c r="A120" s="206">
        <v>2049</v>
      </c>
      <c r="B120" s="253">
        <f>(B172/Population_Tables!O38)*Population_Tables!C38</f>
        <v>1019867.5182026026</v>
      </c>
      <c r="C120" s="253">
        <f>(C172/Population_Tables!P38)*Population_Tables!D38</f>
        <v>266842.59938235721</v>
      </c>
      <c r="D120" s="253">
        <f>(D172/Population_Tables!Q38)*Population_Tables!E38</f>
        <v>86320.422037126045</v>
      </c>
      <c r="E120" s="253">
        <f>(E172/Population_Tables!R38)*Population_Tables!F38</f>
        <v>428227.27011714538</v>
      </c>
      <c r="F120" s="253">
        <f>(F172/Population_Tables!S38)*Population_Tables!G38</f>
        <v>97674.984904171055</v>
      </c>
      <c r="G120" s="253">
        <f>(G172/Population_Tables!T38)*Population_Tables!H38</f>
        <v>147913.5869354399</v>
      </c>
      <c r="H120" s="253">
        <f>(H172/Population_Tables!U38)*Population_Tables!I38</f>
        <v>122904.10929399486</v>
      </c>
      <c r="I120" s="253">
        <f>(I172/Population_Tables!V38)*Population_Tables!J38</f>
        <v>95443.075356897185</v>
      </c>
      <c r="J120" s="253">
        <f>(J172/Population_Tables!W38)*Population_Tables!K38</f>
        <v>94172.64546517389</v>
      </c>
      <c r="K120" s="253">
        <f>(K172/Population_Tables!X38)*Population_Tables!L38</f>
        <v>118270.22249112499</v>
      </c>
      <c r="L120" s="170"/>
      <c r="M120" s="170"/>
      <c r="N120" s="195">
        <f t="shared" si="11"/>
        <v>402998.14572732162</v>
      </c>
      <c r="O120" s="195">
        <f t="shared" si="13"/>
        <v>122904.10929399486</v>
      </c>
      <c r="P120" s="195">
        <f t="shared" si="12"/>
        <v>501076.60835492314</v>
      </c>
      <c r="Q120" s="195">
        <f t="shared" si="14"/>
        <v>1026978.8633762397</v>
      </c>
      <c r="R120" s="196">
        <f t="shared" si="15"/>
        <v>0.39241133396109723</v>
      </c>
      <c r="S120" s="170"/>
      <c r="T120" s="170"/>
      <c r="U120" s="195">
        <f t="shared" si="20"/>
        <v>34858.824985789193</v>
      </c>
      <c r="V120" s="195">
        <f t="shared" si="16"/>
        <v>8348.9699808661389</v>
      </c>
      <c r="W120" s="195">
        <f t="shared" si="16"/>
        <v>39231.697704302613</v>
      </c>
      <c r="X120" s="195">
        <f t="shared" si="19"/>
        <v>82439.492670957945</v>
      </c>
      <c r="Y120" s="207">
        <f t="shared" si="18"/>
        <v>0.42284133315717715</v>
      </c>
      <c r="AC120" s="251">
        <f t="shared" si="17"/>
        <v>0.99613977298030487</v>
      </c>
    </row>
    <row r="121" spans="1:29" ht="16.2" thickBot="1" x14ac:dyDescent="0.35">
      <c r="A121" s="208">
        <v>2050</v>
      </c>
      <c r="B121" s="253">
        <f>(B173/Population_Tables!O39)*Population_Tables!C39</f>
        <v>1044342.4043508314</v>
      </c>
      <c r="C121" s="253">
        <f>(C173/Population_Tables!P39)*Population_Tables!D39</f>
        <v>272089.29616864264</v>
      </c>
      <c r="D121" s="253">
        <f>(D173/Population_Tables!Q39)*Population_Tables!E39</f>
        <v>88241.782184232798</v>
      </c>
      <c r="E121" s="253">
        <f>(E173/Population_Tables!R39)*Population_Tables!F39</f>
        <v>438772.09604800504</v>
      </c>
      <c r="F121" s="253">
        <f>(F173/Population_Tables!S39)*Population_Tables!G39</f>
        <v>100421.85446814571</v>
      </c>
      <c r="G121" s="253">
        <f>(G173/Population_Tables!T39)*Population_Tables!H39</f>
        <v>151418.80017671912</v>
      </c>
      <c r="H121" s="253">
        <f>(H173/Population_Tables!U39)*Population_Tables!I39</f>
        <v>124138.33107216636</v>
      </c>
      <c r="I121" s="253">
        <f>(I173/Population_Tables!V39)*Population_Tables!J39</f>
        <v>98312.033398359796</v>
      </c>
      <c r="J121" s="253">
        <f>(J173/Population_Tables!W39)*Population_Tables!K39</f>
        <v>94893.323290474262</v>
      </c>
      <c r="K121" s="253">
        <f>(K173/Population_Tables!X39)*Population_Tables!L39</f>
        <v>119688.61204744365</v>
      </c>
      <c r="L121" s="209"/>
      <c r="M121" s="209"/>
      <c r="N121" s="195">
        <f t="shared" si="11"/>
        <v>415055.61944398447</v>
      </c>
      <c r="O121" s="195">
        <f t="shared" si="13"/>
        <v>124138.33107216636</v>
      </c>
      <c r="P121" s="195">
        <f t="shared" si="12"/>
        <v>511749.87852959451</v>
      </c>
      <c r="Q121" s="195">
        <f t="shared" si="14"/>
        <v>1050943.8290457453</v>
      </c>
      <c r="R121" s="210">
        <f t="shared" si="15"/>
        <v>0.39493606410996679</v>
      </c>
      <c r="S121" s="209"/>
      <c r="T121" s="209"/>
      <c r="U121" s="211">
        <f t="shared" si="20"/>
        <v>37450.788388286135</v>
      </c>
      <c r="V121" s="195">
        <f t="shared" si="16"/>
        <v>8818.8649305914587</v>
      </c>
      <c r="W121" s="211">
        <f t="shared" si="16"/>
        <v>41770.569608144695</v>
      </c>
      <c r="X121" s="195">
        <f t="shared" si="19"/>
        <v>88040.222927022289</v>
      </c>
      <c r="Y121" s="212">
        <f t="shared" si="18"/>
        <v>0.42538270739420542</v>
      </c>
      <c r="AC121" s="251">
        <f t="shared" si="17"/>
        <v>0.99667841376765909</v>
      </c>
    </row>
    <row r="122" spans="1:29" ht="15.6" x14ac:dyDescent="0.3">
      <c r="A122" s="213">
        <v>2051</v>
      </c>
      <c r="B122" s="253">
        <f>(B174/Population_Tables!O40)*Population_Tables!C40</f>
        <v>1069448.8438016307</v>
      </c>
      <c r="C122" s="253">
        <f>(C174/Population_Tables!P40)*Population_Tables!D40</f>
        <v>277461.98270858027</v>
      </c>
      <c r="D122" s="253">
        <f>(D174/Population_Tables!Q40)*Population_Tables!E40</f>
        <v>90217.711458005637</v>
      </c>
      <c r="E122" s="253">
        <f>(E174/Population_Tables!R40)*Population_Tables!F40</f>
        <v>449577.6884119864</v>
      </c>
      <c r="F122" s="253">
        <f>(F174/Population_Tables!S40)*Population_Tables!G40</f>
        <v>103247.52197667147</v>
      </c>
      <c r="G122" s="253">
        <f>(G174/Population_Tables!T40)*Population_Tables!H40</f>
        <v>154998.06407240033</v>
      </c>
      <c r="H122" s="253">
        <f>(H174/Population_Tables!U40)*Population_Tables!I40</f>
        <v>125347.47226731048</v>
      </c>
      <c r="I122" s="253">
        <f>(I174/Population_Tables!V40)*Population_Tables!J40</f>
        <v>101225.3520249982</v>
      </c>
      <c r="J122" s="253">
        <f>(J174/Population_Tables!W40)*Population_Tables!K40</f>
        <v>95616.861755107646</v>
      </c>
      <c r="K122" s="253">
        <f>(K174/Population_Tables!X40)*Population_Tables!L40</f>
        <v>121120.67371698645</v>
      </c>
      <c r="N122" s="195">
        <f t="shared" si="11"/>
        <v>427477.73812134739</v>
      </c>
      <c r="O122" s="195">
        <f t="shared" si="13"/>
        <v>125347.47226731048</v>
      </c>
      <c r="P122" s="195">
        <f t="shared" si="12"/>
        <v>522677.75823898625</v>
      </c>
      <c r="Q122" s="195">
        <f t="shared" si="14"/>
        <v>1075502.9686276442</v>
      </c>
      <c r="R122" s="214">
        <f t="shared" si="15"/>
        <v>0.39746774354961989</v>
      </c>
      <c r="U122" s="215">
        <f t="shared" si="20"/>
        <v>40212.080087241891</v>
      </c>
      <c r="V122" s="195">
        <f t="shared" si="16"/>
        <v>9305.0166254283249</v>
      </c>
      <c r="W122" s="215">
        <f t="shared" si="16"/>
        <v>44441.674952500849</v>
      </c>
      <c r="X122" s="195">
        <f t="shared" si="19"/>
        <v>93958.771665171065</v>
      </c>
      <c r="Y122" s="214">
        <f t="shared" si="18"/>
        <v>0.42797579592185997</v>
      </c>
      <c r="AC122" s="251">
        <f t="shared" si="17"/>
        <v>0.99720573261110468</v>
      </c>
    </row>
    <row r="123" spans="1:29" ht="15.6" x14ac:dyDescent="0.3">
      <c r="A123" s="194">
        <v>2052</v>
      </c>
      <c r="B123" s="253">
        <f>(B175/Population_Tables!O41)*Population_Tables!C41</f>
        <v>1095205.280550621</v>
      </c>
      <c r="C123" s="253">
        <f>(C175/Population_Tables!P41)*Population_Tables!D41</f>
        <v>282965.26535582665</v>
      </c>
      <c r="D123" s="253">
        <f>(D175/Population_Tables!Q41)*Population_Tables!E41</f>
        <v>92250.385357250751</v>
      </c>
      <c r="E123" s="253">
        <f>(E175/Population_Tables!R41)*Population_Tables!F41</f>
        <v>460652.50980133493</v>
      </c>
      <c r="F123" s="253">
        <f>(F175/Population_Tables!S41)*Population_Tables!G41</f>
        <v>106153.92684231818</v>
      </c>
      <c r="G123" s="253">
        <f>(G175/Population_Tables!T41)*Population_Tables!H41</f>
        <v>158653.20353080641</v>
      </c>
      <c r="H123" s="253">
        <f>(H175/Population_Tables!U41)*Population_Tables!I41</f>
        <v>126534.03506973198</v>
      </c>
      <c r="I123" s="253">
        <f>(I175/Population_Tables!V41)*Population_Tables!J41</f>
        <v>104182.80837206564</v>
      </c>
      <c r="J123" s="253">
        <f>(J175/Population_Tables!W41)*Population_Tables!K41</f>
        <v>96343.928515659354</v>
      </c>
      <c r="K123" s="253">
        <f>(K175/Population_Tables!X41)*Population_Tables!L41</f>
        <v>122567.16507051383</v>
      </c>
      <c r="N123" s="195">
        <f t="shared" si="11"/>
        <v>440272.40157392109</v>
      </c>
      <c r="O123" s="195">
        <f t="shared" si="13"/>
        <v>126534.03506973198</v>
      </c>
      <c r="P123" s="195">
        <f t="shared" si="12"/>
        <v>533868.85424388386</v>
      </c>
      <c r="Q123" s="195">
        <f t="shared" si="14"/>
        <v>1100675.2908875369</v>
      </c>
      <c r="R123" s="196">
        <f t="shared" si="15"/>
        <v>0.40000207619715389</v>
      </c>
      <c r="U123" s="195">
        <f t="shared" si="20"/>
        <v>43150.516953009123</v>
      </c>
      <c r="V123" s="195">
        <f t="shared" si="16"/>
        <v>9808.0125710325519</v>
      </c>
      <c r="W123" s="195">
        <f t="shared" si="16"/>
        <v>47251.783971816185</v>
      </c>
      <c r="X123" s="195">
        <f t="shared" si="19"/>
        <v>100210.31349585786</v>
      </c>
      <c r="Y123" s="196">
        <f t="shared" si="18"/>
        <v>0.43059956054116849</v>
      </c>
      <c r="AC123" s="251">
        <f t="shared" si="17"/>
        <v>0.99770740666954372</v>
      </c>
    </row>
    <row r="124" spans="1:29" ht="15.6" x14ac:dyDescent="0.3">
      <c r="A124" s="194">
        <v>2053</v>
      </c>
      <c r="B124" s="253">
        <f>(B176/Population_Tables!O42)*Population_Tables!C42</f>
        <v>1121629.1310015412</v>
      </c>
      <c r="C124" s="253">
        <f>(C176/Population_Tables!P42)*Population_Tables!D42</f>
        <v>288605.16311388672</v>
      </c>
      <c r="D124" s="253">
        <f>(D176/Population_Tables!Q42)*Population_Tables!E42</f>
        <v>94342.051060024227</v>
      </c>
      <c r="E124" s="253">
        <f>(E176/Population_Tables!R42)*Population_Tables!F42</f>
        <v>472004.01406724064</v>
      </c>
      <c r="F124" s="253">
        <f>(F176/Population_Tables!S42)*Population_Tables!G42</f>
        <v>109142.90017810273</v>
      </c>
      <c r="G124" s="253">
        <f>(G176/Population_Tables!T42)*Population_Tables!H42</f>
        <v>162386.05214115337</v>
      </c>
      <c r="H124" s="253">
        <f>(H176/Population_Tables!U42)*Population_Tables!I42</f>
        <v>127700.2476535118</v>
      </c>
      <c r="I124" s="253">
        <f>(I176/Population_Tables!V42)*Population_Tables!J42</f>
        <v>107183.72466681548</v>
      </c>
      <c r="J124" s="253">
        <f>(J176/Population_Tables!W42)*Population_Tables!K42</f>
        <v>97075.598338582815</v>
      </c>
      <c r="K124" s="253">
        <f>(K176/Population_Tables!X42)*Population_Tables!L42</f>
        <v>124029.2534121153</v>
      </c>
      <c r="N124" s="195">
        <f t="shared" si="11"/>
        <v>453446.6665918316</v>
      </c>
      <c r="O124" s="195">
        <f t="shared" si="13"/>
        <v>127700.2476535118</v>
      </c>
      <c r="P124" s="195">
        <f t="shared" si="12"/>
        <v>545333.26631506439</v>
      </c>
      <c r="Q124" s="195">
        <f t="shared" si="14"/>
        <v>1126480.1805604077</v>
      </c>
      <c r="R124" s="196">
        <f t="shared" si="15"/>
        <v>0.40253408308191307</v>
      </c>
      <c r="U124" s="195">
        <f t="shared" si="20"/>
        <v>46273.072831555794</v>
      </c>
      <c r="V124" s="195">
        <f t="shared" si="16"/>
        <v>10328.166256836193</v>
      </c>
      <c r="W124" s="195">
        <f t="shared" si="16"/>
        <v>50209.159910526883</v>
      </c>
      <c r="X124" s="195">
        <f t="shared" si="19"/>
        <v>106810.39899891887</v>
      </c>
      <c r="Y124" s="196">
        <f t="shared" si="18"/>
        <v>0.43322628943670705</v>
      </c>
      <c r="AC124" s="251">
        <f t="shared" si="17"/>
        <v>0.99815943417925235</v>
      </c>
    </row>
    <row r="125" spans="1:29" ht="15.6" x14ac:dyDescent="0.3">
      <c r="A125" s="194">
        <v>2054</v>
      </c>
      <c r="B125" s="253">
        <f>(B177/Population_Tables!O43)*Population_Tables!C43</f>
        <v>1148736.0736591795</v>
      </c>
      <c r="C125" s="253">
        <f>(C177/Population_Tables!P43)*Population_Tables!D43</f>
        <v>294387.8546250998</v>
      </c>
      <c r="D125" s="253">
        <f>(D177/Population_Tables!Q43)*Population_Tables!E43</f>
        <v>96494.993751030386</v>
      </c>
      <c r="E125" s="253">
        <f>(E177/Population_Tables!R43)*Population_Tables!F43</f>
        <v>483638.48236523394</v>
      </c>
      <c r="F125" s="253">
        <f>(F177/Population_Tables!S43)*Population_Tables!G43</f>
        <v>112216.18696047801</v>
      </c>
      <c r="G125" s="253">
        <f>(G177/Population_Tables!T43)*Population_Tables!H43</f>
        <v>166198.21467145742</v>
      </c>
      <c r="H125" s="253">
        <f>(H177/Population_Tables!U43)*Population_Tables!I43</f>
        <v>128848.18954279039</v>
      </c>
      <c r="I125" s="253">
        <f>(I177/Population_Tables!V43)*Population_Tables!J43</f>
        <v>110226.84552288971</v>
      </c>
      <c r="J125" s="253">
        <f>(J177/Population_Tables!W43)*Population_Tables!K43</f>
        <v>97812.932167872525</v>
      </c>
      <c r="K125" s="253">
        <f>(K177/Population_Tables!X43)*Population_Tables!L43</f>
        <v>125508.01946386028</v>
      </c>
      <c r="N125" s="195">
        <f t="shared" si="11"/>
        <v>467006.47978292149</v>
      </c>
      <c r="O125" s="195">
        <f t="shared" si="13"/>
        <v>128848.18954279039</v>
      </c>
      <c r="P125" s="195">
        <f t="shared" si="12"/>
        <v>557081.06304758764</v>
      </c>
      <c r="Q125" s="195">
        <f t="shared" si="14"/>
        <v>1152935.7323732995</v>
      </c>
      <c r="R125" s="196">
        <f t="shared" si="15"/>
        <v>0.40505855328258084</v>
      </c>
      <c r="U125" s="195">
        <f t="shared" si="20"/>
        <v>49585.611386566539</v>
      </c>
      <c r="V125" s="195">
        <f t="shared" si="16"/>
        <v>10865.642522330701</v>
      </c>
      <c r="W125" s="195">
        <f t="shared" si="16"/>
        <v>53322.034837352345</v>
      </c>
      <c r="X125" s="195">
        <f t="shared" si="19"/>
        <v>113773.28874624959</v>
      </c>
      <c r="Y125" s="196">
        <f t="shared" si="18"/>
        <v>0.43582823290937939</v>
      </c>
      <c r="AC125" s="251">
        <f t="shared" si="17"/>
        <v>0.99853994090051323</v>
      </c>
    </row>
    <row r="126" spans="1:29" ht="15.6" x14ac:dyDescent="0.3">
      <c r="A126" s="194">
        <v>2055</v>
      </c>
      <c r="B126" s="253">
        <f>(B178/Population_Tables!O44)*Population_Tables!C44</f>
        <v>1176541.6014048404</v>
      </c>
      <c r="C126" s="253">
        <f>(C178/Population_Tables!P44)*Population_Tables!D44</f>
        <v>300319.20296633831</v>
      </c>
      <c r="D126" s="253">
        <f>(D178/Population_Tables!Q44)*Population_Tables!E44</f>
        <v>98711.524254139644</v>
      </c>
      <c r="E126" s="253">
        <f>(E178/Population_Tables!R44)*Population_Tables!F44</f>
        <v>495562.20285478182</v>
      </c>
      <c r="F126" s="253">
        <f>(F178/Population_Tables!S44)*Population_Tables!G44</f>
        <v>115375.52897803028</v>
      </c>
      <c r="G126" s="253">
        <f>(G178/Population_Tables!T44)*Population_Tables!H44</f>
        <v>170091.28624626761</v>
      </c>
      <c r="H126" s="253">
        <f>(H178/Population_Tables!U44)*Population_Tables!I44</f>
        <v>129979.95632689552</v>
      </c>
      <c r="I126" s="253">
        <f>(I178/Population_Tables!V44)*Population_Tables!J44</f>
        <v>113310.8066516245</v>
      </c>
      <c r="J126" s="253">
        <f>(J178/Population_Tables!W44)*Population_Tables!K44</f>
        <v>98556.885617496344</v>
      </c>
      <c r="K126" s="253">
        <f>(K178/Population_Tables!X44)*Population_Tables!L44</f>
        <v>127004.31918732658</v>
      </c>
      <c r="N126" s="195">
        <f t="shared" si="11"/>
        <v>480957.77550591656</v>
      </c>
      <c r="O126" s="195">
        <f t="shared" si="13"/>
        <v>129979.95632689552</v>
      </c>
      <c r="P126" s="195">
        <f t="shared" si="12"/>
        <v>569122.01346674562</v>
      </c>
      <c r="Q126" s="195">
        <f t="shared" si="14"/>
        <v>1180059.7452995579</v>
      </c>
      <c r="R126" s="196">
        <f t="shared" si="15"/>
        <v>0.40757069921389916</v>
      </c>
      <c r="U126" s="195">
        <f t="shared" si="20"/>
        <v>53093.984032609151</v>
      </c>
      <c r="V126" s="195">
        <f t="shared" si="16"/>
        <v>11420.622272194945</v>
      </c>
      <c r="W126" s="195">
        <f t="shared" si="16"/>
        <v>56598.341251243895</v>
      </c>
      <c r="X126" s="195">
        <f t="shared" si="19"/>
        <v>121112.94755604799</v>
      </c>
      <c r="Y126" s="196">
        <f t="shared" si="18"/>
        <v>0.43838404649543028</v>
      </c>
      <c r="AC126" s="251">
        <f t="shared" si="17"/>
        <v>0.99883395284824317</v>
      </c>
    </row>
    <row r="127" spans="1:29" ht="15.6" x14ac:dyDescent="0.3">
      <c r="A127" s="194">
        <v>2056</v>
      </c>
      <c r="B127" s="253">
        <f>(B179/Population_Tables!O45)*Population_Tables!C45</f>
        <v>1205064.1910964916</v>
      </c>
      <c r="C127" s="253">
        <f>(C179/Population_Tables!P45)*Population_Tables!D45</f>
        <v>306404.52995488927</v>
      </c>
      <c r="D127" s="253">
        <f>(D179/Population_Tables!Q45)*Population_Tables!E45</f>
        <v>100994.01897457983</v>
      </c>
      <c r="E127" s="253">
        <f>(E179/Population_Tables!R45)*Population_Tables!F45</f>
        <v>507783.62117594905</v>
      </c>
      <c r="F127" s="253">
        <f>(F179/Population_Tables!S45)*Population_Tables!G45</f>
        <v>118622.8718631201</v>
      </c>
      <c r="G127" s="253">
        <f>(G179/Population_Tables!T45)*Population_Tables!H45</f>
        <v>174067.14228966291</v>
      </c>
      <c r="H127" s="253">
        <f>(H179/Population_Tables!U45)*Population_Tables!I45</f>
        <v>131097.87860726501</v>
      </c>
      <c r="I127" s="253">
        <f>(I179/Population_Tables!V45)*Population_Tables!J45</f>
        <v>116435.01029125307</v>
      </c>
      <c r="J127" s="253">
        <f>(J179/Population_Tables!W45)*Population_Tables!K45</f>
        <v>99308.214107647713</v>
      </c>
      <c r="K127" s="253">
        <f>(K179/Population_Tables!X45)*Population_Tables!L45</f>
        <v>128518.88531453928</v>
      </c>
      <c r="N127" s="195">
        <f t="shared" si="11"/>
        <v>495308.6144318041</v>
      </c>
      <c r="O127" s="195">
        <f t="shared" si="13"/>
        <v>131097.87860726501</v>
      </c>
      <c r="P127" s="195">
        <f t="shared" si="12"/>
        <v>581465.69121913193</v>
      </c>
      <c r="Q127" s="195">
        <f t="shared" si="14"/>
        <v>1207872.1842582009</v>
      </c>
      <c r="R127" s="196">
        <f t="shared" si="15"/>
        <v>0.41006707571131912</v>
      </c>
      <c r="U127" s="195">
        <f t="shared" si="20"/>
        <v>56806.16849651275</v>
      </c>
      <c r="V127" s="195">
        <f t="shared" si="16"/>
        <v>11993.521423217753</v>
      </c>
      <c r="W127" s="195">
        <f t="shared" si="16"/>
        <v>60045.816272454686</v>
      </c>
      <c r="X127" s="195">
        <f t="shared" si="19"/>
        <v>128845.50619218519</v>
      </c>
      <c r="Y127" s="196">
        <f t="shared" si="18"/>
        <v>0.44088591193689758</v>
      </c>
      <c r="AC127" s="251">
        <f t="shared" si="17"/>
        <v>0.99903756031404034</v>
      </c>
    </row>
    <row r="128" spans="1:29" ht="15.6" x14ac:dyDescent="0.3">
      <c r="A128" s="194">
        <v>2057</v>
      </c>
      <c r="B128" s="253">
        <f>(B180/Population_Tables!O46)*Population_Tables!C46</f>
        <v>1234320.554509585</v>
      </c>
      <c r="C128" s="253">
        <f>(C180/Population_Tables!P46)*Population_Tables!D46</f>
        <v>312648.25969745853</v>
      </c>
      <c r="D128" s="253">
        <f>(D180/Population_Tables!Q46)*Population_Tables!E46</f>
        <v>103344.87331768556</v>
      </c>
      <c r="E128" s="253">
        <f>(E180/Population_Tables!R46)*Population_Tables!F46</f>
        <v>520310.34785755217</v>
      </c>
      <c r="F128" s="253">
        <f>(F180/Population_Tables!S46)*Population_Tables!G46</f>
        <v>121960.07553244141</v>
      </c>
      <c r="G128" s="253">
        <f>(G180/Population_Tables!T46)*Population_Tables!H46</f>
        <v>178127.4232000245</v>
      </c>
      <c r="H128" s="253">
        <f>(H180/Population_Tables!U46)*Population_Tables!I46</f>
        <v>132204.27358333676</v>
      </c>
      <c r="I128" s="253">
        <f>(I180/Population_Tables!V46)*Population_Tables!J46</f>
        <v>119598.43268610816</v>
      </c>
      <c r="J128" s="253">
        <f>(J180/Population_Tables!W46)*Population_Tables!K46</f>
        <v>100067.44938254695</v>
      </c>
      <c r="K128" s="253">
        <f>(K180/Population_Tables!X46)*Population_Tables!L46</f>
        <v>130051.98385040394</v>
      </c>
      <c r="N128" s="195">
        <f t="shared" si="11"/>
        <v>510066.14980665687</v>
      </c>
      <c r="O128" s="195">
        <f t="shared" si="13"/>
        <v>132204.27358333676</v>
      </c>
      <c r="P128" s="195">
        <f t="shared" si="12"/>
        <v>594120.55621516856</v>
      </c>
      <c r="Q128" s="195">
        <f t="shared" si="14"/>
        <v>1236390.9796051621</v>
      </c>
      <c r="R128" s="196">
        <f t="shared" si="15"/>
        <v>0.41254437974753344</v>
      </c>
      <c r="U128" s="195">
        <f t="shared" si="20"/>
        <v>60729.235080192448</v>
      </c>
      <c r="V128" s="195">
        <f t="shared" si="16"/>
        <v>12584.742490188131</v>
      </c>
      <c r="W128" s="195">
        <f t="shared" si="16"/>
        <v>63671.08328506595</v>
      </c>
      <c r="X128" s="195">
        <f t="shared" si="19"/>
        <v>136985.06085544653</v>
      </c>
      <c r="Y128" s="196">
        <f t="shared" si="18"/>
        <v>0.44332743075010905</v>
      </c>
      <c r="AC128" s="251">
        <f t="shared" si="17"/>
        <v>0.99915110801212825</v>
      </c>
    </row>
    <row r="129" spans="1:29" ht="15.6" x14ac:dyDescent="0.3">
      <c r="A129" s="194">
        <v>2058</v>
      </c>
      <c r="B129" s="253">
        <f>(B181/Population_Tables!O47)*Population_Tables!C47</f>
        <v>1264321.176791901</v>
      </c>
      <c r="C129" s="253">
        <f>(C181/Population_Tables!P47)*Population_Tables!D47</f>
        <v>319053.73679718847</v>
      </c>
      <c r="D129" s="253">
        <f>(D181/Population_Tables!Q47)*Population_Tables!E47</f>
        <v>105766.1790606047</v>
      </c>
      <c r="E129" s="253">
        <f>(E181/Population_Tables!R47)*Population_Tables!F47</f>
        <v>533146.23323609401</v>
      </c>
      <c r="F129" s="253">
        <f>(F181/Population_Tables!S47)*Population_Tables!G47</f>
        <v>125388.66613774651</v>
      </c>
      <c r="G129" s="253">
        <f>(G181/Population_Tables!T47)*Population_Tables!H47</f>
        <v>182273.12566581872</v>
      </c>
      <c r="H129" s="253">
        <f>(H181/Population_Tables!U47)*Population_Tables!I47</f>
        <v>133301.1339496001</v>
      </c>
      <c r="I129" s="253">
        <f>(I181/Population_Tables!V47)*Population_Tables!J47</f>
        <v>122798.46890382325</v>
      </c>
      <c r="J129" s="253">
        <f>(J181/Population_Tables!W47)*Population_Tables!K47</f>
        <v>100834.75876495452</v>
      </c>
      <c r="K129" s="253">
        <f>(K181/Population_Tables!X47)*Population_Tables!L47</f>
        <v>131603.27411399074</v>
      </c>
      <c r="N129" s="195">
        <f t="shared" si="11"/>
        <v>525233.76542424038</v>
      </c>
      <c r="O129" s="195">
        <f t="shared" si="13"/>
        <v>133301.1339496001</v>
      </c>
      <c r="P129" s="195">
        <f t="shared" si="12"/>
        <v>607093.04152361187</v>
      </c>
      <c r="Q129" s="195">
        <f t="shared" si="14"/>
        <v>1265627.9408974524</v>
      </c>
      <c r="R129" s="196">
        <f t="shared" si="15"/>
        <v>0.41499855403934821</v>
      </c>
      <c r="U129" s="195">
        <f t="shared" si="20"/>
        <v>64866.484633255459</v>
      </c>
      <c r="V129" s="195">
        <f t="shared" si="16"/>
        <v>13194.363482946428</v>
      </c>
      <c r="W129" s="195">
        <f t="shared" si="16"/>
        <v>67478.738831493538</v>
      </c>
      <c r="X129" s="195">
        <f t="shared" si="19"/>
        <v>145539.58694769541</v>
      </c>
      <c r="Y129" s="196">
        <f t="shared" si="18"/>
        <v>0.44569650081917184</v>
      </c>
      <c r="AC129" s="251">
        <f t="shared" si="17"/>
        <v>0.99917555321352458</v>
      </c>
    </row>
    <row r="130" spans="1:29" ht="15.6" x14ac:dyDescent="0.3">
      <c r="A130" s="194">
        <v>2059</v>
      </c>
      <c r="B130" s="253">
        <f>(B182/Population_Tables!O48)*Population_Tables!C48</f>
        <v>1295073.5972810311</v>
      </c>
      <c r="C130" s="253">
        <f>(C182/Population_Tables!P48)*Population_Tables!D48</f>
        <v>325623.47025727807</v>
      </c>
      <c r="D130" s="253">
        <f>(D182/Population_Tables!Q48)*Population_Tables!E48</f>
        <v>108259.95900947003</v>
      </c>
      <c r="E130" s="253">
        <f>(E182/Population_Tables!R48)*Population_Tables!F48</f>
        <v>546293.36534548958</v>
      </c>
      <c r="F130" s="253">
        <f>(F182/Population_Tables!S48)*Population_Tables!G48</f>
        <v>128910.02521965327</v>
      </c>
      <c r="G130" s="253">
        <f>(G182/Population_Tables!T48)*Population_Tables!H48</f>
        <v>186504.93210660049</v>
      </c>
      <c r="H130" s="253">
        <f>(H182/Population_Tables!U48)*Population_Tables!I48</f>
        <v>134390.31040673124</v>
      </c>
      <c r="I130" s="253">
        <f>(I182/Population_Tables!V48)*Population_Tables!J48</f>
        <v>126031.7546093721</v>
      </c>
      <c r="J130" s="253">
        <f>(J182/Population_Tables!W48)*Population_Tables!K48</f>
        <v>101610.11306898226</v>
      </c>
      <c r="K130" s="253">
        <f>(K182/Population_Tables!X48)*Population_Tables!L48</f>
        <v>133171.99514412435</v>
      </c>
      <c r="N130" s="195">
        <f t="shared" si="11"/>
        <v>540813.08015841164</v>
      </c>
      <c r="O130" s="195">
        <f t="shared" si="13"/>
        <v>134390.31040673124</v>
      </c>
      <c r="P130" s="195">
        <f t="shared" si="12"/>
        <v>620388.36137334863</v>
      </c>
      <c r="Q130" s="195">
        <f t="shared" si="14"/>
        <v>1295591.7519384914</v>
      </c>
      <c r="R130" s="196">
        <f t="shared" si="15"/>
        <v>0.41742553497213597</v>
      </c>
      <c r="U130" s="195">
        <f t="shared" si="20"/>
        <v>69219.453085400688</v>
      </c>
      <c r="V130" s="195">
        <f t="shared" si="16"/>
        <v>13822.320417519979</v>
      </c>
      <c r="W130" s="195">
        <f t="shared" si="16"/>
        <v>71472.160614283755</v>
      </c>
      <c r="X130" s="195">
        <f t="shared" si="19"/>
        <v>154513.93411720442</v>
      </c>
      <c r="Y130" s="196">
        <f t="shared" si="18"/>
        <v>0.44798194726499696</v>
      </c>
      <c r="AC130" s="251">
        <f t="shared" si="17"/>
        <v>0.9991142143959173</v>
      </c>
    </row>
    <row r="131" spans="1:29" ht="15.6" x14ac:dyDescent="0.3">
      <c r="A131" s="194">
        <v>2060</v>
      </c>
      <c r="B131" s="253">
        <f>(B183/Population_Tables!O49)*Population_Tables!C49</f>
        <v>1326586.7011366473</v>
      </c>
      <c r="C131" s="253">
        <f>(C183/Population_Tables!P49)*Population_Tables!D49</f>
        <v>332359.95383218006</v>
      </c>
      <c r="D131" s="253">
        <f>(D183/Population_Tables!Q49)*Population_Tables!E49</f>
        <v>110828.29178276562</v>
      </c>
      <c r="E131" s="253">
        <f>(E183/Population_Tables!R49)*Population_Tables!F49</f>
        <v>559754.61936306849</v>
      </c>
      <c r="F131" s="253">
        <f>(F183/Population_Tables!S49)*Population_Tables!G49</f>
        <v>132525.64971423103</v>
      </c>
      <c r="G131" s="253">
        <f>(G183/Population_Tables!T49)*Population_Tables!H49</f>
        <v>190823.65056614808</v>
      </c>
      <c r="H131" s="253">
        <f>(H183/Population_Tables!U49)*Population_Tables!I49</f>
        <v>135473.70079537359</v>
      </c>
      <c r="I131" s="253">
        <f>(I183/Population_Tables!V49)*Population_Tables!J49</f>
        <v>129295.17392168097</v>
      </c>
      <c r="J131" s="253">
        <f>(J183/Population_Tables!W49)*Population_Tables!K49</f>
        <v>102393.4627026113</v>
      </c>
      <c r="K131" s="253">
        <f>(K183/Population_Tables!X49)*Population_Tables!L49</f>
        <v>134757.43476605025</v>
      </c>
      <c r="N131" s="195">
        <f t="shared" si="11"/>
        <v>556806.56828192598</v>
      </c>
      <c r="O131" s="195">
        <f t="shared" si="13"/>
        <v>135473.70079537359</v>
      </c>
      <c r="P131" s="195">
        <f t="shared" si="12"/>
        <v>634011.89618109376</v>
      </c>
      <c r="Q131" s="195">
        <f t="shared" si="14"/>
        <v>1326292.1652583934</v>
      </c>
      <c r="R131" s="196">
        <f>N131/Q131</f>
        <v>0.41982195391574734</v>
      </c>
      <c r="U131" s="195">
        <f t="shared" si="20"/>
        <v>73790.531765225809</v>
      </c>
      <c r="V131" s="195">
        <f t="shared" si="16"/>
        <v>14468.596449903183</v>
      </c>
      <c r="W131" s="195">
        <f t="shared" si="16"/>
        <v>75654.892523810617</v>
      </c>
      <c r="X131" s="195">
        <f t="shared" si="19"/>
        <v>163914.02073893961</v>
      </c>
      <c r="Y131" s="196">
        <f t="shared" si="18"/>
        <v>0.45017827903050178</v>
      </c>
      <c r="AC131" s="251">
        <f t="shared" si="17"/>
        <v>0.99897271775096674</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438696.45012529875</v>
      </c>
      <c r="C137" s="229">
        <v>137774.08357504738</v>
      </c>
      <c r="D137" s="229">
        <v>40458.669774063565</v>
      </c>
      <c r="E137" s="229">
        <v>168421.14739281891</v>
      </c>
      <c r="F137" s="229">
        <v>37663.600616097028</v>
      </c>
      <c r="G137" s="229">
        <v>62060.414563864266</v>
      </c>
      <c r="H137" s="229">
        <v>46977.096435971587</v>
      </c>
      <c r="I137" s="229">
        <v>22776.645123314047</v>
      </c>
      <c r="J137" s="229">
        <v>67712.398313891827</v>
      </c>
      <c r="K137" s="229">
        <v>73092.900830136685</v>
      </c>
      <c r="N137" s="195">
        <f t="shared" ref="N137:N183" si="21">SUMIF($C$83:$G$83,"Y",C137:G137)-H137</f>
        <v>159107.65157294433</v>
      </c>
      <c r="O137" s="195">
        <f>H137</f>
        <v>46977.096435971587</v>
      </c>
      <c r="P137" s="195">
        <f t="shared" ref="P137:P183" si="22">SUMIF($C$83:$G$83,"N",C137:G137)-(IF($E$83="N",H137))</f>
        <v>240293.16791297522</v>
      </c>
      <c r="Q137" s="195">
        <f>N137+P137+O137</f>
        <v>446377.91592189111</v>
      </c>
      <c r="R137" s="196">
        <f>N137/Q137</f>
        <v>0.35644158435648415</v>
      </c>
      <c r="AC137" s="251"/>
    </row>
    <row r="138" spans="1:29" ht="15.6" x14ac:dyDescent="0.3">
      <c r="A138" s="194">
        <v>2015</v>
      </c>
      <c r="B138" s="229">
        <v>449459.89536377345</v>
      </c>
      <c r="C138" s="229">
        <v>140001.89890512943</v>
      </c>
      <c r="D138" s="229">
        <v>41491.645606019258</v>
      </c>
      <c r="E138" s="229">
        <v>173450.74327764433</v>
      </c>
      <c r="F138" s="229">
        <v>38783.889227495783</v>
      </c>
      <c r="G138" s="229">
        <v>63482.802912237443</v>
      </c>
      <c r="H138" s="229">
        <v>50301.468509839244</v>
      </c>
      <c r="I138" s="229">
        <v>24025.852653188198</v>
      </c>
      <c r="J138" s="229">
        <v>68179.108034618519</v>
      </c>
      <c r="K138" s="229">
        <v>73714.670487818454</v>
      </c>
      <c r="N138" s="195">
        <f t="shared" si="21"/>
        <v>161933.16399530089</v>
      </c>
      <c r="O138" s="195">
        <f t="shared" ref="O138:O183" si="23">H138</f>
        <v>50301.468509839244</v>
      </c>
      <c r="P138" s="195">
        <f t="shared" si="22"/>
        <v>244976.34742338615</v>
      </c>
      <c r="Q138" s="195">
        <f t="shared" ref="Q138:Q183" si="24">N138+P138+O138</f>
        <v>457210.97992852633</v>
      </c>
      <c r="R138" s="196">
        <f t="shared" ref="R138:R182" si="25">N138/Q138</f>
        <v>0.35417601742769855</v>
      </c>
      <c r="AC138" s="251"/>
    </row>
    <row r="139" spans="1:29" ht="15.6" x14ac:dyDescent="0.3">
      <c r="A139" s="194">
        <v>2016</v>
      </c>
      <c r="B139" s="229">
        <v>460420.48202937999</v>
      </c>
      <c r="C139" s="229">
        <v>142550.34366071914</v>
      </c>
      <c r="D139" s="229">
        <v>42450.96235311561</v>
      </c>
      <c r="E139" s="229">
        <v>178659.64575138444</v>
      </c>
      <c r="F139" s="229">
        <v>39758.115609022185</v>
      </c>
      <c r="G139" s="229">
        <v>65041.385650014803</v>
      </c>
      <c r="H139" s="229">
        <v>53610.501861130113</v>
      </c>
      <c r="I139" s="229">
        <v>25227.20530896942</v>
      </c>
      <c r="J139" s="229">
        <v>68961.173165756467</v>
      </c>
      <c r="K139" s="229">
        <v>74873.306642577198</v>
      </c>
      <c r="N139" s="195">
        <f t="shared" si="21"/>
        <v>164807.25949927649</v>
      </c>
      <c r="O139" s="195">
        <f t="shared" si="23"/>
        <v>53610.501861130113</v>
      </c>
      <c r="P139" s="195">
        <f t="shared" si="22"/>
        <v>250042.69166384955</v>
      </c>
      <c r="Q139" s="195">
        <f t="shared" si="24"/>
        <v>468460.45302425616</v>
      </c>
      <c r="R139" s="196">
        <f t="shared" si="25"/>
        <v>0.35180613098784463</v>
      </c>
      <c r="AC139" s="251"/>
    </row>
    <row r="140" spans="1:29" ht="15.6" x14ac:dyDescent="0.3">
      <c r="A140" s="194">
        <v>2017</v>
      </c>
      <c r="B140" s="229">
        <v>471539.84298692702</v>
      </c>
      <c r="C140" s="229">
        <v>145123.80873543871</v>
      </c>
      <c r="D140" s="229">
        <v>43411.942306247482</v>
      </c>
      <c r="E140" s="229">
        <v>183928.7082231775</v>
      </c>
      <c r="F140" s="229">
        <v>40758.241949161733</v>
      </c>
      <c r="G140" s="229">
        <v>66633.219061253243</v>
      </c>
      <c r="H140" s="229">
        <v>56813.098606218002</v>
      </c>
      <c r="I140" s="229">
        <v>26485.338053506672</v>
      </c>
      <c r="J140" s="229">
        <v>69728.984867156571</v>
      </c>
      <c r="K140" s="229">
        <v>76024.492709361235</v>
      </c>
      <c r="N140" s="195">
        <f t="shared" si="21"/>
        <v>167873.85156612122</v>
      </c>
      <c r="O140" s="195">
        <f t="shared" si="23"/>
        <v>56813.098606218002</v>
      </c>
      <c r="P140" s="195">
        <f t="shared" si="22"/>
        <v>255168.97010293943</v>
      </c>
      <c r="Q140" s="195">
        <f t="shared" si="24"/>
        <v>479855.92027527862</v>
      </c>
      <c r="R140" s="196">
        <f t="shared" si="25"/>
        <v>0.34984220152961149</v>
      </c>
      <c r="AC140" s="251"/>
    </row>
    <row r="141" spans="1:29" ht="15.6" x14ac:dyDescent="0.3">
      <c r="A141" s="194">
        <v>2018</v>
      </c>
      <c r="B141" s="229">
        <v>482822.41574325209</v>
      </c>
      <c r="C141" s="229">
        <v>147723.56758647895</v>
      </c>
      <c r="D141" s="229">
        <v>44375.397638676885</v>
      </c>
      <c r="E141" s="229">
        <v>189259.28108439918</v>
      </c>
      <c r="F141" s="229">
        <v>41784.9154853457</v>
      </c>
      <c r="G141" s="229">
        <v>68258.054041840456</v>
      </c>
      <c r="H141" s="229">
        <v>59911.173429751856</v>
      </c>
      <c r="I141" s="229">
        <v>27798.722771901346</v>
      </c>
      <c r="J141" s="229">
        <v>70482.718803123571</v>
      </c>
      <c r="K141" s="229">
        <v>77168.310435934574</v>
      </c>
      <c r="N141" s="195">
        <f t="shared" si="21"/>
        <v>171133.02313999302</v>
      </c>
      <c r="O141" s="195">
        <f t="shared" si="23"/>
        <v>59911.173429751856</v>
      </c>
      <c r="P141" s="195">
        <f t="shared" si="22"/>
        <v>260357.0192669963</v>
      </c>
      <c r="Q141" s="195">
        <f t="shared" si="24"/>
        <v>491401.21583674115</v>
      </c>
      <c r="R141" s="196">
        <f t="shared" si="25"/>
        <v>0.34825518868241623</v>
      </c>
      <c r="AC141" s="251"/>
    </row>
    <row r="142" spans="1:29" ht="16.2" thickBot="1" x14ac:dyDescent="0.35">
      <c r="A142" s="198">
        <v>2019</v>
      </c>
      <c r="B142" s="230">
        <v>494272.63780519273</v>
      </c>
      <c r="C142" s="230">
        <v>150350.89367103079</v>
      </c>
      <c r="D142" s="230">
        <v>45342.140523665861</v>
      </c>
      <c r="E142" s="230">
        <v>194652.71472642515</v>
      </c>
      <c r="F142" s="230">
        <v>42838.783455005352</v>
      </c>
      <c r="G142" s="230">
        <v>69915.641487664121</v>
      </c>
      <c r="H142" s="230">
        <v>62906.641016380614</v>
      </c>
      <c r="I142" s="230">
        <v>29165.83134925483</v>
      </c>
      <c r="J142" s="230">
        <v>71222.550637962238</v>
      </c>
      <c r="K142" s="230">
        <v>78304.841570061239</v>
      </c>
      <c r="N142" s="195">
        <f t="shared" si="21"/>
        <v>174584.85716504988</v>
      </c>
      <c r="O142" s="195">
        <f t="shared" si="23"/>
        <v>62906.641016380614</v>
      </c>
      <c r="P142" s="195">
        <f t="shared" si="22"/>
        <v>265608.67568236077</v>
      </c>
      <c r="Q142" s="195">
        <f t="shared" si="24"/>
        <v>503100.17386379128</v>
      </c>
      <c r="R142" s="199">
        <f t="shared" si="25"/>
        <v>0.34701808155668967</v>
      </c>
      <c r="AC142" s="251"/>
    </row>
    <row r="143" spans="1:29" ht="15.6" x14ac:dyDescent="0.3">
      <c r="A143" s="201">
        <v>2020</v>
      </c>
      <c r="B143" s="228">
        <v>505894.94667958649</v>
      </c>
      <c r="C143" s="228">
        <v>153007.06044628509</v>
      </c>
      <c r="D143" s="228">
        <v>46312.983134476424</v>
      </c>
      <c r="E143" s="228">
        <v>200110.35954063109</v>
      </c>
      <c r="F143" s="228">
        <v>43920.493095571954</v>
      </c>
      <c r="G143" s="228">
        <v>71605.732294611924</v>
      </c>
      <c r="H143" s="228">
        <v>65801.416050753236</v>
      </c>
      <c r="I143" s="228">
        <v>30585.135670668518</v>
      </c>
      <c r="J143" s="228">
        <v>71948.656035977358</v>
      </c>
      <c r="K143" s="228">
        <v>79434.167859505251</v>
      </c>
      <c r="L143" s="202"/>
      <c r="M143" s="202"/>
      <c r="N143" s="195">
        <f t="shared" si="21"/>
        <v>178229.43658544982</v>
      </c>
      <c r="O143" s="195">
        <f t="shared" si="23"/>
        <v>65801.416050753236</v>
      </c>
      <c r="P143" s="195">
        <f t="shared" si="22"/>
        <v>270925.77587537345</v>
      </c>
      <c r="Q143" s="195">
        <f t="shared" si="24"/>
        <v>514956.62851157645</v>
      </c>
      <c r="R143" s="220">
        <f t="shared" si="25"/>
        <v>0.34610572370065751</v>
      </c>
      <c r="AC143" s="251"/>
    </row>
    <row r="144" spans="1:29" ht="15.6" x14ac:dyDescent="0.3">
      <c r="A144" s="206">
        <v>2021</v>
      </c>
      <c r="B144" s="229">
        <v>517693.77987327083</v>
      </c>
      <c r="C144" s="229">
        <v>155693.34136943266</v>
      </c>
      <c r="D144" s="229">
        <v>47288.737644370616</v>
      </c>
      <c r="E144" s="229">
        <v>205633.56591839271</v>
      </c>
      <c r="F144" s="229">
        <v>45030.691644476778</v>
      </c>
      <c r="G144" s="229">
        <v>73328.07735857158</v>
      </c>
      <c r="H144" s="229">
        <v>68597.413217518639</v>
      </c>
      <c r="I144" s="229">
        <v>32055.107621243798</v>
      </c>
      <c r="J144" s="229">
        <v>72661.210661473684</v>
      </c>
      <c r="K144" s="229">
        <v>80556.371052030649</v>
      </c>
      <c r="L144" s="170"/>
      <c r="M144" s="170"/>
      <c r="N144" s="195">
        <f t="shared" si="21"/>
        <v>182066.84434535087</v>
      </c>
      <c r="O144" s="195">
        <f t="shared" si="23"/>
        <v>68597.413217518639</v>
      </c>
      <c r="P144" s="195">
        <f t="shared" si="22"/>
        <v>276310.15637237485</v>
      </c>
      <c r="Q144" s="195">
        <f t="shared" si="24"/>
        <v>526974.41393524432</v>
      </c>
      <c r="R144" s="221">
        <f t="shared" si="25"/>
        <v>0.34549465691464026</v>
      </c>
      <c r="AC144" s="251"/>
    </row>
    <row r="145" spans="1:29" ht="15.6" x14ac:dyDescent="0.3">
      <c r="A145" s="206">
        <v>2022</v>
      </c>
      <c r="B145" s="229">
        <v>529673.57489308331</v>
      </c>
      <c r="C145" s="229">
        <v>158411.00989766442</v>
      </c>
      <c r="D145" s="229">
        <v>48270.216226610442</v>
      </c>
      <c r="E145" s="229">
        <v>211223.68425108568</v>
      </c>
      <c r="F145" s="229">
        <v>46170.026339151089</v>
      </c>
      <c r="G145" s="229">
        <v>75082.427575430745</v>
      </c>
      <c r="H145" s="229">
        <v>71296.547201325782</v>
      </c>
      <c r="I145" s="229">
        <v>33574.21908608207</v>
      </c>
      <c r="J145" s="229">
        <v>73360.390178755973</v>
      </c>
      <c r="K145" s="229">
        <v>81671.532895401426</v>
      </c>
      <c r="L145" s="170"/>
      <c r="M145" s="170"/>
      <c r="N145" s="195">
        <f t="shared" si="21"/>
        <v>186097.16338891099</v>
      </c>
      <c r="O145" s="195">
        <f t="shared" si="23"/>
        <v>71296.547201325782</v>
      </c>
      <c r="P145" s="195">
        <f t="shared" si="22"/>
        <v>281763.65369970561</v>
      </c>
      <c r="Q145" s="195">
        <f t="shared" si="24"/>
        <v>539157.36428994243</v>
      </c>
      <c r="R145" s="221">
        <f t="shared" si="25"/>
        <v>0.34516298156104497</v>
      </c>
      <c r="AC145" s="251"/>
    </row>
    <row r="146" spans="1:29" ht="15.6" x14ac:dyDescent="0.3">
      <c r="A146" s="206">
        <v>2023</v>
      </c>
      <c r="B146" s="229">
        <v>541838.76924586133</v>
      </c>
      <c r="C146" s="229">
        <v>161161.33948817124</v>
      </c>
      <c r="D146" s="229">
        <v>49258.231054457945</v>
      </c>
      <c r="E146" s="229">
        <v>216882.06493008567</v>
      </c>
      <c r="F146" s="229">
        <v>47339.144417026153</v>
      </c>
      <c r="G146" s="229">
        <v>76868.533841077136</v>
      </c>
      <c r="H146" s="229">
        <v>73900.732686823598</v>
      </c>
      <c r="I146" s="229">
        <v>35140.941950284709</v>
      </c>
      <c r="J146" s="229">
        <v>74046.370252128996</v>
      </c>
      <c r="K146" s="229">
        <v>82779.73513738162</v>
      </c>
      <c r="L146" s="170"/>
      <c r="M146" s="170"/>
      <c r="N146" s="195">
        <f t="shared" si="21"/>
        <v>190320.47666028823</v>
      </c>
      <c r="O146" s="195">
        <f t="shared" si="23"/>
        <v>73900.732686823598</v>
      </c>
      <c r="P146" s="195">
        <f t="shared" si="22"/>
        <v>287288.10438370635</v>
      </c>
      <c r="Q146" s="195">
        <f>N146+P146+O146</f>
        <v>551509.31373081822</v>
      </c>
      <c r="R146" s="221">
        <f t="shared" si="25"/>
        <v>0.34509023133774352</v>
      </c>
      <c r="AC146" s="251"/>
    </row>
    <row r="147" spans="1:29" ht="15.6" x14ac:dyDescent="0.3">
      <c r="A147" s="206">
        <v>2024</v>
      </c>
      <c r="B147" s="229">
        <v>554193.80043844262</v>
      </c>
      <c r="C147" s="229">
        <v>163945.60359814396</v>
      </c>
      <c r="D147" s="229">
        <v>50253.594301175137</v>
      </c>
      <c r="E147" s="229">
        <v>222610.05834676838</v>
      </c>
      <c r="F147" s="229">
        <v>48538.693115533242</v>
      </c>
      <c r="G147" s="229">
        <v>78686.147051398424</v>
      </c>
      <c r="H147" s="229">
        <v>76411.884358661031</v>
      </c>
      <c r="I147" s="229">
        <v>36753.748098953118</v>
      </c>
      <c r="J147" s="229">
        <v>74719.326545897507</v>
      </c>
      <c r="K147" s="229">
        <v>83881.05952573524</v>
      </c>
      <c r="L147" s="170"/>
      <c r="M147" s="170"/>
      <c r="N147" s="195">
        <f t="shared" si="21"/>
        <v>194736.86710364057</v>
      </c>
      <c r="O147" s="195">
        <f t="shared" si="23"/>
        <v>76411.884358661031</v>
      </c>
      <c r="P147" s="195">
        <f t="shared" si="22"/>
        <v>292885.34495071752</v>
      </c>
      <c r="Q147" s="195">
        <f t="shared" si="24"/>
        <v>564034.09641301911</v>
      </c>
      <c r="R147" s="221">
        <f t="shared" si="25"/>
        <v>0.34525726076148899</v>
      </c>
      <c r="AC147" s="251"/>
    </row>
    <row r="148" spans="1:29" ht="15.6" x14ac:dyDescent="0.3">
      <c r="A148" s="206">
        <v>2025</v>
      </c>
      <c r="B148" s="229">
        <v>566743.10597766459</v>
      </c>
      <c r="C148" s="229">
        <v>166765.07568477347</v>
      </c>
      <c r="D148" s="229">
        <v>51257.11814002406</v>
      </c>
      <c r="E148" s="229">
        <v>228409.01489250944</v>
      </c>
      <c r="F148" s="229">
        <v>49769.319672103622</v>
      </c>
      <c r="G148" s="229">
        <v>80535.018102282294</v>
      </c>
      <c r="H148" s="229">
        <v>78831.916901487042</v>
      </c>
      <c r="I148" s="229">
        <v>38411.109417188687</v>
      </c>
      <c r="J148" s="229">
        <v>75379.434724366292</v>
      </c>
      <c r="K148" s="229">
        <v>84975.587808226323</v>
      </c>
      <c r="L148" s="170"/>
      <c r="M148" s="170"/>
      <c r="N148" s="195">
        <f t="shared" si="21"/>
        <v>199346.41766312602</v>
      </c>
      <c r="O148" s="195">
        <f t="shared" si="23"/>
        <v>78831.916901487042</v>
      </c>
      <c r="P148" s="195">
        <f t="shared" si="22"/>
        <v>298557.21192707983</v>
      </c>
      <c r="Q148" s="195">
        <f t="shared" si="24"/>
        <v>576735.54649169289</v>
      </c>
      <c r="R148" s="221">
        <f t="shared" si="25"/>
        <v>0.34564614384488496</v>
      </c>
      <c r="AC148" s="251"/>
    </row>
    <row r="149" spans="1:29" ht="15.6" x14ac:dyDescent="0.3">
      <c r="A149" s="206">
        <v>2026</v>
      </c>
      <c r="B149" s="229">
        <v>579491.12337036466</v>
      </c>
      <c r="C149" s="229">
        <v>169621.02920525064</v>
      </c>
      <c r="D149" s="229">
        <v>52269.614744266728</v>
      </c>
      <c r="E149" s="229">
        <v>234280.28495868461</v>
      </c>
      <c r="F149" s="229">
        <v>51031.671324168565</v>
      </c>
      <c r="G149" s="229">
        <v>82414.897889616448</v>
      </c>
      <c r="H149" s="229">
        <v>81162.744999950533</v>
      </c>
      <c r="I149" s="229">
        <v>40111.497790092799</v>
      </c>
      <c r="J149" s="229">
        <v>76026.870451840092</v>
      </c>
      <c r="K149" s="229">
        <v>86063.401732618877</v>
      </c>
      <c r="L149" s="170"/>
      <c r="M149" s="170"/>
      <c r="N149" s="195">
        <f t="shared" si="21"/>
        <v>204149.21128290263</v>
      </c>
      <c r="O149" s="195">
        <f t="shared" si="23"/>
        <v>81162.744999950533</v>
      </c>
      <c r="P149" s="195">
        <f t="shared" si="22"/>
        <v>304305.54183913383</v>
      </c>
      <c r="Q149" s="195">
        <f t="shared" si="24"/>
        <v>589617.49812198698</v>
      </c>
      <c r="R149" s="221">
        <f t="shared" si="25"/>
        <v>0.34624008265213635</v>
      </c>
      <c r="AC149" s="251"/>
    </row>
    <row r="150" spans="1:29" ht="15.6" x14ac:dyDescent="0.3">
      <c r="A150" s="206">
        <v>2027</v>
      </c>
      <c r="B150" s="229">
        <v>592442.29012338049</v>
      </c>
      <c r="C150" s="229">
        <v>172514.73761676633</v>
      </c>
      <c r="D150" s="229">
        <v>53291.896287165167</v>
      </c>
      <c r="E150" s="229">
        <v>240225.21893666952</v>
      </c>
      <c r="F150" s="229">
        <v>52326.395309159328</v>
      </c>
      <c r="G150" s="229">
        <v>84325.537309288571</v>
      </c>
      <c r="H150" s="229">
        <v>83406.283338700479</v>
      </c>
      <c r="I150" s="229">
        <v>41853.385102766857</v>
      </c>
      <c r="J150" s="229">
        <v>76661.809392623691</v>
      </c>
      <c r="K150" s="229">
        <v>87144.583046676926</v>
      </c>
      <c r="L150" s="170"/>
      <c r="M150" s="170"/>
      <c r="N150" s="195">
        <f t="shared" si="21"/>
        <v>209145.33090712834</v>
      </c>
      <c r="O150" s="195">
        <f t="shared" si="23"/>
        <v>83406.283338700479</v>
      </c>
      <c r="P150" s="195">
        <f t="shared" si="22"/>
        <v>310132.17121322011</v>
      </c>
      <c r="Q150" s="195">
        <f t="shared" si="24"/>
        <v>602683.78545904893</v>
      </c>
      <c r="R150" s="221">
        <f t="shared" si="25"/>
        <v>0.34702332459106672</v>
      </c>
      <c r="AC150" s="251"/>
    </row>
    <row r="151" spans="1:29" ht="15.6" x14ac:dyDescent="0.3">
      <c r="A151" s="206">
        <v>2028</v>
      </c>
      <c r="B151" s="229">
        <v>605601.04374354961</v>
      </c>
      <c r="C151" s="229">
        <v>175447.47437651141</v>
      </c>
      <c r="D151" s="229">
        <v>54324.774941981406</v>
      </c>
      <c r="E151" s="229">
        <v>246245.16721783986</v>
      </c>
      <c r="F151" s="229">
        <v>53654.138864507186</v>
      </c>
      <c r="G151" s="229">
        <v>86266.687257186335</v>
      </c>
      <c r="H151" s="229">
        <v>85564.446602385811</v>
      </c>
      <c r="I151" s="229">
        <v>43635.243240312237</v>
      </c>
      <c r="J151" s="229">
        <v>77284.42721102183</v>
      </c>
      <c r="K151" s="229">
        <v>88219.213498164507</v>
      </c>
      <c r="L151" s="170"/>
      <c r="M151" s="170"/>
      <c r="N151" s="195">
        <f t="shared" si="21"/>
        <v>214334.85947996125</v>
      </c>
      <c r="O151" s="195">
        <f t="shared" si="23"/>
        <v>85564.446602385811</v>
      </c>
      <c r="P151" s="195">
        <f t="shared" si="22"/>
        <v>316038.93657567917</v>
      </c>
      <c r="Q151" s="195">
        <f t="shared" si="24"/>
        <v>615938.24265802628</v>
      </c>
      <c r="R151" s="221">
        <f t="shared" si="25"/>
        <v>0.34798108744639455</v>
      </c>
      <c r="AC151" s="251"/>
    </row>
    <row r="152" spans="1:29" ht="15.6" x14ac:dyDescent="0.3">
      <c r="A152" s="206">
        <v>2029</v>
      </c>
      <c r="B152" s="229">
        <v>618971.82173770946</v>
      </c>
      <c r="C152" s="229">
        <v>178420.51294167674</v>
      </c>
      <c r="D152" s="229">
        <v>55369.062881977479</v>
      </c>
      <c r="E152" s="229">
        <v>252341.48019357133</v>
      </c>
      <c r="F152" s="229">
        <v>55015.549227643409</v>
      </c>
      <c r="G152" s="229">
        <v>88238.098629197455</v>
      </c>
      <c r="H152" s="229">
        <v>87639.149475655475</v>
      </c>
      <c r="I152" s="229">
        <v>45455.544087830349</v>
      </c>
      <c r="J152" s="229">
        <v>77894.899571339309</v>
      </c>
      <c r="K152" s="229">
        <v>89287.374834845599</v>
      </c>
      <c r="L152" s="170"/>
      <c r="M152" s="170"/>
      <c r="N152" s="195">
        <f t="shared" si="21"/>
        <v>219717.87994555925</v>
      </c>
      <c r="O152" s="195">
        <f t="shared" si="23"/>
        <v>87639.149475655475</v>
      </c>
      <c r="P152" s="195">
        <f t="shared" si="22"/>
        <v>322027.67445285164</v>
      </c>
      <c r="Q152" s="195">
        <f t="shared" si="24"/>
        <v>629384.70387406647</v>
      </c>
      <c r="R152" s="221">
        <f t="shared" si="25"/>
        <v>0.3490994912858934</v>
      </c>
      <c r="AC152" s="251"/>
    </row>
    <row r="153" spans="1:29" ht="15.6" x14ac:dyDescent="0.3">
      <c r="A153" s="206">
        <v>2030</v>
      </c>
      <c r="B153" s="229">
        <v>632559.06161269755</v>
      </c>
      <c r="C153" s="229">
        <v>181435.1267694532</v>
      </c>
      <c r="D153" s="229">
        <v>56425.572280415399</v>
      </c>
      <c r="E153" s="229">
        <v>258515.50825523961</v>
      </c>
      <c r="F153" s="229">
        <v>56411.273635999256</v>
      </c>
      <c r="G153" s="229">
        <v>90239.522321209617</v>
      </c>
      <c r="H153" s="229">
        <v>89632.306643158401</v>
      </c>
      <c r="I153" s="229">
        <v>47312.759530422569</v>
      </c>
      <c r="J153" s="229">
        <v>78493.402137880854</v>
      </c>
      <c r="K153" s="229">
        <v>90349.14880448427</v>
      </c>
      <c r="L153" s="170"/>
      <c r="M153" s="170"/>
      <c r="N153" s="195">
        <f t="shared" si="21"/>
        <v>225294.47524808047</v>
      </c>
      <c r="O153" s="195">
        <f t="shared" si="23"/>
        <v>89632.306643158401</v>
      </c>
      <c r="P153" s="195">
        <f t="shared" si="22"/>
        <v>328100.22137107822</v>
      </c>
      <c r="Q153" s="195">
        <f t="shared" si="24"/>
        <v>643027.00326231716</v>
      </c>
      <c r="R153" s="221">
        <f t="shared" si="25"/>
        <v>0.35036549648005</v>
      </c>
      <c r="AC153" s="251"/>
    </row>
    <row r="154" spans="1:29" ht="15.6" x14ac:dyDescent="0.3">
      <c r="A154" s="206">
        <v>2031</v>
      </c>
      <c r="B154" s="229">
        <v>646367.20087535144</v>
      </c>
      <c r="C154" s="229">
        <v>184492.58931703167</v>
      </c>
      <c r="D154" s="229">
        <v>57495.115310557201</v>
      </c>
      <c r="E154" s="229">
        <v>264768.60179422033</v>
      </c>
      <c r="F154" s="229">
        <v>57841.959327006</v>
      </c>
      <c r="G154" s="229">
        <v>92270.709229110478</v>
      </c>
      <c r="H154" s="229">
        <v>91545.832789543565</v>
      </c>
      <c r="I154" s="229">
        <v>49205.361453190286</v>
      </c>
      <c r="J154" s="229">
        <v>79080.11057495125</v>
      </c>
      <c r="K154" s="229">
        <v>91404.617154844513</v>
      </c>
      <c r="L154" s="170"/>
      <c r="M154" s="170"/>
      <c r="N154" s="195">
        <f t="shared" si="21"/>
        <v>231064.7283316828</v>
      </c>
      <c r="O154" s="195">
        <f t="shared" si="23"/>
        <v>91545.832789543565</v>
      </c>
      <c r="P154" s="195">
        <f t="shared" si="22"/>
        <v>334258.41385669936</v>
      </c>
      <c r="Q154" s="195">
        <f t="shared" si="24"/>
        <v>656868.97497792565</v>
      </c>
      <c r="R154" s="221">
        <f t="shared" si="25"/>
        <v>0.35176684716986034</v>
      </c>
      <c r="AC154" s="251"/>
    </row>
    <row r="155" spans="1:29" ht="15.6" x14ac:dyDescent="0.3">
      <c r="A155" s="206">
        <v>2032</v>
      </c>
      <c r="B155" s="229">
        <v>660400.67703250865</v>
      </c>
      <c r="C155" s="229">
        <v>187594.17404160299</v>
      </c>
      <c r="D155" s="229">
        <v>58578.504145664905</v>
      </c>
      <c r="E155" s="229">
        <v>271102.11120188923</v>
      </c>
      <c r="F155" s="229">
        <v>59308.253538094905</v>
      </c>
      <c r="G155" s="229">
        <v>94331.410248787768</v>
      </c>
      <c r="H155" s="229">
        <v>93381.642599459854</v>
      </c>
      <c r="I155" s="229">
        <v>51131.821741234904</v>
      </c>
      <c r="J155" s="229">
        <v>79655.200546855267</v>
      </c>
      <c r="K155" s="229">
        <v>92453.861633690365</v>
      </c>
      <c r="L155" s="170"/>
      <c r="M155" s="170"/>
      <c r="N155" s="195">
        <f t="shared" si="21"/>
        <v>237028.7221405243</v>
      </c>
      <c r="O155" s="195">
        <f t="shared" si="23"/>
        <v>93381.642599459854</v>
      </c>
      <c r="P155" s="195">
        <f t="shared" si="22"/>
        <v>340504.0884360557</v>
      </c>
      <c r="Q155" s="195">
        <f t="shared" si="24"/>
        <v>670914.45317603985</v>
      </c>
      <c r="R155" s="221">
        <f t="shared" si="25"/>
        <v>0.3532920195987056</v>
      </c>
      <c r="AC155" s="251"/>
    </row>
    <row r="156" spans="1:29" ht="15.6" x14ac:dyDescent="0.3">
      <c r="A156" s="206">
        <v>2033</v>
      </c>
      <c r="B156" s="229">
        <v>674663.92759100662</v>
      </c>
      <c r="C156" s="229">
        <v>190741.15440035803</v>
      </c>
      <c r="D156" s="229">
        <v>59676.550959000539</v>
      </c>
      <c r="E156" s="229">
        <v>277517.38686962205</v>
      </c>
      <c r="F156" s="229">
        <v>60810.803506697237</v>
      </c>
      <c r="G156" s="229">
        <v>96421.376276129158</v>
      </c>
      <c r="H156" s="229">
        <v>95141.650757556257</v>
      </c>
      <c r="I156" s="229">
        <v>53090.612279657813</v>
      </c>
      <c r="J156" s="229">
        <v>80218.847717897661</v>
      </c>
      <c r="K156" s="229">
        <v>93496.963988785836</v>
      </c>
      <c r="L156" s="170"/>
      <c r="M156" s="170"/>
      <c r="N156" s="195">
        <f t="shared" si="21"/>
        <v>243186.53961876302</v>
      </c>
      <c r="O156" s="195">
        <f t="shared" si="23"/>
        <v>95141.650757556257</v>
      </c>
      <c r="P156" s="195">
        <f t="shared" si="22"/>
        <v>346839.08163548773</v>
      </c>
      <c r="Q156" s="195">
        <f t="shared" si="24"/>
        <v>685167.27201180696</v>
      </c>
      <c r="R156" s="221">
        <f t="shared" si="25"/>
        <v>0.35493017479470673</v>
      </c>
      <c r="AC156" s="251"/>
    </row>
    <row r="157" spans="1:29" ht="15.6" x14ac:dyDescent="0.3">
      <c r="A157" s="206">
        <v>2034</v>
      </c>
      <c r="B157" s="229">
        <v>689161.39005768299</v>
      </c>
      <c r="C157" s="229">
        <v>193934.80385048769</v>
      </c>
      <c r="D157" s="229">
        <v>60790.067923826136</v>
      </c>
      <c r="E157" s="229">
        <v>284015.77918879432</v>
      </c>
      <c r="F157" s="229">
        <v>62350.256470244276</v>
      </c>
      <c r="G157" s="229">
        <v>98540.35820702232</v>
      </c>
      <c r="H157" s="229">
        <v>96827.771948481706</v>
      </c>
      <c r="I157" s="229">
        <v>55080.204953560387</v>
      </c>
      <c r="J157" s="229">
        <v>80771.227752383187</v>
      </c>
      <c r="K157" s="229">
        <v>94534.005967894947</v>
      </c>
      <c r="L157" s="170"/>
      <c r="M157" s="170"/>
      <c r="N157" s="195">
        <f t="shared" si="21"/>
        <v>249538.26371055687</v>
      </c>
      <c r="O157" s="195">
        <f t="shared" si="23"/>
        <v>96827.771948481706</v>
      </c>
      <c r="P157" s="195">
        <f t="shared" si="22"/>
        <v>353265.22998133616</v>
      </c>
      <c r="Q157" s="195">
        <f t="shared" si="24"/>
        <v>699631.26564037474</v>
      </c>
      <c r="R157" s="221">
        <f t="shared" si="25"/>
        <v>0.35667111515114136</v>
      </c>
      <c r="AC157" s="251"/>
    </row>
    <row r="158" spans="1:29" ht="15.6" x14ac:dyDescent="0.3">
      <c r="A158" s="206">
        <v>2035</v>
      </c>
      <c r="B158" s="229">
        <v>703897.50193937519</v>
      </c>
      <c r="C158" s="229">
        <v>197176.39584918285</v>
      </c>
      <c r="D158" s="229">
        <v>61919.867213403704</v>
      </c>
      <c r="E158" s="229">
        <v>290598.63855078176</v>
      </c>
      <c r="F158" s="229">
        <v>63927.259666167287</v>
      </c>
      <c r="G158" s="229">
        <v>100688.10693735495</v>
      </c>
      <c r="H158" s="229">
        <v>98441.920856885132</v>
      </c>
      <c r="I158" s="229">
        <v>57099.071648044031</v>
      </c>
      <c r="J158" s="229">
        <v>81312.516314616631</v>
      </c>
      <c r="K158" s="229">
        <v>95565.069318781723</v>
      </c>
      <c r="L158" s="170"/>
      <c r="M158" s="170"/>
      <c r="N158" s="195">
        <f t="shared" si="21"/>
        <v>256083.97736006393</v>
      </c>
      <c r="O158" s="195">
        <f t="shared" si="23"/>
        <v>98441.920856885132</v>
      </c>
      <c r="P158" s="195">
        <f t="shared" si="22"/>
        <v>359784.3699999415</v>
      </c>
      <c r="Q158" s="195">
        <f t="shared" si="24"/>
        <v>714310.26821689052</v>
      </c>
      <c r="R158" s="221">
        <f t="shared" si="25"/>
        <v>0.35850524450574961</v>
      </c>
      <c r="AC158" s="251"/>
    </row>
    <row r="159" spans="1:29" ht="15.6" x14ac:dyDescent="0.3">
      <c r="A159" s="206">
        <v>2036</v>
      </c>
      <c r="B159" s="229">
        <v>718876.70074292086</v>
      </c>
      <c r="C159" s="229">
        <v>200467.2038536343</v>
      </c>
      <c r="D159" s="229">
        <v>63066.761000995291</v>
      </c>
      <c r="E159" s="229">
        <v>297267.31534696021</v>
      </c>
      <c r="F159" s="229">
        <v>65542.460331897513</v>
      </c>
      <c r="G159" s="229">
        <v>102864.37336301478</v>
      </c>
      <c r="H159" s="229">
        <v>99986.01216741548</v>
      </c>
      <c r="I159" s="229">
        <v>59145.684248210135</v>
      </c>
      <c r="J159" s="229">
        <v>81842.889068902732</v>
      </c>
      <c r="K159" s="229">
        <v>96590.235789210186</v>
      </c>
      <c r="L159" s="170"/>
      <c r="M159" s="170"/>
      <c r="N159" s="195">
        <f t="shared" si="21"/>
        <v>262823.76351144223</v>
      </c>
      <c r="O159" s="195">
        <f t="shared" si="23"/>
        <v>99986.01216741548</v>
      </c>
      <c r="P159" s="195">
        <f t="shared" si="22"/>
        <v>366398.33821764437</v>
      </c>
      <c r="Q159" s="195">
        <f t="shared" si="24"/>
        <v>729208.11389650207</v>
      </c>
      <c r="R159" s="221">
        <f t="shared" si="25"/>
        <v>0.36042353136617089</v>
      </c>
      <c r="AC159" s="251"/>
    </row>
    <row r="160" spans="1:29" ht="15.6" x14ac:dyDescent="0.3">
      <c r="A160" s="206">
        <v>2037</v>
      </c>
      <c r="B160" s="229">
        <v>734103.42397515732</v>
      </c>
      <c r="C160" s="229">
        <v>203808.50132103299</v>
      </c>
      <c r="D160" s="229">
        <v>64231.561459862904</v>
      </c>
      <c r="E160" s="229">
        <v>304023.15996870515</v>
      </c>
      <c r="F160" s="229">
        <v>67196.505704866257</v>
      </c>
      <c r="G160" s="229">
        <v>105068.90837988944</v>
      </c>
      <c r="H160" s="229">
        <v>101461.96056472168</v>
      </c>
      <c r="I160" s="229">
        <v>61218.514639160087</v>
      </c>
      <c r="J160" s="229">
        <v>82362.521679546277</v>
      </c>
      <c r="K160" s="229">
        <v>97609.587126944345</v>
      </c>
      <c r="L160" s="170"/>
      <c r="M160" s="170"/>
      <c r="N160" s="195">
        <f t="shared" si="21"/>
        <v>269757.70510884974</v>
      </c>
      <c r="O160" s="195">
        <f t="shared" si="23"/>
        <v>101461.96056472168</v>
      </c>
      <c r="P160" s="195">
        <f t="shared" si="22"/>
        <v>373108.97116078535</v>
      </c>
      <c r="Q160" s="195">
        <f t="shared" si="24"/>
        <v>744328.63683435682</v>
      </c>
      <c r="R160" s="221">
        <f t="shared" si="25"/>
        <v>0.36241747496930138</v>
      </c>
      <c r="AC160" s="251"/>
    </row>
    <row r="161" spans="1:29" ht="15.6" x14ac:dyDescent="0.3">
      <c r="A161" s="206">
        <v>2038</v>
      </c>
      <c r="B161" s="229">
        <v>749582.10914292233</v>
      </c>
      <c r="C161" s="229">
        <v>207201.56170856976</v>
      </c>
      <c r="D161" s="229">
        <v>65415.080763268576</v>
      </c>
      <c r="E161" s="229">
        <v>310867.52280739235</v>
      </c>
      <c r="F161" s="229">
        <v>68890.043022504775</v>
      </c>
      <c r="G161" s="229">
        <v>107301.46288386662</v>
      </c>
      <c r="H161" s="229">
        <v>102871.6807334527</v>
      </c>
      <c r="I161" s="229">
        <v>63316.034705995276</v>
      </c>
      <c r="J161" s="229">
        <v>82871.58981085202</v>
      </c>
      <c r="K161" s="229">
        <v>98623.205079748237</v>
      </c>
      <c r="L161" s="170"/>
      <c r="M161" s="170"/>
      <c r="N161" s="195">
        <f t="shared" si="21"/>
        <v>276885.8850964444</v>
      </c>
      <c r="O161" s="195">
        <f t="shared" si="23"/>
        <v>102871.6807334527</v>
      </c>
      <c r="P161" s="195">
        <f t="shared" si="22"/>
        <v>379918.10535570496</v>
      </c>
      <c r="Q161" s="195">
        <f t="shared" si="24"/>
        <v>759675.67118560208</v>
      </c>
      <c r="R161" s="221">
        <f t="shared" si="25"/>
        <v>0.3644790738978349</v>
      </c>
      <c r="AC161" s="251"/>
    </row>
    <row r="162" spans="1:29" ht="15.6" x14ac:dyDescent="0.3">
      <c r="A162" s="206">
        <v>2039</v>
      </c>
      <c r="B162" s="229">
        <v>765317.1937530532</v>
      </c>
      <c r="C162" s="229">
        <v>210647.65847343544</v>
      </c>
      <c r="D162" s="229">
        <v>66618.131084474342</v>
      </c>
      <c r="E162" s="229">
        <v>317801.75425439747</v>
      </c>
      <c r="F162" s="229">
        <v>70623.719522244312</v>
      </c>
      <c r="G162" s="229">
        <v>109561.78777083407</v>
      </c>
      <c r="H162" s="229">
        <v>104217.08735825747</v>
      </c>
      <c r="I162" s="229">
        <v>65436.716333817109</v>
      </c>
      <c r="J162" s="229">
        <v>83370.269127124717</v>
      </c>
      <c r="K162" s="229">
        <v>99631.171395385871</v>
      </c>
      <c r="L162" s="170"/>
      <c r="M162" s="170"/>
      <c r="N162" s="195">
        <f t="shared" si="21"/>
        <v>284208.38641838427</v>
      </c>
      <c r="O162" s="195">
        <f t="shared" si="23"/>
        <v>104217.08735825747</v>
      </c>
      <c r="P162" s="195">
        <f t="shared" si="22"/>
        <v>386827.57732874382</v>
      </c>
      <c r="Q162" s="195">
        <f t="shared" si="24"/>
        <v>775253.05110538565</v>
      </c>
      <c r="R162" s="221">
        <f t="shared" si="25"/>
        <v>0.3666007970083433</v>
      </c>
      <c r="AC162" s="251"/>
    </row>
    <row r="163" spans="1:29" ht="15.6" x14ac:dyDescent="0.3">
      <c r="A163" s="206">
        <v>2040</v>
      </c>
      <c r="B163" s="229">
        <v>781313.11531238747</v>
      </c>
      <c r="C163" s="229">
        <v>214148.06507282096</v>
      </c>
      <c r="D163" s="229">
        <v>67841.524596742223</v>
      </c>
      <c r="E163" s="229">
        <v>324827.20470109629</v>
      </c>
      <c r="F163" s="229">
        <v>72398.182441516168</v>
      </c>
      <c r="G163" s="229">
        <v>111849.63393667943</v>
      </c>
      <c r="H163" s="229">
        <v>105500.09512378494</v>
      </c>
      <c r="I163" s="229">
        <v>67579.031407726958</v>
      </c>
      <c r="J163" s="229">
        <v>83858.735292669153</v>
      </c>
      <c r="K163" s="229">
        <v>100633.56782162127</v>
      </c>
      <c r="L163" s="170"/>
      <c r="M163" s="170"/>
      <c r="N163" s="195">
        <f t="shared" si="21"/>
        <v>291725.29201882752</v>
      </c>
      <c r="O163" s="195">
        <f t="shared" si="23"/>
        <v>105500.09512378494</v>
      </c>
      <c r="P163" s="195">
        <f t="shared" si="22"/>
        <v>393839.22360624257</v>
      </c>
      <c r="Q163" s="195">
        <f t="shared" si="24"/>
        <v>791064.61074885505</v>
      </c>
      <c r="R163" s="221">
        <f t="shared" si="25"/>
        <v>0.36877555645254828</v>
      </c>
      <c r="AC163" s="251"/>
    </row>
    <row r="164" spans="1:29" ht="15.6" x14ac:dyDescent="0.3">
      <c r="A164" s="206">
        <v>2041</v>
      </c>
      <c r="B164" s="229">
        <v>797574.3113277629</v>
      </c>
      <c r="C164" s="229">
        <v>217704.05496391715</v>
      </c>
      <c r="D164" s="229">
        <v>69086.073473334225</v>
      </c>
      <c r="E164" s="229">
        <v>331945.22453886434</v>
      </c>
      <c r="F164" s="229">
        <v>74214.079017751588</v>
      </c>
      <c r="G164" s="229">
        <v>114164.75227729039</v>
      </c>
      <c r="H164" s="229">
        <v>106722.61871468404</v>
      </c>
      <c r="I164" s="229">
        <v>69741.451812826213</v>
      </c>
      <c r="J164" s="229">
        <v>84337.163971790069</v>
      </c>
      <c r="K164" s="229">
        <v>101630.47610621847</v>
      </c>
      <c r="L164" s="170"/>
      <c r="M164" s="170"/>
      <c r="N164" s="195">
        <f t="shared" si="21"/>
        <v>299436.68484193191</v>
      </c>
      <c r="O164" s="195">
        <f t="shared" si="23"/>
        <v>106722.61871468404</v>
      </c>
      <c r="P164" s="195">
        <f t="shared" si="22"/>
        <v>400954.88071454177</v>
      </c>
      <c r="Q164" s="195">
        <f>N164+P164+O164</f>
        <v>807114.18427115772</v>
      </c>
      <c r="R164" s="221">
        <f>N164/Q164</f>
        <v>0.37099668259743196</v>
      </c>
      <c r="AC164" s="251"/>
    </row>
    <row r="165" spans="1:29" ht="15.6" x14ac:dyDescent="0.3">
      <c r="A165" s="206">
        <v>2042</v>
      </c>
      <c r="B165" s="229">
        <v>814105.21930601669</v>
      </c>
      <c r="C165" s="229">
        <v>221316.90160391491</v>
      </c>
      <c r="D165" s="229">
        <v>70352.589887512411</v>
      </c>
      <c r="E165" s="229">
        <v>339157.16415907739</v>
      </c>
      <c r="F165" s="229">
        <v>76072.056488381844</v>
      </c>
      <c r="G165" s="229">
        <v>116506.89368855464</v>
      </c>
      <c r="H165" s="229">
        <v>107886.57281560372</v>
      </c>
      <c r="I165" s="229">
        <v>71922.44943421628</v>
      </c>
      <c r="J165" s="229">
        <v>84805.73082879225</v>
      </c>
      <c r="K165" s="229">
        <v>102621.97799694147</v>
      </c>
      <c r="L165" s="170"/>
      <c r="M165" s="170"/>
      <c r="N165" s="195">
        <f t="shared" si="21"/>
        <v>307342.64783185557</v>
      </c>
      <c r="O165" s="195">
        <f t="shared" si="23"/>
        <v>107886.57281560372</v>
      </c>
      <c r="P165" s="195">
        <f t="shared" si="22"/>
        <v>408176.38517998194</v>
      </c>
      <c r="Q165" s="195">
        <f t="shared" si="24"/>
        <v>823405.60582744121</v>
      </c>
      <c r="R165" s="221">
        <f t="shared" si="25"/>
        <v>0.37325790067096593</v>
      </c>
      <c r="AC165" s="251"/>
    </row>
    <row r="166" spans="1:29" ht="15.6" x14ac:dyDescent="0.3">
      <c r="A166" s="206">
        <v>2043</v>
      </c>
      <c r="B166" s="229">
        <v>830910.2767539866</v>
      </c>
      <c r="C166" s="229">
        <v>224987.87845000508</v>
      </c>
      <c r="D166" s="229">
        <v>71641.886012538787</v>
      </c>
      <c r="E166" s="229">
        <v>346464.37395311112</v>
      </c>
      <c r="F166" s="229">
        <v>77972.762090838209</v>
      </c>
      <c r="G166" s="229">
        <v>118875.80906635987</v>
      </c>
      <c r="H166" s="229">
        <v>108993.8721111929</v>
      </c>
      <c r="I166" s="229">
        <v>74120.496156998532</v>
      </c>
      <c r="J166" s="229">
        <v>85264.611527980451</v>
      </c>
      <c r="K166" s="229">
        <v>103608.1552415543</v>
      </c>
      <c r="L166" s="170"/>
      <c r="M166" s="170"/>
      <c r="N166" s="195">
        <f t="shared" si="21"/>
        <v>315443.26393275644</v>
      </c>
      <c r="O166" s="195">
        <f t="shared" si="23"/>
        <v>108993.8721111929</v>
      </c>
      <c r="P166" s="195">
        <f t="shared" si="22"/>
        <v>415505.57352890377</v>
      </c>
      <c r="Q166" s="195">
        <f t="shared" si="24"/>
        <v>839942.70957285305</v>
      </c>
      <c r="R166" s="221">
        <f t="shared" si="25"/>
        <v>0.37555330897886224</v>
      </c>
      <c r="AC166" s="251"/>
    </row>
    <row r="167" spans="1:29" ht="15.6" x14ac:dyDescent="0.3">
      <c r="A167" s="206">
        <v>2044</v>
      </c>
      <c r="B167" s="229">
        <v>847993.92117850995</v>
      </c>
      <c r="C167" s="229">
        <v>228718.25895937852</v>
      </c>
      <c r="D167" s="229">
        <v>72954.774021675374</v>
      </c>
      <c r="E167" s="229">
        <v>353868.20431234117</v>
      </c>
      <c r="F167" s="229">
        <v>79916.843062551954</v>
      </c>
      <c r="G167" s="229">
        <v>121271.24930659379</v>
      </c>
      <c r="H167" s="229">
        <v>110046.43128610056</v>
      </c>
      <c r="I167" s="229">
        <v>76334.063866274373</v>
      </c>
      <c r="J167" s="229">
        <v>85713.981733659442</v>
      </c>
      <c r="K167" s="229">
        <v>104589.08958782098</v>
      </c>
      <c r="L167" s="170"/>
      <c r="M167" s="170"/>
      <c r="N167" s="195">
        <f t="shared" si="21"/>
        <v>323738.61608879257</v>
      </c>
      <c r="O167" s="195">
        <f t="shared" si="23"/>
        <v>110046.43128610056</v>
      </c>
      <c r="P167" s="195">
        <f t="shared" si="22"/>
        <v>422944.28228764771</v>
      </c>
      <c r="Q167" s="195">
        <f t="shared" si="24"/>
        <v>856729.32966254081</v>
      </c>
      <c r="R167" s="221">
        <f t="shared" si="25"/>
        <v>0.3778773585542014</v>
      </c>
      <c r="AC167" s="251"/>
    </row>
    <row r="168" spans="1:29" ht="15.6" x14ac:dyDescent="0.3">
      <c r="A168" s="206">
        <v>2045</v>
      </c>
      <c r="B168" s="229">
        <v>865360.59008642437</v>
      </c>
      <c r="C168" s="229">
        <v>232509.31658922613</v>
      </c>
      <c r="D168" s="229">
        <v>74292.06608818419</v>
      </c>
      <c r="E168" s="229">
        <v>361370.00562814326</v>
      </c>
      <c r="F168" s="229">
        <v>81904.946640954324</v>
      </c>
      <c r="G168" s="229">
        <v>123692.96530514405</v>
      </c>
      <c r="H168" s="229">
        <v>111046.16502497562</v>
      </c>
      <c r="I168" s="229">
        <v>78561.624447145194</v>
      </c>
      <c r="J168" s="229">
        <v>86154.01711013398</v>
      </c>
      <c r="K168" s="229">
        <v>105564.86278350554</v>
      </c>
      <c r="L168" s="170"/>
      <c r="M168" s="170"/>
      <c r="N168" s="195">
        <f t="shared" si="21"/>
        <v>332228.78724412195</v>
      </c>
      <c r="O168" s="195">
        <f t="shared" si="23"/>
        <v>111046.16502497562</v>
      </c>
      <c r="P168" s="195">
        <f t="shared" si="22"/>
        <v>430494.34798255435</v>
      </c>
      <c r="Q168" s="195">
        <f t="shared" si="24"/>
        <v>873769.3002516519</v>
      </c>
      <c r="R168" s="221">
        <f t="shared" si="25"/>
        <v>0.38022483411632529</v>
      </c>
      <c r="AC168" s="251"/>
    </row>
    <row r="169" spans="1:29" ht="15.6" x14ac:dyDescent="0.3">
      <c r="A169" s="206">
        <v>2046</v>
      </c>
      <c r="B169" s="229">
        <v>883014.72098456742</v>
      </c>
      <c r="C169" s="229">
        <v>236362.32479673877</v>
      </c>
      <c r="D169" s="229">
        <v>75654.574385327287</v>
      </c>
      <c r="E169" s="229">
        <v>368971.12829189305</v>
      </c>
      <c r="F169" s="229">
        <v>83937.72006347662</v>
      </c>
      <c r="G169" s="229">
        <v>126140.70795789838</v>
      </c>
      <c r="H169" s="229">
        <v>111994.98801246702</v>
      </c>
      <c r="I169" s="229">
        <v>80801.649784712383</v>
      </c>
      <c r="J169" s="229">
        <v>86584.893321708834</v>
      </c>
      <c r="K169" s="229">
        <v>106535.55657637198</v>
      </c>
      <c r="L169" s="170"/>
      <c r="M169" s="170"/>
      <c r="N169" s="195">
        <f t="shared" si="21"/>
        <v>340913.8603429026</v>
      </c>
      <c r="O169" s="195">
        <f t="shared" si="23"/>
        <v>111994.98801246702</v>
      </c>
      <c r="P169" s="195">
        <f t="shared" si="22"/>
        <v>438157.60713996447</v>
      </c>
      <c r="Q169" s="195">
        <f t="shared" si="24"/>
        <v>891066.45549533411</v>
      </c>
      <c r="R169" s="221">
        <f t="shared" si="25"/>
        <v>0.38259083622825002</v>
      </c>
      <c r="AC169" s="251"/>
    </row>
    <row r="170" spans="1:29" ht="15.6" x14ac:dyDescent="0.3">
      <c r="A170" s="206">
        <v>2047</v>
      </c>
      <c r="B170" s="229">
        <v>900960.75137977651</v>
      </c>
      <c r="C170" s="229">
        <v>240278.55703910731</v>
      </c>
      <c r="D170" s="229">
        <v>77043.111086366684</v>
      </c>
      <c r="E170" s="229">
        <v>376672.92269496626</v>
      </c>
      <c r="F170" s="229">
        <v>86015.810567550099</v>
      </c>
      <c r="G170" s="229">
        <v>128614.22816074445</v>
      </c>
      <c r="H170" s="229">
        <v>112894.81493322371</v>
      </c>
      <c r="I170" s="229">
        <v>83052.61176407733</v>
      </c>
      <c r="J170" s="229">
        <v>87006.78603268876</v>
      </c>
      <c r="K170" s="229">
        <v>107501.25271418435</v>
      </c>
      <c r="L170" s="170"/>
      <c r="M170" s="170"/>
      <c r="N170" s="195">
        <f t="shared" si="21"/>
        <v>349793.91832929262</v>
      </c>
      <c r="O170" s="195">
        <f t="shared" si="23"/>
        <v>112894.81493322371</v>
      </c>
      <c r="P170" s="195">
        <f t="shared" si="22"/>
        <v>445935.89628621843</v>
      </c>
      <c r="Q170" s="195">
        <f t="shared" si="24"/>
        <v>908624.62954873475</v>
      </c>
      <c r="R170" s="221">
        <f t="shared" si="25"/>
        <v>0.38497076455325291</v>
      </c>
      <c r="AC170" s="251"/>
    </row>
    <row r="171" spans="1:29" ht="15.6" x14ac:dyDescent="0.3">
      <c r="A171" s="206">
        <v>2048</v>
      </c>
      <c r="B171" s="229">
        <v>919203.11877888918</v>
      </c>
      <c r="C171" s="229">
        <v>244259.28677352262</v>
      </c>
      <c r="D171" s="229">
        <v>78458.4883645644</v>
      </c>
      <c r="E171" s="229">
        <v>384476.73922873847</v>
      </c>
      <c r="F171" s="229">
        <v>88139.865390606006</v>
      </c>
      <c r="G171" s="229">
        <v>131113.27680956994</v>
      </c>
      <c r="H171" s="229">
        <v>113747.56047189463</v>
      </c>
      <c r="I171" s="229">
        <v>85312.982270341425</v>
      </c>
      <c r="J171" s="229">
        <v>87419.870907378543</v>
      </c>
      <c r="K171" s="229">
        <v>108462.03294470665</v>
      </c>
      <c r="L171" s="170"/>
      <c r="M171" s="170"/>
      <c r="N171" s="195">
        <f t="shared" si="21"/>
        <v>358869.04414744984</v>
      </c>
      <c r="O171" s="195">
        <f t="shared" si="23"/>
        <v>113747.56047189463</v>
      </c>
      <c r="P171" s="195">
        <f t="shared" si="22"/>
        <v>453831.0519476569</v>
      </c>
      <c r="Q171" s="195">
        <f t="shared" si="24"/>
        <v>926447.65656700148</v>
      </c>
      <c r="R171" s="221">
        <f t="shared" si="25"/>
        <v>0.38736030212139255</v>
      </c>
      <c r="AC171" s="251"/>
    </row>
    <row r="172" spans="1:29" ht="15.6" x14ac:dyDescent="0.3">
      <c r="A172" s="206">
        <v>2049</v>
      </c>
      <c r="B172" s="229">
        <v>937746.26068874309</v>
      </c>
      <c r="C172" s="229">
        <v>248305.78745717552</v>
      </c>
      <c r="D172" s="229">
        <v>79901.518393182458</v>
      </c>
      <c r="E172" s="229">
        <v>392383.92828458548</v>
      </c>
      <c r="F172" s="229">
        <v>90310.531770075642</v>
      </c>
      <c r="G172" s="229">
        <v>133637.60480026255</v>
      </c>
      <c r="H172" s="229">
        <v>114555.13931312872</v>
      </c>
      <c r="I172" s="229">
        <v>87581.233188606071</v>
      </c>
      <c r="J172" s="229">
        <v>87824.323610082924</v>
      </c>
      <c r="K172" s="229">
        <v>109417.97901570291</v>
      </c>
      <c r="L172" s="170"/>
      <c r="M172" s="170"/>
      <c r="N172" s="195">
        <f t="shared" si="21"/>
        <v>368139.32074153243</v>
      </c>
      <c r="O172" s="195">
        <f t="shared" si="23"/>
        <v>114555.13931312872</v>
      </c>
      <c r="P172" s="195">
        <f t="shared" si="22"/>
        <v>461844.91065062053</v>
      </c>
      <c r="Q172" s="195">
        <f t="shared" si="24"/>
        <v>944539.37070528162</v>
      </c>
      <c r="R172" s="221">
        <f t="shared" si="25"/>
        <v>0.3897554005257029</v>
      </c>
      <c r="AC172" s="251"/>
    </row>
    <row r="173" spans="1:29" ht="16.2" thickBot="1" x14ac:dyDescent="0.35">
      <c r="A173" s="208">
        <v>2050</v>
      </c>
      <c r="B173" s="231">
        <v>956594.61461617565</v>
      </c>
      <c r="C173" s="231">
        <v>252419.33254725696</v>
      </c>
      <c r="D173" s="231">
        <v>81373.013345482876</v>
      </c>
      <c r="E173" s="231">
        <v>400395.84025388298</v>
      </c>
      <c r="F173" s="231">
        <v>92528.456943390251</v>
      </c>
      <c r="G173" s="231">
        <v>136186.96302870996</v>
      </c>
      <c r="H173" s="231">
        <v>115319.4661415749</v>
      </c>
      <c r="I173" s="231">
        <v>89855.836403972644</v>
      </c>
      <c r="J173" s="231">
        <v>88220.319805106672</v>
      </c>
      <c r="K173" s="231">
        <v>110369.17267493713</v>
      </c>
      <c r="L173" s="209"/>
      <c r="M173" s="209"/>
      <c r="N173" s="195">
        <f t="shared" si="21"/>
        <v>377604.83105569833</v>
      </c>
      <c r="O173" s="195">
        <f t="shared" si="23"/>
        <v>115319.4661415749</v>
      </c>
      <c r="P173" s="195">
        <f t="shared" si="22"/>
        <v>469979.30892144982</v>
      </c>
      <c r="Q173" s="195">
        <f t="shared" si="24"/>
        <v>962903.60611872305</v>
      </c>
      <c r="R173" s="222">
        <f t="shared" si="25"/>
        <v>0.3921522659757708</v>
      </c>
      <c r="AC173" s="251"/>
    </row>
    <row r="174" spans="1:29" ht="15.6" x14ac:dyDescent="0.3">
      <c r="A174" s="213">
        <v>2051</v>
      </c>
      <c r="B174" s="227">
        <v>975752.61806802428</v>
      </c>
      <c r="C174" s="227">
        <v>256601.19550095775</v>
      </c>
      <c r="D174" s="227">
        <v>82873.785394727718</v>
      </c>
      <c r="E174" s="227">
        <v>408513.82552800654</v>
      </c>
      <c r="F174" s="227">
        <v>94794.288147981104</v>
      </c>
      <c r="G174" s="227">
        <v>138761.10239079988</v>
      </c>
      <c r="H174" s="227">
        <v>116042.45564188216</v>
      </c>
      <c r="I174" s="227">
        <v>92135.263801542533</v>
      </c>
      <c r="J174" s="227">
        <v>88608.035156754573</v>
      </c>
      <c r="K174" s="227">
        <v>111315.69567017336</v>
      </c>
      <c r="N174" s="195">
        <f t="shared" si="21"/>
        <v>387265.65803410549</v>
      </c>
      <c r="O174" s="195">
        <f t="shared" si="23"/>
        <v>116042.45564188216</v>
      </c>
      <c r="P174" s="195">
        <f t="shared" si="22"/>
        <v>478236.0832864854</v>
      </c>
      <c r="Q174" s="195">
        <f t="shared" si="24"/>
        <v>981544.1969624731</v>
      </c>
      <c r="R174" s="214">
        <f t="shared" si="25"/>
        <v>0.39454734614350906</v>
      </c>
      <c r="AC174" s="251"/>
    </row>
    <row r="175" spans="1:29" ht="15.6" x14ac:dyDescent="0.3">
      <c r="A175" s="194">
        <v>2052</v>
      </c>
      <c r="B175" s="229">
        <v>995224.70855112665</v>
      </c>
      <c r="C175" s="229">
        <v>260852.6497754688</v>
      </c>
      <c r="D175" s="229">
        <v>84404.646714178962</v>
      </c>
      <c r="E175" s="229">
        <v>416739.23449833191</v>
      </c>
      <c r="F175" s="229">
        <v>97108.67262127946</v>
      </c>
      <c r="G175" s="229">
        <v>141359.77378241994</v>
      </c>
      <c r="H175" s="229">
        <v>116726.02249869943</v>
      </c>
      <c r="I175" s="229">
        <v>94417.987266417127</v>
      </c>
      <c r="J175" s="229">
        <v>88987.645329331368</v>
      </c>
      <c r="K175" s="229">
        <v>112257.6297491756</v>
      </c>
      <c r="N175" s="195">
        <f t="shared" si="21"/>
        <v>397121.88462091197</v>
      </c>
      <c r="O175" s="195">
        <f t="shared" si="23"/>
        <v>116726.02249869943</v>
      </c>
      <c r="P175" s="195">
        <f t="shared" si="22"/>
        <v>486617.07027206768</v>
      </c>
      <c r="Q175" s="195">
        <f t="shared" si="24"/>
        <v>1000464.9773916791</v>
      </c>
      <c r="R175" s="196">
        <f t="shared" si="25"/>
        <v>0.39693731774224811</v>
      </c>
      <c r="AC175" s="251"/>
    </row>
    <row r="176" spans="1:29" ht="15.6" x14ac:dyDescent="0.3">
      <c r="A176" s="194">
        <v>2053</v>
      </c>
      <c r="B176" s="229">
        <v>1015015.3235723202</v>
      </c>
      <c r="C176" s="229">
        <v>265174.96882798092</v>
      </c>
      <c r="D176" s="229">
        <v>85966.40947709867</v>
      </c>
      <c r="E176" s="229">
        <v>425073.41755623475</v>
      </c>
      <c r="F176" s="229">
        <v>99472.257600716621</v>
      </c>
      <c r="G176" s="229">
        <v>143982.72809945792</v>
      </c>
      <c r="H176" s="229">
        <v>117372.08139667561</v>
      </c>
      <c r="I176" s="229">
        <v>96702.478683697846</v>
      </c>
      <c r="J176" s="229">
        <v>89359.325987141827</v>
      </c>
      <c r="K176" s="229">
        <v>113195.05665970789</v>
      </c>
      <c r="N176" s="195">
        <f t="shared" si="21"/>
        <v>407173.59376027581</v>
      </c>
      <c r="O176" s="195">
        <f t="shared" si="23"/>
        <v>117372.08139667561</v>
      </c>
      <c r="P176" s="195">
        <f t="shared" si="22"/>
        <v>495124.10640453751</v>
      </c>
      <c r="Q176" s="195">
        <f t="shared" si="24"/>
        <v>1019669.781561489</v>
      </c>
      <c r="R176" s="196">
        <f t="shared" si="25"/>
        <v>0.39931907478590123</v>
      </c>
      <c r="AC176" s="251"/>
    </row>
    <row r="177" spans="1:29" ht="15.6" x14ac:dyDescent="0.3">
      <c r="A177" s="194">
        <v>2054</v>
      </c>
      <c r="B177" s="229">
        <v>1035128.9006384424</v>
      </c>
      <c r="C177" s="229">
        <v>269569.42611568503</v>
      </c>
      <c r="D177" s="229">
        <v>87559.88585674885</v>
      </c>
      <c r="E177" s="229">
        <v>433517.72509309079</v>
      </c>
      <c r="F177" s="229">
        <v>101885.69032372383</v>
      </c>
      <c r="G177" s="229">
        <v>146629.71623780142</v>
      </c>
      <c r="H177" s="229">
        <v>117982.54702045969</v>
      </c>
      <c r="I177" s="229">
        <v>98987.209938486048</v>
      </c>
      <c r="J177" s="229">
        <v>89723.25279449072</v>
      </c>
      <c r="K177" s="229">
        <v>114128.05814953422</v>
      </c>
      <c r="N177" s="195">
        <f t="shared" si="21"/>
        <v>417420.86839635496</v>
      </c>
      <c r="O177" s="195">
        <f t="shared" si="23"/>
        <v>117982.54702045969</v>
      </c>
      <c r="P177" s="195">
        <f t="shared" si="22"/>
        <v>503759.02821023529</v>
      </c>
      <c r="Q177" s="195">
        <f t="shared" si="24"/>
        <v>1039162.4436270499</v>
      </c>
      <c r="R177" s="196">
        <f t="shared" si="25"/>
        <v>0.40168971747997967</v>
      </c>
      <c r="AC177" s="251"/>
    </row>
    <row r="178" spans="1:29" ht="15.6" x14ac:dyDescent="0.3">
      <c r="A178" s="194">
        <v>2055</v>
      </c>
      <c r="B178" s="229">
        <v>1055569.877256331</v>
      </c>
      <c r="C178" s="229">
        <v>274037.29509577202</v>
      </c>
      <c r="D178" s="229">
        <v>89185.888026391534</v>
      </c>
      <c r="E178" s="229">
        <v>442073.50750027562</v>
      </c>
      <c r="F178" s="229">
        <v>104349.61802773236</v>
      </c>
      <c r="G178" s="229">
        <v>149300.4890933382</v>
      </c>
      <c r="H178" s="229">
        <v>118559.33405470058</v>
      </c>
      <c r="I178" s="229">
        <v>101270.65291588314</v>
      </c>
      <c r="J178" s="229">
        <v>90079.601415682788</v>
      </c>
      <c r="K178" s="229">
        <v>115056.71596641865</v>
      </c>
      <c r="N178" s="195">
        <f t="shared" si="21"/>
        <v>427863.79147330741</v>
      </c>
      <c r="O178" s="195">
        <f t="shared" si="23"/>
        <v>118559.33405470058</v>
      </c>
      <c r="P178" s="195">
        <f t="shared" si="22"/>
        <v>512523.67221550172</v>
      </c>
      <c r="Q178" s="195">
        <f t="shared" si="24"/>
        <v>1058946.7977435098</v>
      </c>
      <c r="R178" s="196">
        <f t="shared" si="25"/>
        <v>0.40404654170071103</v>
      </c>
      <c r="AC178" s="251"/>
    </row>
    <row r="179" spans="1:29" ht="15.6" x14ac:dyDescent="0.3">
      <c r="A179" s="194">
        <v>2056</v>
      </c>
      <c r="B179" s="229">
        <v>1076342.6909328233</v>
      </c>
      <c r="C179" s="229">
        <v>278579.84922543267</v>
      </c>
      <c r="D179" s="229">
        <v>90845.22815928873</v>
      </c>
      <c r="E179" s="229">
        <v>450742.11516916507</v>
      </c>
      <c r="F179" s="229">
        <v>106864.68795017347</v>
      </c>
      <c r="G179" s="229">
        <v>151994.7975619559</v>
      </c>
      <c r="H179" s="229">
        <v>119104.35718404726</v>
      </c>
      <c r="I179" s="229">
        <v>103551.27950099051</v>
      </c>
      <c r="J179" s="229">
        <v>90428.54751502283</v>
      </c>
      <c r="K179" s="229">
        <v>115981.11185812518</v>
      </c>
      <c r="N179" s="195">
        <f t="shared" si="21"/>
        <v>438502.44593529135</v>
      </c>
      <c r="O179" s="195">
        <f t="shared" si="23"/>
        <v>119104.35718404726</v>
      </c>
      <c r="P179" s="195">
        <f t="shared" si="22"/>
        <v>521419.87494667724</v>
      </c>
      <c r="Q179" s="195">
        <f t="shared" si="24"/>
        <v>1079026.6780660159</v>
      </c>
      <c r="R179" s="196">
        <f t="shared" si="25"/>
        <v>0.40638702902252372</v>
      </c>
      <c r="AC179" s="251"/>
    </row>
    <row r="180" spans="1:29" ht="15.6" x14ac:dyDescent="0.3">
      <c r="A180" s="194">
        <v>2057</v>
      </c>
      <c r="B180" s="229">
        <v>1097451.7791747567</v>
      </c>
      <c r="C180" s="229">
        <v>283198.36196185794</v>
      </c>
      <c r="D180" s="229">
        <v>92538.718428702501</v>
      </c>
      <c r="E180" s="229">
        <v>459524.89849113463</v>
      </c>
      <c r="F180" s="229">
        <v>109431.54732847842</v>
      </c>
      <c r="G180" s="229">
        <v>154712.39253954223</v>
      </c>
      <c r="H180" s="229">
        <v>119619.53109314863</v>
      </c>
      <c r="I180" s="229">
        <v>105827.56157890955</v>
      </c>
      <c r="J180" s="229">
        <v>90770.266756815603</v>
      </c>
      <c r="K180" s="229">
        <v>116901.32757241782</v>
      </c>
      <c r="N180" s="195">
        <f t="shared" si="21"/>
        <v>449336.91472646443</v>
      </c>
      <c r="O180" s="195">
        <f t="shared" si="23"/>
        <v>119619.53109314863</v>
      </c>
      <c r="P180" s="195">
        <f t="shared" si="22"/>
        <v>530449.47293010261</v>
      </c>
      <c r="Q180" s="195">
        <f t="shared" si="24"/>
        <v>1099405.9187497157</v>
      </c>
      <c r="R180" s="196">
        <f t="shared" si="25"/>
        <v>0.40870883725773161</v>
      </c>
      <c r="AC180" s="251"/>
    </row>
    <row r="181" spans="1:29" ht="15.6" x14ac:dyDescent="0.3">
      <c r="A181" s="194">
        <v>2058</v>
      </c>
      <c r="B181" s="229">
        <v>1118901.5794889694</v>
      </c>
      <c r="C181" s="229">
        <v>287894.1067622386</v>
      </c>
      <c r="D181" s="229">
        <v>94267.171007894853</v>
      </c>
      <c r="E181" s="229">
        <v>468423.20785756013</v>
      </c>
      <c r="F181" s="229">
        <v>112050.84340007851</v>
      </c>
      <c r="G181" s="229">
        <v>157453.02492198488</v>
      </c>
      <c r="H181" s="229">
        <v>120106.77046665367</v>
      </c>
      <c r="I181" s="229">
        <v>108097.97103474164</v>
      </c>
      <c r="J181" s="229">
        <v>91104.934805365861</v>
      </c>
      <c r="K181" s="229">
        <v>117817.44485706062</v>
      </c>
      <c r="N181" s="195">
        <f t="shared" si="21"/>
        <v>460367.28079098492</v>
      </c>
      <c r="O181" s="195">
        <f t="shared" si="23"/>
        <v>120106.77046665367</v>
      </c>
      <c r="P181" s="195">
        <f t="shared" si="22"/>
        <v>539614.30269211833</v>
      </c>
      <c r="Q181" s="195">
        <f t="shared" si="24"/>
        <v>1120088.3539497568</v>
      </c>
      <c r="R181" s="196">
        <f t="shared" si="25"/>
        <v>0.41100979147546368</v>
      </c>
      <c r="AC181" s="251"/>
    </row>
    <row r="182" spans="1:29" ht="15.6" x14ac:dyDescent="0.3">
      <c r="A182" s="194">
        <v>2059</v>
      </c>
      <c r="B182" s="229">
        <v>1140696.5293822978</v>
      </c>
      <c r="C182" s="229">
        <v>292668.35708376562</v>
      </c>
      <c r="D182" s="229">
        <v>96031.398070127805</v>
      </c>
      <c r="E182" s="229">
        <v>477438.39365981729</v>
      </c>
      <c r="F182" s="229">
        <v>114723.22340240497</v>
      </c>
      <c r="G182" s="229">
        <v>160216.4456051715</v>
      </c>
      <c r="H182" s="229">
        <v>120567.98998921126</v>
      </c>
      <c r="I182" s="229">
        <v>110360.97975358818</v>
      </c>
      <c r="J182" s="229">
        <v>91432.727324978361</v>
      </c>
      <c r="K182" s="229">
        <v>118729.54545981759</v>
      </c>
      <c r="N182" s="195">
        <f t="shared" si="21"/>
        <v>471593.62707301095</v>
      </c>
      <c r="O182" s="195">
        <f t="shared" si="23"/>
        <v>120567.98998921126</v>
      </c>
      <c r="P182" s="195">
        <f t="shared" si="22"/>
        <v>548916.20075906487</v>
      </c>
      <c r="Q182" s="195">
        <f t="shared" si="24"/>
        <v>1141077.8178212871</v>
      </c>
      <c r="R182" s="196">
        <f t="shared" si="25"/>
        <v>0.41328787546974366</v>
      </c>
      <c r="AC182" s="251"/>
    </row>
    <row r="183" spans="1:29" ht="15.6" x14ac:dyDescent="0.3">
      <c r="A183" s="194">
        <v>2060</v>
      </c>
      <c r="B183" s="229">
        <v>1162841.0663615805</v>
      </c>
      <c r="C183" s="229">
        <v>297522.38638362987</v>
      </c>
      <c r="D183" s="229">
        <v>97832.211788663379</v>
      </c>
      <c r="E183" s="229">
        <v>486571.80628928158</v>
      </c>
      <c r="F183" s="229">
        <v>117449.33457288909</v>
      </c>
      <c r="G183" s="229">
        <v>163002.40548498984</v>
      </c>
      <c r="H183" s="229">
        <v>121005.1043454704</v>
      </c>
      <c r="I183" s="229">
        <v>112615.05962055057</v>
      </c>
      <c r="J183" s="229">
        <v>91753.819979957887</v>
      </c>
      <c r="K183" s="229">
        <v>119637.71112845273</v>
      </c>
      <c r="N183" s="195">
        <f t="shared" si="21"/>
        <v>483016.03651670017</v>
      </c>
      <c r="O183" s="195">
        <f t="shared" si="23"/>
        <v>121005.1043454704</v>
      </c>
      <c r="P183" s="195">
        <f t="shared" si="22"/>
        <v>558357.00365728315</v>
      </c>
      <c r="Q183" s="195">
        <f t="shared" si="24"/>
        <v>1162378.1445194536</v>
      </c>
      <c r="R183" s="196">
        <f>N183/Q183</f>
        <v>0.41554122364919982</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7030A0"/>
  </sheetPr>
  <dimension ref="A1:EG183"/>
  <sheetViews>
    <sheetView showGridLines="0" topLeftCell="D1" zoomScale="96" zoomScaleNormal="96" zoomScalePageLayoutView="80" workbookViewId="0">
      <selection activeCell="N23" sqref="N23"/>
    </sheetView>
  </sheetViews>
  <sheetFormatPr defaultColWidth="8.796875" defaultRowHeight="13.2" x14ac:dyDescent="0.25"/>
  <cols>
    <col min="1" max="1" width="33.796875" style="153" bestFit="1" customWidth="1"/>
    <col min="2" max="2" width="18.796875" style="153" customWidth="1"/>
    <col min="3" max="3" width="22.69921875" style="153" customWidth="1"/>
    <col min="4" max="4" width="36.5" style="153" customWidth="1"/>
    <col min="5" max="5" width="15.19921875" style="153" customWidth="1"/>
    <col min="6" max="6" width="15.296875" style="153" customWidth="1"/>
    <col min="7" max="7" width="17" style="153" customWidth="1"/>
    <col min="8" max="8" width="17.5" style="153" customWidth="1"/>
    <col min="9" max="9" width="13" style="153" bestFit="1" customWidth="1"/>
    <col min="10" max="10" width="18" style="153" customWidth="1"/>
    <col min="11" max="12" width="10.296875" style="153" customWidth="1"/>
    <col min="13" max="13" width="12.69921875" style="153" customWidth="1"/>
    <col min="14" max="15" width="24" style="153" customWidth="1"/>
    <col min="16" max="16" width="16.296875" style="153" customWidth="1"/>
    <col min="17" max="17" width="15.796875" style="153" customWidth="1"/>
    <col min="18" max="18" width="19.5" style="153" customWidth="1"/>
    <col min="19" max="19" width="8.796875" style="153"/>
    <col min="20" max="20" width="13.5" style="153" bestFit="1" customWidth="1"/>
    <col min="21" max="22" width="19" style="153" customWidth="1"/>
    <col min="23" max="23" width="21.796875" style="153" customWidth="1"/>
    <col min="24" max="24" width="15.69921875" style="153" customWidth="1"/>
    <col min="25" max="25" width="16.69921875" style="153" customWidth="1"/>
    <col min="26" max="16384" width="8.796875" style="153"/>
  </cols>
  <sheetData>
    <row r="1" spans="1:137" s="160" customFormat="1" ht="21.6" thickBot="1" x14ac:dyDescent="0.45">
      <c r="A1" s="155" t="str">
        <f ca="1">MID(CELL("filename",A1),FIND("]",CELL("filename",A1))+1,256)</f>
        <v>Water_cluster_mdc</v>
      </c>
      <c r="B1" s="156"/>
      <c r="C1" s="669"/>
      <c r="D1" s="669"/>
      <c r="E1" s="669"/>
      <c r="F1" s="669"/>
      <c r="G1" s="669"/>
      <c r="H1" s="157"/>
      <c r="I1" s="619" t="s">
        <v>206</v>
      </c>
      <c r="J1" s="619"/>
      <c r="K1" s="619"/>
      <c r="L1" s="619"/>
      <c r="M1" s="619"/>
      <c r="N1" s="619"/>
      <c r="O1" s="619"/>
      <c r="P1" s="619"/>
      <c r="Q1" s="619"/>
      <c r="R1" s="619"/>
      <c r="S1" s="619"/>
      <c r="T1" s="619"/>
      <c r="U1" s="158"/>
      <c r="V1" s="158"/>
      <c r="W1" s="159"/>
      <c r="X1" s="159"/>
      <c r="Y1" s="159"/>
      <c r="DY1" s="161"/>
      <c r="EC1" s="162"/>
      <c r="ED1" s="162"/>
      <c r="EE1" s="162"/>
      <c r="EF1" s="162"/>
      <c r="EG1" s="162"/>
    </row>
    <row r="2" spans="1:137" ht="30" customHeight="1" thickBot="1" x14ac:dyDescent="0.3">
      <c r="D2" s="614" t="s">
        <v>258</v>
      </c>
      <c r="E2" s="670"/>
      <c r="F2" s="153" t="s">
        <v>260</v>
      </c>
      <c r="G2" s="153" t="s">
        <v>207</v>
      </c>
      <c r="I2" s="618" t="str">
        <f>CONCATENATE("Total Emissions Avoided due to Family Planning: ",B3," to ",B4)</f>
        <v>Total Emissions Avoided due to Family Planning: 2020 to 2050</v>
      </c>
      <c r="J2" s="618"/>
      <c r="K2" s="618"/>
      <c r="L2" s="618"/>
      <c r="M2" s="163"/>
      <c r="N2" s="164">
        <f ca="1">SUM(OFFSET(J27,B3-2015,0,B4-B3+1,4))/1000</f>
        <v>0</v>
      </c>
      <c r="O2" s="165" t="s">
        <v>208</v>
      </c>
    </row>
    <row r="3" spans="1:137" ht="12.75" customHeight="1" x14ac:dyDescent="0.25">
      <c r="A3" s="153" t="s">
        <v>212</v>
      </c>
      <c r="B3" s="234">
        <v>2020</v>
      </c>
      <c r="D3" s="248" t="s">
        <v>413</v>
      </c>
      <c r="E3" s="249">
        <v>0.85</v>
      </c>
      <c r="F3" s="167" t="s">
        <v>211</v>
      </c>
      <c r="G3" s="167" t="s">
        <v>213</v>
      </c>
      <c r="I3" s="618"/>
      <c r="J3" s="618"/>
      <c r="K3" s="618"/>
      <c r="L3" s="618"/>
      <c r="M3" s="166"/>
      <c r="N3" s="164">
        <f ca="1">SUM(OFFSET(O27,B3-2015,0,B4-B3+1,4))/1000</f>
        <v>0.33946907376628999</v>
      </c>
      <c r="O3" s="165" t="s">
        <v>209</v>
      </c>
      <c r="Q3" s="165"/>
      <c r="S3" s="671" t="s">
        <v>210</v>
      </c>
      <c r="T3" s="671"/>
      <c r="U3" s="671"/>
      <c r="V3" s="671"/>
      <c r="W3" s="671"/>
    </row>
    <row r="4" spans="1:137" ht="13.8" x14ac:dyDescent="0.25">
      <c r="A4" s="153" t="s">
        <v>215</v>
      </c>
      <c r="B4" s="234">
        <v>2050</v>
      </c>
      <c r="D4" s="248"/>
      <c r="E4" s="249"/>
      <c r="F4" s="167"/>
      <c r="G4" s="167"/>
      <c r="I4" s="168"/>
      <c r="J4" s="168"/>
      <c r="K4" s="168"/>
      <c r="L4" s="168"/>
      <c r="M4" s="168"/>
      <c r="N4" s="168"/>
      <c r="S4" s="671"/>
      <c r="T4" s="671"/>
      <c r="U4" s="671"/>
      <c r="V4" s="671"/>
      <c r="W4" s="671"/>
    </row>
    <row r="5" spans="1:137" ht="12.75" customHeight="1" x14ac:dyDescent="0.25">
      <c r="D5" s="248"/>
      <c r="E5" s="249"/>
      <c r="F5" s="167"/>
      <c r="G5" s="167"/>
      <c r="I5" s="618" t="s">
        <v>214</v>
      </c>
      <c r="J5" s="618"/>
      <c r="K5" s="618"/>
      <c r="L5" s="618"/>
      <c r="M5" s="169"/>
      <c r="N5" s="164">
        <f>SUM(J27:M72)/1000</f>
        <v>0</v>
      </c>
      <c r="O5" s="165" t="s">
        <v>208</v>
      </c>
      <c r="S5" s="671"/>
      <c r="T5" s="671"/>
      <c r="U5" s="671"/>
      <c r="V5" s="671"/>
      <c r="W5" s="671"/>
    </row>
    <row r="6" spans="1:137" ht="13.8" x14ac:dyDescent="0.25">
      <c r="D6" s="248"/>
      <c r="E6" s="249"/>
      <c r="F6" s="167"/>
      <c r="G6" s="167"/>
      <c r="I6" s="618"/>
      <c r="J6" s="618"/>
      <c r="K6" s="618"/>
      <c r="L6" s="618"/>
      <c r="M6" s="163"/>
      <c r="N6" s="164">
        <f>SUM(O27:R72)/1000</f>
        <v>0.7145221032878073</v>
      </c>
      <c r="O6" s="165" t="s">
        <v>209</v>
      </c>
    </row>
    <row r="7" spans="1:137" ht="13.8" x14ac:dyDescent="0.25">
      <c r="D7" s="248"/>
      <c r="E7" s="249"/>
      <c r="F7" s="167"/>
      <c r="G7" s="167"/>
      <c r="I7" s="172"/>
      <c r="J7" s="172"/>
      <c r="K7" s="172"/>
      <c r="L7" s="172"/>
      <c r="M7" s="172"/>
      <c r="N7" s="172"/>
      <c r="O7" s="172"/>
      <c r="P7" s="165"/>
    </row>
    <row r="8" spans="1:137" ht="13.8" x14ac:dyDescent="0.25">
      <c r="D8" s="248"/>
      <c r="E8" s="249"/>
      <c r="F8" s="167"/>
      <c r="G8" s="167"/>
    </row>
    <row r="9" spans="1:137" ht="13.8" x14ac:dyDescent="0.25">
      <c r="D9" s="248"/>
      <c r="E9" s="249"/>
      <c r="F9" s="167"/>
      <c r="G9" s="167"/>
    </row>
    <row r="10" spans="1:137" ht="13.8" x14ac:dyDescent="0.25">
      <c r="D10" s="248"/>
      <c r="E10" s="249"/>
      <c r="F10" s="167"/>
      <c r="G10" s="167"/>
    </row>
    <row r="11" spans="1:137" ht="13.8" x14ac:dyDescent="0.25">
      <c r="D11" s="248"/>
      <c r="E11" s="249"/>
      <c r="F11" s="167"/>
      <c r="G11" s="167"/>
    </row>
    <row r="12" spans="1:137" ht="13.8" x14ac:dyDescent="0.25">
      <c r="D12" s="248"/>
      <c r="E12" s="249"/>
      <c r="F12" s="167"/>
      <c r="G12" s="167"/>
    </row>
    <row r="13" spans="1:137" ht="13.8" x14ac:dyDescent="0.25">
      <c r="D13" s="248"/>
      <c r="E13" s="249"/>
      <c r="F13" s="167"/>
      <c r="G13" s="167"/>
    </row>
    <row r="14" spans="1:137" ht="13.8" x14ac:dyDescent="0.25">
      <c r="D14" s="248"/>
      <c r="E14" s="249"/>
      <c r="F14" s="167"/>
      <c r="G14" s="167"/>
      <c r="Q14" s="383" t="s">
        <v>409</v>
      </c>
      <c r="R14" s="383" t="s">
        <v>408</v>
      </c>
    </row>
    <row r="15" spans="1:137" ht="55.2" x14ac:dyDescent="0.25">
      <c r="O15" s="260" t="s">
        <v>412</v>
      </c>
      <c r="P15" s="260" t="s">
        <v>268</v>
      </c>
      <c r="Q15" s="260" t="s">
        <v>406</v>
      </c>
      <c r="R15" s="260" t="s">
        <v>406</v>
      </c>
    </row>
    <row r="16" spans="1:137" ht="13.8" x14ac:dyDescent="0.25">
      <c r="F16" s="153" t="s">
        <v>217</v>
      </c>
      <c r="O16" s="387">
        <v>1.2702321631971134E-3</v>
      </c>
      <c r="P16" s="261"/>
      <c r="Q16" s="261"/>
      <c r="R16" s="261"/>
    </row>
    <row r="17" spans="1:26" x14ac:dyDescent="0.25">
      <c r="D17" s="171" t="s">
        <v>216</v>
      </c>
      <c r="E17" s="233">
        <v>1</v>
      </c>
      <c r="F17" s="167" t="s">
        <v>211</v>
      </c>
    </row>
    <row r="22" spans="1:26" x14ac:dyDescent="0.25">
      <c r="D22" s="170"/>
      <c r="I22" s="172"/>
      <c r="J22" s="172"/>
      <c r="K22" s="172"/>
      <c r="L22" s="172"/>
      <c r="M22" s="172"/>
      <c r="N22" s="172"/>
      <c r="O22" s="667" t="s">
        <v>247</v>
      </c>
      <c r="P22" s="667"/>
      <c r="Q22" s="667"/>
      <c r="R22" s="667"/>
    </row>
    <row r="23" spans="1:26" ht="67.5" customHeight="1" x14ac:dyDescent="0.25">
      <c r="B23" s="665" t="s">
        <v>245</v>
      </c>
      <c r="C23" s="665"/>
      <c r="D23" s="665"/>
      <c r="E23" s="666" t="s">
        <v>246</v>
      </c>
      <c r="F23" s="666"/>
      <c r="G23" s="666"/>
      <c r="H23" s="666"/>
      <c r="J23" s="665" t="s">
        <v>245</v>
      </c>
      <c r="K23" s="665"/>
      <c r="L23" s="665"/>
      <c r="M23" s="665"/>
      <c r="N23" s="163"/>
      <c r="O23" s="664" t="s">
        <v>223</v>
      </c>
      <c r="P23" s="664"/>
      <c r="Q23" s="664"/>
      <c r="R23" s="664"/>
      <c r="U23" s="668" t="str">
        <f>CONCATENATE(B3," to ",B4," only")</f>
        <v>2020 to 2050 only</v>
      </c>
      <c r="V23" s="668"/>
      <c r="W23" s="173"/>
      <c r="Y23" s="668" t="s">
        <v>218</v>
      </c>
      <c r="Z23" s="668"/>
    </row>
    <row r="24" spans="1:26" ht="24.75" customHeight="1" x14ac:dyDescent="0.25">
      <c r="B24" s="223" t="s">
        <v>219</v>
      </c>
      <c r="C24" s="223" t="s">
        <v>220</v>
      </c>
      <c r="D24" s="224" t="s">
        <v>221</v>
      </c>
      <c r="E24" s="174" t="s">
        <v>222</v>
      </c>
      <c r="F24" s="174" t="s">
        <v>220</v>
      </c>
      <c r="G24" s="174" t="s">
        <v>248</v>
      </c>
      <c r="H24" s="175" t="s">
        <v>221</v>
      </c>
      <c r="J24" s="663" t="s">
        <v>223</v>
      </c>
      <c r="K24" s="663"/>
      <c r="L24" s="663"/>
      <c r="M24" s="663"/>
      <c r="N24" s="163"/>
      <c r="O24" s="167" t="s">
        <v>213</v>
      </c>
      <c r="P24" s="167" t="s">
        <v>211</v>
      </c>
      <c r="Q24" s="167" t="s">
        <v>213</v>
      </c>
      <c r="R24" s="167" t="s">
        <v>213</v>
      </c>
    </row>
    <row r="25" spans="1:26" ht="38.25" customHeight="1" x14ac:dyDescent="0.25">
      <c r="B25" s="223" t="s">
        <v>500</v>
      </c>
      <c r="C25" s="223" t="s">
        <v>500</v>
      </c>
      <c r="D25" s="225" t="s">
        <v>513</v>
      </c>
      <c r="E25" s="174" t="s">
        <v>407</v>
      </c>
      <c r="F25" s="174" t="s">
        <v>407</v>
      </c>
      <c r="G25" s="174" t="s">
        <v>249</v>
      </c>
      <c r="H25" s="174" t="s">
        <v>407</v>
      </c>
      <c r="J25" s="226" t="s">
        <v>224</v>
      </c>
      <c r="K25" s="226" t="s">
        <v>36</v>
      </c>
      <c r="L25" s="226" t="s">
        <v>225</v>
      </c>
      <c r="M25" s="226" t="s">
        <v>226</v>
      </c>
      <c r="N25" s="163"/>
      <c r="O25" s="176" t="s">
        <v>224</v>
      </c>
      <c r="P25" s="176" t="s">
        <v>36</v>
      </c>
      <c r="Q25" s="176" t="s">
        <v>225</v>
      </c>
      <c r="R25" s="176" t="s">
        <v>226</v>
      </c>
      <c r="T25" s="177" t="s">
        <v>227</v>
      </c>
      <c r="U25" s="177" t="s">
        <v>228</v>
      </c>
      <c r="V25" s="177"/>
      <c r="X25" s="177" t="s">
        <v>227</v>
      </c>
      <c r="Y25" s="177" t="s">
        <v>228</v>
      </c>
    </row>
    <row r="26" spans="1:26" ht="15.6" x14ac:dyDescent="0.3">
      <c r="A26" s="152">
        <v>2014</v>
      </c>
      <c r="B26" s="178">
        <f t="shared" ref="B26:B72" si="0">IFERROR(IF($F$17="Y",$E$17,$Y85)*(IF($F$3="Y",$E$3,0)+IF($F$4="Y",$E$4,0)+IF($F$5="Y",$E$5,0)+IF($F$6="Y",$E$6,0)+IF($F$7="Y",$E$7,0)+IF($F$8="Y",$E$8,0)+IF($F$9="Y",$E$9,0)+IF($F$10="Y",$E$10,0)+IF($F$11="Y",$E$11,0)+IF($F$12="Y",$E$12,0)+IF($F$13="Y",$E$13,0)+IF($F$14="Y",$E$14,0))*(B85-B137),0)</f>
        <v>0</v>
      </c>
      <c r="C26" s="182" t="str">
        <f>IFERROR(B26-B25,"")</f>
        <v/>
      </c>
      <c r="D26" s="183"/>
      <c r="E26" s="179">
        <f>IFERROR(IF($F$17="Y",$E$17,1-$Y85)*(SUMIF($G$3:$G$14,"Y",$E$3:$E$14))*(B85-B137),0)</f>
        <v>-0.63069960149005055</v>
      </c>
      <c r="F26" s="183" t="str">
        <f>IFERROR(E26-E25,"")</f>
        <v/>
      </c>
      <c r="G26" s="247">
        <f>IFERROR(E26/(B85-B137),"")</f>
        <v>0.85</v>
      </c>
      <c r="H26" s="245"/>
      <c r="J26" s="182"/>
      <c r="K26" s="182"/>
      <c r="L26" s="182"/>
      <c r="M26" s="182"/>
      <c r="N26" s="163"/>
      <c r="O26" s="259">
        <f>IF($O$24="Y",IFERROR(E26*$O$16*'Emissions Factors'!B12,""),"")</f>
        <v>-4.9460598023711919E-4</v>
      </c>
      <c r="P26" s="259" t="str">
        <f>IF($P$24="Y",IFERROR($E26*(SUM($E$3,$E$4,$E$5)/SUMIF($G$3:$G$14,"Y",$E$3:$E$14))*('Emissions Factors'!$T$143*$P$16)/10^6,""),"")</f>
        <v/>
      </c>
      <c r="Q26" s="259">
        <f>IF($Q$24="Y",IFERROR($E26*$Q$16/10^6,""))</f>
        <v>0</v>
      </c>
      <c r="R26" s="259">
        <f>IF($R$24="Y",IFERROR($E26*$R$16/10^6,""))</f>
        <v>0</v>
      </c>
      <c r="T26" s="180" t="str">
        <f t="shared" ref="T26:T72" si="1">IF(AND(A26&gt;=$B$3,A26&lt;=$B$4),SUM(O26:R26),"")</f>
        <v/>
      </c>
      <c r="U26" s="180" t="str">
        <f t="shared" ref="U26:U72" si="2">IF(AND(A26&gt;=$B$3,A26&lt;=$B$4),SUM(J26:M26),"")</f>
        <v/>
      </c>
      <c r="V26" s="177"/>
      <c r="X26" s="180">
        <f t="shared" ref="X26:X72" si="3">SUM(O26:R26)</f>
        <v>-4.9460598023711919E-4</v>
      </c>
      <c r="Y26" s="180">
        <f t="shared" ref="Y26:Y72" si="4">SUM(J26:M26)</f>
        <v>0</v>
      </c>
    </row>
    <row r="27" spans="1:26" ht="15.6" x14ac:dyDescent="0.3">
      <c r="A27" s="152">
        <v>2015</v>
      </c>
      <c r="B27" s="178">
        <f t="shared" si="0"/>
        <v>0</v>
      </c>
      <c r="C27" s="182">
        <f>IFERROR(B27-B26,"")</f>
        <v>0</v>
      </c>
      <c r="D27" s="183"/>
      <c r="E27" s="179">
        <f t="shared" ref="E27:E72" si="5">IFERROR(IF($F$17="Y",$E$17,1-$Y86)*(SUMIF($G$3:$G$14,"Y",$E$3:$E$14))*(B86-B138),0)</f>
        <v>-0.63483917526318689</v>
      </c>
      <c r="F27" s="183">
        <f>IFERROR(E27-E26,"")</f>
        <v>-4.1395737731363402E-3</v>
      </c>
      <c r="G27" s="247">
        <f t="shared" ref="G27:G72" si="6">IFERROR(E27/(B86-B138),"")</f>
        <v>0.85</v>
      </c>
      <c r="H27" s="246"/>
      <c r="J27" s="182"/>
      <c r="K27" s="182"/>
      <c r="L27" s="182"/>
      <c r="M27" s="182"/>
      <c r="N27" s="163"/>
      <c r="O27" s="259">
        <f>IF($O$24="Y",IFERROR(E27*$O$16*'Emissions Factors'!B12,""),"")</f>
        <v>-4.9785230850336317E-4</v>
      </c>
      <c r="P27" s="259" t="str">
        <f>IF($P$24="Y",IFERROR($E27*(SUM($E$3,$E$4,$E$5)/SUMIF($G$3:$G$14,"Y",$E$3:$E$14))*('Emissions Factors'!$T$143*$P$16)/10^6,""),"")</f>
        <v/>
      </c>
      <c r="Q27" s="259">
        <f t="shared" ref="Q27:Q72" si="7">IF($Q$24="Y",IFERROR($E27*$Q$16/10^6,""))</f>
        <v>0</v>
      </c>
      <c r="R27" s="259">
        <f t="shared" ref="R27:R72" si="8">IF($R$24="Y",IFERROR($E27*$R$16/10^6,""))</f>
        <v>0</v>
      </c>
      <c r="T27" s="180" t="str">
        <f t="shared" si="1"/>
        <v/>
      </c>
      <c r="U27" s="180" t="str">
        <f t="shared" si="2"/>
        <v/>
      </c>
      <c r="V27" s="177"/>
      <c r="X27" s="180">
        <f t="shared" si="3"/>
        <v>-4.9785230850336317E-4</v>
      </c>
      <c r="Y27" s="180">
        <f t="shared" si="4"/>
        <v>0</v>
      </c>
    </row>
    <row r="28" spans="1:26" ht="15.6" x14ac:dyDescent="0.3">
      <c r="A28" s="152">
        <v>2016</v>
      </c>
      <c r="B28" s="178">
        <f t="shared" si="0"/>
        <v>0</v>
      </c>
      <c r="C28" s="182">
        <f t="shared" ref="C28:C72" si="9">IFERROR(B28-B27,"")</f>
        <v>0</v>
      </c>
      <c r="D28" s="183"/>
      <c r="E28" s="179">
        <f t="shared" si="5"/>
        <v>0</v>
      </c>
      <c r="F28" s="183">
        <f t="shared" ref="F28:F72" si="10">IFERROR(E28-E27,"")</f>
        <v>0.63483917526318689</v>
      </c>
      <c r="G28" s="247">
        <f t="shared" si="6"/>
        <v>0</v>
      </c>
      <c r="H28" s="246"/>
      <c r="J28" s="182"/>
      <c r="K28" s="182"/>
      <c r="L28" s="182"/>
      <c r="M28" s="182"/>
      <c r="N28" s="163"/>
      <c r="O28" s="259">
        <f>IF($O$24="Y",IFERROR(E28*$O$16*'Emissions Factors'!B13,""),"")</f>
        <v>0</v>
      </c>
      <c r="P28" s="259" t="str">
        <f>IF($P$24="Y",IFERROR($E28*(SUM($E$3,$E$4,$E$5)/SUMIF($G$3:$G$14,"Y",$E$3:$E$14))*('Emissions Factors'!$T$143*$P$16)/10^6,""),"")</f>
        <v/>
      </c>
      <c r="Q28" s="259">
        <f t="shared" si="7"/>
        <v>0</v>
      </c>
      <c r="R28" s="259">
        <f t="shared" si="8"/>
        <v>0</v>
      </c>
      <c r="T28" s="180" t="str">
        <f t="shared" si="1"/>
        <v/>
      </c>
      <c r="U28" s="180" t="str">
        <f t="shared" si="2"/>
        <v/>
      </c>
      <c r="V28" s="177"/>
      <c r="X28" s="180">
        <f t="shared" si="3"/>
        <v>0</v>
      </c>
      <c r="Y28" s="180">
        <f t="shared" si="4"/>
        <v>0</v>
      </c>
    </row>
    <row r="29" spans="1:26" ht="15.6" x14ac:dyDescent="0.3">
      <c r="A29" s="152">
        <v>2017</v>
      </c>
      <c r="B29" s="178">
        <f t="shared" si="0"/>
        <v>0</v>
      </c>
      <c r="C29" s="182">
        <f>IFERROR(B29-B28,"")</f>
        <v>0</v>
      </c>
      <c r="D29" s="183"/>
      <c r="E29" s="179">
        <f t="shared" si="5"/>
        <v>0</v>
      </c>
      <c r="F29" s="183">
        <f>IFERROR(E29-E28,"")</f>
        <v>0</v>
      </c>
      <c r="G29" s="247">
        <f t="shared" si="6"/>
        <v>0</v>
      </c>
      <c r="H29" s="246"/>
      <c r="J29" s="182"/>
      <c r="K29" s="182"/>
      <c r="L29" s="182"/>
      <c r="M29" s="182"/>
      <c r="N29" s="163"/>
      <c r="O29" s="259">
        <f>IF($O$24="Y",IFERROR(E29*$O$16*'Emissions Factors'!B14,""),"")</f>
        <v>0</v>
      </c>
      <c r="P29" s="259" t="str">
        <f>IF($P$24="Y",IFERROR($E29*(SUM($E$3,$E$4,$E$5)/SUMIF($G$3:$G$14,"Y",$E$3:$E$14))*('Emissions Factors'!$T$143*$P$16)/10^6,""),"")</f>
        <v/>
      </c>
      <c r="Q29" s="259">
        <f t="shared" si="7"/>
        <v>0</v>
      </c>
      <c r="R29" s="259">
        <f t="shared" si="8"/>
        <v>0</v>
      </c>
      <c r="T29" s="180" t="str">
        <f t="shared" si="1"/>
        <v/>
      </c>
      <c r="U29" s="180" t="str">
        <f t="shared" si="2"/>
        <v/>
      </c>
      <c r="V29" s="177"/>
      <c r="X29" s="180">
        <f t="shared" si="3"/>
        <v>0</v>
      </c>
      <c r="Y29" s="180">
        <f t="shared" si="4"/>
        <v>0</v>
      </c>
    </row>
    <row r="30" spans="1:26" ht="15.6" x14ac:dyDescent="0.3">
      <c r="A30" s="152">
        <v>2018</v>
      </c>
      <c r="B30" s="178">
        <f t="shared" si="0"/>
        <v>0</v>
      </c>
      <c r="C30" s="182">
        <f t="shared" si="9"/>
        <v>0</v>
      </c>
      <c r="D30" s="183"/>
      <c r="E30" s="179">
        <f t="shared" si="5"/>
        <v>0</v>
      </c>
      <c r="F30" s="183">
        <f t="shared" si="10"/>
        <v>0</v>
      </c>
      <c r="G30" s="247">
        <f t="shared" si="6"/>
        <v>0</v>
      </c>
      <c r="H30" s="246"/>
      <c r="J30" s="182"/>
      <c r="K30" s="182"/>
      <c r="L30" s="182"/>
      <c r="M30" s="182"/>
      <c r="N30" s="163"/>
      <c r="O30" s="259">
        <f>IF($O$24="Y",IFERROR(E30*$O$16*'Emissions Factors'!B15,""),"")</f>
        <v>0</v>
      </c>
      <c r="P30" s="259" t="str">
        <f>IF($P$24="Y",IFERROR($E30*(SUM($E$3,$E$4,$E$5)/SUMIF($G$3:$G$14,"Y",$E$3:$E$14))*('Emissions Factors'!$T$143*$P$16)/10^6,""),"")</f>
        <v/>
      </c>
      <c r="Q30" s="259">
        <f t="shared" si="7"/>
        <v>0</v>
      </c>
      <c r="R30" s="259">
        <f t="shared" si="8"/>
        <v>0</v>
      </c>
      <c r="T30" s="180" t="str">
        <f t="shared" si="1"/>
        <v/>
      </c>
      <c r="U30" s="180" t="str">
        <f t="shared" si="2"/>
        <v/>
      </c>
      <c r="V30" s="177"/>
      <c r="X30" s="180">
        <f t="shared" si="3"/>
        <v>0</v>
      </c>
      <c r="Y30" s="180">
        <f t="shared" si="4"/>
        <v>0</v>
      </c>
    </row>
    <row r="31" spans="1:26" ht="15.6" x14ac:dyDescent="0.3">
      <c r="A31" s="152">
        <v>2019</v>
      </c>
      <c r="B31" s="178">
        <f t="shared" si="0"/>
        <v>0</v>
      </c>
      <c r="C31" s="182">
        <f t="shared" si="9"/>
        <v>0</v>
      </c>
      <c r="D31" s="183"/>
      <c r="E31" s="179">
        <f t="shared" si="5"/>
        <v>0</v>
      </c>
      <c r="F31" s="183">
        <f t="shared" si="10"/>
        <v>0</v>
      </c>
      <c r="G31" s="247">
        <f t="shared" si="6"/>
        <v>0</v>
      </c>
      <c r="H31" s="246"/>
      <c r="J31" s="182"/>
      <c r="K31" s="182"/>
      <c r="L31" s="182"/>
      <c r="M31" s="182"/>
      <c r="N31" s="163"/>
      <c r="O31" s="259">
        <f>IF($O$24="Y",IFERROR(E31*$O$16*'Emissions Factors'!B16,""),"")</f>
        <v>0</v>
      </c>
      <c r="P31" s="259" t="str">
        <f>IF($P$24="Y",IFERROR($E31*(SUM($E$3,$E$4,$E$5)/SUMIF($G$3:$G$14,"Y",$E$3:$E$14))*('Emissions Factors'!$T$143*$P$16)/10^6,""),"")</f>
        <v/>
      </c>
      <c r="Q31" s="259">
        <f t="shared" si="7"/>
        <v>0</v>
      </c>
      <c r="R31" s="259">
        <f t="shared" si="8"/>
        <v>0</v>
      </c>
      <c r="T31" s="180" t="str">
        <f t="shared" si="1"/>
        <v/>
      </c>
      <c r="U31" s="180" t="str">
        <f t="shared" si="2"/>
        <v/>
      </c>
      <c r="V31" s="177"/>
      <c r="X31" s="180">
        <f t="shared" si="3"/>
        <v>0</v>
      </c>
      <c r="Y31" s="180">
        <f t="shared" si="4"/>
        <v>0</v>
      </c>
    </row>
    <row r="32" spans="1:26" ht="15.6" x14ac:dyDescent="0.3">
      <c r="A32" s="152">
        <v>2020</v>
      </c>
      <c r="B32" s="178">
        <f t="shared" si="0"/>
        <v>0</v>
      </c>
      <c r="C32" s="182">
        <f t="shared" si="9"/>
        <v>0</v>
      </c>
      <c r="D32" s="183"/>
      <c r="E32" s="179">
        <f t="shared" si="5"/>
        <v>0</v>
      </c>
      <c r="F32" s="183">
        <f t="shared" si="10"/>
        <v>0</v>
      </c>
      <c r="G32" s="247">
        <f t="shared" si="6"/>
        <v>0</v>
      </c>
      <c r="H32" s="246"/>
      <c r="J32" s="182"/>
      <c r="K32" s="182"/>
      <c r="L32" s="182"/>
      <c r="M32" s="182"/>
      <c r="N32" s="163"/>
      <c r="O32" s="259">
        <f>IF($O$24="Y",IFERROR(E32*$O$16*'Emissions Factors'!B17,""),"")</f>
        <v>0</v>
      </c>
      <c r="P32" s="259" t="str">
        <f>IF($P$24="Y",IFERROR($E32*(SUM($E$3,$E$4,$E$5)/SUMIF($G$3:$G$14,"Y",$E$3:$E$14))*('Emissions Factors'!$T$143*$P$16)/10^6,""),"")</f>
        <v/>
      </c>
      <c r="Q32" s="259">
        <f t="shared" si="7"/>
        <v>0</v>
      </c>
      <c r="R32" s="259">
        <f t="shared" si="8"/>
        <v>0</v>
      </c>
      <c r="T32" s="180">
        <f t="shared" si="1"/>
        <v>0</v>
      </c>
      <c r="U32" s="180">
        <f t="shared" si="2"/>
        <v>0</v>
      </c>
      <c r="V32" s="177"/>
      <c r="X32" s="180">
        <f t="shared" si="3"/>
        <v>0</v>
      </c>
      <c r="Y32" s="180">
        <f t="shared" si="4"/>
        <v>0</v>
      </c>
    </row>
    <row r="33" spans="1:25" ht="15.6" x14ac:dyDescent="0.3">
      <c r="A33" s="152">
        <v>2021</v>
      </c>
      <c r="B33" s="178">
        <f t="shared" si="0"/>
        <v>0</v>
      </c>
      <c r="C33" s="182">
        <f t="shared" si="9"/>
        <v>0</v>
      </c>
      <c r="D33" s="183"/>
      <c r="E33" s="179">
        <f t="shared" si="5"/>
        <v>359.94586840534822</v>
      </c>
      <c r="F33" s="183">
        <f t="shared" si="10"/>
        <v>359.94586840534822</v>
      </c>
      <c r="G33" s="247">
        <f t="shared" si="6"/>
        <v>0.54982223792120621</v>
      </c>
      <c r="H33" s="246"/>
      <c r="J33" s="182"/>
      <c r="K33" s="182"/>
      <c r="L33" s="182"/>
      <c r="M33" s="182"/>
      <c r="N33" s="163"/>
      <c r="O33" s="259">
        <f>IF($O$24="Y",IFERROR(E33*$O$16*'Emissions Factors'!B18,""),"")</f>
        <v>0.26947976730705581</v>
      </c>
      <c r="P33" s="259" t="str">
        <f>IF($P$24="Y",IFERROR($E33*(SUM($E$3,$E$4,$E$5)/SUMIF($G$3:$G$14,"Y",$E$3:$E$14))*('Emissions Factors'!$T$143*$P$16)/10^6,""),"")</f>
        <v/>
      </c>
      <c r="Q33" s="259">
        <f t="shared" si="7"/>
        <v>0</v>
      </c>
      <c r="R33" s="259">
        <f t="shared" si="8"/>
        <v>0</v>
      </c>
      <c r="T33" s="180">
        <f t="shared" si="1"/>
        <v>0.26947976730705581</v>
      </c>
      <c r="U33" s="180">
        <f t="shared" si="2"/>
        <v>0</v>
      </c>
      <c r="V33" s="177"/>
      <c r="X33" s="180">
        <f t="shared" si="3"/>
        <v>0.26947976730705581</v>
      </c>
      <c r="Y33" s="180">
        <f t="shared" si="4"/>
        <v>0</v>
      </c>
    </row>
    <row r="34" spans="1:25" ht="15.6" x14ac:dyDescent="0.3">
      <c r="A34" s="152">
        <v>2022</v>
      </c>
      <c r="B34" s="178">
        <f t="shared" si="0"/>
        <v>0</v>
      </c>
      <c r="C34" s="182">
        <f t="shared" si="9"/>
        <v>0</v>
      </c>
      <c r="D34" s="183"/>
      <c r="E34" s="179">
        <f t="shared" si="5"/>
        <v>806.64047815815616</v>
      </c>
      <c r="F34" s="183">
        <f t="shared" si="10"/>
        <v>446.69460975280793</v>
      </c>
      <c r="G34" s="247">
        <f t="shared" si="6"/>
        <v>0.53837520230329095</v>
      </c>
      <c r="H34" s="246"/>
      <c r="J34" s="182"/>
      <c r="K34" s="182"/>
      <c r="L34" s="182"/>
      <c r="M34" s="182"/>
      <c r="N34" s="163"/>
      <c r="O34" s="259">
        <f>IF($O$24="Y",IFERROR(E34*$O$16*'Emissions Factors'!B19,""),"")</f>
        <v>0.60031494925513795</v>
      </c>
      <c r="P34" s="259" t="str">
        <f>IF($P$24="Y",IFERROR($E34*(SUM($E$3,$E$4,$E$5)/SUMIF($G$3:$G$14,"Y",$E$3:$E$14))*('Emissions Factors'!$T$143*$P$16)/10^6,""),"")</f>
        <v/>
      </c>
      <c r="Q34" s="259">
        <f t="shared" si="7"/>
        <v>0</v>
      </c>
      <c r="R34" s="259">
        <f t="shared" si="8"/>
        <v>0</v>
      </c>
      <c r="T34" s="180">
        <f t="shared" si="1"/>
        <v>0.60031494925513795</v>
      </c>
      <c r="U34" s="180">
        <f t="shared" si="2"/>
        <v>0</v>
      </c>
      <c r="V34" s="177"/>
      <c r="X34" s="180">
        <f t="shared" si="3"/>
        <v>0.60031494925513795</v>
      </c>
      <c r="Y34" s="180">
        <f t="shared" si="4"/>
        <v>0</v>
      </c>
    </row>
    <row r="35" spans="1:25" ht="15.6" x14ac:dyDescent="0.3">
      <c r="A35" s="152">
        <v>2023</v>
      </c>
      <c r="B35" s="178">
        <f t="shared" si="0"/>
        <v>0</v>
      </c>
      <c r="C35" s="182">
        <f t="shared" si="9"/>
        <v>0</v>
      </c>
      <c r="D35" s="183"/>
      <c r="E35" s="179">
        <f t="shared" si="5"/>
        <v>1335.1672160570247</v>
      </c>
      <c r="F35" s="183">
        <f t="shared" si="10"/>
        <v>528.52673789886853</v>
      </c>
      <c r="G35" s="247">
        <f t="shared" si="6"/>
        <v>0.53099090797800208</v>
      </c>
      <c r="H35" s="246"/>
      <c r="J35" s="182"/>
      <c r="K35" s="182"/>
      <c r="L35" s="182"/>
      <c r="M35" s="182"/>
      <c r="N35" s="163"/>
      <c r="O35" s="259">
        <f>IF($O$24="Y",IFERROR(E35*$O$16*'Emissions Factors'!B20,""),"")</f>
        <v>0.98785295267556561</v>
      </c>
      <c r="P35" s="259" t="str">
        <f>IF($P$24="Y",IFERROR($E35*(SUM($E$3,$E$4,$E$5)/SUMIF($G$3:$G$14,"Y",$E$3:$E$14))*('Emissions Factors'!$T$143*$P$16)/10^6,""),"")</f>
        <v/>
      </c>
      <c r="Q35" s="259">
        <f t="shared" si="7"/>
        <v>0</v>
      </c>
      <c r="R35" s="259">
        <f t="shared" si="8"/>
        <v>0</v>
      </c>
      <c r="T35" s="180">
        <f t="shared" si="1"/>
        <v>0.98785295267556561</v>
      </c>
      <c r="U35" s="180">
        <f t="shared" si="2"/>
        <v>0</v>
      </c>
      <c r="V35" s="177"/>
      <c r="X35" s="180">
        <f t="shared" si="3"/>
        <v>0.98785295267556561</v>
      </c>
      <c r="Y35" s="180">
        <f t="shared" si="4"/>
        <v>0</v>
      </c>
    </row>
    <row r="36" spans="1:25" ht="15.6" x14ac:dyDescent="0.3">
      <c r="A36" s="152">
        <v>2024</v>
      </c>
      <c r="B36" s="178">
        <f t="shared" si="0"/>
        <v>0</v>
      </c>
      <c r="C36" s="182">
        <f t="shared" si="9"/>
        <v>0</v>
      </c>
      <c r="D36" s="183"/>
      <c r="E36" s="179">
        <f t="shared" si="5"/>
        <v>1946.7652733331101</v>
      </c>
      <c r="F36" s="183">
        <f t="shared" si="10"/>
        <v>611.59805727608546</v>
      </c>
      <c r="G36" s="247">
        <f t="shared" si="6"/>
        <v>0.52641142373789085</v>
      </c>
      <c r="H36" s="246"/>
      <c r="J36" s="182"/>
      <c r="K36" s="182"/>
      <c r="L36" s="182"/>
      <c r="M36" s="182"/>
      <c r="N36" s="163"/>
      <c r="O36" s="259">
        <f>IF($O$24="Y",IFERROR(E36*$O$16*'Emissions Factors'!B21,""),"")</f>
        <v>1.4320894328413585</v>
      </c>
      <c r="P36" s="259" t="str">
        <f>IF($P$24="Y",IFERROR($E36*(SUM($E$3,$E$4,$E$5)/SUMIF($G$3:$G$14,"Y",$E$3:$E$14))*('Emissions Factors'!$T$143*$P$16)/10^6,""),"")</f>
        <v/>
      </c>
      <c r="Q36" s="259">
        <f t="shared" si="7"/>
        <v>0</v>
      </c>
      <c r="R36" s="259">
        <f t="shared" si="8"/>
        <v>0</v>
      </c>
      <c r="T36" s="180">
        <f t="shared" si="1"/>
        <v>1.4320894328413585</v>
      </c>
      <c r="U36" s="180">
        <f t="shared" si="2"/>
        <v>0</v>
      </c>
      <c r="V36" s="177"/>
      <c r="X36" s="180">
        <f t="shared" si="3"/>
        <v>1.4320894328413585</v>
      </c>
      <c r="Y36" s="180">
        <f t="shared" si="4"/>
        <v>0</v>
      </c>
    </row>
    <row r="37" spans="1:25" ht="15.6" x14ac:dyDescent="0.3">
      <c r="A37" s="152">
        <v>2025</v>
      </c>
      <c r="B37" s="178">
        <f t="shared" si="0"/>
        <v>0</v>
      </c>
      <c r="C37" s="182">
        <f t="shared" si="9"/>
        <v>0</v>
      </c>
      <c r="D37" s="183"/>
      <c r="E37" s="179">
        <f t="shared" si="5"/>
        <v>2642.9351724494372</v>
      </c>
      <c r="F37" s="183">
        <f t="shared" si="10"/>
        <v>696.16989911632709</v>
      </c>
      <c r="G37" s="247">
        <f t="shared" si="6"/>
        <v>0.52368405561793763</v>
      </c>
      <c r="H37" s="246"/>
      <c r="J37" s="182"/>
      <c r="K37" s="182"/>
      <c r="L37" s="182"/>
      <c r="M37" s="182"/>
      <c r="N37" s="163"/>
      <c r="O37" s="259">
        <f>IF($O$24="Y",IFERROR(E37*$O$16*'Emissions Factors'!B22,""),"")</f>
        <v>1.9343200818081117</v>
      </c>
      <c r="P37" s="259" t="str">
        <f>IF($P$24="Y",IFERROR($E37*(SUM($E$3,$E$4,$E$5)/SUMIF($G$3:$G$14,"Y",$E$3:$E$14))*('Emissions Factors'!$T$143*$P$16)/10^6,""),"")</f>
        <v/>
      </c>
      <c r="Q37" s="259">
        <f t="shared" si="7"/>
        <v>0</v>
      </c>
      <c r="R37" s="259">
        <f t="shared" si="8"/>
        <v>0</v>
      </c>
      <c r="T37" s="180">
        <f t="shared" si="1"/>
        <v>1.9343200818081117</v>
      </c>
      <c r="U37" s="180">
        <f t="shared" si="2"/>
        <v>0</v>
      </c>
      <c r="V37" s="177"/>
      <c r="X37" s="180">
        <f t="shared" si="3"/>
        <v>1.9343200818081117</v>
      </c>
      <c r="Y37" s="180">
        <f t="shared" si="4"/>
        <v>0</v>
      </c>
    </row>
    <row r="38" spans="1:25" ht="15.6" x14ac:dyDescent="0.3">
      <c r="A38" s="152">
        <v>2026</v>
      </c>
      <c r="B38" s="178">
        <f t="shared" si="0"/>
        <v>0</v>
      </c>
      <c r="C38" s="182">
        <f t="shared" si="9"/>
        <v>0</v>
      </c>
      <c r="D38" s="183"/>
      <c r="E38" s="179">
        <f t="shared" si="5"/>
        <v>3422.8923674586567</v>
      </c>
      <c r="F38" s="183">
        <f t="shared" si="10"/>
        <v>779.9571950092195</v>
      </c>
      <c r="G38" s="247">
        <f t="shared" si="6"/>
        <v>0.52201673399123483</v>
      </c>
      <c r="H38" s="246"/>
      <c r="J38" s="182"/>
      <c r="K38" s="182"/>
      <c r="L38" s="182"/>
      <c r="M38" s="182"/>
      <c r="N38" s="163"/>
      <c r="O38" s="259">
        <f>IF($O$24="Y",IFERROR(E38*$O$16*'Emissions Factors'!B23,""),"")</f>
        <v>2.4897651750456418</v>
      </c>
      <c r="P38" s="259" t="str">
        <f>IF($P$24="Y",IFERROR($E38*(SUM($E$3,$E$4,$E$5)/SUMIF($G$3:$G$14,"Y",$E$3:$E$14))*('Emissions Factors'!$T$143*$P$16)/10^6,""),"")</f>
        <v/>
      </c>
      <c r="Q38" s="259">
        <f t="shared" si="7"/>
        <v>0</v>
      </c>
      <c r="R38" s="259">
        <f t="shared" si="8"/>
        <v>0</v>
      </c>
      <c r="T38" s="180">
        <f t="shared" si="1"/>
        <v>2.4897651750456418</v>
      </c>
      <c r="U38" s="180">
        <f t="shared" si="2"/>
        <v>0</v>
      </c>
      <c r="V38" s="177"/>
      <c r="X38" s="180">
        <f t="shared" si="3"/>
        <v>2.4897651750456418</v>
      </c>
      <c r="Y38" s="180">
        <f t="shared" si="4"/>
        <v>0</v>
      </c>
    </row>
    <row r="39" spans="1:25" ht="15.6" x14ac:dyDescent="0.3">
      <c r="A39" s="152">
        <v>2027</v>
      </c>
      <c r="B39" s="178">
        <f t="shared" si="0"/>
        <v>0</v>
      </c>
      <c r="C39" s="182">
        <f t="shared" si="9"/>
        <v>0</v>
      </c>
      <c r="D39" s="183"/>
      <c r="E39" s="179">
        <f t="shared" si="5"/>
        <v>4284.3385201799838</v>
      </c>
      <c r="F39" s="183">
        <f t="shared" si="10"/>
        <v>861.44615272132705</v>
      </c>
      <c r="G39" s="247">
        <f t="shared" si="6"/>
        <v>0.52083639579176011</v>
      </c>
      <c r="H39" s="246"/>
      <c r="J39" s="182"/>
      <c r="K39" s="182"/>
      <c r="L39" s="182"/>
      <c r="M39" s="182"/>
      <c r="N39" s="163"/>
      <c r="O39" s="259">
        <f>IF($O$24="Y",IFERROR(E39*$O$16*'Emissions Factors'!B24,""),"")</f>
        <v>3.0991950464005114</v>
      </c>
      <c r="P39" s="259" t="str">
        <f>IF($P$24="Y",IFERROR($E39*(SUM($E$3,$E$4,$E$5)/SUMIF($G$3:$G$14,"Y",$E$3:$E$14))*('Emissions Factors'!$T$143*$P$16)/10^6,""),"")</f>
        <v/>
      </c>
      <c r="Q39" s="259">
        <f t="shared" si="7"/>
        <v>0</v>
      </c>
      <c r="R39" s="259">
        <f t="shared" si="8"/>
        <v>0</v>
      </c>
      <c r="T39" s="180">
        <f t="shared" si="1"/>
        <v>3.0991950464005114</v>
      </c>
      <c r="U39" s="180">
        <f t="shared" si="2"/>
        <v>0</v>
      </c>
      <c r="V39" s="177"/>
      <c r="X39" s="180">
        <f t="shared" si="3"/>
        <v>3.0991950464005114</v>
      </c>
      <c r="Y39" s="180">
        <f t="shared" si="4"/>
        <v>0</v>
      </c>
    </row>
    <row r="40" spans="1:25" ht="15.6" x14ac:dyDescent="0.3">
      <c r="A40" s="152">
        <v>2028</v>
      </c>
      <c r="B40" s="178">
        <f t="shared" si="0"/>
        <v>0</v>
      </c>
      <c r="C40" s="182">
        <f t="shared" si="9"/>
        <v>0</v>
      </c>
      <c r="D40" s="183"/>
      <c r="E40" s="179">
        <f t="shared" si="5"/>
        <v>5227.779976092108</v>
      </c>
      <c r="F40" s="183">
        <f t="shared" si="10"/>
        <v>943.44145591212418</v>
      </c>
      <c r="G40" s="247">
        <f t="shared" si="6"/>
        <v>0.51984507159347826</v>
      </c>
      <c r="H40" s="246"/>
      <c r="J40" s="182"/>
      <c r="K40" s="182"/>
      <c r="L40" s="182"/>
      <c r="M40" s="182"/>
      <c r="N40" s="163"/>
      <c r="O40" s="259">
        <f>IF($O$24="Y",IFERROR(E40*$O$16*'Emissions Factors'!B25,""),"")</f>
        <v>3.7610350930824943</v>
      </c>
      <c r="P40" s="259" t="str">
        <f>IF($P$24="Y",IFERROR($E40*(SUM($E$3,$E$4,$E$5)/SUMIF($G$3:$G$14,"Y",$E$3:$E$14))*('Emissions Factors'!$T$143*$P$16)/10^6,""),"")</f>
        <v/>
      </c>
      <c r="Q40" s="259">
        <f t="shared" si="7"/>
        <v>0</v>
      </c>
      <c r="R40" s="259">
        <f t="shared" si="8"/>
        <v>0</v>
      </c>
      <c r="T40" s="180">
        <f t="shared" si="1"/>
        <v>3.7610350930824943</v>
      </c>
      <c r="U40" s="180">
        <f t="shared" si="2"/>
        <v>0</v>
      </c>
      <c r="V40" s="177"/>
      <c r="X40" s="180">
        <f t="shared" si="3"/>
        <v>3.7610350930824943</v>
      </c>
      <c r="Y40" s="180">
        <f t="shared" si="4"/>
        <v>0</v>
      </c>
    </row>
    <row r="41" spans="1:25" ht="15.6" x14ac:dyDescent="0.3">
      <c r="A41" s="152">
        <v>2029</v>
      </c>
      <c r="B41" s="178">
        <f t="shared" si="0"/>
        <v>0</v>
      </c>
      <c r="C41" s="182">
        <f t="shared" si="9"/>
        <v>0</v>
      </c>
      <c r="D41" s="183"/>
      <c r="E41" s="179">
        <f t="shared" si="5"/>
        <v>6253.9179793057383</v>
      </c>
      <c r="F41" s="183">
        <f t="shared" si="10"/>
        <v>1026.1380032136303</v>
      </c>
      <c r="G41" s="247">
        <f t="shared" si="6"/>
        <v>0.51882913293548061</v>
      </c>
      <c r="H41" s="246"/>
      <c r="J41" s="182"/>
      <c r="K41" s="182"/>
      <c r="L41" s="182"/>
      <c r="M41" s="182"/>
      <c r="N41" s="163"/>
      <c r="O41" s="259">
        <f>IF($O$24="Y",IFERROR(E41*$O$16*'Emissions Factors'!B26,""),"")</f>
        <v>4.4749509481950467</v>
      </c>
      <c r="P41" s="259" t="str">
        <f>IF($P$24="Y",IFERROR($E41*(SUM($E$3,$E$4,$E$5)/SUMIF($G$3:$G$14,"Y",$E$3:$E$14))*('Emissions Factors'!$T$143*$P$16)/10^6,""),"")</f>
        <v/>
      </c>
      <c r="Q41" s="259">
        <f t="shared" si="7"/>
        <v>0</v>
      </c>
      <c r="R41" s="259">
        <f t="shared" si="8"/>
        <v>0</v>
      </c>
      <c r="T41" s="180">
        <f t="shared" si="1"/>
        <v>4.4749509481950467</v>
      </c>
      <c r="U41" s="180">
        <f t="shared" si="2"/>
        <v>0</v>
      </c>
      <c r="V41" s="177"/>
      <c r="X41" s="180">
        <f t="shared" si="3"/>
        <v>4.4749509481950467</v>
      </c>
      <c r="Y41" s="180">
        <f t="shared" si="4"/>
        <v>0</v>
      </c>
    </row>
    <row r="42" spans="1:25" ht="15.6" x14ac:dyDescent="0.3">
      <c r="A42" s="152">
        <v>2030</v>
      </c>
      <c r="B42" s="178">
        <f t="shared" si="0"/>
        <v>0</v>
      </c>
      <c r="C42" s="182">
        <f t="shared" si="9"/>
        <v>0</v>
      </c>
      <c r="D42" s="183"/>
      <c r="E42" s="179">
        <f t="shared" si="5"/>
        <v>7363.8471036095161</v>
      </c>
      <c r="F42" s="183">
        <f t="shared" si="10"/>
        <v>1109.9291243037778</v>
      </c>
      <c r="G42" s="247">
        <f t="shared" si="6"/>
        <v>0.51769903710070708</v>
      </c>
      <c r="H42" s="246"/>
      <c r="J42" s="182"/>
      <c r="K42" s="182"/>
      <c r="L42" s="182"/>
      <c r="M42" s="182"/>
      <c r="N42" s="163"/>
      <c r="O42" s="259">
        <f>IF($O$24="Y",IFERROR(E42*$O$16*'Emissions Factors'!B27,""),"")</f>
        <v>5.2421017094141948</v>
      </c>
      <c r="P42" s="259" t="str">
        <f>IF($P$24="Y",IFERROR($E42*(SUM($E$3,$E$4,$E$5)/SUMIF($G$3:$G$14,"Y",$E$3:$E$14))*('Emissions Factors'!$T$143*$P$16)/10^6,""),"")</f>
        <v/>
      </c>
      <c r="Q42" s="259">
        <f t="shared" si="7"/>
        <v>0</v>
      </c>
      <c r="R42" s="259">
        <f t="shared" si="8"/>
        <v>0</v>
      </c>
      <c r="T42" s="180">
        <f t="shared" si="1"/>
        <v>5.2421017094141948</v>
      </c>
      <c r="U42" s="180">
        <f t="shared" si="2"/>
        <v>0</v>
      </c>
      <c r="V42" s="177"/>
      <c r="X42" s="180">
        <f t="shared" si="3"/>
        <v>5.2421017094141948</v>
      </c>
      <c r="Y42" s="180">
        <f t="shared" si="4"/>
        <v>0</v>
      </c>
    </row>
    <row r="43" spans="1:25" ht="15.6" x14ac:dyDescent="0.3">
      <c r="A43" s="152">
        <v>2031</v>
      </c>
      <c r="B43" s="178">
        <f t="shared" si="0"/>
        <v>0</v>
      </c>
      <c r="C43" s="182">
        <f t="shared" si="9"/>
        <v>0</v>
      </c>
      <c r="D43" s="183"/>
      <c r="E43" s="179">
        <f t="shared" si="5"/>
        <v>8558.4278167523571</v>
      </c>
      <c r="F43" s="183">
        <f t="shared" si="10"/>
        <v>1194.580713142841</v>
      </c>
      <c r="G43" s="247">
        <f t="shared" si="6"/>
        <v>0.51649159685891477</v>
      </c>
      <c r="H43" s="246"/>
      <c r="J43" s="182"/>
      <c r="K43" s="182"/>
      <c r="L43" s="182"/>
      <c r="M43" s="182"/>
      <c r="N43" s="163"/>
      <c r="O43" s="259">
        <f>IF($O$24="Y",IFERROR(E43*$O$16*'Emissions Factors'!B28,""),"")</f>
        <v>6.0585734829080629</v>
      </c>
      <c r="P43" s="259" t="str">
        <f>IF($P$24="Y",IFERROR($E43*(SUM($E$3,$E$4,$E$5)/SUMIF($G$3:$G$14,"Y",$E$3:$E$14))*('Emissions Factors'!$T$143*$P$16)/10^6,""),"")</f>
        <v/>
      </c>
      <c r="Q43" s="259">
        <f t="shared" si="7"/>
        <v>0</v>
      </c>
      <c r="R43" s="259">
        <f t="shared" si="8"/>
        <v>0</v>
      </c>
      <c r="T43" s="180">
        <f t="shared" si="1"/>
        <v>6.0585734829080629</v>
      </c>
      <c r="U43" s="180">
        <f t="shared" si="2"/>
        <v>0</v>
      </c>
      <c r="V43" s="177"/>
      <c r="X43" s="180">
        <f t="shared" si="3"/>
        <v>6.0585734829080629</v>
      </c>
      <c r="Y43" s="180">
        <f t="shared" si="4"/>
        <v>0</v>
      </c>
    </row>
    <row r="44" spans="1:25" ht="15.6" x14ac:dyDescent="0.3">
      <c r="A44" s="152">
        <v>2032</v>
      </c>
      <c r="B44" s="178">
        <f t="shared" si="0"/>
        <v>0</v>
      </c>
      <c r="C44" s="182">
        <f t="shared" si="9"/>
        <v>0</v>
      </c>
      <c r="D44" s="183"/>
      <c r="E44" s="179">
        <f t="shared" si="5"/>
        <v>9834.039532511264</v>
      </c>
      <c r="F44" s="183">
        <f t="shared" si="10"/>
        <v>1275.6117157589069</v>
      </c>
      <c r="G44" s="247">
        <f t="shared" si="6"/>
        <v>0.5152735126117417</v>
      </c>
      <c r="H44" s="246"/>
      <c r="J44" s="182"/>
      <c r="K44" s="182"/>
      <c r="L44" s="182"/>
      <c r="M44" s="182"/>
      <c r="N44" s="163"/>
      <c r="O44" s="259">
        <f>IF($O$24="Y",IFERROR(E44*$O$16*'Emissions Factors'!B29,""),"")</f>
        <v>6.9246125058315586</v>
      </c>
      <c r="P44" s="259" t="str">
        <f>IF($P$24="Y",IFERROR($E44*(SUM($E$3,$E$4,$E$5)/SUMIF($G$3:$G$14,"Y",$E$3:$E$14))*('Emissions Factors'!$T$143*$P$16)/10^6,""),"")</f>
        <v/>
      </c>
      <c r="Q44" s="259">
        <f t="shared" si="7"/>
        <v>0</v>
      </c>
      <c r="R44" s="259">
        <f t="shared" si="8"/>
        <v>0</v>
      </c>
      <c r="T44" s="180">
        <f t="shared" si="1"/>
        <v>6.9246125058315586</v>
      </c>
      <c r="U44" s="180">
        <f t="shared" si="2"/>
        <v>0</v>
      </c>
      <c r="V44" s="177"/>
      <c r="X44" s="180">
        <f t="shared" si="3"/>
        <v>6.9246125058315586</v>
      </c>
      <c r="Y44" s="180">
        <f t="shared" si="4"/>
        <v>0</v>
      </c>
    </row>
    <row r="45" spans="1:25" ht="15.6" x14ac:dyDescent="0.3">
      <c r="A45" s="152">
        <v>2033</v>
      </c>
      <c r="B45" s="178">
        <f t="shared" si="0"/>
        <v>0</v>
      </c>
      <c r="C45" s="182">
        <f t="shared" si="9"/>
        <v>0</v>
      </c>
      <c r="D45" s="183"/>
      <c r="E45" s="179">
        <f t="shared" si="5"/>
        <v>11178.379590192175</v>
      </c>
      <c r="F45" s="183">
        <f t="shared" si="10"/>
        <v>1344.3400576809108</v>
      </c>
      <c r="G45" s="247">
        <f t="shared" si="6"/>
        <v>0.51408530831313259</v>
      </c>
      <c r="H45" s="246"/>
      <c r="J45" s="182"/>
      <c r="K45" s="182"/>
      <c r="L45" s="182"/>
      <c r="M45" s="182"/>
      <c r="N45" s="163"/>
      <c r="O45" s="259">
        <f>IF($O$24="Y",IFERROR(E45*$O$16*'Emissions Factors'!B30,""),"")</f>
        <v>7.8295404964150253</v>
      </c>
      <c r="P45" s="259" t="str">
        <f>IF($P$24="Y",IFERROR($E45*(SUM($E$3,$E$4,$E$5)/SUMIF($G$3:$G$14,"Y",$E$3:$E$14))*('Emissions Factors'!$T$143*$P$16)/10^6,""),"")</f>
        <v/>
      </c>
      <c r="Q45" s="259">
        <f t="shared" si="7"/>
        <v>0</v>
      </c>
      <c r="R45" s="259">
        <f t="shared" si="8"/>
        <v>0</v>
      </c>
      <c r="T45" s="180">
        <f t="shared" si="1"/>
        <v>7.8295404964150253</v>
      </c>
      <c r="U45" s="180">
        <f t="shared" si="2"/>
        <v>0</v>
      </c>
      <c r="V45" s="177"/>
      <c r="X45" s="180">
        <f t="shared" si="3"/>
        <v>7.8295404964150253</v>
      </c>
      <c r="Y45" s="180">
        <f t="shared" si="4"/>
        <v>0</v>
      </c>
    </row>
    <row r="46" spans="1:25" ht="15.6" x14ac:dyDescent="0.3">
      <c r="A46" s="152">
        <v>2034</v>
      </c>
      <c r="B46" s="178">
        <f t="shared" si="0"/>
        <v>0</v>
      </c>
      <c r="C46" s="182">
        <f t="shared" si="9"/>
        <v>0</v>
      </c>
      <c r="D46" s="183"/>
      <c r="E46" s="179">
        <f t="shared" si="5"/>
        <v>12574.357073744603</v>
      </c>
      <c r="F46" s="183">
        <f t="shared" si="10"/>
        <v>1395.9774835524277</v>
      </c>
      <c r="G46" s="247">
        <f t="shared" si="6"/>
        <v>0.51295542748646861</v>
      </c>
      <c r="H46" s="246"/>
      <c r="J46" s="182"/>
      <c r="K46" s="182"/>
      <c r="L46" s="182"/>
      <c r="M46" s="182"/>
      <c r="N46" s="163"/>
      <c r="O46" s="259">
        <f>IF($O$24="Y",IFERROR(E46*$O$16*'Emissions Factors'!B31,""),"")</f>
        <v>8.7607352658808644</v>
      </c>
      <c r="P46" s="259" t="str">
        <f>IF($P$24="Y",IFERROR($E46*(SUM($E$3,$E$4,$E$5)/SUMIF($G$3:$G$14,"Y",$E$3:$E$14))*('Emissions Factors'!$T$143*$P$16)/10^6,""),"")</f>
        <v/>
      </c>
      <c r="Q46" s="259">
        <f t="shared" si="7"/>
        <v>0</v>
      </c>
      <c r="R46" s="259">
        <f t="shared" si="8"/>
        <v>0</v>
      </c>
      <c r="T46" s="180">
        <f t="shared" si="1"/>
        <v>8.7607352658808644</v>
      </c>
      <c r="U46" s="180">
        <f t="shared" si="2"/>
        <v>0</v>
      </c>
      <c r="V46" s="177"/>
      <c r="X46" s="180">
        <f t="shared" si="3"/>
        <v>8.7607352658808644</v>
      </c>
      <c r="Y46" s="180">
        <f t="shared" si="4"/>
        <v>0</v>
      </c>
    </row>
    <row r="47" spans="1:25" ht="15.6" x14ac:dyDescent="0.3">
      <c r="A47" s="152">
        <v>2035</v>
      </c>
      <c r="B47" s="178">
        <f t="shared" si="0"/>
        <v>0</v>
      </c>
      <c r="C47" s="182">
        <f t="shared" si="9"/>
        <v>0</v>
      </c>
      <c r="D47" s="183"/>
      <c r="E47" s="179">
        <f t="shared" si="5"/>
        <v>14008.962193373836</v>
      </c>
      <c r="F47" s="183">
        <f t="shared" si="10"/>
        <v>1434.6051196292337</v>
      </c>
      <c r="G47" s="247">
        <f t="shared" si="6"/>
        <v>0.51187759565015978</v>
      </c>
      <c r="H47" s="246"/>
      <c r="J47" s="182"/>
      <c r="K47" s="182"/>
      <c r="L47" s="182"/>
      <c r="M47" s="182"/>
      <c r="N47" s="163"/>
      <c r="O47" s="259">
        <f>IF($O$24="Y",IFERROR(E47*$O$16*'Emissions Factors'!B32,""),"")</f>
        <v>9.707217598849164</v>
      </c>
      <c r="P47" s="259" t="str">
        <f>IF($P$24="Y",IFERROR($E47*(SUM($E$3,$E$4,$E$5)/SUMIF($G$3:$G$14,"Y",$E$3:$E$14))*('Emissions Factors'!$T$143*$P$16)/10^6,""),"")</f>
        <v/>
      </c>
      <c r="Q47" s="259">
        <f t="shared" si="7"/>
        <v>0</v>
      </c>
      <c r="R47" s="259">
        <f t="shared" si="8"/>
        <v>0</v>
      </c>
      <c r="T47" s="180">
        <f t="shared" si="1"/>
        <v>9.707217598849164</v>
      </c>
      <c r="U47" s="180">
        <f t="shared" si="2"/>
        <v>0</v>
      </c>
      <c r="V47" s="177"/>
      <c r="X47" s="180">
        <f t="shared" si="3"/>
        <v>9.707217598849164</v>
      </c>
      <c r="Y47" s="180">
        <f t="shared" si="4"/>
        <v>0</v>
      </c>
    </row>
    <row r="48" spans="1:25" ht="15.6" x14ac:dyDescent="0.3">
      <c r="A48" s="152">
        <v>2036</v>
      </c>
      <c r="B48" s="178">
        <f t="shared" si="0"/>
        <v>0</v>
      </c>
      <c r="C48" s="182">
        <f t="shared" si="9"/>
        <v>0</v>
      </c>
      <c r="D48" s="183"/>
      <c r="E48" s="179">
        <f t="shared" si="5"/>
        <v>15476.133000267504</v>
      </c>
      <c r="F48" s="183">
        <f t="shared" si="10"/>
        <v>1467.1708068936678</v>
      </c>
      <c r="G48" s="247">
        <f t="shared" si="6"/>
        <v>0.51081688518354951</v>
      </c>
      <c r="H48" s="246"/>
      <c r="J48" s="182"/>
      <c r="K48" s="182"/>
      <c r="L48" s="182"/>
      <c r="M48" s="182"/>
      <c r="N48" s="163"/>
      <c r="O48" s="259">
        <f>IF($O$24="Y",IFERROR(E48*$O$16*'Emissions Factors'!B33,""),"")</f>
        <v>10.668314780685856</v>
      </c>
      <c r="P48" s="259" t="str">
        <f>IF($P$24="Y",IFERROR($E48*(SUM($E$3,$E$4,$E$5)/SUMIF($G$3:$G$14,"Y",$E$3:$E$14))*('Emissions Factors'!$T$143*$P$16)/10^6,""),"")</f>
        <v/>
      </c>
      <c r="Q48" s="259">
        <f t="shared" si="7"/>
        <v>0</v>
      </c>
      <c r="R48" s="259">
        <f t="shared" si="8"/>
        <v>0</v>
      </c>
      <c r="T48" s="180">
        <f t="shared" si="1"/>
        <v>10.668314780685856</v>
      </c>
      <c r="U48" s="180">
        <f t="shared" si="2"/>
        <v>0</v>
      </c>
      <c r="V48" s="177"/>
      <c r="X48" s="180">
        <f t="shared" si="3"/>
        <v>10.668314780685856</v>
      </c>
      <c r="Y48" s="180">
        <f t="shared" si="4"/>
        <v>0</v>
      </c>
    </row>
    <row r="49" spans="1:25" ht="15.6" x14ac:dyDescent="0.3">
      <c r="A49" s="152">
        <v>2037</v>
      </c>
      <c r="B49" s="178">
        <f t="shared" si="0"/>
        <v>0</v>
      </c>
      <c r="C49" s="182">
        <f t="shared" si="9"/>
        <v>0</v>
      </c>
      <c r="D49" s="183"/>
      <c r="E49" s="179">
        <f t="shared" si="5"/>
        <v>16978.356769946364</v>
      </c>
      <c r="F49" s="183">
        <f t="shared" si="10"/>
        <v>1502.2237696788598</v>
      </c>
      <c r="G49" s="247">
        <f t="shared" si="6"/>
        <v>0.5097327661575658</v>
      </c>
      <c r="H49" s="246"/>
      <c r="J49" s="182"/>
      <c r="K49" s="182"/>
      <c r="L49" s="182"/>
      <c r="M49" s="182"/>
      <c r="N49" s="163"/>
      <c r="O49" s="259">
        <f>IF($O$24="Y",IFERROR(E49*$O$16*'Emissions Factors'!B34,""),"")</f>
        <v>11.641451628570664</v>
      </c>
      <c r="P49" s="259" t="str">
        <f>IF($P$24="Y",IFERROR($E49*(SUM($E$3,$E$4,$E$5)/SUMIF($G$3:$G$14,"Y",$E$3:$E$14))*('Emissions Factors'!$T$143*$P$16)/10^6,""),"")</f>
        <v/>
      </c>
      <c r="Q49" s="259">
        <f t="shared" si="7"/>
        <v>0</v>
      </c>
      <c r="R49" s="259">
        <f t="shared" si="8"/>
        <v>0</v>
      </c>
      <c r="T49" s="180">
        <f t="shared" si="1"/>
        <v>11.641451628570664</v>
      </c>
      <c r="U49" s="180">
        <f t="shared" si="2"/>
        <v>0</v>
      </c>
      <c r="V49" s="177"/>
      <c r="X49" s="180">
        <f t="shared" si="3"/>
        <v>11.641451628570664</v>
      </c>
      <c r="Y49" s="180">
        <f t="shared" si="4"/>
        <v>0</v>
      </c>
    </row>
    <row r="50" spans="1:25" ht="15.6" x14ac:dyDescent="0.3">
      <c r="A50" s="152">
        <v>2038</v>
      </c>
      <c r="B50" s="178">
        <f t="shared" si="0"/>
        <v>0</v>
      </c>
      <c r="C50" s="182">
        <f t="shared" si="9"/>
        <v>0</v>
      </c>
      <c r="D50" s="183"/>
      <c r="E50" s="179">
        <f t="shared" si="5"/>
        <v>18522.022779967403</v>
      </c>
      <c r="F50" s="183">
        <f t="shared" si="10"/>
        <v>1543.6660100210393</v>
      </c>
      <c r="G50" s="247">
        <f t="shared" si="6"/>
        <v>0.50860334672835084</v>
      </c>
      <c r="H50" s="246"/>
      <c r="J50" s="182"/>
      <c r="K50" s="182"/>
      <c r="L50" s="182"/>
      <c r="M50" s="182"/>
      <c r="N50" s="163"/>
      <c r="O50" s="259">
        <f>IF($O$24="Y",IFERROR(E50*$O$16*'Emissions Factors'!B35,""),"")</f>
        <v>12.631874074616638</v>
      </c>
      <c r="P50" s="259" t="str">
        <f>IF($P$24="Y",IFERROR($E50*(SUM($E$3,$E$4,$E$5)/SUMIF($G$3:$G$14,"Y",$E$3:$E$14))*('Emissions Factors'!$T$143*$P$16)/10^6,""),"")</f>
        <v/>
      </c>
      <c r="Q50" s="259">
        <f t="shared" si="7"/>
        <v>0</v>
      </c>
      <c r="R50" s="259">
        <f t="shared" si="8"/>
        <v>0</v>
      </c>
      <c r="T50" s="180">
        <f t="shared" si="1"/>
        <v>12.631874074616638</v>
      </c>
      <c r="U50" s="180">
        <f t="shared" si="2"/>
        <v>0</v>
      </c>
      <c r="V50" s="177"/>
      <c r="X50" s="180">
        <f t="shared" si="3"/>
        <v>12.631874074616638</v>
      </c>
      <c r="Y50" s="180">
        <f t="shared" si="4"/>
        <v>0</v>
      </c>
    </row>
    <row r="51" spans="1:25" ht="15.6" x14ac:dyDescent="0.3">
      <c r="A51" s="152">
        <v>2039</v>
      </c>
      <c r="B51" s="178">
        <f t="shared" si="0"/>
        <v>0</v>
      </c>
      <c r="C51" s="182">
        <f t="shared" si="9"/>
        <v>0</v>
      </c>
      <c r="D51" s="183"/>
      <c r="E51" s="179">
        <f t="shared" si="5"/>
        <v>20118.544284235111</v>
      </c>
      <c r="F51" s="183">
        <f t="shared" si="10"/>
        <v>1596.5215042677082</v>
      </c>
      <c r="G51" s="247">
        <f t="shared" si="6"/>
        <v>0.50741135775909518</v>
      </c>
      <c r="H51" s="246"/>
      <c r="J51" s="182"/>
      <c r="K51" s="182"/>
      <c r="L51" s="182"/>
      <c r="M51" s="182"/>
      <c r="N51" s="163"/>
      <c r="O51" s="259">
        <f>IF($O$24="Y",IFERROR(E51*$O$16*'Emissions Factors'!B36,""),"")</f>
        <v>13.64644631726968</v>
      </c>
      <c r="P51" s="259" t="str">
        <f>IF($P$24="Y",IFERROR($E51*(SUM($E$3,$E$4,$E$5)/SUMIF($G$3:$G$14,"Y",$E$3:$E$14))*('Emissions Factors'!$T$143*$P$16)/10^6,""),"")</f>
        <v/>
      </c>
      <c r="Q51" s="259">
        <f t="shared" si="7"/>
        <v>0</v>
      </c>
      <c r="R51" s="259">
        <f t="shared" si="8"/>
        <v>0</v>
      </c>
      <c r="T51" s="180">
        <f t="shared" si="1"/>
        <v>13.64644631726968</v>
      </c>
      <c r="U51" s="180">
        <f t="shared" si="2"/>
        <v>0</v>
      </c>
      <c r="V51" s="177"/>
      <c r="X51" s="180">
        <f t="shared" si="3"/>
        <v>13.64644631726968</v>
      </c>
      <c r="Y51" s="180">
        <f t="shared" si="4"/>
        <v>0</v>
      </c>
    </row>
    <row r="52" spans="1:25" ht="15.6" x14ac:dyDescent="0.3">
      <c r="A52" s="152">
        <v>2040</v>
      </c>
      <c r="B52" s="178">
        <f t="shared" si="0"/>
        <v>0</v>
      </c>
      <c r="C52" s="182">
        <f t="shared" si="9"/>
        <v>0</v>
      </c>
      <c r="D52" s="183"/>
      <c r="E52" s="179">
        <f t="shared" si="5"/>
        <v>21777.944504099803</v>
      </c>
      <c r="F52" s="183">
        <f t="shared" si="10"/>
        <v>1659.4002198646922</v>
      </c>
      <c r="G52" s="247">
        <f t="shared" si="6"/>
        <v>0.50614600634097284</v>
      </c>
      <c r="H52" s="246"/>
      <c r="J52" s="182"/>
      <c r="K52" s="182"/>
      <c r="L52" s="182"/>
      <c r="M52" s="182"/>
      <c r="N52" s="163"/>
      <c r="O52" s="259">
        <f>IF($O$24="Y",IFERROR(E52*$O$16*'Emissions Factors'!B37,""),"")</f>
        <v>14.685762721284275</v>
      </c>
      <c r="P52" s="259" t="str">
        <f>IF($P$24="Y",IFERROR($E52*(SUM($E$3,$E$4,$E$5)/SUMIF($G$3:$G$14,"Y",$E$3:$E$14))*('Emissions Factors'!$T$143*$P$16)/10^6,""),"")</f>
        <v/>
      </c>
      <c r="Q52" s="259">
        <f t="shared" si="7"/>
        <v>0</v>
      </c>
      <c r="R52" s="259">
        <f t="shared" si="8"/>
        <v>0</v>
      </c>
      <c r="T52" s="180">
        <f t="shared" si="1"/>
        <v>14.685762721284275</v>
      </c>
      <c r="U52" s="180">
        <f t="shared" si="2"/>
        <v>0</v>
      </c>
      <c r="V52" s="177"/>
      <c r="X52" s="180">
        <f t="shared" si="3"/>
        <v>14.685762721284275</v>
      </c>
      <c r="Y52" s="180">
        <f t="shared" si="4"/>
        <v>0</v>
      </c>
    </row>
    <row r="53" spans="1:25" ht="15.6" x14ac:dyDescent="0.3">
      <c r="A53" s="152">
        <v>2041</v>
      </c>
      <c r="B53" s="178">
        <f t="shared" si="0"/>
        <v>0</v>
      </c>
      <c r="C53" s="182">
        <f t="shared" si="9"/>
        <v>0</v>
      </c>
      <c r="D53" s="183"/>
      <c r="E53" s="179">
        <f t="shared" si="5"/>
        <v>23503.583980578147</v>
      </c>
      <c r="F53" s="183">
        <f t="shared" si="10"/>
        <v>1725.6394764783436</v>
      </c>
      <c r="G53" s="247">
        <f t="shared" si="6"/>
        <v>0.5048100778996063</v>
      </c>
      <c r="H53" s="246"/>
      <c r="J53" s="182"/>
      <c r="K53" s="182"/>
      <c r="L53" s="182"/>
      <c r="M53" s="182"/>
      <c r="N53" s="163"/>
      <c r="O53" s="259">
        <f>IF($O$24="Y",IFERROR(E53*$O$16*'Emissions Factors'!B38,""),"")</f>
        <v>15.768969200717276</v>
      </c>
      <c r="P53" s="259" t="str">
        <f>IF($P$24="Y",IFERROR($E53*(SUM($E$3,$E$4,$E$5)/SUMIF($G$3:$G$14,"Y",$E$3:$E$14))*('Emissions Factors'!$T$143*$P$16)/10^6,""),"")</f>
        <v/>
      </c>
      <c r="Q53" s="259">
        <f t="shared" si="7"/>
        <v>0</v>
      </c>
      <c r="R53" s="259">
        <f t="shared" si="8"/>
        <v>0</v>
      </c>
      <c r="T53" s="180">
        <f t="shared" si="1"/>
        <v>15.768969200717276</v>
      </c>
      <c r="U53" s="180">
        <f t="shared" si="2"/>
        <v>0</v>
      </c>
      <c r="V53" s="177"/>
      <c r="X53" s="180">
        <f t="shared" si="3"/>
        <v>15.768969200717276</v>
      </c>
      <c r="Y53" s="180">
        <f t="shared" si="4"/>
        <v>0</v>
      </c>
    </row>
    <row r="54" spans="1:25" ht="15.6" x14ac:dyDescent="0.3">
      <c r="A54" s="152">
        <v>2042</v>
      </c>
      <c r="B54" s="178">
        <f t="shared" si="0"/>
        <v>0</v>
      </c>
      <c r="C54" s="182">
        <f t="shared" si="9"/>
        <v>0</v>
      </c>
      <c r="D54" s="183"/>
      <c r="E54" s="179">
        <f t="shared" si="5"/>
        <v>25296.573568174877</v>
      </c>
      <c r="F54" s="183">
        <f t="shared" si="10"/>
        <v>1792.9895875967304</v>
      </c>
      <c r="G54" s="247">
        <f t="shared" si="6"/>
        <v>0.50339808989338153</v>
      </c>
      <c r="H54" s="246"/>
      <c r="J54" s="182"/>
      <c r="K54" s="182"/>
      <c r="L54" s="182"/>
      <c r="M54" s="182"/>
      <c r="N54" s="163"/>
      <c r="O54" s="259">
        <f>IF($O$24="Y",IFERROR(E54*$O$16*'Emissions Factors'!B39,""),"")</f>
        <v>16.878200410031042</v>
      </c>
      <c r="P54" s="259" t="str">
        <f>IF($P$24="Y",IFERROR($E54*(SUM($E$3,$E$4,$E$5)/SUMIF($G$3:$G$14,"Y",$E$3:$E$14))*('Emissions Factors'!$T$143*$P$16)/10^6,""),"")</f>
        <v/>
      </c>
      <c r="Q54" s="259">
        <f t="shared" si="7"/>
        <v>0</v>
      </c>
      <c r="R54" s="259">
        <f t="shared" si="8"/>
        <v>0</v>
      </c>
      <c r="T54" s="180">
        <f t="shared" si="1"/>
        <v>16.878200410031042</v>
      </c>
      <c r="U54" s="180">
        <f t="shared" si="2"/>
        <v>0</v>
      </c>
      <c r="V54" s="177"/>
      <c r="X54" s="180">
        <f t="shared" si="3"/>
        <v>16.878200410031042</v>
      </c>
      <c r="Y54" s="180">
        <f t="shared" si="4"/>
        <v>0</v>
      </c>
    </row>
    <row r="55" spans="1:25" ht="15.6" x14ac:dyDescent="0.3">
      <c r="A55" s="152">
        <v>2043</v>
      </c>
      <c r="B55" s="178">
        <f t="shared" si="0"/>
        <v>0</v>
      </c>
      <c r="C55" s="182">
        <f t="shared" si="9"/>
        <v>0</v>
      </c>
      <c r="D55" s="183"/>
      <c r="E55" s="179">
        <f t="shared" si="5"/>
        <v>27163.276559806545</v>
      </c>
      <c r="F55" s="183">
        <f t="shared" si="10"/>
        <v>1866.7029916316678</v>
      </c>
      <c r="G55" s="247">
        <f t="shared" si="6"/>
        <v>0.50189081707535188</v>
      </c>
      <c r="H55" s="246"/>
      <c r="J55" s="182"/>
      <c r="K55" s="182"/>
      <c r="L55" s="182"/>
      <c r="M55" s="182"/>
      <c r="N55" s="163"/>
      <c r="O55" s="259">
        <f>IF($O$24="Y",IFERROR(E55*$O$16*'Emissions Factors'!B40,""),"")</f>
        <v>18.022571817089283</v>
      </c>
      <c r="P55" s="259" t="str">
        <f>IF($P$24="Y",IFERROR($E55*(SUM($E$3,$E$4,$E$5)/SUMIF($G$3:$G$14,"Y",$E$3:$E$14))*('Emissions Factors'!$T$143*$P$16)/10^6,""),"")</f>
        <v/>
      </c>
      <c r="Q55" s="259">
        <f t="shared" si="7"/>
        <v>0</v>
      </c>
      <c r="R55" s="259">
        <f t="shared" si="8"/>
        <v>0</v>
      </c>
      <c r="T55" s="180">
        <f t="shared" si="1"/>
        <v>18.022571817089283</v>
      </c>
      <c r="U55" s="180">
        <f t="shared" si="2"/>
        <v>0</v>
      </c>
      <c r="V55" s="177"/>
      <c r="X55" s="180">
        <f t="shared" si="3"/>
        <v>18.022571817089283</v>
      </c>
      <c r="Y55" s="180">
        <f t="shared" si="4"/>
        <v>0</v>
      </c>
    </row>
    <row r="56" spans="1:25" ht="15.6" x14ac:dyDescent="0.3">
      <c r="A56" s="152">
        <v>2044</v>
      </c>
      <c r="B56" s="178">
        <f t="shared" si="0"/>
        <v>0</v>
      </c>
      <c r="C56" s="182">
        <f t="shared" si="9"/>
        <v>0</v>
      </c>
      <c r="D56" s="183"/>
      <c r="E56" s="179">
        <f t="shared" si="5"/>
        <v>29110.864222760152</v>
      </c>
      <c r="F56" s="183">
        <f t="shared" si="10"/>
        <v>1947.5876629536069</v>
      </c>
      <c r="G56" s="247">
        <f t="shared" si="6"/>
        <v>0.50026766842242187</v>
      </c>
      <c r="H56" s="246"/>
      <c r="J56" s="182"/>
      <c r="K56" s="182"/>
      <c r="L56" s="182"/>
      <c r="M56" s="182"/>
      <c r="N56" s="163"/>
      <c r="O56" s="259">
        <f>IF($O$24="Y",IFERROR(E56*$O$16*'Emissions Factors'!B41,""),"")</f>
        <v>19.205777543569617</v>
      </c>
      <c r="P56" s="259" t="str">
        <f>IF($P$24="Y",IFERROR($E56*(SUM($E$3,$E$4,$E$5)/SUMIF($G$3:$G$14,"Y",$E$3:$E$14))*('Emissions Factors'!$T$143*$P$16)/10^6,""),"")</f>
        <v/>
      </c>
      <c r="Q56" s="259">
        <f t="shared" si="7"/>
        <v>0</v>
      </c>
      <c r="R56" s="259">
        <f t="shared" si="8"/>
        <v>0</v>
      </c>
      <c r="T56" s="180">
        <f t="shared" si="1"/>
        <v>19.205777543569617</v>
      </c>
      <c r="U56" s="180">
        <f t="shared" si="2"/>
        <v>0</v>
      </c>
      <c r="V56" s="177"/>
      <c r="X56" s="180">
        <f t="shared" si="3"/>
        <v>19.205777543569617</v>
      </c>
      <c r="Y56" s="180">
        <f t="shared" si="4"/>
        <v>0</v>
      </c>
    </row>
    <row r="57" spans="1:25" ht="15.6" x14ac:dyDescent="0.3">
      <c r="A57" s="152">
        <v>2045</v>
      </c>
      <c r="B57" s="178">
        <f t="shared" si="0"/>
        <v>0</v>
      </c>
      <c r="C57" s="182">
        <f t="shared" si="9"/>
        <v>0</v>
      </c>
      <c r="D57" s="183"/>
      <c r="E57" s="179">
        <f t="shared" si="5"/>
        <v>31146.402814938319</v>
      </c>
      <c r="F57" s="183">
        <f t="shared" si="10"/>
        <v>2035.5385921781672</v>
      </c>
      <c r="G57" s="247">
        <f t="shared" si="6"/>
        <v>0.4985221683862659</v>
      </c>
      <c r="H57" s="246"/>
      <c r="J57" s="182"/>
      <c r="K57" s="182"/>
      <c r="L57" s="182"/>
      <c r="M57" s="182"/>
      <c r="N57" s="163"/>
      <c r="O57" s="259">
        <f>IF($O$24="Y",IFERROR(E57*$O$16*'Emissions Factors'!B42,""),"")</f>
        <v>20.427101097099868</v>
      </c>
      <c r="P57" s="259" t="str">
        <f>IF($P$24="Y",IFERROR($E57*(SUM($E$3,$E$4,$E$5)/SUMIF($G$3:$G$14,"Y",$E$3:$E$14))*('Emissions Factors'!$T$143*$P$16)/10^6,""),"")</f>
        <v/>
      </c>
      <c r="Q57" s="259">
        <f t="shared" si="7"/>
        <v>0</v>
      </c>
      <c r="R57" s="259">
        <f t="shared" si="8"/>
        <v>0</v>
      </c>
      <c r="T57" s="180">
        <f t="shared" si="1"/>
        <v>20.427101097099868</v>
      </c>
      <c r="U57" s="180">
        <f t="shared" si="2"/>
        <v>0</v>
      </c>
      <c r="V57" s="177"/>
      <c r="X57" s="180">
        <f t="shared" si="3"/>
        <v>20.427101097099868</v>
      </c>
      <c r="Y57" s="180">
        <f t="shared" si="4"/>
        <v>0</v>
      </c>
    </row>
    <row r="58" spans="1:25" ht="15.6" x14ac:dyDescent="0.3">
      <c r="A58" s="152">
        <v>2046</v>
      </c>
      <c r="B58" s="178">
        <f t="shared" si="0"/>
        <v>0</v>
      </c>
      <c r="C58" s="182">
        <f t="shared" si="9"/>
        <v>0</v>
      </c>
      <c r="D58" s="183"/>
      <c r="E58" s="179">
        <f t="shared" si="5"/>
        <v>33275.493724801119</v>
      </c>
      <c r="F58" s="183">
        <f t="shared" si="10"/>
        <v>2129.0909098627999</v>
      </c>
      <c r="G58" s="247">
        <f t="shared" si="6"/>
        <v>0.49666654153452772</v>
      </c>
      <c r="H58" s="246"/>
      <c r="J58" s="182"/>
      <c r="K58" s="182"/>
      <c r="L58" s="182"/>
      <c r="M58" s="182"/>
      <c r="N58" s="163"/>
      <c r="O58" s="259">
        <f>IF($O$24="Y",IFERROR(E58*$O$16*'Emissions Factors'!B43,""),"")</f>
        <v>21.701510760989795</v>
      </c>
      <c r="P58" s="259" t="str">
        <f>IF($P$24="Y",IFERROR($E58*(SUM($E$3,$E$4,$E$5)/SUMIF($G$3:$G$14,"Y",$E$3:$E$14))*('Emissions Factors'!$T$143*$P$16)/10^6,""),"")</f>
        <v/>
      </c>
      <c r="Q58" s="259">
        <f t="shared" si="7"/>
        <v>0</v>
      </c>
      <c r="R58" s="259">
        <f t="shared" si="8"/>
        <v>0</v>
      </c>
      <c r="T58" s="180">
        <f t="shared" si="1"/>
        <v>21.701510760989795</v>
      </c>
      <c r="U58" s="180">
        <f t="shared" si="2"/>
        <v>0</v>
      </c>
      <c r="V58" s="177"/>
      <c r="X58" s="180">
        <f t="shared" si="3"/>
        <v>21.701510760989795</v>
      </c>
      <c r="Y58" s="180">
        <f t="shared" si="4"/>
        <v>0</v>
      </c>
    </row>
    <row r="59" spans="1:25" ht="15.6" x14ac:dyDescent="0.3">
      <c r="A59" s="152">
        <v>2047</v>
      </c>
      <c r="B59" s="178">
        <f t="shared" si="0"/>
        <v>0</v>
      </c>
      <c r="C59" s="182">
        <f t="shared" si="9"/>
        <v>0</v>
      </c>
      <c r="D59" s="183"/>
      <c r="E59" s="179">
        <f t="shared" si="5"/>
        <v>35503.753231984556</v>
      </c>
      <c r="F59" s="183">
        <f t="shared" si="10"/>
        <v>2228.2595071834367</v>
      </c>
      <c r="G59" s="247">
        <f t="shared" si="6"/>
        <v>0.4947185323634089</v>
      </c>
      <c r="H59" s="246"/>
      <c r="J59" s="182"/>
      <c r="K59" s="182"/>
      <c r="L59" s="182"/>
      <c r="M59" s="182"/>
      <c r="N59" s="163"/>
      <c r="O59" s="259">
        <f>IF($O$24="Y",IFERROR(E59*$O$16*'Emissions Factors'!B44,""),"")</f>
        <v>23.018672837520196</v>
      </c>
      <c r="P59" s="259" t="str">
        <f>IF($P$24="Y",IFERROR($E59*(SUM($E$3,$E$4,$E$5)/SUMIF($G$3:$G$14,"Y",$E$3:$E$14))*('Emissions Factors'!$T$143*$P$16)/10^6,""),"")</f>
        <v/>
      </c>
      <c r="Q59" s="259">
        <f t="shared" si="7"/>
        <v>0</v>
      </c>
      <c r="R59" s="259">
        <f t="shared" si="8"/>
        <v>0</v>
      </c>
      <c r="T59" s="180">
        <f t="shared" si="1"/>
        <v>23.018672837520196</v>
      </c>
      <c r="U59" s="180">
        <f t="shared" si="2"/>
        <v>0</v>
      </c>
      <c r="V59" s="177"/>
      <c r="X59" s="180">
        <f t="shared" si="3"/>
        <v>23.018672837520196</v>
      </c>
      <c r="Y59" s="180">
        <f t="shared" si="4"/>
        <v>0</v>
      </c>
    </row>
    <row r="60" spans="1:25" ht="15.6" x14ac:dyDescent="0.3">
      <c r="A60" s="152">
        <v>2048</v>
      </c>
      <c r="B60" s="178">
        <f t="shared" si="0"/>
        <v>0</v>
      </c>
      <c r="C60" s="182">
        <f t="shared" si="9"/>
        <v>0</v>
      </c>
      <c r="D60" s="183"/>
      <c r="E60" s="179">
        <f t="shared" si="5"/>
        <v>37838.447721575714</v>
      </c>
      <c r="F60" s="183">
        <f t="shared" si="10"/>
        <v>2334.6944895911583</v>
      </c>
      <c r="G60" s="247">
        <f t="shared" si="6"/>
        <v>0.49268749903084019</v>
      </c>
      <c r="H60" s="246"/>
      <c r="J60" s="182"/>
      <c r="K60" s="182"/>
      <c r="L60" s="182"/>
      <c r="M60" s="182"/>
      <c r="N60" s="163"/>
      <c r="O60" s="259">
        <f>IF($O$24="Y",IFERROR(E60*$O$16*'Emissions Factors'!B45,""),"")</f>
        <v>24.385969644287862</v>
      </c>
      <c r="P60" s="259" t="str">
        <f>IF($P$24="Y",IFERROR($E60*(SUM($E$3,$E$4,$E$5)/SUMIF($G$3:$G$14,"Y",$E$3:$E$14))*('Emissions Factors'!$T$143*$P$16)/10^6,""),"")</f>
        <v/>
      </c>
      <c r="Q60" s="259">
        <f t="shared" si="7"/>
        <v>0</v>
      </c>
      <c r="R60" s="259">
        <f t="shared" si="8"/>
        <v>0</v>
      </c>
      <c r="T60" s="180">
        <f t="shared" si="1"/>
        <v>24.385969644287862</v>
      </c>
      <c r="U60" s="180">
        <f t="shared" si="2"/>
        <v>0</v>
      </c>
      <c r="V60" s="177"/>
      <c r="X60" s="180">
        <f t="shared" si="3"/>
        <v>24.385969644287862</v>
      </c>
      <c r="Y60" s="180">
        <f t="shared" si="4"/>
        <v>0</v>
      </c>
    </row>
    <row r="61" spans="1:25" ht="15.6" x14ac:dyDescent="0.3">
      <c r="A61" s="152">
        <v>2049</v>
      </c>
      <c r="B61" s="178">
        <f t="shared" si="0"/>
        <v>0</v>
      </c>
      <c r="C61" s="182">
        <f t="shared" si="9"/>
        <v>0</v>
      </c>
      <c r="D61" s="183"/>
      <c r="E61" s="179">
        <f t="shared" si="5"/>
        <v>40287.446180232015</v>
      </c>
      <c r="F61" s="183">
        <f t="shared" si="10"/>
        <v>2448.9984586563005</v>
      </c>
      <c r="G61" s="247">
        <f t="shared" si="6"/>
        <v>0.49058486681639929</v>
      </c>
      <c r="H61" s="246"/>
      <c r="J61" s="182"/>
      <c r="K61" s="182"/>
      <c r="L61" s="182"/>
      <c r="M61" s="182"/>
      <c r="N61" s="163"/>
      <c r="O61" s="259">
        <f>IF($O$24="Y",IFERROR(E61*$O$16*'Emissions Factors'!B46,""),"")</f>
        <v>25.83046105658881</v>
      </c>
      <c r="P61" s="259" t="str">
        <f>IF($P$24="Y",IFERROR($E61*(SUM($E$3,$E$4,$E$5)/SUMIF($G$3:$G$14,"Y",$E$3:$E$14))*('Emissions Factors'!$T$143*$P$16)/10^6,""),"")</f>
        <v/>
      </c>
      <c r="Q61" s="259">
        <f t="shared" si="7"/>
        <v>0</v>
      </c>
      <c r="R61" s="259">
        <f t="shared" si="8"/>
        <v>0</v>
      </c>
      <c r="T61" s="180">
        <f t="shared" si="1"/>
        <v>25.83046105658881</v>
      </c>
      <c r="U61" s="180">
        <f t="shared" si="2"/>
        <v>0</v>
      </c>
      <c r="V61" s="177"/>
      <c r="X61" s="180">
        <f t="shared" si="3"/>
        <v>25.83046105658881</v>
      </c>
      <c r="Y61" s="180">
        <f t="shared" si="4"/>
        <v>0</v>
      </c>
    </row>
    <row r="62" spans="1:25" ht="15.6" x14ac:dyDescent="0.3">
      <c r="A62" s="152">
        <v>2050</v>
      </c>
      <c r="B62" s="178">
        <f t="shared" si="0"/>
        <v>0</v>
      </c>
      <c r="C62" s="182">
        <f t="shared" si="9"/>
        <v>0</v>
      </c>
      <c r="D62" s="183"/>
      <c r="E62" s="179">
        <f t="shared" si="5"/>
        <v>42858.187764049864</v>
      </c>
      <c r="F62" s="183">
        <f t="shared" si="10"/>
        <v>2570.7415838178495</v>
      </c>
      <c r="G62" s="247">
        <f t="shared" si="6"/>
        <v>0.48842469871492544</v>
      </c>
      <c r="H62" s="246"/>
      <c r="J62" s="182"/>
      <c r="K62" s="182"/>
      <c r="L62" s="182"/>
      <c r="M62" s="182"/>
      <c r="N62" s="163"/>
      <c r="O62" s="259">
        <f>IF($O$24="Y",IFERROR(E62*$O$16*'Emissions Factors'!B47,""),"")</f>
        <v>27.384205370059306</v>
      </c>
      <c r="P62" s="259" t="str">
        <f>IF($P$24="Y",IFERROR($E62*(SUM($E$3,$E$4,$E$5)/SUMIF($G$3:$G$14,"Y",$E$3:$E$14))*('Emissions Factors'!$T$143*$P$16)/10^6,""),"")</f>
        <v/>
      </c>
      <c r="Q62" s="259">
        <f t="shared" si="7"/>
        <v>0</v>
      </c>
      <c r="R62" s="259">
        <f t="shared" si="8"/>
        <v>0</v>
      </c>
      <c r="T62" s="180">
        <f t="shared" si="1"/>
        <v>27.384205370059306</v>
      </c>
      <c r="U62" s="180">
        <f t="shared" si="2"/>
        <v>0</v>
      </c>
      <c r="V62" s="177"/>
      <c r="X62" s="180">
        <f t="shared" si="3"/>
        <v>27.384205370059306</v>
      </c>
      <c r="Y62" s="180">
        <f t="shared" si="4"/>
        <v>0</v>
      </c>
    </row>
    <row r="63" spans="1:25" ht="15.6" x14ac:dyDescent="0.3">
      <c r="A63" s="152">
        <v>2051</v>
      </c>
      <c r="B63" s="178">
        <f t="shared" si="0"/>
        <v>0</v>
      </c>
      <c r="C63" s="182">
        <f t="shared" si="9"/>
        <v>0</v>
      </c>
      <c r="D63" s="183"/>
      <c r="E63" s="179">
        <f t="shared" si="5"/>
        <v>45557.032607833142</v>
      </c>
      <c r="F63" s="183">
        <f t="shared" si="10"/>
        <v>2698.8448437832776</v>
      </c>
      <c r="G63" s="247">
        <f t="shared" si="6"/>
        <v>0.48622057346641906</v>
      </c>
      <c r="H63" s="246"/>
      <c r="J63" s="182"/>
      <c r="K63" s="182"/>
      <c r="L63" s="182"/>
      <c r="M63" s="182"/>
      <c r="N63" s="163"/>
      <c r="O63" s="259">
        <f>IF($O$24="Y",IFERROR(E63*$O$16*'Emissions Factors'!B48,""),"")</f>
        <v>28.99737515441474</v>
      </c>
      <c r="P63" s="259" t="str">
        <f>IF($P$24="Y",IFERROR($E63*(SUM($E$3,$E$4,$E$5)/SUMIF($G$3:$G$14,"Y",$E$3:$E$14))*('Emissions Factors'!$T$143*$P$16)/10^6,""),"")</f>
        <v/>
      </c>
      <c r="Q63" s="259">
        <f t="shared" si="7"/>
        <v>0</v>
      </c>
      <c r="R63" s="259">
        <f t="shared" si="8"/>
        <v>0</v>
      </c>
      <c r="T63" s="180" t="str">
        <f t="shared" si="1"/>
        <v/>
      </c>
      <c r="U63" s="180" t="str">
        <f t="shared" si="2"/>
        <v/>
      </c>
      <c r="V63" s="177"/>
      <c r="X63" s="180">
        <f t="shared" si="3"/>
        <v>28.99737515441474</v>
      </c>
      <c r="Y63" s="180">
        <f t="shared" si="4"/>
        <v>0</v>
      </c>
    </row>
    <row r="64" spans="1:25" ht="15.6" x14ac:dyDescent="0.3">
      <c r="A64" s="152">
        <v>2052</v>
      </c>
      <c r="B64" s="178">
        <f t="shared" si="0"/>
        <v>0</v>
      </c>
      <c r="C64" s="182">
        <f t="shared" si="9"/>
        <v>0</v>
      </c>
      <c r="D64" s="183"/>
      <c r="E64" s="179">
        <f t="shared" si="5"/>
        <v>48389.634388778803</v>
      </c>
      <c r="F64" s="183">
        <f t="shared" si="10"/>
        <v>2832.6017809456607</v>
      </c>
      <c r="G64" s="247">
        <f t="shared" si="6"/>
        <v>0.48399037354000674</v>
      </c>
      <c r="H64" s="246"/>
      <c r="J64" s="182"/>
      <c r="K64" s="182"/>
      <c r="L64" s="182"/>
      <c r="M64" s="182"/>
      <c r="N64" s="163"/>
      <c r="O64" s="259">
        <f>IF($O$24="Y",IFERROR(E64*$O$16*'Emissions Factors'!B49,""),"")</f>
        <v>30.686612202626851</v>
      </c>
      <c r="P64" s="259" t="str">
        <f>IF($P$24="Y",IFERROR($E64*(SUM($E$3,$E$4,$E$5)/SUMIF($G$3:$G$14,"Y",$E$3:$E$14))*('Emissions Factors'!$T$143*$P$16)/10^6,""),"")</f>
        <v/>
      </c>
      <c r="Q64" s="259">
        <f t="shared" si="7"/>
        <v>0</v>
      </c>
      <c r="R64" s="259">
        <f t="shared" si="8"/>
        <v>0</v>
      </c>
      <c r="T64" s="180" t="str">
        <f t="shared" si="1"/>
        <v/>
      </c>
      <c r="U64" s="180" t="str">
        <f t="shared" si="2"/>
        <v/>
      </c>
      <c r="V64" s="177"/>
      <c r="X64" s="180">
        <f t="shared" si="3"/>
        <v>30.686612202626851</v>
      </c>
      <c r="Y64" s="180">
        <f t="shared" si="4"/>
        <v>0</v>
      </c>
    </row>
    <row r="65" spans="1:25" ht="15.6" x14ac:dyDescent="0.3">
      <c r="A65" s="152">
        <v>2053</v>
      </c>
      <c r="B65" s="178">
        <f t="shared" si="0"/>
        <v>0</v>
      </c>
      <c r="C65" s="182">
        <f t="shared" si="9"/>
        <v>0</v>
      </c>
      <c r="D65" s="183"/>
      <c r="E65" s="179">
        <f t="shared" si="5"/>
        <v>51362.017748848957</v>
      </c>
      <c r="F65" s="183">
        <f t="shared" si="10"/>
        <v>2972.3833600701546</v>
      </c>
      <c r="G65" s="247">
        <f t="shared" si="6"/>
        <v>0.48175765397879899</v>
      </c>
      <c r="H65" s="246"/>
      <c r="J65" s="182"/>
      <c r="K65" s="182"/>
      <c r="L65" s="182"/>
      <c r="M65" s="182"/>
      <c r="N65" s="163"/>
      <c r="O65" s="259">
        <f>IF($O$24="Y",IFERROR(E65*$O$16*'Emissions Factors'!B50,""),"")</f>
        <v>32.44831899851382</v>
      </c>
      <c r="P65" s="259" t="str">
        <f>IF($P$24="Y",IFERROR($E65*(SUM($E$3,$E$4,$E$5)/SUMIF($G$3:$G$14,"Y",$E$3:$E$14))*('Emissions Factors'!$T$143*$P$16)/10^6,""),"")</f>
        <v/>
      </c>
      <c r="Q65" s="259">
        <f t="shared" si="7"/>
        <v>0</v>
      </c>
      <c r="R65" s="259">
        <f t="shared" si="8"/>
        <v>0</v>
      </c>
      <c r="T65" s="180" t="str">
        <f t="shared" si="1"/>
        <v/>
      </c>
      <c r="U65" s="180" t="str">
        <f t="shared" si="2"/>
        <v/>
      </c>
      <c r="V65" s="177"/>
      <c r="X65" s="180">
        <f t="shared" si="3"/>
        <v>32.44831899851382</v>
      </c>
      <c r="Y65" s="180">
        <f t="shared" si="4"/>
        <v>0</v>
      </c>
    </row>
    <row r="66" spans="1:25" ht="15.6" x14ac:dyDescent="0.3">
      <c r="A66" s="152">
        <v>2054</v>
      </c>
      <c r="B66" s="178">
        <f t="shared" si="0"/>
        <v>0</v>
      </c>
      <c r="C66" s="182">
        <f t="shared" si="9"/>
        <v>0</v>
      </c>
      <c r="D66" s="183"/>
      <c r="E66" s="179">
        <f t="shared" si="5"/>
        <v>54479.86562368727</v>
      </c>
      <c r="F66" s="183">
        <f t="shared" si="10"/>
        <v>3117.8478748383131</v>
      </c>
      <c r="G66" s="247">
        <f t="shared" si="6"/>
        <v>0.47954600202702752</v>
      </c>
      <c r="H66" s="246"/>
      <c r="J66" s="182"/>
      <c r="K66" s="182"/>
      <c r="L66" s="182"/>
      <c r="M66" s="182"/>
      <c r="N66" s="163"/>
      <c r="O66" s="259">
        <f>IF($O$24="Y",IFERROR(E66*$O$16*'Emissions Factors'!B51,""),"")</f>
        <v>34.284491346518138</v>
      </c>
      <c r="P66" s="259" t="str">
        <f>IF($P$24="Y",IFERROR($E66*(SUM($E$3,$E$4,$E$5)/SUMIF($G$3:$G$14,"Y",$E$3:$E$14))*('Emissions Factors'!$T$143*$P$16)/10^6,""),"")</f>
        <v/>
      </c>
      <c r="Q66" s="259">
        <f t="shared" si="7"/>
        <v>0</v>
      </c>
      <c r="R66" s="259">
        <f t="shared" si="8"/>
        <v>0</v>
      </c>
      <c r="T66" s="180" t="str">
        <f t="shared" si="1"/>
        <v/>
      </c>
      <c r="U66" s="180" t="str">
        <f t="shared" si="2"/>
        <v/>
      </c>
      <c r="V66" s="177"/>
      <c r="X66" s="180">
        <f t="shared" si="3"/>
        <v>34.284491346518138</v>
      </c>
      <c r="Y66" s="180">
        <f t="shared" si="4"/>
        <v>0</v>
      </c>
    </row>
    <row r="67" spans="1:25" ht="15.6" x14ac:dyDescent="0.3">
      <c r="A67" s="152">
        <v>2055</v>
      </c>
      <c r="B67" s="178">
        <f t="shared" si="0"/>
        <v>0</v>
      </c>
      <c r="C67" s="182">
        <f t="shared" si="9"/>
        <v>0</v>
      </c>
      <c r="D67" s="183"/>
      <c r="E67" s="179">
        <f t="shared" si="5"/>
        <v>57748.702674043321</v>
      </c>
      <c r="F67" s="183">
        <f t="shared" si="10"/>
        <v>3268.8370503560509</v>
      </c>
      <c r="G67" s="247">
        <f t="shared" si="6"/>
        <v>0.4773735604788843</v>
      </c>
      <c r="H67" s="246"/>
      <c r="J67" s="182"/>
      <c r="K67" s="182"/>
      <c r="L67" s="182"/>
      <c r="M67" s="182"/>
      <c r="N67" s="163"/>
      <c r="O67" s="259">
        <f>IF($O$24="Y",IFERROR(E67*$O$16*'Emissions Factors'!B52,""),"")</f>
        <v>36.193889443396657</v>
      </c>
      <c r="P67" s="259" t="str">
        <f>IF($P$24="Y",IFERROR($E67*(SUM($E$3,$E$4,$E$5)/SUMIF($G$3:$G$14,"Y",$E$3:$E$14))*('Emissions Factors'!$T$143*$P$16)/10^6,""),"")</f>
        <v/>
      </c>
      <c r="Q67" s="259">
        <f t="shared" si="7"/>
        <v>0</v>
      </c>
      <c r="R67" s="259">
        <f t="shared" si="8"/>
        <v>0</v>
      </c>
      <c r="T67" s="180" t="str">
        <f t="shared" si="1"/>
        <v/>
      </c>
      <c r="U67" s="180" t="str">
        <f t="shared" si="2"/>
        <v/>
      </c>
      <c r="V67" s="177"/>
      <c r="X67" s="180">
        <f t="shared" si="3"/>
        <v>36.193889443396657</v>
      </c>
      <c r="Y67" s="180">
        <f t="shared" si="4"/>
        <v>0</v>
      </c>
    </row>
    <row r="68" spans="1:25" ht="15.6" x14ac:dyDescent="0.3">
      <c r="A68" s="152">
        <v>2056</v>
      </c>
      <c r="B68" s="178">
        <f t="shared" si="0"/>
        <v>0</v>
      </c>
      <c r="C68" s="182">
        <f t="shared" si="9"/>
        <v>0</v>
      </c>
      <c r="D68" s="183"/>
      <c r="E68" s="179">
        <f t="shared" si="5"/>
        <v>61174.503551405309</v>
      </c>
      <c r="F68" s="183">
        <f t="shared" si="10"/>
        <v>3425.8008773619877</v>
      </c>
      <c r="G68" s="247">
        <f t="shared" si="6"/>
        <v>0.47524697485363709</v>
      </c>
      <c r="H68" s="246"/>
      <c r="J68" s="182"/>
      <c r="K68" s="182"/>
      <c r="L68" s="182"/>
      <c r="M68" s="182"/>
      <c r="N68" s="163"/>
      <c r="O68" s="259">
        <f>IF($O$24="Y",IFERROR(E68*$O$16*'Emissions Factors'!B53,""),"")</f>
        <v>38.187484756898421</v>
      </c>
      <c r="P68" s="259" t="str">
        <f>IF($P$24="Y",IFERROR($E68*(SUM($E$3,$E$4,$E$5)/SUMIF($G$3:$G$14,"Y",$E$3:$E$14))*('Emissions Factors'!$T$143*$P$16)/10^6,""),"")</f>
        <v/>
      </c>
      <c r="Q68" s="259">
        <f t="shared" si="7"/>
        <v>0</v>
      </c>
      <c r="R68" s="259">
        <f t="shared" si="8"/>
        <v>0</v>
      </c>
      <c r="T68" s="180" t="str">
        <f t="shared" si="1"/>
        <v/>
      </c>
      <c r="U68" s="180" t="str">
        <f t="shared" si="2"/>
        <v/>
      </c>
      <c r="V68" s="177"/>
      <c r="X68" s="180">
        <f t="shared" si="3"/>
        <v>38.187484756898421</v>
      </c>
      <c r="Y68" s="180">
        <f t="shared" si="4"/>
        <v>0</v>
      </c>
    </row>
    <row r="69" spans="1:25" ht="15.6" x14ac:dyDescent="0.3">
      <c r="A69" s="152">
        <v>2057</v>
      </c>
      <c r="B69" s="178">
        <f t="shared" si="0"/>
        <v>0</v>
      </c>
      <c r="C69" s="182">
        <f t="shared" si="9"/>
        <v>0</v>
      </c>
      <c r="D69" s="183"/>
      <c r="E69" s="179">
        <f t="shared" si="5"/>
        <v>64762.428893366225</v>
      </c>
      <c r="F69" s="183">
        <f t="shared" si="10"/>
        <v>3587.9253419609158</v>
      </c>
      <c r="G69" s="247">
        <f t="shared" si="6"/>
        <v>0.47317168386240727</v>
      </c>
      <c r="H69" s="246"/>
      <c r="J69" s="182"/>
      <c r="K69" s="182"/>
      <c r="L69" s="182"/>
      <c r="M69" s="182"/>
      <c r="N69" s="163"/>
      <c r="O69" s="259">
        <f>IF($O$24="Y",IFERROR(E69*$O$16*'Emissions Factors'!B54,""),"")</f>
        <v>40.257524372431888</v>
      </c>
      <c r="P69" s="259" t="str">
        <f>IF($P$24="Y",IFERROR($E69*(SUM($E$3,$E$4,$E$5)/SUMIF($G$3:$G$14,"Y",$E$3:$E$14))*('Emissions Factors'!$T$143*$P$16)/10^6,""),"")</f>
        <v/>
      </c>
      <c r="Q69" s="259">
        <f t="shared" si="7"/>
        <v>0</v>
      </c>
      <c r="R69" s="259">
        <f t="shared" si="8"/>
        <v>0</v>
      </c>
      <c r="T69" s="180" t="str">
        <f t="shared" si="1"/>
        <v/>
      </c>
      <c r="U69" s="180" t="str">
        <f t="shared" si="2"/>
        <v/>
      </c>
      <c r="V69" s="177"/>
      <c r="X69" s="180">
        <f t="shared" si="3"/>
        <v>40.257524372431888</v>
      </c>
      <c r="Y69" s="180">
        <f t="shared" si="4"/>
        <v>0</v>
      </c>
    </row>
    <row r="70" spans="1:25" ht="15.6" x14ac:dyDescent="0.3">
      <c r="A70" s="152">
        <v>2058</v>
      </c>
      <c r="B70" s="178">
        <f t="shared" si="0"/>
        <v>0</v>
      </c>
      <c r="C70" s="182">
        <f t="shared" si="9"/>
        <v>0</v>
      </c>
      <c r="D70" s="183"/>
      <c r="E70" s="179">
        <f t="shared" si="5"/>
        <v>68515.602889309623</v>
      </c>
      <c r="F70" s="183">
        <f t="shared" si="10"/>
        <v>3753.173995943398</v>
      </c>
      <c r="G70" s="247">
        <f t="shared" si="6"/>
        <v>0.47115797430370399</v>
      </c>
      <c r="H70" s="246"/>
      <c r="J70" s="182"/>
      <c r="K70" s="182"/>
      <c r="L70" s="182"/>
      <c r="M70" s="182"/>
      <c r="N70" s="163"/>
      <c r="O70" s="259">
        <f>IF($O$24="Y",IFERROR(E70*$O$16*'Emissions Factors'!B55,""),"")</f>
        <v>42.406919987201569</v>
      </c>
      <c r="P70" s="259" t="str">
        <f>IF($P$24="Y",IFERROR($E70*(SUM($E$3,$E$4,$E$5)/SUMIF($G$3:$G$14,"Y",$E$3:$E$14))*('Emissions Factors'!$T$143*$P$16)/10^6,""),"")</f>
        <v/>
      </c>
      <c r="Q70" s="259">
        <f t="shared" si="7"/>
        <v>0</v>
      </c>
      <c r="R70" s="259">
        <f t="shared" si="8"/>
        <v>0</v>
      </c>
      <c r="T70" s="180" t="str">
        <f t="shared" si="1"/>
        <v/>
      </c>
      <c r="U70" s="180" t="str">
        <f t="shared" si="2"/>
        <v/>
      </c>
      <c r="V70" s="177"/>
      <c r="X70" s="180">
        <f t="shared" si="3"/>
        <v>42.406919987201569</v>
      </c>
      <c r="Y70" s="180">
        <f t="shared" si="4"/>
        <v>0</v>
      </c>
    </row>
    <row r="71" spans="1:25" ht="15.6" x14ac:dyDescent="0.3">
      <c r="A71" s="152">
        <v>2059</v>
      </c>
      <c r="B71" s="178">
        <f t="shared" si="0"/>
        <v>0</v>
      </c>
      <c r="C71" s="182">
        <f t="shared" si="9"/>
        <v>0</v>
      </c>
      <c r="D71" s="183"/>
      <c r="E71" s="179">
        <f t="shared" si="5"/>
        <v>72436.089147138395</v>
      </c>
      <c r="F71" s="183">
        <f t="shared" si="10"/>
        <v>3920.4862578287721</v>
      </c>
      <c r="G71" s="247">
        <f t="shared" si="6"/>
        <v>0.46921534482475258</v>
      </c>
      <c r="H71" s="246"/>
      <c r="J71" s="182"/>
      <c r="K71" s="182"/>
      <c r="L71" s="182"/>
      <c r="M71" s="182"/>
      <c r="N71" s="163"/>
      <c r="O71" s="259">
        <f>IF($O$24="Y",IFERROR(E71*$O$16*'Emissions Factors'!B56,""),"")</f>
        <v>44.634803115150724</v>
      </c>
      <c r="P71" s="259" t="str">
        <f>IF($P$24="Y",IFERROR($E71*(SUM($E$3,$E$4,$E$5)/SUMIF($G$3:$G$14,"Y",$E$3:$E$14))*('Emissions Factors'!$T$143*$P$16)/10^6,""),"")</f>
        <v/>
      </c>
      <c r="Q71" s="259">
        <f t="shared" si="7"/>
        <v>0</v>
      </c>
      <c r="R71" s="259">
        <f t="shared" si="8"/>
        <v>0</v>
      </c>
      <c r="T71" s="180" t="str">
        <f t="shared" si="1"/>
        <v/>
      </c>
      <c r="U71" s="180" t="str">
        <f t="shared" si="2"/>
        <v/>
      </c>
      <c r="V71" s="177"/>
      <c r="X71" s="180">
        <f t="shared" si="3"/>
        <v>44.634803115150724</v>
      </c>
      <c r="Y71" s="180">
        <f t="shared" si="4"/>
        <v>0</v>
      </c>
    </row>
    <row r="72" spans="1:25" ht="15.6" x14ac:dyDescent="0.3">
      <c r="A72" s="152">
        <v>2060</v>
      </c>
      <c r="B72" s="178">
        <f t="shared" si="0"/>
        <v>0</v>
      </c>
      <c r="C72" s="182">
        <f t="shared" si="9"/>
        <v>0</v>
      </c>
      <c r="D72" s="183"/>
      <c r="E72" s="179">
        <f t="shared" si="5"/>
        <v>76526.270706279596</v>
      </c>
      <c r="F72" s="183">
        <f t="shared" si="10"/>
        <v>4090.1815591412014</v>
      </c>
      <c r="G72" s="247">
        <f t="shared" si="6"/>
        <v>0.4673484628240735</v>
      </c>
      <c r="H72" s="246"/>
      <c r="J72" s="182"/>
      <c r="K72" s="182"/>
      <c r="L72" s="182"/>
      <c r="M72" s="182"/>
      <c r="N72" s="163"/>
      <c r="O72" s="259">
        <f>IF($O$24="Y",IFERROR(E72*$O$16*'Emissions Factors'!B57,""),"")</f>
        <v>46.95610799667309</v>
      </c>
      <c r="P72" s="259" t="str">
        <f>IF($P$24="Y",IFERROR($E72*(SUM($E$3,$E$4,$E$5)/SUMIF($G$3:$G$14,"Y",$E$3:$E$14))*('Emissions Factors'!$T$143*$P$16)/10^6,""),"")</f>
        <v/>
      </c>
      <c r="Q72" s="259">
        <f t="shared" si="7"/>
        <v>0</v>
      </c>
      <c r="R72" s="259">
        <f t="shared" si="8"/>
        <v>0</v>
      </c>
      <c r="T72" s="180" t="str">
        <f t="shared" si="1"/>
        <v/>
      </c>
      <c r="U72" s="180" t="str">
        <f t="shared" si="2"/>
        <v/>
      </c>
      <c r="V72" s="177"/>
      <c r="X72" s="180">
        <f t="shared" si="3"/>
        <v>46.95610799667309</v>
      </c>
      <c r="Y72" s="180">
        <f t="shared" si="4"/>
        <v>0</v>
      </c>
    </row>
    <row r="81" spans="1:35" ht="15.6" x14ac:dyDescent="0.3">
      <c r="A81" s="184" t="s">
        <v>229</v>
      </c>
      <c r="B81" s="185" t="s">
        <v>230</v>
      </c>
      <c r="C81" s="186"/>
      <c r="D81" s="186"/>
      <c r="E81" s="186"/>
      <c r="F81" s="186"/>
      <c r="G81" s="186"/>
      <c r="H81" s="186"/>
      <c r="I81" s="186"/>
      <c r="J81" s="186"/>
      <c r="K81" s="186"/>
      <c r="P81" s="187"/>
    </row>
    <row r="82" spans="1:35" ht="15.6" x14ac:dyDescent="0.3">
      <c r="A82" s="184"/>
      <c r="B82" s="185"/>
      <c r="C82" s="186"/>
      <c r="D82" s="186"/>
      <c r="E82" s="186"/>
      <c r="F82" s="186"/>
      <c r="G82" s="186"/>
      <c r="H82" s="186"/>
      <c r="I82" s="186"/>
      <c r="J82" s="186"/>
      <c r="K82" s="186"/>
      <c r="P82" s="187"/>
    </row>
    <row r="83" spans="1:35" ht="13.8" thickBot="1" x14ac:dyDescent="0.3">
      <c r="A83" s="13"/>
      <c r="B83" s="9"/>
      <c r="C83" s="188" t="s">
        <v>211</v>
      </c>
      <c r="D83" s="188" t="s">
        <v>211</v>
      </c>
      <c r="E83" s="188" t="s">
        <v>213</v>
      </c>
      <c r="F83" s="188" t="s">
        <v>213</v>
      </c>
      <c r="G83" s="188" t="s">
        <v>211</v>
      </c>
      <c r="N83" s="232" t="s">
        <v>231</v>
      </c>
      <c r="O83" s="232"/>
      <c r="P83" s="232"/>
      <c r="Q83" s="232"/>
      <c r="R83" s="232"/>
      <c r="U83" s="232" t="s">
        <v>232</v>
      </c>
      <c r="V83" s="232"/>
      <c r="W83" s="232"/>
      <c r="X83" s="232"/>
      <c r="Y83" s="232"/>
      <c r="AC83" s="153" t="s">
        <v>263</v>
      </c>
    </row>
    <row r="84" spans="1:35" ht="40.200000000000003" thickBot="1" x14ac:dyDescent="0.3">
      <c r="A84" s="189"/>
      <c r="B84" s="190" t="s">
        <v>4</v>
      </c>
      <c r="C84" s="191" t="s">
        <v>5</v>
      </c>
      <c r="D84" s="191" t="s">
        <v>6</v>
      </c>
      <c r="E84" s="191" t="s">
        <v>7</v>
      </c>
      <c r="F84" s="191" t="s">
        <v>8</v>
      </c>
      <c r="G84" s="191" t="s">
        <v>9</v>
      </c>
      <c r="H84" s="191" t="s">
        <v>10</v>
      </c>
      <c r="I84" s="191" t="s">
        <v>11</v>
      </c>
      <c r="J84" s="191" t="s">
        <v>12</v>
      </c>
      <c r="K84" s="192" t="s">
        <v>13</v>
      </c>
      <c r="N84" s="193" t="s">
        <v>233</v>
      </c>
      <c r="O84" s="193" t="s">
        <v>10</v>
      </c>
      <c r="P84" s="193" t="s">
        <v>234</v>
      </c>
      <c r="Q84" s="193" t="s">
        <v>235</v>
      </c>
      <c r="R84" s="193" t="s">
        <v>236</v>
      </c>
      <c r="U84" s="193" t="str">
        <f>N84</f>
        <v>Least and Less developed countries</v>
      </c>
      <c r="V84" s="193" t="s">
        <v>10</v>
      </c>
      <c r="W84" s="193" t="str">
        <f>P84</f>
        <v>More developed countries + EE +LAC</v>
      </c>
      <c r="X84" s="193" t="s">
        <v>235</v>
      </c>
      <c r="Y84" s="193" t="str">
        <f>R84</f>
        <v>% Least and Less Developed countries</v>
      </c>
    </row>
    <row r="85" spans="1:35" ht="15.6" x14ac:dyDescent="0.3">
      <c r="A85" s="194">
        <v>2014</v>
      </c>
      <c r="B85" s="253">
        <f>(B137/Population_Tables!O3)*Population_Tables!C3</f>
        <v>438695.70812576759</v>
      </c>
      <c r="C85" s="253">
        <f>(C137/Population_Tables!P3)*Population_Tables!D3</f>
        <v>137774.08357504738</v>
      </c>
      <c r="D85" s="253">
        <f>(D137/Population_Tables!Q3)*Population_Tables!E3</f>
        <v>40458.669774063565</v>
      </c>
      <c r="E85" s="253">
        <f>(E137/Population_Tables!R3)*Population_Tables!F3</f>
        <v>168420.6222070051</v>
      </c>
      <c r="F85" s="253">
        <f>(F137/Population_Tables!S3)*Population_Tables!G3</f>
        <v>37663.600616097028</v>
      </c>
      <c r="G85" s="253">
        <f>(G137/Population_Tables!T3)*Population_Tables!H3</f>
        <v>62060.414563864266</v>
      </c>
      <c r="H85" s="253">
        <f>(H137/Population_Tables!U3)*Population_Tables!I3</f>
        <v>46977.096435971587</v>
      </c>
      <c r="I85" s="253">
        <f>(I137/Population_Tables!V3)*Population_Tables!J3</f>
        <v>22776.645123314047</v>
      </c>
      <c r="J85" s="253">
        <f>(J137/Population_Tables!W3)*Population_Tables!K3</f>
        <v>67712.398313891827</v>
      </c>
      <c r="K85" s="253">
        <f>(K137/Population_Tables!X3)*Population_Tables!L3</f>
        <v>73092.900830136685</v>
      </c>
      <c r="N85" s="195">
        <f t="shared" ref="N85:N131" si="11">SUMIF($C$83:$G$83,"Y",C85:G85)-H85</f>
        <v>159107.12638713056</v>
      </c>
      <c r="O85" s="195">
        <f>H85</f>
        <v>46977.096435971587</v>
      </c>
      <c r="P85" s="195">
        <f t="shared" ref="P85:P131" si="12">SUMIF($C$83:$G$83,"N",C85:G85)-(IF($E$83="N",H85))</f>
        <v>240293.16791297522</v>
      </c>
      <c r="Q85" s="195">
        <f>N85+P85+O85</f>
        <v>446377.39073607733</v>
      </c>
      <c r="R85" s="196">
        <f>N85/Q85</f>
        <v>0.356440827177117</v>
      </c>
      <c r="U85" s="197">
        <v>0</v>
      </c>
      <c r="V85" s="195">
        <f>O85-O137</f>
        <v>0</v>
      </c>
      <c r="W85" s="197">
        <v>0</v>
      </c>
      <c r="X85" s="195">
        <f>U85+V85+W85</f>
        <v>0</v>
      </c>
      <c r="Y85" s="196">
        <v>0</v>
      </c>
      <c r="AC85" s="251">
        <f>(B85-B137)/((SUM(C85:G85)-SUM(C137:G137)))</f>
        <v>1.4128323948099362</v>
      </c>
      <c r="AF85" s="250">
        <f>B85</f>
        <v>438695.70812576759</v>
      </c>
      <c r="AG85" s="250">
        <f>SUM(C85:G85)</f>
        <v>446377.39073607733</v>
      </c>
      <c r="AH85" s="250">
        <f>AG85-AF85</f>
        <v>7681.682610309741</v>
      </c>
      <c r="AI85" s="251">
        <f>AH85/AG85</f>
        <v>1.7208941961963237E-2</v>
      </c>
    </row>
    <row r="86" spans="1:35" ht="15.6" x14ac:dyDescent="0.3">
      <c r="A86" s="194">
        <v>2015</v>
      </c>
      <c r="B86" s="253">
        <f>(B138/Population_Tables!O4)*Population_Tables!C4</f>
        <v>449459.1484941555</v>
      </c>
      <c r="C86" s="253">
        <f>(C138/Population_Tables!P4)*Population_Tables!D4</f>
        <v>140001.89890512943</v>
      </c>
      <c r="D86" s="253">
        <f>(D138/Population_Tables!Q4)*Population_Tables!E4</f>
        <v>41491.645606019258</v>
      </c>
      <c r="E86" s="253">
        <f>(E138/Population_Tables!R4)*Population_Tables!F4</f>
        <v>173450.21092954013</v>
      </c>
      <c r="F86" s="253">
        <f>(F138/Population_Tables!S4)*Population_Tables!G4</f>
        <v>38783.889227495783</v>
      </c>
      <c r="G86" s="253">
        <f>(G138/Population_Tables!T4)*Population_Tables!H4</f>
        <v>63482.802912237443</v>
      </c>
      <c r="H86" s="253">
        <f>(H138/Population_Tables!U4)*Population_Tables!I4</f>
        <v>50301.468509839244</v>
      </c>
      <c r="I86" s="253">
        <f>(I138/Population_Tables!V4)*Population_Tables!J4</f>
        <v>24025.852653188198</v>
      </c>
      <c r="J86" s="253">
        <f>(J138/Population_Tables!W4)*Population_Tables!K4</f>
        <v>68179.108034618519</v>
      </c>
      <c r="K86" s="253">
        <f>(K138/Population_Tables!X4)*Population_Tables!L4</f>
        <v>73714.670487818454</v>
      </c>
      <c r="N86" s="195">
        <f t="shared" si="11"/>
        <v>161932.63164719669</v>
      </c>
      <c r="O86" s="195">
        <f t="shared" ref="O86:O131" si="13">H86</f>
        <v>50301.468509839244</v>
      </c>
      <c r="P86" s="195">
        <f t="shared" si="12"/>
        <v>244976.34742338615</v>
      </c>
      <c r="Q86" s="195">
        <f t="shared" ref="Q86:Q131" si="14">N86+P86+O86</f>
        <v>457210.4475804221</v>
      </c>
      <c r="R86" s="196">
        <f t="shared" ref="R86:R130" si="15">N86/Q86</f>
        <v>0.35417526546943828</v>
      </c>
      <c r="U86" s="197">
        <v>0</v>
      </c>
      <c r="V86" s="195">
        <f t="shared" ref="V86:W131" si="16">O86-O138</f>
        <v>0</v>
      </c>
      <c r="W86" s="197">
        <v>0</v>
      </c>
      <c r="X86" s="195">
        <f>U86+V86+W86</f>
        <v>0</v>
      </c>
      <c r="Y86" s="196">
        <v>0</v>
      </c>
      <c r="AC86" s="251">
        <f t="shared" ref="AC86:AC131" si="17">(B86-B138)/((SUM(C86:G86)-SUM(C138:G138)))</f>
        <v>1.4029722508741209</v>
      </c>
    </row>
    <row r="87" spans="1:35" ht="15.6" x14ac:dyDescent="0.3">
      <c r="A87" s="194">
        <v>2016</v>
      </c>
      <c r="B87" s="253">
        <f>(B139/Population_Tables!O5)*Population_Tables!C5</f>
        <v>460419.73569772282</v>
      </c>
      <c r="C87" s="253">
        <f>(C139/Population_Tables!P5)*Population_Tables!D5</f>
        <v>142550.34366071914</v>
      </c>
      <c r="D87" s="253">
        <f>(D139/Population_Tables!Q5)*Population_Tables!E5</f>
        <v>42450.96235311561</v>
      </c>
      <c r="E87" s="253">
        <f>(E139/Population_Tables!R5)*Population_Tables!F5</f>
        <v>178659.10985937333</v>
      </c>
      <c r="F87" s="253">
        <f>(F139/Population_Tables!S5)*Population_Tables!G5</f>
        <v>39758.115609022185</v>
      </c>
      <c r="G87" s="253">
        <f>(G139/Population_Tables!T5)*Population_Tables!H5</f>
        <v>65041.38565001481</v>
      </c>
      <c r="H87" s="253">
        <f>(H139/Population_Tables!U5)*Population_Tables!I5</f>
        <v>53610.501861130113</v>
      </c>
      <c r="I87" s="253">
        <f>(I139/Population_Tables!V5)*Population_Tables!J5</f>
        <v>25227.20530896942</v>
      </c>
      <c r="J87" s="253">
        <f>(J139/Population_Tables!W5)*Population_Tables!K5</f>
        <v>68961.173165756467</v>
      </c>
      <c r="K87" s="253">
        <f>(K139/Population_Tables!X5)*Population_Tables!L5</f>
        <v>74873.306642577198</v>
      </c>
      <c r="N87" s="195">
        <f t="shared" si="11"/>
        <v>164806.72360726539</v>
      </c>
      <c r="O87" s="195">
        <f t="shared" si="13"/>
        <v>53610.501861130113</v>
      </c>
      <c r="P87" s="195">
        <f t="shared" si="12"/>
        <v>250042.69166384957</v>
      </c>
      <c r="Q87" s="195">
        <f t="shared" si="14"/>
        <v>468459.91713224509</v>
      </c>
      <c r="R87" s="196">
        <f t="shared" si="15"/>
        <v>0.35180538949021939</v>
      </c>
      <c r="U87" s="195">
        <f>N87-N139</f>
        <v>-0.53589201110298745</v>
      </c>
      <c r="V87" s="195">
        <f>O87-O139</f>
        <v>0</v>
      </c>
      <c r="W87" s="195">
        <f>P87-P139</f>
        <v>0</v>
      </c>
      <c r="X87" s="195">
        <f>U87+V87+W87</f>
        <v>-0.53589201110298745</v>
      </c>
      <c r="Y87" s="196">
        <f t="shared" ref="Y87:Y131" si="18">U87/X87</f>
        <v>1</v>
      </c>
      <c r="AC87" s="251">
        <f>(B87-B139)/((SUM(C87:G87)-SUM(C139:G139)))</f>
        <v>1.3926903959436532</v>
      </c>
    </row>
    <row r="88" spans="1:35" ht="15.6" x14ac:dyDescent="0.3">
      <c r="A88" s="194">
        <v>2017</v>
      </c>
      <c r="B88" s="253">
        <f>(B140/Population_Tables!O6)*Population_Tables!C6</f>
        <v>471539.09986731253</v>
      </c>
      <c r="C88" s="253">
        <f>(C140/Population_Tables!P6)*Population_Tables!D6</f>
        <v>145123.80873543871</v>
      </c>
      <c r="D88" s="253">
        <f>(D140/Population_Tables!Q6)*Population_Tables!E6</f>
        <v>43411.942306247482</v>
      </c>
      <c r="E88" s="253">
        <f>(E140/Population_Tables!R6)*Population_Tables!F6</f>
        <v>183928.17083313808</v>
      </c>
      <c r="F88" s="253">
        <f>(F140/Population_Tables!S6)*Population_Tables!G6</f>
        <v>40758.241949161733</v>
      </c>
      <c r="G88" s="253">
        <f>(G140/Population_Tables!T6)*Population_Tables!H6</f>
        <v>66633.219061253243</v>
      </c>
      <c r="H88" s="253">
        <f>(H140/Population_Tables!U6)*Population_Tables!I6</f>
        <v>56813.098606217995</v>
      </c>
      <c r="I88" s="253">
        <f>(I140/Population_Tables!V6)*Population_Tables!J6</f>
        <v>26485.338053506668</v>
      </c>
      <c r="J88" s="253">
        <f>(J140/Population_Tables!W6)*Population_Tables!K6</f>
        <v>69728.984867156571</v>
      </c>
      <c r="K88" s="253">
        <f>(K140/Population_Tables!X6)*Population_Tables!L6</f>
        <v>76024.492709361235</v>
      </c>
      <c r="N88" s="195">
        <f t="shared" si="11"/>
        <v>167873.3141760818</v>
      </c>
      <c r="O88" s="195">
        <f>H88</f>
        <v>56813.098606217995</v>
      </c>
      <c r="P88" s="195">
        <f t="shared" si="12"/>
        <v>255168.97010293943</v>
      </c>
      <c r="Q88" s="195">
        <f t="shared" si="14"/>
        <v>479855.3828852392</v>
      </c>
      <c r="R88" s="196">
        <f t="shared" si="15"/>
        <v>0.34984147341789823</v>
      </c>
      <c r="U88" s="195">
        <f>N88-N140</f>
        <v>-0.53739003941882402</v>
      </c>
      <c r="V88" s="195">
        <f t="shared" si="16"/>
        <v>0</v>
      </c>
      <c r="W88" s="195">
        <f t="shared" si="16"/>
        <v>0</v>
      </c>
      <c r="X88" s="195">
        <f t="shared" ref="X88:X131" si="19">U88+V88+W88</f>
        <v>-0.53739003941882402</v>
      </c>
      <c r="Y88" s="196">
        <f t="shared" si="18"/>
        <v>1</v>
      </c>
      <c r="AC88" s="251">
        <f t="shared" si="17"/>
        <v>1.3828310165434223</v>
      </c>
    </row>
    <row r="89" spans="1:35" ht="15.6" x14ac:dyDescent="0.3">
      <c r="A89" s="194">
        <v>2018</v>
      </c>
      <c r="B89" s="253">
        <f>(B141/Population_Tables!O7)*Population_Tables!C7</f>
        <v>482821.67839217029</v>
      </c>
      <c r="C89" s="253">
        <f>(C141/Population_Tables!P7)*Population_Tables!D7</f>
        <v>147723.56758647895</v>
      </c>
      <c r="D89" s="253">
        <f>(D141/Population_Tables!Q7)*Population_Tables!E7</f>
        <v>44375.397638676885</v>
      </c>
      <c r="E89" s="253">
        <f>(E141/Population_Tables!R7)*Population_Tables!F7</f>
        <v>189258.74418274837</v>
      </c>
      <c r="F89" s="253">
        <f>(F141/Population_Tables!S7)*Population_Tables!G7</f>
        <v>41784.9154853457</v>
      </c>
      <c r="G89" s="253">
        <f>(G141/Population_Tables!T7)*Population_Tables!H7</f>
        <v>68258.054041840456</v>
      </c>
      <c r="H89" s="253">
        <f>(H141/Population_Tables!U7)*Population_Tables!I7</f>
        <v>59911.173429751856</v>
      </c>
      <c r="I89" s="253">
        <f>(I141/Population_Tables!V7)*Population_Tables!J7</f>
        <v>27798.722771901346</v>
      </c>
      <c r="J89" s="253">
        <f>(J141/Population_Tables!W7)*Population_Tables!K7</f>
        <v>70482.718803123571</v>
      </c>
      <c r="K89" s="253">
        <f>(K141/Population_Tables!X7)*Population_Tables!L7</f>
        <v>77168.310435934574</v>
      </c>
      <c r="N89" s="195">
        <f t="shared" si="11"/>
        <v>171132.48623834222</v>
      </c>
      <c r="O89" s="195">
        <f t="shared" si="13"/>
        <v>59911.173429751856</v>
      </c>
      <c r="P89" s="195">
        <f t="shared" si="12"/>
        <v>260357.0192669963</v>
      </c>
      <c r="Q89" s="195">
        <f t="shared" si="14"/>
        <v>491400.67893509043</v>
      </c>
      <c r="R89" s="196">
        <f t="shared" si="15"/>
        <v>0.34825447658965741</v>
      </c>
      <c r="U89" s="195">
        <f t="shared" ref="U89:U131" si="20">N89-N141</f>
        <v>-0.53690165080479346</v>
      </c>
      <c r="V89" s="195">
        <f t="shared" si="16"/>
        <v>0</v>
      </c>
      <c r="W89" s="195">
        <f t="shared" si="16"/>
        <v>0</v>
      </c>
      <c r="X89" s="195">
        <f t="shared" si="19"/>
        <v>-0.53690165080479346</v>
      </c>
      <c r="Y89" s="196">
        <f t="shared" si="18"/>
        <v>1</v>
      </c>
      <c r="AC89" s="251">
        <f t="shared" si="17"/>
        <v>1.3733447841974173</v>
      </c>
    </row>
    <row r="90" spans="1:35" ht="16.2" thickBot="1" x14ac:dyDescent="0.35">
      <c r="A90" s="198">
        <v>2019</v>
      </c>
      <c r="B90" s="253">
        <f>(B142/Population_Tables!O8)*Population_Tables!C8</f>
        <v>494271.90493604145</v>
      </c>
      <c r="C90" s="253">
        <f>(C142/Population_Tables!P8)*Population_Tables!D8</f>
        <v>150350.89367103079</v>
      </c>
      <c r="D90" s="253">
        <f>(D142/Population_Tables!Q8)*Population_Tables!E8</f>
        <v>45342.140523665861</v>
      </c>
      <c r="E90" s="253">
        <f>(E142/Population_Tables!R8)*Population_Tables!F8</f>
        <v>194652.17750240024</v>
      </c>
      <c r="F90" s="253">
        <f>(F142/Population_Tables!S8)*Population_Tables!G8</f>
        <v>42838.783455005352</v>
      </c>
      <c r="G90" s="253">
        <f>(G142/Population_Tables!T8)*Population_Tables!H8</f>
        <v>69915.641487664121</v>
      </c>
      <c r="H90" s="253">
        <f>(H142/Population_Tables!U8)*Population_Tables!I8</f>
        <v>62906.641016380614</v>
      </c>
      <c r="I90" s="253">
        <f>(I142/Population_Tables!V8)*Population_Tables!J8</f>
        <v>29165.83134925483</v>
      </c>
      <c r="J90" s="253">
        <f>(J142/Population_Tables!W8)*Population_Tables!K8</f>
        <v>71222.550637962238</v>
      </c>
      <c r="K90" s="253">
        <f>(K142/Population_Tables!X8)*Population_Tables!L8</f>
        <v>78304.841570061239</v>
      </c>
      <c r="N90" s="195">
        <f t="shared" si="11"/>
        <v>174584.31994102499</v>
      </c>
      <c r="O90" s="195">
        <f t="shared" si="13"/>
        <v>62906.641016380614</v>
      </c>
      <c r="P90" s="195">
        <f t="shared" si="12"/>
        <v>265608.67568236077</v>
      </c>
      <c r="Q90" s="195">
        <f t="shared" si="14"/>
        <v>503099.6366397664</v>
      </c>
      <c r="R90" s="199">
        <f t="shared" si="15"/>
        <v>0.34701738428412404</v>
      </c>
      <c r="U90" s="200">
        <f t="shared" si="20"/>
        <v>-0.53722402488347143</v>
      </c>
      <c r="V90" s="195">
        <f t="shared" si="16"/>
        <v>0</v>
      </c>
      <c r="W90" s="200">
        <f t="shared" si="16"/>
        <v>0</v>
      </c>
      <c r="X90" s="195">
        <f t="shared" si="19"/>
        <v>-0.53722402488347143</v>
      </c>
      <c r="Y90" s="199">
        <f t="shared" si="18"/>
        <v>1</v>
      </c>
      <c r="AC90" s="251">
        <f t="shared" si="17"/>
        <v>1.3641779168036041</v>
      </c>
    </row>
    <row r="91" spans="1:35" ht="15.6" x14ac:dyDescent="0.3">
      <c r="A91" s="201">
        <v>2020</v>
      </c>
      <c r="B91" s="253">
        <f>(B143/Population_Tables!O9)*Population_Tables!C9</f>
        <v>505894.21679557039</v>
      </c>
      <c r="C91" s="253">
        <f>(C143/Population_Tables!P9)*Population_Tables!D9</f>
        <v>153007.06044628509</v>
      </c>
      <c r="D91" s="253">
        <f>(D143/Population_Tables!Q9)*Population_Tables!E9</f>
        <v>46312.983134476424</v>
      </c>
      <c r="E91" s="253">
        <f>(E143/Population_Tables!R9)*Population_Tables!F9</f>
        <v>200109.82095218793</v>
      </c>
      <c r="F91" s="253">
        <f>(F143/Population_Tables!S9)*Population_Tables!G9</f>
        <v>43920.493095571954</v>
      </c>
      <c r="G91" s="253">
        <f>(G143/Population_Tables!T9)*Population_Tables!H9</f>
        <v>71605.732294611924</v>
      </c>
      <c r="H91" s="253">
        <f>(H143/Population_Tables!U9)*Population_Tables!I9</f>
        <v>65801.416050753236</v>
      </c>
      <c r="I91" s="253">
        <f>(I143/Population_Tables!V9)*Population_Tables!J9</f>
        <v>30585.135670668518</v>
      </c>
      <c r="J91" s="253">
        <f>(J143/Population_Tables!W9)*Population_Tables!K9</f>
        <v>71948.656035977358</v>
      </c>
      <c r="K91" s="253">
        <f>(K143/Population_Tables!X9)*Population_Tables!L9</f>
        <v>79434.167859505251</v>
      </c>
      <c r="L91" s="202"/>
      <c r="M91" s="202"/>
      <c r="N91" s="195">
        <f t="shared" si="11"/>
        <v>178228.89799700666</v>
      </c>
      <c r="O91" s="195">
        <f t="shared" si="13"/>
        <v>65801.416050753236</v>
      </c>
      <c r="P91" s="195">
        <f t="shared" si="12"/>
        <v>270925.77587537345</v>
      </c>
      <c r="Q91" s="195">
        <f t="shared" si="14"/>
        <v>514956.08992313338</v>
      </c>
      <c r="R91" s="203">
        <f t="shared" si="15"/>
        <v>0.34610503979787982</v>
      </c>
      <c r="S91" s="202"/>
      <c r="T91" s="202"/>
      <c r="U91" s="204">
        <f>N91-N143</f>
        <v>-0.53858844315982424</v>
      </c>
      <c r="V91" s="195">
        <f t="shared" si="16"/>
        <v>0</v>
      </c>
      <c r="W91" s="204">
        <f t="shared" si="16"/>
        <v>0</v>
      </c>
      <c r="X91" s="195">
        <f t="shared" si="19"/>
        <v>-0.53858844315982424</v>
      </c>
      <c r="Y91" s="205">
        <f>U91/X91</f>
        <v>1</v>
      </c>
      <c r="AC91" s="251">
        <f t="shared" si="17"/>
        <v>1.3551794981935394</v>
      </c>
    </row>
    <row r="92" spans="1:35" ht="15.6" x14ac:dyDescent="0.3">
      <c r="A92" s="206">
        <v>2021</v>
      </c>
      <c r="B92" s="253">
        <f>(B144/Population_Tables!O10)*Population_Tables!C10</f>
        <v>518348.43849487597</v>
      </c>
      <c r="C92" s="253">
        <f>(C144/Population_Tables!P10)*Population_Tables!D10</f>
        <v>155854.83101887154</v>
      </c>
      <c r="D92" s="253">
        <f>(D144/Population_Tables!Q10)*Population_Tables!E10</f>
        <v>47344.839264827438</v>
      </c>
      <c r="E92" s="253">
        <f>(E144/Population_Tables!R10)*Population_Tables!F10</f>
        <v>205879.0840889051</v>
      </c>
      <c r="F92" s="253">
        <f>(F144/Population_Tables!S10)*Population_Tables!G10</f>
        <v>45091.066035132593</v>
      </c>
      <c r="G92" s="253">
        <f>(G144/Population_Tables!T10)*Population_Tables!H10</f>
        <v>73466.944815433773</v>
      </c>
      <c r="H92" s="253">
        <f>(H144/Population_Tables!U10)*Population_Tables!I10</f>
        <v>68669.396217134286</v>
      </c>
      <c r="I92" s="253">
        <f>(I144/Population_Tables!V10)*Population_Tables!J10</f>
        <v>32091.985341083862</v>
      </c>
      <c r="J92" s="253">
        <f>(J144/Population_Tables!W10)*Population_Tables!K10</f>
        <v>72736.385031995538</v>
      </c>
      <c r="K92" s="253">
        <f>(K144/Population_Tables!X10)*Population_Tables!L10</f>
        <v>80641.476877564477</v>
      </c>
      <c r="L92" s="170"/>
      <c r="M92" s="170"/>
      <c r="N92" s="195">
        <f t="shared" si="11"/>
        <v>182300.75390690341</v>
      </c>
      <c r="O92" s="195">
        <f t="shared" si="13"/>
        <v>68669.396217134286</v>
      </c>
      <c r="P92" s="195">
        <f t="shared" si="12"/>
        <v>276666.61509913276</v>
      </c>
      <c r="Q92" s="195">
        <f t="shared" si="14"/>
        <v>527636.76522317051</v>
      </c>
      <c r="R92" s="196">
        <f t="shared" si="15"/>
        <v>0.34550426718236182</v>
      </c>
      <c r="S92" s="170"/>
      <c r="T92" s="170"/>
      <c r="U92" s="195">
        <f t="shared" si="20"/>
        <v>233.90956155254389</v>
      </c>
      <c r="V92" s="195">
        <f t="shared" si="16"/>
        <v>71.982999615647714</v>
      </c>
      <c r="W92" s="195">
        <f t="shared" si="16"/>
        <v>356.45872675790451</v>
      </c>
      <c r="X92" s="195">
        <f t="shared" si="19"/>
        <v>662.35128792609612</v>
      </c>
      <c r="Y92" s="207">
        <f t="shared" si="18"/>
        <v>0.35315030832799266</v>
      </c>
      <c r="AC92" s="251">
        <f t="shared" si="17"/>
        <v>0.9883858211476465</v>
      </c>
    </row>
    <row r="93" spans="1:35" ht="15.6" x14ac:dyDescent="0.3">
      <c r="A93" s="206">
        <v>2022</v>
      </c>
      <c r="B93" s="253">
        <f>(B145/Population_Tables!O11)*Population_Tables!C11</f>
        <v>531171.86172856006</v>
      </c>
      <c r="C93" s="253">
        <f>(C145/Population_Tables!P11)*Population_Tables!D11</f>
        <v>158785.02555455975</v>
      </c>
      <c r="D93" s="253">
        <f>(D145/Population_Tables!Q11)*Population_Tables!E11</f>
        <v>48394.505296270123</v>
      </c>
      <c r="E93" s="253">
        <f>(E145/Population_Tables!R11)*Population_Tables!F11</f>
        <v>211809.38720159559</v>
      </c>
      <c r="F93" s="253">
        <f>(F145/Population_Tables!S11)*Population_Tables!G11</f>
        <v>46303.361597240335</v>
      </c>
      <c r="G93" s="253">
        <f>(G145/Population_Tables!T11)*Population_Tables!H11</f>
        <v>75371.235452297042</v>
      </c>
      <c r="H93" s="253">
        <f>(H145/Population_Tables!U11)*Population_Tables!I11</f>
        <v>71463.404301575953</v>
      </c>
      <c r="I93" s="253">
        <f>(I145/Population_Tables!V11)*Population_Tables!J11</f>
        <v>33667.031564346282</v>
      </c>
      <c r="J93" s="253">
        <f>(J145/Population_Tables!W11)*Population_Tables!K11</f>
        <v>73530.073631777894</v>
      </c>
      <c r="K93" s="253">
        <f>(K145/Population_Tables!X11)*Population_Tables!L11</f>
        <v>81871.234151304598</v>
      </c>
      <c r="L93" s="170"/>
      <c r="M93" s="170"/>
      <c r="N93" s="195">
        <f t="shared" si="11"/>
        <v>186649.34449725994</v>
      </c>
      <c r="O93" s="195">
        <f t="shared" si="13"/>
        <v>71463.404301575953</v>
      </c>
      <c r="P93" s="195">
        <f t="shared" si="12"/>
        <v>282550.76630312693</v>
      </c>
      <c r="Q93" s="195">
        <f t="shared" si="14"/>
        <v>540663.51510196284</v>
      </c>
      <c r="R93" s="196">
        <f t="shared" si="15"/>
        <v>0.34522274813024889</v>
      </c>
      <c r="S93" s="170"/>
      <c r="T93" s="170"/>
      <c r="U93" s="195">
        <f t="shared" si="20"/>
        <v>552.18110834894469</v>
      </c>
      <c r="V93" s="195">
        <f t="shared" si="16"/>
        <v>166.85710025017033</v>
      </c>
      <c r="W93" s="195">
        <f t="shared" si="16"/>
        <v>787.112603421323</v>
      </c>
      <c r="X93" s="195">
        <f t="shared" si="19"/>
        <v>1506.150812020438</v>
      </c>
      <c r="Y93" s="207">
        <f t="shared" si="18"/>
        <v>0.36661740905495177</v>
      </c>
      <c r="AC93" s="251">
        <f t="shared" si="17"/>
        <v>0.99477875888589162</v>
      </c>
    </row>
    <row r="94" spans="1:35" ht="15.6" x14ac:dyDescent="0.3">
      <c r="A94" s="206">
        <v>2023</v>
      </c>
      <c r="B94" s="253">
        <f>(B146/Population_Tables!O12)*Population_Tables!C12</f>
        <v>544353.25150157697</v>
      </c>
      <c r="C94" s="253">
        <f>(C146/Population_Tables!P12)*Population_Tables!D12</f>
        <v>161793.54832102923</v>
      </c>
      <c r="D94" s="253">
        <f>(D146/Population_Tables!Q12)*Population_Tables!E12</f>
        <v>49462.323062251729</v>
      </c>
      <c r="E94" s="253">
        <f>(E146/Population_Tables!R12)*Population_Tables!F12</f>
        <v>217891.86640433015</v>
      </c>
      <c r="F94" s="253">
        <f>(F146/Population_Tables!S12)*Population_Tables!G12</f>
        <v>47557.744777754036</v>
      </c>
      <c r="G94" s="253">
        <f>(G146/Population_Tables!T12)*Population_Tables!H12</f>
        <v>77322.569847288003</v>
      </c>
      <c r="H94" s="253">
        <f>(H146/Population_Tables!U12)*Population_Tables!I12</f>
        <v>74183.839768933758</v>
      </c>
      <c r="I94" s="253">
        <f>(I146/Population_Tables!V12)*Population_Tables!J12</f>
        <v>35307.110883285022</v>
      </c>
      <c r="J94" s="253">
        <f>(J146/Population_Tables!W12)*Population_Tables!K12</f>
        <v>74327.479719353694</v>
      </c>
      <c r="K94" s="253">
        <f>(K146/Population_Tables!X12)*Population_Tables!L12</f>
        <v>83119.703998728961</v>
      </c>
      <c r="L94" s="170"/>
      <c r="M94" s="170"/>
      <c r="N94" s="195">
        <f t="shared" si="11"/>
        <v>191265.77141315042</v>
      </c>
      <c r="O94" s="195">
        <f t="shared" si="13"/>
        <v>74183.839768933758</v>
      </c>
      <c r="P94" s="195">
        <f t="shared" si="12"/>
        <v>288578.44123056898</v>
      </c>
      <c r="Q94" s="195">
        <f t="shared" si="14"/>
        <v>554028.05241265311</v>
      </c>
      <c r="R94" s="196">
        <f t="shared" si="15"/>
        <v>0.34522759376575968</v>
      </c>
      <c r="S94" s="170"/>
      <c r="T94" s="170"/>
      <c r="U94" s="195">
        <f>N94-N146</f>
        <v>945.29475286218803</v>
      </c>
      <c r="V94" s="195">
        <f t="shared" si="16"/>
        <v>283.10708211016026</v>
      </c>
      <c r="W94" s="195">
        <f t="shared" si="16"/>
        <v>1290.3368468626286</v>
      </c>
      <c r="X94" s="195">
        <f t="shared" si="19"/>
        <v>2518.7386818349769</v>
      </c>
      <c r="Y94" s="207">
        <f t="shared" si="18"/>
        <v>0.37530481414352695</v>
      </c>
      <c r="AC94" s="251">
        <f t="shared" si="17"/>
        <v>0.99831009618030531</v>
      </c>
    </row>
    <row r="95" spans="1:35" ht="15.6" x14ac:dyDescent="0.3">
      <c r="A95" s="206">
        <v>2024</v>
      </c>
      <c r="B95" s="253">
        <f>(B147/Population_Tables!O13)*Population_Tables!C13</f>
        <v>557891.98247923062</v>
      </c>
      <c r="C95" s="253">
        <f>(C147/Population_Tables!P13)*Population_Tables!D13</f>
        <v>164877.36225334683</v>
      </c>
      <c r="D95" s="253">
        <f>(D147/Population_Tables!Q13)*Population_Tables!E13</f>
        <v>50548.49063821922</v>
      </c>
      <c r="E95" s="253">
        <f>(E147/Population_Tables!R13)*Population_Tables!F13</f>
        <v>224120.15964030835</v>
      </c>
      <c r="F95" s="253">
        <f>(F147/Population_Tables!S13)*Population_Tables!G13</f>
        <v>48855.875327164227</v>
      </c>
      <c r="G95" s="253">
        <f>(G147/Population_Tables!T13)*Population_Tables!H13</f>
        <v>79330.60444505098</v>
      </c>
      <c r="H95" s="253">
        <f>(H147/Population_Tables!U13)*Population_Tables!I13</f>
        <v>76831.216498131849</v>
      </c>
      <c r="I95" s="253">
        <f>(I147/Population_Tables!V13)*Population_Tables!J13</f>
        <v>37009.575505877307</v>
      </c>
      <c r="J95" s="253">
        <f>(J147/Population_Tables!W13)*Population_Tables!K13</f>
        <v>75126.796186174688</v>
      </c>
      <c r="K95" s="253">
        <f>(K147/Population_Tables!X13)*Population_Tables!L13</f>
        <v>84383.88286462726</v>
      </c>
      <c r="L95" s="170"/>
      <c r="M95" s="170"/>
      <c r="N95" s="195">
        <f t="shared" si="11"/>
        <v>196144.81846934074</v>
      </c>
      <c r="O95" s="195">
        <f t="shared" si="13"/>
        <v>76831.216498131849</v>
      </c>
      <c r="P95" s="195">
        <f t="shared" si="12"/>
        <v>294756.45733661705</v>
      </c>
      <c r="Q95" s="195">
        <f t="shared" si="14"/>
        <v>567732.4923040896</v>
      </c>
      <c r="R95" s="196">
        <f t="shared" si="15"/>
        <v>0.34548809717285195</v>
      </c>
      <c r="S95" s="170"/>
      <c r="T95" s="170"/>
      <c r="U95" s="195">
        <f t="shared" si="20"/>
        <v>1407.9513657001662</v>
      </c>
      <c r="V95" s="195">
        <f t="shared" si="16"/>
        <v>419.33213947081822</v>
      </c>
      <c r="W95" s="195">
        <f t="shared" si="16"/>
        <v>1871.112385899527</v>
      </c>
      <c r="X95" s="195">
        <f t="shared" si="19"/>
        <v>3698.3958910705114</v>
      </c>
      <c r="Y95" s="207">
        <f t="shared" si="18"/>
        <v>0.38069244266130486</v>
      </c>
      <c r="AC95" s="251">
        <f t="shared" si="17"/>
        <v>0.99994217755784387</v>
      </c>
    </row>
    <row r="96" spans="1:35" ht="15.6" x14ac:dyDescent="0.3">
      <c r="A96" s="206">
        <v>2025</v>
      </c>
      <c r="B96" s="253">
        <f>(B148/Population_Tables!O14)*Population_Tables!C14</f>
        <v>571789.91835260089</v>
      </c>
      <c r="C96" s="253">
        <f>(C148/Population_Tables!P14)*Population_Tables!D14</f>
        <v>168034.54839120025</v>
      </c>
      <c r="D96" s="253">
        <f>(D148/Population_Tables!Q14)*Population_Tables!E14</f>
        <v>51653.487899310276</v>
      </c>
      <c r="E96" s="253">
        <f>(E148/Population_Tables!R14)*Population_Tables!F14</f>
        <v>230490.08224146222</v>
      </c>
      <c r="F96" s="253">
        <f>(F148/Population_Tables!S14)*Population_Tables!G14</f>
        <v>50199.358944409942</v>
      </c>
      <c r="G96" s="253">
        <f>(G148/Population_Tables!T14)*Population_Tables!H14</f>
        <v>81402.945918117213</v>
      </c>
      <c r="H96" s="253">
        <f>(H148/Population_Tables!U14)*Population_Tables!I14</f>
        <v>79406.289674710002</v>
      </c>
      <c r="I96" s="253">
        <f>(I148/Population_Tables!V14)*Population_Tables!J14</f>
        <v>38772.15826267442</v>
      </c>
      <c r="J96" s="253">
        <f>(J148/Population_Tables!W14)*Population_Tables!K14</f>
        <v>75926.653877651232</v>
      </c>
      <c r="K96" s="253">
        <f>(K148/Population_Tables!X14)*Population_Tables!L14</f>
        <v>85661.531672305835</v>
      </c>
      <c r="L96" s="170"/>
      <c r="M96" s="170"/>
      <c r="N96" s="195">
        <f t="shared" si="11"/>
        <v>201283.15151116217</v>
      </c>
      <c r="O96" s="195">
        <f t="shared" si="13"/>
        <v>79406.289674710002</v>
      </c>
      <c r="P96" s="195">
        <f t="shared" si="12"/>
        <v>301090.98220862774</v>
      </c>
      <c r="Q96" s="195">
        <f t="shared" si="14"/>
        <v>581780.42339449993</v>
      </c>
      <c r="R96" s="196">
        <f t="shared" si="15"/>
        <v>0.34597786968619587</v>
      </c>
      <c r="S96" s="170"/>
      <c r="T96" s="170"/>
      <c r="U96" s="195">
        <f t="shared" si="20"/>
        <v>1936.7338480361504</v>
      </c>
      <c r="V96" s="195">
        <f t="shared" si="16"/>
        <v>574.37277322295995</v>
      </c>
      <c r="W96" s="195">
        <f t="shared" si="16"/>
        <v>2533.7702815479133</v>
      </c>
      <c r="X96" s="195">
        <f t="shared" si="19"/>
        <v>5044.8769028070237</v>
      </c>
      <c r="Y96" s="207">
        <f t="shared" si="18"/>
        <v>0.38390111103772045</v>
      </c>
      <c r="AC96" s="251">
        <f t="shared" si="17"/>
        <v>1.0003836510120168</v>
      </c>
    </row>
    <row r="97" spans="1:29" ht="15.6" x14ac:dyDescent="0.3">
      <c r="A97" s="206">
        <v>2026</v>
      </c>
      <c r="B97" s="253">
        <f>(B149/Population_Tables!O15)*Population_Tables!C15</f>
        <v>586048.17823963659</v>
      </c>
      <c r="C97" s="253">
        <f>(C149/Population_Tables!P15)*Population_Tables!D15</f>
        <v>171264.50023224135</v>
      </c>
      <c r="D97" s="253">
        <f>(D149/Population_Tables!Q15)*Population_Tables!E15</f>
        <v>52778.690548690662</v>
      </c>
      <c r="E97" s="253">
        <f>(E149/Population_Tables!R15)*Population_Tables!F15</f>
        <v>236999.6481671526</v>
      </c>
      <c r="F97" s="253">
        <f>(F149/Population_Tables!S15)*Population_Tables!G15</f>
        <v>51589.32733858229</v>
      </c>
      <c r="G97" s="253">
        <f>(G149/Population_Tables!T15)*Population_Tables!H15</f>
        <v>83540.934384349384</v>
      </c>
      <c r="H97" s="253">
        <f>(H149/Population_Tables!U15)*Population_Tables!I15</f>
        <v>81910.201946731075</v>
      </c>
      <c r="I97" s="253">
        <f>(I149/Population_Tables!V15)*Population_Tables!J15</f>
        <v>40592.912991761965</v>
      </c>
      <c r="J97" s="253">
        <f>(J149/Population_Tables!W15)*Population_Tables!K15</f>
        <v>76726.188382700508</v>
      </c>
      <c r="K97" s="253">
        <f>(K149/Population_Tables!X15)*Population_Tables!L15</f>
        <v>86951.262236985742</v>
      </c>
      <c r="L97" s="170"/>
      <c r="M97" s="170"/>
      <c r="N97" s="195">
        <f t="shared" si="11"/>
        <v>206678.77355900384</v>
      </c>
      <c r="O97" s="195">
        <f t="shared" si="13"/>
        <v>81910.201946731075</v>
      </c>
      <c r="P97" s="195">
        <f t="shared" si="12"/>
        <v>307584.12516528141</v>
      </c>
      <c r="Q97" s="195">
        <f t="shared" si="14"/>
        <v>596173.10067101638</v>
      </c>
      <c r="R97" s="196">
        <f t="shared" si="15"/>
        <v>0.34667577810266637</v>
      </c>
      <c r="S97" s="170"/>
      <c r="T97" s="170"/>
      <c r="U97" s="195">
        <f>N97-N149</f>
        <v>2529.5622761012055</v>
      </c>
      <c r="V97" s="195">
        <f t="shared" si="16"/>
        <v>747.45694678054133</v>
      </c>
      <c r="W97" s="195">
        <f t="shared" si="16"/>
        <v>3278.5833261475782</v>
      </c>
      <c r="X97" s="195">
        <f t="shared" si="19"/>
        <v>6555.602549029325</v>
      </c>
      <c r="Y97" s="207">
        <f t="shared" si="18"/>
        <v>0.38586266589266499</v>
      </c>
      <c r="AC97" s="251">
        <f t="shared" si="17"/>
        <v>1.0002215387878797</v>
      </c>
    </row>
    <row r="98" spans="1:29" ht="15.6" x14ac:dyDescent="0.3">
      <c r="A98" s="206">
        <v>2027</v>
      </c>
      <c r="B98" s="253">
        <f>(B150/Population_Tables!O16)*Population_Tables!C16</f>
        <v>600668.1717145989</v>
      </c>
      <c r="C98" s="253">
        <f>(C150/Population_Tables!P16)*Population_Tables!D16</f>
        <v>174567.92214853689</v>
      </c>
      <c r="D98" s="253">
        <f>(D150/Population_Tables!Q16)*Population_Tables!E16</f>
        <v>53925.701815307431</v>
      </c>
      <c r="E98" s="253">
        <f>(E150/Population_Tables!R16)*Population_Tables!F16</f>
        <v>243649.52365272044</v>
      </c>
      <c r="F98" s="253">
        <f>(F150/Population_Tables!S16)*Population_Tables!G16</f>
        <v>53026.384751043232</v>
      </c>
      <c r="G98" s="253">
        <f>(G150/Population_Tables!T16)*Population_Tables!H16</f>
        <v>85741.477246466777</v>
      </c>
      <c r="H98" s="253">
        <f>(H150/Population_Tables!U16)*Population_Tables!I16</f>
        <v>84344.574254873674</v>
      </c>
      <c r="I98" s="253">
        <f>(I150/Population_Tables!V16)*Population_Tables!J16</f>
        <v>42470.457005610995</v>
      </c>
      <c r="J98" s="253">
        <f>(J150/Population_Tables!W16)*Population_Tables!K16</f>
        <v>77525.029820390773</v>
      </c>
      <c r="K98" s="253">
        <f>(K150/Population_Tables!X16)*Population_Tables!L16</f>
        <v>88252.530839186336</v>
      </c>
      <c r="L98" s="170"/>
      <c r="M98" s="170"/>
      <c r="N98" s="195">
        <f t="shared" si="11"/>
        <v>212331.33414888999</v>
      </c>
      <c r="O98" s="195">
        <f t="shared" si="13"/>
        <v>84344.574254873674</v>
      </c>
      <c r="P98" s="195">
        <f t="shared" si="12"/>
        <v>314235.10121031111</v>
      </c>
      <c r="Q98" s="195">
        <f t="shared" si="14"/>
        <v>610911.00961407484</v>
      </c>
      <c r="R98" s="196">
        <f t="shared" si="15"/>
        <v>0.34756508035928851</v>
      </c>
      <c r="S98" s="170"/>
      <c r="T98" s="170"/>
      <c r="U98" s="195">
        <f t="shared" si="20"/>
        <v>3186.0032417616458</v>
      </c>
      <c r="V98" s="195">
        <f t="shared" si="16"/>
        <v>938.290916173195</v>
      </c>
      <c r="W98" s="195">
        <f t="shared" si="16"/>
        <v>4102.929997091007</v>
      </c>
      <c r="X98" s="195">
        <f t="shared" si="19"/>
        <v>8227.2241550258477</v>
      </c>
      <c r="Y98" s="207">
        <f t="shared" si="18"/>
        <v>0.38725129906851752</v>
      </c>
      <c r="AC98" s="251">
        <f t="shared" si="17"/>
        <v>0.99983681448538209</v>
      </c>
    </row>
    <row r="99" spans="1:29" ht="15.6" x14ac:dyDescent="0.3">
      <c r="A99" s="206">
        <v>2028</v>
      </c>
      <c r="B99" s="253">
        <f>(B151/Population_Tables!O17)*Population_Tables!C17</f>
        <v>615657.46297643264</v>
      </c>
      <c r="C99" s="253">
        <f>(C151/Population_Tables!P17)*Population_Tables!D17</f>
        <v>177946.80370085864</v>
      </c>
      <c r="D99" s="253">
        <f>(D151/Population_Tables!Q17)*Population_Tables!E17</f>
        <v>55095.559380066021</v>
      </c>
      <c r="E99" s="253">
        <f>(E151/Population_Tables!R17)*Population_Tables!F17</f>
        <v>250443.44951455941</v>
      </c>
      <c r="F99" s="253">
        <f>(F151/Population_Tables!S17)*Population_Tables!G17</f>
        <v>54511.399521364001</v>
      </c>
      <c r="G99" s="253">
        <f>(G151/Population_Tables!T17)*Population_Tables!H17</f>
        <v>88003.61200657778</v>
      </c>
      <c r="H99" s="253">
        <f>(H151/Population_Tables!U17)*Population_Tables!I17</f>
        <v>86711.506187381223</v>
      </c>
      <c r="I99" s="253">
        <f>(I151/Population_Tables!V17)*Population_Tables!J17</f>
        <v>44404.282972762128</v>
      </c>
      <c r="J99" s="253">
        <f>(J151/Population_Tables!W17)*Population_Tables!K17</f>
        <v>78323.308872939451</v>
      </c>
      <c r="K99" s="253">
        <f>(K151/Population_Tables!X17)*Population_Tables!L17</f>
        <v>89565.53211003427</v>
      </c>
      <c r="L99" s="170"/>
      <c r="M99" s="170"/>
      <c r="N99" s="195">
        <f t="shared" si="11"/>
        <v>218243.3428485422</v>
      </c>
      <c r="O99" s="195">
        <f t="shared" si="13"/>
        <v>86711.506187381223</v>
      </c>
      <c r="P99" s="195">
        <f t="shared" si="12"/>
        <v>321045.97508750245</v>
      </c>
      <c r="Q99" s="195">
        <f t="shared" si="14"/>
        <v>626000.82412342587</v>
      </c>
      <c r="R99" s="196">
        <f t="shared" si="15"/>
        <v>0.34863107912700148</v>
      </c>
      <c r="S99" s="170"/>
      <c r="T99" s="170"/>
      <c r="U99" s="195">
        <f t="shared" si="20"/>
        <v>3908.4833685809572</v>
      </c>
      <c r="V99" s="195">
        <f t="shared" si="16"/>
        <v>1147.0595849954116</v>
      </c>
      <c r="W99" s="195">
        <f t="shared" si="16"/>
        <v>5007.0385118232807</v>
      </c>
      <c r="X99" s="195">
        <f t="shared" si="19"/>
        <v>10062.581465399649</v>
      </c>
      <c r="Y99" s="207">
        <f t="shared" si="18"/>
        <v>0.38841756283120199</v>
      </c>
      <c r="AC99" s="251">
        <f t="shared" si="17"/>
        <v>0.99938760917983571</v>
      </c>
    </row>
    <row r="100" spans="1:29" ht="15.6" x14ac:dyDescent="0.3">
      <c r="A100" s="206">
        <v>2029</v>
      </c>
      <c r="B100" s="253">
        <f>(B152/Population_Tables!O18)*Population_Tables!C18</f>
        <v>631025.72847174678</v>
      </c>
      <c r="C100" s="253">
        <f>(C152/Population_Tables!P18)*Population_Tables!D18</f>
        <v>181404.04677529851</v>
      </c>
      <c r="D100" s="253">
        <f>(D152/Population_Tables!Q18)*Population_Tables!E18</f>
        <v>56289.157368734908</v>
      </c>
      <c r="E100" s="253">
        <f>(E152/Population_Tables!R18)*Population_Tables!F18</f>
        <v>257387.44194498626</v>
      </c>
      <c r="F100" s="253">
        <f>(F152/Population_Tables!S18)*Population_Tables!G18</f>
        <v>56045.096732866972</v>
      </c>
      <c r="G100" s="253">
        <f>(G152/Population_Tables!T18)*Population_Tables!H18</f>
        <v>90325.201299417226</v>
      </c>
      <c r="H100" s="253">
        <f>(H152/Population_Tables!U18)*Population_Tables!I18</f>
        <v>89013.497267721687</v>
      </c>
      <c r="I100" s="253">
        <f>(I152/Population_Tables!V18)*Population_Tables!J18</f>
        <v>46394.510034976054</v>
      </c>
      <c r="J100" s="253">
        <f>(J152/Population_Tables!W18)*Population_Tables!K18</f>
        <v>79121.456175142463</v>
      </c>
      <c r="K100" s="253">
        <f>(K152/Population_Tables!X18)*Population_Tables!L18</f>
        <v>90891.019232094259</v>
      </c>
      <c r="L100" s="170"/>
      <c r="M100" s="170"/>
      <c r="N100" s="195">
        <f t="shared" si="11"/>
        <v>224419.04141013155</v>
      </c>
      <c r="O100" s="195">
        <f t="shared" si="13"/>
        <v>89013.497267721687</v>
      </c>
      <c r="P100" s="195">
        <f t="shared" si="12"/>
        <v>328018.40544345067</v>
      </c>
      <c r="Q100" s="195">
        <f t="shared" si="14"/>
        <v>641450.94412130397</v>
      </c>
      <c r="R100" s="196">
        <f t="shared" si="15"/>
        <v>0.34986158094685404</v>
      </c>
      <c r="S100" s="170"/>
      <c r="T100" s="170"/>
      <c r="U100" s="195">
        <f t="shared" si="20"/>
        <v>4701.1614645723021</v>
      </c>
      <c r="V100" s="195">
        <f t="shared" si="16"/>
        <v>1374.3477920662117</v>
      </c>
      <c r="W100" s="195">
        <f t="shared" si="16"/>
        <v>5990.730990599026</v>
      </c>
      <c r="X100" s="195">
        <f t="shared" si="19"/>
        <v>12066.24024723754</v>
      </c>
      <c r="Y100" s="207">
        <f t="shared" si="18"/>
        <v>0.38961278478178751</v>
      </c>
      <c r="AC100" s="251">
        <f t="shared" si="17"/>
        <v>0.9989778495250009</v>
      </c>
    </row>
    <row r="101" spans="1:29" ht="15.6" x14ac:dyDescent="0.3">
      <c r="A101" s="206">
        <v>2030</v>
      </c>
      <c r="B101" s="253">
        <f>(B153/Population_Tables!O19)*Population_Tables!C19</f>
        <v>646783.24704840861</v>
      </c>
      <c r="C101" s="253">
        <f>(C153/Population_Tables!P19)*Population_Tables!D19</f>
        <v>184942.4895888904</v>
      </c>
      <c r="D101" s="253">
        <f>(D153/Population_Tables!Q19)*Population_Tables!E19</f>
        <v>57507.544581612143</v>
      </c>
      <c r="E101" s="253">
        <f>(E153/Population_Tables!R19)*Population_Tables!F19</f>
        <v>264487.46677997505</v>
      </c>
      <c r="F101" s="253">
        <f>(F153/Population_Tables!S19)*Population_Tables!G19</f>
        <v>57628.359581635792</v>
      </c>
      <c r="G101" s="253">
        <f>(G153/Population_Tables!T19)*Population_Tables!H19</f>
        <v>92704.616442570594</v>
      </c>
      <c r="H101" s="253">
        <f>(H153/Population_Tables!U19)*Population_Tables!I19</f>
        <v>91252.974608059449</v>
      </c>
      <c r="I101" s="253">
        <f>(I153/Population_Tables!V19)*Population_Tables!J19</f>
        <v>48441.276944757272</v>
      </c>
      <c r="J101" s="253">
        <f>(J153/Population_Tables!W19)*Population_Tables!K19</f>
        <v>79919.903591932147</v>
      </c>
      <c r="K101" s="253">
        <f>(K153/Population_Tables!X19)*Population_Tables!L19</f>
        <v>92229.609103413022</v>
      </c>
      <c r="L101" s="170"/>
      <c r="M101" s="170"/>
      <c r="N101" s="195">
        <f t="shared" si="11"/>
        <v>230862.8517535514</v>
      </c>
      <c r="O101" s="195">
        <f t="shared" si="13"/>
        <v>91252.974608059449</v>
      </c>
      <c r="P101" s="195">
        <f t="shared" si="12"/>
        <v>335154.65061307314</v>
      </c>
      <c r="Q101" s="195">
        <f t="shared" si="14"/>
        <v>657270.47697468405</v>
      </c>
      <c r="R101" s="196">
        <f t="shared" si="15"/>
        <v>0.35124482209543012</v>
      </c>
      <c r="S101" s="170"/>
      <c r="T101" s="170"/>
      <c r="U101" s="195">
        <f t="shared" si="20"/>
        <v>5568.376505470922</v>
      </c>
      <c r="V101" s="195">
        <f t="shared" si="16"/>
        <v>1620.6679649010475</v>
      </c>
      <c r="W101" s="195">
        <f t="shared" si="16"/>
        <v>7054.4292419949197</v>
      </c>
      <c r="X101" s="195">
        <f t="shared" si="19"/>
        <v>14243.473712366889</v>
      </c>
      <c r="Y101" s="207">
        <f t="shared" si="18"/>
        <v>0.39094230929328577</v>
      </c>
      <c r="AC101" s="251">
        <f t="shared" si="17"/>
        <v>0.99864581653006679</v>
      </c>
    </row>
    <row r="102" spans="1:29" ht="15.6" x14ac:dyDescent="0.3">
      <c r="A102" s="206">
        <v>2031</v>
      </c>
      <c r="B102" s="253">
        <f>(B154/Population_Tables!O20)*Population_Tables!C20</f>
        <v>662937.5146399918</v>
      </c>
      <c r="C102" s="253">
        <f>(C154/Population_Tables!P20)*Population_Tables!D20</f>
        <v>188563.57771123905</v>
      </c>
      <c r="D102" s="253">
        <f>(D154/Population_Tables!Q20)*Population_Tables!E20</f>
        <v>58751.956421219671</v>
      </c>
      <c r="E102" s="253">
        <f>(E154/Population_Tables!R20)*Population_Tables!F20</f>
        <v>271746.26510623709</v>
      </c>
      <c r="F102" s="253">
        <f>(F154/Population_Tables!S20)*Population_Tables!G20</f>
        <v>59262.344340210395</v>
      </c>
      <c r="G102" s="253">
        <f>(G154/Population_Tables!T20)*Population_Tables!H20</f>
        <v>95142.160121662251</v>
      </c>
      <c r="H102" s="253">
        <f>(H154/Population_Tables!U20)*Population_Tables!I20</f>
        <v>93431.706292769086</v>
      </c>
      <c r="I102" s="253">
        <f>(I154/Population_Tables!V20)*Population_Tables!J20</f>
        <v>50543.703462319107</v>
      </c>
      <c r="J102" s="253">
        <f>(J154/Population_Tables!W20)*Population_Tables!K20</f>
        <v>80718.556137527019</v>
      </c>
      <c r="K102" s="253">
        <f>(K154/Population_Tables!X20)*Population_Tables!L20</f>
        <v>93581.014641328802</v>
      </c>
      <c r="L102" s="170"/>
      <c r="M102" s="170"/>
      <c r="N102" s="195">
        <f t="shared" si="11"/>
        <v>237576.90315367837</v>
      </c>
      <c r="O102" s="195">
        <f t="shared" si="13"/>
        <v>93431.706292769086</v>
      </c>
      <c r="P102" s="195">
        <f t="shared" si="12"/>
        <v>342457.69425412099</v>
      </c>
      <c r="Q102" s="195">
        <f t="shared" si="14"/>
        <v>673466.30370056839</v>
      </c>
      <c r="R102" s="196">
        <f t="shared" si="15"/>
        <v>0.35276732012906775</v>
      </c>
      <c r="S102" s="170"/>
      <c r="T102" s="170"/>
      <c r="U102" s="195">
        <f t="shared" si="20"/>
        <v>6512.1748219955771</v>
      </c>
      <c r="V102" s="195">
        <f t="shared" si="16"/>
        <v>1885.8735032255208</v>
      </c>
      <c r="W102" s="195">
        <f t="shared" si="16"/>
        <v>8199.2803974216222</v>
      </c>
      <c r="X102" s="195">
        <f t="shared" si="19"/>
        <v>16597.32872264272</v>
      </c>
      <c r="Y102" s="207">
        <f t="shared" si="18"/>
        <v>0.39236282722480609</v>
      </c>
      <c r="AC102" s="251">
        <f t="shared" si="17"/>
        <v>0.99837233096639721</v>
      </c>
    </row>
    <row r="103" spans="1:29" ht="15.6" x14ac:dyDescent="0.3">
      <c r="A103" s="206">
        <v>2032</v>
      </c>
      <c r="B103" s="253">
        <f>(B155/Population_Tables!O21)*Population_Tables!C21</f>
        <v>679485.76348041464</v>
      </c>
      <c r="C103" s="253">
        <f>(C155/Population_Tables!P21)*Population_Tables!D21</f>
        <v>192266.0988325192</v>
      </c>
      <c r="D103" s="253">
        <f>(D155/Population_Tables!Q21)*Population_Tables!E21</f>
        <v>60023.174776747903</v>
      </c>
      <c r="E103" s="253">
        <f>(E155/Population_Tables!R21)*Population_Tables!F21</f>
        <v>279161.42700544401</v>
      </c>
      <c r="F103" s="253">
        <f>(F155/Population_Tables!S21)*Population_Tables!G21</f>
        <v>60947.378676567292</v>
      </c>
      <c r="G103" s="253">
        <f>(G155/Population_Tables!T21)*Population_Tables!H21</f>
        <v>97637.665655373887</v>
      </c>
      <c r="H103" s="253">
        <f>(H155/Population_Tables!U21)*Population_Tables!I21</f>
        <v>95550.197860659784</v>
      </c>
      <c r="I103" s="253">
        <f>(I155/Population_Tables!V21)*Population_Tables!J21</f>
        <v>52699.574577342028</v>
      </c>
      <c r="J103" s="253">
        <f>(J155/Population_Tables!W21)*Population_Tables!K21</f>
        <v>81516.364565101714</v>
      </c>
      <c r="K103" s="253">
        <f>(K155/Population_Tables!X21)*Population_Tables!L21</f>
        <v>94943.343473989808</v>
      </c>
      <c r="L103" s="170"/>
      <c r="M103" s="170"/>
      <c r="N103" s="195">
        <f t="shared" si="11"/>
        <v>244558.6078213515</v>
      </c>
      <c r="O103" s="195">
        <f t="shared" si="13"/>
        <v>95550.197860659784</v>
      </c>
      <c r="P103" s="195">
        <f t="shared" si="12"/>
        <v>349926.93926464103</v>
      </c>
      <c r="Q103" s="195">
        <f t="shared" si="14"/>
        <v>690035.74494665232</v>
      </c>
      <c r="R103" s="196">
        <f t="shared" si="15"/>
        <v>0.35441440477878239</v>
      </c>
      <c r="S103" s="170"/>
      <c r="T103" s="170"/>
      <c r="U103" s="195">
        <f t="shared" si="20"/>
        <v>7529.8856808271958</v>
      </c>
      <c r="V103" s="195">
        <f t="shared" si="16"/>
        <v>2168.5552611999301</v>
      </c>
      <c r="W103" s="195">
        <f t="shared" si="16"/>
        <v>9422.8508285853313</v>
      </c>
      <c r="X103" s="195">
        <f t="shared" si="19"/>
        <v>19121.291770612457</v>
      </c>
      <c r="Y103" s="207">
        <f t="shared" si="18"/>
        <v>0.39379586751559792</v>
      </c>
      <c r="AC103" s="251">
        <f t="shared" si="17"/>
        <v>0.99810654410063182</v>
      </c>
    </row>
    <row r="104" spans="1:29" ht="15.6" x14ac:dyDescent="0.3">
      <c r="A104" s="206">
        <v>2033</v>
      </c>
      <c r="B104" s="253">
        <f>(B156/Population_Tables!O22)*Population_Tables!C22</f>
        <v>696408.1389299219</v>
      </c>
      <c r="C104" s="253">
        <f>(C156/Population_Tables!P22)*Population_Tables!D22</f>
        <v>196045.49628626346</v>
      </c>
      <c r="D104" s="253">
        <f>(D156/Population_Tables!Q22)*Population_Tables!E22</f>
        <v>61320.711277678034</v>
      </c>
      <c r="E104" s="253">
        <f>(E156/Population_Tables!R22)*Population_Tables!F22</f>
        <v>286724.33039300132</v>
      </c>
      <c r="F104" s="253">
        <f>(F156/Population_Tables!S22)*Population_Tables!G22</f>
        <v>62681.804645770018</v>
      </c>
      <c r="G104" s="253">
        <f>(G156/Population_Tables!T22)*Population_Tables!H22</f>
        <v>100187.46436842771</v>
      </c>
      <c r="H104" s="253">
        <f>(H156/Population_Tables!U22)*Population_Tables!I22</f>
        <v>97607.321700079134</v>
      </c>
      <c r="I104" s="253">
        <f>(I156/Population_Tables!V22)*Population_Tables!J22</f>
        <v>54905.190664945796</v>
      </c>
      <c r="J104" s="253">
        <f>(J156/Population_Tables!W22)*Population_Tables!K22</f>
        <v>82311.114147398126</v>
      </c>
      <c r="K104" s="253">
        <f>(K156/Population_Tables!X22)*Population_Tables!L22</f>
        <v>96312.728756350974</v>
      </c>
      <c r="L104" s="170"/>
      <c r="M104" s="170"/>
      <c r="N104" s="195">
        <f t="shared" si="11"/>
        <v>251798.81333869218</v>
      </c>
      <c r="O104" s="195">
        <f t="shared" si="13"/>
        <v>97607.321700079134</v>
      </c>
      <c r="P104" s="195">
        <f t="shared" si="12"/>
        <v>357553.67193236918</v>
      </c>
      <c r="Q104" s="195">
        <f t="shared" si="14"/>
        <v>706959.80697114044</v>
      </c>
      <c r="R104" s="196">
        <f t="shared" si="15"/>
        <v>0.35617132806670454</v>
      </c>
      <c r="S104" s="170"/>
      <c r="T104" s="170"/>
      <c r="U104" s="195">
        <f t="shared" si="20"/>
        <v>8612.2737199291587</v>
      </c>
      <c r="V104" s="195">
        <f t="shared" si="16"/>
        <v>2465.6709425228764</v>
      </c>
      <c r="W104" s="195">
        <f t="shared" si="16"/>
        <v>10714.590296881448</v>
      </c>
      <c r="X104" s="195">
        <f t="shared" si="19"/>
        <v>21792.534959333483</v>
      </c>
      <c r="Y104" s="207">
        <f t="shared" si="18"/>
        <v>0.39519375492572628</v>
      </c>
      <c r="AC104" s="251">
        <f t="shared" si="17"/>
        <v>0.99778256083982453</v>
      </c>
    </row>
    <row r="105" spans="1:29" ht="15.6" x14ac:dyDescent="0.3">
      <c r="A105" s="206">
        <v>2034</v>
      </c>
      <c r="B105" s="253">
        <f>(B157/Population_Tables!O23)*Population_Tables!C23</f>
        <v>713674.93723927764</v>
      </c>
      <c r="C105" s="253">
        <f>(C157/Population_Tables!P23)*Population_Tables!D23</f>
        <v>199894.9081582551</v>
      </c>
      <c r="D105" s="253">
        <f>(D157/Population_Tables!Q23)*Population_Tables!E23</f>
        <v>62643.395718616404</v>
      </c>
      <c r="E105" s="253">
        <f>(E157/Population_Tables!R23)*Population_Tables!F23</f>
        <v>294421.94927610713</v>
      </c>
      <c r="F105" s="253">
        <f>(F157/Population_Tables!S23)*Population_Tables!G23</f>
        <v>64463.092049836741</v>
      </c>
      <c r="G105" s="253">
        <f>(G157/Population_Tables!T23)*Population_Tables!H23</f>
        <v>102786.47741232316</v>
      </c>
      <c r="H105" s="253">
        <f>(H157/Population_Tables!U23)*Population_Tables!I23</f>
        <v>99600.813817082628</v>
      </c>
      <c r="I105" s="253">
        <f>(I157/Population_Tables!V23)*Population_Tables!J23</f>
        <v>57155.647695969397</v>
      </c>
      <c r="J105" s="253">
        <f>(J157/Population_Tables!W23)*Population_Tables!K23</f>
        <v>83099.780239634085</v>
      </c>
      <c r="K105" s="253">
        <f>(K157/Population_Tables!X23)*Population_Tables!L23</f>
        <v>97684.079620724078</v>
      </c>
      <c r="L105" s="170"/>
      <c r="M105" s="170"/>
      <c r="N105" s="195">
        <f t="shared" si="11"/>
        <v>259284.22750886128</v>
      </c>
      <c r="O105" s="195">
        <f t="shared" si="13"/>
        <v>99600.813817082628</v>
      </c>
      <c r="P105" s="195">
        <f t="shared" si="12"/>
        <v>365324.78128919465</v>
      </c>
      <c r="Q105" s="195">
        <f t="shared" si="14"/>
        <v>724209.8226151386</v>
      </c>
      <c r="R105" s="196">
        <f t="shared" si="15"/>
        <v>0.35802362714797192</v>
      </c>
      <c r="S105" s="170"/>
      <c r="T105" s="170"/>
      <c r="U105" s="195">
        <f t="shared" si="20"/>
        <v>9745.9637983044086</v>
      </c>
      <c r="V105" s="195">
        <f t="shared" si="16"/>
        <v>2773.0418686009216</v>
      </c>
      <c r="W105" s="195">
        <f t="shared" si="16"/>
        <v>12059.551307858492</v>
      </c>
      <c r="X105" s="195">
        <f t="shared" si="19"/>
        <v>24578.556974763822</v>
      </c>
      <c r="Y105" s="207">
        <f t="shared" si="18"/>
        <v>0.3965230264865075</v>
      </c>
      <c r="AC105" s="251">
        <f t="shared" si="17"/>
        <v>0.99735501993726294</v>
      </c>
    </row>
    <row r="106" spans="1:29" ht="15.6" x14ac:dyDescent="0.3">
      <c r="A106" s="206">
        <v>2035</v>
      </c>
      <c r="B106" s="253">
        <f>(B158/Population_Tables!O24)*Population_Tables!C24</f>
        <v>731265.29906982079</v>
      </c>
      <c r="C106" s="253">
        <f>(C158/Population_Tables!P24)*Population_Tables!D24</f>
        <v>203809.27085941556</v>
      </c>
      <c r="D106" s="253">
        <f>(D158/Population_Tables!Q24)*Population_Tables!E24</f>
        <v>63990.542569639838</v>
      </c>
      <c r="E106" s="253">
        <f>(E158/Population_Tables!R24)*Population_Tables!F24</f>
        <v>302244.73529082054</v>
      </c>
      <c r="F106" s="253">
        <f>(F158/Population_Tables!S24)*Population_Tables!G24</f>
        <v>66289.701861961163</v>
      </c>
      <c r="G106" s="253">
        <f>(G158/Population_Tables!T24)*Population_Tables!H24</f>
        <v>105430.81532769203</v>
      </c>
      <c r="H106" s="253">
        <f>(H158/Population_Tables!U24)*Population_Tables!I24</f>
        <v>101529.18660827848</v>
      </c>
      <c r="I106" s="253">
        <f>(I158/Population_Tables!V24)*Population_Tables!J24</f>
        <v>59446.70462961118</v>
      </c>
      <c r="J106" s="253">
        <f>(J158/Population_Tables!W24)*Population_Tables!K24</f>
        <v>83880.072517948211</v>
      </c>
      <c r="K106" s="253">
        <f>(K158/Population_Tables!X24)*Population_Tables!L24</f>
        <v>99053.502574375816</v>
      </c>
      <c r="L106" s="170"/>
      <c r="M106" s="170"/>
      <c r="N106" s="195">
        <f t="shared" si="11"/>
        <v>267005.25054450321</v>
      </c>
      <c r="O106" s="195">
        <f t="shared" si="13"/>
        <v>101529.18660827848</v>
      </c>
      <c r="P106" s="195">
        <f t="shared" si="12"/>
        <v>373230.62875674741</v>
      </c>
      <c r="Q106" s="195">
        <f t="shared" si="14"/>
        <v>741765.0659095291</v>
      </c>
      <c r="R106" s="196">
        <f t="shared" si="15"/>
        <v>0.35995932245354495</v>
      </c>
      <c r="S106" s="170"/>
      <c r="T106" s="170"/>
      <c r="U106" s="195">
        <f t="shared" si="20"/>
        <v>10921.273184439284</v>
      </c>
      <c r="V106" s="195">
        <f t="shared" si="16"/>
        <v>3087.2657513933518</v>
      </c>
      <c r="W106" s="195">
        <f t="shared" si="16"/>
        <v>13446.25875680591</v>
      </c>
      <c r="X106" s="195">
        <f t="shared" si="19"/>
        <v>27454.797692638545</v>
      </c>
      <c r="Y106" s="207">
        <f t="shared" si="18"/>
        <v>0.39779106394098851</v>
      </c>
      <c r="AC106" s="251">
        <f t="shared" si="17"/>
        <v>0.99683113446447169</v>
      </c>
    </row>
    <row r="107" spans="1:29" ht="15.6" x14ac:dyDescent="0.3">
      <c r="A107" s="206">
        <v>2036</v>
      </c>
      <c r="B107" s="253">
        <f>(B159/Population_Tables!O25)*Population_Tables!C25</f>
        <v>749173.53205206315</v>
      </c>
      <c r="C107" s="253">
        <f>(C159/Population_Tables!P25)*Population_Tables!D25</f>
        <v>207786.68489098584</v>
      </c>
      <c r="D107" s="253">
        <f>(D159/Population_Tables!Q25)*Population_Tables!E25</f>
        <v>65362.280013791009</v>
      </c>
      <c r="E107" s="253">
        <f>(E159/Population_Tables!R25)*Population_Tables!F25</f>
        <v>310189.5169033031</v>
      </c>
      <c r="F107" s="253">
        <f>(F159/Population_Tables!S25)*Population_Tables!G25</f>
        <v>68161.673755186261</v>
      </c>
      <c r="G107" s="253">
        <f>(G159/Population_Tables!T25)*Population_Tables!H25</f>
        <v>108118.52445082848</v>
      </c>
      <c r="H107" s="253">
        <f>(H159/Population_Tables!U25)*Population_Tables!I25</f>
        <v>103392.42651281574</v>
      </c>
      <c r="I107" s="253">
        <f>(I159/Population_Tables!V25)*Population_Tables!J25</f>
        <v>61775.691795369181</v>
      </c>
      <c r="J107" s="253">
        <f>(J159/Population_Tables!W25)*Population_Tables!K25</f>
        <v>84650.790423626386</v>
      </c>
      <c r="K107" s="253">
        <f>(K159/Population_Tables!X25)*Population_Tables!L25</f>
        <v>100419.14470291756</v>
      </c>
      <c r="L107" s="170"/>
      <c r="M107" s="170"/>
      <c r="N107" s="195">
        <f t="shared" si="11"/>
        <v>274958.7641456736</v>
      </c>
      <c r="O107" s="195">
        <f t="shared" si="13"/>
        <v>103392.42651281574</v>
      </c>
      <c r="P107" s="195">
        <f t="shared" si="12"/>
        <v>381267.48935560533</v>
      </c>
      <c r="Q107" s="195">
        <f t="shared" si="14"/>
        <v>759618.68001409469</v>
      </c>
      <c r="R107" s="196">
        <f t="shared" si="15"/>
        <v>0.36196946096766835</v>
      </c>
      <c r="S107" s="170"/>
      <c r="T107" s="170"/>
      <c r="U107" s="195">
        <f t="shared" si="20"/>
        <v>12135.000634231372</v>
      </c>
      <c r="V107" s="195">
        <f t="shared" si="16"/>
        <v>3406.4143454002624</v>
      </c>
      <c r="W107" s="195">
        <f t="shared" si="16"/>
        <v>14869.151137960958</v>
      </c>
      <c r="X107" s="195">
        <f t="shared" si="19"/>
        <v>30410.566117592592</v>
      </c>
      <c r="Y107" s="207">
        <f t="shared" si="18"/>
        <v>0.39903895860758876</v>
      </c>
      <c r="AC107" s="251">
        <f t="shared" si="17"/>
        <v>0.99626002330866115</v>
      </c>
    </row>
    <row r="108" spans="1:29" ht="15.6" x14ac:dyDescent="0.3">
      <c r="A108" s="206">
        <v>2037</v>
      </c>
      <c r="B108" s="253">
        <f>(B160/Population_Tables!O26)*Population_Tables!C26</f>
        <v>767411.77277512068</v>
      </c>
      <c r="C108" s="253">
        <f>(C160/Population_Tables!P26)*Population_Tables!D26</f>
        <v>211829.11189234836</v>
      </c>
      <c r="D108" s="253">
        <f>(D160/Population_Tables!Q26)*Population_Tables!E26</f>
        <v>66759.965587671279</v>
      </c>
      <c r="E108" s="253">
        <f>(E160/Population_Tables!R26)*Population_Tables!F26</f>
        <v>318260.67027466337</v>
      </c>
      <c r="F108" s="253">
        <f>(F160/Population_Tables!S26)*Population_Tables!G26</f>
        <v>70080.775538944465</v>
      </c>
      <c r="G108" s="253">
        <f>(G160/Population_Tables!T26)*Population_Tables!H26</f>
        <v>110850.25062157538</v>
      </c>
      <c r="H108" s="253">
        <f>(H160/Population_Tables!U26)*Population_Tables!I26</f>
        <v>105192.36876285523</v>
      </c>
      <c r="I108" s="253">
        <f>(I160/Population_Tables!V26)*Population_Tables!J26</f>
        <v>64141.619689874402</v>
      </c>
      <c r="J108" s="253">
        <f>(J160/Population_Tables!W26)*Population_Tables!K26</f>
        <v>85412.221953899003</v>
      </c>
      <c r="K108" s="253">
        <f>(K160/Population_Tables!X26)*Population_Tables!L26</f>
        <v>101781.32089482466</v>
      </c>
      <c r="L108" s="170"/>
      <c r="M108" s="170"/>
      <c r="N108" s="195">
        <f t="shared" si="11"/>
        <v>283149.07705075259</v>
      </c>
      <c r="O108" s="195">
        <f t="shared" si="13"/>
        <v>105192.36876285523</v>
      </c>
      <c r="P108" s="195">
        <f t="shared" si="12"/>
        <v>389439.32810159505</v>
      </c>
      <c r="Q108" s="195">
        <f t="shared" si="14"/>
        <v>777780.77391520282</v>
      </c>
      <c r="R108" s="196">
        <f t="shared" si="15"/>
        <v>0.36404741097601723</v>
      </c>
      <c r="S108" s="170"/>
      <c r="T108" s="170"/>
      <c r="U108" s="195">
        <f t="shared" si="20"/>
        <v>13391.371941902849</v>
      </c>
      <c r="V108" s="195">
        <f t="shared" si="16"/>
        <v>3730.4081981335476</v>
      </c>
      <c r="W108" s="195">
        <f t="shared" si="16"/>
        <v>16330.356940809696</v>
      </c>
      <c r="X108" s="195">
        <f t="shared" si="19"/>
        <v>33452.137080846092</v>
      </c>
      <c r="Y108" s="207">
        <f t="shared" si="18"/>
        <v>0.40031439275580494</v>
      </c>
      <c r="AC108" s="251">
        <f t="shared" si="17"/>
        <v>0.995701671300248</v>
      </c>
    </row>
    <row r="109" spans="1:29" ht="15.6" x14ac:dyDescent="0.3">
      <c r="A109" s="206">
        <v>2038</v>
      </c>
      <c r="B109" s="253">
        <f>(B161/Population_Tables!O27)*Population_Tables!C27</f>
        <v>785999.53128359921</v>
      </c>
      <c r="C109" s="253">
        <f>(C161/Population_Tables!P27)*Population_Tables!D27</f>
        <v>215940.15689259689</v>
      </c>
      <c r="D109" s="253">
        <f>(D161/Population_Tables!Q27)*Population_Tables!E27</f>
        <v>68185.598584278734</v>
      </c>
      <c r="E109" s="253">
        <f>(E161/Population_Tables!R27)*Population_Tables!F27</f>
        <v>326465.6051014383</v>
      </c>
      <c r="F109" s="253">
        <f>(F161/Population_Tables!S27)*Population_Tables!G27</f>
        <v>72049.40466003686</v>
      </c>
      <c r="G109" s="253">
        <f>(G161/Population_Tables!T27)*Population_Tables!H27</f>
        <v>113628.22575440365</v>
      </c>
      <c r="H109" s="253">
        <f>(H161/Population_Tables!U27)*Population_Tables!I27</f>
        <v>106931.66947178254</v>
      </c>
      <c r="I109" s="253">
        <f>(I161/Population_Tables!V27)*Population_Tables!J27</f>
        <v>66543.954810633586</v>
      </c>
      <c r="J109" s="253">
        <f>(J161/Population_Tables!W27)*Population_Tables!K27</f>
        <v>86165.331367410152</v>
      </c>
      <c r="K109" s="253">
        <f>(K161/Population_Tables!X27)*Population_Tables!L27</f>
        <v>103141.04888504425</v>
      </c>
      <c r="L109" s="170"/>
      <c r="M109" s="170"/>
      <c r="N109" s="195">
        <f t="shared" si="11"/>
        <v>291583.34028969263</v>
      </c>
      <c r="O109" s="195">
        <f t="shared" si="13"/>
        <v>106931.66947178254</v>
      </c>
      <c r="P109" s="195">
        <f t="shared" si="12"/>
        <v>397753.98123127932</v>
      </c>
      <c r="Q109" s="195">
        <f t="shared" si="14"/>
        <v>796268.99099275446</v>
      </c>
      <c r="R109" s="196">
        <f t="shared" si="15"/>
        <v>0.36618698403181427</v>
      </c>
      <c r="S109" s="170"/>
      <c r="T109" s="170"/>
      <c r="U109" s="195">
        <f t="shared" si="20"/>
        <v>14697.455193248228</v>
      </c>
      <c r="V109" s="195">
        <f t="shared" si="16"/>
        <v>4059.9887383298483</v>
      </c>
      <c r="W109" s="195">
        <f t="shared" si="16"/>
        <v>17835.875875574362</v>
      </c>
      <c r="X109" s="195">
        <f t="shared" si="19"/>
        <v>36593.319807152438</v>
      </c>
      <c r="Y109" s="207">
        <f t="shared" si="18"/>
        <v>0.40164312149605785</v>
      </c>
      <c r="AC109" s="251">
        <f t="shared" si="17"/>
        <v>0.99519317549207098</v>
      </c>
    </row>
    <row r="110" spans="1:29" ht="15.6" x14ac:dyDescent="0.3">
      <c r="A110" s="206">
        <v>2039</v>
      </c>
      <c r="B110" s="253">
        <f>(B162/Population_Tables!O28)*Population_Tables!C28</f>
        <v>804966.57088384032</v>
      </c>
      <c r="C110" s="253">
        <f>(C162/Population_Tables!P28)*Population_Tables!D28</f>
        <v>220125.714319791</v>
      </c>
      <c r="D110" s="253">
        <f>(D162/Population_Tables!Q28)*Population_Tables!E28</f>
        <v>69642.025234228713</v>
      </c>
      <c r="E110" s="253">
        <f>(E162/Population_Tables!R28)*Population_Tables!F28</f>
        <v>334816.27807849058</v>
      </c>
      <c r="F110" s="253">
        <f>(F162/Population_Tables!S28)*Population_Tables!G28</f>
        <v>74070.844663760188</v>
      </c>
      <c r="G110" s="253">
        <f>(G162/Population_Tables!T28)*Population_Tables!H28</f>
        <v>116456.27543531678</v>
      </c>
      <c r="H110" s="253">
        <f>(H162/Population_Tables!U28)*Population_Tables!I28</f>
        <v>108614.11540670085</v>
      </c>
      <c r="I110" s="253">
        <f>(I162/Population_Tables!V28)*Population_Tables!J28</f>
        <v>68983.164053223925</v>
      </c>
      <c r="J110" s="253">
        <f>(J162/Population_Tables!W28)*Population_Tables!K28</f>
        <v>86911.960164032949</v>
      </c>
      <c r="K110" s="253">
        <f>(K162/Population_Tables!X28)*Population_Tables!L28</f>
        <v>104500.47434029759</v>
      </c>
      <c r="L110" s="170"/>
      <c r="M110" s="170"/>
      <c r="N110" s="195">
        <f t="shared" si="11"/>
        <v>300273.00733554992</v>
      </c>
      <c r="O110" s="195">
        <f t="shared" si="13"/>
        <v>108614.11540670085</v>
      </c>
      <c r="P110" s="195">
        <f t="shared" si="12"/>
        <v>406224.01498933649</v>
      </c>
      <c r="Q110" s="195">
        <f t="shared" si="14"/>
        <v>815111.13773158728</v>
      </c>
      <c r="R110" s="196">
        <f t="shared" si="15"/>
        <v>0.36838290318445949</v>
      </c>
      <c r="S110" s="170"/>
      <c r="T110" s="170"/>
      <c r="U110" s="195">
        <f t="shared" si="20"/>
        <v>16064.620917165652</v>
      </c>
      <c r="V110" s="195">
        <f t="shared" si="16"/>
        <v>4397.0280484433752</v>
      </c>
      <c r="W110" s="195">
        <f t="shared" si="16"/>
        <v>19396.437660592666</v>
      </c>
      <c r="X110" s="195">
        <f t="shared" si="19"/>
        <v>39858.086626201693</v>
      </c>
      <c r="Y110" s="207">
        <f t="shared" si="18"/>
        <v>0.40304546145988801</v>
      </c>
      <c r="AC110" s="251">
        <f t="shared" si="17"/>
        <v>0.99476368503656887</v>
      </c>
    </row>
    <row r="111" spans="1:29" ht="15.6" x14ac:dyDescent="0.3">
      <c r="A111" s="206">
        <v>2040</v>
      </c>
      <c r="B111" s="253">
        <f>(B163/Population_Tables!O29)*Population_Tables!C29</f>
        <v>824340.11588389601</v>
      </c>
      <c r="C111" s="253">
        <f>(C163/Population_Tables!P29)*Population_Tables!D29</f>
        <v>224391.02407321669</v>
      </c>
      <c r="D111" s="253">
        <f>(D163/Population_Tables!Q29)*Population_Tables!E29</f>
        <v>71131.862202486038</v>
      </c>
      <c r="E111" s="253">
        <f>(E163/Population_Tables!R29)*Population_Tables!F29</f>
        <v>343323.84126234177</v>
      </c>
      <c r="F111" s="253">
        <f>(F163/Population_Tables!S29)*Population_Tables!G29</f>
        <v>76148.069950809004</v>
      </c>
      <c r="G111" s="253">
        <f>(G163/Population_Tables!T29)*Population_Tables!H29</f>
        <v>119337.83093903292</v>
      </c>
      <c r="H111" s="253">
        <f>(H163/Population_Tables!U29)*Population_Tables!I29</f>
        <v>110243.23016297698</v>
      </c>
      <c r="I111" s="253">
        <f>(I163/Population_Tables!V29)*Population_Tables!J29</f>
        <v>71459.670535202342</v>
      </c>
      <c r="J111" s="253">
        <f>(J163/Population_Tables!W29)*Population_Tables!K29</f>
        <v>87653.601313641426</v>
      </c>
      <c r="K111" s="253">
        <f>(K163/Population_Tables!X29)*Population_Tables!L29</f>
        <v>105861.38814448574</v>
      </c>
      <c r="L111" s="170"/>
      <c r="M111" s="170"/>
      <c r="N111" s="195">
        <f t="shared" si="11"/>
        <v>309228.68105017382</v>
      </c>
      <c r="O111" s="195">
        <f t="shared" si="13"/>
        <v>110243.23016297698</v>
      </c>
      <c r="P111" s="195">
        <f t="shared" si="12"/>
        <v>414860.71721473569</v>
      </c>
      <c r="Q111" s="195">
        <f t="shared" si="14"/>
        <v>834332.62842788652</v>
      </c>
      <c r="R111" s="196">
        <f>N111/Q111</f>
        <v>0.37062997480135257</v>
      </c>
      <c r="S111" s="170"/>
      <c r="T111" s="170"/>
      <c r="U111" s="195">
        <f t="shared" si="20"/>
        <v>17503.389031346305</v>
      </c>
      <c r="V111" s="195">
        <f t="shared" si="16"/>
        <v>4743.1350391920423</v>
      </c>
      <c r="W111" s="195">
        <f t="shared" si="16"/>
        <v>21021.493608493125</v>
      </c>
      <c r="X111" s="195">
        <f t="shared" si="19"/>
        <v>43268.017679031473</v>
      </c>
      <c r="Y111" s="207">
        <f t="shared" si="18"/>
        <v>0.40453411018709068</v>
      </c>
      <c r="AC111" s="251">
        <f t="shared" si="17"/>
        <v>0.99442967067937271</v>
      </c>
    </row>
    <row r="112" spans="1:29" ht="15.6" x14ac:dyDescent="0.3">
      <c r="A112" s="206">
        <v>2041</v>
      </c>
      <c r="B112" s="253">
        <f>(B164/Population_Tables!O30)*Population_Tables!C30</f>
        <v>844133.57194785774</v>
      </c>
      <c r="C112" s="253">
        <f>(C164/Population_Tables!P30)*Population_Tables!D30</f>
        <v>228738.77029324093</v>
      </c>
      <c r="D112" s="253">
        <f>(D164/Population_Tables!Q30)*Population_Tables!E30</f>
        <v>72656.70045720553</v>
      </c>
      <c r="E112" s="253">
        <f>(E164/Population_Tables!R30)*Population_Tables!F30</f>
        <v>351993.54287035414</v>
      </c>
      <c r="F112" s="253">
        <f>(F164/Population_Tables!S30)*Population_Tables!G30</f>
        <v>78282.735901730906</v>
      </c>
      <c r="G112" s="253">
        <f>(G164/Population_Tables!T30)*Population_Tables!H30</f>
        <v>122274.02890284732</v>
      </c>
      <c r="H112" s="253">
        <f>(H164/Population_Tables!U30)*Population_Tables!I30</f>
        <v>111821.01235611449</v>
      </c>
      <c r="I112" s="253">
        <f>(I164/Population_Tables!V30)*Population_Tables!J30</f>
        <v>73972.655949414548</v>
      </c>
      <c r="J112" s="253">
        <f>(J164/Population_Tables!W30)*Population_Tables!K30</f>
        <v>88390.70037196645</v>
      </c>
      <c r="K112" s="253">
        <f>(K164/Population_Tables!X30)*Population_Tables!L30</f>
        <v>107224.19011073452</v>
      </c>
      <c r="L112" s="170"/>
      <c r="M112" s="170"/>
      <c r="N112" s="195">
        <f t="shared" si="11"/>
        <v>318455.26641597052</v>
      </c>
      <c r="O112" s="195">
        <f t="shared" si="13"/>
        <v>111821.01235611449</v>
      </c>
      <c r="P112" s="195">
        <f t="shared" si="12"/>
        <v>423669.49965329375</v>
      </c>
      <c r="Q112" s="195">
        <f t="shared" si="14"/>
        <v>853945.77842537872</v>
      </c>
      <c r="R112" s="196">
        <f t="shared" si="15"/>
        <v>0.37292211573805262</v>
      </c>
      <c r="S112" s="170"/>
      <c r="T112" s="170"/>
      <c r="U112" s="195">
        <f t="shared" si="20"/>
        <v>19018.581574038602</v>
      </c>
      <c r="V112" s="195">
        <f t="shared" si="16"/>
        <v>5098.393641430448</v>
      </c>
      <c r="W112" s="195">
        <f t="shared" si="16"/>
        <v>22714.618938751984</v>
      </c>
      <c r="X112" s="195">
        <f t="shared" si="19"/>
        <v>46831.594154221035</v>
      </c>
      <c r="Y112" s="207">
        <f t="shared" si="18"/>
        <v>0.4061057907063455</v>
      </c>
      <c r="AC112" s="251">
        <f t="shared" si="17"/>
        <v>0.99418483314427719</v>
      </c>
    </row>
    <row r="113" spans="1:29" ht="15.6" x14ac:dyDescent="0.3">
      <c r="A113" s="206">
        <v>2042</v>
      </c>
      <c r="B113" s="253">
        <f>(B165/Population_Tables!O31)*Population_Tables!C31</f>
        <v>864356.84734364517</v>
      </c>
      <c r="C113" s="253">
        <f>(C165/Population_Tables!P31)*Population_Tables!D31</f>
        <v>233170.34185715605</v>
      </c>
      <c r="D113" s="253">
        <f>(D165/Population_Tables!Q31)*Population_Tables!E31</f>
        <v>74217.711676110004</v>
      </c>
      <c r="E113" s="253">
        <f>(E165/Population_Tables!R31)*Population_Tables!F31</f>
        <v>360829.5484602077</v>
      </c>
      <c r="F113" s="253">
        <f>(F165/Population_Tables!S31)*Population_Tables!G31</f>
        <v>80476.150034086604</v>
      </c>
      <c r="G113" s="253">
        <f>(G165/Population_Tables!T31)*Population_Tables!H31</f>
        <v>125265.19485211026</v>
      </c>
      <c r="H113" s="253">
        <f>(H165/Population_Tables!U31)*Population_Tables!I31</f>
        <v>113349.06881423399</v>
      </c>
      <c r="I113" s="253">
        <f>(I165/Population_Tables!V31)*Population_Tables!J31</f>
        <v>76521.300628997022</v>
      </c>
      <c r="J113" s="253">
        <f>(J165/Population_Tables!W31)*Population_Tables!K31</f>
        <v>89123.154213909103</v>
      </c>
      <c r="K113" s="253">
        <f>(K165/Population_Tables!X31)*Population_Tables!L31</f>
        <v>108588.73531130182</v>
      </c>
      <c r="L113" s="170"/>
      <c r="M113" s="170"/>
      <c r="N113" s="195">
        <f t="shared" si="11"/>
        <v>327956.62968006032</v>
      </c>
      <c r="O113" s="195">
        <f t="shared" si="13"/>
        <v>113349.06881423399</v>
      </c>
      <c r="P113" s="195">
        <f t="shared" si="12"/>
        <v>432653.2483853763</v>
      </c>
      <c r="Q113" s="195">
        <f t="shared" si="14"/>
        <v>873958.94687967061</v>
      </c>
      <c r="R113" s="196">
        <f t="shared" si="15"/>
        <v>0.37525404465618956</v>
      </c>
      <c r="S113" s="170"/>
      <c r="T113" s="170"/>
      <c r="U113" s="195">
        <f t="shared" si="20"/>
        <v>20613.981848204741</v>
      </c>
      <c r="V113" s="195">
        <f t="shared" si="16"/>
        <v>5462.4959986302711</v>
      </c>
      <c r="W113" s="195">
        <f t="shared" si="16"/>
        <v>24476.863205394358</v>
      </c>
      <c r="X113" s="195">
        <f t="shared" si="19"/>
        <v>50553.341052229371</v>
      </c>
      <c r="Y113" s="207">
        <f t="shared" si="18"/>
        <v>0.40776695306660998</v>
      </c>
      <c r="AC113" s="251">
        <f t="shared" si="17"/>
        <v>0.99403178883292409</v>
      </c>
    </row>
    <row r="114" spans="1:29" ht="15.6" x14ac:dyDescent="0.3">
      <c r="A114" s="206">
        <v>2043</v>
      </c>
      <c r="B114" s="253">
        <f>(B166/Population_Tables!O32)*Population_Tables!C32</f>
        <v>885032.16070893523</v>
      </c>
      <c r="C114" s="253">
        <f>(C166/Population_Tables!P32)*Population_Tables!D32</f>
        <v>237688.99920183397</v>
      </c>
      <c r="D114" s="253">
        <f>(D166/Population_Tables!Q32)*Population_Tables!E32</f>
        <v>75816.770523604268</v>
      </c>
      <c r="E114" s="253">
        <f>(E166/Population_Tables!R32)*Population_Tables!F32</f>
        <v>369841.99052988435</v>
      </c>
      <c r="F114" s="253">
        <f>(F166/Population_Tables!S32)*Population_Tables!G32</f>
        <v>82730.712164295575</v>
      </c>
      <c r="G114" s="253">
        <f>(G166/Population_Tables!T32)*Population_Tables!H32</f>
        <v>128313.28180185119</v>
      </c>
      <c r="H114" s="253">
        <f>(H166/Population_Tables!U32)*Population_Tables!I32</f>
        <v>114830.36529829707</v>
      </c>
      <c r="I114" s="253">
        <f>(I166/Population_Tables!V32)*Population_Tables!J32</f>
        <v>79106.430652830357</v>
      </c>
      <c r="J114" s="253">
        <f>(J166/Population_Tables!W32)*Population_Tables!K32</f>
        <v>89851.523957778831</v>
      </c>
      <c r="K114" s="253">
        <f>(K166/Population_Tables!X32)*Population_Tables!L32</f>
        <v>109955.8552098917</v>
      </c>
      <c r="L114" s="170"/>
      <c r="M114" s="170"/>
      <c r="N114" s="195">
        <f t="shared" si="11"/>
        <v>337742.33739588287</v>
      </c>
      <c r="O114" s="195">
        <f t="shared" si="13"/>
        <v>114830.36529829707</v>
      </c>
      <c r="P114" s="195">
        <f t="shared" si="12"/>
        <v>441819.05152728938</v>
      </c>
      <c r="Q114" s="195">
        <f t="shared" si="14"/>
        <v>894391.75422146928</v>
      </c>
      <c r="R114" s="196">
        <f t="shared" si="15"/>
        <v>0.37762237386666597</v>
      </c>
      <c r="S114" s="170"/>
      <c r="T114" s="170"/>
      <c r="U114" s="195">
        <f t="shared" si="20"/>
        <v>22299.073463126435</v>
      </c>
      <c r="V114" s="195">
        <f t="shared" si="16"/>
        <v>5836.4931871041626</v>
      </c>
      <c r="W114" s="195">
        <f t="shared" si="16"/>
        <v>26313.477998385613</v>
      </c>
      <c r="X114" s="195">
        <f t="shared" si="19"/>
        <v>54449.044648616211</v>
      </c>
      <c r="Y114" s="207">
        <f t="shared" si="18"/>
        <v>0.40954021520546829</v>
      </c>
      <c r="AC114" s="251">
        <f t="shared" si="17"/>
        <v>0.99399143371974619</v>
      </c>
    </row>
    <row r="115" spans="1:29" ht="15.6" x14ac:dyDescent="0.3">
      <c r="A115" s="206">
        <v>2044</v>
      </c>
      <c r="B115" s="253">
        <f>(B167/Population_Tables!O33)*Population_Tables!C33</f>
        <v>906184.49806420063</v>
      </c>
      <c r="C115" s="253">
        <f>(C167/Population_Tables!P33)*Population_Tables!D33</f>
        <v>242298.1321995139</v>
      </c>
      <c r="D115" s="253">
        <f>(D167/Population_Tables!Q33)*Population_Tables!E33</f>
        <v>77455.807152495676</v>
      </c>
      <c r="E115" s="253">
        <f>(E167/Population_Tables!R33)*Population_Tables!F33</f>
        <v>379042.77161981014</v>
      </c>
      <c r="F115" s="253">
        <f>(F167/Population_Tables!S33)*Population_Tables!G33</f>
        <v>85049.003804648222</v>
      </c>
      <c r="G115" s="253">
        <f>(G167/Population_Tables!T33)*Population_Tables!H33</f>
        <v>131420.46753050506</v>
      </c>
      <c r="H115" s="253">
        <f>(H167/Population_Tables!U33)*Population_Tables!I33</f>
        <v>116268.18291384185</v>
      </c>
      <c r="I115" s="253">
        <f>(I167/Population_Tables!V33)*Population_Tables!J33</f>
        <v>81729.504132526316</v>
      </c>
      <c r="J115" s="253">
        <f>(J167/Population_Tables!W33)*Population_Tables!K33</f>
        <v>90576.364664703127</v>
      </c>
      <c r="K115" s="253">
        <f>(K167/Population_Tables!X33)*Population_Tables!L33</f>
        <v>111326.50061295144</v>
      </c>
      <c r="L115" s="170"/>
      <c r="M115" s="170"/>
      <c r="N115" s="195">
        <f t="shared" si="11"/>
        <v>347823.59251061652</v>
      </c>
      <c r="O115" s="195">
        <f t="shared" si="13"/>
        <v>116268.18291384185</v>
      </c>
      <c r="P115" s="195">
        <f t="shared" si="12"/>
        <v>451174.4068825146</v>
      </c>
      <c r="Q115" s="195">
        <f t="shared" si="14"/>
        <v>915266.18230697303</v>
      </c>
      <c r="R115" s="196">
        <f t="shared" si="15"/>
        <v>0.38002452099116152</v>
      </c>
      <c r="S115" s="170"/>
      <c r="T115" s="170"/>
      <c r="U115" s="195">
        <f t="shared" si="20"/>
        <v>24084.976421823958</v>
      </c>
      <c r="V115" s="195">
        <f t="shared" si="16"/>
        <v>6221.7516277412942</v>
      </c>
      <c r="W115" s="195">
        <f t="shared" si="16"/>
        <v>28230.12459486688</v>
      </c>
      <c r="X115" s="195">
        <f t="shared" si="19"/>
        <v>58536.852644432132</v>
      </c>
      <c r="Y115" s="207">
        <f t="shared" si="18"/>
        <v>0.41144980185597418</v>
      </c>
      <c r="AC115" s="251">
        <f t="shared" si="17"/>
        <v>0.99408448279847239</v>
      </c>
    </row>
    <row r="116" spans="1:29" ht="15.6" x14ac:dyDescent="0.3">
      <c r="A116" s="206">
        <v>2045</v>
      </c>
      <c r="B116" s="253">
        <f>(B168/Population_Tables!O34)*Population_Tables!C34</f>
        <v>927838.05807096825</v>
      </c>
      <c r="C116" s="253">
        <f>(C168/Population_Tables!P34)*Population_Tables!D34</f>
        <v>247001.50376574739</v>
      </c>
      <c r="D116" s="253">
        <f>(D168/Population_Tables!Q34)*Population_Tables!E34</f>
        <v>79136.818130289437</v>
      </c>
      <c r="E116" s="253">
        <f>(E168/Population_Tables!R34)*Population_Tables!F34</f>
        <v>388443.35646480479</v>
      </c>
      <c r="F116" s="253">
        <f>(F168/Population_Tables!S34)*Population_Tables!G34</f>
        <v>87433.496989038598</v>
      </c>
      <c r="G116" s="253">
        <f>(G168/Population_Tables!T34)*Population_Tables!H34</f>
        <v>134588.92617789665</v>
      </c>
      <c r="H116" s="253">
        <f>(H168/Population_Tables!U34)*Population_Tables!I34</f>
        <v>117665.66655982462</v>
      </c>
      <c r="I116" s="253">
        <f>(I168/Population_Tables!V34)*Population_Tables!J34</f>
        <v>84391.84503880456</v>
      </c>
      <c r="J116" s="253">
        <f>(J168/Population_Tables!W34)*Population_Tables!K34</f>
        <v>91298.326895166771</v>
      </c>
      <c r="K116" s="253">
        <f>(K168/Population_Tables!X34)*Population_Tables!L34</f>
        <v>112701.71709909571</v>
      </c>
      <c r="L116" s="170"/>
      <c r="M116" s="170"/>
      <c r="N116" s="195">
        <f t="shared" si="11"/>
        <v>358211.18689401879</v>
      </c>
      <c r="O116" s="195">
        <f t="shared" si="13"/>
        <v>117665.66655982462</v>
      </c>
      <c r="P116" s="195">
        <f t="shared" si="12"/>
        <v>460727.24807393353</v>
      </c>
      <c r="Q116" s="195">
        <f t="shared" si="14"/>
        <v>936604.10152777692</v>
      </c>
      <c r="R116" s="196">
        <f t="shared" si="15"/>
        <v>0.38245741857174143</v>
      </c>
      <c r="S116" s="170"/>
      <c r="T116" s="170"/>
      <c r="U116" s="195">
        <f t="shared" si="20"/>
        <v>25982.399649896834</v>
      </c>
      <c r="V116" s="195">
        <f t="shared" si="16"/>
        <v>6619.5015348489978</v>
      </c>
      <c r="W116" s="195">
        <f t="shared" si="16"/>
        <v>30232.900091379182</v>
      </c>
      <c r="X116" s="195">
        <f t="shared" si="19"/>
        <v>62834.801276125014</v>
      </c>
      <c r="Y116" s="207">
        <f t="shared" si="18"/>
        <v>0.41350333131027533</v>
      </c>
      <c r="AC116" s="251">
        <f t="shared" si="17"/>
        <v>0.99431313087136652</v>
      </c>
    </row>
    <row r="117" spans="1:29" ht="15.6" x14ac:dyDescent="0.3">
      <c r="A117" s="206">
        <v>2046</v>
      </c>
      <c r="B117" s="253">
        <f>(B169/Population_Tables!O35)*Population_Tables!C35</f>
        <v>950012.37623630103</v>
      </c>
      <c r="C117" s="253">
        <f>(C169/Population_Tables!P35)*Population_Tables!D35</f>
        <v>251802.63805705725</v>
      </c>
      <c r="D117" s="253">
        <f>(D169/Population_Tables!Q35)*Population_Tables!E35</f>
        <v>80861.749447369468</v>
      </c>
      <c r="E117" s="253">
        <f>(E169/Population_Tables!R35)*Population_Tables!F35</f>
        <v>398052.58141092246</v>
      </c>
      <c r="F117" s="253">
        <f>(F169/Population_Tables!S35)*Population_Tables!G35</f>
        <v>89886.293907044252</v>
      </c>
      <c r="G117" s="253">
        <f>(G169/Population_Tables!T35)*Population_Tables!H35</f>
        <v>137820.43326257754</v>
      </c>
      <c r="H117" s="253">
        <f>(H169/Population_Tables!U35)*Population_Tables!I35</f>
        <v>119025.52465714964</v>
      </c>
      <c r="I117" s="253">
        <f>(I169/Population_Tables!V35)*Population_Tables!J35</f>
        <v>87093.724464194049</v>
      </c>
      <c r="J117" s="253">
        <f>(J169/Population_Tables!W35)*Population_Tables!K35</f>
        <v>92018.014740292623</v>
      </c>
      <c r="K117" s="253">
        <f>(K169/Population_Tables!X35)*Population_Tables!L35</f>
        <v>114082.23815251367</v>
      </c>
      <c r="L117" s="170"/>
      <c r="M117" s="170"/>
      <c r="N117" s="195">
        <f t="shared" si="11"/>
        <v>368913.35066081706</v>
      </c>
      <c r="O117" s="195">
        <f t="shared" si="13"/>
        <v>119025.52465714964</v>
      </c>
      <c r="P117" s="195">
        <f t="shared" si="12"/>
        <v>470484.82076700428</v>
      </c>
      <c r="Q117" s="195">
        <f t="shared" si="14"/>
        <v>958423.69608497096</v>
      </c>
      <c r="R117" s="196">
        <f t="shared" si="15"/>
        <v>0.3849167671540023</v>
      </c>
      <c r="S117" s="170"/>
      <c r="T117" s="170"/>
      <c r="U117" s="195">
        <f t="shared" si="20"/>
        <v>27999.49031791446</v>
      </c>
      <c r="V117" s="195">
        <f t="shared" si="16"/>
        <v>7030.5366446826229</v>
      </c>
      <c r="W117" s="195">
        <f t="shared" si="16"/>
        <v>32327.213627039804</v>
      </c>
      <c r="X117" s="195">
        <f t="shared" si="19"/>
        <v>67357.240589636887</v>
      </c>
      <c r="Y117" s="207">
        <f t="shared" si="18"/>
        <v>0.4156864217240851</v>
      </c>
      <c r="AC117" s="251">
        <f t="shared" si="17"/>
        <v>0.99466151916623435</v>
      </c>
    </row>
    <row r="118" spans="1:29" ht="15.6" x14ac:dyDescent="0.3">
      <c r="A118" s="206">
        <v>2047</v>
      </c>
      <c r="B118" s="253">
        <f>(B170/Population_Tables!O36)*Population_Tables!C36</f>
        <v>972726.31282412587</v>
      </c>
      <c r="C118" s="253">
        <f>(C170/Population_Tables!P36)*Population_Tables!D36</f>
        <v>256705.83751482278</v>
      </c>
      <c r="D118" s="253">
        <f>(D170/Population_Tables!Q36)*Population_Tables!E36</f>
        <v>82632.592312191555</v>
      </c>
      <c r="E118" s="253">
        <f>(E170/Population_Tables!R36)*Population_Tables!F36</f>
        <v>407878.84932459408</v>
      </c>
      <c r="F118" s="253">
        <f>(F170/Population_Tables!S36)*Population_Tables!G36</f>
        <v>92409.354917856646</v>
      </c>
      <c r="G118" s="253">
        <f>(G170/Population_Tables!T36)*Population_Tables!H36</f>
        <v>141116.83141620934</v>
      </c>
      <c r="H118" s="253">
        <f>(H170/Population_Tables!U36)*Population_Tables!I36</f>
        <v>120350.18488266582</v>
      </c>
      <c r="I118" s="253">
        <f>(I170/Population_Tables!V36)*Population_Tables!J36</f>
        <v>89835.317110618169</v>
      </c>
      <c r="J118" s="253">
        <f>(J170/Population_Tables!W36)*Population_Tables!K36</f>
        <v>92736.210457052264</v>
      </c>
      <c r="K118" s="253">
        <f>(K170/Population_Tables!X36)*Population_Tables!L36</f>
        <v>115469.16030192965</v>
      </c>
      <c r="L118" s="170"/>
      <c r="M118" s="170"/>
      <c r="N118" s="195">
        <f t="shared" si="11"/>
        <v>379938.0193597849</v>
      </c>
      <c r="O118" s="195">
        <f t="shared" si="13"/>
        <v>120350.18488266582</v>
      </c>
      <c r="P118" s="195">
        <f t="shared" si="12"/>
        <v>480455.26124322368</v>
      </c>
      <c r="Q118" s="195">
        <f t="shared" si="14"/>
        <v>980743.46548567445</v>
      </c>
      <c r="R118" s="196">
        <f t="shared" si="15"/>
        <v>0.38739796157768497</v>
      </c>
      <c r="S118" s="170"/>
      <c r="T118" s="170"/>
      <c r="U118" s="195">
        <f t="shared" si="20"/>
        <v>30144.101030492282</v>
      </c>
      <c r="V118" s="195">
        <f t="shared" si="16"/>
        <v>7455.3699494421162</v>
      </c>
      <c r="W118" s="195">
        <f t="shared" si="16"/>
        <v>34519.364957005251</v>
      </c>
      <c r="X118" s="195">
        <f t="shared" si="19"/>
        <v>72118.835936939649</v>
      </c>
      <c r="Y118" s="207">
        <f t="shared" si="18"/>
        <v>0.41797819721951884</v>
      </c>
      <c r="AC118" s="251">
        <f t="shared" si="17"/>
        <v>0.99510149480367205</v>
      </c>
    </row>
    <row r="119" spans="1:29" ht="15.6" x14ac:dyDescent="0.3">
      <c r="A119" s="206">
        <v>2048</v>
      </c>
      <c r="B119" s="253">
        <f>(B171/Population_Tables!O37)*Population_Tables!C37</f>
        <v>996003.21578968666</v>
      </c>
      <c r="C119" s="253">
        <f>(C171/Population_Tables!P37)*Population_Tables!D37</f>
        <v>261716.91198630462</v>
      </c>
      <c r="D119" s="253">
        <f>(D171/Population_Tables!Q37)*Population_Tables!E37</f>
        <v>84451.42102829268</v>
      </c>
      <c r="E119" s="253">
        <f>(E171/Population_Tables!R37)*Population_Tables!F37</f>
        <v>417933.19301471394</v>
      </c>
      <c r="F119" s="253">
        <f>(F171/Population_Tables!S37)*Population_Tables!G37</f>
        <v>95004.859745607944</v>
      </c>
      <c r="G119" s="253">
        <f>(G171/Population_Tables!T37)*Population_Tables!H37</f>
        <v>144480.38918777605</v>
      </c>
      <c r="H119" s="253">
        <f>(H171/Population_Tables!U37)*Population_Tables!I37</f>
        <v>121642.21882872912</v>
      </c>
      <c r="I119" s="253">
        <f>(I171/Population_Tables!V37)*Population_Tables!J37</f>
        <v>92617.90555969761</v>
      </c>
      <c r="J119" s="253">
        <f>(J171/Population_Tables!W37)*Population_Tables!K37</f>
        <v>93453.992430878337</v>
      </c>
      <c r="K119" s="253">
        <f>(K171/Population_Tables!X37)*Population_Tables!L37</f>
        <v>116864.39676759332</v>
      </c>
      <c r="L119" s="170"/>
      <c r="M119" s="170"/>
      <c r="N119" s="195">
        <f t="shared" si="11"/>
        <v>391295.83393159276</v>
      </c>
      <c r="O119" s="195">
        <f t="shared" si="13"/>
        <v>121642.21882872912</v>
      </c>
      <c r="P119" s="195">
        <f t="shared" si="12"/>
        <v>490648.72220237332</v>
      </c>
      <c r="Q119" s="195">
        <f t="shared" si="14"/>
        <v>1003586.7749626952</v>
      </c>
      <c r="R119" s="196">
        <f t="shared" si="15"/>
        <v>0.38989735984328588</v>
      </c>
      <c r="S119" s="170"/>
      <c r="T119" s="170"/>
      <c r="U119" s="195">
        <f t="shared" si="20"/>
        <v>32426.789784142922</v>
      </c>
      <c r="V119" s="195">
        <f t="shared" si="16"/>
        <v>7894.658356834494</v>
      </c>
      <c r="W119" s="195">
        <f t="shared" si="16"/>
        <v>36817.670254716417</v>
      </c>
      <c r="X119" s="195">
        <f t="shared" si="19"/>
        <v>77139.118395693833</v>
      </c>
      <c r="Y119" s="207">
        <f t="shared" si="18"/>
        <v>0.42036764819901151</v>
      </c>
      <c r="AC119" s="251">
        <f t="shared" si="17"/>
        <v>0.9956050653423687</v>
      </c>
    </row>
    <row r="120" spans="1:29" ht="15.6" x14ac:dyDescent="0.3">
      <c r="A120" s="206">
        <v>2049</v>
      </c>
      <c r="B120" s="253">
        <f>(B172/Population_Tables!O38)*Population_Tables!C38</f>
        <v>1019867.5182026026</v>
      </c>
      <c r="C120" s="253">
        <f>(C172/Population_Tables!P38)*Population_Tables!D38</f>
        <v>266842.59938235721</v>
      </c>
      <c r="D120" s="253">
        <f>(D172/Population_Tables!Q38)*Population_Tables!E38</f>
        <v>86320.422037126045</v>
      </c>
      <c r="E120" s="253">
        <f>(E172/Population_Tables!R38)*Population_Tables!F38</f>
        <v>428227.27011714538</v>
      </c>
      <c r="F120" s="253">
        <f>(F172/Population_Tables!S38)*Population_Tables!G38</f>
        <v>97674.984904171055</v>
      </c>
      <c r="G120" s="253">
        <f>(G172/Population_Tables!T38)*Population_Tables!H38</f>
        <v>147913.5869354399</v>
      </c>
      <c r="H120" s="253">
        <f>(H172/Population_Tables!U38)*Population_Tables!I38</f>
        <v>122904.10929399486</v>
      </c>
      <c r="I120" s="253">
        <f>(I172/Population_Tables!V38)*Population_Tables!J38</f>
        <v>95443.075356897185</v>
      </c>
      <c r="J120" s="253">
        <f>(J172/Population_Tables!W38)*Population_Tables!K38</f>
        <v>94172.64546517389</v>
      </c>
      <c r="K120" s="253">
        <f>(K172/Population_Tables!X38)*Population_Tables!L38</f>
        <v>118270.22249112499</v>
      </c>
      <c r="L120" s="170"/>
      <c r="M120" s="170"/>
      <c r="N120" s="195">
        <f t="shared" si="11"/>
        <v>402998.14572732162</v>
      </c>
      <c r="O120" s="195">
        <f t="shared" si="13"/>
        <v>122904.10929399486</v>
      </c>
      <c r="P120" s="195">
        <f t="shared" si="12"/>
        <v>501076.60835492314</v>
      </c>
      <c r="Q120" s="195">
        <f t="shared" si="14"/>
        <v>1026978.8633762397</v>
      </c>
      <c r="R120" s="196">
        <f t="shared" si="15"/>
        <v>0.39241133396109723</v>
      </c>
      <c r="S120" s="170"/>
      <c r="T120" s="170"/>
      <c r="U120" s="195">
        <f t="shared" si="20"/>
        <v>34858.824985789193</v>
      </c>
      <c r="V120" s="195">
        <f t="shared" si="16"/>
        <v>8348.9699808661389</v>
      </c>
      <c r="W120" s="195">
        <f t="shared" si="16"/>
        <v>39231.697704302613</v>
      </c>
      <c r="X120" s="195">
        <f t="shared" si="19"/>
        <v>82439.492670957945</v>
      </c>
      <c r="Y120" s="207">
        <f t="shared" si="18"/>
        <v>0.42284133315717715</v>
      </c>
      <c r="AC120" s="251">
        <f t="shared" si="17"/>
        <v>0.99613977298030487</v>
      </c>
    </row>
    <row r="121" spans="1:29" ht="16.2" thickBot="1" x14ac:dyDescent="0.35">
      <c r="A121" s="208">
        <v>2050</v>
      </c>
      <c r="B121" s="253">
        <f>(B173/Population_Tables!O39)*Population_Tables!C39</f>
        <v>1044342.4043508314</v>
      </c>
      <c r="C121" s="253">
        <f>(C173/Population_Tables!P39)*Population_Tables!D39</f>
        <v>272089.29616864264</v>
      </c>
      <c r="D121" s="253">
        <f>(D173/Population_Tables!Q39)*Population_Tables!E39</f>
        <v>88241.782184232798</v>
      </c>
      <c r="E121" s="253">
        <f>(E173/Population_Tables!R39)*Population_Tables!F39</f>
        <v>438772.09604800504</v>
      </c>
      <c r="F121" s="253">
        <f>(F173/Population_Tables!S39)*Population_Tables!G39</f>
        <v>100421.85446814571</v>
      </c>
      <c r="G121" s="253">
        <f>(G173/Population_Tables!T39)*Population_Tables!H39</f>
        <v>151418.80017671912</v>
      </c>
      <c r="H121" s="253">
        <f>(H173/Population_Tables!U39)*Population_Tables!I39</f>
        <v>124138.33107216636</v>
      </c>
      <c r="I121" s="253">
        <f>(I173/Population_Tables!V39)*Population_Tables!J39</f>
        <v>98312.033398359796</v>
      </c>
      <c r="J121" s="253">
        <f>(J173/Population_Tables!W39)*Population_Tables!K39</f>
        <v>94893.323290474262</v>
      </c>
      <c r="K121" s="253">
        <f>(K173/Population_Tables!X39)*Population_Tables!L39</f>
        <v>119688.61204744365</v>
      </c>
      <c r="L121" s="209"/>
      <c r="M121" s="209"/>
      <c r="N121" s="195">
        <f t="shared" si="11"/>
        <v>415055.61944398447</v>
      </c>
      <c r="O121" s="195">
        <f t="shared" si="13"/>
        <v>124138.33107216636</v>
      </c>
      <c r="P121" s="195">
        <f t="shared" si="12"/>
        <v>511749.87852959451</v>
      </c>
      <c r="Q121" s="195">
        <f t="shared" si="14"/>
        <v>1050943.8290457453</v>
      </c>
      <c r="R121" s="210">
        <f t="shared" si="15"/>
        <v>0.39493606410996679</v>
      </c>
      <c r="S121" s="209"/>
      <c r="T121" s="209"/>
      <c r="U121" s="211">
        <f t="shared" si="20"/>
        <v>37450.788388286135</v>
      </c>
      <c r="V121" s="195">
        <f t="shared" si="16"/>
        <v>8818.8649305914587</v>
      </c>
      <c r="W121" s="211">
        <f t="shared" si="16"/>
        <v>41770.569608144695</v>
      </c>
      <c r="X121" s="195">
        <f t="shared" si="19"/>
        <v>88040.222927022289</v>
      </c>
      <c r="Y121" s="212">
        <f t="shared" si="18"/>
        <v>0.42538270739420542</v>
      </c>
      <c r="AC121" s="251">
        <f t="shared" si="17"/>
        <v>0.99667841376765909</v>
      </c>
    </row>
    <row r="122" spans="1:29" ht="15.6" x14ac:dyDescent="0.3">
      <c r="A122" s="213">
        <v>2051</v>
      </c>
      <c r="B122" s="253">
        <f>(B174/Population_Tables!O40)*Population_Tables!C40</f>
        <v>1069448.8438016307</v>
      </c>
      <c r="C122" s="253">
        <f>(C174/Population_Tables!P40)*Population_Tables!D40</f>
        <v>277461.98270858027</v>
      </c>
      <c r="D122" s="253">
        <f>(D174/Population_Tables!Q40)*Population_Tables!E40</f>
        <v>90217.711458005637</v>
      </c>
      <c r="E122" s="253">
        <f>(E174/Population_Tables!R40)*Population_Tables!F40</f>
        <v>449577.6884119864</v>
      </c>
      <c r="F122" s="253">
        <f>(F174/Population_Tables!S40)*Population_Tables!G40</f>
        <v>103247.52197667147</v>
      </c>
      <c r="G122" s="253">
        <f>(G174/Population_Tables!T40)*Population_Tables!H40</f>
        <v>154998.06407240033</v>
      </c>
      <c r="H122" s="253">
        <f>(H174/Population_Tables!U40)*Population_Tables!I40</f>
        <v>125347.47226731048</v>
      </c>
      <c r="I122" s="253">
        <f>(I174/Population_Tables!V40)*Population_Tables!J40</f>
        <v>101225.3520249982</v>
      </c>
      <c r="J122" s="253">
        <f>(J174/Population_Tables!W40)*Population_Tables!K40</f>
        <v>95616.861755107646</v>
      </c>
      <c r="K122" s="253">
        <f>(K174/Population_Tables!X40)*Population_Tables!L40</f>
        <v>121120.67371698645</v>
      </c>
      <c r="N122" s="195">
        <f t="shared" si="11"/>
        <v>427477.73812134739</v>
      </c>
      <c r="O122" s="195">
        <f t="shared" si="13"/>
        <v>125347.47226731048</v>
      </c>
      <c r="P122" s="195">
        <f t="shared" si="12"/>
        <v>522677.75823898625</v>
      </c>
      <c r="Q122" s="195">
        <f t="shared" si="14"/>
        <v>1075502.9686276442</v>
      </c>
      <c r="R122" s="214">
        <f t="shared" si="15"/>
        <v>0.39746774354961989</v>
      </c>
      <c r="U122" s="215">
        <f t="shared" si="20"/>
        <v>40212.080087241891</v>
      </c>
      <c r="V122" s="195">
        <f t="shared" si="16"/>
        <v>9305.0166254283249</v>
      </c>
      <c r="W122" s="215">
        <f t="shared" si="16"/>
        <v>44441.674952500849</v>
      </c>
      <c r="X122" s="195">
        <f t="shared" si="19"/>
        <v>93958.771665171065</v>
      </c>
      <c r="Y122" s="214">
        <f t="shared" si="18"/>
        <v>0.42797579592185997</v>
      </c>
      <c r="AC122" s="251">
        <f t="shared" si="17"/>
        <v>0.99720573261110468</v>
      </c>
    </row>
    <row r="123" spans="1:29" ht="15.6" x14ac:dyDescent="0.3">
      <c r="A123" s="194">
        <v>2052</v>
      </c>
      <c r="B123" s="253">
        <f>(B175/Population_Tables!O41)*Population_Tables!C41</f>
        <v>1095205.280550621</v>
      </c>
      <c r="C123" s="253">
        <f>(C175/Population_Tables!P41)*Population_Tables!D41</f>
        <v>282965.26535582665</v>
      </c>
      <c r="D123" s="253">
        <f>(D175/Population_Tables!Q41)*Population_Tables!E41</f>
        <v>92250.385357250751</v>
      </c>
      <c r="E123" s="253">
        <f>(E175/Population_Tables!R41)*Population_Tables!F41</f>
        <v>460652.50980133493</v>
      </c>
      <c r="F123" s="253">
        <f>(F175/Population_Tables!S41)*Population_Tables!G41</f>
        <v>106153.92684231818</v>
      </c>
      <c r="G123" s="253">
        <f>(G175/Population_Tables!T41)*Population_Tables!H41</f>
        <v>158653.20353080641</v>
      </c>
      <c r="H123" s="253">
        <f>(H175/Population_Tables!U41)*Population_Tables!I41</f>
        <v>126534.03506973198</v>
      </c>
      <c r="I123" s="253">
        <f>(I175/Population_Tables!V41)*Population_Tables!J41</f>
        <v>104182.80837206564</v>
      </c>
      <c r="J123" s="253">
        <f>(J175/Population_Tables!W41)*Population_Tables!K41</f>
        <v>96343.928515659354</v>
      </c>
      <c r="K123" s="253">
        <f>(K175/Population_Tables!X41)*Population_Tables!L41</f>
        <v>122567.16507051383</v>
      </c>
      <c r="N123" s="195">
        <f t="shared" si="11"/>
        <v>440272.40157392109</v>
      </c>
      <c r="O123" s="195">
        <f t="shared" si="13"/>
        <v>126534.03506973198</v>
      </c>
      <c r="P123" s="195">
        <f t="shared" si="12"/>
        <v>533868.85424388386</v>
      </c>
      <c r="Q123" s="195">
        <f t="shared" si="14"/>
        <v>1100675.2908875369</v>
      </c>
      <c r="R123" s="196">
        <f t="shared" si="15"/>
        <v>0.40000207619715389</v>
      </c>
      <c r="U123" s="195">
        <f t="shared" si="20"/>
        <v>43150.516953009123</v>
      </c>
      <c r="V123" s="195">
        <f t="shared" si="16"/>
        <v>9808.0125710325519</v>
      </c>
      <c r="W123" s="195">
        <f t="shared" si="16"/>
        <v>47251.783971816185</v>
      </c>
      <c r="X123" s="195">
        <f t="shared" si="19"/>
        <v>100210.31349585786</v>
      </c>
      <c r="Y123" s="196">
        <f t="shared" si="18"/>
        <v>0.43059956054116849</v>
      </c>
      <c r="AC123" s="251">
        <f t="shared" si="17"/>
        <v>0.99770740666954372</v>
      </c>
    </row>
    <row r="124" spans="1:29" ht="15.6" x14ac:dyDescent="0.3">
      <c r="A124" s="194">
        <v>2053</v>
      </c>
      <c r="B124" s="253">
        <f>(B176/Population_Tables!O42)*Population_Tables!C42</f>
        <v>1121629.1310015412</v>
      </c>
      <c r="C124" s="253">
        <f>(C176/Population_Tables!P42)*Population_Tables!D42</f>
        <v>288605.16311388672</v>
      </c>
      <c r="D124" s="253">
        <f>(D176/Population_Tables!Q42)*Population_Tables!E42</f>
        <v>94342.051060024227</v>
      </c>
      <c r="E124" s="253">
        <f>(E176/Population_Tables!R42)*Population_Tables!F42</f>
        <v>472004.01406724064</v>
      </c>
      <c r="F124" s="253">
        <f>(F176/Population_Tables!S42)*Population_Tables!G42</f>
        <v>109142.90017810273</v>
      </c>
      <c r="G124" s="253">
        <f>(G176/Population_Tables!T42)*Population_Tables!H42</f>
        <v>162386.05214115337</v>
      </c>
      <c r="H124" s="253">
        <f>(H176/Population_Tables!U42)*Population_Tables!I42</f>
        <v>127700.2476535118</v>
      </c>
      <c r="I124" s="253">
        <f>(I176/Population_Tables!V42)*Population_Tables!J42</f>
        <v>107183.72466681548</v>
      </c>
      <c r="J124" s="253">
        <f>(J176/Population_Tables!W42)*Population_Tables!K42</f>
        <v>97075.598338582815</v>
      </c>
      <c r="K124" s="253">
        <f>(K176/Population_Tables!X42)*Population_Tables!L42</f>
        <v>124029.2534121153</v>
      </c>
      <c r="N124" s="195">
        <f t="shared" si="11"/>
        <v>453446.6665918316</v>
      </c>
      <c r="O124" s="195">
        <f t="shared" si="13"/>
        <v>127700.2476535118</v>
      </c>
      <c r="P124" s="195">
        <f t="shared" si="12"/>
        <v>545333.26631506439</v>
      </c>
      <c r="Q124" s="195">
        <f t="shared" si="14"/>
        <v>1126480.1805604077</v>
      </c>
      <c r="R124" s="196">
        <f t="shared" si="15"/>
        <v>0.40253408308191307</v>
      </c>
      <c r="U124" s="195">
        <f t="shared" si="20"/>
        <v>46273.072831555794</v>
      </c>
      <c r="V124" s="195">
        <f t="shared" si="16"/>
        <v>10328.166256836193</v>
      </c>
      <c r="W124" s="195">
        <f t="shared" si="16"/>
        <v>50209.159910526883</v>
      </c>
      <c r="X124" s="195">
        <f t="shared" si="19"/>
        <v>106810.39899891887</v>
      </c>
      <c r="Y124" s="196">
        <f t="shared" si="18"/>
        <v>0.43322628943670705</v>
      </c>
      <c r="AC124" s="251">
        <f t="shared" si="17"/>
        <v>0.99815943417925235</v>
      </c>
    </row>
    <row r="125" spans="1:29" ht="15.6" x14ac:dyDescent="0.3">
      <c r="A125" s="194">
        <v>2054</v>
      </c>
      <c r="B125" s="253">
        <f>(B177/Population_Tables!O43)*Population_Tables!C43</f>
        <v>1148736.0736591795</v>
      </c>
      <c r="C125" s="253">
        <f>(C177/Population_Tables!P43)*Population_Tables!D43</f>
        <v>294387.8546250998</v>
      </c>
      <c r="D125" s="253">
        <f>(D177/Population_Tables!Q43)*Population_Tables!E43</f>
        <v>96494.993751030386</v>
      </c>
      <c r="E125" s="253">
        <f>(E177/Population_Tables!R43)*Population_Tables!F43</f>
        <v>483638.48236523394</v>
      </c>
      <c r="F125" s="253">
        <f>(F177/Population_Tables!S43)*Population_Tables!G43</f>
        <v>112216.18696047801</v>
      </c>
      <c r="G125" s="253">
        <f>(G177/Population_Tables!T43)*Population_Tables!H43</f>
        <v>166198.21467145742</v>
      </c>
      <c r="H125" s="253">
        <f>(H177/Population_Tables!U43)*Population_Tables!I43</f>
        <v>128848.18954279039</v>
      </c>
      <c r="I125" s="253">
        <f>(I177/Population_Tables!V43)*Population_Tables!J43</f>
        <v>110226.84552288971</v>
      </c>
      <c r="J125" s="253">
        <f>(J177/Population_Tables!W43)*Population_Tables!K43</f>
        <v>97812.932167872525</v>
      </c>
      <c r="K125" s="253">
        <f>(K177/Population_Tables!X43)*Population_Tables!L43</f>
        <v>125508.01946386028</v>
      </c>
      <c r="N125" s="195">
        <f t="shared" si="11"/>
        <v>467006.47978292149</v>
      </c>
      <c r="O125" s="195">
        <f t="shared" si="13"/>
        <v>128848.18954279039</v>
      </c>
      <c r="P125" s="195">
        <f t="shared" si="12"/>
        <v>557081.06304758764</v>
      </c>
      <c r="Q125" s="195">
        <f t="shared" si="14"/>
        <v>1152935.7323732995</v>
      </c>
      <c r="R125" s="196">
        <f t="shared" si="15"/>
        <v>0.40505855328258084</v>
      </c>
      <c r="U125" s="195">
        <f t="shared" si="20"/>
        <v>49585.611386566539</v>
      </c>
      <c r="V125" s="195">
        <f t="shared" si="16"/>
        <v>10865.642522330701</v>
      </c>
      <c r="W125" s="195">
        <f t="shared" si="16"/>
        <v>53322.034837352345</v>
      </c>
      <c r="X125" s="195">
        <f t="shared" si="19"/>
        <v>113773.28874624959</v>
      </c>
      <c r="Y125" s="196">
        <f t="shared" si="18"/>
        <v>0.43582823290937939</v>
      </c>
      <c r="AC125" s="251">
        <f t="shared" si="17"/>
        <v>0.99853994090051323</v>
      </c>
    </row>
    <row r="126" spans="1:29" ht="15.6" x14ac:dyDescent="0.3">
      <c r="A126" s="194">
        <v>2055</v>
      </c>
      <c r="B126" s="253">
        <f>(B178/Population_Tables!O44)*Population_Tables!C44</f>
        <v>1176541.6014048404</v>
      </c>
      <c r="C126" s="253">
        <f>(C178/Population_Tables!P44)*Population_Tables!D44</f>
        <v>300319.20296633831</v>
      </c>
      <c r="D126" s="253">
        <f>(D178/Population_Tables!Q44)*Population_Tables!E44</f>
        <v>98711.524254139644</v>
      </c>
      <c r="E126" s="253">
        <f>(E178/Population_Tables!R44)*Population_Tables!F44</f>
        <v>495562.20285478182</v>
      </c>
      <c r="F126" s="253">
        <f>(F178/Population_Tables!S44)*Population_Tables!G44</f>
        <v>115375.52897803028</v>
      </c>
      <c r="G126" s="253">
        <f>(G178/Population_Tables!T44)*Population_Tables!H44</f>
        <v>170091.28624626761</v>
      </c>
      <c r="H126" s="253">
        <f>(H178/Population_Tables!U44)*Population_Tables!I44</f>
        <v>129979.95632689552</v>
      </c>
      <c r="I126" s="253">
        <f>(I178/Population_Tables!V44)*Population_Tables!J44</f>
        <v>113310.8066516245</v>
      </c>
      <c r="J126" s="253">
        <f>(J178/Population_Tables!W44)*Population_Tables!K44</f>
        <v>98556.885617496344</v>
      </c>
      <c r="K126" s="253">
        <f>(K178/Population_Tables!X44)*Population_Tables!L44</f>
        <v>127004.31918732658</v>
      </c>
      <c r="N126" s="195">
        <f t="shared" si="11"/>
        <v>480957.77550591656</v>
      </c>
      <c r="O126" s="195">
        <f t="shared" si="13"/>
        <v>129979.95632689552</v>
      </c>
      <c r="P126" s="195">
        <f t="shared" si="12"/>
        <v>569122.01346674562</v>
      </c>
      <c r="Q126" s="195">
        <f t="shared" si="14"/>
        <v>1180059.7452995579</v>
      </c>
      <c r="R126" s="196">
        <f t="shared" si="15"/>
        <v>0.40757069921389916</v>
      </c>
      <c r="U126" s="195">
        <f t="shared" si="20"/>
        <v>53093.984032609151</v>
      </c>
      <c r="V126" s="195">
        <f t="shared" si="16"/>
        <v>11420.622272194945</v>
      </c>
      <c r="W126" s="195">
        <f t="shared" si="16"/>
        <v>56598.341251243895</v>
      </c>
      <c r="X126" s="195">
        <f t="shared" si="19"/>
        <v>121112.94755604799</v>
      </c>
      <c r="Y126" s="196">
        <f t="shared" si="18"/>
        <v>0.43838404649543028</v>
      </c>
      <c r="AC126" s="251">
        <f t="shared" si="17"/>
        <v>0.99883395284824317</v>
      </c>
    </row>
    <row r="127" spans="1:29" ht="15.6" x14ac:dyDescent="0.3">
      <c r="A127" s="194">
        <v>2056</v>
      </c>
      <c r="B127" s="253">
        <f>(B179/Population_Tables!O45)*Population_Tables!C45</f>
        <v>1205064.1910964916</v>
      </c>
      <c r="C127" s="253">
        <f>(C179/Population_Tables!P45)*Population_Tables!D45</f>
        <v>306404.52995488927</v>
      </c>
      <c r="D127" s="253">
        <f>(D179/Population_Tables!Q45)*Population_Tables!E45</f>
        <v>100994.01897457983</v>
      </c>
      <c r="E127" s="253">
        <f>(E179/Population_Tables!R45)*Population_Tables!F45</f>
        <v>507783.62117594905</v>
      </c>
      <c r="F127" s="253">
        <f>(F179/Population_Tables!S45)*Population_Tables!G45</f>
        <v>118622.8718631201</v>
      </c>
      <c r="G127" s="253">
        <f>(G179/Population_Tables!T45)*Population_Tables!H45</f>
        <v>174067.14228966291</v>
      </c>
      <c r="H127" s="253">
        <f>(H179/Population_Tables!U45)*Population_Tables!I45</f>
        <v>131097.87860726501</v>
      </c>
      <c r="I127" s="253">
        <f>(I179/Population_Tables!V45)*Population_Tables!J45</f>
        <v>116435.01029125307</v>
      </c>
      <c r="J127" s="253">
        <f>(J179/Population_Tables!W45)*Population_Tables!K45</f>
        <v>99308.214107647713</v>
      </c>
      <c r="K127" s="253">
        <f>(K179/Population_Tables!X45)*Population_Tables!L45</f>
        <v>128518.88531453928</v>
      </c>
      <c r="N127" s="195">
        <f t="shared" si="11"/>
        <v>495308.6144318041</v>
      </c>
      <c r="O127" s="195">
        <f t="shared" si="13"/>
        <v>131097.87860726501</v>
      </c>
      <c r="P127" s="195">
        <f t="shared" si="12"/>
        <v>581465.69121913193</v>
      </c>
      <c r="Q127" s="195">
        <f t="shared" si="14"/>
        <v>1207872.1842582009</v>
      </c>
      <c r="R127" s="196">
        <f t="shared" si="15"/>
        <v>0.41006707571131912</v>
      </c>
      <c r="U127" s="195">
        <f t="shared" si="20"/>
        <v>56806.16849651275</v>
      </c>
      <c r="V127" s="195">
        <f t="shared" si="16"/>
        <v>11993.521423217753</v>
      </c>
      <c r="W127" s="195">
        <f t="shared" si="16"/>
        <v>60045.816272454686</v>
      </c>
      <c r="X127" s="195">
        <f t="shared" si="19"/>
        <v>128845.50619218519</v>
      </c>
      <c r="Y127" s="196">
        <f t="shared" si="18"/>
        <v>0.44088591193689758</v>
      </c>
      <c r="AC127" s="251">
        <f t="shared" si="17"/>
        <v>0.99903756031404034</v>
      </c>
    </row>
    <row r="128" spans="1:29" ht="15.6" x14ac:dyDescent="0.3">
      <c r="A128" s="194">
        <v>2057</v>
      </c>
      <c r="B128" s="253">
        <f>(B180/Population_Tables!O46)*Population_Tables!C46</f>
        <v>1234320.554509585</v>
      </c>
      <c r="C128" s="253">
        <f>(C180/Population_Tables!P46)*Population_Tables!D46</f>
        <v>312648.25969745853</v>
      </c>
      <c r="D128" s="253">
        <f>(D180/Population_Tables!Q46)*Population_Tables!E46</f>
        <v>103344.87331768556</v>
      </c>
      <c r="E128" s="253">
        <f>(E180/Population_Tables!R46)*Population_Tables!F46</f>
        <v>520310.34785755217</v>
      </c>
      <c r="F128" s="253">
        <f>(F180/Population_Tables!S46)*Population_Tables!G46</f>
        <v>121960.07553244141</v>
      </c>
      <c r="G128" s="253">
        <f>(G180/Population_Tables!T46)*Population_Tables!H46</f>
        <v>178127.4232000245</v>
      </c>
      <c r="H128" s="253">
        <f>(H180/Population_Tables!U46)*Population_Tables!I46</f>
        <v>132204.27358333676</v>
      </c>
      <c r="I128" s="253">
        <f>(I180/Population_Tables!V46)*Population_Tables!J46</f>
        <v>119598.43268610816</v>
      </c>
      <c r="J128" s="253">
        <f>(J180/Population_Tables!W46)*Population_Tables!K46</f>
        <v>100067.44938254695</v>
      </c>
      <c r="K128" s="253">
        <f>(K180/Population_Tables!X46)*Population_Tables!L46</f>
        <v>130051.98385040394</v>
      </c>
      <c r="N128" s="195">
        <f t="shared" si="11"/>
        <v>510066.14980665687</v>
      </c>
      <c r="O128" s="195">
        <f t="shared" si="13"/>
        <v>132204.27358333676</v>
      </c>
      <c r="P128" s="195">
        <f t="shared" si="12"/>
        <v>594120.55621516856</v>
      </c>
      <c r="Q128" s="195">
        <f t="shared" si="14"/>
        <v>1236390.9796051621</v>
      </c>
      <c r="R128" s="196">
        <f t="shared" si="15"/>
        <v>0.41254437974753344</v>
      </c>
      <c r="U128" s="195">
        <f t="shared" si="20"/>
        <v>60729.235080192448</v>
      </c>
      <c r="V128" s="195">
        <f t="shared" si="16"/>
        <v>12584.742490188131</v>
      </c>
      <c r="W128" s="195">
        <f t="shared" si="16"/>
        <v>63671.08328506595</v>
      </c>
      <c r="X128" s="195">
        <f t="shared" si="19"/>
        <v>136985.06085544653</v>
      </c>
      <c r="Y128" s="196">
        <f t="shared" si="18"/>
        <v>0.44332743075010905</v>
      </c>
      <c r="AC128" s="251">
        <f t="shared" si="17"/>
        <v>0.99915110801212825</v>
      </c>
    </row>
    <row r="129" spans="1:29" ht="15.6" x14ac:dyDescent="0.3">
      <c r="A129" s="194">
        <v>2058</v>
      </c>
      <c r="B129" s="253">
        <f>(B181/Population_Tables!O47)*Population_Tables!C47</f>
        <v>1264321.176791901</v>
      </c>
      <c r="C129" s="253">
        <f>(C181/Population_Tables!P47)*Population_Tables!D47</f>
        <v>319053.73679718847</v>
      </c>
      <c r="D129" s="253">
        <f>(D181/Population_Tables!Q47)*Population_Tables!E47</f>
        <v>105766.1790606047</v>
      </c>
      <c r="E129" s="253">
        <f>(E181/Population_Tables!R47)*Population_Tables!F47</f>
        <v>533146.23323609401</v>
      </c>
      <c r="F129" s="253">
        <f>(F181/Population_Tables!S47)*Population_Tables!G47</f>
        <v>125388.66613774651</v>
      </c>
      <c r="G129" s="253">
        <f>(G181/Population_Tables!T47)*Population_Tables!H47</f>
        <v>182273.12566581872</v>
      </c>
      <c r="H129" s="253">
        <f>(H181/Population_Tables!U47)*Population_Tables!I47</f>
        <v>133301.1339496001</v>
      </c>
      <c r="I129" s="253">
        <f>(I181/Population_Tables!V47)*Population_Tables!J47</f>
        <v>122798.46890382325</v>
      </c>
      <c r="J129" s="253">
        <f>(J181/Population_Tables!W47)*Population_Tables!K47</f>
        <v>100834.75876495452</v>
      </c>
      <c r="K129" s="253">
        <f>(K181/Population_Tables!X47)*Population_Tables!L47</f>
        <v>131603.27411399074</v>
      </c>
      <c r="N129" s="195">
        <f t="shared" si="11"/>
        <v>525233.76542424038</v>
      </c>
      <c r="O129" s="195">
        <f t="shared" si="13"/>
        <v>133301.1339496001</v>
      </c>
      <c r="P129" s="195">
        <f t="shared" si="12"/>
        <v>607093.04152361187</v>
      </c>
      <c r="Q129" s="195">
        <f t="shared" si="14"/>
        <v>1265627.9408974524</v>
      </c>
      <c r="R129" s="196">
        <f t="shared" si="15"/>
        <v>0.41499855403934821</v>
      </c>
      <c r="U129" s="195">
        <f t="shared" si="20"/>
        <v>64866.484633255459</v>
      </c>
      <c r="V129" s="195">
        <f t="shared" si="16"/>
        <v>13194.363482946428</v>
      </c>
      <c r="W129" s="195">
        <f t="shared" si="16"/>
        <v>67478.738831493538</v>
      </c>
      <c r="X129" s="195">
        <f t="shared" si="19"/>
        <v>145539.58694769541</v>
      </c>
      <c r="Y129" s="196">
        <f t="shared" si="18"/>
        <v>0.44569650081917184</v>
      </c>
      <c r="AC129" s="251">
        <f t="shared" si="17"/>
        <v>0.99917555321352458</v>
      </c>
    </row>
    <row r="130" spans="1:29" ht="15.6" x14ac:dyDescent="0.3">
      <c r="A130" s="194">
        <v>2059</v>
      </c>
      <c r="B130" s="253">
        <f>(B182/Population_Tables!O48)*Population_Tables!C48</f>
        <v>1295073.5972810311</v>
      </c>
      <c r="C130" s="253">
        <f>(C182/Population_Tables!P48)*Population_Tables!D48</f>
        <v>325623.47025727807</v>
      </c>
      <c r="D130" s="253">
        <f>(D182/Population_Tables!Q48)*Population_Tables!E48</f>
        <v>108259.95900947003</v>
      </c>
      <c r="E130" s="253">
        <f>(E182/Population_Tables!R48)*Population_Tables!F48</f>
        <v>546293.36534548958</v>
      </c>
      <c r="F130" s="253">
        <f>(F182/Population_Tables!S48)*Population_Tables!G48</f>
        <v>128910.02521965327</v>
      </c>
      <c r="G130" s="253">
        <f>(G182/Population_Tables!T48)*Population_Tables!H48</f>
        <v>186504.93210660049</v>
      </c>
      <c r="H130" s="253">
        <f>(H182/Population_Tables!U48)*Population_Tables!I48</f>
        <v>134390.31040673124</v>
      </c>
      <c r="I130" s="253">
        <f>(I182/Population_Tables!V48)*Population_Tables!J48</f>
        <v>126031.7546093721</v>
      </c>
      <c r="J130" s="253">
        <f>(J182/Population_Tables!W48)*Population_Tables!K48</f>
        <v>101610.11306898226</v>
      </c>
      <c r="K130" s="253">
        <f>(K182/Population_Tables!X48)*Population_Tables!L48</f>
        <v>133171.99514412435</v>
      </c>
      <c r="N130" s="195">
        <f t="shared" si="11"/>
        <v>540813.08015841164</v>
      </c>
      <c r="O130" s="195">
        <f t="shared" si="13"/>
        <v>134390.31040673124</v>
      </c>
      <c r="P130" s="195">
        <f t="shared" si="12"/>
        <v>620388.36137334863</v>
      </c>
      <c r="Q130" s="195">
        <f t="shared" si="14"/>
        <v>1295591.7519384914</v>
      </c>
      <c r="R130" s="196">
        <f t="shared" si="15"/>
        <v>0.41742553497213597</v>
      </c>
      <c r="U130" s="195">
        <f t="shared" si="20"/>
        <v>69219.453085400688</v>
      </c>
      <c r="V130" s="195">
        <f t="shared" si="16"/>
        <v>13822.320417519979</v>
      </c>
      <c r="W130" s="195">
        <f t="shared" si="16"/>
        <v>71472.160614283755</v>
      </c>
      <c r="X130" s="195">
        <f t="shared" si="19"/>
        <v>154513.93411720442</v>
      </c>
      <c r="Y130" s="196">
        <f t="shared" si="18"/>
        <v>0.44798194726499696</v>
      </c>
      <c r="AC130" s="251">
        <f t="shared" si="17"/>
        <v>0.9991142143959173</v>
      </c>
    </row>
    <row r="131" spans="1:29" ht="15.6" x14ac:dyDescent="0.3">
      <c r="A131" s="194">
        <v>2060</v>
      </c>
      <c r="B131" s="253">
        <f>(B183/Population_Tables!O49)*Population_Tables!C49</f>
        <v>1326586.7011366473</v>
      </c>
      <c r="C131" s="253">
        <f>(C183/Population_Tables!P49)*Population_Tables!D49</f>
        <v>332359.95383218006</v>
      </c>
      <c r="D131" s="253">
        <f>(D183/Population_Tables!Q49)*Population_Tables!E49</f>
        <v>110828.29178276562</v>
      </c>
      <c r="E131" s="253">
        <f>(E183/Population_Tables!R49)*Population_Tables!F49</f>
        <v>559754.61936306849</v>
      </c>
      <c r="F131" s="253">
        <f>(F183/Population_Tables!S49)*Population_Tables!G49</f>
        <v>132525.64971423103</v>
      </c>
      <c r="G131" s="253">
        <f>(G183/Population_Tables!T49)*Population_Tables!H49</f>
        <v>190823.65056614808</v>
      </c>
      <c r="H131" s="253">
        <f>(H183/Population_Tables!U49)*Population_Tables!I49</f>
        <v>135473.70079537359</v>
      </c>
      <c r="I131" s="253">
        <f>(I183/Population_Tables!V49)*Population_Tables!J49</f>
        <v>129295.17392168097</v>
      </c>
      <c r="J131" s="253">
        <f>(J183/Population_Tables!W49)*Population_Tables!K49</f>
        <v>102393.4627026113</v>
      </c>
      <c r="K131" s="253">
        <f>(K183/Population_Tables!X49)*Population_Tables!L49</f>
        <v>134757.43476605025</v>
      </c>
      <c r="N131" s="195">
        <f t="shared" si="11"/>
        <v>556806.56828192598</v>
      </c>
      <c r="O131" s="195">
        <f t="shared" si="13"/>
        <v>135473.70079537359</v>
      </c>
      <c r="P131" s="195">
        <f t="shared" si="12"/>
        <v>634011.89618109376</v>
      </c>
      <c r="Q131" s="195">
        <f t="shared" si="14"/>
        <v>1326292.1652583934</v>
      </c>
      <c r="R131" s="196">
        <f>N131/Q131</f>
        <v>0.41982195391574734</v>
      </c>
      <c r="U131" s="195">
        <f t="shared" si="20"/>
        <v>73790.531765225809</v>
      </c>
      <c r="V131" s="195">
        <f t="shared" si="16"/>
        <v>14468.596449903183</v>
      </c>
      <c r="W131" s="195">
        <f t="shared" si="16"/>
        <v>75654.892523810617</v>
      </c>
      <c r="X131" s="195">
        <f t="shared" si="19"/>
        <v>163914.02073893961</v>
      </c>
      <c r="Y131" s="196">
        <f t="shared" si="18"/>
        <v>0.45017827903050178</v>
      </c>
      <c r="AC131" s="251">
        <f t="shared" si="17"/>
        <v>0.99897271775096674</v>
      </c>
    </row>
    <row r="132" spans="1:29" x14ac:dyDescent="0.25">
      <c r="A132" s="13"/>
      <c r="B132" s="13"/>
      <c r="C132" s="13"/>
      <c r="D132" s="13"/>
      <c r="E132" s="13"/>
      <c r="F132" s="13"/>
      <c r="G132" s="13"/>
      <c r="H132" s="13"/>
      <c r="I132" s="13"/>
      <c r="J132" s="13"/>
      <c r="K132" s="13"/>
      <c r="U132" s="216"/>
      <c r="V132" s="216"/>
      <c r="W132" s="216"/>
      <c r="X132" s="216"/>
      <c r="Y132" s="217"/>
      <c r="AC132" s="251"/>
    </row>
    <row r="133" spans="1:29" x14ac:dyDescent="0.25">
      <c r="A133" s="13"/>
      <c r="B133" s="13"/>
      <c r="C133" s="13"/>
      <c r="D133" s="13"/>
      <c r="E133" s="13"/>
      <c r="F133" s="13"/>
      <c r="G133" s="13"/>
      <c r="H133" s="13"/>
      <c r="I133" s="13"/>
      <c r="J133" s="13"/>
      <c r="K133" s="13"/>
      <c r="AC133" s="251"/>
    </row>
    <row r="134" spans="1:29" ht="15.6" x14ac:dyDescent="0.3">
      <c r="A134" s="184" t="s">
        <v>237</v>
      </c>
      <c r="B134" s="185" t="s">
        <v>238</v>
      </c>
      <c r="C134" s="186"/>
      <c r="D134" s="186"/>
      <c r="E134" s="186"/>
      <c r="F134" s="186"/>
      <c r="G134" s="186"/>
      <c r="H134" s="186"/>
      <c r="I134" s="186"/>
      <c r="J134" s="186"/>
      <c r="K134" s="186"/>
      <c r="AC134" s="251"/>
    </row>
    <row r="135" spans="1:29" ht="13.8" thickBot="1" x14ac:dyDescent="0.3">
      <c r="A135" s="254" t="s">
        <v>240</v>
      </c>
      <c r="B135" s="255"/>
      <c r="C135" s="255"/>
      <c r="D135" s="13"/>
      <c r="E135" s="13"/>
      <c r="F135" s="13"/>
      <c r="G135" s="13"/>
      <c r="H135" s="13"/>
      <c r="I135" s="13"/>
      <c r="J135" s="13"/>
      <c r="K135" s="13"/>
      <c r="N135" s="232" t="s">
        <v>239</v>
      </c>
      <c r="O135" s="232"/>
      <c r="P135" s="232"/>
      <c r="Q135" s="232"/>
      <c r="R135" s="232"/>
      <c r="AC135" s="251"/>
    </row>
    <row r="136" spans="1:29" ht="40.200000000000003" thickBot="1" x14ac:dyDescent="0.3">
      <c r="A136" s="194"/>
      <c r="B136" s="218" t="s">
        <v>4</v>
      </c>
      <c r="C136" s="191" t="s">
        <v>5</v>
      </c>
      <c r="D136" s="191" t="s">
        <v>6</v>
      </c>
      <c r="E136" s="191" t="s">
        <v>7</v>
      </c>
      <c r="F136" s="191" t="s">
        <v>8</v>
      </c>
      <c r="G136" s="191" t="s">
        <v>9</v>
      </c>
      <c r="H136" s="191" t="s">
        <v>10</v>
      </c>
      <c r="I136" s="191" t="s">
        <v>11</v>
      </c>
      <c r="J136" s="191" t="s">
        <v>12</v>
      </c>
      <c r="K136" s="192" t="s">
        <v>13</v>
      </c>
      <c r="N136" s="219" t="str">
        <f>N84</f>
        <v>Least and Less developed countries</v>
      </c>
      <c r="O136" s="219" t="s">
        <v>10</v>
      </c>
      <c r="P136" s="219" t="str">
        <f>P84</f>
        <v>More developed countries + EE +LAC</v>
      </c>
      <c r="Q136" s="219" t="str">
        <f>Q84</f>
        <v>Total</v>
      </c>
      <c r="R136" s="219" t="str">
        <f>R84</f>
        <v>% Least and Less Developed countries</v>
      </c>
      <c r="AC136" s="251"/>
    </row>
    <row r="137" spans="1:29" ht="15.6" x14ac:dyDescent="0.3">
      <c r="A137" s="194">
        <v>2014</v>
      </c>
      <c r="B137" s="229">
        <v>438696.45012529875</v>
      </c>
      <c r="C137" s="229">
        <v>137774.08357504738</v>
      </c>
      <c r="D137" s="229">
        <v>40458.669774063565</v>
      </c>
      <c r="E137" s="229">
        <v>168421.14739281891</v>
      </c>
      <c r="F137" s="229">
        <v>37663.600616097028</v>
      </c>
      <c r="G137" s="229">
        <v>62060.414563864266</v>
      </c>
      <c r="H137" s="229">
        <v>46977.096435971587</v>
      </c>
      <c r="I137" s="229">
        <v>22776.645123314047</v>
      </c>
      <c r="J137" s="229">
        <v>67712.398313891827</v>
      </c>
      <c r="K137" s="229">
        <v>73092.900830136685</v>
      </c>
      <c r="N137" s="195">
        <f t="shared" ref="N137:N183" si="21">SUMIF($C$83:$G$83,"Y",C137:G137)-H137</f>
        <v>159107.65157294433</v>
      </c>
      <c r="O137" s="195">
        <f>H137</f>
        <v>46977.096435971587</v>
      </c>
      <c r="P137" s="195">
        <f t="shared" ref="P137:P183" si="22">SUMIF($C$83:$G$83,"N",C137:G137)-(IF($E$83="N",H137))</f>
        <v>240293.16791297522</v>
      </c>
      <c r="Q137" s="195">
        <f>N137+P137+O137</f>
        <v>446377.91592189111</v>
      </c>
      <c r="R137" s="196">
        <f>N137/Q137</f>
        <v>0.35644158435648415</v>
      </c>
      <c r="AC137" s="251"/>
    </row>
    <row r="138" spans="1:29" ht="15.6" x14ac:dyDescent="0.3">
      <c r="A138" s="194">
        <v>2015</v>
      </c>
      <c r="B138" s="229">
        <v>449459.89536377345</v>
      </c>
      <c r="C138" s="229">
        <v>140001.89890512943</v>
      </c>
      <c r="D138" s="229">
        <v>41491.645606019258</v>
      </c>
      <c r="E138" s="229">
        <v>173450.74327764433</v>
      </c>
      <c r="F138" s="229">
        <v>38783.889227495783</v>
      </c>
      <c r="G138" s="229">
        <v>63482.802912237443</v>
      </c>
      <c r="H138" s="229">
        <v>50301.468509839244</v>
      </c>
      <c r="I138" s="229">
        <v>24025.852653188198</v>
      </c>
      <c r="J138" s="229">
        <v>68179.108034618519</v>
      </c>
      <c r="K138" s="229">
        <v>73714.670487818454</v>
      </c>
      <c r="N138" s="195">
        <f t="shared" si="21"/>
        <v>161933.16399530089</v>
      </c>
      <c r="O138" s="195">
        <f t="shared" ref="O138:O183" si="23">H138</f>
        <v>50301.468509839244</v>
      </c>
      <c r="P138" s="195">
        <f t="shared" si="22"/>
        <v>244976.34742338615</v>
      </c>
      <c r="Q138" s="195">
        <f t="shared" ref="Q138:Q183" si="24">N138+P138+O138</f>
        <v>457210.97992852633</v>
      </c>
      <c r="R138" s="196">
        <f t="shared" ref="R138:R182" si="25">N138/Q138</f>
        <v>0.35417601742769855</v>
      </c>
      <c r="AC138" s="251"/>
    </row>
    <row r="139" spans="1:29" ht="15.6" x14ac:dyDescent="0.3">
      <c r="A139" s="194">
        <v>2016</v>
      </c>
      <c r="B139" s="229">
        <v>460420.48202937999</v>
      </c>
      <c r="C139" s="229">
        <v>142550.34366071914</v>
      </c>
      <c r="D139" s="229">
        <v>42450.96235311561</v>
      </c>
      <c r="E139" s="229">
        <v>178659.64575138444</v>
      </c>
      <c r="F139" s="229">
        <v>39758.115609022185</v>
      </c>
      <c r="G139" s="229">
        <v>65041.385650014803</v>
      </c>
      <c r="H139" s="229">
        <v>53610.501861130113</v>
      </c>
      <c r="I139" s="229">
        <v>25227.20530896942</v>
      </c>
      <c r="J139" s="229">
        <v>68961.173165756467</v>
      </c>
      <c r="K139" s="229">
        <v>74873.306642577198</v>
      </c>
      <c r="N139" s="195">
        <f t="shared" si="21"/>
        <v>164807.25949927649</v>
      </c>
      <c r="O139" s="195">
        <f t="shared" si="23"/>
        <v>53610.501861130113</v>
      </c>
      <c r="P139" s="195">
        <f t="shared" si="22"/>
        <v>250042.69166384955</v>
      </c>
      <c r="Q139" s="195">
        <f t="shared" si="24"/>
        <v>468460.45302425616</v>
      </c>
      <c r="R139" s="196">
        <f t="shared" si="25"/>
        <v>0.35180613098784463</v>
      </c>
      <c r="AC139" s="251"/>
    </row>
    <row r="140" spans="1:29" ht="15.6" x14ac:dyDescent="0.3">
      <c r="A140" s="194">
        <v>2017</v>
      </c>
      <c r="B140" s="229">
        <v>471539.84298692702</v>
      </c>
      <c r="C140" s="229">
        <v>145123.80873543871</v>
      </c>
      <c r="D140" s="229">
        <v>43411.942306247482</v>
      </c>
      <c r="E140" s="229">
        <v>183928.7082231775</v>
      </c>
      <c r="F140" s="229">
        <v>40758.241949161733</v>
      </c>
      <c r="G140" s="229">
        <v>66633.219061253243</v>
      </c>
      <c r="H140" s="229">
        <v>56813.098606218002</v>
      </c>
      <c r="I140" s="229">
        <v>26485.338053506672</v>
      </c>
      <c r="J140" s="229">
        <v>69728.984867156571</v>
      </c>
      <c r="K140" s="229">
        <v>76024.492709361235</v>
      </c>
      <c r="N140" s="195">
        <f t="shared" si="21"/>
        <v>167873.85156612122</v>
      </c>
      <c r="O140" s="195">
        <f t="shared" si="23"/>
        <v>56813.098606218002</v>
      </c>
      <c r="P140" s="195">
        <f t="shared" si="22"/>
        <v>255168.97010293943</v>
      </c>
      <c r="Q140" s="195">
        <f t="shared" si="24"/>
        <v>479855.92027527862</v>
      </c>
      <c r="R140" s="196">
        <f t="shared" si="25"/>
        <v>0.34984220152961149</v>
      </c>
      <c r="AC140" s="251"/>
    </row>
    <row r="141" spans="1:29" ht="15.6" x14ac:dyDescent="0.3">
      <c r="A141" s="194">
        <v>2018</v>
      </c>
      <c r="B141" s="229">
        <v>482822.41574325209</v>
      </c>
      <c r="C141" s="229">
        <v>147723.56758647895</v>
      </c>
      <c r="D141" s="229">
        <v>44375.397638676885</v>
      </c>
      <c r="E141" s="229">
        <v>189259.28108439918</v>
      </c>
      <c r="F141" s="229">
        <v>41784.9154853457</v>
      </c>
      <c r="G141" s="229">
        <v>68258.054041840456</v>
      </c>
      <c r="H141" s="229">
        <v>59911.173429751856</v>
      </c>
      <c r="I141" s="229">
        <v>27798.722771901346</v>
      </c>
      <c r="J141" s="229">
        <v>70482.718803123571</v>
      </c>
      <c r="K141" s="229">
        <v>77168.310435934574</v>
      </c>
      <c r="N141" s="195">
        <f t="shared" si="21"/>
        <v>171133.02313999302</v>
      </c>
      <c r="O141" s="195">
        <f t="shared" si="23"/>
        <v>59911.173429751856</v>
      </c>
      <c r="P141" s="195">
        <f t="shared" si="22"/>
        <v>260357.0192669963</v>
      </c>
      <c r="Q141" s="195">
        <f t="shared" si="24"/>
        <v>491401.21583674115</v>
      </c>
      <c r="R141" s="196">
        <f t="shared" si="25"/>
        <v>0.34825518868241623</v>
      </c>
      <c r="AC141" s="251"/>
    </row>
    <row r="142" spans="1:29" ht="16.2" thickBot="1" x14ac:dyDescent="0.35">
      <c r="A142" s="198">
        <v>2019</v>
      </c>
      <c r="B142" s="230">
        <v>494272.63780519273</v>
      </c>
      <c r="C142" s="230">
        <v>150350.89367103079</v>
      </c>
      <c r="D142" s="230">
        <v>45342.140523665861</v>
      </c>
      <c r="E142" s="230">
        <v>194652.71472642515</v>
      </c>
      <c r="F142" s="230">
        <v>42838.783455005352</v>
      </c>
      <c r="G142" s="230">
        <v>69915.641487664121</v>
      </c>
      <c r="H142" s="230">
        <v>62906.641016380614</v>
      </c>
      <c r="I142" s="230">
        <v>29165.83134925483</v>
      </c>
      <c r="J142" s="230">
        <v>71222.550637962238</v>
      </c>
      <c r="K142" s="230">
        <v>78304.841570061239</v>
      </c>
      <c r="N142" s="195">
        <f t="shared" si="21"/>
        <v>174584.85716504988</v>
      </c>
      <c r="O142" s="195">
        <f t="shared" si="23"/>
        <v>62906.641016380614</v>
      </c>
      <c r="P142" s="195">
        <f t="shared" si="22"/>
        <v>265608.67568236077</v>
      </c>
      <c r="Q142" s="195">
        <f t="shared" si="24"/>
        <v>503100.17386379128</v>
      </c>
      <c r="R142" s="199">
        <f t="shared" si="25"/>
        <v>0.34701808155668967</v>
      </c>
      <c r="AC142" s="251"/>
    </row>
    <row r="143" spans="1:29" ht="15.6" x14ac:dyDescent="0.3">
      <c r="A143" s="201">
        <v>2020</v>
      </c>
      <c r="B143" s="228">
        <v>505894.94667958649</v>
      </c>
      <c r="C143" s="228">
        <v>153007.06044628509</v>
      </c>
      <c r="D143" s="228">
        <v>46312.983134476424</v>
      </c>
      <c r="E143" s="228">
        <v>200110.35954063109</v>
      </c>
      <c r="F143" s="228">
        <v>43920.493095571954</v>
      </c>
      <c r="G143" s="228">
        <v>71605.732294611924</v>
      </c>
      <c r="H143" s="228">
        <v>65801.416050753236</v>
      </c>
      <c r="I143" s="228">
        <v>30585.135670668518</v>
      </c>
      <c r="J143" s="228">
        <v>71948.656035977358</v>
      </c>
      <c r="K143" s="228">
        <v>79434.167859505251</v>
      </c>
      <c r="L143" s="202"/>
      <c r="M143" s="202"/>
      <c r="N143" s="195">
        <f t="shared" si="21"/>
        <v>178229.43658544982</v>
      </c>
      <c r="O143" s="195">
        <f t="shared" si="23"/>
        <v>65801.416050753236</v>
      </c>
      <c r="P143" s="195">
        <f t="shared" si="22"/>
        <v>270925.77587537345</v>
      </c>
      <c r="Q143" s="195">
        <f t="shared" si="24"/>
        <v>514956.62851157645</v>
      </c>
      <c r="R143" s="220">
        <f t="shared" si="25"/>
        <v>0.34610572370065751</v>
      </c>
      <c r="AC143" s="251"/>
    </row>
    <row r="144" spans="1:29" ht="15.6" x14ac:dyDescent="0.3">
      <c r="A144" s="206">
        <v>2021</v>
      </c>
      <c r="B144" s="229">
        <v>517693.77987327083</v>
      </c>
      <c r="C144" s="229">
        <v>155693.34136943266</v>
      </c>
      <c r="D144" s="229">
        <v>47288.737644370616</v>
      </c>
      <c r="E144" s="229">
        <v>205633.56591839271</v>
      </c>
      <c r="F144" s="229">
        <v>45030.691644476778</v>
      </c>
      <c r="G144" s="229">
        <v>73328.07735857158</v>
      </c>
      <c r="H144" s="229">
        <v>68597.413217518639</v>
      </c>
      <c r="I144" s="229">
        <v>32055.107621243798</v>
      </c>
      <c r="J144" s="229">
        <v>72661.210661473684</v>
      </c>
      <c r="K144" s="229">
        <v>80556.371052030649</v>
      </c>
      <c r="L144" s="170"/>
      <c r="M144" s="170"/>
      <c r="N144" s="195">
        <f t="shared" si="21"/>
        <v>182066.84434535087</v>
      </c>
      <c r="O144" s="195">
        <f t="shared" si="23"/>
        <v>68597.413217518639</v>
      </c>
      <c r="P144" s="195">
        <f t="shared" si="22"/>
        <v>276310.15637237485</v>
      </c>
      <c r="Q144" s="195">
        <f t="shared" si="24"/>
        <v>526974.41393524432</v>
      </c>
      <c r="R144" s="221">
        <f t="shared" si="25"/>
        <v>0.34549465691464026</v>
      </c>
      <c r="AC144" s="251"/>
    </row>
    <row r="145" spans="1:29" ht="15.6" x14ac:dyDescent="0.3">
      <c r="A145" s="206">
        <v>2022</v>
      </c>
      <c r="B145" s="229">
        <v>529673.57489308331</v>
      </c>
      <c r="C145" s="229">
        <v>158411.00989766442</v>
      </c>
      <c r="D145" s="229">
        <v>48270.216226610442</v>
      </c>
      <c r="E145" s="229">
        <v>211223.68425108568</v>
      </c>
      <c r="F145" s="229">
        <v>46170.026339151089</v>
      </c>
      <c r="G145" s="229">
        <v>75082.427575430745</v>
      </c>
      <c r="H145" s="229">
        <v>71296.547201325782</v>
      </c>
      <c r="I145" s="229">
        <v>33574.21908608207</v>
      </c>
      <c r="J145" s="229">
        <v>73360.390178755973</v>
      </c>
      <c r="K145" s="229">
        <v>81671.532895401426</v>
      </c>
      <c r="L145" s="170"/>
      <c r="M145" s="170"/>
      <c r="N145" s="195">
        <f t="shared" si="21"/>
        <v>186097.16338891099</v>
      </c>
      <c r="O145" s="195">
        <f t="shared" si="23"/>
        <v>71296.547201325782</v>
      </c>
      <c r="P145" s="195">
        <f t="shared" si="22"/>
        <v>281763.65369970561</v>
      </c>
      <c r="Q145" s="195">
        <f t="shared" si="24"/>
        <v>539157.36428994243</v>
      </c>
      <c r="R145" s="221">
        <f t="shared" si="25"/>
        <v>0.34516298156104497</v>
      </c>
      <c r="AC145" s="251"/>
    </row>
    <row r="146" spans="1:29" ht="15.6" x14ac:dyDescent="0.3">
      <c r="A146" s="206">
        <v>2023</v>
      </c>
      <c r="B146" s="229">
        <v>541838.76924586133</v>
      </c>
      <c r="C146" s="229">
        <v>161161.33948817124</v>
      </c>
      <c r="D146" s="229">
        <v>49258.231054457945</v>
      </c>
      <c r="E146" s="229">
        <v>216882.06493008567</v>
      </c>
      <c r="F146" s="229">
        <v>47339.144417026153</v>
      </c>
      <c r="G146" s="229">
        <v>76868.533841077136</v>
      </c>
      <c r="H146" s="229">
        <v>73900.732686823598</v>
      </c>
      <c r="I146" s="229">
        <v>35140.941950284709</v>
      </c>
      <c r="J146" s="229">
        <v>74046.370252128996</v>
      </c>
      <c r="K146" s="229">
        <v>82779.73513738162</v>
      </c>
      <c r="L146" s="170"/>
      <c r="M146" s="170"/>
      <c r="N146" s="195">
        <f t="shared" si="21"/>
        <v>190320.47666028823</v>
      </c>
      <c r="O146" s="195">
        <f t="shared" si="23"/>
        <v>73900.732686823598</v>
      </c>
      <c r="P146" s="195">
        <f t="shared" si="22"/>
        <v>287288.10438370635</v>
      </c>
      <c r="Q146" s="195">
        <f>N146+P146+O146</f>
        <v>551509.31373081822</v>
      </c>
      <c r="R146" s="221">
        <f t="shared" si="25"/>
        <v>0.34509023133774352</v>
      </c>
      <c r="AC146" s="251"/>
    </row>
    <row r="147" spans="1:29" ht="15.6" x14ac:dyDescent="0.3">
      <c r="A147" s="206">
        <v>2024</v>
      </c>
      <c r="B147" s="229">
        <v>554193.80043844262</v>
      </c>
      <c r="C147" s="229">
        <v>163945.60359814396</v>
      </c>
      <c r="D147" s="229">
        <v>50253.594301175137</v>
      </c>
      <c r="E147" s="229">
        <v>222610.05834676838</v>
      </c>
      <c r="F147" s="229">
        <v>48538.693115533242</v>
      </c>
      <c r="G147" s="229">
        <v>78686.147051398424</v>
      </c>
      <c r="H147" s="229">
        <v>76411.884358661031</v>
      </c>
      <c r="I147" s="229">
        <v>36753.748098953118</v>
      </c>
      <c r="J147" s="229">
        <v>74719.326545897507</v>
      </c>
      <c r="K147" s="229">
        <v>83881.05952573524</v>
      </c>
      <c r="L147" s="170"/>
      <c r="M147" s="170"/>
      <c r="N147" s="195">
        <f t="shared" si="21"/>
        <v>194736.86710364057</v>
      </c>
      <c r="O147" s="195">
        <f t="shared" si="23"/>
        <v>76411.884358661031</v>
      </c>
      <c r="P147" s="195">
        <f t="shared" si="22"/>
        <v>292885.34495071752</v>
      </c>
      <c r="Q147" s="195">
        <f t="shared" si="24"/>
        <v>564034.09641301911</v>
      </c>
      <c r="R147" s="221">
        <f t="shared" si="25"/>
        <v>0.34525726076148899</v>
      </c>
      <c r="AC147" s="251"/>
    </row>
    <row r="148" spans="1:29" ht="15.6" x14ac:dyDescent="0.3">
      <c r="A148" s="206">
        <v>2025</v>
      </c>
      <c r="B148" s="229">
        <v>566743.10597766459</v>
      </c>
      <c r="C148" s="229">
        <v>166765.07568477347</v>
      </c>
      <c r="D148" s="229">
        <v>51257.11814002406</v>
      </c>
      <c r="E148" s="229">
        <v>228409.01489250944</v>
      </c>
      <c r="F148" s="229">
        <v>49769.319672103622</v>
      </c>
      <c r="G148" s="229">
        <v>80535.018102282294</v>
      </c>
      <c r="H148" s="229">
        <v>78831.916901487042</v>
      </c>
      <c r="I148" s="229">
        <v>38411.109417188687</v>
      </c>
      <c r="J148" s="229">
        <v>75379.434724366292</v>
      </c>
      <c r="K148" s="229">
        <v>84975.587808226323</v>
      </c>
      <c r="L148" s="170"/>
      <c r="M148" s="170"/>
      <c r="N148" s="195">
        <f t="shared" si="21"/>
        <v>199346.41766312602</v>
      </c>
      <c r="O148" s="195">
        <f t="shared" si="23"/>
        <v>78831.916901487042</v>
      </c>
      <c r="P148" s="195">
        <f t="shared" si="22"/>
        <v>298557.21192707983</v>
      </c>
      <c r="Q148" s="195">
        <f t="shared" si="24"/>
        <v>576735.54649169289</v>
      </c>
      <c r="R148" s="221">
        <f t="shared" si="25"/>
        <v>0.34564614384488496</v>
      </c>
      <c r="AC148" s="251"/>
    </row>
    <row r="149" spans="1:29" ht="15.6" x14ac:dyDescent="0.3">
      <c r="A149" s="206">
        <v>2026</v>
      </c>
      <c r="B149" s="229">
        <v>579491.12337036466</v>
      </c>
      <c r="C149" s="229">
        <v>169621.02920525064</v>
      </c>
      <c r="D149" s="229">
        <v>52269.614744266728</v>
      </c>
      <c r="E149" s="229">
        <v>234280.28495868461</v>
      </c>
      <c r="F149" s="229">
        <v>51031.671324168565</v>
      </c>
      <c r="G149" s="229">
        <v>82414.897889616448</v>
      </c>
      <c r="H149" s="229">
        <v>81162.744999950533</v>
      </c>
      <c r="I149" s="229">
        <v>40111.497790092799</v>
      </c>
      <c r="J149" s="229">
        <v>76026.870451840092</v>
      </c>
      <c r="K149" s="229">
        <v>86063.401732618877</v>
      </c>
      <c r="L149" s="170"/>
      <c r="M149" s="170"/>
      <c r="N149" s="195">
        <f t="shared" si="21"/>
        <v>204149.21128290263</v>
      </c>
      <c r="O149" s="195">
        <f t="shared" si="23"/>
        <v>81162.744999950533</v>
      </c>
      <c r="P149" s="195">
        <f t="shared" si="22"/>
        <v>304305.54183913383</v>
      </c>
      <c r="Q149" s="195">
        <f t="shared" si="24"/>
        <v>589617.49812198698</v>
      </c>
      <c r="R149" s="221">
        <f t="shared" si="25"/>
        <v>0.34624008265213635</v>
      </c>
      <c r="AC149" s="251"/>
    </row>
    <row r="150" spans="1:29" ht="15.6" x14ac:dyDescent="0.3">
      <c r="A150" s="206">
        <v>2027</v>
      </c>
      <c r="B150" s="229">
        <v>592442.29012338049</v>
      </c>
      <c r="C150" s="229">
        <v>172514.73761676633</v>
      </c>
      <c r="D150" s="229">
        <v>53291.896287165167</v>
      </c>
      <c r="E150" s="229">
        <v>240225.21893666952</v>
      </c>
      <c r="F150" s="229">
        <v>52326.395309159328</v>
      </c>
      <c r="G150" s="229">
        <v>84325.537309288571</v>
      </c>
      <c r="H150" s="229">
        <v>83406.283338700479</v>
      </c>
      <c r="I150" s="229">
        <v>41853.385102766857</v>
      </c>
      <c r="J150" s="229">
        <v>76661.809392623691</v>
      </c>
      <c r="K150" s="229">
        <v>87144.583046676926</v>
      </c>
      <c r="L150" s="170"/>
      <c r="M150" s="170"/>
      <c r="N150" s="195">
        <f t="shared" si="21"/>
        <v>209145.33090712834</v>
      </c>
      <c r="O150" s="195">
        <f t="shared" si="23"/>
        <v>83406.283338700479</v>
      </c>
      <c r="P150" s="195">
        <f t="shared" si="22"/>
        <v>310132.17121322011</v>
      </c>
      <c r="Q150" s="195">
        <f t="shared" si="24"/>
        <v>602683.78545904893</v>
      </c>
      <c r="R150" s="221">
        <f t="shared" si="25"/>
        <v>0.34702332459106672</v>
      </c>
      <c r="AC150" s="251"/>
    </row>
    <row r="151" spans="1:29" ht="15.6" x14ac:dyDescent="0.3">
      <c r="A151" s="206">
        <v>2028</v>
      </c>
      <c r="B151" s="229">
        <v>605601.04374354961</v>
      </c>
      <c r="C151" s="229">
        <v>175447.47437651141</v>
      </c>
      <c r="D151" s="229">
        <v>54324.774941981406</v>
      </c>
      <c r="E151" s="229">
        <v>246245.16721783986</v>
      </c>
      <c r="F151" s="229">
        <v>53654.138864507186</v>
      </c>
      <c r="G151" s="229">
        <v>86266.687257186335</v>
      </c>
      <c r="H151" s="229">
        <v>85564.446602385811</v>
      </c>
      <c r="I151" s="229">
        <v>43635.243240312237</v>
      </c>
      <c r="J151" s="229">
        <v>77284.42721102183</v>
      </c>
      <c r="K151" s="229">
        <v>88219.213498164507</v>
      </c>
      <c r="L151" s="170"/>
      <c r="M151" s="170"/>
      <c r="N151" s="195">
        <f t="shared" si="21"/>
        <v>214334.85947996125</v>
      </c>
      <c r="O151" s="195">
        <f t="shared" si="23"/>
        <v>85564.446602385811</v>
      </c>
      <c r="P151" s="195">
        <f t="shared" si="22"/>
        <v>316038.93657567917</v>
      </c>
      <c r="Q151" s="195">
        <f t="shared" si="24"/>
        <v>615938.24265802628</v>
      </c>
      <c r="R151" s="221">
        <f t="shared" si="25"/>
        <v>0.34798108744639455</v>
      </c>
      <c r="AC151" s="251"/>
    </row>
    <row r="152" spans="1:29" ht="15.6" x14ac:dyDescent="0.3">
      <c r="A152" s="206">
        <v>2029</v>
      </c>
      <c r="B152" s="229">
        <v>618971.82173770946</v>
      </c>
      <c r="C152" s="229">
        <v>178420.51294167674</v>
      </c>
      <c r="D152" s="229">
        <v>55369.062881977479</v>
      </c>
      <c r="E152" s="229">
        <v>252341.48019357133</v>
      </c>
      <c r="F152" s="229">
        <v>55015.549227643409</v>
      </c>
      <c r="G152" s="229">
        <v>88238.098629197455</v>
      </c>
      <c r="H152" s="229">
        <v>87639.149475655475</v>
      </c>
      <c r="I152" s="229">
        <v>45455.544087830349</v>
      </c>
      <c r="J152" s="229">
        <v>77894.899571339309</v>
      </c>
      <c r="K152" s="229">
        <v>89287.374834845599</v>
      </c>
      <c r="L152" s="170"/>
      <c r="M152" s="170"/>
      <c r="N152" s="195">
        <f t="shared" si="21"/>
        <v>219717.87994555925</v>
      </c>
      <c r="O152" s="195">
        <f t="shared" si="23"/>
        <v>87639.149475655475</v>
      </c>
      <c r="P152" s="195">
        <f t="shared" si="22"/>
        <v>322027.67445285164</v>
      </c>
      <c r="Q152" s="195">
        <f t="shared" si="24"/>
        <v>629384.70387406647</v>
      </c>
      <c r="R152" s="221">
        <f t="shared" si="25"/>
        <v>0.3490994912858934</v>
      </c>
      <c r="AC152" s="251"/>
    </row>
    <row r="153" spans="1:29" ht="15.6" x14ac:dyDescent="0.3">
      <c r="A153" s="206">
        <v>2030</v>
      </c>
      <c r="B153" s="229">
        <v>632559.06161269755</v>
      </c>
      <c r="C153" s="229">
        <v>181435.1267694532</v>
      </c>
      <c r="D153" s="229">
        <v>56425.572280415399</v>
      </c>
      <c r="E153" s="229">
        <v>258515.50825523961</v>
      </c>
      <c r="F153" s="229">
        <v>56411.273635999256</v>
      </c>
      <c r="G153" s="229">
        <v>90239.522321209617</v>
      </c>
      <c r="H153" s="229">
        <v>89632.306643158401</v>
      </c>
      <c r="I153" s="229">
        <v>47312.759530422569</v>
      </c>
      <c r="J153" s="229">
        <v>78493.402137880854</v>
      </c>
      <c r="K153" s="229">
        <v>90349.14880448427</v>
      </c>
      <c r="L153" s="170"/>
      <c r="M153" s="170"/>
      <c r="N153" s="195">
        <f t="shared" si="21"/>
        <v>225294.47524808047</v>
      </c>
      <c r="O153" s="195">
        <f t="shared" si="23"/>
        <v>89632.306643158401</v>
      </c>
      <c r="P153" s="195">
        <f t="shared" si="22"/>
        <v>328100.22137107822</v>
      </c>
      <c r="Q153" s="195">
        <f t="shared" si="24"/>
        <v>643027.00326231716</v>
      </c>
      <c r="R153" s="221">
        <f t="shared" si="25"/>
        <v>0.35036549648005</v>
      </c>
      <c r="AC153" s="251"/>
    </row>
    <row r="154" spans="1:29" ht="15.6" x14ac:dyDescent="0.3">
      <c r="A154" s="206">
        <v>2031</v>
      </c>
      <c r="B154" s="229">
        <v>646367.20087535144</v>
      </c>
      <c r="C154" s="229">
        <v>184492.58931703167</v>
      </c>
      <c r="D154" s="229">
        <v>57495.115310557201</v>
      </c>
      <c r="E154" s="229">
        <v>264768.60179422033</v>
      </c>
      <c r="F154" s="229">
        <v>57841.959327006</v>
      </c>
      <c r="G154" s="229">
        <v>92270.709229110478</v>
      </c>
      <c r="H154" s="229">
        <v>91545.832789543565</v>
      </c>
      <c r="I154" s="229">
        <v>49205.361453190286</v>
      </c>
      <c r="J154" s="229">
        <v>79080.11057495125</v>
      </c>
      <c r="K154" s="229">
        <v>91404.617154844513</v>
      </c>
      <c r="L154" s="170"/>
      <c r="M154" s="170"/>
      <c r="N154" s="195">
        <f t="shared" si="21"/>
        <v>231064.7283316828</v>
      </c>
      <c r="O154" s="195">
        <f t="shared" si="23"/>
        <v>91545.832789543565</v>
      </c>
      <c r="P154" s="195">
        <f t="shared" si="22"/>
        <v>334258.41385669936</v>
      </c>
      <c r="Q154" s="195">
        <f t="shared" si="24"/>
        <v>656868.97497792565</v>
      </c>
      <c r="R154" s="221">
        <f t="shared" si="25"/>
        <v>0.35176684716986034</v>
      </c>
      <c r="AC154" s="251"/>
    </row>
    <row r="155" spans="1:29" ht="15.6" x14ac:dyDescent="0.3">
      <c r="A155" s="206">
        <v>2032</v>
      </c>
      <c r="B155" s="229">
        <v>660400.67703250865</v>
      </c>
      <c r="C155" s="229">
        <v>187594.17404160299</v>
      </c>
      <c r="D155" s="229">
        <v>58578.504145664905</v>
      </c>
      <c r="E155" s="229">
        <v>271102.11120188923</v>
      </c>
      <c r="F155" s="229">
        <v>59308.253538094905</v>
      </c>
      <c r="G155" s="229">
        <v>94331.410248787768</v>
      </c>
      <c r="H155" s="229">
        <v>93381.642599459854</v>
      </c>
      <c r="I155" s="229">
        <v>51131.821741234904</v>
      </c>
      <c r="J155" s="229">
        <v>79655.200546855267</v>
      </c>
      <c r="K155" s="229">
        <v>92453.861633690365</v>
      </c>
      <c r="L155" s="170"/>
      <c r="M155" s="170"/>
      <c r="N155" s="195">
        <f t="shared" si="21"/>
        <v>237028.7221405243</v>
      </c>
      <c r="O155" s="195">
        <f t="shared" si="23"/>
        <v>93381.642599459854</v>
      </c>
      <c r="P155" s="195">
        <f t="shared" si="22"/>
        <v>340504.0884360557</v>
      </c>
      <c r="Q155" s="195">
        <f t="shared" si="24"/>
        <v>670914.45317603985</v>
      </c>
      <c r="R155" s="221">
        <f t="shared" si="25"/>
        <v>0.3532920195987056</v>
      </c>
      <c r="AC155" s="251"/>
    </row>
    <row r="156" spans="1:29" ht="15.6" x14ac:dyDescent="0.3">
      <c r="A156" s="206">
        <v>2033</v>
      </c>
      <c r="B156" s="229">
        <v>674663.92759100662</v>
      </c>
      <c r="C156" s="229">
        <v>190741.15440035803</v>
      </c>
      <c r="D156" s="229">
        <v>59676.550959000539</v>
      </c>
      <c r="E156" s="229">
        <v>277517.38686962205</v>
      </c>
      <c r="F156" s="229">
        <v>60810.803506697237</v>
      </c>
      <c r="G156" s="229">
        <v>96421.376276129158</v>
      </c>
      <c r="H156" s="229">
        <v>95141.650757556257</v>
      </c>
      <c r="I156" s="229">
        <v>53090.612279657813</v>
      </c>
      <c r="J156" s="229">
        <v>80218.847717897661</v>
      </c>
      <c r="K156" s="229">
        <v>93496.963988785836</v>
      </c>
      <c r="L156" s="170"/>
      <c r="M156" s="170"/>
      <c r="N156" s="195">
        <f t="shared" si="21"/>
        <v>243186.53961876302</v>
      </c>
      <c r="O156" s="195">
        <f t="shared" si="23"/>
        <v>95141.650757556257</v>
      </c>
      <c r="P156" s="195">
        <f t="shared" si="22"/>
        <v>346839.08163548773</v>
      </c>
      <c r="Q156" s="195">
        <f t="shared" si="24"/>
        <v>685167.27201180696</v>
      </c>
      <c r="R156" s="221">
        <f t="shared" si="25"/>
        <v>0.35493017479470673</v>
      </c>
      <c r="AC156" s="251"/>
    </row>
    <row r="157" spans="1:29" ht="15.6" x14ac:dyDescent="0.3">
      <c r="A157" s="206">
        <v>2034</v>
      </c>
      <c r="B157" s="229">
        <v>689161.39005768299</v>
      </c>
      <c r="C157" s="229">
        <v>193934.80385048769</v>
      </c>
      <c r="D157" s="229">
        <v>60790.067923826136</v>
      </c>
      <c r="E157" s="229">
        <v>284015.77918879432</v>
      </c>
      <c r="F157" s="229">
        <v>62350.256470244276</v>
      </c>
      <c r="G157" s="229">
        <v>98540.35820702232</v>
      </c>
      <c r="H157" s="229">
        <v>96827.771948481706</v>
      </c>
      <c r="I157" s="229">
        <v>55080.204953560387</v>
      </c>
      <c r="J157" s="229">
        <v>80771.227752383187</v>
      </c>
      <c r="K157" s="229">
        <v>94534.005967894947</v>
      </c>
      <c r="L157" s="170"/>
      <c r="M157" s="170"/>
      <c r="N157" s="195">
        <f t="shared" si="21"/>
        <v>249538.26371055687</v>
      </c>
      <c r="O157" s="195">
        <f t="shared" si="23"/>
        <v>96827.771948481706</v>
      </c>
      <c r="P157" s="195">
        <f t="shared" si="22"/>
        <v>353265.22998133616</v>
      </c>
      <c r="Q157" s="195">
        <f t="shared" si="24"/>
        <v>699631.26564037474</v>
      </c>
      <c r="R157" s="221">
        <f t="shared" si="25"/>
        <v>0.35667111515114136</v>
      </c>
      <c r="AC157" s="251"/>
    </row>
    <row r="158" spans="1:29" ht="15.6" x14ac:dyDescent="0.3">
      <c r="A158" s="206">
        <v>2035</v>
      </c>
      <c r="B158" s="229">
        <v>703897.50193937519</v>
      </c>
      <c r="C158" s="229">
        <v>197176.39584918285</v>
      </c>
      <c r="D158" s="229">
        <v>61919.867213403704</v>
      </c>
      <c r="E158" s="229">
        <v>290598.63855078176</v>
      </c>
      <c r="F158" s="229">
        <v>63927.259666167287</v>
      </c>
      <c r="G158" s="229">
        <v>100688.10693735495</v>
      </c>
      <c r="H158" s="229">
        <v>98441.920856885132</v>
      </c>
      <c r="I158" s="229">
        <v>57099.071648044031</v>
      </c>
      <c r="J158" s="229">
        <v>81312.516314616631</v>
      </c>
      <c r="K158" s="229">
        <v>95565.069318781723</v>
      </c>
      <c r="L158" s="170"/>
      <c r="M158" s="170"/>
      <c r="N158" s="195">
        <f t="shared" si="21"/>
        <v>256083.97736006393</v>
      </c>
      <c r="O158" s="195">
        <f t="shared" si="23"/>
        <v>98441.920856885132</v>
      </c>
      <c r="P158" s="195">
        <f t="shared" si="22"/>
        <v>359784.3699999415</v>
      </c>
      <c r="Q158" s="195">
        <f t="shared" si="24"/>
        <v>714310.26821689052</v>
      </c>
      <c r="R158" s="221">
        <f t="shared" si="25"/>
        <v>0.35850524450574961</v>
      </c>
      <c r="AC158" s="251"/>
    </row>
    <row r="159" spans="1:29" ht="15.6" x14ac:dyDescent="0.3">
      <c r="A159" s="206">
        <v>2036</v>
      </c>
      <c r="B159" s="229">
        <v>718876.70074292086</v>
      </c>
      <c r="C159" s="229">
        <v>200467.2038536343</v>
      </c>
      <c r="D159" s="229">
        <v>63066.761000995291</v>
      </c>
      <c r="E159" s="229">
        <v>297267.31534696021</v>
      </c>
      <c r="F159" s="229">
        <v>65542.460331897513</v>
      </c>
      <c r="G159" s="229">
        <v>102864.37336301478</v>
      </c>
      <c r="H159" s="229">
        <v>99986.01216741548</v>
      </c>
      <c r="I159" s="229">
        <v>59145.684248210135</v>
      </c>
      <c r="J159" s="229">
        <v>81842.889068902732</v>
      </c>
      <c r="K159" s="229">
        <v>96590.235789210186</v>
      </c>
      <c r="L159" s="170"/>
      <c r="M159" s="170"/>
      <c r="N159" s="195">
        <f t="shared" si="21"/>
        <v>262823.76351144223</v>
      </c>
      <c r="O159" s="195">
        <f t="shared" si="23"/>
        <v>99986.01216741548</v>
      </c>
      <c r="P159" s="195">
        <f t="shared" si="22"/>
        <v>366398.33821764437</v>
      </c>
      <c r="Q159" s="195">
        <f t="shared" si="24"/>
        <v>729208.11389650207</v>
      </c>
      <c r="R159" s="221">
        <f t="shared" si="25"/>
        <v>0.36042353136617089</v>
      </c>
      <c r="AC159" s="251"/>
    </row>
    <row r="160" spans="1:29" ht="15.6" x14ac:dyDescent="0.3">
      <c r="A160" s="206">
        <v>2037</v>
      </c>
      <c r="B160" s="229">
        <v>734103.42397515732</v>
      </c>
      <c r="C160" s="229">
        <v>203808.50132103299</v>
      </c>
      <c r="D160" s="229">
        <v>64231.561459862904</v>
      </c>
      <c r="E160" s="229">
        <v>304023.15996870515</v>
      </c>
      <c r="F160" s="229">
        <v>67196.505704866257</v>
      </c>
      <c r="G160" s="229">
        <v>105068.90837988944</v>
      </c>
      <c r="H160" s="229">
        <v>101461.96056472168</v>
      </c>
      <c r="I160" s="229">
        <v>61218.514639160087</v>
      </c>
      <c r="J160" s="229">
        <v>82362.521679546277</v>
      </c>
      <c r="K160" s="229">
        <v>97609.587126944345</v>
      </c>
      <c r="L160" s="170"/>
      <c r="M160" s="170"/>
      <c r="N160" s="195">
        <f t="shared" si="21"/>
        <v>269757.70510884974</v>
      </c>
      <c r="O160" s="195">
        <f t="shared" si="23"/>
        <v>101461.96056472168</v>
      </c>
      <c r="P160" s="195">
        <f t="shared" si="22"/>
        <v>373108.97116078535</v>
      </c>
      <c r="Q160" s="195">
        <f t="shared" si="24"/>
        <v>744328.63683435682</v>
      </c>
      <c r="R160" s="221">
        <f t="shared" si="25"/>
        <v>0.36241747496930138</v>
      </c>
      <c r="AC160" s="251"/>
    </row>
    <row r="161" spans="1:29" ht="15.6" x14ac:dyDescent="0.3">
      <c r="A161" s="206">
        <v>2038</v>
      </c>
      <c r="B161" s="229">
        <v>749582.10914292233</v>
      </c>
      <c r="C161" s="229">
        <v>207201.56170856976</v>
      </c>
      <c r="D161" s="229">
        <v>65415.080763268576</v>
      </c>
      <c r="E161" s="229">
        <v>310867.52280739235</v>
      </c>
      <c r="F161" s="229">
        <v>68890.043022504775</v>
      </c>
      <c r="G161" s="229">
        <v>107301.46288386662</v>
      </c>
      <c r="H161" s="229">
        <v>102871.6807334527</v>
      </c>
      <c r="I161" s="229">
        <v>63316.034705995276</v>
      </c>
      <c r="J161" s="229">
        <v>82871.58981085202</v>
      </c>
      <c r="K161" s="229">
        <v>98623.205079748237</v>
      </c>
      <c r="L161" s="170"/>
      <c r="M161" s="170"/>
      <c r="N161" s="195">
        <f t="shared" si="21"/>
        <v>276885.8850964444</v>
      </c>
      <c r="O161" s="195">
        <f t="shared" si="23"/>
        <v>102871.6807334527</v>
      </c>
      <c r="P161" s="195">
        <f t="shared" si="22"/>
        <v>379918.10535570496</v>
      </c>
      <c r="Q161" s="195">
        <f t="shared" si="24"/>
        <v>759675.67118560208</v>
      </c>
      <c r="R161" s="221">
        <f t="shared" si="25"/>
        <v>0.3644790738978349</v>
      </c>
      <c r="AC161" s="251"/>
    </row>
    <row r="162" spans="1:29" ht="15.6" x14ac:dyDescent="0.3">
      <c r="A162" s="206">
        <v>2039</v>
      </c>
      <c r="B162" s="229">
        <v>765317.1937530532</v>
      </c>
      <c r="C162" s="229">
        <v>210647.65847343544</v>
      </c>
      <c r="D162" s="229">
        <v>66618.131084474342</v>
      </c>
      <c r="E162" s="229">
        <v>317801.75425439747</v>
      </c>
      <c r="F162" s="229">
        <v>70623.719522244312</v>
      </c>
      <c r="G162" s="229">
        <v>109561.78777083407</v>
      </c>
      <c r="H162" s="229">
        <v>104217.08735825747</v>
      </c>
      <c r="I162" s="229">
        <v>65436.716333817109</v>
      </c>
      <c r="J162" s="229">
        <v>83370.269127124717</v>
      </c>
      <c r="K162" s="229">
        <v>99631.171395385871</v>
      </c>
      <c r="L162" s="170"/>
      <c r="M162" s="170"/>
      <c r="N162" s="195">
        <f t="shared" si="21"/>
        <v>284208.38641838427</v>
      </c>
      <c r="O162" s="195">
        <f t="shared" si="23"/>
        <v>104217.08735825747</v>
      </c>
      <c r="P162" s="195">
        <f t="shared" si="22"/>
        <v>386827.57732874382</v>
      </c>
      <c r="Q162" s="195">
        <f t="shared" si="24"/>
        <v>775253.05110538565</v>
      </c>
      <c r="R162" s="221">
        <f t="shared" si="25"/>
        <v>0.3666007970083433</v>
      </c>
      <c r="AC162" s="251"/>
    </row>
    <row r="163" spans="1:29" ht="15.6" x14ac:dyDescent="0.3">
      <c r="A163" s="206">
        <v>2040</v>
      </c>
      <c r="B163" s="229">
        <v>781313.11531238747</v>
      </c>
      <c r="C163" s="229">
        <v>214148.06507282096</v>
      </c>
      <c r="D163" s="229">
        <v>67841.524596742223</v>
      </c>
      <c r="E163" s="229">
        <v>324827.20470109629</v>
      </c>
      <c r="F163" s="229">
        <v>72398.182441516168</v>
      </c>
      <c r="G163" s="229">
        <v>111849.63393667943</v>
      </c>
      <c r="H163" s="229">
        <v>105500.09512378494</v>
      </c>
      <c r="I163" s="229">
        <v>67579.031407726958</v>
      </c>
      <c r="J163" s="229">
        <v>83858.735292669153</v>
      </c>
      <c r="K163" s="229">
        <v>100633.56782162127</v>
      </c>
      <c r="L163" s="170"/>
      <c r="M163" s="170"/>
      <c r="N163" s="195">
        <f t="shared" si="21"/>
        <v>291725.29201882752</v>
      </c>
      <c r="O163" s="195">
        <f t="shared" si="23"/>
        <v>105500.09512378494</v>
      </c>
      <c r="P163" s="195">
        <f t="shared" si="22"/>
        <v>393839.22360624257</v>
      </c>
      <c r="Q163" s="195">
        <f t="shared" si="24"/>
        <v>791064.61074885505</v>
      </c>
      <c r="R163" s="221">
        <f t="shared" si="25"/>
        <v>0.36877555645254828</v>
      </c>
      <c r="AC163" s="251"/>
    </row>
    <row r="164" spans="1:29" ht="15.6" x14ac:dyDescent="0.3">
      <c r="A164" s="206">
        <v>2041</v>
      </c>
      <c r="B164" s="229">
        <v>797574.3113277629</v>
      </c>
      <c r="C164" s="229">
        <v>217704.05496391715</v>
      </c>
      <c r="D164" s="229">
        <v>69086.073473334225</v>
      </c>
      <c r="E164" s="229">
        <v>331945.22453886434</v>
      </c>
      <c r="F164" s="229">
        <v>74214.079017751588</v>
      </c>
      <c r="G164" s="229">
        <v>114164.75227729039</v>
      </c>
      <c r="H164" s="229">
        <v>106722.61871468404</v>
      </c>
      <c r="I164" s="229">
        <v>69741.451812826213</v>
      </c>
      <c r="J164" s="229">
        <v>84337.163971790069</v>
      </c>
      <c r="K164" s="229">
        <v>101630.47610621847</v>
      </c>
      <c r="L164" s="170"/>
      <c r="M164" s="170"/>
      <c r="N164" s="195">
        <f t="shared" si="21"/>
        <v>299436.68484193191</v>
      </c>
      <c r="O164" s="195">
        <f t="shared" si="23"/>
        <v>106722.61871468404</v>
      </c>
      <c r="P164" s="195">
        <f t="shared" si="22"/>
        <v>400954.88071454177</v>
      </c>
      <c r="Q164" s="195">
        <f>N164+P164+O164</f>
        <v>807114.18427115772</v>
      </c>
      <c r="R164" s="221">
        <f>N164/Q164</f>
        <v>0.37099668259743196</v>
      </c>
      <c r="AC164" s="251"/>
    </row>
    <row r="165" spans="1:29" ht="15.6" x14ac:dyDescent="0.3">
      <c r="A165" s="206">
        <v>2042</v>
      </c>
      <c r="B165" s="229">
        <v>814105.21930601669</v>
      </c>
      <c r="C165" s="229">
        <v>221316.90160391491</v>
      </c>
      <c r="D165" s="229">
        <v>70352.589887512411</v>
      </c>
      <c r="E165" s="229">
        <v>339157.16415907739</v>
      </c>
      <c r="F165" s="229">
        <v>76072.056488381844</v>
      </c>
      <c r="G165" s="229">
        <v>116506.89368855464</v>
      </c>
      <c r="H165" s="229">
        <v>107886.57281560372</v>
      </c>
      <c r="I165" s="229">
        <v>71922.44943421628</v>
      </c>
      <c r="J165" s="229">
        <v>84805.73082879225</v>
      </c>
      <c r="K165" s="229">
        <v>102621.97799694147</v>
      </c>
      <c r="L165" s="170"/>
      <c r="M165" s="170"/>
      <c r="N165" s="195">
        <f t="shared" si="21"/>
        <v>307342.64783185557</v>
      </c>
      <c r="O165" s="195">
        <f t="shared" si="23"/>
        <v>107886.57281560372</v>
      </c>
      <c r="P165" s="195">
        <f t="shared" si="22"/>
        <v>408176.38517998194</v>
      </c>
      <c r="Q165" s="195">
        <f t="shared" si="24"/>
        <v>823405.60582744121</v>
      </c>
      <c r="R165" s="221">
        <f t="shared" si="25"/>
        <v>0.37325790067096593</v>
      </c>
      <c r="AC165" s="251"/>
    </row>
    <row r="166" spans="1:29" ht="15.6" x14ac:dyDescent="0.3">
      <c r="A166" s="206">
        <v>2043</v>
      </c>
      <c r="B166" s="229">
        <v>830910.2767539866</v>
      </c>
      <c r="C166" s="229">
        <v>224987.87845000508</v>
      </c>
      <c r="D166" s="229">
        <v>71641.886012538787</v>
      </c>
      <c r="E166" s="229">
        <v>346464.37395311112</v>
      </c>
      <c r="F166" s="229">
        <v>77972.762090838209</v>
      </c>
      <c r="G166" s="229">
        <v>118875.80906635987</v>
      </c>
      <c r="H166" s="229">
        <v>108993.8721111929</v>
      </c>
      <c r="I166" s="229">
        <v>74120.496156998532</v>
      </c>
      <c r="J166" s="229">
        <v>85264.611527980451</v>
      </c>
      <c r="K166" s="229">
        <v>103608.1552415543</v>
      </c>
      <c r="L166" s="170"/>
      <c r="M166" s="170"/>
      <c r="N166" s="195">
        <f t="shared" si="21"/>
        <v>315443.26393275644</v>
      </c>
      <c r="O166" s="195">
        <f t="shared" si="23"/>
        <v>108993.8721111929</v>
      </c>
      <c r="P166" s="195">
        <f t="shared" si="22"/>
        <v>415505.57352890377</v>
      </c>
      <c r="Q166" s="195">
        <f t="shared" si="24"/>
        <v>839942.70957285305</v>
      </c>
      <c r="R166" s="221">
        <f t="shared" si="25"/>
        <v>0.37555330897886224</v>
      </c>
      <c r="AC166" s="251"/>
    </row>
    <row r="167" spans="1:29" ht="15.6" x14ac:dyDescent="0.3">
      <c r="A167" s="206">
        <v>2044</v>
      </c>
      <c r="B167" s="229">
        <v>847993.92117850995</v>
      </c>
      <c r="C167" s="229">
        <v>228718.25895937852</v>
      </c>
      <c r="D167" s="229">
        <v>72954.774021675374</v>
      </c>
      <c r="E167" s="229">
        <v>353868.20431234117</v>
      </c>
      <c r="F167" s="229">
        <v>79916.843062551954</v>
      </c>
      <c r="G167" s="229">
        <v>121271.24930659379</v>
      </c>
      <c r="H167" s="229">
        <v>110046.43128610056</v>
      </c>
      <c r="I167" s="229">
        <v>76334.063866274373</v>
      </c>
      <c r="J167" s="229">
        <v>85713.981733659442</v>
      </c>
      <c r="K167" s="229">
        <v>104589.08958782098</v>
      </c>
      <c r="L167" s="170"/>
      <c r="M167" s="170"/>
      <c r="N167" s="195">
        <f t="shared" si="21"/>
        <v>323738.61608879257</v>
      </c>
      <c r="O167" s="195">
        <f t="shared" si="23"/>
        <v>110046.43128610056</v>
      </c>
      <c r="P167" s="195">
        <f t="shared" si="22"/>
        <v>422944.28228764771</v>
      </c>
      <c r="Q167" s="195">
        <f t="shared" si="24"/>
        <v>856729.32966254081</v>
      </c>
      <c r="R167" s="221">
        <f t="shared" si="25"/>
        <v>0.3778773585542014</v>
      </c>
      <c r="AC167" s="251"/>
    </row>
    <row r="168" spans="1:29" ht="15.6" x14ac:dyDescent="0.3">
      <c r="A168" s="206">
        <v>2045</v>
      </c>
      <c r="B168" s="229">
        <v>865360.59008642437</v>
      </c>
      <c r="C168" s="229">
        <v>232509.31658922613</v>
      </c>
      <c r="D168" s="229">
        <v>74292.06608818419</v>
      </c>
      <c r="E168" s="229">
        <v>361370.00562814326</v>
      </c>
      <c r="F168" s="229">
        <v>81904.946640954324</v>
      </c>
      <c r="G168" s="229">
        <v>123692.96530514405</v>
      </c>
      <c r="H168" s="229">
        <v>111046.16502497562</v>
      </c>
      <c r="I168" s="229">
        <v>78561.624447145194</v>
      </c>
      <c r="J168" s="229">
        <v>86154.01711013398</v>
      </c>
      <c r="K168" s="229">
        <v>105564.86278350554</v>
      </c>
      <c r="L168" s="170"/>
      <c r="M168" s="170"/>
      <c r="N168" s="195">
        <f t="shared" si="21"/>
        <v>332228.78724412195</v>
      </c>
      <c r="O168" s="195">
        <f t="shared" si="23"/>
        <v>111046.16502497562</v>
      </c>
      <c r="P168" s="195">
        <f t="shared" si="22"/>
        <v>430494.34798255435</v>
      </c>
      <c r="Q168" s="195">
        <f t="shared" si="24"/>
        <v>873769.3002516519</v>
      </c>
      <c r="R168" s="221">
        <f t="shared" si="25"/>
        <v>0.38022483411632529</v>
      </c>
      <c r="AC168" s="251"/>
    </row>
    <row r="169" spans="1:29" ht="15.6" x14ac:dyDescent="0.3">
      <c r="A169" s="206">
        <v>2046</v>
      </c>
      <c r="B169" s="229">
        <v>883014.72098456742</v>
      </c>
      <c r="C169" s="229">
        <v>236362.32479673877</v>
      </c>
      <c r="D169" s="229">
        <v>75654.574385327287</v>
      </c>
      <c r="E169" s="229">
        <v>368971.12829189305</v>
      </c>
      <c r="F169" s="229">
        <v>83937.72006347662</v>
      </c>
      <c r="G169" s="229">
        <v>126140.70795789838</v>
      </c>
      <c r="H169" s="229">
        <v>111994.98801246702</v>
      </c>
      <c r="I169" s="229">
        <v>80801.649784712383</v>
      </c>
      <c r="J169" s="229">
        <v>86584.893321708834</v>
      </c>
      <c r="K169" s="229">
        <v>106535.55657637198</v>
      </c>
      <c r="L169" s="170"/>
      <c r="M169" s="170"/>
      <c r="N169" s="195">
        <f t="shared" si="21"/>
        <v>340913.8603429026</v>
      </c>
      <c r="O169" s="195">
        <f t="shared" si="23"/>
        <v>111994.98801246702</v>
      </c>
      <c r="P169" s="195">
        <f t="shared" si="22"/>
        <v>438157.60713996447</v>
      </c>
      <c r="Q169" s="195">
        <f t="shared" si="24"/>
        <v>891066.45549533411</v>
      </c>
      <c r="R169" s="221">
        <f t="shared" si="25"/>
        <v>0.38259083622825002</v>
      </c>
      <c r="AC169" s="251"/>
    </row>
    <row r="170" spans="1:29" ht="15.6" x14ac:dyDescent="0.3">
      <c r="A170" s="206">
        <v>2047</v>
      </c>
      <c r="B170" s="229">
        <v>900960.75137977651</v>
      </c>
      <c r="C170" s="229">
        <v>240278.55703910731</v>
      </c>
      <c r="D170" s="229">
        <v>77043.111086366684</v>
      </c>
      <c r="E170" s="229">
        <v>376672.92269496626</v>
      </c>
      <c r="F170" s="229">
        <v>86015.810567550099</v>
      </c>
      <c r="G170" s="229">
        <v>128614.22816074445</v>
      </c>
      <c r="H170" s="229">
        <v>112894.81493322371</v>
      </c>
      <c r="I170" s="229">
        <v>83052.61176407733</v>
      </c>
      <c r="J170" s="229">
        <v>87006.78603268876</v>
      </c>
      <c r="K170" s="229">
        <v>107501.25271418435</v>
      </c>
      <c r="L170" s="170"/>
      <c r="M170" s="170"/>
      <c r="N170" s="195">
        <f t="shared" si="21"/>
        <v>349793.91832929262</v>
      </c>
      <c r="O170" s="195">
        <f t="shared" si="23"/>
        <v>112894.81493322371</v>
      </c>
      <c r="P170" s="195">
        <f t="shared" si="22"/>
        <v>445935.89628621843</v>
      </c>
      <c r="Q170" s="195">
        <f t="shared" si="24"/>
        <v>908624.62954873475</v>
      </c>
      <c r="R170" s="221">
        <f t="shared" si="25"/>
        <v>0.38497076455325291</v>
      </c>
      <c r="AC170" s="251"/>
    </row>
    <row r="171" spans="1:29" ht="15.6" x14ac:dyDescent="0.3">
      <c r="A171" s="206">
        <v>2048</v>
      </c>
      <c r="B171" s="229">
        <v>919203.11877888918</v>
      </c>
      <c r="C171" s="229">
        <v>244259.28677352262</v>
      </c>
      <c r="D171" s="229">
        <v>78458.4883645644</v>
      </c>
      <c r="E171" s="229">
        <v>384476.73922873847</v>
      </c>
      <c r="F171" s="229">
        <v>88139.865390606006</v>
      </c>
      <c r="G171" s="229">
        <v>131113.27680956994</v>
      </c>
      <c r="H171" s="229">
        <v>113747.56047189463</v>
      </c>
      <c r="I171" s="229">
        <v>85312.982270341425</v>
      </c>
      <c r="J171" s="229">
        <v>87419.870907378543</v>
      </c>
      <c r="K171" s="229">
        <v>108462.03294470665</v>
      </c>
      <c r="L171" s="170"/>
      <c r="M171" s="170"/>
      <c r="N171" s="195">
        <f t="shared" si="21"/>
        <v>358869.04414744984</v>
      </c>
      <c r="O171" s="195">
        <f t="shared" si="23"/>
        <v>113747.56047189463</v>
      </c>
      <c r="P171" s="195">
        <f t="shared" si="22"/>
        <v>453831.0519476569</v>
      </c>
      <c r="Q171" s="195">
        <f t="shared" si="24"/>
        <v>926447.65656700148</v>
      </c>
      <c r="R171" s="221">
        <f t="shared" si="25"/>
        <v>0.38736030212139255</v>
      </c>
      <c r="AC171" s="251"/>
    </row>
    <row r="172" spans="1:29" ht="15.6" x14ac:dyDescent="0.3">
      <c r="A172" s="206">
        <v>2049</v>
      </c>
      <c r="B172" s="229">
        <v>937746.26068874309</v>
      </c>
      <c r="C172" s="229">
        <v>248305.78745717552</v>
      </c>
      <c r="D172" s="229">
        <v>79901.518393182458</v>
      </c>
      <c r="E172" s="229">
        <v>392383.92828458548</v>
      </c>
      <c r="F172" s="229">
        <v>90310.531770075642</v>
      </c>
      <c r="G172" s="229">
        <v>133637.60480026255</v>
      </c>
      <c r="H172" s="229">
        <v>114555.13931312872</v>
      </c>
      <c r="I172" s="229">
        <v>87581.233188606071</v>
      </c>
      <c r="J172" s="229">
        <v>87824.323610082924</v>
      </c>
      <c r="K172" s="229">
        <v>109417.97901570291</v>
      </c>
      <c r="L172" s="170"/>
      <c r="M172" s="170"/>
      <c r="N172" s="195">
        <f t="shared" si="21"/>
        <v>368139.32074153243</v>
      </c>
      <c r="O172" s="195">
        <f t="shared" si="23"/>
        <v>114555.13931312872</v>
      </c>
      <c r="P172" s="195">
        <f t="shared" si="22"/>
        <v>461844.91065062053</v>
      </c>
      <c r="Q172" s="195">
        <f t="shared" si="24"/>
        <v>944539.37070528162</v>
      </c>
      <c r="R172" s="221">
        <f t="shared" si="25"/>
        <v>0.3897554005257029</v>
      </c>
      <c r="AC172" s="251"/>
    </row>
    <row r="173" spans="1:29" ht="16.2" thickBot="1" x14ac:dyDescent="0.35">
      <c r="A173" s="208">
        <v>2050</v>
      </c>
      <c r="B173" s="231">
        <v>956594.61461617565</v>
      </c>
      <c r="C173" s="231">
        <v>252419.33254725696</v>
      </c>
      <c r="D173" s="231">
        <v>81373.013345482876</v>
      </c>
      <c r="E173" s="231">
        <v>400395.84025388298</v>
      </c>
      <c r="F173" s="231">
        <v>92528.456943390251</v>
      </c>
      <c r="G173" s="231">
        <v>136186.96302870996</v>
      </c>
      <c r="H173" s="231">
        <v>115319.4661415749</v>
      </c>
      <c r="I173" s="231">
        <v>89855.836403972644</v>
      </c>
      <c r="J173" s="231">
        <v>88220.319805106672</v>
      </c>
      <c r="K173" s="231">
        <v>110369.17267493713</v>
      </c>
      <c r="L173" s="209"/>
      <c r="M173" s="209"/>
      <c r="N173" s="195">
        <f t="shared" si="21"/>
        <v>377604.83105569833</v>
      </c>
      <c r="O173" s="195">
        <f t="shared" si="23"/>
        <v>115319.4661415749</v>
      </c>
      <c r="P173" s="195">
        <f t="shared" si="22"/>
        <v>469979.30892144982</v>
      </c>
      <c r="Q173" s="195">
        <f t="shared" si="24"/>
        <v>962903.60611872305</v>
      </c>
      <c r="R173" s="222">
        <f t="shared" si="25"/>
        <v>0.3921522659757708</v>
      </c>
      <c r="AC173" s="251"/>
    </row>
    <row r="174" spans="1:29" ht="15.6" x14ac:dyDescent="0.3">
      <c r="A174" s="213">
        <v>2051</v>
      </c>
      <c r="B174" s="227">
        <v>975752.61806802428</v>
      </c>
      <c r="C174" s="227">
        <v>256601.19550095775</v>
      </c>
      <c r="D174" s="227">
        <v>82873.785394727718</v>
      </c>
      <c r="E174" s="227">
        <v>408513.82552800654</v>
      </c>
      <c r="F174" s="227">
        <v>94794.288147981104</v>
      </c>
      <c r="G174" s="227">
        <v>138761.10239079988</v>
      </c>
      <c r="H174" s="227">
        <v>116042.45564188216</v>
      </c>
      <c r="I174" s="227">
        <v>92135.263801542533</v>
      </c>
      <c r="J174" s="227">
        <v>88608.035156754573</v>
      </c>
      <c r="K174" s="227">
        <v>111315.69567017336</v>
      </c>
      <c r="N174" s="195">
        <f t="shared" si="21"/>
        <v>387265.65803410549</v>
      </c>
      <c r="O174" s="195">
        <f t="shared" si="23"/>
        <v>116042.45564188216</v>
      </c>
      <c r="P174" s="195">
        <f t="shared" si="22"/>
        <v>478236.0832864854</v>
      </c>
      <c r="Q174" s="195">
        <f t="shared" si="24"/>
        <v>981544.1969624731</v>
      </c>
      <c r="R174" s="214">
        <f t="shared" si="25"/>
        <v>0.39454734614350906</v>
      </c>
      <c r="AC174" s="251"/>
    </row>
    <row r="175" spans="1:29" ht="15.6" x14ac:dyDescent="0.3">
      <c r="A175" s="194">
        <v>2052</v>
      </c>
      <c r="B175" s="229">
        <v>995224.70855112665</v>
      </c>
      <c r="C175" s="229">
        <v>260852.6497754688</v>
      </c>
      <c r="D175" s="229">
        <v>84404.646714178962</v>
      </c>
      <c r="E175" s="229">
        <v>416739.23449833191</v>
      </c>
      <c r="F175" s="229">
        <v>97108.67262127946</v>
      </c>
      <c r="G175" s="229">
        <v>141359.77378241994</v>
      </c>
      <c r="H175" s="229">
        <v>116726.02249869943</v>
      </c>
      <c r="I175" s="229">
        <v>94417.987266417127</v>
      </c>
      <c r="J175" s="229">
        <v>88987.645329331368</v>
      </c>
      <c r="K175" s="229">
        <v>112257.6297491756</v>
      </c>
      <c r="N175" s="195">
        <f t="shared" si="21"/>
        <v>397121.88462091197</v>
      </c>
      <c r="O175" s="195">
        <f t="shared" si="23"/>
        <v>116726.02249869943</v>
      </c>
      <c r="P175" s="195">
        <f t="shared" si="22"/>
        <v>486617.07027206768</v>
      </c>
      <c r="Q175" s="195">
        <f t="shared" si="24"/>
        <v>1000464.9773916791</v>
      </c>
      <c r="R175" s="196">
        <f t="shared" si="25"/>
        <v>0.39693731774224811</v>
      </c>
      <c r="AC175" s="251"/>
    </row>
    <row r="176" spans="1:29" ht="15.6" x14ac:dyDescent="0.3">
      <c r="A176" s="194">
        <v>2053</v>
      </c>
      <c r="B176" s="229">
        <v>1015015.3235723202</v>
      </c>
      <c r="C176" s="229">
        <v>265174.96882798092</v>
      </c>
      <c r="D176" s="229">
        <v>85966.40947709867</v>
      </c>
      <c r="E176" s="229">
        <v>425073.41755623475</v>
      </c>
      <c r="F176" s="229">
        <v>99472.257600716621</v>
      </c>
      <c r="G176" s="229">
        <v>143982.72809945792</v>
      </c>
      <c r="H176" s="229">
        <v>117372.08139667561</v>
      </c>
      <c r="I176" s="229">
        <v>96702.478683697846</v>
      </c>
      <c r="J176" s="229">
        <v>89359.325987141827</v>
      </c>
      <c r="K176" s="229">
        <v>113195.05665970789</v>
      </c>
      <c r="N176" s="195">
        <f t="shared" si="21"/>
        <v>407173.59376027581</v>
      </c>
      <c r="O176" s="195">
        <f t="shared" si="23"/>
        <v>117372.08139667561</v>
      </c>
      <c r="P176" s="195">
        <f t="shared" si="22"/>
        <v>495124.10640453751</v>
      </c>
      <c r="Q176" s="195">
        <f t="shared" si="24"/>
        <v>1019669.781561489</v>
      </c>
      <c r="R176" s="196">
        <f t="shared" si="25"/>
        <v>0.39931907478590123</v>
      </c>
      <c r="AC176" s="251"/>
    </row>
    <row r="177" spans="1:29" ht="15.6" x14ac:dyDescent="0.3">
      <c r="A177" s="194">
        <v>2054</v>
      </c>
      <c r="B177" s="229">
        <v>1035128.9006384424</v>
      </c>
      <c r="C177" s="229">
        <v>269569.42611568503</v>
      </c>
      <c r="D177" s="229">
        <v>87559.88585674885</v>
      </c>
      <c r="E177" s="229">
        <v>433517.72509309079</v>
      </c>
      <c r="F177" s="229">
        <v>101885.69032372383</v>
      </c>
      <c r="G177" s="229">
        <v>146629.71623780142</v>
      </c>
      <c r="H177" s="229">
        <v>117982.54702045969</v>
      </c>
      <c r="I177" s="229">
        <v>98987.209938486048</v>
      </c>
      <c r="J177" s="229">
        <v>89723.25279449072</v>
      </c>
      <c r="K177" s="229">
        <v>114128.05814953422</v>
      </c>
      <c r="N177" s="195">
        <f t="shared" si="21"/>
        <v>417420.86839635496</v>
      </c>
      <c r="O177" s="195">
        <f t="shared" si="23"/>
        <v>117982.54702045969</v>
      </c>
      <c r="P177" s="195">
        <f t="shared" si="22"/>
        <v>503759.02821023529</v>
      </c>
      <c r="Q177" s="195">
        <f t="shared" si="24"/>
        <v>1039162.4436270499</v>
      </c>
      <c r="R177" s="196">
        <f t="shared" si="25"/>
        <v>0.40168971747997967</v>
      </c>
      <c r="AC177" s="251"/>
    </row>
    <row r="178" spans="1:29" ht="15.6" x14ac:dyDescent="0.3">
      <c r="A178" s="194">
        <v>2055</v>
      </c>
      <c r="B178" s="229">
        <v>1055569.877256331</v>
      </c>
      <c r="C178" s="229">
        <v>274037.29509577202</v>
      </c>
      <c r="D178" s="229">
        <v>89185.888026391534</v>
      </c>
      <c r="E178" s="229">
        <v>442073.50750027562</v>
      </c>
      <c r="F178" s="229">
        <v>104349.61802773236</v>
      </c>
      <c r="G178" s="229">
        <v>149300.4890933382</v>
      </c>
      <c r="H178" s="229">
        <v>118559.33405470058</v>
      </c>
      <c r="I178" s="229">
        <v>101270.65291588314</v>
      </c>
      <c r="J178" s="229">
        <v>90079.601415682788</v>
      </c>
      <c r="K178" s="229">
        <v>115056.71596641865</v>
      </c>
      <c r="N178" s="195">
        <f t="shared" si="21"/>
        <v>427863.79147330741</v>
      </c>
      <c r="O178" s="195">
        <f t="shared" si="23"/>
        <v>118559.33405470058</v>
      </c>
      <c r="P178" s="195">
        <f t="shared" si="22"/>
        <v>512523.67221550172</v>
      </c>
      <c r="Q178" s="195">
        <f t="shared" si="24"/>
        <v>1058946.7977435098</v>
      </c>
      <c r="R178" s="196">
        <f t="shared" si="25"/>
        <v>0.40404654170071103</v>
      </c>
      <c r="AC178" s="251"/>
    </row>
    <row r="179" spans="1:29" ht="15.6" x14ac:dyDescent="0.3">
      <c r="A179" s="194">
        <v>2056</v>
      </c>
      <c r="B179" s="229">
        <v>1076342.6909328233</v>
      </c>
      <c r="C179" s="229">
        <v>278579.84922543267</v>
      </c>
      <c r="D179" s="229">
        <v>90845.22815928873</v>
      </c>
      <c r="E179" s="229">
        <v>450742.11516916507</v>
      </c>
      <c r="F179" s="229">
        <v>106864.68795017347</v>
      </c>
      <c r="G179" s="229">
        <v>151994.7975619559</v>
      </c>
      <c r="H179" s="229">
        <v>119104.35718404726</v>
      </c>
      <c r="I179" s="229">
        <v>103551.27950099051</v>
      </c>
      <c r="J179" s="229">
        <v>90428.54751502283</v>
      </c>
      <c r="K179" s="229">
        <v>115981.11185812518</v>
      </c>
      <c r="N179" s="195">
        <f t="shared" si="21"/>
        <v>438502.44593529135</v>
      </c>
      <c r="O179" s="195">
        <f t="shared" si="23"/>
        <v>119104.35718404726</v>
      </c>
      <c r="P179" s="195">
        <f t="shared" si="22"/>
        <v>521419.87494667724</v>
      </c>
      <c r="Q179" s="195">
        <f t="shared" si="24"/>
        <v>1079026.6780660159</v>
      </c>
      <c r="R179" s="196">
        <f t="shared" si="25"/>
        <v>0.40638702902252372</v>
      </c>
      <c r="AC179" s="251"/>
    </row>
    <row r="180" spans="1:29" ht="15.6" x14ac:dyDescent="0.3">
      <c r="A180" s="194">
        <v>2057</v>
      </c>
      <c r="B180" s="229">
        <v>1097451.7791747567</v>
      </c>
      <c r="C180" s="229">
        <v>283198.36196185794</v>
      </c>
      <c r="D180" s="229">
        <v>92538.718428702501</v>
      </c>
      <c r="E180" s="229">
        <v>459524.89849113463</v>
      </c>
      <c r="F180" s="229">
        <v>109431.54732847842</v>
      </c>
      <c r="G180" s="229">
        <v>154712.39253954223</v>
      </c>
      <c r="H180" s="229">
        <v>119619.53109314863</v>
      </c>
      <c r="I180" s="229">
        <v>105827.56157890955</v>
      </c>
      <c r="J180" s="229">
        <v>90770.266756815603</v>
      </c>
      <c r="K180" s="229">
        <v>116901.32757241782</v>
      </c>
      <c r="N180" s="195">
        <f t="shared" si="21"/>
        <v>449336.91472646443</v>
      </c>
      <c r="O180" s="195">
        <f t="shared" si="23"/>
        <v>119619.53109314863</v>
      </c>
      <c r="P180" s="195">
        <f t="shared" si="22"/>
        <v>530449.47293010261</v>
      </c>
      <c r="Q180" s="195">
        <f t="shared" si="24"/>
        <v>1099405.9187497157</v>
      </c>
      <c r="R180" s="196">
        <f t="shared" si="25"/>
        <v>0.40870883725773161</v>
      </c>
      <c r="AC180" s="251"/>
    </row>
    <row r="181" spans="1:29" ht="15.6" x14ac:dyDescent="0.3">
      <c r="A181" s="194">
        <v>2058</v>
      </c>
      <c r="B181" s="229">
        <v>1118901.5794889694</v>
      </c>
      <c r="C181" s="229">
        <v>287894.1067622386</v>
      </c>
      <c r="D181" s="229">
        <v>94267.171007894853</v>
      </c>
      <c r="E181" s="229">
        <v>468423.20785756013</v>
      </c>
      <c r="F181" s="229">
        <v>112050.84340007851</v>
      </c>
      <c r="G181" s="229">
        <v>157453.02492198488</v>
      </c>
      <c r="H181" s="229">
        <v>120106.77046665367</v>
      </c>
      <c r="I181" s="229">
        <v>108097.97103474164</v>
      </c>
      <c r="J181" s="229">
        <v>91104.934805365861</v>
      </c>
      <c r="K181" s="229">
        <v>117817.44485706062</v>
      </c>
      <c r="N181" s="195">
        <f t="shared" si="21"/>
        <v>460367.28079098492</v>
      </c>
      <c r="O181" s="195">
        <f t="shared" si="23"/>
        <v>120106.77046665367</v>
      </c>
      <c r="P181" s="195">
        <f t="shared" si="22"/>
        <v>539614.30269211833</v>
      </c>
      <c r="Q181" s="195">
        <f t="shared" si="24"/>
        <v>1120088.3539497568</v>
      </c>
      <c r="R181" s="196">
        <f t="shared" si="25"/>
        <v>0.41100979147546368</v>
      </c>
      <c r="AC181" s="251"/>
    </row>
    <row r="182" spans="1:29" ht="15.6" x14ac:dyDescent="0.3">
      <c r="A182" s="194">
        <v>2059</v>
      </c>
      <c r="B182" s="229">
        <v>1140696.5293822978</v>
      </c>
      <c r="C182" s="229">
        <v>292668.35708376562</v>
      </c>
      <c r="D182" s="229">
        <v>96031.398070127805</v>
      </c>
      <c r="E182" s="229">
        <v>477438.39365981729</v>
      </c>
      <c r="F182" s="229">
        <v>114723.22340240497</v>
      </c>
      <c r="G182" s="229">
        <v>160216.4456051715</v>
      </c>
      <c r="H182" s="229">
        <v>120567.98998921126</v>
      </c>
      <c r="I182" s="229">
        <v>110360.97975358818</v>
      </c>
      <c r="J182" s="229">
        <v>91432.727324978361</v>
      </c>
      <c r="K182" s="229">
        <v>118729.54545981759</v>
      </c>
      <c r="N182" s="195">
        <f t="shared" si="21"/>
        <v>471593.62707301095</v>
      </c>
      <c r="O182" s="195">
        <f t="shared" si="23"/>
        <v>120567.98998921126</v>
      </c>
      <c r="P182" s="195">
        <f t="shared" si="22"/>
        <v>548916.20075906487</v>
      </c>
      <c r="Q182" s="195">
        <f t="shared" si="24"/>
        <v>1141077.8178212871</v>
      </c>
      <c r="R182" s="196">
        <f t="shared" si="25"/>
        <v>0.41328787546974366</v>
      </c>
      <c r="AC182" s="251"/>
    </row>
    <row r="183" spans="1:29" ht="15.6" x14ac:dyDescent="0.3">
      <c r="A183" s="194">
        <v>2060</v>
      </c>
      <c r="B183" s="229">
        <v>1162841.0663615805</v>
      </c>
      <c r="C183" s="229">
        <v>297522.38638362987</v>
      </c>
      <c r="D183" s="229">
        <v>97832.211788663379</v>
      </c>
      <c r="E183" s="229">
        <v>486571.80628928158</v>
      </c>
      <c r="F183" s="229">
        <v>117449.33457288909</v>
      </c>
      <c r="G183" s="229">
        <v>163002.40548498984</v>
      </c>
      <c r="H183" s="229">
        <v>121005.1043454704</v>
      </c>
      <c r="I183" s="229">
        <v>112615.05962055057</v>
      </c>
      <c r="J183" s="229">
        <v>91753.819979957887</v>
      </c>
      <c r="K183" s="229">
        <v>119637.71112845273</v>
      </c>
      <c r="N183" s="195">
        <f t="shared" si="21"/>
        <v>483016.03651670017</v>
      </c>
      <c r="O183" s="195">
        <f t="shared" si="23"/>
        <v>121005.1043454704</v>
      </c>
      <c r="P183" s="195">
        <f t="shared" si="22"/>
        <v>558357.00365728315</v>
      </c>
      <c r="Q183" s="195">
        <f t="shared" si="24"/>
        <v>1162378.1445194536</v>
      </c>
      <c r="R183" s="196">
        <f>N183/Q183</f>
        <v>0.41554122364919982</v>
      </c>
      <c r="AC183" s="251"/>
    </row>
  </sheetData>
  <mergeCells count="14">
    <mergeCell ref="Y23:Z23"/>
    <mergeCell ref="J24:M24"/>
    <mergeCell ref="O22:R22"/>
    <mergeCell ref="B23:D23"/>
    <mergeCell ref="E23:H23"/>
    <mergeCell ref="J23:M23"/>
    <mergeCell ref="O23:R23"/>
    <mergeCell ref="U23:V23"/>
    <mergeCell ref="C1:G1"/>
    <mergeCell ref="I1:T1"/>
    <mergeCell ref="D2:E2"/>
    <mergeCell ref="I2:L3"/>
    <mergeCell ref="S3:W5"/>
    <mergeCell ref="I5:L6"/>
  </mergeCells>
  <dataValidations count="1">
    <dataValidation type="list" allowBlank="1" showInputMessage="1" showErrorMessage="1" sqref="C83:G83 F17 F3:G14 O24:R24">
      <formula1>"Y,N"</formula1>
    </dataValidation>
  </dataValidation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9"/>
  </sheetPr>
  <dimension ref="A1:O107"/>
  <sheetViews>
    <sheetView workbookViewId="0">
      <selection activeCell="F116" sqref="F116"/>
    </sheetView>
  </sheetViews>
  <sheetFormatPr defaultColWidth="11" defaultRowHeight="15.6" x14ac:dyDescent="0.3"/>
  <cols>
    <col min="1" max="1" width="49.296875" bestFit="1" customWidth="1"/>
    <col min="2" max="2" width="15" bestFit="1" customWidth="1"/>
    <col min="3" max="3" width="14" bestFit="1" customWidth="1"/>
    <col min="4" max="4" width="12.5" bestFit="1" customWidth="1"/>
    <col min="5" max="5" width="14" style="323" bestFit="1" customWidth="1"/>
    <col min="6" max="6" width="17.796875" bestFit="1" customWidth="1"/>
    <col min="7" max="7" width="27.69921875" bestFit="1" customWidth="1"/>
    <col min="8" max="8" width="25.5" bestFit="1" customWidth="1"/>
    <col min="9" max="9" width="34.296875" bestFit="1" customWidth="1"/>
    <col min="10" max="10" width="19.69921875" bestFit="1" customWidth="1"/>
    <col min="11" max="11" width="14" bestFit="1" customWidth="1"/>
    <col min="12" max="12" width="12.5" bestFit="1" customWidth="1"/>
    <col min="13" max="13" width="14" bestFit="1" customWidth="1"/>
    <col min="14" max="14" width="17.796875" bestFit="1" customWidth="1"/>
    <col min="15" max="15" width="27.69921875" bestFit="1" customWidth="1"/>
  </cols>
  <sheetData>
    <row r="1" spans="1:15" x14ac:dyDescent="0.3">
      <c r="A1" s="390" t="s">
        <v>416</v>
      </c>
      <c r="B1" s="390"/>
      <c r="C1" s="390"/>
      <c r="D1" s="390"/>
    </row>
    <row r="2" spans="1:15" x14ac:dyDescent="0.3">
      <c r="A2" s="390"/>
      <c r="B2" s="390"/>
      <c r="C2" s="390"/>
      <c r="D2" s="390"/>
    </row>
    <row r="3" spans="1:15" ht="16.2" thickBot="1" x14ac:dyDescent="0.35"/>
    <row r="4" spans="1:15" ht="16.2" thickBot="1" x14ac:dyDescent="0.35">
      <c r="A4" s="388" t="s">
        <v>417</v>
      </c>
      <c r="E4"/>
      <c r="I4" s="391" t="s">
        <v>418</v>
      </c>
      <c r="J4" s="392"/>
    </row>
    <row r="5" spans="1:15" x14ac:dyDescent="0.3">
      <c r="A5" s="393" t="s">
        <v>419</v>
      </c>
      <c r="B5" s="394" t="s">
        <v>4</v>
      </c>
      <c r="C5" s="394" t="s">
        <v>5</v>
      </c>
      <c r="D5" s="394" t="s">
        <v>6</v>
      </c>
      <c r="E5" s="394" t="s">
        <v>420</v>
      </c>
      <c r="F5" s="394" t="s">
        <v>8</v>
      </c>
      <c r="G5" s="394" t="s">
        <v>421</v>
      </c>
      <c r="I5" s="393" t="s">
        <v>419</v>
      </c>
      <c r="J5" s="394" t="s">
        <v>4</v>
      </c>
      <c r="K5" s="394" t="s">
        <v>5</v>
      </c>
      <c r="L5" s="394" t="s">
        <v>6</v>
      </c>
      <c r="M5" s="394" t="s">
        <v>420</v>
      </c>
      <c r="N5" s="394" t="s">
        <v>8</v>
      </c>
      <c r="O5" s="394" t="s">
        <v>421</v>
      </c>
    </row>
    <row r="6" spans="1:15" x14ac:dyDescent="0.3">
      <c r="A6" s="389">
        <v>2014</v>
      </c>
      <c r="B6" s="395">
        <v>7704988016.672616</v>
      </c>
      <c r="C6" s="395">
        <v>1703495303.9261432</v>
      </c>
      <c r="D6" s="395">
        <v>638680203.9574703</v>
      </c>
      <c r="E6" s="395">
        <v>3236931462.4018402</v>
      </c>
      <c r="F6" s="395">
        <v>1059953272.3908311</v>
      </c>
      <c r="G6" s="395">
        <v>1065927773.9963315</v>
      </c>
      <c r="H6" s="396"/>
      <c r="I6" s="389">
        <v>2014</v>
      </c>
      <c r="J6" s="397">
        <v>7704988016.672616</v>
      </c>
      <c r="K6" s="397">
        <v>1703495303.9261432</v>
      </c>
      <c r="L6" s="397">
        <v>638680203.9574703</v>
      </c>
      <c r="M6" s="397">
        <v>3236931462.4018402</v>
      </c>
      <c r="N6" s="397">
        <v>1059953272.3908311</v>
      </c>
      <c r="O6" s="397">
        <v>1065927773.9963315</v>
      </c>
    </row>
    <row r="7" spans="1:15" x14ac:dyDescent="0.3">
      <c r="A7" s="389">
        <v>2015</v>
      </c>
      <c r="B7" s="395">
        <v>7839565650.7535629</v>
      </c>
      <c r="C7" s="395">
        <v>1718362754.1007783</v>
      </c>
      <c r="D7" s="395">
        <v>642190646.55617416</v>
      </c>
      <c r="E7" s="395">
        <v>3302336986.1392055</v>
      </c>
      <c r="F7" s="395">
        <v>1091263609.9103005</v>
      </c>
      <c r="G7" s="395">
        <v>1085411654.0471046</v>
      </c>
      <c r="H7" s="396"/>
      <c r="I7" s="389">
        <v>2015</v>
      </c>
      <c r="J7" s="397">
        <v>7839565650.7535629</v>
      </c>
      <c r="K7" s="397">
        <v>1718362754.1007783</v>
      </c>
      <c r="L7" s="397">
        <v>642190646.55617416</v>
      </c>
      <c r="M7" s="397">
        <v>3302336986.1392055</v>
      </c>
      <c r="N7" s="397">
        <v>1091263609.9103005</v>
      </c>
      <c r="O7" s="397">
        <v>1085411654.0471046</v>
      </c>
    </row>
    <row r="8" spans="1:15" x14ac:dyDescent="0.3">
      <c r="A8" s="389">
        <v>2016</v>
      </c>
      <c r="B8" s="395">
        <v>7983317780.1634674</v>
      </c>
      <c r="C8" s="395">
        <v>1734779397.3681183</v>
      </c>
      <c r="D8" s="395">
        <v>646212790.72727907</v>
      </c>
      <c r="E8" s="395">
        <v>3372191571.7940397</v>
      </c>
      <c r="F8" s="395">
        <v>1123911961.4707892</v>
      </c>
      <c r="G8" s="395">
        <v>1106222058.8032422</v>
      </c>
      <c r="H8" s="396"/>
      <c r="I8" s="389">
        <v>2016</v>
      </c>
      <c r="J8" s="397">
        <v>7974713637.4464378</v>
      </c>
      <c r="K8" s="397">
        <v>1733151408.3315258</v>
      </c>
      <c r="L8" s="397">
        <v>645510393.63802743</v>
      </c>
      <c r="M8" s="397">
        <v>3368428996.9254193</v>
      </c>
      <c r="N8" s="397">
        <v>1122676249.3219678</v>
      </c>
      <c r="O8" s="397">
        <v>1104946589.2294974</v>
      </c>
    </row>
    <row r="9" spans="1:15" x14ac:dyDescent="0.3">
      <c r="A9" s="389">
        <v>2017</v>
      </c>
      <c r="B9" s="395">
        <v>8131535272.8501453</v>
      </c>
      <c r="C9" s="395">
        <v>1751801604.5793524</v>
      </c>
      <c r="D9" s="395">
        <v>650347509.97205544</v>
      </c>
      <c r="E9" s="395">
        <v>3444451506.9665556</v>
      </c>
      <c r="F9" s="395">
        <v>1157272256.4277508</v>
      </c>
      <c r="G9" s="395">
        <v>1127662394.9044311</v>
      </c>
      <c r="H9" s="396"/>
      <c r="I9" s="389">
        <v>2017</v>
      </c>
      <c r="J9" s="397">
        <v>8110413529.3770943</v>
      </c>
      <c r="K9" s="397">
        <v>1747822246.9018583</v>
      </c>
      <c r="L9" s="397">
        <v>648635668.94814634</v>
      </c>
      <c r="M9" s="397">
        <v>3435191493.2029996</v>
      </c>
      <c r="N9" s="397">
        <v>1154234283.203094</v>
      </c>
      <c r="O9" s="397">
        <v>1124529837.1209967</v>
      </c>
    </row>
    <row r="10" spans="1:15" x14ac:dyDescent="0.3">
      <c r="A10" s="389">
        <v>2018</v>
      </c>
      <c r="B10" s="395">
        <v>8283621226.4856777</v>
      </c>
      <c r="C10" s="395">
        <v>1769323227.4439054</v>
      </c>
      <c r="D10" s="395">
        <v>654540179.68685174</v>
      </c>
      <c r="E10" s="395">
        <v>3518730760.6424913</v>
      </c>
      <c r="F10" s="395">
        <v>1191371000.2529645</v>
      </c>
      <c r="G10" s="395">
        <v>1149656058.459465</v>
      </c>
      <c r="H10" s="396"/>
      <c r="I10" s="389">
        <v>2018</v>
      </c>
      <c r="J10" s="397">
        <v>8246595164.1950016</v>
      </c>
      <c r="K10" s="397">
        <v>1762372112.2333786</v>
      </c>
      <c r="L10" s="397">
        <v>651566253.35886073</v>
      </c>
      <c r="M10" s="397">
        <v>3502478340.6522503</v>
      </c>
      <c r="N10" s="397">
        <v>1186023717.0895367</v>
      </c>
      <c r="O10" s="397">
        <v>1144154740.8609748</v>
      </c>
    </row>
    <row r="11" spans="1:15" x14ac:dyDescent="0.3">
      <c r="A11" s="389">
        <v>2019</v>
      </c>
      <c r="B11" s="395">
        <v>8438638545.2710657</v>
      </c>
      <c r="C11" s="395">
        <v>1787156458.6141539</v>
      </c>
      <c r="D11" s="395">
        <v>658722750.36540091</v>
      </c>
      <c r="E11" s="395">
        <v>3594431862.0185628</v>
      </c>
      <c r="F11" s="395">
        <v>1226254782.8912988</v>
      </c>
      <c r="G11" s="395">
        <v>1172072691.3816497</v>
      </c>
      <c r="H11" s="396"/>
      <c r="I11" s="389">
        <v>2019</v>
      </c>
      <c r="J11" s="397">
        <v>8383251462.2069759</v>
      </c>
      <c r="K11" s="397">
        <v>1776787572.164489</v>
      </c>
      <c r="L11" s="397">
        <v>654322296.46820629</v>
      </c>
      <c r="M11" s="397">
        <v>3570122281.5555058</v>
      </c>
      <c r="N11" s="397">
        <v>1218201642.0861065</v>
      </c>
      <c r="O11" s="397">
        <v>1163817669.9326692</v>
      </c>
    </row>
    <row r="12" spans="1:15" x14ac:dyDescent="0.3">
      <c r="A12" s="389">
        <v>2020</v>
      </c>
      <c r="B12" s="395">
        <v>8595866462.3608055</v>
      </c>
      <c r="C12" s="395">
        <v>1805159876.0393376</v>
      </c>
      <c r="D12" s="395">
        <v>662841333.51945829</v>
      </c>
      <c r="E12" s="395">
        <v>3671090594.0484519</v>
      </c>
      <c r="F12" s="395">
        <v>1261965846.0165973</v>
      </c>
      <c r="G12" s="395">
        <v>1194808812.7369597</v>
      </c>
      <c r="H12" s="396"/>
      <c r="I12" s="389">
        <v>2020</v>
      </c>
      <c r="J12" s="397">
        <v>8520379933.1809311</v>
      </c>
      <c r="K12" s="397">
        <v>1791061514.9174342</v>
      </c>
      <c r="L12" s="397">
        <v>656918106.62079</v>
      </c>
      <c r="M12" s="397">
        <v>3637993567.3417907</v>
      </c>
      <c r="N12" s="397">
        <v>1250893395.0117767</v>
      </c>
      <c r="O12" s="397">
        <v>1183513349.2891395</v>
      </c>
    </row>
    <row r="13" spans="1:15" x14ac:dyDescent="0.3">
      <c r="A13" s="389">
        <v>2021</v>
      </c>
      <c r="B13" s="395">
        <v>8755054301.0862045</v>
      </c>
      <c r="C13" s="395">
        <v>1823303591.4847424</v>
      </c>
      <c r="D13" s="395">
        <v>666868198.40536094</v>
      </c>
      <c r="E13" s="395">
        <v>3748538556.6526613</v>
      </c>
      <c r="F13" s="395">
        <v>1298509187.5063121</v>
      </c>
      <c r="G13" s="395">
        <v>1217834767.037128</v>
      </c>
      <c r="H13" s="396"/>
      <c r="I13" s="389">
        <v>2021</v>
      </c>
      <c r="J13" s="397">
        <v>8657893406.4805374</v>
      </c>
      <c r="K13" s="397">
        <v>1805198242.3454659</v>
      </c>
      <c r="L13" s="397">
        <v>659343245.6065625</v>
      </c>
      <c r="M13" s="397">
        <v>3706000031.2281971</v>
      </c>
      <c r="N13" s="397">
        <v>1284118673.7604334</v>
      </c>
      <c r="O13" s="397">
        <v>1203233213.5398796</v>
      </c>
    </row>
    <row r="14" spans="1:15" x14ac:dyDescent="0.3">
      <c r="A14" s="389">
        <v>2022</v>
      </c>
      <c r="B14" s="395">
        <v>8916341250.9753857</v>
      </c>
      <c r="C14" s="395">
        <v>1841630288.4949994</v>
      </c>
      <c r="D14" s="395">
        <v>670797350.58487904</v>
      </c>
      <c r="E14" s="395">
        <v>3826856298.2247772</v>
      </c>
      <c r="F14" s="395">
        <v>1335893218.1823912</v>
      </c>
      <c r="G14" s="395">
        <v>1241164095.4883394</v>
      </c>
      <c r="H14" s="396"/>
      <c r="I14" s="389">
        <v>2022</v>
      </c>
      <c r="J14" s="397">
        <v>8795743125.4386101</v>
      </c>
      <c r="K14" s="397">
        <v>1819212691.0190644</v>
      </c>
      <c r="L14" s="397">
        <v>661580380.47460639</v>
      </c>
      <c r="M14" s="397">
        <v>3774129822.2600231</v>
      </c>
      <c r="N14" s="397">
        <v>1317854911.730566</v>
      </c>
      <c r="O14" s="397">
        <v>1222965319.9543498</v>
      </c>
    </row>
    <row r="15" spans="1:15" x14ac:dyDescent="0.3">
      <c r="A15" s="389">
        <v>2023</v>
      </c>
      <c r="B15" s="395">
        <v>9079843443.0729122</v>
      </c>
      <c r="C15" s="395">
        <v>1860150568.1413622</v>
      </c>
      <c r="D15" s="395">
        <v>674624243.63470018</v>
      </c>
      <c r="E15" s="395">
        <v>3906115279.7501965</v>
      </c>
      <c r="F15" s="395">
        <v>1374171536.8936718</v>
      </c>
      <c r="G15" s="395">
        <v>1264781814.652982</v>
      </c>
      <c r="H15" s="396"/>
      <c r="I15" s="389">
        <v>2023</v>
      </c>
      <c r="J15" s="397">
        <v>8934034793.2198658</v>
      </c>
      <c r="K15" s="397">
        <v>1833120384.7640276</v>
      </c>
      <c r="L15" s="397">
        <v>663632768.2563293</v>
      </c>
      <c r="M15" s="397">
        <v>3842440469.7437882</v>
      </c>
      <c r="N15" s="397">
        <v>1352143783.3294668</v>
      </c>
      <c r="O15" s="397">
        <v>1242697387.1262534</v>
      </c>
    </row>
    <row r="16" spans="1:15" x14ac:dyDescent="0.3">
      <c r="A16" s="389">
        <v>2024</v>
      </c>
      <c r="B16" s="395">
        <v>9245820957.5149174</v>
      </c>
      <c r="C16" s="395">
        <v>1878891324.6551557</v>
      </c>
      <c r="D16" s="395">
        <v>678353819.52494502</v>
      </c>
      <c r="E16" s="395">
        <v>3986484299.9453044</v>
      </c>
      <c r="F16" s="395">
        <v>1413411160.6776414</v>
      </c>
      <c r="G16" s="395">
        <v>1288680352.7118728</v>
      </c>
      <c r="H16" s="396"/>
      <c r="I16" s="389">
        <v>2024</v>
      </c>
      <c r="J16" s="397">
        <v>9072940143.1891499</v>
      </c>
      <c r="K16" s="397">
        <v>1846940390.3016634</v>
      </c>
      <c r="L16" s="397">
        <v>665507936.39485025</v>
      </c>
      <c r="M16" s="397">
        <v>3911046239.2238612</v>
      </c>
      <c r="N16" s="397">
        <v>1387029659.527422</v>
      </c>
      <c r="O16" s="397">
        <v>1262415917.7413526</v>
      </c>
    </row>
    <row r="17" spans="1:15" x14ac:dyDescent="0.3">
      <c r="A17" s="389">
        <v>2025</v>
      </c>
      <c r="B17" s="395">
        <v>9414444407.005661</v>
      </c>
      <c r="C17" s="395">
        <v>1897861854.0114422</v>
      </c>
      <c r="D17" s="395">
        <v>681989273.86491191</v>
      </c>
      <c r="E17" s="395">
        <v>4068084737.2283602</v>
      </c>
      <c r="F17" s="395">
        <v>1453662941.4740252</v>
      </c>
      <c r="G17" s="395">
        <v>1312845600.4269226</v>
      </c>
      <c r="H17" s="396"/>
      <c r="I17" s="389">
        <v>2025</v>
      </c>
      <c r="J17" s="397">
        <v>9212602072.7124538</v>
      </c>
      <c r="K17" s="397">
        <v>1860686131.7882149</v>
      </c>
      <c r="L17" s="397">
        <v>667214076.54903853</v>
      </c>
      <c r="M17" s="397">
        <v>3980041322.8871064</v>
      </c>
      <c r="N17" s="397">
        <v>1422551582.0361078</v>
      </c>
      <c r="O17" s="397">
        <v>1282108959.4519858</v>
      </c>
    </row>
    <row r="18" spans="1:15" x14ac:dyDescent="0.3">
      <c r="A18" s="389">
        <v>2026</v>
      </c>
      <c r="B18" s="395">
        <v>9585759927.9927883</v>
      </c>
      <c r="C18" s="395">
        <v>1917062758.6444073</v>
      </c>
      <c r="D18" s="395">
        <v>685529326.06023502</v>
      </c>
      <c r="E18" s="395">
        <v>4150934959.2075787</v>
      </c>
      <c r="F18" s="395">
        <v>1494966448.62362</v>
      </c>
      <c r="G18" s="395">
        <v>1337266435.4569471</v>
      </c>
      <c r="H18" s="396"/>
      <c r="I18" s="389">
        <v>2026</v>
      </c>
      <c r="J18" s="397">
        <v>9353062282.9599323</v>
      </c>
      <c r="K18" s="397">
        <v>1874366357.7111788</v>
      </c>
      <c r="L18" s="397">
        <v>668755618.19639075</v>
      </c>
      <c r="M18" s="397">
        <v>4049435315.5924025</v>
      </c>
      <c r="N18" s="397">
        <v>1458738335.5649538</v>
      </c>
      <c r="O18" s="397">
        <v>1301766655.8950069</v>
      </c>
    </row>
    <row r="19" spans="1:15" x14ac:dyDescent="0.3">
      <c r="A19" s="389">
        <v>2027</v>
      </c>
      <c r="B19" s="395">
        <v>9759596760.7092667</v>
      </c>
      <c r="C19" s="395">
        <v>1936448977.7653322</v>
      </c>
      <c r="D19" s="395">
        <v>688966479.12037909</v>
      </c>
      <c r="E19" s="395">
        <v>4234949604.9004221</v>
      </c>
      <c r="F19" s="395">
        <v>1537322700.770546</v>
      </c>
      <c r="G19" s="395">
        <v>1361908998.1525877</v>
      </c>
      <c r="H19" s="396"/>
      <c r="I19" s="389">
        <v>2027</v>
      </c>
      <c r="J19" s="397">
        <v>9494325089.1946487</v>
      </c>
      <c r="K19" s="397">
        <v>1887977302.7393689</v>
      </c>
      <c r="L19" s="397">
        <v>670139118.42680049</v>
      </c>
      <c r="M19" s="397">
        <v>4119214413.2651238</v>
      </c>
      <c r="N19" s="397">
        <v>1495612100.6685574</v>
      </c>
      <c r="O19" s="397">
        <v>1321382154.0947986</v>
      </c>
    </row>
    <row r="20" spans="1:15" x14ac:dyDescent="0.3">
      <c r="A20" s="389">
        <v>2028</v>
      </c>
      <c r="B20" s="395">
        <v>9935663913.5241718</v>
      </c>
      <c r="C20" s="395">
        <v>1955929205.7952142</v>
      </c>
      <c r="D20" s="395">
        <v>692293244.21850049</v>
      </c>
      <c r="E20" s="395">
        <v>4320035412.0191622</v>
      </c>
      <c r="F20" s="395">
        <v>1580696286.0423894</v>
      </c>
      <c r="G20" s="395">
        <v>1386709765.4489057</v>
      </c>
      <c r="H20" s="396"/>
      <c r="I20" s="389">
        <v>2028</v>
      </c>
      <c r="J20" s="397">
        <v>9636460975.4071293</v>
      </c>
      <c r="K20" s="397">
        <v>1901503879.4426868</v>
      </c>
      <c r="L20" s="397">
        <v>671379138.89512444</v>
      </c>
      <c r="M20" s="397">
        <v>4189432037.3250341</v>
      </c>
      <c r="N20" s="397">
        <v>1533195574.1222258</v>
      </c>
      <c r="O20" s="397">
        <v>1340950345.6220577</v>
      </c>
    </row>
    <row r="21" spans="1:15" x14ac:dyDescent="0.3">
      <c r="A21" s="389">
        <v>2029</v>
      </c>
      <c r="B21" s="395">
        <v>10113562489.355257</v>
      </c>
      <c r="C21" s="395">
        <v>1975383788.6281826</v>
      </c>
      <c r="D21" s="395">
        <v>695501300.91956377</v>
      </c>
      <c r="E21" s="395">
        <v>4406060599.1569462</v>
      </c>
      <c r="F21" s="395">
        <v>1625027335.7902012</v>
      </c>
      <c r="G21" s="395">
        <v>1411589464.8603623</v>
      </c>
      <c r="H21" s="396"/>
      <c r="I21" s="389">
        <v>2029</v>
      </c>
      <c r="J21" s="397">
        <v>9779546175.4095421</v>
      </c>
      <c r="K21" s="397">
        <v>1914922753.8333132</v>
      </c>
      <c r="L21" s="397">
        <v>672493714.7550236</v>
      </c>
      <c r="M21" s="397">
        <v>4260153911.6932378</v>
      </c>
      <c r="N21" s="397">
        <v>1571507906.0154529</v>
      </c>
      <c r="O21" s="397">
        <v>1360467889.1125152</v>
      </c>
    </row>
    <row r="22" spans="1:15" x14ac:dyDescent="0.3">
      <c r="A22" s="389">
        <v>2030</v>
      </c>
      <c r="B22" s="395">
        <v>10293019163.210972</v>
      </c>
      <c r="C22" s="395">
        <v>1994723319.7420688</v>
      </c>
      <c r="D22" s="395">
        <v>698589881.21800721</v>
      </c>
      <c r="E22" s="395">
        <v>4492939901.0982971</v>
      </c>
      <c r="F22" s="395">
        <v>1670277233.6178341</v>
      </c>
      <c r="G22" s="395">
        <v>1436488827.5347652</v>
      </c>
      <c r="H22" s="396"/>
      <c r="I22" s="389">
        <v>2030</v>
      </c>
      <c r="J22" s="397">
        <v>9923648893.3115387</v>
      </c>
      <c r="K22" s="397">
        <v>1928215993.121855</v>
      </c>
      <c r="L22" s="397">
        <v>673500213.27502334</v>
      </c>
      <c r="M22" s="397">
        <v>4331436691.1785221</v>
      </c>
      <c r="N22" s="397">
        <v>1610565246.7284265</v>
      </c>
      <c r="O22" s="397">
        <v>1379930749.0077107</v>
      </c>
    </row>
    <row r="23" spans="1:15" x14ac:dyDescent="0.3">
      <c r="A23" s="389">
        <v>2031</v>
      </c>
      <c r="B23" s="395">
        <v>10448748029.192871</v>
      </c>
      <c r="C23" s="395">
        <v>2011289699.2779553</v>
      </c>
      <c r="D23" s="395">
        <v>700648573.42317021</v>
      </c>
      <c r="E23" s="395">
        <v>4561541878.1644974</v>
      </c>
      <c r="F23" s="395">
        <v>1718040031.7163517</v>
      </c>
      <c r="G23" s="395">
        <v>1457227846.6108949</v>
      </c>
      <c r="H23" s="396"/>
      <c r="I23" s="389">
        <v>2031</v>
      </c>
      <c r="J23" s="397">
        <v>10044592657.340651</v>
      </c>
      <c r="K23" s="397">
        <v>1938850823.653554</v>
      </c>
      <c r="L23" s="397">
        <v>673532461.05724549</v>
      </c>
      <c r="M23" s="397">
        <v>4384924415.1789246</v>
      </c>
      <c r="N23" s="397">
        <v>1651924130.8710799</v>
      </c>
      <c r="O23" s="397">
        <v>1395360826.5798469</v>
      </c>
    </row>
    <row r="24" spans="1:15" x14ac:dyDescent="0.3">
      <c r="A24" s="389">
        <v>2032</v>
      </c>
      <c r="B24" s="395">
        <v>10605440628.886295</v>
      </c>
      <c r="C24" s="395">
        <v>2027671272.6067057</v>
      </c>
      <c r="D24" s="395">
        <v>702599265.40520275</v>
      </c>
      <c r="E24" s="395">
        <v>4630446737.4812527</v>
      </c>
      <c r="F24" s="395">
        <v>1766893632.1859789</v>
      </c>
      <c r="G24" s="395">
        <v>1477829721.2071555</v>
      </c>
      <c r="H24" s="396"/>
      <c r="I24" s="389">
        <v>2032</v>
      </c>
      <c r="J24" s="397">
        <v>10166156151.437202</v>
      </c>
      <c r="K24" s="397">
        <v>1949327101.4096692</v>
      </c>
      <c r="L24" s="397">
        <v>673476139.09809303</v>
      </c>
      <c r="M24" s="397">
        <v>4438551978.2516565</v>
      </c>
      <c r="N24" s="397">
        <v>1694178126.7156291</v>
      </c>
      <c r="O24" s="397">
        <v>1410622805.9621551</v>
      </c>
    </row>
    <row r="25" spans="1:15" x14ac:dyDescent="0.3">
      <c r="A25" s="389">
        <v>2033</v>
      </c>
      <c r="B25" s="395">
        <v>10763366507.391521</v>
      </c>
      <c r="C25" s="395">
        <v>2043887738.6168301</v>
      </c>
      <c r="D25" s="395">
        <v>704482922.05007923</v>
      </c>
      <c r="E25" s="395">
        <v>4699781228.9744997</v>
      </c>
      <c r="F25" s="395">
        <v>1816892201.4970851</v>
      </c>
      <c r="G25" s="395">
        <v>1498322416.2530265</v>
      </c>
      <c r="H25" s="396"/>
      <c r="I25" s="389">
        <v>2033</v>
      </c>
      <c r="J25" s="397">
        <v>10288383946.234039</v>
      </c>
      <c r="K25" s="397">
        <v>1959642360.9324939</v>
      </c>
      <c r="L25" s="397">
        <v>673354919.0273695</v>
      </c>
      <c r="M25" s="397">
        <v>4492339068.5387516</v>
      </c>
      <c r="N25" s="397">
        <v>1737336378.2828586</v>
      </c>
      <c r="O25" s="397">
        <v>1425711219.4525666</v>
      </c>
    </row>
    <row r="26" spans="1:15" x14ac:dyDescent="0.3">
      <c r="A26" s="389">
        <v>2034</v>
      </c>
      <c r="B26" s="395">
        <v>10922926704.588274</v>
      </c>
      <c r="C26" s="395">
        <v>2059980068.4717519</v>
      </c>
      <c r="D26" s="395">
        <v>706353373.78770578</v>
      </c>
      <c r="E26" s="395">
        <v>4769729203.7412872</v>
      </c>
      <c r="F26" s="395">
        <v>1868108471.2724464</v>
      </c>
      <c r="G26" s="395">
        <v>1518755587.3150833</v>
      </c>
      <c r="H26" s="396"/>
      <c r="I26" s="389">
        <v>2034</v>
      </c>
      <c r="J26" s="397">
        <v>10411313645.196192</v>
      </c>
      <c r="K26" s="397">
        <v>1969795172.0157573</v>
      </c>
      <c r="L26" s="397">
        <v>673196258.66579521</v>
      </c>
      <c r="M26" s="397">
        <v>4546298355.4941378</v>
      </c>
      <c r="N26" s="397">
        <v>1781403280.4431343</v>
      </c>
      <c r="O26" s="397">
        <v>1440620578.5773671</v>
      </c>
    </row>
    <row r="27" spans="1:15" x14ac:dyDescent="0.3">
      <c r="A27" s="389">
        <v>2035</v>
      </c>
      <c r="B27" s="395">
        <v>11084465944.800508</v>
      </c>
      <c r="C27" s="395">
        <v>2075984313.6844852</v>
      </c>
      <c r="D27" s="395">
        <v>708254799.05388725</v>
      </c>
      <c r="E27" s="395">
        <v>4840452452.0849504</v>
      </c>
      <c r="F27" s="395">
        <v>1920604973.7867277</v>
      </c>
      <c r="G27" s="395">
        <v>1539169406.1904576</v>
      </c>
      <c r="H27" s="396"/>
      <c r="I27" s="389">
        <v>2035</v>
      </c>
      <c r="J27" s="397">
        <v>10534977958.367125</v>
      </c>
      <c r="K27" s="397">
        <v>1979785301.7327135</v>
      </c>
      <c r="L27" s="397">
        <v>673022428.09383023</v>
      </c>
      <c r="M27" s="397">
        <v>4600442694.4468079</v>
      </c>
      <c r="N27" s="397">
        <v>1826381644.7362089</v>
      </c>
      <c r="O27" s="397">
        <v>1455345889.3575654</v>
      </c>
    </row>
    <row r="28" spans="1:15" x14ac:dyDescent="0.3">
      <c r="A28" s="389">
        <v>2036</v>
      </c>
      <c r="B28" s="395">
        <v>11248121617.835457</v>
      </c>
      <c r="C28" s="395">
        <v>2091910799.6063197</v>
      </c>
      <c r="D28" s="395">
        <v>710205773.46459067</v>
      </c>
      <c r="E28" s="395">
        <v>4912020820.5574646</v>
      </c>
      <c r="F28" s="395">
        <v>1974413305.9198756</v>
      </c>
      <c r="G28" s="395">
        <v>1559570918.2872069</v>
      </c>
      <c r="H28" s="396"/>
      <c r="I28" s="389">
        <v>2036</v>
      </c>
      <c r="J28" s="397">
        <v>10659410798.079504</v>
      </c>
      <c r="K28" s="397">
        <v>1989612465.4779117</v>
      </c>
      <c r="L28" s="397">
        <v>672844869.70274866</v>
      </c>
      <c r="M28" s="397">
        <v>4654792726.7667007</v>
      </c>
      <c r="N28" s="397">
        <v>1872278321.2761621</v>
      </c>
      <c r="O28" s="397">
        <v>1469882414.8559825</v>
      </c>
    </row>
    <row r="29" spans="1:15" x14ac:dyDescent="0.3">
      <c r="A29" s="389">
        <v>2037</v>
      </c>
      <c r="B29" s="395">
        <v>11413970972.432545</v>
      </c>
      <c r="C29" s="395">
        <v>2107765448.2025077</v>
      </c>
      <c r="D29" s="395">
        <v>712214051.86700249</v>
      </c>
      <c r="E29" s="395">
        <v>4984482658.6510792</v>
      </c>
      <c r="F29" s="395">
        <v>2029552294.1462364</v>
      </c>
      <c r="G29" s="395">
        <v>1579956519.5657203</v>
      </c>
      <c r="H29" s="396"/>
      <c r="I29" s="389">
        <v>2037</v>
      </c>
      <c r="J29" s="397">
        <v>10784637872.240204</v>
      </c>
      <c r="K29" s="397">
        <v>1999278747.6955488</v>
      </c>
      <c r="L29" s="397">
        <v>672668911.9517442</v>
      </c>
      <c r="M29" s="397">
        <v>4709367592.453392</v>
      </c>
      <c r="N29" s="397">
        <v>1919096181.374043</v>
      </c>
      <c r="O29" s="397">
        <v>1484226438.7654769</v>
      </c>
    </row>
    <row r="30" spans="1:15" x14ac:dyDescent="0.3">
      <c r="A30" s="389">
        <v>2038</v>
      </c>
      <c r="B30" s="395">
        <v>11582244351.81422</v>
      </c>
      <c r="C30" s="395">
        <v>2123579149.8905742</v>
      </c>
      <c r="D30" s="395">
        <v>714299655.3351984</v>
      </c>
      <c r="E30" s="395">
        <v>5057961758.8619795</v>
      </c>
      <c r="F30" s="395">
        <v>2086057897.9553661</v>
      </c>
      <c r="G30" s="395">
        <v>1600345889.7711034</v>
      </c>
      <c r="H30" s="396"/>
      <c r="I30" s="389">
        <v>2038</v>
      </c>
      <c r="J30" s="397">
        <v>10910669214.059044</v>
      </c>
      <c r="K30" s="397">
        <v>2008789981.1062105</v>
      </c>
      <c r="L30" s="397">
        <v>672502217.40386271</v>
      </c>
      <c r="M30" s="397">
        <v>4764174645.5945044</v>
      </c>
      <c r="N30" s="397">
        <v>1966826988.0667608</v>
      </c>
      <c r="O30" s="397">
        <v>1498375381.8877044</v>
      </c>
    </row>
    <row r="31" spans="1:15" x14ac:dyDescent="0.3">
      <c r="A31" s="389">
        <v>2039</v>
      </c>
      <c r="B31" s="395">
        <v>11753193710.502808</v>
      </c>
      <c r="C31" s="395">
        <v>2139389316.9803324</v>
      </c>
      <c r="D31" s="395">
        <v>716481169.99133825</v>
      </c>
      <c r="E31" s="395">
        <v>5132596088.8715506</v>
      </c>
      <c r="F31" s="395">
        <v>2143965806.9315801</v>
      </c>
      <c r="G31" s="395">
        <v>1620761327.7280071</v>
      </c>
      <c r="H31" s="396"/>
      <c r="I31" s="389">
        <v>2039</v>
      </c>
      <c r="J31" s="397">
        <v>11037505624.63978</v>
      </c>
      <c r="K31" s="397">
        <v>2018154227.2987072</v>
      </c>
      <c r="L31" s="397">
        <v>672350090.55292284</v>
      </c>
      <c r="M31" s="397">
        <v>4819216728.647666</v>
      </c>
      <c r="N31" s="397">
        <v>2015457161.0208151</v>
      </c>
      <c r="O31" s="397">
        <v>1512327417.119669</v>
      </c>
    </row>
    <row r="32" spans="1:15" x14ac:dyDescent="0.3">
      <c r="A32" s="389">
        <v>2040</v>
      </c>
      <c r="B32" s="395">
        <v>11927044851.662704</v>
      </c>
      <c r="C32" s="395">
        <v>2155232949.592227</v>
      </c>
      <c r="D32" s="395">
        <v>718773297.92936492</v>
      </c>
      <c r="E32" s="395">
        <v>5208507934.7387581</v>
      </c>
      <c r="F32" s="395">
        <v>2203308596.8198252</v>
      </c>
      <c r="G32" s="395">
        <v>1641222072.58253</v>
      </c>
      <c r="H32" s="396"/>
      <c r="I32" s="389">
        <v>2040</v>
      </c>
      <c r="J32" s="397">
        <v>11165146737.501608</v>
      </c>
      <c r="K32" s="397">
        <v>2027379222.3792787</v>
      </c>
      <c r="L32" s="397">
        <v>672215600.07974219</v>
      </c>
      <c r="M32" s="397">
        <v>4874497277.5351067</v>
      </c>
      <c r="N32" s="397">
        <v>2064974262.3770988</v>
      </c>
      <c r="O32" s="397">
        <v>1526080375.1303828</v>
      </c>
    </row>
    <row r="33" spans="1:15" x14ac:dyDescent="0.3">
      <c r="A33" s="389">
        <v>2041</v>
      </c>
      <c r="B33" s="395">
        <v>12103963427.615961</v>
      </c>
      <c r="C33" s="395">
        <v>2171130798.7013187</v>
      </c>
      <c r="D33" s="395">
        <v>721187430.54120076</v>
      </c>
      <c r="E33" s="395">
        <v>5285790426.0408802</v>
      </c>
      <c r="F33" s="395">
        <v>2264114737.0395217</v>
      </c>
      <c r="G33" s="395">
        <v>1661740035.2930398</v>
      </c>
      <c r="H33" s="396"/>
      <c r="I33" s="389">
        <v>2041</v>
      </c>
      <c r="J33" s="397">
        <v>11293606475.780399</v>
      </c>
      <c r="K33" s="397">
        <v>2036467830.0179329</v>
      </c>
      <c r="L33" s="397">
        <v>672103351.08832467</v>
      </c>
      <c r="M33" s="397">
        <v>4930030289.874732</v>
      </c>
      <c r="N33" s="397">
        <v>2115373626.0649021</v>
      </c>
      <c r="O33" s="397">
        <v>1539631378.734509</v>
      </c>
    </row>
    <row r="34" spans="1:15" x14ac:dyDescent="0.3">
      <c r="A34" s="389">
        <v>2042</v>
      </c>
      <c r="B34" s="395">
        <v>12284082001.210854</v>
      </c>
      <c r="C34" s="395">
        <v>2187111297.9800568</v>
      </c>
      <c r="D34" s="395">
        <v>723729220.42117834</v>
      </c>
      <c r="E34" s="395">
        <v>5364509565.546176</v>
      </c>
      <c r="F34" s="395">
        <v>2326408300.074646</v>
      </c>
      <c r="G34" s="395">
        <v>1682323617.1887975</v>
      </c>
      <c r="H34" s="396"/>
      <c r="I34" s="389">
        <v>2042</v>
      </c>
      <c r="J34" s="397">
        <v>11422890561.941278</v>
      </c>
      <c r="K34" s="397">
        <v>2045424457.0590611</v>
      </c>
      <c r="L34" s="397">
        <v>672012941.75911224</v>
      </c>
      <c r="M34" s="397">
        <v>4985825620.5085373</v>
      </c>
      <c r="N34" s="397">
        <v>2166650695.7059221</v>
      </c>
      <c r="O34" s="397">
        <v>1552976846.9086454</v>
      </c>
    </row>
    <row r="35" spans="1:15" x14ac:dyDescent="0.3">
      <c r="A35" s="389">
        <v>2043</v>
      </c>
      <c r="B35" s="395">
        <v>12467546878.010088</v>
      </c>
      <c r="C35" s="395">
        <v>2203229104.9243255</v>
      </c>
      <c r="D35" s="395">
        <v>726398593.39447308</v>
      </c>
      <c r="E35" s="395">
        <v>5444724869.2406693</v>
      </c>
      <c r="F35" s="395">
        <v>2390210588.7441444</v>
      </c>
      <c r="G35" s="395">
        <v>1702983721.7064757</v>
      </c>
      <c r="H35" s="396"/>
      <c r="I35" s="389">
        <v>2043</v>
      </c>
      <c r="J35" s="397">
        <v>11552976758.499413</v>
      </c>
      <c r="K35" s="397">
        <v>2054260544.8941858</v>
      </c>
      <c r="L35" s="397">
        <v>671934928.05689704</v>
      </c>
      <c r="M35" s="397">
        <v>5041876079.9883614</v>
      </c>
      <c r="N35" s="397">
        <v>2218792002.8001266</v>
      </c>
      <c r="O35" s="397">
        <v>1566113202.7598414</v>
      </c>
    </row>
    <row r="36" spans="1:15" x14ac:dyDescent="0.3">
      <c r="A36" s="389">
        <v>2044</v>
      </c>
      <c r="B36" s="395">
        <v>12654489385.234116</v>
      </c>
      <c r="C36" s="395">
        <v>2219548160.6730394</v>
      </c>
      <c r="D36" s="395">
        <v>729190926.45178902</v>
      </c>
      <c r="E36" s="395">
        <v>5526480652.5963917</v>
      </c>
      <c r="F36" s="395">
        <v>2455539556.377739</v>
      </c>
      <c r="G36" s="395">
        <v>1723730089.1351557</v>
      </c>
      <c r="H36" s="396"/>
      <c r="I36" s="389">
        <v>2044</v>
      </c>
      <c r="J36" s="397">
        <v>11683830493.022388</v>
      </c>
      <c r="K36" s="397">
        <v>2062989866.9643462</v>
      </c>
      <c r="L36" s="397">
        <v>671855196.68767667</v>
      </c>
      <c r="M36" s="397">
        <v>5098167302.1108646</v>
      </c>
      <c r="N36" s="397">
        <v>2271781442.2818837</v>
      </c>
      <c r="O36" s="397">
        <v>1579036684.9776165</v>
      </c>
    </row>
    <row r="37" spans="1:15" x14ac:dyDescent="0.3">
      <c r="A37" s="389">
        <v>2045</v>
      </c>
      <c r="B37" s="395">
        <v>12845023578.950459</v>
      </c>
      <c r="C37" s="395">
        <v>2236120544.9161577</v>
      </c>
      <c r="D37" s="395">
        <v>732100927.09335947</v>
      </c>
      <c r="E37" s="395">
        <v>5609819910.2058659</v>
      </c>
      <c r="F37" s="395">
        <v>2522411615.5455151</v>
      </c>
      <c r="G37" s="395">
        <v>1744570581.1895607</v>
      </c>
      <c r="H37" s="396"/>
      <c r="I37" s="389">
        <v>2045</v>
      </c>
      <c r="J37" s="397">
        <v>11815423829.596029</v>
      </c>
      <c r="K37" s="397">
        <v>2071623248.0548823</v>
      </c>
      <c r="L37" s="397">
        <v>671761655.45362139</v>
      </c>
      <c r="M37" s="397">
        <v>5154690381.9829731</v>
      </c>
      <c r="N37" s="397">
        <v>2325604587.7508411</v>
      </c>
      <c r="O37" s="397">
        <v>1591743956.3537123</v>
      </c>
    </row>
    <row r="38" spans="1:15" x14ac:dyDescent="0.3">
      <c r="A38" s="389">
        <v>2046</v>
      </c>
      <c r="B38" s="395">
        <v>13039263223.319368</v>
      </c>
      <c r="C38" s="395">
        <v>2252974059.7083015</v>
      </c>
      <c r="D38" s="395">
        <v>735128312.32227063</v>
      </c>
      <c r="E38" s="395">
        <v>5694803291.2117453</v>
      </c>
      <c r="F38" s="395">
        <v>2590847018.2116761</v>
      </c>
      <c r="G38" s="395">
        <v>1765510541.8653762</v>
      </c>
      <c r="H38" s="396"/>
      <c r="I38" s="389">
        <v>2046</v>
      </c>
      <c r="J38" s="397">
        <v>11947754212.8013</v>
      </c>
      <c r="K38" s="397">
        <v>2080169278.1937733</v>
      </c>
      <c r="L38" s="397">
        <v>671650487.27172112</v>
      </c>
      <c r="M38" s="397">
        <v>5211449793.0036898</v>
      </c>
      <c r="N38" s="397">
        <v>2380253139.9762025</v>
      </c>
      <c r="O38" s="397">
        <v>1604231514.3559136</v>
      </c>
    </row>
    <row r="39" spans="1:15" x14ac:dyDescent="0.3">
      <c r="A39" s="389">
        <v>2047</v>
      </c>
      <c r="B39" s="395">
        <v>13237291485.697437</v>
      </c>
      <c r="C39" s="395">
        <v>2270121673.2679014</v>
      </c>
      <c r="D39" s="395">
        <v>738269969.62142456</v>
      </c>
      <c r="E39" s="395">
        <v>5781485372.0004501</v>
      </c>
      <c r="F39" s="395">
        <v>2660861163.3929634</v>
      </c>
      <c r="G39" s="395">
        <v>1786553307.4146984</v>
      </c>
      <c r="H39" s="396"/>
      <c r="I39" s="389">
        <v>2047</v>
      </c>
      <c r="J39" s="397">
        <v>12080825137.114643</v>
      </c>
      <c r="K39" s="397">
        <v>2088630007.5017295</v>
      </c>
      <c r="L39" s="397">
        <v>671518980.90602505</v>
      </c>
      <c r="M39" s="397">
        <v>5268459066.0576363</v>
      </c>
      <c r="N39" s="397">
        <v>2435719975.8863654</v>
      </c>
      <c r="O39" s="397">
        <v>1616497106.7628856</v>
      </c>
    </row>
    <row r="40" spans="1:15" x14ac:dyDescent="0.3">
      <c r="A40" s="389">
        <v>2048</v>
      </c>
      <c r="B40" s="395">
        <v>13439141794.536568</v>
      </c>
      <c r="C40" s="395">
        <v>2287580554.66747</v>
      </c>
      <c r="D40" s="395">
        <v>741512867.01897144</v>
      </c>
      <c r="E40" s="395">
        <v>5869889476.2404966</v>
      </c>
      <c r="F40" s="395">
        <v>2732458067.0088348</v>
      </c>
      <c r="G40" s="395">
        <v>1807700829.6007953</v>
      </c>
      <c r="H40" s="396"/>
      <c r="I40" s="389">
        <v>2048</v>
      </c>
      <c r="J40" s="397">
        <v>12214621439.483932</v>
      </c>
      <c r="K40" s="397">
        <v>2097001661.8375442</v>
      </c>
      <c r="L40" s="397">
        <v>671356933.19218802</v>
      </c>
      <c r="M40" s="397">
        <v>5325729426.9810791</v>
      </c>
      <c r="N40" s="397">
        <v>2491993276.5120134</v>
      </c>
      <c r="O40" s="397">
        <v>1628540140.9611096</v>
      </c>
    </row>
    <row r="41" spans="1:15" x14ac:dyDescent="0.3">
      <c r="A41" s="389">
        <v>2049</v>
      </c>
      <c r="B41" s="395">
        <v>13644816791.755737</v>
      </c>
      <c r="C41" s="395">
        <v>2305362107.4120703</v>
      </c>
      <c r="D41" s="395">
        <v>744839750.52946997</v>
      </c>
      <c r="E41" s="395">
        <v>5960025403.8924847</v>
      </c>
      <c r="F41" s="395">
        <v>2805636240.868515</v>
      </c>
      <c r="G41" s="395">
        <v>1828953289.0531974</v>
      </c>
      <c r="H41" s="396"/>
      <c r="I41" s="389">
        <v>2049</v>
      </c>
      <c r="J41" s="397">
        <v>12349126677.170044</v>
      </c>
      <c r="K41" s="397">
        <v>2105276658.3801425</v>
      </c>
      <c r="L41" s="397">
        <v>671152615.99446845</v>
      </c>
      <c r="M41" s="397">
        <v>5383275774.2897902</v>
      </c>
      <c r="N41" s="397">
        <v>2549060668.5087371</v>
      </c>
      <c r="O41" s="397">
        <v>1640360959.9969058</v>
      </c>
    </row>
    <row r="42" spans="1:15" x14ac:dyDescent="0.3">
      <c r="A42" s="389">
        <v>2050</v>
      </c>
      <c r="B42" s="395">
        <v>13854321389.091095</v>
      </c>
      <c r="C42" s="395">
        <v>2323474030.2181497</v>
      </c>
      <c r="D42" s="395">
        <v>748235263.24089801</v>
      </c>
      <c r="E42" s="395">
        <v>6051906404.8127031</v>
      </c>
      <c r="F42" s="395">
        <v>2880396788.7628813</v>
      </c>
      <c r="G42" s="395">
        <v>1850308902.0564616</v>
      </c>
      <c r="H42" s="396"/>
      <c r="I42" s="389">
        <v>2050</v>
      </c>
      <c r="J42" s="397">
        <v>12484332955.109283</v>
      </c>
      <c r="K42" s="397">
        <v>2113451138.3939438</v>
      </c>
      <c r="L42" s="397">
        <v>670896473.01304996</v>
      </c>
      <c r="M42" s="397">
        <v>5441114452.0267038</v>
      </c>
      <c r="N42" s="397">
        <v>2606911956.7515464</v>
      </c>
      <c r="O42" s="397">
        <v>1651958934.9240389</v>
      </c>
    </row>
    <row r="43" spans="1:15" x14ac:dyDescent="0.3">
      <c r="A43" s="389">
        <v>2051</v>
      </c>
      <c r="B43" s="395">
        <v>14067729577.36368</v>
      </c>
      <c r="C43" s="395">
        <v>2341927021.0448055</v>
      </c>
      <c r="D43" s="395">
        <v>751693588.24959564</v>
      </c>
      <c r="E43" s="395">
        <v>6145588482.2501431</v>
      </c>
      <c r="F43" s="395">
        <v>2956752727.8568044</v>
      </c>
      <c r="G43" s="395">
        <v>1871767757.9623318</v>
      </c>
      <c r="H43" s="396"/>
      <c r="I43" s="389">
        <v>2051</v>
      </c>
      <c r="J43" s="397">
        <v>12620258198.928837</v>
      </c>
      <c r="K43" s="397">
        <v>2121527320.8893435</v>
      </c>
      <c r="L43" s="397">
        <v>670584135.4028945</v>
      </c>
      <c r="M43" s="397">
        <v>5499274428.3463192</v>
      </c>
      <c r="N43" s="397">
        <v>2665539989.9946828</v>
      </c>
      <c r="O43" s="397">
        <v>1663332324.2955978</v>
      </c>
    </row>
    <row r="44" spans="1:15" x14ac:dyDescent="0.3">
      <c r="A44" s="389">
        <v>2052</v>
      </c>
      <c r="B44" s="395">
        <v>14285088066.597668</v>
      </c>
      <c r="C44" s="395">
        <v>2360724138.6936884</v>
      </c>
      <c r="D44" s="395">
        <v>755208232.67538786</v>
      </c>
      <c r="E44" s="395">
        <v>6241113260.6103039</v>
      </c>
      <c r="F44" s="395">
        <v>3034717609.7133446</v>
      </c>
      <c r="G44" s="395">
        <v>1893324824.9049442</v>
      </c>
      <c r="H44" s="396"/>
      <c r="I44" s="389">
        <v>2052</v>
      </c>
      <c r="J44" s="397">
        <v>12756921657.64579</v>
      </c>
      <c r="K44" s="397">
        <v>2129513834.4555244</v>
      </c>
      <c r="L44" s="397">
        <v>670213355.36645603</v>
      </c>
      <c r="M44" s="397">
        <v>5557776065.5592737</v>
      </c>
      <c r="N44" s="397">
        <v>2724940910.7245736</v>
      </c>
      <c r="O44" s="397">
        <v>1674477491.5399635</v>
      </c>
    </row>
    <row r="45" spans="1:15" x14ac:dyDescent="0.3">
      <c r="A45" s="389">
        <v>2053</v>
      </c>
      <c r="B45" s="395">
        <v>14506334677.112192</v>
      </c>
      <c r="C45" s="395">
        <v>2379853070.5167947</v>
      </c>
      <c r="D45" s="395">
        <v>758762180.6675173</v>
      </c>
      <c r="E45" s="395">
        <v>6338460438.0441179</v>
      </c>
      <c r="F45" s="395">
        <v>3114293197.8538437</v>
      </c>
      <c r="G45" s="395">
        <v>1914965790.0299191</v>
      </c>
      <c r="H45" s="396"/>
      <c r="I45" s="389">
        <v>2053</v>
      </c>
      <c r="J45" s="397">
        <v>12894323023.800076</v>
      </c>
      <c r="K45" s="397">
        <v>2137421080.8278403</v>
      </c>
      <c r="L45" s="397">
        <v>669779756.44383264</v>
      </c>
      <c r="M45" s="397">
        <v>5616619811.3338823</v>
      </c>
      <c r="N45" s="397">
        <v>2785112625.7897911</v>
      </c>
      <c r="O45" s="397">
        <v>1685389749.4047289</v>
      </c>
    </row>
    <row r="46" spans="1:15" x14ac:dyDescent="0.3">
      <c r="A46" s="389">
        <v>2054</v>
      </c>
      <c r="B46" s="395">
        <v>14731367249.292023</v>
      </c>
      <c r="C46" s="395">
        <v>2399293417.1983895</v>
      </c>
      <c r="D46" s="395">
        <v>762335730.17887664</v>
      </c>
      <c r="E46" s="395">
        <v>6437588233.0735159</v>
      </c>
      <c r="F46" s="395">
        <v>3195478376.4522591</v>
      </c>
      <c r="G46" s="395">
        <v>1936671492.3889811</v>
      </c>
      <c r="H46" s="396"/>
      <c r="I46" s="389">
        <v>2054</v>
      </c>
      <c r="J46" s="397">
        <v>13032460228.554024</v>
      </c>
      <c r="K46" s="397">
        <v>2145262369.1474659</v>
      </c>
      <c r="L46" s="397">
        <v>669279601.97292209</v>
      </c>
      <c r="M46" s="397">
        <v>5675799686.9000168</v>
      </c>
      <c r="N46" s="397">
        <v>2846055185.4403186</v>
      </c>
      <c r="O46" s="397">
        <v>1696063385.0932996</v>
      </c>
    </row>
    <row r="47" spans="1:15" x14ac:dyDescent="0.3">
      <c r="A47" s="389">
        <v>2055</v>
      </c>
      <c r="B47" s="395">
        <v>14960127715.375061</v>
      </c>
      <c r="C47" s="395">
        <v>2419026549.631063</v>
      </c>
      <c r="D47" s="395">
        <v>765913742.17571485</v>
      </c>
      <c r="E47" s="395">
        <v>6538485366.2392235</v>
      </c>
      <c r="F47" s="395">
        <v>3278276697.9308639</v>
      </c>
      <c r="G47" s="395">
        <v>1958425359.3981946</v>
      </c>
      <c r="H47" s="396"/>
      <c r="I47" s="389">
        <v>2055</v>
      </c>
      <c r="J47" s="397">
        <v>13171349966.673382</v>
      </c>
      <c r="K47" s="397">
        <v>2153049179.5562387</v>
      </c>
      <c r="L47" s="397">
        <v>668710855.61333954</v>
      </c>
      <c r="M47" s="397">
        <v>5735327567.0936279</v>
      </c>
      <c r="N47" s="397">
        <v>2907768922.7339616</v>
      </c>
      <c r="O47" s="397">
        <v>1706493441.6762149</v>
      </c>
    </row>
    <row r="48" spans="1:15" x14ac:dyDescent="0.3">
      <c r="A48" s="389">
        <v>2056</v>
      </c>
      <c r="B48" s="395">
        <v>15192656790.748507</v>
      </c>
      <c r="C48" s="395">
        <v>2439049924.2046962</v>
      </c>
      <c r="D48" s="395">
        <v>769490957.91646969</v>
      </c>
      <c r="E48" s="395">
        <v>6641192803.538475</v>
      </c>
      <c r="F48" s="395">
        <v>3362701189.3693814</v>
      </c>
      <c r="G48" s="395">
        <v>1980221915.7194839</v>
      </c>
      <c r="H48" s="396"/>
      <c r="I48" s="389">
        <v>2056</v>
      </c>
      <c r="J48" s="397">
        <v>13311019664.381969</v>
      </c>
      <c r="K48" s="397">
        <v>2160788222.3620834</v>
      </c>
      <c r="L48" s="397">
        <v>668073323.31624269</v>
      </c>
      <c r="M48" s="397">
        <v>5795228790.496891</v>
      </c>
      <c r="N48" s="397">
        <v>2970251562.8663559</v>
      </c>
      <c r="O48" s="397">
        <v>1716677765.3403978</v>
      </c>
    </row>
    <row r="49" spans="1:15" x14ac:dyDescent="0.3">
      <c r="A49" s="389">
        <v>2057</v>
      </c>
      <c r="B49" s="395">
        <v>15429053328.04064</v>
      </c>
      <c r="C49" s="395">
        <v>2459357458.7243023</v>
      </c>
      <c r="D49" s="395">
        <v>773067038.50116372</v>
      </c>
      <c r="E49" s="395">
        <v>6745801655.0212965</v>
      </c>
      <c r="F49" s="395">
        <v>3448770791.4174924</v>
      </c>
      <c r="G49" s="395">
        <v>2002056384.3763862</v>
      </c>
      <c r="H49" s="396"/>
      <c r="I49" s="389">
        <v>2057</v>
      </c>
      <c r="J49" s="397">
        <v>13451535988.27577</v>
      </c>
      <c r="K49" s="397">
        <v>2168483850.8861499</v>
      </c>
      <c r="L49" s="397">
        <v>667369147.24583113</v>
      </c>
      <c r="M49" s="397">
        <v>5855566173.041687</v>
      </c>
      <c r="N49" s="397">
        <v>3033502331.9790263</v>
      </c>
      <c r="O49" s="397">
        <v>1726614485.1230752</v>
      </c>
    </row>
    <row r="50" spans="1:15" x14ac:dyDescent="0.3">
      <c r="A50" s="389">
        <v>2058</v>
      </c>
      <c r="B50" s="395">
        <v>15669395908.692331</v>
      </c>
      <c r="C50" s="395">
        <v>2479921637.0728531</v>
      </c>
      <c r="D50" s="395">
        <v>776638943.31579256</v>
      </c>
      <c r="E50" s="395">
        <v>6852418273.8134546</v>
      </c>
      <c r="F50" s="395">
        <v>3536503423.7132573</v>
      </c>
      <c r="G50" s="395">
        <v>2023913630.7769737</v>
      </c>
      <c r="H50" s="396"/>
      <c r="I50" s="389">
        <v>2058</v>
      </c>
      <c r="J50" s="397">
        <v>13593009450.04809</v>
      </c>
      <c r="K50" s="397">
        <v>2176142520.7708216</v>
      </c>
      <c r="L50" s="397">
        <v>666602405.81638169</v>
      </c>
      <c r="M50" s="397">
        <v>5916439441.4447975</v>
      </c>
      <c r="N50" s="397">
        <v>3097525686.5582123</v>
      </c>
      <c r="O50" s="397">
        <v>1736299395.4578764</v>
      </c>
    </row>
    <row r="51" spans="1:15" x14ac:dyDescent="0.3">
      <c r="A51" s="389">
        <v>2059</v>
      </c>
      <c r="B51" s="395">
        <v>15913787337.620909</v>
      </c>
      <c r="C51" s="395">
        <v>2500708172.4522643</v>
      </c>
      <c r="D51" s="395">
        <v>780205535.03435111</v>
      </c>
      <c r="E51" s="395">
        <v>6961177583.5853367</v>
      </c>
      <c r="F51" s="395">
        <v>3625919730.428205</v>
      </c>
      <c r="G51" s="395">
        <v>2045776316.1207502</v>
      </c>
      <c r="H51" s="396"/>
      <c r="I51" s="389">
        <v>2059</v>
      </c>
      <c r="J51" s="397">
        <v>13735580475.453386</v>
      </c>
      <c r="K51" s="397">
        <v>2183770334.0516081</v>
      </c>
      <c r="L51" s="397">
        <v>665778976.71464825</v>
      </c>
      <c r="M51" s="397">
        <v>5977974984.6303787</v>
      </c>
      <c r="N51" s="397">
        <v>3162328300.8932939</v>
      </c>
      <c r="O51" s="397">
        <v>1745727879.1634576</v>
      </c>
    </row>
    <row r="52" spans="1:15" x14ac:dyDescent="0.3">
      <c r="A52" s="389">
        <v>2060</v>
      </c>
      <c r="B52" s="395">
        <v>16162351421.689285</v>
      </c>
      <c r="C52" s="395">
        <v>2521690921.8160915</v>
      </c>
      <c r="D52" s="395">
        <v>783768652.01673949</v>
      </c>
      <c r="E52" s="395">
        <v>7072217319.6995201</v>
      </c>
      <c r="F52" s="395">
        <v>3717042833.3571434</v>
      </c>
      <c r="G52" s="395">
        <v>2067631694.7997911</v>
      </c>
      <c r="H52" s="396"/>
      <c r="I52" s="389">
        <v>2060</v>
      </c>
      <c r="J52" s="397">
        <v>13879378174.160835</v>
      </c>
      <c r="K52" s="397">
        <v>2191373264.7731624</v>
      </c>
      <c r="L52" s="397">
        <v>664905442.32555079</v>
      </c>
      <c r="M52" s="397">
        <v>6040287016.8306208</v>
      </c>
      <c r="N52" s="397">
        <v>3227915829.0037847</v>
      </c>
      <c r="O52" s="397">
        <v>1754896621.2277186</v>
      </c>
    </row>
    <row r="60" spans="1:15" x14ac:dyDescent="0.3">
      <c r="A60" s="401" t="s">
        <v>422</v>
      </c>
      <c r="B60" s="399" t="s">
        <v>4</v>
      </c>
      <c r="C60" s="400" t="s">
        <v>5</v>
      </c>
      <c r="D60" s="400" t="s">
        <v>6</v>
      </c>
      <c r="E60" s="400" t="s">
        <v>420</v>
      </c>
      <c r="F60" s="400" t="s">
        <v>8</v>
      </c>
      <c r="G60" s="400" t="s">
        <v>421</v>
      </c>
      <c r="I60" s="402" t="s">
        <v>423</v>
      </c>
      <c r="J60" s="402" t="s">
        <v>424</v>
      </c>
    </row>
    <row r="61" spans="1:15" x14ac:dyDescent="0.3">
      <c r="A61" s="401">
        <v>2014</v>
      </c>
      <c r="B61" s="398">
        <f t="shared" ref="B61:G61" si="0">B6-J6</f>
        <v>0</v>
      </c>
      <c r="C61" s="398">
        <f t="shared" si="0"/>
        <v>0</v>
      </c>
      <c r="D61" s="398">
        <f t="shared" si="0"/>
        <v>0</v>
      </c>
      <c r="E61" s="398">
        <f t="shared" si="0"/>
        <v>0</v>
      </c>
      <c r="F61" s="398">
        <f t="shared" si="0"/>
        <v>0</v>
      </c>
      <c r="G61" s="398">
        <f t="shared" si="0"/>
        <v>0</v>
      </c>
      <c r="I61" s="398">
        <f>(E61+F61)/10^6</f>
        <v>0</v>
      </c>
      <c r="J61" s="398">
        <f>(C61+D61+G61)/10^6</f>
        <v>0</v>
      </c>
    </row>
    <row r="62" spans="1:15" x14ac:dyDescent="0.3">
      <c r="A62" s="401">
        <v>2015</v>
      </c>
      <c r="B62" s="398">
        <f t="shared" ref="B62:B107" si="1">B7-J7</f>
        <v>0</v>
      </c>
      <c r="C62" s="398">
        <f t="shared" ref="C62:C107" si="2">C7-K7</f>
        <v>0</v>
      </c>
      <c r="D62" s="398">
        <f t="shared" ref="D62:D107" si="3">D7-L7</f>
        <v>0</v>
      </c>
      <c r="E62" s="398">
        <f t="shared" ref="E62:E107" si="4">E7-M7</f>
        <v>0</v>
      </c>
      <c r="F62" s="398">
        <f t="shared" ref="F62:F107" si="5">F7-N7</f>
        <v>0</v>
      </c>
      <c r="G62" s="398">
        <f t="shared" ref="G62:G107" si="6">G7-O7</f>
        <v>0</v>
      </c>
      <c r="I62" s="398">
        <f t="shared" ref="I62:I107" si="7">(E62+F62)/10^6</f>
        <v>0</v>
      </c>
      <c r="J62" s="398">
        <f t="shared" ref="J62:J107" si="8">(C62+D62+G62)/10^6</f>
        <v>0</v>
      </c>
    </row>
    <row r="63" spans="1:15" x14ac:dyDescent="0.3">
      <c r="A63" s="401">
        <v>2016</v>
      </c>
      <c r="B63" s="398">
        <f t="shared" si="1"/>
        <v>8604142.7170295715</v>
      </c>
      <c r="C63" s="398">
        <f t="shared" si="2"/>
        <v>1627989.0365924835</v>
      </c>
      <c r="D63" s="398">
        <f t="shared" si="3"/>
        <v>702397.08925163746</v>
      </c>
      <c r="E63" s="398">
        <f t="shared" si="4"/>
        <v>3762574.8686203957</v>
      </c>
      <c r="F63" s="398">
        <f t="shared" si="5"/>
        <v>1235712.1488213539</v>
      </c>
      <c r="G63" s="398">
        <f t="shared" si="6"/>
        <v>1275469.5737447739</v>
      </c>
      <c r="I63" s="398">
        <f t="shared" si="7"/>
        <v>4.9982870174417497</v>
      </c>
      <c r="J63" s="398">
        <f t="shared" si="8"/>
        <v>3.6058556995888948</v>
      </c>
    </row>
    <row r="64" spans="1:15" x14ac:dyDescent="0.3">
      <c r="A64" s="401">
        <v>2017</v>
      </c>
      <c r="B64" s="398">
        <f t="shared" si="1"/>
        <v>21121743.473051071</v>
      </c>
      <c r="C64" s="398">
        <f t="shared" si="2"/>
        <v>3979357.6774940491</v>
      </c>
      <c r="D64" s="398">
        <f t="shared" si="3"/>
        <v>1711841.0239090919</v>
      </c>
      <c r="E64" s="398">
        <f t="shared" si="4"/>
        <v>9260013.7635560036</v>
      </c>
      <c r="F64" s="398">
        <f t="shared" si="5"/>
        <v>3037973.2246568203</v>
      </c>
      <c r="G64" s="398">
        <f t="shared" si="6"/>
        <v>3132557.783434391</v>
      </c>
      <c r="I64" s="398">
        <f t="shared" si="7"/>
        <v>12.297986988212823</v>
      </c>
      <c r="J64" s="398">
        <f t="shared" si="8"/>
        <v>8.8237564848375314</v>
      </c>
    </row>
    <row r="65" spans="1:10" x14ac:dyDescent="0.3">
      <c r="A65" s="401">
        <v>2018</v>
      </c>
      <c r="B65" s="398">
        <f t="shared" si="1"/>
        <v>37026062.290676117</v>
      </c>
      <c r="C65" s="398">
        <f t="shared" si="2"/>
        <v>6951115.2105267048</v>
      </c>
      <c r="D65" s="398">
        <f t="shared" si="3"/>
        <v>2973926.3279910088</v>
      </c>
      <c r="E65" s="398">
        <f t="shared" si="4"/>
        <v>16252419.990241051</v>
      </c>
      <c r="F65" s="398">
        <f t="shared" si="5"/>
        <v>5347283.1634278297</v>
      </c>
      <c r="G65" s="398">
        <f t="shared" si="6"/>
        <v>5501317.5984902382</v>
      </c>
      <c r="I65" s="398">
        <f t="shared" si="7"/>
        <v>21.59970315366888</v>
      </c>
      <c r="J65" s="398">
        <f t="shared" si="8"/>
        <v>15.426359137007951</v>
      </c>
    </row>
    <row r="66" spans="1:10" x14ac:dyDescent="0.3">
      <c r="A66" s="401">
        <v>2019</v>
      </c>
      <c r="B66" s="398">
        <f t="shared" si="1"/>
        <v>55387083.064089775</v>
      </c>
      <c r="C66" s="398">
        <f t="shared" si="2"/>
        <v>10368886.449664831</v>
      </c>
      <c r="D66" s="398">
        <f t="shared" si="3"/>
        <v>4400453.8971946239</v>
      </c>
      <c r="E66" s="398">
        <f t="shared" si="4"/>
        <v>24309580.463057041</v>
      </c>
      <c r="F66" s="398">
        <f t="shared" si="5"/>
        <v>8053140.8051922321</v>
      </c>
      <c r="G66" s="398">
        <f t="shared" si="6"/>
        <v>8255021.4489805698</v>
      </c>
      <c r="I66" s="398">
        <f t="shared" si="7"/>
        <v>32.362721268249274</v>
      </c>
      <c r="J66" s="398">
        <f t="shared" si="8"/>
        <v>23.024361795840026</v>
      </c>
    </row>
    <row r="67" spans="1:10" x14ac:dyDescent="0.3">
      <c r="A67" s="401">
        <v>2020</v>
      </c>
      <c r="B67" s="398">
        <f t="shared" si="1"/>
        <v>75486529.17987442</v>
      </c>
      <c r="C67" s="398">
        <f t="shared" si="2"/>
        <v>14098361.121903419</v>
      </c>
      <c r="D67" s="398">
        <f t="shared" si="3"/>
        <v>5923226.8986682892</v>
      </c>
      <c r="E67" s="398">
        <f t="shared" si="4"/>
        <v>33097026.706661224</v>
      </c>
      <c r="F67" s="398">
        <f t="shared" si="5"/>
        <v>11072451.004820585</v>
      </c>
      <c r="G67" s="398">
        <f t="shared" si="6"/>
        <v>11295463.447820187</v>
      </c>
      <c r="I67" s="398">
        <f t="shared" si="7"/>
        <v>44.169477711481811</v>
      </c>
      <c r="J67" s="398">
        <f t="shared" si="8"/>
        <v>31.317051468391895</v>
      </c>
    </row>
    <row r="68" spans="1:10" x14ac:dyDescent="0.3">
      <c r="A68" s="401">
        <v>2021</v>
      </c>
      <c r="B68" s="398">
        <f t="shared" si="1"/>
        <v>97160894.605667114</v>
      </c>
      <c r="C68" s="398">
        <f t="shared" si="2"/>
        <v>18105349.139276505</v>
      </c>
      <c r="D68" s="398">
        <f t="shared" si="3"/>
        <v>7524952.7987984419</v>
      </c>
      <c r="E68" s="398">
        <f t="shared" si="4"/>
        <v>42538525.424464226</v>
      </c>
      <c r="F68" s="398">
        <f t="shared" si="5"/>
        <v>14390513.745878696</v>
      </c>
      <c r="G68" s="398">
        <f t="shared" si="6"/>
        <v>14601553.497248411</v>
      </c>
      <c r="I68" s="398">
        <f t="shared" si="7"/>
        <v>56.929039170342925</v>
      </c>
      <c r="J68" s="398">
        <f t="shared" si="8"/>
        <v>40.231855435323361</v>
      </c>
    </row>
    <row r="69" spans="1:10" x14ac:dyDescent="0.3">
      <c r="A69" s="401">
        <v>2022</v>
      </c>
      <c r="B69" s="398">
        <f t="shared" si="1"/>
        <v>120598125.53677559</v>
      </c>
      <c r="C69" s="398">
        <f t="shared" si="2"/>
        <v>22417597.475934982</v>
      </c>
      <c r="D69" s="398">
        <f t="shared" si="3"/>
        <v>9216970.110272646</v>
      </c>
      <c r="E69" s="398">
        <f t="shared" si="4"/>
        <v>52726475.964754105</v>
      </c>
      <c r="F69" s="398">
        <f t="shared" si="5"/>
        <v>18038306.451825142</v>
      </c>
      <c r="G69" s="398">
        <f t="shared" si="6"/>
        <v>18198775.533989668</v>
      </c>
      <c r="I69" s="398">
        <f t="shared" si="7"/>
        <v>70.764782416579251</v>
      </c>
      <c r="J69" s="398">
        <f t="shared" si="8"/>
        <v>49.833343120197299</v>
      </c>
    </row>
    <row r="70" spans="1:10" x14ac:dyDescent="0.3">
      <c r="A70" s="401">
        <v>2023</v>
      </c>
      <c r="B70" s="398">
        <f t="shared" si="1"/>
        <v>145808649.85304642</v>
      </c>
      <c r="C70" s="398">
        <f t="shared" si="2"/>
        <v>27030183.377334595</v>
      </c>
      <c r="D70" s="398">
        <f t="shared" si="3"/>
        <v>10991475.378370881</v>
      </c>
      <c r="E70" s="398">
        <f t="shared" si="4"/>
        <v>63674810.006408215</v>
      </c>
      <c r="F70" s="398">
        <f t="shared" si="5"/>
        <v>22027753.564204931</v>
      </c>
      <c r="G70" s="398">
        <f t="shared" si="6"/>
        <v>22084427.52672863</v>
      </c>
      <c r="I70" s="398">
        <f t="shared" si="7"/>
        <v>85.702563570613151</v>
      </c>
      <c r="J70" s="398">
        <f t="shared" si="8"/>
        <v>60.106086282434106</v>
      </c>
    </row>
    <row r="71" spans="1:10" x14ac:dyDescent="0.3">
      <c r="A71" s="401">
        <v>2024</v>
      </c>
      <c r="B71" s="398">
        <f t="shared" si="1"/>
        <v>172880814.32576752</v>
      </c>
      <c r="C71" s="398">
        <f t="shared" si="2"/>
        <v>31950934.35349226</v>
      </c>
      <c r="D71" s="398">
        <f t="shared" si="3"/>
        <v>12845883.130094767</v>
      </c>
      <c r="E71" s="398">
        <f t="shared" si="4"/>
        <v>75438060.721443176</v>
      </c>
      <c r="F71" s="398">
        <f t="shared" si="5"/>
        <v>26381501.15021944</v>
      </c>
      <c r="G71" s="398">
        <f t="shared" si="6"/>
        <v>26264434.970520258</v>
      </c>
      <c r="I71" s="398">
        <f t="shared" si="7"/>
        <v>101.81956187166261</v>
      </c>
      <c r="J71" s="398">
        <f t="shared" si="8"/>
        <v>71.06125245410729</v>
      </c>
    </row>
    <row r="72" spans="1:10" x14ac:dyDescent="0.3">
      <c r="A72" s="401">
        <v>2025</v>
      </c>
      <c r="B72" s="398">
        <f t="shared" si="1"/>
        <v>201842334.29320717</v>
      </c>
      <c r="C72" s="398">
        <f t="shared" si="2"/>
        <v>37175722.223227262</v>
      </c>
      <c r="D72" s="398">
        <f t="shared" si="3"/>
        <v>14775197.315873384</v>
      </c>
      <c r="E72" s="398">
        <f t="shared" si="4"/>
        <v>88043414.341253757</v>
      </c>
      <c r="F72" s="398">
        <f t="shared" si="5"/>
        <v>31111359.437917471</v>
      </c>
      <c r="G72" s="398">
        <f t="shared" si="6"/>
        <v>30736640.974936724</v>
      </c>
      <c r="I72" s="398">
        <f t="shared" si="7"/>
        <v>119.15477377917122</v>
      </c>
      <c r="J72" s="398">
        <f t="shared" si="8"/>
        <v>82.687560514037372</v>
      </c>
    </row>
    <row r="73" spans="1:10" x14ac:dyDescent="0.3">
      <c r="A73" s="401">
        <v>2026</v>
      </c>
      <c r="B73" s="398">
        <f t="shared" si="1"/>
        <v>232697645.03285599</v>
      </c>
      <c r="C73" s="398">
        <f t="shared" si="2"/>
        <v>42696400.933228493</v>
      </c>
      <c r="D73" s="398">
        <f t="shared" si="3"/>
        <v>16773707.863844275</v>
      </c>
      <c r="E73" s="398">
        <f t="shared" si="4"/>
        <v>101499643.6151762</v>
      </c>
      <c r="F73" s="398">
        <f t="shared" si="5"/>
        <v>36228113.058666229</v>
      </c>
      <c r="G73" s="398">
        <f t="shared" si="6"/>
        <v>35499779.561940193</v>
      </c>
      <c r="I73" s="398">
        <f t="shared" si="7"/>
        <v>137.72775667384244</v>
      </c>
      <c r="J73" s="398">
        <f t="shared" si="8"/>
        <v>94.969888359012955</v>
      </c>
    </row>
    <row r="74" spans="1:10" x14ac:dyDescent="0.3">
      <c r="A74" s="401">
        <v>2027</v>
      </c>
      <c r="B74" s="398">
        <f t="shared" si="1"/>
        <v>265271671.51461792</v>
      </c>
      <c r="C74" s="398">
        <f t="shared" si="2"/>
        <v>48471675.025963306</v>
      </c>
      <c r="D74" s="398">
        <f t="shared" si="3"/>
        <v>18827360.693578601</v>
      </c>
      <c r="E74" s="398">
        <f t="shared" si="4"/>
        <v>115735191.63529825</v>
      </c>
      <c r="F74" s="398">
        <f t="shared" si="5"/>
        <v>41710600.101988554</v>
      </c>
      <c r="G74" s="398">
        <f t="shared" si="6"/>
        <v>40526844.057789087</v>
      </c>
      <c r="I74" s="398">
        <f t="shared" si="7"/>
        <v>157.44579173728681</v>
      </c>
      <c r="J74" s="398">
        <f t="shared" si="8"/>
        <v>107.825879777331</v>
      </c>
    </row>
    <row r="75" spans="1:10" x14ac:dyDescent="0.3">
      <c r="A75" s="401">
        <v>2028</v>
      </c>
      <c r="B75" s="398">
        <f t="shared" si="1"/>
        <v>299202938.11704254</v>
      </c>
      <c r="C75" s="398">
        <f t="shared" si="2"/>
        <v>54425326.35252738</v>
      </c>
      <c r="D75" s="398">
        <f t="shared" si="3"/>
        <v>20914105.32337606</v>
      </c>
      <c r="E75" s="398">
        <f t="shared" si="4"/>
        <v>130603374.69412804</v>
      </c>
      <c r="F75" s="398">
        <f t="shared" si="5"/>
        <v>47500711.920163631</v>
      </c>
      <c r="G75" s="398">
        <f t="shared" si="6"/>
        <v>45759419.82684803</v>
      </c>
      <c r="I75" s="398">
        <f t="shared" si="7"/>
        <v>178.10408661429167</v>
      </c>
      <c r="J75" s="398">
        <f t="shared" si="8"/>
        <v>121.09885150275147</v>
      </c>
    </row>
    <row r="76" spans="1:10" x14ac:dyDescent="0.3">
      <c r="A76" s="401">
        <v>2029</v>
      </c>
      <c r="B76" s="398">
        <f t="shared" si="1"/>
        <v>334016313.94571495</v>
      </c>
      <c r="C76" s="398">
        <f t="shared" si="2"/>
        <v>60461034.794869423</v>
      </c>
      <c r="D76" s="398">
        <f t="shared" si="3"/>
        <v>23007586.164540172</v>
      </c>
      <c r="E76" s="398">
        <f t="shared" si="4"/>
        <v>145906687.4637084</v>
      </c>
      <c r="F76" s="398">
        <f t="shared" si="5"/>
        <v>53519429.774748325</v>
      </c>
      <c r="G76" s="398">
        <f t="shared" si="6"/>
        <v>51121575.74784708</v>
      </c>
      <c r="I76" s="398">
        <f t="shared" si="7"/>
        <v>199.42611723845673</v>
      </c>
      <c r="J76" s="398">
        <f t="shared" si="8"/>
        <v>134.59019670725667</v>
      </c>
    </row>
    <row r="77" spans="1:10" x14ac:dyDescent="0.3">
      <c r="A77" s="401">
        <v>2030</v>
      </c>
      <c r="B77" s="398">
        <f t="shared" si="1"/>
        <v>369370269.89943314</v>
      </c>
      <c r="C77" s="398">
        <f t="shared" si="2"/>
        <v>66507326.620213747</v>
      </c>
      <c r="D77" s="398">
        <f t="shared" si="3"/>
        <v>25089667.942983866</v>
      </c>
      <c r="E77" s="398">
        <f t="shared" si="4"/>
        <v>161503209.91977501</v>
      </c>
      <c r="F77" s="398">
        <f t="shared" si="5"/>
        <v>59711986.889407635</v>
      </c>
      <c r="G77" s="398">
        <f t="shared" si="6"/>
        <v>56558078.527054548</v>
      </c>
      <c r="I77" s="398">
        <f t="shared" si="7"/>
        <v>221.21519680918266</v>
      </c>
      <c r="J77" s="398">
        <f t="shared" si="8"/>
        <v>148.15507309025216</v>
      </c>
    </row>
    <row r="78" spans="1:10" x14ac:dyDescent="0.3">
      <c r="A78" s="401">
        <v>2031</v>
      </c>
      <c r="B78" s="398">
        <f t="shared" si="1"/>
        <v>404155371.85222054</v>
      </c>
      <c r="C78" s="398">
        <f t="shared" si="2"/>
        <v>72438875.624401331</v>
      </c>
      <c r="D78" s="398">
        <f t="shared" si="3"/>
        <v>27116112.365924716</v>
      </c>
      <c r="E78" s="398">
        <f t="shared" si="4"/>
        <v>176617462.98557281</v>
      </c>
      <c r="F78" s="398">
        <f t="shared" si="5"/>
        <v>66115900.845271826</v>
      </c>
      <c r="G78" s="398">
        <f t="shared" si="6"/>
        <v>61867020.031048059</v>
      </c>
      <c r="I78" s="398">
        <f t="shared" si="7"/>
        <v>242.73336383084464</v>
      </c>
      <c r="J78" s="398">
        <f t="shared" si="8"/>
        <v>161.4220080213741</v>
      </c>
    </row>
    <row r="79" spans="1:10" x14ac:dyDescent="0.3">
      <c r="A79" s="401">
        <v>2032</v>
      </c>
      <c r="B79" s="398">
        <f t="shared" si="1"/>
        <v>439284477.44909286</v>
      </c>
      <c r="C79" s="398">
        <f t="shared" si="2"/>
        <v>78344171.197036505</v>
      </c>
      <c r="D79" s="398">
        <f t="shared" si="3"/>
        <v>29123126.307109714</v>
      </c>
      <c r="E79" s="398">
        <f t="shared" si="4"/>
        <v>191894759.22959614</v>
      </c>
      <c r="F79" s="398">
        <f t="shared" si="5"/>
        <v>72715505.470349789</v>
      </c>
      <c r="G79" s="398">
        <f t="shared" si="6"/>
        <v>67206915.245000362</v>
      </c>
      <c r="I79" s="398">
        <f t="shared" si="7"/>
        <v>264.6102646999459</v>
      </c>
      <c r="J79" s="398">
        <f t="shared" si="8"/>
        <v>174.67421274914659</v>
      </c>
    </row>
    <row r="80" spans="1:10" x14ac:dyDescent="0.3">
      <c r="A80" s="401">
        <v>2033</v>
      </c>
      <c r="B80" s="398">
        <f t="shared" si="1"/>
        <v>474982561.15748215</v>
      </c>
      <c r="C80" s="398">
        <f t="shared" si="2"/>
        <v>84245377.684336185</v>
      </c>
      <c r="D80" s="398">
        <f t="shared" si="3"/>
        <v>31128003.022709727</v>
      </c>
      <c r="E80" s="398">
        <f t="shared" si="4"/>
        <v>207442160.4357481</v>
      </c>
      <c r="F80" s="398">
        <f t="shared" si="5"/>
        <v>79555823.214226484</v>
      </c>
      <c r="G80" s="398">
        <f t="shared" si="6"/>
        <v>72611196.800459862</v>
      </c>
      <c r="I80" s="398">
        <f t="shared" si="7"/>
        <v>286.99798364997457</v>
      </c>
      <c r="J80" s="398">
        <f t="shared" si="8"/>
        <v>187.98457750750578</v>
      </c>
    </row>
    <row r="81" spans="1:10" x14ac:dyDescent="0.3">
      <c r="A81" s="401">
        <v>2034</v>
      </c>
      <c r="B81" s="398">
        <f t="shared" si="1"/>
        <v>511613059.39208221</v>
      </c>
      <c r="C81" s="398">
        <f t="shared" si="2"/>
        <v>90184896.455994606</v>
      </c>
      <c r="D81" s="398">
        <f t="shared" si="3"/>
        <v>33157115.121910572</v>
      </c>
      <c r="E81" s="398">
        <f t="shared" si="4"/>
        <v>223430848.24714947</v>
      </c>
      <c r="F81" s="398">
        <f t="shared" si="5"/>
        <v>86705190.829312086</v>
      </c>
      <c r="G81" s="398">
        <f t="shared" si="6"/>
        <v>78135008.737716198</v>
      </c>
      <c r="I81" s="398">
        <f t="shared" si="7"/>
        <v>310.13603907646154</v>
      </c>
      <c r="J81" s="398">
        <f t="shared" si="8"/>
        <v>201.47702031562139</v>
      </c>
    </row>
    <row r="82" spans="1:10" x14ac:dyDescent="0.3">
      <c r="A82" s="401">
        <v>2035</v>
      </c>
      <c r="B82" s="398">
        <f t="shared" si="1"/>
        <v>549487986.43338394</v>
      </c>
      <c r="C82" s="398">
        <f t="shared" si="2"/>
        <v>96199011.951771736</v>
      </c>
      <c r="D82" s="398">
        <f t="shared" si="3"/>
        <v>35232370.96005702</v>
      </c>
      <c r="E82" s="398">
        <f t="shared" si="4"/>
        <v>240009757.63814259</v>
      </c>
      <c r="F82" s="398">
        <f t="shared" si="5"/>
        <v>94223329.050518751</v>
      </c>
      <c r="G82" s="398">
        <f t="shared" si="6"/>
        <v>83823516.832892179</v>
      </c>
      <c r="I82" s="398">
        <f t="shared" si="7"/>
        <v>334.23308668866133</v>
      </c>
      <c r="J82" s="398">
        <f t="shared" si="8"/>
        <v>215.25489974472094</v>
      </c>
    </row>
    <row r="83" spans="1:10" x14ac:dyDescent="0.3">
      <c r="A83" s="401">
        <v>2036</v>
      </c>
      <c r="B83" s="398">
        <f t="shared" si="1"/>
        <v>588710819.75595284</v>
      </c>
      <c r="C83" s="398">
        <f t="shared" si="2"/>
        <v>102298334.12840796</v>
      </c>
      <c r="D83" s="398">
        <f t="shared" si="3"/>
        <v>37360903.761842012</v>
      </c>
      <c r="E83" s="398">
        <f t="shared" si="4"/>
        <v>257228093.79076385</v>
      </c>
      <c r="F83" s="398">
        <f t="shared" si="5"/>
        <v>102134984.64371347</v>
      </c>
      <c r="G83" s="398">
        <f t="shared" si="6"/>
        <v>89688503.431224346</v>
      </c>
      <c r="I83" s="398">
        <f t="shared" si="7"/>
        <v>359.3630784344773</v>
      </c>
      <c r="J83" s="398">
        <f t="shared" si="8"/>
        <v>229.3477413214743</v>
      </c>
    </row>
    <row r="84" spans="1:10" x14ac:dyDescent="0.3">
      <c r="A84" s="401">
        <v>2037</v>
      </c>
      <c r="B84" s="398">
        <f t="shared" si="1"/>
        <v>629333100.19234085</v>
      </c>
      <c r="C84" s="398">
        <f t="shared" si="2"/>
        <v>108486700.50695896</v>
      </c>
      <c r="D84" s="398">
        <f t="shared" si="3"/>
        <v>39545139.915258288</v>
      </c>
      <c r="E84" s="398">
        <f t="shared" si="4"/>
        <v>275115066.19768715</v>
      </c>
      <c r="F84" s="398">
        <f t="shared" si="5"/>
        <v>110456112.77219343</v>
      </c>
      <c r="G84" s="398">
        <f t="shared" si="6"/>
        <v>95730080.800243378</v>
      </c>
      <c r="I84" s="398">
        <f t="shared" si="7"/>
        <v>385.57117896988058</v>
      </c>
      <c r="J84" s="398">
        <f t="shared" si="8"/>
        <v>243.76192122246061</v>
      </c>
    </row>
    <row r="85" spans="1:10" x14ac:dyDescent="0.3">
      <c r="A85" s="401">
        <v>2038</v>
      </c>
      <c r="B85" s="398">
        <f t="shared" si="1"/>
        <v>671575137.75517654</v>
      </c>
      <c r="C85" s="398">
        <f t="shared" si="2"/>
        <v>114789168.78436375</v>
      </c>
      <c r="D85" s="398">
        <f t="shared" si="3"/>
        <v>41797437.931335688</v>
      </c>
      <c r="E85" s="398">
        <f t="shared" si="4"/>
        <v>293787113.26747513</v>
      </c>
      <c r="F85" s="398">
        <f t="shared" si="5"/>
        <v>119230909.88860536</v>
      </c>
      <c r="G85" s="398">
        <f t="shared" si="6"/>
        <v>101970507.88339901</v>
      </c>
      <c r="I85" s="398">
        <f t="shared" si="7"/>
        <v>413.01802315608046</v>
      </c>
      <c r="J85" s="398">
        <f t="shared" si="8"/>
        <v>258.55711459909844</v>
      </c>
    </row>
    <row r="86" spans="1:10" x14ac:dyDescent="0.3">
      <c r="A86" s="401">
        <v>2039</v>
      </c>
      <c r="B86" s="398">
        <f t="shared" si="1"/>
        <v>715688085.86302757</v>
      </c>
      <c r="C86" s="398">
        <f t="shared" si="2"/>
        <v>121235089.68162513</v>
      </c>
      <c r="D86" s="398">
        <f t="shared" si="3"/>
        <v>44131079.438415408</v>
      </c>
      <c r="E86" s="398">
        <f t="shared" si="4"/>
        <v>313379360.22388458</v>
      </c>
      <c r="F86" s="398">
        <f t="shared" si="5"/>
        <v>128508645.91076493</v>
      </c>
      <c r="G86" s="398">
        <f t="shared" si="6"/>
        <v>108433910.60833812</v>
      </c>
      <c r="I86" s="398">
        <f t="shared" si="7"/>
        <v>441.88800613464952</v>
      </c>
      <c r="J86" s="398">
        <f t="shared" si="8"/>
        <v>273.80007972837865</v>
      </c>
    </row>
    <row r="87" spans="1:10" x14ac:dyDescent="0.3">
      <c r="A87" s="401">
        <v>2040</v>
      </c>
      <c r="B87" s="398">
        <f t="shared" si="1"/>
        <v>761898114.16109657</v>
      </c>
      <c r="C87" s="398">
        <f t="shared" si="2"/>
        <v>127853727.21294832</v>
      </c>
      <c r="D87" s="398">
        <f t="shared" si="3"/>
        <v>46557697.849622726</v>
      </c>
      <c r="E87" s="398">
        <f t="shared" si="4"/>
        <v>334010657.20365143</v>
      </c>
      <c r="F87" s="398">
        <f t="shared" si="5"/>
        <v>138334334.44272637</v>
      </c>
      <c r="G87" s="398">
        <f t="shared" si="6"/>
        <v>115141697.45214725</v>
      </c>
      <c r="I87" s="398">
        <f t="shared" si="7"/>
        <v>472.34499164637782</v>
      </c>
      <c r="J87" s="398">
        <f t="shared" si="8"/>
        <v>289.55312251471827</v>
      </c>
    </row>
    <row r="88" spans="1:10" x14ac:dyDescent="0.3">
      <c r="A88" s="401">
        <v>2041</v>
      </c>
      <c r="B88" s="398">
        <f t="shared" si="1"/>
        <v>810356951.83556175</v>
      </c>
      <c r="C88" s="398">
        <f t="shared" si="2"/>
        <v>134662968.68338585</v>
      </c>
      <c r="D88" s="398">
        <f t="shared" si="3"/>
        <v>49084079.452876091</v>
      </c>
      <c r="E88" s="398">
        <f t="shared" si="4"/>
        <v>355760136.16614819</v>
      </c>
      <c r="F88" s="398">
        <f t="shared" si="5"/>
        <v>148741110.97461963</v>
      </c>
      <c r="G88" s="398">
        <f t="shared" si="6"/>
        <v>122108656.55853081</v>
      </c>
      <c r="I88" s="398">
        <f t="shared" si="7"/>
        <v>504.50124714076782</v>
      </c>
      <c r="J88" s="398">
        <f t="shared" si="8"/>
        <v>305.85570469479273</v>
      </c>
    </row>
    <row r="89" spans="1:10" x14ac:dyDescent="0.3">
      <c r="A89" s="401">
        <v>2042</v>
      </c>
      <c r="B89" s="398">
        <f t="shared" si="1"/>
        <v>861191439.26957512</v>
      </c>
      <c r="C89" s="398">
        <f t="shared" si="2"/>
        <v>141686840.92099571</v>
      </c>
      <c r="D89" s="398">
        <f t="shared" si="3"/>
        <v>51716278.662066102</v>
      </c>
      <c r="E89" s="398">
        <f t="shared" si="4"/>
        <v>378683945.03763866</v>
      </c>
      <c r="F89" s="398">
        <f t="shared" si="5"/>
        <v>159757604.36872387</v>
      </c>
      <c r="G89" s="398">
        <f t="shared" si="6"/>
        <v>129346770.28015208</v>
      </c>
      <c r="I89" s="398">
        <f t="shared" si="7"/>
        <v>538.44154940636258</v>
      </c>
      <c r="J89" s="398">
        <f t="shared" si="8"/>
        <v>322.74988986321392</v>
      </c>
    </row>
    <row r="90" spans="1:10" x14ac:dyDescent="0.3">
      <c r="A90" s="401">
        <v>2043</v>
      </c>
      <c r="B90" s="398">
        <f t="shared" si="1"/>
        <v>914570119.51067543</v>
      </c>
      <c r="C90" s="398">
        <f t="shared" si="2"/>
        <v>148968560.03013968</v>
      </c>
      <c r="D90" s="398">
        <f t="shared" si="3"/>
        <v>54463665.337576032</v>
      </c>
      <c r="E90" s="398">
        <f t="shared" si="4"/>
        <v>402848789.25230789</v>
      </c>
      <c r="F90" s="398">
        <f t="shared" si="5"/>
        <v>171418585.94401789</v>
      </c>
      <c r="G90" s="398">
        <f t="shared" si="6"/>
        <v>136870518.94663429</v>
      </c>
      <c r="I90" s="398">
        <f t="shared" si="7"/>
        <v>574.26737519632582</v>
      </c>
      <c r="J90" s="398">
        <f t="shared" si="8"/>
        <v>340.30274431435004</v>
      </c>
    </row>
    <row r="91" spans="1:10" x14ac:dyDescent="0.3">
      <c r="A91" s="401">
        <v>2044</v>
      </c>
      <c r="B91" s="398">
        <f t="shared" si="1"/>
        <v>970658892.21172714</v>
      </c>
      <c r="C91" s="398">
        <f t="shared" si="2"/>
        <v>156558293.70869327</v>
      </c>
      <c r="D91" s="398">
        <f t="shared" si="3"/>
        <v>57335729.764112353</v>
      </c>
      <c r="E91" s="398">
        <f t="shared" si="4"/>
        <v>428313350.48552704</v>
      </c>
      <c r="F91" s="398">
        <f t="shared" si="5"/>
        <v>183758114.09585524</v>
      </c>
      <c r="G91" s="398">
        <f t="shared" si="6"/>
        <v>144693404.15753913</v>
      </c>
      <c r="I91" s="398">
        <f t="shared" si="7"/>
        <v>612.07146458138232</v>
      </c>
      <c r="J91" s="398">
        <f t="shared" si="8"/>
        <v>358.58742763034473</v>
      </c>
    </row>
    <row r="92" spans="1:10" x14ac:dyDescent="0.3">
      <c r="A92" s="401">
        <v>2045</v>
      </c>
      <c r="B92" s="398">
        <f t="shared" si="1"/>
        <v>1029599749.3544292</v>
      </c>
      <c r="C92" s="398">
        <f t="shared" si="2"/>
        <v>164497296.86127543</v>
      </c>
      <c r="D92" s="398">
        <f t="shared" si="3"/>
        <v>60339271.639738083</v>
      </c>
      <c r="E92" s="398">
        <f t="shared" si="4"/>
        <v>455129528.22289276</v>
      </c>
      <c r="F92" s="398">
        <f t="shared" si="5"/>
        <v>196807027.79467392</v>
      </c>
      <c r="G92" s="398">
        <f t="shared" si="6"/>
        <v>152826624.83584833</v>
      </c>
      <c r="I92" s="398">
        <f t="shared" si="7"/>
        <v>651.93655601756666</v>
      </c>
      <c r="J92" s="398">
        <f t="shared" si="8"/>
        <v>377.66319333686187</v>
      </c>
    </row>
    <row r="93" spans="1:10" x14ac:dyDescent="0.3">
      <c r="A93" s="401">
        <v>2046</v>
      </c>
      <c r="B93" s="398">
        <f t="shared" si="1"/>
        <v>1091509010.5180683</v>
      </c>
      <c r="C93" s="398">
        <f t="shared" si="2"/>
        <v>172804781.51452827</v>
      </c>
      <c r="D93" s="398">
        <f t="shared" si="3"/>
        <v>63477825.050549507</v>
      </c>
      <c r="E93" s="398">
        <f t="shared" si="4"/>
        <v>483353498.2080555</v>
      </c>
      <c r="F93" s="398">
        <f t="shared" si="5"/>
        <v>210593878.23547363</v>
      </c>
      <c r="G93" s="398">
        <f t="shared" si="6"/>
        <v>161279027.50946259</v>
      </c>
      <c r="I93" s="398">
        <f t="shared" si="7"/>
        <v>693.94737644352915</v>
      </c>
      <c r="J93" s="398">
        <f t="shared" si="8"/>
        <v>397.56163407454039</v>
      </c>
    </row>
    <row r="94" spans="1:10" x14ac:dyDescent="0.3">
      <c r="A94" s="401">
        <v>2047</v>
      </c>
      <c r="B94" s="398">
        <f t="shared" si="1"/>
        <v>1156466348.5827942</v>
      </c>
      <c r="C94" s="398">
        <f t="shared" si="2"/>
        <v>181491665.76617193</v>
      </c>
      <c r="D94" s="398">
        <f t="shared" si="3"/>
        <v>66750988.715399504</v>
      </c>
      <c r="E94" s="398">
        <f t="shared" si="4"/>
        <v>513026305.94281387</v>
      </c>
      <c r="F94" s="398">
        <f t="shared" si="5"/>
        <v>225141187.506598</v>
      </c>
      <c r="G94" s="398">
        <f t="shared" si="6"/>
        <v>170056200.65181279</v>
      </c>
      <c r="I94" s="398">
        <f t="shared" si="7"/>
        <v>738.16749344941184</v>
      </c>
      <c r="J94" s="398">
        <f t="shared" si="8"/>
        <v>418.29885513338422</v>
      </c>
    </row>
    <row r="95" spans="1:10" x14ac:dyDescent="0.3">
      <c r="A95" s="401">
        <v>2048</v>
      </c>
      <c r="B95" s="398">
        <f t="shared" si="1"/>
        <v>1224520355.0526352</v>
      </c>
      <c r="C95" s="398">
        <f t="shared" si="2"/>
        <v>190578892.82992578</v>
      </c>
      <c r="D95" s="398">
        <f t="shared" si="3"/>
        <v>70155933.826783419</v>
      </c>
      <c r="E95" s="398">
        <f t="shared" si="4"/>
        <v>544160049.25941753</v>
      </c>
      <c r="F95" s="398">
        <f t="shared" si="5"/>
        <v>240464790.4968214</v>
      </c>
      <c r="G95" s="398">
        <f t="shared" si="6"/>
        <v>179160688.63968563</v>
      </c>
      <c r="I95" s="398">
        <f t="shared" si="7"/>
        <v>784.62483975623888</v>
      </c>
      <c r="J95" s="398">
        <f t="shared" si="8"/>
        <v>439.89551529639482</v>
      </c>
    </row>
    <row r="96" spans="1:10" x14ac:dyDescent="0.3">
      <c r="A96" s="401">
        <v>2049</v>
      </c>
      <c r="B96" s="398">
        <f t="shared" si="1"/>
        <v>1295690114.5856934</v>
      </c>
      <c r="C96" s="398">
        <f t="shared" si="2"/>
        <v>200085449.03192782</v>
      </c>
      <c r="D96" s="398">
        <f t="shared" si="3"/>
        <v>73687134.535001516</v>
      </c>
      <c r="E96" s="398">
        <f t="shared" si="4"/>
        <v>576749629.60269451</v>
      </c>
      <c r="F96" s="398">
        <f t="shared" si="5"/>
        <v>256575572.35977793</v>
      </c>
      <c r="G96" s="398">
        <f t="shared" si="6"/>
        <v>188592329.05629158</v>
      </c>
      <c r="I96" s="398">
        <f t="shared" si="7"/>
        <v>833.32520196247242</v>
      </c>
      <c r="J96" s="398">
        <f t="shared" si="8"/>
        <v>462.3649126232209</v>
      </c>
    </row>
    <row r="97" spans="1:10" x14ac:dyDescent="0.3">
      <c r="A97" s="401">
        <v>2050</v>
      </c>
      <c r="B97" s="398">
        <f t="shared" si="1"/>
        <v>1369988433.9818115</v>
      </c>
      <c r="C97" s="398">
        <f t="shared" si="2"/>
        <v>210022891.82420588</v>
      </c>
      <c r="D97" s="398">
        <f t="shared" si="3"/>
        <v>77338790.227848053</v>
      </c>
      <c r="E97" s="398">
        <f t="shared" si="4"/>
        <v>610791952.7859993</v>
      </c>
      <c r="F97" s="398">
        <f t="shared" si="5"/>
        <v>273484832.0113349</v>
      </c>
      <c r="G97" s="398">
        <f t="shared" si="6"/>
        <v>198349967.13242269</v>
      </c>
      <c r="I97" s="398">
        <f t="shared" si="7"/>
        <v>884.27678479733424</v>
      </c>
      <c r="J97" s="398">
        <f t="shared" si="8"/>
        <v>485.71164918447664</v>
      </c>
    </row>
    <row r="98" spans="1:10" x14ac:dyDescent="0.3">
      <c r="A98" s="401">
        <v>2051</v>
      </c>
      <c r="B98" s="398">
        <f t="shared" si="1"/>
        <v>1447471378.4348431</v>
      </c>
      <c r="C98" s="398">
        <f t="shared" si="2"/>
        <v>220399700.15546203</v>
      </c>
      <c r="D98" s="398">
        <f t="shared" si="3"/>
        <v>81109452.846701145</v>
      </c>
      <c r="E98" s="398">
        <f t="shared" si="4"/>
        <v>646314053.90382385</v>
      </c>
      <c r="F98" s="398">
        <f t="shared" si="5"/>
        <v>291212737.86212158</v>
      </c>
      <c r="G98" s="398">
        <f t="shared" si="6"/>
        <v>208435433.66673398</v>
      </c>
      <c r="I98" s="398">
        <f t="shared" si="7"/>
        <v>937.5267917659454</v>
      </c>
      <c r="J98" s="398">
        <f t="shared" si="8"/>
        <v>509.94458666889716</v>
      </c>
    </row>
    <row r="99" spans="1:10" x14ac:dyDescent="0.3">
      <c r="A99" s="401">
        <v>2052</v>
      </c>
      <c r="B99" s="398">
        <f t="shared" si="1"/>
        <v>1528166408.9518776</v>
      </c>
      <c r="C99" s="398">
        <f t="shared" si="2"/>
        <v>231210304.23816395</v>
      </c>
      <c r="D99" s="398">
        <f t="shared" si="3"/>
        <v>84994877.308931828</v>
      </c>
      <c r="E99" s="398">
        <f t="shared" si="4"/>
        <v>683337195.05103016</v>
      </c>
      <c r="F99" s="398">
        <f t="shared" si="5"/>
        <v>309776698.98877096</v>
      </c>
      <c r="G99" s="398">
        <f t="shared" si="6"/>
        <v>218847333.3649807</v>
      </c>
      <c r="I99" s="398">
        <f t="shared" si="7"/>
        <v>993.11389403980115</v>
      </c>
      <c r="J99" s="398">
        <f t="shared" si="8"/>
        <v>535.0525149120765</v>
      </c>
    </row>
    <row r="100" spans="1:10" x14ac:dyDescent="0.3">
      <c r="A100" s="401">
        <v>2053</v>
      </c>
      <c r="B100" s="398">
        <f t="shared" si="1"/>
        <v>1612011653.3121166</v>
      </c>
      <c r="C100" s="398">
        <f t="shared" si="2"/>
        <v>242431989.68895435</v>
      </c>
      <c r="D100" s="398">
        <f t="shared" si="3"/>
        <v>88982424.223684669</v>
      </c>
      <c r="E100" s="398">
        <f t="shared" si="4"/>
        <v>721840626.7102356</v>
      </c>
      <c r="F100" s="398">
        <f t="shared" si="5"/>
        <v>329180572.06405258</v>
      </c>
      <c r="G100" s="398">
        <f t="shared" si="6"/>
        <v>229576040.62519026</v>
      </c>
      <c r="I100" s="398">
        <f t="shared" si="7"/>
        <v>1051.0211987742882</v>
      </c>
      <c r="J100" s="398">
        <f t="shared" si="8"/>
        <v>560.99045453782924</v>
      </c>
    </row>
    <row r="101" spans="1:10" x14ac:dyDescent="0.3">
      <c r="A101" s="401">
        <v>2054</v>
      </c>
      <c r="B101" s="398">
        <f t="shared" si="1"/>
        <v>1698907020.737999</v>
      </c>
      <c r="C101" s="398">
        <f t="shared" si="2"/>
        <v>254031048.05092359</v>
      </c>
      <c r="D101" s="398">
        <f t="shared" si="3"/>
        <v>93056128.205954552</v>
      </c>
      <c r="E101" s="398">
        <f t="shared" si="4"/>
        <v>761788546.17349911</v>
      </c>
      <c r="F101" s="398">
        <f t="shared" si="5"/>
        <v>349423191.01194048</v>
      </c>
      <c r="G101" s="398">
        <f t="shared" si="6"/>
        <v>240608107.29568148</v>
      </c>
      <c r="I101" s="398">
        <f t="shared" si="7"/>
        <v>1111.2117371854397</v>
      </c>
      <c r="J101" s="398">
        <f t="shared" si="8"/>
        <v>587.69528355255966</v>
      </c>
    </row>
    <row r="102" spans="1:10" x14ac:dyDescent="0.3">
      <c r="A102" s="401">
        <v>2055</v>
      </c>
      <c r="B102" s="398">
        <f t="shared" si="1"/>
        <v>1788777748.7016792</v>
      </c>
      <c r="C102" s="398">
        <f t="shared" si="2"/>
        <v>265977370.07482433</v>
      </c>
      <c r="D102" s="398">
        <f t="shared" si="3"/>
        <v>97202886.562375307</v>
      </c>
      <c r="E102" s="398">
        <f t="shared" si="4"/>
        <v>803157799.14559555</v>
      </c>
      <c r="F102" s="398">
        <f t="shared" si="5"/>
        <v>370507775.19690228</v>
      </c>
      <c r="G102" s="398">
        <f t="shared" si="6"/>
        <v>251931917.72197962</v>
      </c>
      <c r="I102" s="398">
        <f t="shared" si="7"/>
        <v>1173.6655743424978</v>
      </c>
      <c r="J102" s="398">
        <f t="shared" si="8"/>
        <v>615.11217435917922</v>
      </c>
    </row>
    <row r="103" spans="1:10" x14ac:dyDescent="0.3">
      <c r="A103" s="401">
        <v>2056</v>
      </c>
      <c r="B103" s="398">
        <f t="shared" si="1"/>
        <v>1881637126.3665371</v>
      </c>
      <c r="C103" s="398">
        <f t="shared" si="2"/>
        <v>278261701.84261274</v>
      </c>
      <c r="D103" s="398">
        <f t="shared" si="3"/>
        <v>101417634.600227</v>
      </c>
      <c r="E103" s="398">
        <f t="shared" si="4"/>
        <v>845964013.04158401</v>
      </c>
      <c r="F103" s="398">
        <f t="shared" si="5"/>
        <v>392449626.50302553</v>
      </c>
      <c r="G103" s="398">
        <f t="shared" si="6"/>
        <v>263544150.37908602</v>
      </c>
      <c r="I103" s="398">
        <f t="shared" si="7"/>
        <v>1238.4136395446096</v>
      </c>
      <c r="J103" s="398">
        <f t="shared" si="8"/>
        <v>643.2234868219258</v>
      </c>
    </row>
    <row r="104" spans="1:10" x14ac:dyDescent="0.3">
      <c r="A104" s="401">
        <v>2057</v>
      </c>
      <c r="B104" s="398">
        <f t="shared" si="1"/>
        <v>1977517339.7648697</v>
      </c>
      <c r="C104" s="398">
        <f t="shared" si="2"/>
        <v>290873607.83815241</v>
      </c>
      <c r="D104" s="398">
        <f t="shared" si="3"/>
        <v>105697891.25533259</v>
      </c>
      <c r="E104" s="398">
        <f t="shared" si="4"/>
        <v>890235481.97960949</v>
      </c>
      <c r="F104" s="398">
        <f t="shared" si="5"/>
        <v>415268459.43846607</v>
      </c>
      <c r="G104" s="398">
        <f t="shared" si="6"/>
        <v>275441899.25331092</v>
      </c>
      <c r="I104" s="398">
        <f t="shared" si="7"/>
        <v>1305.5039414180756</v>
      </c>
      <c r="J104" s="398">
        <f t="shared" si="8"/>
        <v>672.01339834679595</v>
      </c>
    </row>
    <row r="105" spans="1:10" x14ac:dyDescent="0.3">
      <c r="A105" s="401">
        <v>2058</v>
      </c>
      <c r="B105" s="398">
        <f t="shared" si="1"/>
        <v>2076386458.6442413</v>
      </c>
      <c r="C105" s="398">
        <f t="shared" si="2"/>
        <v>303779116.30203152</v>
      </c>
      <c r="D105" s="398">
        <f t="shared" si="3"/>
        <v>110036537.49941087</v>
      </c>
      <c r="E105" s="398">
        <f t="shared" si="4"/>
        <v>935978832.36865711</v>
      </c>
      <c r="F105" s="398">
        <f t="shared" si="5"/>
        <v>438977737.15504503</v>
      </c>
      <c r="G105" s="398">
        <f t="shared" si="6"/>
        <v>287614235.31909728</v>
      </c>
      <c r="I105" s="398">
        <f t="shared" si="7"/>
        <v>1374.9565695237022</v>
      </c>
      <c r="J105" s="398">
        <f t="shared" si="8"/>
        <v>701.42988912053966</v>
      </c>
    </row>
    <row r="106" spans="1:10" x14ac:dyDescent="0.3">
      <c r="A106" s="401">
        <v>2059</v>
      </c>
      <c r="B106" s="398">
        <f t="shared" si="1"/>
        <v>2178206862.1675224</v>
      </c>
      <c r="C106" s="398">
        <f t="shared" si="2"/>
        <v>316937838.40065622</v>
      </c>
      <c r="D106" s="398">
        <f t="shared" si="3"/>
        <v>114426558.31970286</v>
      </c>
      <c r="E106" s="398">
        <f t="shared" si="4"/>
        <v>983202598.95495796</v>
      </c>
      <c r="F106" s="398">
        <f t="shared" si="5"/>
        <v>463591429.53491116</v>
      </c>
      <c r="G106" s="398">
        <f t="shared" si="6"/>
        <v>300048436.95729256</v>
      </c>
      <c r="I106" s="398">
        <f t="shared" si="7"/>
        <v>1446.7940284898691</v>
      </c>
      <c r="J106" s="398">
        <f t="shared" si="8"/>
        <v>731.41283367765163</v>
      </c>
    </row>
    <row r="107" spans="1:10" x14ac:dyDescent="0.3">
      <c r="A107" s="401">
        <v>2060</v>
      </c>
      <c r="B107" s="398">
        <f t="shared" si="1"/>
        <v>2282973247.52845</v>
      </c>
      <c r="C107" s="398">
        <f t="shared" si="2"/>
        <v>330317657.04292917</v>
      </c>
      <c r="D107" s="398">
        <f t="shared" si="3"/>
        <v>118863209.69118869</v>
      </c>
      <c r="E107" s="398">
        <f t="shared" si="4"/>
        <v>1031930302.8688993</v>
      </c>
      <c r="F107" s="398">
        <f t="shared" si="5"/>
        <v>489127004.35335875</v>
      </c>
      <c r="G107" s="398">
        <f t="shared" si="6"/>
        <v>312735073.57207251</v>
      </c>
      <c r="I107" s="398">
        <f t="shared" si="7"/>
        <v>1521.057307222258</v>
      </c>
      <c r="J107" s="398">
        <f t="shared" si="8"/>
        <v>761.91594030619035</v>
      </c>
    </row>
  </sheetData>
  <pageMargins left="0.7" right="0.7" top="0.75" bottom="0.75" header="0.3" footer="0.3"/>
  <cellWatches>
    <cellWatch r="AZ137"/>
    <cellWatch r="AZ138"/>
    <cellWatch r="AZ139"/>
    <cellWatch r="AZ140"/>
    <cellWatch r="AZ141"/>
    <cellWatch r="AZ142"/>
    <cellWatch r="AZ143"/>
    <cellWatch r="AZ144"/>
    <cellWatch r="AZ145"/>
    <cellWatch r="AZ146"/>
    <cellWatch r="AZ147"/>
    <cellWatch r="AZ148"/>
    <cellWatch r="AZ149"/>
    <cellWatch r="AZ150"/>
    <cellWatch r="AZ151"/>
    <cellWatch r="AZ152"/>
    <cellWatch r="AZ153"/>
    <cellWatch r="AZ154"/>
    <cellWatch r="AZ155"/>
    <cellWatch r="AZ156"/>
    <cellWatch r="AZ157"/>
    <cellWatch r="AZ158"/>
    <cellWatch r="AZ159"/>
    <cellWatch r="AZ160"/>
    <cellWatch r="AZ161"/>
    <cellWatch r="AZ162"/>
    <cellWatch r="AZ163"/>
    <cellWatch r="AZ164"/>
    <cellWatch r="AZ165"/>
    <cellWatch r="AZ166"/>
    <cellWatch r="AZ167"/>
    <cellWatch r="AZ168"/>
    <cellWatch r="AZ169"/>
    <cellWatch r="AZ170"/>
    <cellWatch r="AZ171"/>
    <cellWatch r="BA137"/>
    <cellWatch r="BA138"/>
    <cellWatch r="BA139"/>
    <cellWatch r="BA140"/>
    <cellWatch r="BA141"/>
    <cellWatch r="BA142"/>
    <cellWatch r="BA143"/>
    <cellWatch r="BA144"/>
    <cellWatch r="BA145"/>
    <cellWatch r="BA146"/>
    <cellWatch r="BA147"/>
    <cellWatch r="BA148"/>
    <cellWatch r="BA149"/>
    <cellWatch r="BA150"/>
    <cellWatch r="BA151"/>
    <cellWatch r="BA152"/>
    <cellWatch r="BA153"/>
    <cellWatch r="BA154"/>
    <cellWatch r="BA155"/>
    <cellWatch r="BA156"/>
    <cellWatch r="BA157"/>
    <cellWatch r="BA158"/>
    <cellWatch r="BA159"/>
    <cellWatch r="BA160"/>
    <cellWatch r="BA161"/>
    <cellWatch r="BA162"/>
    <cellWatch r="BA163"/>
    <cellWatch r="BA164"/>
    <cellWatch r="BA165"/>
    <cellWatch r="BA166"/>
    <cellWatch r="BA167"/>
    <cellWatch r="BA168"/>
    <cellWatch r="BA169"/>
    <cellWatch r="BA170"/>
    <cellWatch r="BA171"/>
  </cellWatch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vt:i4>
      </vt:variant>
    </vt:vector>
  </HeadingPairs>
  <TitlesOfParts>
    <vt:vector size="39" baseType="lpstr">
      <vt:lpstr>results_summary</vt:lpstr>
      <vt:lpstr>Emissions Factors</vt:lpstr>
      <vt:lpstr>Population_Tables</vt:lpstr>
      <vt:lpstr>Electricity_cluster</vt:lpstr>
      <vt:lpstr>Electricity_cluster_mdc</vt:lpstr>
      <vt:lpstr>SpaceHeating_cluster</vt:lpstr>
      <vt:lpstr>SpaceHeating_cluster_lldc</vt:lpstr>
      <vt:lpstr>SpaceHeating_cluster_mdc</vt:lpstr>
      <vt:lpstr>SpaceCooling_cluster</vt:lpstr>
      <vt:lpstr>SpaceCooling_cluster_lldc</vt:lpstr>
      <vt:lpstr>SpaceCooling_cluster_mdc</vt:lpstr>
      <vt:lpstr>CleanCookstoves_cluster</vt:lpstr>
      <vt:lpstr>CleanCookstove_cluster_lldc</vt:lpstr>
      <vt:lpstr>ComLight_cluster</vt:lpstr>
      <vt:lpstr>ComLight_cluster_lldc</vt:lpstr>
      <vt:lpstr>ComLight_cluster_mdc</vt:lpstr>
      <vt:lpstr>ResLight_cluster</vt:lpstr>
      <vt:lpstr>ReslLight_cluster_lldc</vt:lpstr>
      <vt:lpstr>ReslLight_cluster_mdc</vt:lpstr>
      <vt:lpstr>WaterHeating_cluster</vt:lpstr>
      <vt:lpstr>WaterHeating_cluster_lldc</vt:lpstr>
      <vt:lpstr>WaterHeating_cluster_mdc</vt:lpstr>
      <vt:lpstr>Paper_cluster</vt:lpstr>
      <vt:lpstr>Water_cluster</vt:lpstr>
      <vt:lpstr>Plastics_cluster</vt:lpstr>
      <vt:lpstr>Passenger-km_cluster</vt:lpstr>
      <vt:lpstr>Passenger-km_cluster_lldc</vt:lpstr>
      <vt:lpstr>Passenger-km_cluster_mdc</vt:lpstr>
      <vt:lpstr>Passenger-km_cluster_mdc(test)</vt:lpstr>
      <vt:lpstr>NFreight-km_cluster_all</vt:lpstr>
      <vt:lpstr>GFreight-km_cluster_lldc</vt:lpstr>
      <vt:lpstr>GFreight-km_cluster_mdc</vt:lpstr>
      <vt:lpstr>Air-km_cluster_all</vt:lpstr>
      <vt:lpstr>Plastics_cluster_all</vt:lpstr>
      <vt:lpstr>Paper_cluster_lldc</vt:lpstr>
      <vt:lpstr>Paper_cluster_mdc</vt:lpstr>
      <vt:lpstr>Water_cluster_lldc</vt:lpstr>
      <vt:lpstr>Water_cluster_mdc</vt:lpstr>
      <vt:lpstr>DemandFood_cluster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Amrita Namasivayam</cp:lastModifiedBy>
  <dcterms:created xsi:type="dcterms:W3CDTF">2019-09-05T01:17:22Z</dcterms:created>
  <dcterms:modified xsi:type="dcterms:W3CDTF">2021-06-14T23:57:32Z</dcterms:modified>
</cp:coreProperties>
</file>